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officedocument.obfuscatedFont" Extension="odttf"/>
  <Default ContentType="application/vnd.openxmlformats-package.relationships+xml" Extension="rels"/>
  <Override ContentType="application/vnd.openxmlformats-officedocument.spreadsheetml.table+xml" PartName="/xl/tables/table3.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ms-excel.person+xml" PartName="/xl/persons/person.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voices" sheetId="1" r:id="rId5"/>
    <sheet state="visible" name="Projects" sheetId="2" r:id="rId6"/>
    <sheet state="visible" name="Clients" sheetId="3" r:id="rId7"/>
    <sheet state="visible" name="Expenses" sheetId="4" r:id="rId8"/>
    <sheet state="visible" name="Vendors" sheetId="5" r:id="rId9"/>
    <sheet state="visible" name="Monthly Lookup" sheetId="6" r:id="rId10"/>
    <sheet state="visible" name="Monthly Split" sheetId="7" r:id="rId11"/>
    <sheet state="visible" name="Margins" sheetId="8" r:id="rId12"/>
    <sheet state="visible" name="DC Links" sheetId="9" r:id="rId13"/>
    <sheet state="visible" name="Process" sheetId="10" r:id="rId14"/>
    <sheet state="visible" name="l" sheetId="11" r:id="rId15"/>
    <sheet state="visible" name="v" sheetId="12" r:id="rId16"/>
    <sheet state="visible" name="Std_Rev" sheetId="13" r:id="rId17"/>
    <sheet state="visible" name="Std_Exp" sheetId="14" r:id="rId18"/>
    <sheet state="visible" name="Std_Tra" sheetId="15" r:id="rId19"/>
  </sheets>
  <definedNames>
    <definedName name="var_monthly">v!$B$31</definedName>
    <definedName name="List_Periods">l!$C:$C</definedName>
    <definedName name="List_Project_Status">l!$I:$I</definedName>
    <definedName name="project_projectID">Projects!$A$2:$A$208</definedName>
    <definedName name="vendor_vendorID">Vendors!$A:$A</definedName>
    <definedName name="invoice_commission_percent">Invoices!$M$2:$M$960</definedName>
    <definedName name="project_type">Projects!$D:$D</definedName>
    <definedName name="invoice_title">Invoices!$I:$I</definedName>
    <definedName name="expenses_category">Expenses!$I:$I</definedName>
    <definedName name="project_amount">Projects!$G:$G</definedName>
    <definedName name="invoice_amount">Invoices!$B:$B</definedName>
    <definedName name="project_billing_schedule">Projects!$F:$F</definedName>
    <definedName name="invoice_projectID">Invoices!$A:$A</definedName>
    <definedName name="List_Vendors">Vendors!$A$2:$A$100</definedName>
    <definedName name="invoices_after_fees">Invoices!$O:$O</definedName>
    <definedName name="project_currency">Projects!$H:$H</definedName>
    <definedName name="project_date">Projects!$J:$J</definedName>
    <definedName name="client_currency">Clients!$D:$D</definedName>
    <definedName name="invoice_project_amount">Invoices!$Q:$Q</definedName>
    <definedName name="List_Clients">Clients!$A$2:$A$201</definedName>
    <definedName name="project_description">Projects!$K:$K</definedName>
    <definedName name="List_Months">l!$A:$A</definedName>
    <definedName name="client_clientID">Clients!$A:$A</definedName>
    <definedName name="project_title">Projects!$C:$C</definedName>
    <definedName name="project_invoice_timing">Projects!$E$2:$E$208</definedName>
    <definedName name="expense_projectID">Expenses!$A:$A</definedName>
    <definedName name="project_client">Projects!$B:$B</definedName>
    <definedName name="List_Invoice_Status">l!$F:$F</definedName>
    <definedName name="expense_paid_by">Expenses!$H:$H</definedName>
    <definedName name="invoice_description">Invoices!$J:$J</definedName>
    <definedName name="invoice_commission">Invoices!$N:$N</definedName>
    <definedName name="expense_vendor">Expenses!$B:$B</definedName>
    <definedName name="expense_category">Expenses!$I:$I</definedName>
    <definedName name="List_Billing_Schedules">l!$G:$G</definedName>
    <definedName name="List_Expense_Categories">l!$D:$D</definedName>
    <definedName name="Invoice_invoice_timing">Invoices!$H$2:$H$960</definedName>
    <definedName name="List_Companies">l!$E:$E</definedName>
    <definedName name="vendor_paid_by">Vendors!$C:$C</definedName>
    <definedName name="client_terms">Clients!$F:$F</definedName>
    <definedName name="project_terms">Projects!$I:$I</definedName>
    <definedName name="var_quarterly">v!$B$32</definedName>
    <definedName name="List_Invoice_Types">l!$H:$H</definedName>
    <definedName name="invoice_currency">Invoices!$K:$K</definedName>
    <definedName name="invoice_date">Invoices!$E:$E</definedName>
    <definedName name="var_expense_vendor">v!$B$34</definedName>
    <definedName name="vendor_category">Vendors!$B:$B</definedName>
    <definedName name="project_commission_percent">Projects!$M:$M</definedName>
    <definedName name="var_yearly">v!$B$32</definedName>
    <definedName name="List_BW_Invoices">l!$B:$B</definedName>
    <definedName name="invoice_terms">Invoices!$L:$L</definedName>
    <definedName name="invoice_transaction_fee">Invoices!$F:$F</definedName>
    <definedName hidden="1" localSheetId="0" name="_xlnm._FilterDatabase">Invoices!$A$1:$T$1954</definedName>
    <definedName hidden="1" localSheetId="3" name="_xlnm._FilterDatabase">Expenses!$A$1:$L$1975</definedName>
    <definedName hidden="1" localSheetId="5" name="_xlnm._FilterDatabase">'Monthly Lookup'!$A$6:$M$34</definedName>
    <definedName hidden="1" localSheetId="0" name="Z_F6D90920_73E0_4A2A_8FB2_7260F668C960_.wvu.FilterData">Invoices!$A$1:$T$960</definedName>
    <definedName hidden="1" localSheetId="0" name="Z_2E02AFAC_475C_46D3_9E84_362286EA9B98_.wvu.FilterData">Invoices!$A$1:$T$960</definedName>
    <definedName hidden="1" localSheetId="0" name="Z_D1AD8115_ED37_4382_92BF_77300F085E30_.wvu.FilterData">Invoices!$A$1:$T$1954</definedName>
    <definedName hidden="1" localSheetId="1" name="Z_00CAE9A0_26A3_4200_8E98_3B6A09AF3AF8_.wvu.FilterData">Projects!$A$1:$Z$208</definedName>
    <definedName hidden="1" localSheetId="2" name="Z_00CAE9A0_26A3_4200_8E98_3B6A09AF3AF8_.wvu.FilterData">Clients!$B$1:$B$201</definedName>
    <definedName hidden="1" localSheetId="0" name="Z_92123471_A40A_4476_A386_739D4EE68A39_.wvu.FilterData">Invoices!$A$1:$T$960</definedName>
  </definedNames>
  <calcPr/>
  <customWorkbookViews>
    <customWorkbookView activeSheetId="0" maximized="1" windowHeight="0" windowWidth="0" guid="{F6D90920-73E0-4A2A-8FB2-7260F668C960}" name="Default Filter"/>
    <customWorkbookView activeSheetId="0" maximized="1" windowHeight="0" windowWidth="0" guid="{2E02AFAC-475C-46D3-9E84-362286EA9B98}" name="status pending"/>
    <customWorkbookView activeSheetId="0" maximized="1" windowHeight="0" windowWidth="0" guid="{D1AD8115-ED37-4382-92BF-77300F085E30}" name="Invoices to Apply"/>
    <customWorkbookView activeSheetId="0" maximized="1" windowHeight="0" windowWidth="0" guid="{00CAE9A0-26A3-4200-8E98-3B6A09AF3AF8}" name="Filter 1"/>
    <customWorkbookView activeSheetId="0" maximized="1" windowHeight="0" windowWidth="0" guid="{92123471-A40A-4476-A386-739D4EE68A39}" name="Paid But Unapplied"/>
  </customWorkbookViews>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C343">
      <text>
        <t xml:space="preserve">@dan</t>
      </text>
    </comment>
  </commentList>
</comments>
</file>

<file path=xl/sharedStrings.xml><?xml version="1.0" encoding="utf-8"?>
<sst xmlns="http://schemas.openxmlformats.org/spreadsheetml/2006/main" count="58690" uniqueCount="2317">
  <si>
    <t>Client</t>
  </si>
  <si>
    <t>Invoice Amount</t>
  </si>
  <si>
    <t>Status</t>
  </si>
  <si>
    <t>Invoice ID</t>
  </si>
  <si>
    <t>Invoice Date</t>
  </si>
  <si>
    <t>Fee</t>
  </si>
  <si>
    <t>Invoice Timing</t>
  </si>
  <si>
    <t>Type</t>
  </si>
  <si>
    <t>Description of Work</t>
  </si>
  <si>
    <t>USD</t>
  </si>
  <si>
    <t>Terms</t>
  </si>
  <si>
    <t>Com.%</t>
  </si>
  <si>
    <t>Due Date</t>
  </si>
  <si>
    <t>Project Amount</t>
  </si>
  <si>
    <t>Notes</t>
  </si>
  <si>
    <t>BW Invoice</t>
  </si>
  <si>
    <t>⛔</t>
  </si>
  <si>
    <t>VRX : Grant Program</t>
  </si>
  <si>
    <t>Paid</t>
  </si>
  <si>
    <t>50% Deposit Prepaid
50% Final</t>
  </si>
  <si>
    <t>Configurator
SEO Strategy
PPC Setup
1000 Dollars PPC Spend</t>
  </si>
  <si>
    <t>CAD</t>
  </si>
  <si>
    <t>Rama Meditation Society : Website</t>
  </si>
  <si>
    <t>US1173</t>
  </si>
  <si>
    <t>1000 Dollar Deposit</t>
  </si>
  <si>
    <t>Build Website</t>
  </si>
  <si>
    <t>Crisp Media : Grant Program</t>
  </si>
  <si>
    <t>Mid Month</t>
  </si>
  <si>
    <t>50% Deposit on SEO</t>
  </si>
  <si>
    <t>SEO</t>
  </si>
  <si>
    <t>Food Love Club : SEO Audit</t>
  </si>
  <si>
    <t>50% Deposit</t>
  </si>
  <si>
    <t>SEO review</t>
  </si>
  <si>
    <t>The Academy : Website</t>
  </si>
  <si>
    <t>US1193</t>
  </si>
  <si>
    <t>1/3 Deposit</t>
  </si>
  <si>
    <t>Website Rebuild</t>
  </si>
  <si>
    <t>Joel Kohm : Website</t>
  </si>
  <si>
    <t>SEO &amp; monthly online marketing support including Google Shopping, Google Search, Facebook ads as needed, Bing Places &amp; multi-location listing support.</t>
  </si>
  <si>
    <t>Allsalt : SEO Review</t>
  </si>
  <si>
    <t>Loco BC : Survey</t>
  </si>
  <si>
    <t>Build Survey and Infographic</t>
  </si>
  <si>
    <t>Hastings House : Monthly Services</t>
  </si>
  <si>
    <t>Monthly Digital Marketing engagement</t>
  </si>
  <si>
    <t>$225.50 in commission already paid in September</t>
  </si>
  <si>
    <t>50% Final Payment</t>
  </si>
  <si>
    <t>Arazy Group : SEO Audit</t>
  </si>
  <si>
    <t>Cancelled</t>
  </si>
  <si>
    <t>Full Amount</t>
  </si>
  <si>
    <t>Digital advertising management, optimization &amp; reporting for October</t>
  </si>
  <si>
    <t>PMDI : Monthly Services</t>
  </si>
  <si>
    <t>Month End</t>
  </si>
  <si>
    <t>Monthly</t>
  </si>
  <si>
    <t>Monthly advertising mangement, optimization and reporting</t>
  </si>
  <si>
    <t>Availed Technologies : Monthly Services</t>
  </si>
  <si>
    <t>Monthly SEO and Google Ads work</t>
  </si>
  <si>
    <t>SEO, First Month SEO</t>
  </si>
  <si>
    <t>$69.85 transaction fee paid in August</t>
  </si>
  <si>
    <t>Bratopia : Monthly Services</t>
  </si>
  <si>
    <t>$900 - Monthly SEO activities (after 5% annual discount)
$650 - Management, monitoring, optimization and reporting for Google Ads campaigns</t>
  </si>
  <si>
    <t>Athlone Golf &amp; Sports : Website</t>
  </si>
  <si>
    <t>WordPress Website rebuild.</t>
  </si>
  <si>
    <t>Tofino Resort + Marina : Monthly Services</t>
  </si>
  <si>
    <t xml:space="preserve">Monthly digital marketing services including reporting/analytics work, advertising, etc </t>
  </si>
  <si>
    <t>Life UNPacked : Monthly Services</t>
  </si>
  <si>
    <t>Monthly Google ads management, monitoring, optimization and monthly reporting.</t>
  </si>
  <si>
    <t>Viridian : Monthly Services</t>
  </si>
  <si>
    <t>Monthly advertising management, experimentation, monitoring, optimization and reporting.</t>
  </si>
  <si>
    <t>Arazy Group : Monthly Services</t>
  </si>
  <si>
    <t>Monthly Google Adwords monitoring, management, optimization and reporting.</t>
  </si>
  <si>
    <t>Ideon : Website</t>
  </si>
  <si>
    <t>McAllister Marketing : FTS Support Section</t>
  </si>
  <si>
    <t>Build Support Section of FTS Site</t>
  </si>
  <si>
    <t>Wallack's Art Supplies : Monthly Services</t>
  </si>
  <si>
    <t xml:space="preserve">Monthly Google Search &amp; Shopping ad management, optimization and reporting </t>
  </si>
  <si>
    <t>Prime Engineering : Monthly Services</t>
  </si>
  <si>
    <t>Monthly monitoring, optimization and reporting for Google Search and Display Ads.</t>
  </si>
  <si>
    <t>AbodeZero : Monthly Services</t>
  </si>
  <si>
    <t>Online ads management, optimization and reporting</t>
  </si>
  <si>
    <t>Hey Blinds : Monthly Services</t>
  </si>
  <si>
    <t>Monthly monitoring, optimization and reporting for Search Ads</t>
  </si>
  <si>
    <t>Monk : Monthly Services</t>
  </si>
  <si>
    <t>HSJ Lawyers : Monthly Services</t>
  </si>
  <si>
    <t>Monthly SEO activities</t>
  </si>
  <si>
    <t>Diversified Health : Monthly Services</t>
  </si>
  <si>
    <t xml:space="preserve">Monthly online marketing services including online advertising management/optimization, tech support, tracking, reports etc. Includes addition of SEO activities. </t>
  </si>
  <si>
    <t>Giga Tires : Monthly Services</t>
  </si>
  <si>
    <t xml:space="preserve">Adwords monitoring, optimization and reporting services. </t>
  </si>
  <si>
    <t>MortgagePal : Monthly Services</t>
  </si>
  <si>
    <t>Monthly PPC Management, campaign creation &amp; optimization + Website Support</t>
  </si>
  <si>
    <t>Red Seal : Monthly Services</t>
  </si>
  <si>
    <t>General Support as needed</t>
  </si>
  <si>
    <t>Spraggs : Monthly Services</t>
  </si>
  <si>
    <t>Ongoing Marketing including advertising optimization/expansion/monitoring, blog content, blog promotion, SEO, newsletter, reporting, etc.</t>
  </si>
  <si>
    <t>BookKing : Monthly Services</t>
  </si>
  <si>
    <t>Blended Google Ads + SEO engagement</t>
  </si>
  <si>
    <t>Aware360 : Monthly Services</t>
  </si>
  <si>
    <t>Service First : Monthly Services</t>
  </si>
  <si>
    <t>Expanded advertising engagement including FB.</t>
  </si>
  <si>
    <t>Booginhead : Monthly Services</t>
  </si>
  <si>
    <t>US1229</t>
  </si>
  <si>
    <t>Monthly SEO, PPC &amp; Technical Marketing Engagement</t>
  </si>
  <si>
    <t>OA Region 6 : Monthly Services</t>
  </si>
  <si>
    <t>US1230</t>
  </si>
  <si>
    <t>Monthly Google Ads Management, monitoring, optimization and monthly reporting.</t>
  </si>
  <si>
    <t>Rama Meditation Society : Premium Hosting + Support</t>
  </si>
  <si>
    <t>US1231</t>
  </si>
  <si>
    <t>50% Remaining Final Payment</t>
  </si>
  <si>
    <t>Shopify : Partner Payment</t>
  </si>
  <si>
    <t>US1232</t>
  </si>
  <si>
    <t>As Needed</t>
  </si>
  <si>
    <t>Partner commissions</t>
  </si>
  <si>
    <t>Tires Easy : Monthly Services for Tires-Easy.com</t>
  </si>
  <si>
    <t>US1233</t>
  </si>
  <si>
    <t xml:space="preserve">Google ads management, optimization and reporting. </t>
  </si>
  <si>
    <t>Tuscany : Monthly Services</t>
  </si>
  <si>
    <t>US1234</t>
  </si>
  <si>
    <t>Monthly SEO, Advertising &amp; Content engagement</t>
  </si>
  <si>
    <t>Venetian : Monthly Services</t>
  </si>
  <si>
    <t>US1235</t>
  </si>
  <si>
    <t>Community Financials : Monthly Services</t>
  </si>
  <si>
    <t>US1237</t>
  </si>
  <si>
    <t xml:space="preserve">Monthly Google Ads optimization, monitoring &amp; reporting. </t>
  </si>
  <si>
    <t>TisBest : Monthly Services</t>
  </si>
  <si>
    <t>US1238</t>
  </si>
  <si>
    <t>Month Start</t>
  </si>
  <si>
    <t>Monthly Web Marketing Support and Activities</t>
  </si>
  <si>
    <t>US1239</t>
  </si>
  <si>
    <t xml:space="preserve">1/3 Second Payment
</t>
  </si>
  <si>
    <t>Advisicon : Maintance &amp; Speed Optimization</t>
  </si>
  <si>
    <t>US1240</t>
  </si>
  <si>
    <t xml:space="preserve">Web Maintenance &amp; Speed Optimization		</t>
  </si>
  <si>
    <t>Sept 2021</t>
  </si>
  <si>
    <t>US1211</t>
  </si>
  <si>
    <t>50% Remaining Second Payment</t>
  </si>
  <si>
    <t>VADARTS : Website</t>
  </si>
  <si>
    <t>Rebuild website</t>
  </si>
  <si>
    <t>UnityWest Capital : Scryb 3 Month PPC</t>
  </si>
  <si>
    <t>Relay Medical lead generation and awareness work: Google Ads</t>
  </si>
  <si>
    <t>SEO &amp; monthly online marketing support including Google Shopping, Google Search, Facebook ads as needed, Bing Places &amp; multi-location listing support.
Added 750 for content writing</t>
  </si>
  <si>
    <t>This isn't done, but Joel hasn't been responding. He is required to give us some notes so Emma can write content. The site is technically done though. Must have been some communication error with Rob. This was invoiced and paid at the end of November.</t>
  </si>
  <si>
    <t>Starfish Medical : 5 Hour Support Block</t>
  </si>
  <si>
    <t>Prepaid</t>
  </si>
  <si>
    <t>5 hour block of WordPress web development time with no minimum time per task.</t>
  </si>
  <si>
    <t>Allsalt : Monthly Services</t>
  </si>
  <si>
    <t>Google Ads Overhaul and first month monitoring, maintenance &amp; reporting</t>
  </si>
  <si>
    <t>$900 - Monthly SEO activities (after 5% annual discount)
$650 - Management, monitoring, optimization and reporting for Google Ads campaigns
$800 - Website theme re-build.</t>
  </si>
  <si>
    <t>BookKing (Pacific Tier) : Monthly Services</t>
  </si>
  <si>
    <t>Ideon : 5 Hour Support Block</t>
  </si>
  <si>
    <t>Beacon Law : 5 Hour Support Block</t>
  </si>
  <si>
    <t>No work in December</t>
  </si>
  <si>
    <t>Olivia Shoppe : Monthly Services</t>
  </si>
  <si>
    <t>US1236</t>
  </si>
  <si>
    <t>US1241</t>
  </si>
  <si>
    <t>Monthly Hosting and Support.</t>
  </si>
  <si>
    <t>for november</t>
  </si>
  <si>
    <t>Technology Rivers : Monthly Services</t>
  </si>
  <si>
    <t>US1242</t>
  </si>
  <si>
    <t>Monthly Google ads monitoring, optimization and reporting.</t>
  </si>
  <si>
    <t>C360 : C360 Site Review</t>
  </si>
  <si>
    <t>US1243</t>
  </si>
  <si>
    <t>C360 Online Presence Review, keyword research, competitive research, keyword strategy guidance, drafting of meta titles/descriptions, guidance on SEO activities.</t>
  </si>
  <si>
    <t>C360 : Grasshopper Farms Site Review</t>
  </si>
  <si>
    <t>US1244</t>
  </si>
  <si>
    <t>US1245</t>
  </si>
  <si>
    <t>US1246</t>
  </si>
  <si>
    <t>OA Region 6 : Website</t>
  </si>
  <si>
    <t>US1247</t>
  </si>
  <si>
    <t>WordPress technical rebuild with design updates.</t>
  </si>
  <si>
    <t>US1248</t>
  </si>
  <si>
    <t>US1249</t>
  </si>
  <si>
    <t>US1250</t>
  </si>
  <si>
    <t>US1251</t>
  </si>
  <si>
    <t>US1252</t>
  </si>
  <si>
    <t>US1253</t>
  </si>
  <si>
    <t>US1254</t>
  </si>
  <si>
    <t>for december</t>
  </si>
  <si>
    <t>Frank &amp; Ellis : Online Presence Review + PPC Setup</t>
  </si>
  <si>
    <t>US1259</t>
  </si>
  <si>
    <t>$1200 - Digital Presence Review &amp; Report
$895 - Google Ad setup &amp; first month management.</t>
  </si>
  <si>
    <t>Advisicon : Premium Hosting</t>
  </si>
  <si>
    <t>US1260</t>
  </si>
  <si>
    <t>Year End</t>
  </si>
  <si>
    <t>Yearly (Advance)</t>
  </si>
  <si>
    <t>WordPress website Hosting, backups, plugin updates (@ $120 rate discounted to reflect bundling with maintenance package).</t>
  </si>
  <si>
    <t>US1261</t>
  </si>
  <si>
    <t>US1262</t>
  </si>
  <si>
    <t>US1264</t>
  </si>
  <si>
    <t>US1265</t>
  </si>
  <si>
    <t>Advisicon : Case Study Project</t>
  </si>
  <si>
    <t>US1266</t>
  </si>
  <si>
    <t>Build the case study section of the site - $950
Theme Upgrade - $70</t>
  </si>
  <si>
    <t>US1268</t>
  </si>
  <si>
    <t>US1270</t>
  </si>
  <si>
    <t>US1307</t>
  </si>
  <si>
    <t>Milestone Payments</t>
  </si>
  <si>
    <t>50% Deposit
50% Final Payment</t>
  </si>
  <si>
    <t>50% final payment ($50% of $1200) for Digital Presence Review &amp; Report. 50% final payment (50% of $895) for Google Ad setup &amp; first month management.</t>
  </si>
  <si>
    <t>Extra</t>
  </si>
  <si>
    <t>extra for content writing</t>
  </si>
  <si>
    <t/>
  </si>
  <si>
    <t>US1269</t>
  </si>
  <si>
    <t>1/3 Final Payment</t>
  </si>
  <si>
    <t>C360 : SEO Implementation</t>
  </si>
  <si>
    <t>US1271</t>
  </si>
  <si>
    <t>Website Updates, Business Listing Optimization, Blog setup - 50% deposit</t>
  </si>
  <si>
    <t>US1308</t>
  </si>
  <si>
    <t>Website Updates, Business Listing Optimization, Blog setup - 50% final payment</t>
  </si>
  <si>
    <t>Bateman Foundation : 5 Hour Support Block</t>
  </si>
  <si>
    <t>When Ready</t>
  </si>
  <si>
    <t>One-Time (Advance)</t>
  </si>
  <si>
    <t>US1276</t>
  </si>
  <si>
    <t>US1275</t>
  </si>
  <si>
    <t>US1278</t>
  </si>
  <si>
    <t>January</t>
  </si>
  <si>
    <t>Monthly online marketing services including PPC support, tech support, calls, reporting.</t>
  </si>
  <si>
    <t>US1272</t>
  </si>
  <si>
    <t>US1277</t>
  </si>
  <si>
    <t>Monthly Web Marketing Support and Activities &amp; CharityGiftCards.com December Ads optimization</t>
  </si>
  <si>
    <t>US1273</t>
  </si>
  <si>
    <t>US1274</t>
  </si>
  <si>
    <t>Crisp Media : Aspect Engineers Review</t>
  </si>
  <si>
    <t>Aspect Engineering SEO and Web Presence Review</t>
  </si>
  <si>
    <t>Anook Athletics : Monthly Services</t>
  </si>
  <si>
    <t>First Month Google Ads optimization, monitoring &amp; reporting</t>
  </si>
  <si>
    <t>New Growth Ecommerce Inc : Monthly Services</t>
  </si>
  <si>
    <t>Additional first month work towards Google Ads engagement for Native Path</t>
  </si>
  <si>
    <t>The Academy : Premium Hosting</t>
  </si>
  <si>
    <t>US1279</t>
  </si>
  <si>
    <t>Flywheel hosting including ssl, backups, CDN, dashboard access, and live-chat support, regular plugin updates.</t>
  </si>
  <si>
    <t>11 months of hosting (from Feb 1 to Dec 31)</t>
  </si>
  <si>
    <t>The Academy : 5 Hour Support Block</t>
  </si>
  <si>
    <t>Customer First Design : Emotionality Website + Hosting for 2022</t>
  </si>
  <si>
    <t>Rebuild Emotionality website in Wordpress and host on Flywheel until end of 2022.</t>
  </si>
  <si>
    <t>Don't send invoice. email receipt once auto-payment has been processed.</t>
  </si>
  <si>
    <t>US1281</t>
  </si>
  <si>
    <t>US1282</t>
  </si>
  <si>
    <t>US1283</t>
  </si>
  <si>
    <t>Google Ads engagement for Native Path</t>
  </si>
  <si>
    <t>ColdStar : Website Rebuild</t>
  </si>
  <si>
    <t>Rebuild website in modern theme</t>
  </si>
  <si>
    <t>ColdStar : Basic Hosting</t>
  </si>
  <si>
    <t>Yearly Flywheel hosting - pro-rated for 11 months</t>
  </si>
  <si>
    <t>covers Jan 18-Dec 31</t>
  </si>
  <si>
    <t>PMDI : Website Update Project</t>
  </si>
  <si>
    <t>Update the catalogue feature on the PMDI website and launch the new version</t>
  </si>
  <si>
    <t>Argos Products : Monthly Services</t>
  </si>
  <si>
    <t>Google Ads optimization, monitoring &amp; reporting</t>
  </si>
  <si>
    <t>Sacred Deathcare : Digital Presence Review &amp; Report</t>
  </si>
  <si>
    <t>Website presence, SEO &amp; tech review.</t>
  </si>
  <si>
    <t>50% final payment on Website presence, SEO &amp; tech review.</t>
  </si>
  <si>
    <t>Athlone Golf &amp; Sports : PPC Setup</t>
  </si>
  <si>
    <t>One-Time</t>
  </si>
  <si>
    <t>Setup Google Ads and run a $500 test for one month</t>
  </si>
  <si>
    <t>Customer First Design : Garibaldi Website</t>
  </si>
  <si>
    <t>US1280</t>
  </si>
  <si>
    <t>Build website and ecommerce for Garibaldi Publishing</t>
  </si>
  <si>
    <t>Quarterly</t>
  </si>
  <si>
    <t>Quarterly Google Ads Review &amp; Optimization</t>
  </si>
  <si>
    <t>Maple Leaf Adventures : 10 Hour Support Block</t>
  </si>
  <si>
    <t>10 hour block of WordPress web development time with no minimum time per task.</t>
  </si>
  <si>
    <t>Dueplex : PPC Setup</t>
  </si>
  <si>
    <t>US1284</t>
  </si>
  <si>
    <t>Google Ads setup with 3 ad groups
LinkedIn Ads setup with 3 industry targets
Analytics setup
Monitoring and one month end report</t>
  </si>
  <si>
    <t>Arazy Group : Other Projects</t>
  </si>
  <si>
    <t>Calendly Integration on website ($200)
Quick conversion review of website including rough formatted doc with findings and clear action items ($650)</t>
  </si>
  <si>
    <t>US1285</t>
  </si>
  <si>
    <t>Monthly monitoring, optimization and reporting for Search Ads (reduced rate for final month - January 2022)</t>
  </si>
  <si>
    <t>US1286</t>
  </si>
  <si>
    <t>US1287</t>
  </si>
  <si>
    <t>US1288</t>
  </si>
  <si>
    <t>US1289</t>
  </si>
  <si>
    <t>US1290</t>
  </si>
  <si>
    <t>US1291</t>
  </si>
  <si>
    <t>$3000 Deposit
$4000 Final Payment</t>
  </si>
  <si>
    <t>Final Payment
Relay Medical lead generation and awareness work: Google Ads</t>
  </si>
  <si>
    <t>TisBest : Hosting</t>
  </si>
  <si>
    <t>US1303</t>
  </si>
  <si>
    <t>Flywheel hosting from Feb - Dec 2022</t>
  </si>
  <si>
    <t>Tugwell : 6 Month PPC</t>
  </si>
  <si>
    <t>Monthly (Advance)</t>
  </si>
  <si>
    <t>Competitor &amp; keyword research, setup of account, campaigns,
reporting, Shopify integration, etc:
click spend</t>
  </si>
  <si>
    <t xml:space="preserve">Monthly </t>
  </si>
  <si>
    <t>Final payment for first month setup ($1000) plus first $1000 in click fees.</t>
  </si>
  <si>
    <t>Monthly PPC monitoring, optimization &amp; reporting + click costs up to and including September 2022.</t>
  </si>
  <si>
    <t xml:space="preserve">Monthly PPC monitoring, optimization &amp; reporting + click costs.
</t>
  </si>
  <si>
    <t>French Postcard ad charges billed to PlusROI Mastercard.</t>
  </si>
  <si>
    <t>US1292</t>
  </si>
  <si>
    <t>$500 Monthly Google ads monitoring, optimization and reporting.
$900 for first landing page wireframing and development</t>
  </si>
  <si>
    <t>IMBA Medical : PPC Setup</t>
  </si>
  <si>
    <t>50% Deposit
50% Final</t>
  </si>
  <si>
    <t>50% Deposit
Linkedin Advertising setup
Google Search advertising setup and reporting
Google Analtyics setup</t>
  </si>
  <si>
    <t>Final Payment
Linkedin Advertising setup
Google Search advertising setup and reporting
Google Analtyics setup</t>
  </si>
  <si>
    <t>US1293</t>
  </si>
  <si>
    <t>Monthly advertising management, experimentation, monitoring, optimization, ad hoc support and reporting.</t>
  </si>
  <si>
    <t>Google Ads engagement for Native Path - February 2022</t>
  </si>
  <si>
    <t>C360 : Victory360</t>
  </si>
  <si>
    <t>US1294</t>
  </si>
  <si>
    <t>Month 1 of 3 of SEO Implementation ($1000/mo)
Google ($500) and LinkedIn Ads ($500)
Ad Account Setup ($500)</t>
  </si>
  <si>
    <t>C360 : Guntry Baseline SEO</t>
  </si>
  <si>
    <t>US1295</t>
  </si>
  <si>
    <t>Establish baseline SEO through review, planning, and implementation where possible over the course of 3 months  (month 1 of 3)</t>
  </si>
  <si>
    <t>Frank &amp; Ellis : Website Rebuild</t>
  </si>
  <si>
    <t>US1297</t>
  </si>
  <si>
    <t>Rebuild website in modern wordpress and move to flywheel hosting</t>
  </si>
  <si>
    <t>Flywheel : Partnership Payment</t>
  </si>
  <si>
    <t>US1296</t>
  </si>
  <si>
    <t>Commision Payout</t>
  </si>
  <si>
    <t>US1322</t>
  </si>
  <si>
    <t>Monthly (3 Months)</t>
  </si>
  <si>
    <t>Establish baseline SEO through review, planning, and implementation where possible over the course of 3 months  (month 3 of 3)</t>
  </si>
  <si>
    <t>Crisp Media : WRKOUT PPC</t>
  </si>
  <si>
    <t>Complete review and overhaul of Google Ads. Checkins and optimization throughout the month of March. First Monthly summary (to arrive first week of April)</t>
  </si>
  <si>
    <t>Measurand : Initial SEO, PPC &amp; Website Work</t>
  </si>
  <si>
    <r>
      <rPr>
        <rFont val="Arial"/>
        <b/>
        <color theme="1"/>
      </rPr>
      <t>50% deposit invoice</t>
    </r>
    <r>
      <rPr>
        <rFont val="Arial"/>
        <color theme="1"/>
      </rPr>
      <t xml:space="preserve"> for Measurand, Web Presence, SEO &amp; Competitor Analysis, Pardot/SF form integration, Speed Optimization, Tracking Overhaul, High Level Google Ads Audit.</t>
    </r>
  </si>
  <si>
    <r>
      <rPr>
        <rFont val="Arial"/>
        <b/>
        <color theme="1"/>
      </rPr>
      <t>50% final payment invoice</t>
    </r>
    <r>
      <rPr>
        <rFont val="Arial"/>
        <color theme="1"/>
      </rPr>
      <t xml:space="preserve"> for Measurand, Web Presence, SEO &amp; Competitor Analysis, Pardot/SF form integration, Speed Optimization, Tracking Overhaul, High Level Google Ads Audit.</t>
    </r>
  </si>
  <si>
    <t>US1298</t>
  </si>
  <si>
    <t>US1299</t>
  </si>
  <si>
    <t>Monthly Google Ads optimization, monitoring &amp; reporting ($400). Monthly SEO Work ($1100). Website updates (extra project - $1500).</t>
  </si>
  <si>
    <t>US1300</t>
  </si>
  <si>
    <t>US1301</t>
  </si>
  <si>
    <r>
      <rPr/>
      <t xml:space="preserve">Tires Easy : Monthly Services for </t>
    </r>
    <r>
      <rPr>
        <color rgb="FF1155CC"/>
        <u/>
      </rPr>
      <t>Tires-Easy.com</t>
    </r>
  </si>
  <si>
    <t>US1302</t>
  </si>
  <si>
    <t>Monthly Web Marketing Support and Activities for CURRENT MONTH</t>
  </si>
  <si>
    <t>US1304</t>
  </si>
  <si>
    <t>US1305</t>
  </si>
  <si>
    <t>Canyon's Construction : Web Presence &amp; SEO Project</t>
  </si>
  <si>
    <t>US1306</t>
  </si>
  <si>
    <t>50% deposit (50% of $2000) for Web Presence &amp; SEO audit, competitor review, keyword research &amp; prioritzed list of action items.</t>
  </si>
  <si>
    <t>US1325</t>
  </si>
  <si>
    <t>Final 50% (50% of $2000) for Web Presence &amp; SEO audit, competitor review, keyword research &amp; prioritzed list of action items.</t>
  </si>
  <si>
    <t>Analytics Overhaul</t>
  </si>
  <si>
    <t>US1309</t>
  </si>
  <si>
    <t>50% first invoice ($1250 of $2500): Implementation of items identified in SEO review including:
- business listings optimization
- copy review and edits (as approved)
NOTE: amended to include Initial PPC planning/media buying</t>
  </si>
  <si>
    <t>Bratopia : Google click costs for French Postcard</t>
  </si>
  <si>
    <t>$178.20 billthrough - ADD TO REGULAR INVOICE</t>
  </si>
  <si>
    <t>US1312</t>
  </si>
  <si>
    <t>US1313</t>
  </si>
  <si>
    <t>US1314</t>
  </si>
  <si>
    <t>Google Ads engagement for Native Path - March 2022</t>
  </si>
  <si>
    <t>US1310</t>
  </si>
  <si>
    <t xml:space="preserve">- Month 2 of 3 of SEO Implementation ($1000/mo)
- Google ($500) and LinkedIn Ads ($500)
</t>
  </si>
  <si>
    <t>US1311</t>
  </si>
  <si>
    <t>3 month SEO implementation project (month 2 of 3)</t>
  </si>
  <si>
    <t>PPC monthly checkings and optimization + month end report</t>
  </si>
  <si>
    <t>US1324</t>
  </si>
  <si>
    <t>50% final invoice ($1250 of $2500): Implementation of items identified in SEO review including:
- business listings optimization
- copy review and edits (as approved)
NOTE: amended to include Initial PPC planning/media buying</t>
  </si>
  <si>
    <t>Howard Fine Jewellers : Howard SEO Review &amp; Recommendations</t>
  </si>
  <si>
    <t>50% deposit ($750 of $1500) for keyword research, drafting of SEO Matrix, initial on-site recommendations, web presense &amp; SEO review &amp; recommendations.</t>
  </si>
  <si>
    <t>50% final payment ($750 of $1500) for keyword research, drafting of SEO Matrix, initial on-site recommendations, web presense &amp; SEO review &amp; recommendations.</t>
  </si>
  <si>
    <t>CAAT Canada : Website Rebuild</t>
  </si>
  <si>
    <t>Rebuild website in modern theme including general odernization of design and backend.</t>
  </si>
  <si>
    <t>Sacred Deathcare : Ongoing SEO Projects</t>
  </si>
  <si>
    <t>$300 - set up and optimize Google Business Profile
$400 - Google Analytics overhaul based on current site (but planning for future migration)</t>
  </si>
  <si>
    <t>UnityWest Capital : Jericho Energy Ventures 6 month project</t>
  </si>
  <si>
    <t>Implementation of Digistox PPC plan for Jericho Energy Ventures.</t>
  </si>
  <si>
    <t>Crisp Media : Genus Capital Managment Support</t>
  </si>
  <si>
    <t>- set up demio tag manager and send instuctions for how to do so on future webinars
- track webinar registration with events
- set up cross domain tracking for demio</t>
  </si>
  <si>
    <t>Anook Athletics : Website Updates</t>
  </si>
  <si>
    <t>On hold until confirmation or update</t>
  </si>
  <si>
    <t>Address various website changes resulting from design conversation with Alethea and clarified through email ahead of this project</t>
  </si>
  <si>
    <t>Connect paypal into the website and create autoresponders</t>
  </si>
  <si>
    <t>Blended Google Ads + SEO engagement for the month of March.</t>
  </si>
  <si>
    <t>US1321</t>
  </si>
  <si>
    <t xml:space="preserve">Monthly Google Ads optimization, monitoring &amp; reporting ($400). Monthly SEO Work ($1100). </t>
  </si>
  <si>
    <t>US1315</t>
  </si>
  <si>
    <t>US1316</t>
  </si>
  <si>
    <r>
      <rPr/>
      <t xml:space="preserve">Tires Easy : Monthly Services for </t>
    </r>
    <r>
      <rPr>
        <color rgb="FF1155CC"/>
        <u/>
      </rPr>
      <t>Tires-Easy.com</t>
    </r>
  </si>
  <si>
    <t>US1317</t>
  </si>
  <si>
    <t>US1318</t>
  </si>
  <si>
    <t>Monthly Web Marketing Support and Activities for CURRENT MONTH.
PPC : 900
Content / SEO including meetings, planning, reporting, etc : 2600
Website Updates : 1000</t>
  </si>
  <si>
    <t>US1319</t>
  </si>
  <si>
    <t>US1320</t>
  </si>
  <si>
    <t>Waypoint : Website Updates</t>
  </si>
  <si>
    <t>New Homepage, New landing page for victoria, multistep form, and a/b test</t>
  </si>
  <si>
    <t>Missed in the month end invoicing so not sent until Apr 5, 2022</t>
  </si>
  <si>
    <r>
      <rPr/>
      <t xml:space="preserve">Update current Arazy website according to details set out under the "current site" heading in this googledoc as of April 5 </t>
    </r>
    <r>
      <rPr>
        <color rgb="FF1155CC"/>
        <u/>
      </rPr>
      <t>https://docs.google.com/document/d/1_il1upKG6rI5heQkY0uwg8UpEOmNbD-tNPsTI7-JN_0/edit.</t>
    </r>
    <r>
      <rPr/>
      <t xml:space="preserve"> Also create a new website design and build the new site framework in a subfolder of </t>
    </r>
    <r>
      <rPr>
        <color rgb="FF1155CC"/>
        <u/>
      </rPr>
      <t>arazygroup.com</t>
    </r>
    <r>
      <rPr/>
      <t>. Build new landing pages, a new contact page, and a new general page which could represent a replacement for the home page when the full site is migrated to the new theme.</t>
    </r>
  </si>
  <si>
    <t>50% Deposit 50% Final</t>
  </si>
  <si>
    <r>
      <rPr/>
      <t xml:space="preserve">Final 50% payment on the following project: Update current Arazy website according to details set out under the "current site" heading in this googledoc as of April 5 </t>
    </r>
    <r>
      <rPr>
        <color rgb="FF1155CC"/>
        <u/>
      </rPr>
      <t>https://docs.google.com/document/d/1_il1upKG6rI5heQkY0uwg8UpEOmNbD-tNPsTI7-JN_0/edit.</t>
    </r>
    <r>
      <rPr/>
      <t xml:space="preserve"> Also create a new website design and build the new site framework in a subfolder of </t>
    </r>
    <r>
      <rPr>
        <color rgb="FF1155CC"/>
        <u/>
      </rPr>
      <t>arazygroup.com</t>
    </r>
    <r>
      <rPr/>
      <t>. Build new landing pages, a new contact page, and a new general page which could represent a replacement for the home page when the full site is migrated to the new theme.</t>
    </r>
  </si>
  <si>
    <t>US1326</t>
  </si>
  <si>
    <t>US1323</t>
  </si>
  <si>
    <t xml:space="preserve">- Month 3 of 3 of SEO Implementation ($1000/mo)
- Google ($500) </t>
  </si>
  <si>
    <t>Google Ads engagement for Native Path - April 2022</t>
  </si>
  <si>
    <t>US1327</t>
  </si>
  <si>
    <t>US1328</t>
  </si>
  <si>
    <t>Canyon's Construction : Website Project</t>
  </si>
  <si>
    <t>US1329</t>
  </si>
  <si>
    <t>Rebuild website, write and implement SEO Matrix,  racking overhaul, rewrite home, services, and contact page</t>
  </si>
  <si>
    <t>US1343</t>
  </si>
  <si>
    <t>Final Payment
Rebuild website, write and implement SEO Matrix,  racking overhaul, rewrite home, services, and contact page</t>
  </si>
  <si>
    <t>VADARTS : Website Support Project</t>
  </si>
  <si>
    <t xml:space="preserve">One-Time </t>
  </si>
  <si>
    <t>build autoresponders and integrate paypal</t>
  </si>
  <si>
    <t>US1330</t>
  </si>
  <si>
    <t>Advisicon : Quarterly Website Maintenance Support</t>
  </si>
  <si>
    <t>US1331</t>
  </si>
  <si>
    <t>Quarterly Website Maintenance Support - May-July (Prepaid)</t>
  </si>
  <si>
    <t>Blended Google Ads + SEO engagement for the month of April.</t>
  </si>
  <si>
    <t>US1332</t>
  </si>
  <si>
    <t>US1333</t>
  </si>
  <si>
    <t>Monthly advertising management, optimization and reporting.</t>
  </si>
  <si>
    <t>US1338</t>
  </si>
  <si>
    <r>
      <rPr/>
      <t xml:space="preserve">Tires Easy : Monthly Services for </t>
    </r>
    <r>
      <rPr>
        <color rgb="FF1155CC"/>
        <u/>
      </rPr>
      <t>Tires-Easy.com</t>
    </r>
  </si>
  <si>
    <t>US1334</t>
  </si>
  <si>
    <t>US1335</t>
  </si>
  <si>
    <t>Monthly Web Marketing Support and Activities for April.
PPC : 900
Content / SEO including meetings, planning, reporting, etc : 2600
Website Updates : 1000</t>
  </si>
  <si>
    <t>FIKSE Wheels : Google Search Ads</t>
  </si>
  <si>
    <t>Deposit invoice ($510 of $1020) for Google Ads research &amp; setup, plus first month optimization, monitoring and reporting.</t>
  </si>
  <si>
    <t>True Bijoux : Web Presence Review &amp; Recommendations</t>
  </si>
  <si>
    <t>Deposit invoice ($750 of $1500) for Web presence review including SEO, conversion and technical suggestions in the form of a written report &amp; prioritized recommendations. Also include high level Google Ads review.</t>
  </si>
  <si>
    <t>Final invoice ($510 of $1020) for Google Ads research &amp; setup, plus first month optimization, monitoring and reporting.</t>
  </si>
  <si>
    <t>Final invoice ($750of $1500) for Web presence review including SEO, conversion and technical suggestions in the form of a written report &amp; prioritized recommendations. Also include high level Google Ads review.</t>
  </si>
  <si>
    <t>US1336</t>
  </si>
  <si>
    <t>US1337</t>
  </si>
  <si>
    <t>Anavara : Website Development</t>
  </si>
  <si>
    <t>Starting Fee
1/3 Deposit
1/3 Second Payment
1/3 Final Payment</t>
  </si>
  <si>
    <r>
      <rPr>
        <rFont val="Arial"/>
        <b/>
        <color theme="1"/>
      </rPr>
      <t>$1500 website mockups including reviewing competitor websites (payable to start project)</t>
    </r>
    <r>
      <rPr>
        <rFont val="Arial"/>
        <color theme="1"/>
      </rPr>
      <t xml:space="preserve">
$3650 deposit on building website based on mockups (payable before starting development of website)
$3650 milestone payment upon completion of staging site (payable after reviewable staging site is available)
$3650 final website completion payment (required prior to launch)
Milestone payment amounts subject to review after mockup phase in case of scope change or other changing circumstances</t>
    </r>
  </si>
  <si>
    <r>
      <rPr>
        <rFont val="Arial"/>
        <color theme="1"/>
      </rPr>
      <t xml:space="preserve">$1500 website mockups including reviewing competitor websites (payable to start project)
</t>
    </r>
    <r>
      <rPr>
        <rFont val="Arial"/>
        <b/>
        <color theme="1"/>
      </rPr>
      <t>$3650 deposit on building website based on mockups (payable before starting development of website)</t>
    </r>
    <r>
      <rPr>
        <rFont val="Arial"/>
        <color theme="1"/>
      </rPr>
      <t xml:space="preserve">
$3650 milestone payment upon completion of staging site (payable after reviewable staging site is available)
$3650 final website completion payment (required prior to launch)
Milestone payment amounts subject to review after mockup phase in case of scope change or other changing circumstances</t>
    </r>
  </si>
  <si>
    <r>
      <rPr>
        <rFont val="Arial"/>
        <color theme="1"/>
      </rPr>
      <t xml:space="preserve">$1500 website mockups including reviewing competitor websites (payable to start project)
$3650 deposit on building website based on mockups (payable before starting development of website)
</t>
    </r>
    <r>
      <rPr>
        <rFont val="Arial"/>
        <b/>
        <color theme="1"/>
      </rPr>
      <t>$3650 milestone payment upon completion of staging site (payable after reviewable staging site is available)</t>
    </r>
    <r>
      <rPr>
        <rFont val="Arial"/>
        <color theme="1"/>
      </rPr>
      <t xml:space="preserve">
$3650 final website completion payment (required prior to launch)
Milestone payment amounts subject to review after mockup phase in case of scope change or other changing circumstances</t>
    </r>
  </si>
  <si>
    <r>
      <rPr>
        <rFont val="Arial"/>
        <color theme="1"/>
      </rPr>
      <t xml:space="preserve">$1500 website mockups including reviewing competitor websites (payable to start project)
$3650 deposit on building website based on mockups (payable before starting development of website)
$3650 milestone payment upon completion of staging site (payable after reviewable staging site is available)
</t>
    </r>
    <r>
      <rPr>
        <rFont val="Arial"/>
        <b/>
        <color theme="1"/>
      </rPr>
      <t>$3650 final website completion payment (required prior to launch)</t>
    </r>
    <r>
      <rPr>
        <rFont val="Arial"/>
        <color theme="1"/>
      </rPr>
      <t xml:space="preserve">
Milestone payment amounts subject to review after mockup phase in case of scope change or other changing circumstances</t>
    </r>
  </si>
  <si>
    <t>Terra Insights : PPC Overhauls and SEO Matrix</t>
  </si>
  <si>
    <t>50% ($3225 of $6450) deposit on Search Marketing Project:- One-Time PPC Overhaul for 3VGeomatics
- One-Time PPC Overhaul for Syscom
- One-Time Optimzation of Account for RST Instruments
- One-Time Optimization of Account for Measurand
- Monitoring and discussions related to all PPC accounts for the month of May
- Month End PPC Report and Recommendations
- SEO Matrix development for 25 most important pages on RST, Measurance, and 3vGeomatics</t>
  </si>
  <si>
    <t xml:space="preserve">
50% Final Payment</t>
  </si>
  <si>
    <t xml:space="preserve">50% ($3225 of $6450) final payment + $750 on Search Marketing Project: One-Time PPC Overhaul for 3VGeomatics
One-Time PPC Overhaul for Syscom
- One-Time Optimzation of Account for RST Instruments
- One-Time Optimization of Account for Measurand
- Monitoring and discussions related to all PPC accounts for the month of May
- Month End PPC Report and Recommendations
- SEO Matrix development for 25 most important pages on RST, Measurance, and 3vGeomatics
- Additional SEO Matrix for 25 most important pages on Syscom
</t>
  </si>
  <si>
    <t>US1339</t>
  </si>
  <si>
    <t>Quarter End</t>
  </si>
  <si>
    <t>Quarterly Website Maintenance Support - Feb to Apr</t>
  </si>
  <si>
    <t>Crisp Media : Genus Capital Managment PPC</t>
  </si>
  <si>
    <t>Setup of PPC campaigns, checkin and management for one month, and month end report and recommendations.</t>
  </si>
  <si>
    <t>US1340</t>
  </si>
  <si>
    <t>Google Ads engagement for Native Path - May 2022</t>
  </si>
  <si>
    <t>US1342</t>
  </si>
  <si>
    <t>US1341</t>
  </si>
  <si>
    <t>CAAT Canada : 5 Hour Support Block</t>
  </si>
  <si>
    <t>5 hours of prepaid web support time for general use.</t>
  </si>
  <si>
    <t>Blended Google Ads + SEO engagement for the month of May.</t>
  </si>
  <si>
    <t>US1344</t>
  </si>
  <si>
    <t>2.5 hours work on trailer tire campaigns, optimization work, reporting, etc for Google Ads account for May.</t>
  </si>
  <si>
    <t>US1345</t>
  </si>
  <si>
    <t>US1346</t>
  </si>
  <si>
    <t>US1351</t>
  </si>
  <si>
    <t>3.5 hours work on trailer tire campaigns, optimization work, reporting, etc for Google Ads account for May.</t>
  </si>
  <si>
    <t>US1347</t>
  </si>
  <si>
    <t>Monthly Web Marketing Support and Activities for May.
PPC : 900
Content / SEO including meetings, planning, reporting, etc : 2600
Website Updates : 1000</t>
  </si>
  <si>
    <t>US1348</t>
  </si>
  <si>
    <t>US1349</t>
  </si>
  <si>
    <t>US1374</t>
  </si>
  <si>
    <t>Pre-Entered</t>
  </si>
  <si>
    <t>Quarterly Website Maintenance Support - Aug to October (Prepaid)</t>
  </si>
  <si>
    <t>US1420</t>
  </si>
  <si>
    <t>Quarterly Website Maintenance Support - Nov 2022 to Jan 2023 (Prepaid)</t>
  </si>
  <si>
    <t>Big Hammer Wines : Google Search and Shopping Overhaul</t>
  </si>
  <si>
    <t>US1350</t>
  </si>
  <si>
    <t>Milestone payments</t>
  </si>
  <si>
    <t>50% of $2100 Google Search and Shopping Ads overhaul as per provided scope</t>
  </si>
  <si>
    <t>US1370</t>
  </si>
  <si>
    <t>50% final payment ($1050of $2100) for Google Search and Shopping Ads overhaul as per provided scope</t>
  </si>
  <si>
    <t>Saanich Peninsula Chamber of Commerce : Website Staging</t>
  </si>
  <si>
    <t>Setup staging environment for new website and do a 2 hour training session to learn how to use it</t>
  </si>
  <si>
    <t>One-Time Prepaid</t>
  </si>
  <si>
    <t>5 hour block of prepaid general support.</t>
  </si>
  <si>
    <t>US1352</t>
  </si>
  <si>
    <t>Google Ads engagement for Native Path - June 2022</t>
  </si>
  <si>
    <t>US1353</t>
  </si>
  <si>
    <t>US1354</t>
  </si>
  <si>
    <t>FIKSE Wheels : Google Ongoing Monthly Search Ad Work</t>
  </si>
  <si>
    <t>Monthly PPC Management and report</t>
  </si>
  <si>
    <t>Canyon's Construction : Enhanced Hosting &amp; WordPress Support</t>
  </si>
  <si>
    <t>US1355</t>
  </si>
  <si>
    <t>Enhanced Hosting &amp; WordPress Support</t>
  </si>
  <si>
    <t>Moloco : Initial Streamlined Search Ad Setup</t>
  </si>
  <si>
    <t>US1356</t>
  </si>
  <si>
    <t xml:space="preserve">50% Deposit Prepaid
</t>
  </si>
  <si>
    <t>50% deposit ($345 of $690) for Streamlined setup of initial Search Campaign, first month monitoring, optimization and reporting.</t>
  </si>
  <si>
    <t>US1375</t>
  </si>
  <si>
    <t>50% final payment ($345 of $690) for Streamlined setup of initial Search Campaign, first month monitoring, optimization and reporting.</t>
  </si>
  <si>
    <t>Maka Health : Quick Site</t>
  </si>
  <si>
    <t>Build website homepage with custom UI</t>
  </si>
  <si>
    <t>C360 : Johns Hopkins University PPC Setup</t>
  </si>
  <si>
    <t>US1359</t>
  </si>
  <si>
    <t>Setup of Google and Facebook Campaigns, including Google Analytics tracking for Johns Hopkins University.</t>
  </si>
  <si>
    <t>C360 : Johns Hopkins University PPC Management</t>
  </si>
  <si>
    <t>US1376</t>
  </si>
  <si>
    <t>Management of Google and Facebook campaigns for Johns Hopkins University.</t>
  </si>
  <si>
    <t>US1391</t>
  </si>
  <si>
    <t>US1421</t>
  </si>
  <si>
    <t>US1435</t>
  </si>
  <si>
    <t>US1454</t>
  </si>
  <si>
    <t>US1469</t>
  </si>
  <si>
    <t>Blended Google Ads + SEO engagement for the month of June.</t>
  </si>
  <si>
    <t>US1360</t>
  </si>
  <si>
    <t>US1361</t>
  </si>
  <si>
    <t>US1362</t>
  </si>
  <si>
    <r>
      <rPr/>
      <t xml:space="preserve">Tires Easy : Monthly Services for </t>
    </r>
    <r>
      <rPr>
        <color rgb="FF1155CC"/>
        <u/>
      </rPr>
      <t>Tires-Easy.com</t>
    </r>
  </si>
  <si>
    <t>US1363</t>
  </si>
  <si>
    <t>US1364</t>
  </si>
  <si>
    <t>Monthly Web Marketing Support and Activities for June.
PPC : 900
Content / SEO including meetings, planning, reporting, etc : 2600
Website Updates : 1000</t>
  </si>
  <si>
    <t>US1365</t>
  </si>
  <si>
    <t>US1366</t>
  </si>
  <si>
    <t>Howard Fine Jewellers : Ongoing PPC and SEO Support</t>
  </si>
  <si>
    <t>Facebook (3 campaigns) and Google PPC support + some monthly SEO support. Can be adjusted as needed according to priorities of the month.</t>
  </si>
  <si>
    <t>Bevridge : PPC, Analytics &amp; Landing Page work</t>
  </si>
  <si>
    <t>US1358</t>
  </si>
  <si>
    <t>Deposit ($2600)   Second Invoice ($1775)  Final Invoice ($1775)</t>
  </si>
  <si>
    <t>Deposit invoice ($2600 of $6150 Total) July-September Campaign creation and execution, plus landing page and analytics setup.</t>
  </si>
  <si>
    <t>US1388</t>
  </si>
  <si>
    <t xml:space="preserve">Second Invoice ($1775)  </t>
  </si>
  <si>
    <t>Second invoice ($1775 of $6150) for July-September Campaign creation and execution, plus landing page and analytics setup.</t>
  </si>
  <si>
    <t>Final Invoice ($1775)</t>
  </si>
  <si>
    <t>Final invoice ($1775 of $6150) July-September Campaign creation and execution, plus landing page and analytics setup.</t>
  </si>
  <si>
    <t>Moloco : Website Review</t>
  </si>
  <si>
    <t>US1368</t>
  </si>
  <si>
    <t>Deposit Payment - Website review and suggestions related to SEO, competitors, and general presences</t>
  </si>
  <si>
    <t>US1377</t>
  </si>
  <si>
    <t>Final Payment - Website review and suggestions related to SEO, competitors, and general presences</t>
  </si>
  <si>
    <t>Continuity Programs Inc. : Website Relaunch and SEO Review</t>
  </si>
  <si>
    <t>US1369</t>
  </si>
  <si>
    <t>Deposit Payment 
General review and strategy help including:
- short term strategy notes
- general review and report of new site(s)
- relaunch plan
- SEO Matrix
- final review meeting</t>
  </si>
  <si>
    <t>US1389</t>
  </si>
  <si>
    <t>Final Payment
General review and strategy help including:
- short term strategy notes
- general review and report of new site(s)
- relaunch plan
- SEO Matrix
- final review meeting</t>
  </si>
  <si>
    <t>US1371</t>
  </si>
  <si>
    <t>Google Ads engagement for Native Path - July</t>
  </si>
  <si>
    <t>US1372</t>
  </si>
  <si>
    <t>FIKSE Wheels : Monthly Services</t>
  </si>
  <si>
    <t>Google Ongoing Monthly Search Ad Work</t>
  </si>
  <si>
    <t>US1373</t>
  </si>
  <si>
    <t>ASASoft : Other Projects</t>
  </si>
  <si>
    <t>Ad Design</t>
  </si>
  <si>
    <t>Anavara : Other Projects</t>
  </si>
  <si>
    <t>Incorporation of Advanced Schema tags into new website</t>
  </si>
  <si>
    <t>Loud+Clear : Hourly Work</t>
  </si>
  <si>
    <t>Hourly work on RTO3</t>
  </si>
  <si>
    <t>Anavara : PPC Work</t>
  </si>
  <si>
    <t>PPC Overhaul of current campaigns + 30 days of monitoring + report</t>
  </si>
  <si>
    <t>Bevridge : Graphic Work</t>
  </si>
  <si>
    <t>US1378</t>
  </si>
  <si>
    <t>2 different waves of banners, each of which will have 2 variations of banner sets for all common sizes for Google Ads, Google responsive assets, Facebook, and IG stories.</t>
  </si>
  <si>
    <t>Blended Google Ads + SEO engagement for the month of July.</t>
  </si>
  <si>
    <t>US1379</t>
  </si>
  <si>
    <r>
      <rPr/>
      <t xml:space="preserve">Tires Easy : Monthly Services for </t>
    </r>
    <r>
      <rPr>
        <color rgb="FF1155CC"/>
        <u/>
      </rPr>
      <t>Tires-Easy.com</t>
    </r>
  </si>
  <si>
    <t>US1383</t>
  </si>
  <si>
    <t>US1380</t>
  </si>
  <si>
    <t>Monthly Web Marketing Support and Activities for July.
PPC : 900
Content / SEO including meetings, planning, reporting, etc : 2600
Website Updates : 1000</t>
  </si>
  <si>
    <t>US1381</t>
  </si>
  <si>
    <t>US1382</t>
  </si>
  <si>
    <t>US1384</t>
  </si>
  <si>
    <t>Google Ads engagement for Native Path - August 2022</t>
  </si>
  <si>
    <t>US1385</t>
  </si>
  <si>
    <t>US1386</t>
  </si>
  <si>
    <t>Moloco : Monthly PPC</t>
  </si>
  <si>
    <t>US1387</t>
  </si>
  <si>
    <t>Monthly management of Google Ads</t>
  </si>
  <si>
    <t>Charli AI : PPC Work</t>
  </si>
  <si>
    <t>Streamlined Brand ads test in Google Search</t>
  </si>
  <si>
    <t>Blended Google Ads + SEO engagement for the month of August.</t>
  </si>
  <si>
    <t>US1392</t>
  </si>
  <si>
    <t>US1393</t>
  </si>
  <si>
    <t>Monthly Web Marketing Support and Activities for August.
PPC : 900
Content / SEO including meetings, planning, reporting, etc : 2600
Website Updates : 1000</t>
  </si>
  <si>
    <t>US1394</t>
  </si>
  <si>
    <t>US1395</t>
  </si>
  <si>
    <t>Villa del Mar : Website Rebuild</t>
  </si>
  <si>
    <t>US1390</t>
  </si>
  <si>
    <t>50% deposit
Rebuild of villadelmar.com website and relaunch on Flywheel</t>
  </si>
  <si>
    <t>US1413</t>
  </si>
  <si>
    <t>Final Payment 
Rebuild of villadelmar.com website and relaunch on Flywheel</t>
  </si>
  <si>
    <t>The Sands : The Sands Quick Rebuild</t>
  </si>
  <si>
    <t>US1396</t>
  </si>
  <si>
    <t>50% Deposit ($1400 of $2800 total) Quick rebuild of thesandstc.com in a modern wordpress environment.</t>
  </si>
  <si>
    <t>US1407</t>
  </si>
  <si>
    <t>Final 50% Payment ($1400 of $2800 total)
Quick rebuild of thesandstc.com in a modern wordpress environment.</t>
  </si>
  <si>
    <t>The Sands : Sands Owners Site Rebuild</t>
  </si>
  <si>
    <t>50% Deposit ($533 of $1066 total)
Quick rebuild of thesandsowners.com in a modern wordpress environment with a design that matches the new website branding</t>
  </si>
  <si>
    <t>Pending Approval</t>
  </si>
  <si>
    <t>TBD</t>
  </si>
  <si>
    <t>Final 50% Payment ($533 of $1066 total)
Quick rebuild of thesandsowners.com in a modern wordpress environment with a design that matches the new website branding</t>
  </si>
  <si>
    <t>waiting for the ability to complete</t>
  </si>
  <si>
    <t>The Palms : Palms Owners Site Rebuild</t>
  </si>
  <si>
    <t>US1397</t>
  </si>
  <si>
    <r>
      <rPr/>
      <t xml:space="preserve">50% Deposit ($533 of $1066 total)
Quick rebuild of </t>
    </r>
    <r>
      <rPr>
        <color rgb="FF1155CC"/>
        <u/>
      </rPr>
      <t>thepalmsowners.com</t>
    </r>
    <r>
      <rPr/>
      <t xml:space="preserve"> in a modern wordpress environment with a design that matches the new website branding</t>
    </r>
  </si>
  <si>
    <t>Quick rebuild of thepalmsowners.com in a modern wordpress environment with a design that matches the new website branding</t>
  </si>
  <si>
    <t>The Shore Club : Shore Club Owners Site Rebuild</t>
  </si>
  <si>
    <t>US1398</t>
  </si>
  <si>
    <r>
      <rPr/>
      <t xml:space="preserve">50% Deposit ($533 of $1066 total)
Quick rebuild of </t>
    </r>
    <r>
      <rPr>
        <color rgb="FF1155CC"/>
        <u/>
      </rPr>
      <t>theshoreclubowners.com</t>
    </r>
    <r>
      <rPr/>
      <t xml:space="preserve"> in a modern wordpress environment with a design that matches the new website branding</t>
    </r>
  </si>
  <si>
    <t>Quick rebuild of theshoreclubowners.com in a modern wordpress environment with a design that matches the new website branding</t>
  </si>
  <si>
    <t>The Sands : 10 Hour General Support Block</t>
  </si>
  <si>
    <t>10 hours of prepaid web support time for general use - shared cost across all 3 properties.</t>
  </si>
  <si>
    <t>The Palms : 10 Hour General Support Block</t>
  </si>
  <si>
    <t>The Shore Club : 10 Hour General Support Block</t>
  </si>
  <si>
    <t>The Sands : Technical Transition Project</t>
  </si>
  <si>
    <t>Migrating assets and organizing account logins for all Hartling Group websites, including getting them over to Flywheel Hosting and a Hartling Group domain registry. Shared cost across all 3 properties.</t>
  </si>
  <si>
    <t>The Palms : Technical Transition Project</t>
  </si>
  <si>
    <t>The Shore Club : Technical Transition Project</t>
  </si>
  <si>
    <t>The Sands : Website Hosting</t>
  </si>
  <si>
    <t>Website Hosting for the remainder of Sept-December 2022 ($40/month each for the main site and the owners site + 1/3 Hartling Group Hosting, which is split evenly amongst the 3 properties).</t>
  </si>
  <si>
    <t>The Palms : Website Hosting</t>
  </si>
  <si>
    <t>The Shore Club : Website Hosting</t>
  </si>
  <si>
    <t xml:space="preserve">The Palms : Annual Website Hosting </t>
  </si>
  <si>
    <t>US1444</t>
  </si>
  <si>
    <t>Website Hosting for January-December 2023 ($40/month each for the owners site + 1/3 Hartling Group Hosting, which is split evenly amongst the 3 properties).  This amount is the full amount due by The Palms. We have already divided the cost and sent each property their own invoice.</t>
  </si>
  <si>
    <t>The Sands : Annual Website Hosting</t>
  </si>
  <si>
    <t>US1445</t>
  </si>
  <si>
    <t>Website Hosting for January-December 2023 ($40/month each for the main site and the owners site + 1/3 Hartling Group Hosting, which is split evenly amongst the 3 properties). This amount is the full amount due by The Sands at Grace Bay. We have already divided the cost and sent each property their own invoice.</t>
  </si>
  <si>
    <t>The Shore Club : Annual Website Hosting</t>
  </si>
  <si>
    <t>US1446</t>
  </si>
  <si>
    <t>Website Hosting for January-December 2023 ($40/month each for the main site and the owners site + 1/3 Hartling Group Hosting, which is split evenly amongst the 3 properties). This amount is the full amount due by The Shore Club. We have already divided the cost and sent each property their own invoice.</t>
  </si>
  <si>
    <t>Update site with additional page</t>
  </si>
  <si>
    <t>MortgagePal : 5 Hour Support Block</t>
  </si>
  <si>
    <t>Create unique urls for filtered hospitals/doctors.
This part has been completed and treatments were added to the urls at no extra cost. An additional project for various enhancements to this has been proposed.</t>
  </si>
  <si>
    <t>Turks and Caicos Reservations : General Projects</t>
  </si>
  <si>
    <t>US1399</t>
  </si>
  <si>
    <t>Redirect Plan, assistance with implementation, and Google Analytics overhaul</t>
  </si>
  <si>
    <t>Bevridge : Click. Sip. Learn. Campaign</t>
  </si>
  <si>
    <t>US1400</t>
  </si>
  <si>
    <t>Manage the Click. Sip. Learn. Campaign for 4 months, including tracking optimization, according to the outine summarized in email.</t>
  </si>
  <si>
    <t>US1414</t>
  </si>
  <si>
    <t>Manage the Click. Sip. Learn. Campagn for 4 months, including tracking optimization, according to the ouline summarized in email.</t>
  </si>
  <si>
    <t>US1427</t>
  </si>
  <si>
    <t>December Mid Month</t>
  </si>
  <si>
    <t>Bevridge : SEO Project</t>
  </si>
  <si>
    <t>October Mid Month</t>
  </si>
  <si>
    <t>keyword research and SEO Matrix template plus a consultation</t>
  </si>
  <si>
    <t>The Palms : Payment Gateway</t>
  </si>
  <si>
    <t>US1401</t>
  </si>
  <si>
    <t>Explore options for payment gateway and present a recommended technical solution and cost</t>
  </si>
  <si>
    <t>US1402</t>
  </si>
  <si>
    <t>Google Ads engagement for Native Path - September</t>
  </si>
  <si>
    <t>US1403</t>
  </si>
  <si>
    <t>US1404</t>
  </si>
  <si>
    <t>US1405</t>
  </si>
  <si>
    <t>Villa del Mar : Enhanced Hosting &amp; WordPress Support</t>
  </si>
  <si>
    <t>Anavara : Enhanced Hosting &amp; WordPress Support</t>
  </si>
  <si>
    <t>WordPress hosting, plugin updates, and ad-hoc support. Support is limited to minor updates, troubleshooting, training, and questions and provided within reasonable limits, knowing that some months will have more volume of requests while othere may have little or no support requests. Larger projects will be quoted separately.</t>
  </si>
  <si>
    <t>Continuity Programs Inc. : Website Rebuild</t>
  </si>
  <si>
    <t>US1406</t>
  </si>
  <si>
    <t>50% Deposit
Website Rebuild including the "Website Consolidation", "On-Page-SEO Implementation", 'Tracking", and "Content Creation" sections of the proposal oulined here: https://docs.google.com/document/d/1KgTEivf2fWK3oOgfRQ4gNNkEs6SVVUIeXfqL1BoUrmY/edit#</t>
  </si>
  <si>
    <t>US1432</t>
  </si>
  <si>
    <t>50% Final Payment
Website Rebuild including the "Website Consolidation", "On-Page-SEO Implementation", 'Tracking", and "Content Creation" sections of the proposal oulined here: https://docs.google.com/document/d/1KgTEivf2fWK3oOgfRQ4gNNkEs6SVVUIeXfqL1BoUrmY/edit#</t>
  </si>
  <si>
    <t>Villa del Mar : eBlast</t>
  </si>
  <si>
    <t>US1408</t>
  </si>
  <si>
    <t>One-time marketing eBlast</t>
  </si>
  <si>
    <t>US1409</t>
  </si>
  <si>
    <t>US1410</t>
  </si>
  <si>
    <t>Monthly Web Marketing Support and Activities for September.
PPC : 900
Content / SEO including meetings, planning, reporting, etc : 2600
Website Updates : 1000</t>
  </si>
  <si>
    <t>US1411</t>
  </si>
  <si>
    <t>US1412</t>
  </si>
  <si>
    <t>Sacred Deathcare : Website Rebuild</t>
  </si>
  <si>
    <t>50% Deposit ($1850 of $3700 total)
Combine soulpasssages and sacreddeathcare into one website. Including backend rebuild. Design and content will match the existing site and content except where nessesary to tweak slightly.</t>
  </si>
  <si>
    <t>50% Final Payment ($1850 of $3700 total)
Combine soulpassages and sacreddeathcare into one website. Including back-end rebuild. Design and content will match the existing site and content except where necessary to tweak slightly.</t>
  </si>
  <si>
    <t>US1415</t>
  </si>
  <si>
    <t>Google Ads engagement for Native Path - CURRENT MONTH</t>
  </si>
  <si>
    <t>US1416</t>
  </si>
  <si>
    <t>US1417</t>
  </si>
  <si>
    <t>US1418</t>
  </si>
  <si>
    <t>YogiTunes : 3 Month Ads Engagement</t>
  </si>
  <si>
    <t>One time / 3 months</t>
  </si>
  <si>
    <t xml:space="preserve">Deposit/First month invoice for App campaign setup for Google and FB, Google Search Campaign setup, basic conversion tracking setup, monthly monitoring, optimization and reporting. </t>
  </si>
  <si>
    <t>App campaign setup for Google and FB, Google Search Campaign setup, basic conversion tracking setup, monthly monitoring, optimization and reporting. Month 2 of 3.</t>
  </si>
  <si>
    <t>App campaign setup for Google and FB, Google Search Campaign setup, basic conversion tracking setup, monthly monitoring, optimization and reporting. Month 3 of 3.</t>
  </si>
  <si>
    <t>they stopped responding, we don't plan to invoice this</t>
  </si>
  <si>
    <t>Classic LifeCare : First Month Ads Setup</t>
  </si>
  <si>
    <t>50% deposit ($507.50 of $1015) on Setup/first month for Comox and Calgary Search Ad campaigns with 3 ad groups plus configuration of conversions, monitoring optimization and reporting.</t>
  </si>
  <si>
    <t>Final 50% invoice ($507.50 of $1015) on Setup for Comox and Calgary Search Ad campaigns with 3 ad groups plus configuration of conversions, monitoring optimization and reporting. Also, $260 added for 2 recruitment campaigns (not included in initial deposit invoice).</t>
  </si>
  <si>
    <t>Ultimate Tools : Monthly SEO &amp; PPC Management</t>
  </si>
  <si>
    <t>50% deposit ($1250 of $2500)  on Monthly SEO and Google Ads Management, Optimization and Reporting</t>
  </si>
  <si>
    <t>50% final payment ($1250 of $2500) for first month of Monthly SEO and Google Ads Management, Optimization and Reporting. Will move to monthly: midmonth invoicing moving forwards.</t>
  </si>
  <si>
    <t>Tugwell : Quarterly PPC Mgmt</t>
  </si>
  <si>
    <t>Quarterly monitoring, optimization and reporting for Google Ads account.</t>
  </si>
  <si>
    <t>Dinning Hunter : 5 Hour Support Block</t>
  </si>
  <si>
    <t>Customer First Design : Markey Machinery</t>
  </si>
  <si>
    <t>US1419</t>
  </si>
  <si>
    <t>Website rebuild, google analytics overhaul, and content rewrite as per details described in the proposal</t>
  </si>
  <si>
    <t>US1422</t>
  </si>
  <si>
    <t>US1423</t>
  </si>
  <si>
    <t>Monthly Web Marketing Support and Activities for CURRENT MONTH.
PPC : 900
Content / SEO including meetings, planning, reporting, etc : 2600
Website Updates : 1000</t>
  </si>
  <si>
    <t>US1424</t>
  </si>
  <si>
    <t>US1425</t>
  </si>
  <si>
    <t xml:space="preserve">Spring Activator : Ads and Analytics kickoff plus site support </t>
  </si>
  <si>
    <t>50% deposit (50% of $1950) for Google Ads account &amp; campaign creation and first month monitoring and reporting ($1200). Page creation for HubSpot forms, removal onsite UTM tracking, goals for new forms ($750)</t>
  </si>
  <si>
    <t>50% final payment (50% of $1950) for Google Ads account &amp; campaign creation and first month monitoring and reporting ($1200). Page creation for HubSpot forms, removal onsite UTM tracking, goals for new forms ($750)</t>
  </si>
  <si>
    <t>US1426</t>
  </si>
  <si>
    <t>Build the course section of the site and migrate one example</t>
  </si>
  <si>
    <t>MJM Architect : Website Updates and Analytics</t>
  </si>
  <si>
    <t>50% Deposit
Website, Survey &amp; Baseline SEO Updates ($1900):
- High priority technical fixes (image optimization) plus quick plugin and performance review (which could lead to other suggestions).
- Keyword research and keyword optimization of the home page plus the 2 service pages.
- Drafting and implementation of properly structured and written meta page titles and meta page descriptions for all 10 pages.
- On page optimization including applying H1 tags on optimized pages plus on-site linking updates (for architecture and design services) from Home and About Pages plus  addition of appropriate calls to action with links to service page  .
- Embedding of Google Business Profile Map on Contact Page
- Drafting of additional suggestions you might consider.
- Addition of embedded survey to website on "Survey" page.
Analytics Setup ($500):
- Setup of Google Tag Manager, Google Analytics &amp; Google Search Console. These are all critical to the understanding of your site performance, site health and SEO situation and it appears they are not currently in place on the website.</t>
  </si>
  <si>
    <t>50% Final
Website, Survey &amp; Baseline SEO Updates ($1900):
- High priority technical fixes (image optimization) plus quick plugin and performance review (which could lead to other suggestions).
- Keyword research and keyword optimization of the home page plus the 2 service pages.
- Drafting and implementation of properly structured and written meta page titles and meta page descriptions for all 10 pages.
- On page optimization including applying H1 tags on optimized pages plus on-site linking updates (for architecture and design services) from Home and About Pages plus  addition of appropriate calls to action with links to service page  .
- Embedding of Google Business Profile Map on Contact Page
- Drafting of additional suggestions you might consider.
- Addition of embedded survey to website on "Survey" page.
Analytics Setup ($500):
- Setup of Google Tag Manager, Google Analytics &amp; Google Search Console. These are all critical to the understanding of your site performance, site health and SEO situation and it appears they are not currently in place on the website.</t>
  </si>
  <si>
    <t>US1480</t>
  </si>
  <si>
    <t>Quarterly Website Maintenance Support - Feb 2023 to Apr 2023 (Prepaid)</t>
  </si>
  <si>
    <t>Crescent Spur Heli-Skiing : Google Search Campaigns</t>
  </si>
  <si>
    <t>Pre Entered</t>
  </si>
  <si>
    <t>1/3 Deposit Prepaid
1/3 of Remainder Milestone
1/3 of Remainder Milestone Final</t>
  </si>
  <si>
    <t xml:space="preserve">1/3 Deposit ($1129.33 of $3388) on 60 day engagement for Google Search Ads &amp; Landing Page </t>
  </si>
  <si>
    <t xml:space="preserve">2nd of 3 payments ($1129.33 of $3388) for 60 day engagement for Google Search Ads &amp; Landing Page </t>
  </si>
  <si>
    <t xml:space="preserve">Final ($1129.34 of $3388) payment for 60 day engagement for Google Search Ads &amp; Landing Page </t>
  </si>
  <si>
    <t>Crisp Media : Google PPC Mgmt</t>
  </si>
  <si>
    <t>Pre entered</t>
  </si>
  <si>
    <t>4 months' service for Genus Google PPC monitoring, optimization and reporting (July-October)</t>
  </si>
  <si>
    <t>Crisp Media : Monthly Genus Google PPC Mgmt</t>
  </si>
  <si>
    <t>Monthly Google PPC monitoring, optimization and reporting for Genus</t>
  </si>
  <si>
    <t>US1428</t>
  </si>
  <si>
    <t>US1429</t>
  </si>
  <si>
    <t>US1430</t>
  </si>
  <si>
    <t>US1431</t>
  </si>
  <si>
    <t>WordPress hosting, plugin updates, and ad-hoc support. Support is limited to minor updates, troubleshooting, training, and questions and provided within reasonable limits, knowing that some months will have more volume of requests while others may have little or no support requests. Larger projects will be quoted separately.</t>
  </si>
  <si>
    <t>Partial billing for Monthly Marketing activities - November 2022.</t>
  </si>
  <si>
    <t>10 hours of prepaid web support time for The Sands + 1/3 time spent for General Hartling Group</t>
  </si>
  <si>
    <t>10 hours of prepaid web support time for The Shore Club + 1/3 time spent for General Hartling Group</t>
  </si>
  <si>
    <t>US1462</t>
  </si>
  <si>
    <t>10 hours of prepaid web support time for the Palms + 1/3 time spent for General Hartling Group</t>
  </si>
  <si>
    <t>STNVideo : SEO Audit</t>
  </si>
  <si>
    <t>50% DEPOSIT
Doublecheck on Keyword Research, Page Suggestions, SEO Matrix, On Page Suggestions, Review Call</t>
  </si>
  <si>
    <t>50% FINAL PAYMENT
Doublecheck on Keyword Research, Page Suggestions, SEO Matrix, On Page Suggestions, Review Call</t>
  </si>
  <si>
    <t>Liz Robertson Design : Landing Page Project</t>
  </si>
  <si>
    <t>US1433</t>
  </si>
  <si>
    <t>Rebrand Landing Page for Liz Robertson Design</t>
  </si>
  <si>
    <t>Salty Waffle : Other Projects</t>
  </si>
  <si>
    <t>Rebuild website and consult on SEO</t>
  </si>
  <si>
    <t>US1447</t>
  </si>
  <si>
    <t>Yearly</t>
  </si>
  <si>
    <t>Annual WordPress website Hosting, backups, plugin updates (@ $120 rate discounted to reflect bundling with maintenance package).</t>
  </si>
  <si>
    <t>US1436</t>
  </si>
  <si>
    <t>US1437</t>
  </si>
  <si>
    <t>Annual Flywheel hosting including monthly plug-in update service package, ssl, backups, CDN, dashboard access, and live-chat support, regular plugin updates.</t>
  </si>
  <si>
    <t>US1438</t>
  </si>
  <si>
    <t>Monthly Web Marketing Support and Activities for November.
PPC : 900
Content / SEO including meetings, planning, reporting, etc : 2600
Website Updates : 1000</t>
  </si>
  <si>
    <t>US1439</t>
  </si>
  <si>
    <t>US1440</t>
  </si>
  <si>
    <t>Service First : Annual Hosting</t>
  </si>
  <si>
    <t>Annually</t>
  </si>
  <si>
    <t>Yearly Prepaid</t>
  </si>
  <si>
    <t>Annual website hosting for 2023 – high performance WordPress hosting with SSL, added security, staging site and daily backups.</t>
  </si>
  <si>
    <t>TisBest : Annual Hosting</t>
  </si>
  <si>
    <t>US1441</t>
  </si>
  <si>
    <t>Sacred Deathcare : 5 Hour Support Block</t>
  </si>
  <si>
    <t>Sacred Deathcare : Other Projects</t>
  </si>
  <si>
    <t>- 10 Page SEO Matrix + Consultation
- GA4 Setup</t>
  </si>
  <si>
    <t>The Sands : Email Blast</t>
  </si>
  <si>
    <t>US1455</t>
  </si>
  <si>
    <t>Send out email blast for the Sands via Constant Contact.
This is for 3 email blasts:
November
December Christmas</t>
  </si>
  <si>
    <t>Arcwell : Arcwell Initial Reveiw</t>
  </si>
  <si>
    <t>Deposit invoice (50% of $1375) for drafting of initial review as outlined in "Arcwell Search Marketing.pdf"</t>
  </si>
  <si>
    <t>Final invoice (50% of $1375) for drafting of initial review as outlined in "Arcwell Search Marketing.pdf"</t>
  </si>
  <si>
    <t>Canyon's Construction : PPC, LP &amp; Listings</t>
  </si>
  <si>
    <t>US1442</t>
  </si>
  <si>
    <t>Deposit/first month invoice (1/3 of $5900) for 3 month Google ads program including click charges ($4800), Major Renos page creation ($500), SEO directory work ($600)</t>
  </si>
  <si>
    <t>US1470</t>
  </si>
  <si>
    <t>Second month invoice (1/3 of $5900) for 3 month Google ads program including click charges ($4800), Major Renos page creation ($500), SEO directory work ($600)</t>
  </si>
  <si>
    <t>US1494</t>
  </si>
  <si>
    <t>Third month/final invoice (1/3 of $5900) for 3 month Google ads program including click charges ($4800), Major Renos page creation ($500), SEO directory work ($600)</t>
  </si>
  <si>
    <t>Villa del Mar : Other Projects</t>
  </si>
  <si>
    <t>US1448</t>
  </si>
  <si>
    <t>Create sales poster, draft email, and send eblast to guests</t>
  </si>
  <si>
    <t>US1443</t>
  </si>
  <si>
    <t>Monthly Google Ads optimization, monitoring &amp; reporting ($400). Monthly SEO Work ($1100). September 2022.</t>
  </si>
  <si>
    <t>Monthly Google Ads optimization, monitoring &amp; reporting ($400). Monthly SEO Work ($1100). October 2022.</t>
  </si>
  <si>
    <t>Monthly Google Ads optimization, monitoring &amp; reporting ($400). Monthly SEO Work ($1100). November 2022.</t>
  </si>
  <si>
    <t>Community Financials : Hosting</t>
  </si>
  <si>
    <t>OA Region 6 : Hosting</t>
  </si>
  <si>
    <t>US1449</t>
  </si>
  <si>
    <t>Spraggs : Hosting</t>
  </si>
  <si>
    <t>US1450</t>
  </si>
  <si>
    <t>Google Ads engagement for Native Path - December 2022</t>
  </si>
  <si>
    <t>US1452</t>
  </si>
  <si>
    <t>US1451</t>
  </si>
  <si>
    <t>Classic LifeCare : Monthly Google Ads (PPC) Management</t>
  </si>
  <si>
    <t>Monthly Google Search ads monitoring, optimization and reporting for Comox and Calgary.</t>
  </si>
  <si>
    <t>Monthly SEO and Google Ads Management, Optimization and Reporting</t>
  </si>
  <si>
    <t>Nova Clinical Services : Domain Troubleshooting</t>
  </si>
  <si>
    <t>Pre-entered</t>
  </si>
  <si>
    <t>Domain troubleshooting &amp; recovery, including registrar &amp; transfer fees</t>
  </si>
  <si>
    <t>Continuity Programs Inc. : Other Projects</t>
  </si>
  <si>
    <t>US1453</t>
  </si>
  <si>
    <t>50% deposit ($2000 of $4000 total) on 
"Phase 2" of domain migration + 20 directory listing cleanups, including Google Business</t>
  </si>
  <si>
    <t>US1509</t>
  </si>
  <si>
    <t>50% final payment ($2000 of $4000 total) on
"Phase 2" of domain migration + 20 directory listing cleanups, including Google Business</t>
  </si>
  <si>
    <t>Tofino Resort + Marina : 5 Hour Support Block</t>
  </si>
  <si>
    <t>US1456</t>
  </si>
  <si>
    <t>Monthly Google Ads optimization, monitoring &amp; reporting ($400). Monthly SEO Work ($1100).  GA4 Upgrade ($699)</t>
  </si>
  <si>
    <t>US1457</t>
  </si>
  <si>
    <t>US1458</t>
  </si>
  <si>
    <t>US1459</t>
  </si>
  <si>
    <t>US1460</t>
  </si>
  <si>
    <t>US1463</t>
  </si>
  <si>
    <t>Send out email blast for the Sands via Constant Contact. Includes the direct fee for Constant Contact + management fee.</t>
  </si>
  <si>
    <t>The Shore Club : Email Blast</t>
  </si>
  <si>
    <t>US1464</t>
  </si>
  <si>
    <t>Send out email blast for the Shore Club via Constant Contact. Includes the direct fee for Constant Contact + management fee.</t>
  </si>
  <si>
    <t>Moloco : 5 Hour Support Block</t>
  </si>
  <si>
    <t>US1461</t>
  </si>
  <si>
    <t>5 hour block of web development time with no minimum time per task.</t>
  </si>
  <si>
    <t>McAllister Marketing : Copernic PPC / SEO</t>
  </si>
  <si>
    <t>Monthly PPC &amp; SEO work for Copernic.</t>
  </si>
  <si>
    <t>Final Invoice</t>
  </si>
  <si>
    <t>US1465</t>
  </si>
  <si>
    <t>US1466</t>
  </si>
  <si>
    <t>US1467</t>
  </si>
  <si>
    <t>US1468</t>
  </si>
  <si>
    <t>Terra Insights : Monthly PPC</t>
  </si>
  <si>
    <t>Monthly Optimization of accounts belonging to Terra Insights, focusing on one main priority account per month.</t>
  </si>
  <si>
    <t>US1471</t>
  </si>
  <si>
    <t>extra cost of email fees for campaign monitor eblast</t>
  </si>
  <si>
    <t>this is just an extra cost, I've put it into the 10hr project instead of creating a whole separate project for it. We could bill it through just as a cost</t>
  </si>
  <si>
    <t>US1472</t>
  </si>
  <si>
    <t>US1473</t>
  </si>
  <si>
    <t>US1474</t>
  </si>
  <si>
    <t>US1475</t>
  </si>
  <si>
    <t>US1476</t>
  </si>
  <si>
    <t>US1477</t>
  </si>
  <si>
    <t>Tugwell : Bi-monthly PPC Mgmt</t>
  </si>
  <si>
    <t>Bi-monthly monitoring, optimization and reporting for Google Ads account.
(Jan-Feb, Mar-Apr, May-Jun, Jul-Aug, Sep-Oct, Nov-Dec)</t>
  </si>
  <si>
    <t>Terra Insights : GA4 Upgrade</t>
  </si>
  <si>
    <t>GA4 Upgrade for all Terra Insights websites</t>
  </si>
  <si>
    <t>Big Hammer Wines : Monthly PPC</t>
  </si>
  <si>
    <t>US1479</t>
  </si>
  <si>
    <t>JANUARY 2023. Monthly PPC monitoring, optimization, and reporting</t>
  </si>
  <si>
    <t>US1478</t>
  </si>
  <si>
    <t>Sept-December Monthly PPC monitoring, optimization, and reporting.</t>
  </si>
  <si>
    <t>US1517</t>
  </si>
  <si>
    <t>Quarterly Website Maintenance Support - May 2023 to July 2023 (Prepaid)</t>
  </si>
  <si>
    <t>VINN : Monthly PPC</t>
  </si>
  <si>
    <t>First Month/Deposit invoice for monthly Google PPC management, monitoring, optimization and reporting.</t>
  </si>
  <si>
    <t>One time / 2 months</t>
  </si>
  <si>
    <t>Google Ads account &amp; campaign monitoring, optimization and reporting ($500/mo each for December 2022 and January 2023).</t>
  </si>
  <si>
    <t>GreenLane Offroad : Review</t>
  </si>
  <si>
    <t>50% Deposit Prepaid</t>
  </si>
  <si>
    <t>(Deposit: 50% of $1500) Web marketing review &amp; recommendations with a focus on Search &amp; Conversion opportunities.</t>
  </si>
  <si>
    <t>50% Final</t>
  </si>
  <si>
    <t>(Final Payment: 50% of $1500) Web marketing review &amp; recommendations with a focus on Search &amp; Conversion opportunities.</t>
  </si>
  <si>
    <t>US1481</t>
  </si>
  <si>
    <t>Monthly SEO, PPC &amp; Technical Marketing Engagement.</t>
  </si>
  <si>
    <t>Google Ads engagement for Native Path - February 2023</t>
  </si>
  <si>
    <t>US1482</t>
  </si>
  <si>
    <t>US1483</t>
  </si>
  <si>
    <t>US1484</t>
  </si>
  <si>
    <t>Monthly SEO and Google Ads Management, Optimization and Reporting.</t>
  </si>
  <si>
    <t>Monthly Google PPC management, monitoring, optimization and reporting.</t>
  </si>
  <si>
    <t>To be $7000 again in April and then TBD for May</t>
  </si>
  <si>
    <t>ESKO Pacific : Website Rebuild</t>
  </si>
  <si>
    <t>33% Deposit ($3233.33 on total $9700)
Website rebuild and tracking according to the scope outlined in the proposal here: https://docs.google.com/document/d/1J0htQrCHFJwUMxRGiHitkMEE9T3aKQbUmMlIcPlXVpM/edit</t>
  </si>
  <si>
    <t>33% Pre-launch milestone payment ($3233.33 on $9700 total)
Website rebuild and tracking.</t>
  </si>
  <si>
    <t>Expected to be ready for milestone invoice by end of this month</t>
  </si>
  <si>
    <t xml:space="preserve">33% Final Payment ($3233.34 on $9700 total)
Website rebuild and tracking according to the scope outlined in the proposal here: https://docs.google.com/document/d/1J0htQrCHFJwUMxRGiHitkMEE9T3aKQbUmMlIcPlXVpM/edit
</t>
  </si>
  <si>
    <t>Crisp Media : GA4 Upgrade</t>
  </si>
  <si>
    <t>GA4 Essentials Setup for Fikse (discounted 30%)</t>
  </si>
  <si>
    <t>Viridian : GA4 Upgrade</t>
  </si>
  <si>
    <t>GA4 Comprehensive Upgrade</t>
  </si>
  <si>
    <t>S-5463</t>
  </si>
  <si>
    <t>US1486</t>
  </si>
  <si>
    <t>This is their last invoice - we're not doing work for them in March.</t>
  </si>
  <si>
    <t>S-5464</t>
  </si>
  <si>
    <t>US1487</t>
  </si>
  <si>
    <t>US1488</t>
  </si>
  <si>
    <t>Monthly Web Marketing Support and Activities for February.
PPC : $900
Content / SEO including meetings, planning, reporting, etc : $2600
Website Updates : $1000</t>
  </si>
  <si>
    <t>US1489</t>
  </si>
  <si>
    <t>US1490</t>
  </si>
  <si>
    <t>US1491</t>
  </si>
  <si>
    <t>Monthly PPC review, optimization, and report</t>
  </si>
  <si>
    <t>Sacred Deathcare : Maintainance Retainer</t>
  </si>
  <si>
    <t>S-5462</t>
  </si>
  <si>
    <t>General website support as needed</t>
  </si>
  <si>
    <t>True Reliance : Website + Content</t>
  </si>
  <si>
    <t>US1485</t>
  </si>
  <si>
    <t>3 page initial website and content</t>
  </si>
  <si>
    <t>Luxe Bridal LLC : Monthly PPC</t>
  </si>
  <si>
    <t>US1492</t>
  </si>
  <si>
    <t>Monthly Google PPC, Analytics Support, Strategic Support, Pinterest Ads &amp; Reporting</t>
  </si>
  <si>
    <t>Pre-billed for first month (Feb 28th for month of March), then moved to mid-month billing (April 15 for april). First 3 months are @ $3700, then likely moving to $2500/mo as of June 15</t>
  </si>
  <si>
    <t>WhistleBlower Security : SEO Review</t>
  </si>
  <si>
    <t>SEO Review, Report &amp; Meeting</t>
  </si>
  <si>
    <t>Salty Waffle : General Support</t>
  </si>
  <si>
    <t>8 hrs prepaid support hours</t>
  </si>
  <si>
    <t>Terra Insights : GDPR Compliance Update</t>
  </si>
  <si>
    <t>update syscom to be fully compliant</t>
  </si>
  <si>
    <t>Sharon Wardle : 5 Hours General Support</t>
  </si>
  <si>
    <t>US1493</t>
  </si>
  <si>
    <t>5 hours prepaid general support</t>
  </si>
  <si>
    <t>Tailbase : SEO Support</t>
  </si>
  <si>
    <t>Deposit invoice ($1487.50 of $2975 total) for SEO support for 20 pages on new Tailbase website, including research &amp; documentation as per proposal.</t>
  </si>
  <si>
    <t>Final invoice ($1487.50 of $2975 total) for SEO support for 20 pages on new Tailbase website, including research &amp; documentation as per proposal.</t>
  </si>
  <si>
    <t>US1495</t>
  </si>
  <si>
    <t>2.5 hour block of web development time with no minimum time per task.</t>
  </si>
  <si>
    <t>US1496</t>
  </si>
  <si>
    <t>Google Ads engagement for Native Path - March 2023</t>
  </si>
  <si>
    <t>US1497</t>
  </si>
  <si>
    <t>US1498</t>
  </si>
  <si>
    <t>(INTERNAL - $3000/mo for Jan/Feb/Mar, $2000/mo thereafter) Monthly PPC &amp; SEO work for Copernic.</t>
  </si>
  <si>
    <t>Markey Machine : General Support Retainer</t>
  </si>
  <si>
    <t>US1499</t>
  </si>
  <si>
    <t>C360 : Phase II: Johns Hopkins University PPC Management</t>
  </si>
  <si>
    <t>US1501</t>
  </si>
  <si>
    <t>Management of Google and Facebook campaigns for Johns Hopkins University (partial month for March)</t>
  </si>
  <si>
    <t>$250USD in march, $500 in April. Edit description in April</t>
  </si>
  <si>
    <t>GreenLane Offroad : PPC, SEO &amp; Analytics Work</t>
  </si>
  <si>
    <t>Month 1 (of 3) for initial PPC, SEO, Analytics &amp; Reporting work.</t>
  </si>
  <si>
    <t>March, April, May invoicing then review and set new montly with them.</t>
  </si>
  <si>
    <t>US1502</t>
  </si>
  <si>
    <t>Monthly management of Google Ads (partial month)</t>
  </si>
  <si>
    <t>$300 for March, $600 starting in April</t>
  </si>
  <si>
    <t>Cobble Beach : GA4 Upgrade</t>
  </si>
  <si>
    <r>
      <rPr/>
      <t xml:space="preserve">Upgrade cobblebeach.com and livecobblebeach.com and </t>
    </r>
    <r>
      <rPr>
        <color rgb="FF1155CC"/>
        <u/>
      </rPr>
      <t>cobblebeachconcours.com</t>
    </r>
    <r>
      <rPr/>
      <t xml:space="preserve"> to GA4</t>
    </r>
  </si>
  <si>
    <t>Continuity Programs Inc. : 3 Month Google Ads Camapign</t>
  </si>
  <si>
    <t>US1500</t>
  </si>
  <si>
    <t>3 month Google Ads campaign trial.
50% deposit ($1500 of $3000 total) on 3 month Google Ads campaign trial. part 1 payment</t>
  </si>
  <si>
    <t>3 month Google Ads campaign trial.
50% deposit ($1500 of $3000 total) on 3 month Google Ads campaign trial. part 2 payment</t>
  </si>
  <si>
    <t>US1534</t>
  </si>
  <si>
    <t>50% Final payment ($1500 of $3000 total) on 3 month Google Ads campaign trial.</t>
  </si>
  <si>
    <t>US1503</t>
  </si>
  <si>
    <t>US1504</t>
  </si>
  <si>
    <t>Voided invoice. Moved to mid-month for basic hosting &amp; updates - $60/mo</t>
  </si>
  <si>
    <t>US1505</t>
  </si>
  <si>
    <t>Monthly Web Marketing Support and Activities for CURRENT MONTH.</t>
  </si>
  <si>
    <t>US1506</t>
  </si>
  <si>
    <t>US1507</t>
  </si>
  <si>
    <t xml:space="preserve">Facebook (3 campaigns) and Google PPC support + some monthly SEO support. </t>
  </si>
  <si>
    <t>US1508</t>
  </si>
  <si>
    <t>Classic LifeCare : GA4 Upgrade</t>
  </si>
  <si>
    <t>Comprehensive Upgrade to GA4</t>
  </si>
  <si>
    <t>ASASoft : 5 Hour General Support</t>
  </si>
  <si>
    <t>5 Hours of general support</t>
  </si>
  <si>
    <t xml:space="preserve">Monthly PPC &amp; SEO work for Copernic. + $300 for blog implementation + 350 for French form and comparison table </t>
  </si>
  <si>
    <t>Dinning Hunter : Website Rebuild</t>
  </si>
  <si>
    <t>50% Deposit ($1400 of $2800 total)
Rebuild website including redesign.</t>
  </si>
  <si>
    <t xml:space="preserve">
50% Final Payment
Rebuild website including redesign.</t>
  </si>
  <si>
    <t>US1510</t>
  </si>
  <si>
    <t>Google Ads engagement for Native Path - April 2023</t>
  </si>
  <si>
    <t>US1511</t>
  </si>
  <si>
    <t>Rama Meditation Society : Monthly Hosting &amp; Updates</t>
  </si>
  <si>
    <t>US1512</t>
  </si>
  <si>
    <t>Monthly Hosting and Updates.</t>
  </si>
  <si>
    <t>US1513</t>
  </si>
  <si>
    <t>US1514</t>
  </si>
  <si>
    <t>US1515</t>
  </si>
  <si>
    <t>US1516</t>
  </si>
  <si>
    <t>10 hours of prepaid web support time for the Shore Club</t>
  </si>
  <si>
    <t>Maker House : Website Review</t>
  </si>
  <si>
    <t>50% Deposit
Review shopify site and Google Analytics / Search Console</t>
  </si>
  <si>
    <t xml:space="preserve">
50% Final
Review shopify site and Google Analytics / Search Console</t>
  </si>
  <si>
    <t>Red Seal : Grant Project</t>
  </si>
  <si>
    <t>GA4 Upgrade + subscription based ecommerce product</t>
  </si>
  <si>
    <t>Google Ads optimization, monitoring &amp; reporting
Additional One time: 
GA4 Upgrade : 350
SEO Audit &amp; Report: 1000</t>
  </si>
  <si>
    <t>extra cost added to this month only</t>
  </si>
  <si>
    <t>1/3 Deposit
1/3 milstone
1/3 Final Payment</t>
  </si>
  <si>
    <t>1/3 Deposit
Website Rebuild
GA4 Upgrade
SEO Matrix</t>
  </si>
  <si>
    <t>1/3 Milestone Payment
Website Rebuild
GA4 Upgrade
SEO Matrix</t>
  </si>
  <si>
    <t>1/3 Final Payment
Website Rebuild
GA4 Upgrade
SEO Matrix</t>
  </si>
  <si>
    <t>US1527</t>
  </si>
  <si>
    <t>Enhanced Hosting &amp; WordPress Support
Extra: April eBlast</t>
  </si>
  <si>
    <t>GA4 Review + Setup for Genus (discounted 30%)</t>
  </si>
  <si>
    <t>US1518</t>
  </si>
  <si>
    <t xml:space="preserve">Monthly Google Ads optimization, monitoring &amp; reporting ($400). Monthly SEO Work ($600). </t>
  </si>
  <si>
    <t>Monthly SEO activities + website hosting</t>
  </si>
  <si>
    <t>US1519</t>
  </si>
  <si>
    <r>
      <rPr>
        <rFont val="Arial"/>
        <color theme="1"/>
      </rPr>
      <t>Monthly Web Marketing Support and Activities for April.</t>
    </r>
    <r>
      <rPr>
        <rFont val="Arial"/>
        <b/>
        <color theme="1"/>
      </rPr>
      <t xml:space="preserve">
</t>
    </r>
    <r>
      <rPr>
        <rFont val="Arial"/>
        <color theme="1"/>
      </rPr>
      <t>PPC : $700
Content / SEO including meetings, planning, reporting, etc : $2000
Website Updates : $300</t>
    </r>
  </si>
  <si>
    <t>US1520</t>
  </si>
  <si>
    <t>US1521</t>
  </si>
  <si>
    <t xml:space="preserve">Facebook (3 campaigns) and Google PPC support + monthly SEO support. </t>
  </si>
  <si>
    <t>US1522</t>
  </si>
  <si>
    <t>US1523</t>
  </si>
  <si>
    <t>Month 2 (of 3) for initial PPC, SEO, Analytics &amp; Reporting work.</t>
  </si>
  <si>
    <t>US1574</t>
  </si>
  <si>
    <t>Quarterly Website Maintenance Support - Aug 2023 to October 2023 (Prepaid)</t>
  </si>
  <si>
    <t>US1524</t>
  </si>
  <si>
    <t>Management of digital advertising campaigns for Johns Hopkins University.</t>
  </si>
  <si>
    <t>US1525</t>
  </si>
  <si>
    <t>Monthly Google PPC, Analytics Support, Strategic Support, Pinterest Ads &amp; Reporting for Luxe Redux.</t>
  </si>
  <si>
    <t>Luxe Bridal LLC (LJM) : Monthly PPC</t>
  </si>
  <si>
    <t>US1526</t>
  </si>
  <si>
    <t>Monthly Google PPC, Analytics Support, Strategic Support, Pinterest Ads &amp; Reporting for La Jeune Mariee.</t>
  </si>
  <si>
    <t>WhistleBlower Security : Monthly PPC and SEO</t>
  </si>
  <si>
    <t>1st month of SEO engagement ($2000) plus GA4 upgrades &amp; PPC kickoff ($1700)</t>
  </si>
  <si>
    <t>NOTE: MAY AND JUNE INVOICES HAVE BEEN PRE-ENTERED, FIRST "MONTHLY" WOULD BE JULY 15. CAN DELETE THIS NOTE FROM PROJECT DESCRIPTION AFTER JULY 15
Management of Google Ads + Incremental SEO</t>
  </si>
  <si>
    <t>Monthly digital marketing services including reporting/analytics work, advertising, etc 
GA4 comprenshesive upgrade ($700)</t>
  </si>
  <si>
    <t>US1528</t>
  </si>
  <si>
    <t>Monthly SEO, PPC &amp; Technical Marketing Engagement
Additional : GA4 Upgrade</t>
  </si>
  <si>
    <t>Google Ads engagement for Native Path - May 2023.</t>
  </si>
  <si>
    <t>US1529</t>
  </si>
  <si>
    <t>US1530</t>
  </si>
  <si>
    <t>Invoiced</t>
  </si>
  <si>
    <t>US1531</t>
  </si>
  <si>
    <t>US1532</t>
  </si>
  <si>
    <t xml:space="preserve">Paid twice in April, refunded one payment through Paypal, but client claims it was never received - offered a credit for May service instead. </t>
  </si>
  <si>
    <t>Microassist : 3 Month Initial PPC Project</t>
  </si>
  <si>
    <t>US1533</t>
  </si>
  <si>
    <t>Month 1 of Initial 3 Month Google Ads Optimization Project ($1100/$3300)</t>
  </si>
  <si>
    <t>US1548</t>
  </si>
  <si>
    <t>Month 2 of Initial 3 Month Google Ads Optimization Project ($1100/$3300)</t>
  </si>
  <si>
    <t>US1566</t>
  </si>
  <si>
    <t>Month 3 of Initial 3 Month Google Ads Optimization Project ($1100/$3300)</t>
  </si>
  <si>
    <t>US1535</t>
  </si>
  <si>
    <t>Monthly SEO, Advertising &amp; Content engagement
Extra GA4 Upgrade ($700)</t>
  </si>
  <si>
    <t>US1536</t>
  </si>
  <si>
    <t xml:space="preserve">
GA4 Essentials Upgrade</t>
  </si>
  <si>
    <t>Monthly advertising management, optimization and reporting.
GA4 Essentials Upgrade</t>
  </si>
  <si>
    <t>Bi-monthly monitoring, optimization and reporting for Google Ads account.
final invoice</t>
  </si>
  <si>
    <t>US1537</t>
  </si>
  <si>
    <t>10 hours of prepaid web support time for The Sands</t>
  </si>
  <si>
    <t>US1538</t>
  </si>
  <si>
    <t>10 hours of prepaid web support time for The Palms</t>
  </si>
  <si>
    <t>US1539</t>
  </si>
  <si>
    <t>10 hours of prepaid web support time for The Shore Club</t>
  </si>
  <si>
    <t>Send out email blast for The Sands and troubleshoot lengthy issues with SSL on new eblast system</t>
  </si>
  <si>
    <t>US1547</t>
  </si>
  <si>
    <t>Monthly management of Google Ads
+ $350 Essentials GA4 Upgrade</t>
  </si>
  <si>
    <t>The Academy : GA4 Upgrade</t>
  </si>
  <si>
    <t>US1540</t>
  </si>
  <si>
    <t>GA4 Essentials Update for Academy</t>
  </si>
  <si>
    <t>US1541</t>
  </si>
  <si>
    <t>Monthly Google Ads optimization, monitoring &amp; reporting ($400). Monthly SEO Work ($600). 
+ $800 for Accounting Departemtn Migration to CF site</t>
  </si>
  <si>
    <t>McAllister Marketing : GA4 Upgrades</t>
  </si>
  <si>
    <t>GA4 Upgrades for Costal Heat Pumps, Homewise, McAllister, Paper Excellence.</t>
  </si>
  <si>
    <t>Ergo Eco : Grant Project</t>
  </si>
  <si>
    <t>50% deposit ($1200 of $2400) for Development of online purchase function for website (50% of $1000) plus Analytics keyword &amp; competitor researh &amp; documentation (50% of $1400).</t>
  </si>
  <si>
    <t>50% final payment ($1200 of $2400 total) for Development of online purchase function for website (50% of $1000) plus Analytics keyword &amp; competitor researh &amp; documentation (50% of $1400).</t>
  </si>
  <si>
    <t>The Palms : Survey Project</t>
  </si>
  <si>
    <t>US1575</t>
  </si>
  <si>
    <t>A multistep survey (about 3 steps) with about 2-5 questions per step. Questions may be on a scale (1-5), true or false, or text comments
An email notification if people answer negatively, sent to a list of people in real time
Custom branding
A thankyou page at the end
Scalability to add additional features later (like followup email survey)
Whatsapp Itegration using third party service</t>
  </si>
  <si>
    <t>Limbic Media : Grant Project</t>
  </si>
  <si>
    <t>Deposit / Payment 1 ($1200 of  $2400 total)
GA4 Upgrade
Quote Page Creation and Hubspot Integration
SEO Review</t>
  </si>
  <si>
    <t xml:space="preserve">50% Final
</t>
  </si>
  <si>
    <t>Final Payment ($1200 of  $2400 total)
GA4 Upgrade
Quote Page Creation and Hubspot Integration
SEO Review</t>
  </si>
  <si>
    <t>Red Ear Research : Website</t>
  </si>
  <si>
    <t>US1542</t>
  </si>
  <si>
    <t>Deposit on Simple 1 page website ($850 of $1700 total).</t>
  </si>
  <si>
    <t>US1555</t>
  </si>
  <si>
    <t>Final payment on Simple 1 page website ($850 of $1700 total).</t>
  </si>
  <si>
    <t>Monthly SEO activities + Website Hosting</t>
  </si>
  <si>
    <t>US1543</t>
  </si>
  <si>
    <t>Monthly Web Marketing Support and Activities for May 2023.
PPC : $700
Content / SEO including meetings, planning, reporting, etc : $2000
Website Updates : $300</t>
  </si>
  <si>
    <t>US1544</t>
  </si>
  <si>
    <t>US1545</t>
  </si>
  <si>
    <t>US1546</t>
  </si>
  <si>
    <t>Monthly Google PPC, Analytics Support, Strategic Support, Pinterest Ads &amp; Reporting for La Jeune Marie.</t>
  </si>
  <si>
    <t>Month 3 (of 3) for initial PPC, SEO, Analytics &amp; Reporting work.</t>
  </si>
  <si>
    <t>Crisp Media : Client GA4 Upgrades</t>
  </si>
  <si>
    <t>Essentials GA4 Setup for Silver Gummy and Koru Cremation</t>
  </si>
  <si>
    <t>US1549</t>
  </si>
  <si>
    <t>Google Ads engagement for Native Path - June 2023</t>
  </si>
  <si>
    <t>US1554</t>
  </si>
  <si>
    <t>US1550</t>
  </si>
  <si>
    <t>US1551</t>
  </si>
  <si>
    <t>US1552</t>
  </si>
  <si>
    <t>US1553</t>
  </si>
  <si>
    <t>Spraggs : Comprehensive GA4 Update</t>
  </si>
  <si>
    <t>GreenLane Offroad : Monthly Ads Support</t>
  </si>
  <si>
    <t>Advertising support &amp; reporting for Google Shopping, Google Search &amp; Social Ads (prorated for June)</t>
  </si>
  <si>
    <t>Usually will be $1000/month but prorated to $700 for first month for late start.</t>
  </si>
  <si>
    <t>GA4 Essentials Upgrade (additional vs monthly services)</t>
  </si>
  <si>
    <t>US1556</t>
  </si>
  <si>
    <t>US1557</t>
  </si>
  <si>
    <t>Monthly Web Marketing Support and Activities for June 2023.
PPC : $700
Content / SEO including meetings, planning, reporting, etc : $2000
Website Updates : $300</t>
  </si>
  <si>
    <t>US1558</t>
  </si>
  <si>
    <t>US1559</t>
  </si>
  <si>
    <t>US1560</t>
  </si>
  <si>
    <t>US1561</t>
  </si>
  <si>
    <t>US1562</t>
  </si>
  <si>
    <t>The Sands : GA4 Upgrade</t>
  </si>
  <si>
    <t>US1563</t>
  </si>
  <si>
    <t>The Palms : GA4 Upgrade</t>
  </si>
  <si>
    <t>US1564</t>
  </si>
  <si>
    <t>$440 for new home pages (french + english), newsletter button, mailchimp integration (additional to monthly)</t>
  </si>
  <si>
    <t>HSJ Lawyers : Tracking and Payment Update</t>
  </si>
  <si>
    <t>Payment feature with print receipt option - $600
Comprehensive GA4 Upgrade - $700
SEO and general website improvements - $1100
- Lead form which allows for conditional fields
- Google Business Profile Optimization
- Move hosting to improve speed
- General SEO Checkup on site</t>
  </si>
  <si>
    <t>Acton ADU : Web Presence, SEO &amp; CRO Audit</t>
  </si>
  <si>
    <t>US1565</t>
  </si>
  <si>
    <t>Deposit invoice for Web Presence, SEO &amp; CRO Audit ($1900: 50% of $3800)</t>
  </si>
  <si>
    <t>US1583</t>
  </si>
  <si>
    <t>Final invoice for Web Presence, SEO &amp; CRO Audit ($1900: 50% of $3800)</t>
  </si>
  <si>
    <t>See other Acton invoice as well</t>
  </si>
  <si>
    <t>Service First : Website</t>
  </si>
  <si>
    <t>Deposit for
Website Rebuild with new service page layout with an "inquire about this service" form that gathers relevant information from potential clients seeking pricing and servicing information. 
Install and configure tracking to improve lead capture, and implement design website improvements to optimized for user experience.
GA4 Tracking Upgrade
Content / SEO</t>
  </si>
  <si>
    <t>MIlestone Payment for
Website Rebuild with new service page layout with an "inquire about this service" form that gathers relevant information from potential clients seeking pricing and servicing information. 
Install and configure tracking to improve lead capture, and implement design website improvements to optimized for user experience.
GA4 Tracking Upgrade
Content / SEO</t>
  </si>
  <si>
    <t>Final Payment for
Website Rebuild with new service page layout with an "inquire about this service" form that gathers relevant information from potential clients seeking pricing and servicing information. 
Install and configure tracking to improve lead capture, and implement design website improvements to optimized for user experience.
GA4 Tracking Upgrade
Content / SEO</t>
  </si>
  <si>
    <t>Halo Programs : Monthly PPC</t>
  </si>
  <si>
    <t>US1567</t>
  </si>
  <si>
    <t>Monthly ongoing PPC</t>
  </si>
  <si>
    <t>US1568</t>
  </si>
  <si>
    <t>Google Ads engagement for Native Path - July 2023</t>
  </si>
  <si>
    <t>US1569</t>
  </si>
  <si>
    <t>US1570</t>
  </si>
  <si>
    <t>US1573</t>
  </si>
  <si>
    <t>US1571</t>
  </si>
  <si>
    <t>US1572</t>
  </si>
  <si>
    <t>Management of Google Ads + Incremental SEO</t>
  </si>
  <si>
    <t>Data Studio Dashboard</t>
  </si>
  <si>
    <t>this is in addition to the regular monthly invoice. can be combined if you like.</t>
  </si>
  <si>
    <t>US1576</t>
  </si>
  <si>
    <t>US1577</t>
  </si>
  <si>
    <t>Monthly Web Marketing Support and Activities for July 2023.
PPC : $700
Content / SEO including meetings, planning, reporting, etc : $2000
Website Updates : $300</t>
  </si>
  <si>
    <t>US1578</t>
  </si>
  <si>
    <t>US1579</t>
  </si>
  <si>
    <t>US1580</t>
  </si>
  <si>
    <t>Monthly PPC review, optimization, and report.</t>
  </si>
  <si>
    <t>General website support as needed.</t>
  </si>
  <si>
    <t>US1581</t>
  </si>
  <si>
    <t>US1582</t>
  </si>
  <si>
    <t>Advertising support &amp; reporting for Google Shopping, Google Search &amp; Social Ads.</t>
  </si>
  <si>
    <t>Quarterly Website Maintenance Support - November 2023 to January 2024 (Prepaid)</t>
  </si>
  <si>
    <t>US1584</t>
  </si>
  <si>
    <t>Google Ads engagement for Native Path - August 2023</t>
  </si>
  <si>
    <t>US1585</t>
  </si>
  <si>
    <t>US1586</t>
  </si>
  <si>
    <t>US1587</t>
  </si>
  <si>
    <t>US1588</t>
  </si>
  <si>
    <t>Acton ADU : Monthly SEO &amp; PPC</t>
  </si>
  <si>
    <t>Monthly Google Ads management, optimization and reporting ($1500).</t>
  </si>
  <si>
    <t>SEO GETTING ADDED IN IN SEPTEMBER!</t>
  </si>
  <si>
    <t>US1589</t>
  </si>
  <si>
    <t>Cobble Beach : PPC Project</t>
  </si>
  <si>
    <t>1/2 month one, 1/2 for month 2</t>
  </si>
  <si>
    <t>Month 1 of 2 month Google Ads project ($1000 of $2000 total)</t>
  </si>
  <si>
    <t>Month 2 of 2 month Google Ads project ($1000 of $2000 total)</t>
  </si>
  <si>
    <t>McAllister Marketing : Tailbase SEO Project</t>
  </si>
  <si>
    <t>Monthly SEO work &amp; support for Tailbase</t>
  </si>
  <si>
    <t>AI Smart Marketing : Website</t>
  </si>
  <si>
    <t>US1592</t>
  </si>
  <si>
    <t>Deposit: Wordpress website + content for Acton ADU</t>
  </si>
  <si>
    <t>Alcohol Professor : Mockups</t>
  </si>
  <si>
    <t>US1590</t>
  </si>
  <si>
    <t>Mockup development for WordPress website development project.</t>
  </si>
  <si>
    <t>US1600</t>
  </si>
  <si>
    <t>10 hours of prepaid web support time for the Sands</t>
  </si>
  <si>
    <t>US1591</t>
  </si>
  <si>
    <t>City Dogs and City Kitties : Website</t>
  </si>
  <si>
    <t>US1599</t>
  </si>
  <si>
    <t>Deposit for Website Mockups and Development</t>
  </si>
  <si>
    <t>Final Payment for Website Mockups and Development
NOTE: final amount TBD</t>
  </si>
  <si>
    <t>HSJ Lawyers</t>
  </si>
  <si>
    <t>US1593</t>
  </si>
  <si>
    <t>Hosting and occassional support as needed</t>
  </si>
  <si>
    <t>US1594</t>
  </si>
  <si>
    <t>US1595</t>
  </si>
  <si>
    <t>US1596</t>
  </si>
  <si>
    <t>US1597</t>
  </si>
  <si>
    <t>US1598</t>
  </si>
  <si>
    <t>Advertising support &amp; reporting for Google Shopping, Google Search &amp; Social Ads</t>
  </si>
  <si>
    <t>Stackd Consulting : GA4 + Blog</t>
  </si>
  <si>
    <t>comprehensive GA4 upgrade + separate blog</t>
  </si>
  <si>
    <t>PPC Audit, GA4 install, Shopify App Setup</t>
  </si>
  <si>
    <t>Fractional CMO Search Ads for Crisp Media - monitoring, optimization and reporting</t>
  </si>
  <si>
    <t>Title</t>
  </si>
  <si>
    <t>Billing Frequency</t>
  </si>
  <si>
    <t>Amount</t>
  </si>
  <si>
    <t>Cur</t>
  </si>
  <si>
    <t>Project Start</t>
  </si>
  <si>
    <t>Commission</t>
  </si>
  <si>
    <t>Com. %</t>
  </si>
  <si>
    <t>Expected Next Invoice</t>
  </si>
  <si>
    <t>Most Recent Invoice Date</t>
  </si>
  <si>
    <t>I</t>
  </si>
  <si>
    <t>Keep</t>
  </si>
  <si>
    <t>Leave Blank</t>
  </si>
  <si>
    <t>5th Gear : General Support</t>
  </si>
  <si>
    <t>5th Gear</t>
  </si>
  <si>
    <t>General Support</t>
  </si>
  <si>
    <t>Hourly</t>
  </si>
  <si>
    <t>Hourly support as needed</t>
  </si>
  <si>
    <t>Active</t>
  </si>
  <si>
    <t>AbodeZero</t>
  </si>
  <si>
    <t>Monthly Services</t>
  </si>
  <si>
    <t>Closed</t>
  </si>
  <si>
    <t>Advisicon</t>
  </si>
  <si>
    <t>Case Study Project</t>
  </si>
  <si>
    <t>Fixed Project</t>
  </si>
  <si>
    <t>Build the case study section of the site</t>
  </si>
  <si>
    <t>Maintance &amp; Speed Optimization</t>
  </si>
  <si>
    <t>Premium Hosting</t>
  </si>
  <si>
    <t>Quarterly Website Maintenance Support</t>
  </si>
  <si>
    <t>Quarterly Website Maintenance Support - November 2023 to January2024 (Prepaid)</t>
  </si>
  <si>
    <t>AEON : Website</t>
  </si>
  <si>
    <t>AEON</t>
  </si>
  <si>
    <t>Website</t>
  </si>
  <si>
    <t>Not a project</t>
  </si>
  <si>
    <t>Allsalt</t>
  </si>
  <si>
    <t>900 for PPC setup in first month (December), then 300/mo</t>
  </si>
  <si>
    <t>SEO Review</t>
  </si>
  <si>
    <t>Alluvial Consulting : Grant Program</t>
  </si>
  <si>
    <t>Alluvial Consulting</t>
  </si>
  <si>
    <t>Grant Program</t>
  </si>
  <si>
    <t>Anook Athletics</t>
  </si>
  <si>
    <t>Jan.1, 2022</t>
  </si>
  <si>
    <t>Arazy Group</t>
  </si>
  <si>
    <t>Other Projects</t>
  </si>
  <si>
    <t>{ specific description per invoice }</t>
  </si>
  <si>
    <t>this was cancelled. invoice cancelled</t>
  </si>
  <si>
    <t>Paused</t>
  </si>
  <si>
    <t>Argos Products : Grant Program</t>
  </si>
  <si>
    <t>Argos Products</t>
  </si>
  <si>
    <t>Athlone Golf &amp; Sports</t>
  </si>
  <si>
    <t>PPC Setup</t>
  </si>
  <si>
    <t>Availed Technologies</t>
  </si>
  <si>
    <t>Aware360</t>
  </si>
  <si>
    <t>Bateman Foundation</t>
  </si>
  <si>
    <t>5 Hour Support Block</t>
  </si>
  <si>
    <t>Beacon Law</t>
  </si>
  <si>
    <t>Booginhead</t>
  </si>
  <si>
    <t>Customer First Design (Nicole Donelly)</t>
  </si>
  <si>
    <t>BookKing (Pacific Tier)</t>
  </si>
  <si>
    <r>
      <rPr>
        <rFont val="Arial"/>
        <color theme="1"/>
      </rPr>
      <t xml:space="preserve">Blended Google Ads + SEO engagement for the month of </t>
    </r>
    <r>
      <rPr>
        <rFont val="Arial"/>
        <color rgb="FFEA4335"/>
      </rPr>
      <t>CURRENT MONTH</t>
    </r>
    <r>
      <rPr>
        <rFont val="Arial"/>
        <color theme="1"/>
      </rPr>
      <t>.</t>
    </r>
  </si>
  <si>
    <t>Paused end of August 2022.</t>
  </si>
  <si>
    <t>Bratopia</t>
  </si>
  <si>
    <t>Google click costs for French Postcard</t>
  </si>
  <si>
    <t>$178.20 billthrough</t>
  </si>
  <si>
    <t>C360</t>
  </si>
  <si>
    <t>C360 Site Review</t>
  </si>
  <si>
    <t>Grasshopper Farms Site Review</t>
  </si>
  <si>
    <t>SEO Implementation</t>
  </si>
  <si>
    <t>Website Updates, Business Listing Optimization, Blog setup</t>
  </si>
  <si>
    <t>Victory360</t>
  </si>
  <si>
    <r>
      <rPr>
        <rFont val="Arial"/>
        <color theme="1"/>
      </rPr>
      <t xml:space="preserve">- </t>
    </r>
    <r>
      <rPr>
        <rFont val="Arial"/>
        <color rgb="FFEA4335"/>
      </rPr>
      <t>Month 2 of 3</t>
    </r>
    <r>
      <rPr>
        <rFont val="Arial"/>
        <color theme="1"/>
      </rPr>
      <t xml:space="preserve"> of SEO Implementation ($1000/mo)
- Google ($500) and LinkedIn Ads ($500)
- Ad Account Setup ($500)</t>
    </r>
  </si>
  <si>
    <t>Guntry Baseline SEO</t>
  </si>
  <si>
    <t>Establish baseline SEO through review, planning, and implementation where possible over the course of 3 months</t>
  </si>
  <si>
    <t>Canyon's Construction</t>
  </si>
  <si>
    <t>Web Presence &amp; SEO Project</t>
  </si>
  <si>
    <t>Web Presence &amp; SEO audit, competitor review, keyword research &amp; prioritzed list of action items.</t>
  </si>
  <si>
    <t>ColdStar</t>
  </si>
  <si>
    <t>Basic Hosting</t>
  </si>
  <si>
    <t>Yearly Flywheel hosting (prorated to 11 months)</t>
  </si>
  <si>
    <t>Community Financials</t>
  </si>
  <si>
    <t>Crisp Media</t>
  </si>
  <si>
    <t>Aspect Engineers Review</t>
  </si>
  <si>
    <t>all invoiced</t>
  </si>
  <si>
    <t>Crisp Media : Well Seasoned</t>
  </si>
  <si>
    <t>Well Seasoned</t>
  </si>
  <si>
    <t>Well Seasoned SEO Review</t>
  </si>
  <si>
    <t>WRKOUT PPC</t>
  </si>
  <si>
    <t>Customer First Design</t>
  </si>
  <si>
    <t>Emotionality Website + Hosting for 2022</t>
  </si>
  <si>
    <t>rebuild emotionality website in wordpress and host on flywheel until end of 2022</t>
  </si>
  <si>
    <t>Garibaldi Website</t>
  </si>
  <si>
    <t>Diversified Health</t>
  </si>
  <si>
    <t>Dueplex</t>
  </si>
  <si>
    <t>Flywheel</t>
  </si>
  <si>
    <t>Partnership Payment</t>
  </si>
  <si>
    <t>Food Love Club</t>
  </si>
  <si>
    <t>SEO Audit</t>
  </si>
  <si>
    <t>Frank &amp; Ellis</t>
  </si>
  <si>
    <t>Online Presence Review + PPC Setup</t>
  </si>
  <si>
    <t>Giga Tires</t>
  </si>
  <si>
    <t>Hastings House</t>
  </si>
  <si>
    <t>Turks and Caicos Reserverations</t>
  </si>
  <si>
    <t>Hey Blinds</t>
  </si>
  <si>
    <t>Ideon</t>
  </si>
  <si>
    <t>IMBA Medical</t>
  </si>
  <si>
    <t>Linkedin Advertising setup
Google Search advertising setup and reporting
Google Analtyics setup</t>
  </si>
  <si>
    <t>InPlace Technology : 5 Hour Support Block</t>
  </si>
  <si>
    <t>InPlace Technology</t>
  </si>
  <si>
    <t>Joel Kohm</t>
  </si>
  <si>
    <t>Life UNPacked</t>
  </si>
  <si>
    <t>Loco BC</t>
  </si>
  <si>
    <t>Survey</t>
  </si>
  <si>
    <t>Maple Leaf Adventures</t>
  </si>
  <si>
    <t>10 Hour Support Block</t>
  </si>
  <si>
    <t>McAllister Marketing</t>
  </si>
  <si>
    <t>FTS Support Section</t>
  </si>
  <si>
    <t>Measurand</t>
  </si>
  <si>
    <t>Initial SEO, PPC &amp; Website Work</t>
  </si>
  <si>
    <t>Work for Measurand, 3VG and RST: Web Presence, SEO &amp; Competitor Analysis for all 3 sites, Pardot/SF form integration, Speed Optimization of 3 sites, Tracking Overhaul for 3 sites , High Level Google Ads Audit for 3 sites</t>
  </si>
  <si>
    <t>Monk</t>
  </si>
  <si>
    <t>MortgagePal</t>
  </si>
  <si>
    <t>New Growth Ecommerce Inc</t>
  </si>
  <si>
    <t>Dec.15, 2021</t>
  </si>
  <si>
    <t>OA Region 6</t>
  </si>
  <si>
    <t>OA Region 6 : Basic Hosting</t>
  </si>
  <si>
    <t>Annual website hosting for 2022 – high performance WordPress hosting with SSL, added security, staging site and daily backups. Includes mid-year plug-in check-in &amp; basic plug-in updates (critical for security - monthly options also available).</t>
  </si>
  <si>
    <t>Olivia Shoppe</t>
  </si>
  <si>
    <t>PlusROI : Internal Skills and Capabilities Development</t>
  </si>
  <si>
    <t>PlusROI</t>
  </si>
  <si>
    <t>Internal Skills and Capabilities Development</t>
  </si>
  <si>
    <t>PlusROI : Admin</t>
  </si>
  <si>
    <t>Admin</t>
  </si>
  <si>
    <t>Admin / Meetings</t>
  </si>
  <si>
    <t>PlusROI : Marketing</t>
  </si>
  <si>
    <t>Marketing</t>
  </si>
  <si>
    <t>PlusROI : Overhead</t>
  </si>
  <si>
    <t>Overhead</t>
  </si>
  <si>
    <t>General Fees, Etc.</t>
  </si>
  <si>
    <t>PMDI : Grant Program</t>
  </si>
  <si>
    <t>PMDI</t>
  </si>
  <si>
    <t>website and ppc</t>
  </si>
  <si>
    <t>Website Update Project</t>
  </si>
  <si>
    <t>{description per invoice}</t>
  </si>
  <si>
    <t>Prime Engineering</t>
  </si>
  <si>
    <t>Rama Meditation Society</t>
  </si>
  <si>
    <t>Monthly Hosting &amp; Updates</t>
  </si>
  <si>
    <t>Red Seal</t>
  </si>
  <si>
    <t>Sacred Deathcare</t>
  </si>
  <si>
    <t>Digital Presence Review &amp; Report</t>
  </si>
  <si>
    <t>Review of website presence with report</t>
  </si>
  <si>
    <t>Service First</t>
  </si>
  <si>
    <t>Shopify</t>
  </si>
  <si>
    <t>Partner Payment</t>
  </si>
  <si>
    <t>Spraggs</t>
  </si>
  <si>
    <t>Stackd Consulting : 10 Hour Support Block</t>
  </si>
  <si>
    <t>Stackd Consulting</t>
  </si>
  <si>
    <t>Starfish Medical</t>
  </si>
  <si>
    <t>Technology Rivers</t>
  </si>
  <si>
    <t>The Academy</t>
  </si>
  <si>
    <t>billed annually for the calendar year with invoice sent one month in advance</t>
  </si>
  <si>
    <t>Tires Easy</t>
  </si>
  <si>
    <r>
      <rPr/>
      <t xml:space="preserve">Monthly Services for </t>
    </r>
    <r>
      <rPr>
        <color rgb="FF1155CC"/>
        <u/>
      </rPr>
      <t>Tires-Easy.com</t>
    </r>
  </si>
  <si>
    <t>Tires Easy : Monthly Services for Tires Easy Truck</t>
  </si>
  <si>
    <t>Monthly Services for Tires Easy Truck</t>
  </si>
  <si>
    <t>TisBest</t>
  </si>
  <si>
    <t>Hosting and occasional support as needed</t>
  </si>
  <si>
    <t>Hosting</t>
  </si>
  <si>
    <t>Flywheel hosting</t>
  </si>
  <si>
    <t>Tofino Resort + Marina</t>
  </si>
  <si>
    <t>Tugwell</t>
  </si>
  <si>
    <t>6 Month PPC</t>
  </si>
  <si>
    <t>1st Month Deposit
1st Month Final + 2nd Month
Monthly * 5</t>
  </si>
  <si>
    <t>Tuscany</t>
  </si>
  <si>
    <t>UnityWest Capital</t>
  </si>
  <si>
    <t>Scryb 3 Month PPC</t>
  </si>
  <si>
    <t>VADARTS</t>
  </si>
  <si>
    <t>Venetian</t>
  </si>
  <si>
    <t>VIATeC : Sweeping Beauty DER3</t>
  </si>
  <si>
    <t>VIATeC</t>
  </si>
  <si>
    <t>Sweeping Beauty DER3</t>
  </si>
  <si>
    <t>Der3 Package</t>
  </si>
  <si>
    <t>VIATeC : Nezza Naturals DER3</t>
  </si>
  <si>
    <t>Nezza Naturals DER3</t>
  </si>
  <si>
    <t>VIATeC : Motorcycle Offsetters</t>
  </si>
  <si>
    <t>Motorcycle Offsetters</t>
  </si>
  <si>
    <t>VIATeC : Bateman Foundation</t>
  </si>
  <si>
    <t xml:space="preserve">VIATeC : Arostegui Studio				</t>
  </si>
  <si>
    <t xml:space="preserve">Arostegui Studio				</t>
  </si>
  <si>
    <t>Viridian</t>
  </si>
  <si>
    <t>VRX</t>
  </si>
  <si>
    <t>PPC Spend is on Rian's Card. We need to keep on top of this so we don't overspend</t>
  </si>
  <si>
    <t>Wallack's Art Supplies</t>
  </si>
  <si>
    <t>Zinc Strategies : 5 Hour Support Block</t>
  </si>
  <si>
    <t>Zinc Strategies</t>
  </si>
  <si>
    <t>Howard Fine Jewellers</t>
  </si>
  <si>
    <t>Howard SEO Review &amp; Recommendations</t>
  </si>
  <si>
    <t>Keyword research, drafting of SEO Matrix, initial on-site recommendations, web presense &amp; SEO review &amp; recommendations.</t>
  </si>
  <si>
    <t>CAAT Canada</t>
  </si>
  <si>
    <t>Ongoing SEO Projects</t>
  </si>
  <si>
    <t>{ depends on project }</t>
  </si>
  <si>
    <t>Jericho Energy Ventures 6 month project</t>
  </si>
  <si>
    <t>Monthly (6 mo)</t>
  </si>
  <si>
    <t>Implementation of Digistox PPC plan</t>
  </si>
  <si>
    <t>Need to confirm ongoing monthly amount</t>
  </si>
  <si>
    <t>Genus Capital Managment Support</t>
  </si>
  <si>
    <t>Website Updates</t>
  </si>
  <si>
    <t>Waypoint</t>
  </si>
  <si>
    <t>Website Project</t>
  </si>
  <si>
    <t>Website Support Project</t>
  </si>
  <si>
    <t>Anavara</t>
  </si>
  <si>
    <t>Website Development</t>
  </si>
  <si>
    <t>Deposit Prepaid
1/3 of Remainder Milestone
1/3 of Remainder Milestone
1/3 of Remainder Milestone Final</t>
  </si>
  <si>
    <t>- $1500 website mockups including reviewing compeittor websites (payable to start project)
- $3650 deposit on building website based on mockups (payable before starting development of website)
- $3650 milestone payment upon completion of staging site (payable after reviewable staging site is avaialble)
- $3650 final website completion payment (required prior to launch)
Milestone payment amounts subject to review after mockup phase in case of scope change or other changing circumstances</t>
  </si>
  <si>
    <t>Anavara : Google Ads Overhaul</t>
  </si>
  <si>
    <t>Google Ads Overhaul</t>
  </si>
  <si>
    <t>Overhaul Google Ads Account including 2 months monitoring and a wrapup report</t>
  </si>
  <si>
    <t>Terra Insights</t>
  </si>
  <si>
    <t>PPC Overhauls and SEO Matrix</t>
  </si>
  <si>
    <t>One-Time PPC Overhaul for 3VGeomatics
One-Time PPC Overhaul for Syscom
- One-Time Optimzation of Account for RST Instruments
- One-Time Optimization of Account for Measurand
- Monitoring and discussions related to all PPC accounts for the month of May
- Month End PPC Report and Recommendations
- SEO Matrix development for 25 most important pages on RST, Measurance, and 3vGeomatics
NOTE: ongoing monthly PPC work has been quted at $500/site but not approved within the scope of this initial project</t>
  </si>
  <si>
    <t>Genus Capital Managment PPC</t>
  </si>
  <si>
    <t>FIKSE Wheels : Google First Month Search Ad Setup</t>
  </si>
  <si>
    <t>FIKSE Wheels</t>
  </si>
  <si>
    <t>Google First Month Search Ad Setup</t>
  </si>
  <si>
    <t>50% of $1020 Total: Google Ads research &amp; setup, plus first month optimization, monitoring and reporting.</t>
  </si>
  <si>
    <t>True Bijoux</t>
  </si>
  <si>
    <t>Web Presence Review &amp; Recommendations</t>
  </si>
  <si>
    <t>Web presence review including SEO, conversion and technical suggestions in the form of a written report &amp; prioritized recommendations. Also include high level Google Ads review.</t>
  </si>
  <si>
    <t>Big Hammer Wines</t>
  </si>
  <si>
    <t>Google Search and Shopping Overhaul</t>
  </si>
  <si>
    <t>Saanich Peninsula Chamber of Commerce</t>
  </si>
  <si>
    <t>Website Staging</t>
  </si>
  <si>
    <t>setup staging environment for new website and do a 2 hour training session to learn how to use it</t>
  </si>
  <si>
    <t>Moloco</t>
  </si>
  <si>
    <t>Initial Streamlined Search Ad Setup</t>
  </si>
  <si>
    <t>Google Search Campaign monitoring, optimization and reporting.</t>
  </si>
  <si>
    <t>Maka Health</t>
  </si>
  <si>
    <t>Quick Site</t>
  </si>
  <si>
    <t>Johns Hopkins University PPC Setup</t>
  </si>
  <si>
    <t>Johns Hopkins University PPC Management</t>
  </si>
  <si>
    <t>Ongoing PPC and SEO Support</t>
  </si>
  <si>
    <t>Phase II: Johns Hopkins University PPC Management</t>
  </si>
  <si>
    <t>Bevridge</t>
  </si>
  <si>
    <t>PPC, Analytics &amp; Landing Page work</t>
  </si>
  <si>
    <t>July-September campaign creation and execution plus landing page and Analytics setup.</t>
  </si>
  <si>
    <t>Canyon's Construction : Other Projects</t>
  </si>
  <si>
    <t>Website Review</t>
  </si>
  <si>
    <t>Website review and suggestions related to SEO, competitors, and general presences</t>
  </si>
  <si>
    <t>Continuity Programs Inc.</t>
  </si>
  <si>
    <t>Website Relaunch and SEO Review</t>
  </si>
  <si>
    <t>General review and strategy help including:
- short term startegy notes
- general review and report of new site(s)
- relaunch plan
- SEO Matrix
- final review meeting</t>
  </si>
  <si>
    <t>{ describe per project }</t>
  </si>
  <si>
    <t>PPC Work</t>
  </si>
  <si>
    <t>{ describer per project, update if it goes to monthly }</t>
  </si>
  <si>
    <t>ASASoft</t>
  </si>
  <si>
    <t>Loud+Clear</t>
  </si>
  <si>
    <t>Hourly Work</t>
  </si>
  <si>
    <t>Graphic Work</t>
  </si>
  <si>
    <t>Monthly PPC</t>
  </si>
  <si>
    <t>Charli AI</t>
  </si>
  <si>
    <t>Villa del Mar</t>
  </si>
  <si>
    <r>
      <rPr/>
      <t xml:space="preserve">Rebuild of </t>
    </r>
    <r>
      <rPr>
        <color rgb="FF1155CC"/>
        <u/>
      </rPr>
      <t>villadelmar.com</t>
    </r>
    <r>
      <rPr/>
      <t xml:space="preserve"> website and relaunch on Flywheel</t>
    </r>
  </si>
  <si>
    <t>eBlast</t>
  </si>
  <si>
    <t>The Sands</t>
  </si>
  <si>
    <t>The Sands Quick Rebuild</t>
  </si>
  <si>
    <r>
      <rPr/>
      <t xml:space="preserve">Quick rebuild of </t>
    </r>
    <r>
      <rPr>
        <color rgb="FF1155CC"/>
        <u/>
      </rPr>
      <t>thesandstc.com</t>
    </r>
    <r>
      <rPr/>
      <t xml:space="preserve"> in a modern wordpress environment.</t>
    </r>
  </si>
  <si>
    <t>Sands Owners Site Rebuild</t>
  </si>
  <si>
    <r>
      <rPr/>
      <t xml:space="preserve">Quick rebuild of </t>
    </r>
    <r>
      <rPr>
        <color rgb="FF1155CC"/>
        <u/>
      </rPr>
      <t>thesandsowners.com</t>
    </r>
    <r>
      <rPr/>
      <t xml:space="preserve"> in a modern wordpress environment with a design that matches the new website branding</t>
    </r>
  </si>
  <si>
    <t>10 Hour General Support Block</t>
  </si>
  <si>
    <t>The Palms</t>
  </si>
  <si>
    <t>10 hours of prepaid web support time for the Palms</t>
  </si>
  <si>
    <t>The Shore Club</t>
  </si>
  <si>
    <t>Technical Transition Project</t>
  </si>
  <si>
    <t>Migrating assets and organizing account logins for all Hartling Group websites, including getting them over to Flywheel Hosting and a Hartling Group domain registry. Shared cost accross all 3 properties.</t>
  </si>
  <si>
    <t>Palms Owners Site Rebuild</t>
  </si>
  <si>
    <r>
      <rPr/>
      <t xml:space="preserve">Quick rebuild of </t>
    </r>
    <r>
      <rPr>
        <color rgb="FF1155CC"/>
        <u/>
      </rPr>
      <t>thepalmsowners.com</t>
    </r>
    <r>
      <rPr/>
      <t xml:space="preserve"> in a modern wordpress environment with a design that matches the new website branding</t>
    </r>
  </si>
  <si>
    <t>Shore Club Owners Site Rebuild</t>
  </si>
  <si>
    <r>
      <rPr/>
      <t xml:space="preserve">Quick rebuild of </t>
    </r>
    <r>
      <rPr>
        <color rgb="FF1155CC"/>
        <u/>
      </rPr>
      <t>theshoreclubowners.com</t>
    </r>
    <r>
      <rPr/>
      <t xml:space="preserve"> in a modern wordpress environment with a design that matches the new website branding</t>
    </r>
  </si>
  <si>
    <t>Website Hosting</t>
  </si>
  <si>
    <t xml:space="preserve">Annual Website Hosting </t>
  </si>
  <si>
    <t>Website Hosting for January-December 2023 ($40/month each for the main site and the owners site + 1/3 Hartling Group Hosting, which is split evenly amongst the 3 properties).</t>
  </si>
  <si>
    <t>Annual Website Hosting</t>
  </si>
  <si>
    <t>Turks and Caicos Reservations</t>
  </si>
  <si>
    <t>General Projects</t>
  </si>
  <si>
    <t>{ description per project }</t>
  </si>
  <si>
    <t>Click. Sip. Learn. Campaign</t>
  </si>
  <si>
    <t>SEO Project</t>
  </si>
  <si>
    <t>Payment Gateway</t>
  </si>
  <si>
    <t>{ based on project phase }</t>
  </si>
  <si>
    <t>Website Rebuild including the "Website Consolidation", "On-Page-SEO Implementation", 'Tracking", and "Content Creation" sections of the proposal oulined here: https://docs.google.com/document/d/1KgTEivf2fWK3oOgfRQ4gNNkEs6SVVUIeXfqL1BoUrmY/edit#</t>
  </si>
  <si>
    <t>Combine soulpasssages and sacreddeathcare into one website. Including backend rebuild. Design and content will match the existing site and content except where nessesary to tweak slightly.</t>
  </si>
  <si>
    <t>YogiTunes</t>
  </si>
  <si>
    <t>3 Month Ads Engagement</t>
  </si>
  <si>
    <t xml:space="preserve">App campaign setup for Google and FB, Google Search Campaign setup, basic conversion tracking setup, monthly monitoring, optimizaon and reporting. </t>
  </si>
  <si>
    <t>Classic LifeCare</t>
  </si>
  <si>
    <t>First Month Ads Setup</t>
  </si>
  <si>
    <t>Setup for Comox and Calgary Search Ad campaigns with 3 ad groups plus configuration of conversions, monitoring optimization and reporting.</t>
  </si>
  <si>
    <t>Monthly Google Ads (PPC) Management</t>
  </si>
  <si>
    <t>Ultimate Tools</t>
  </si>
  <si>
    <t>Monthly SEO &amp; PPC Management</t>
  </si>
  <si>
    <t>Bi-monthly PPC Mgmt</t>
  </si>
  <si>
    <t>Bi-Monthly</t>
  </si>
  <si>
    <t>Jan.1, 2023</t>
  </si>
  <si>
    <t>Rian to add "bi-monthly" as billing option. This will be billed Jan 2023 month end for Jan-Feb and then billed at end of March, May, July, etc</t>
  </si>
  <si>
    <t>Dinning Hunter</t>
  </si>
  <si>
    <t>Markey Machinery</t>
  </si>
  <si>
    <t>Spring Activator</t>
  </si>
  <si>
    <t xml:space="preserve">Ads and Analytics kickoff plus site support </t>
  </si>
  <si>
    <t>Google Ads account &amp; campaign creation and first month monitoring and reporting ($1200). Page creation for HubSpot forms, removal onsite UTM tracking, goals for new forms ($750)</t>
  </si>
  <si>
    <t>MJM Architect</t>
  </si>
  <si>
    <t>Website Updates and Analytics</t>
  </si>
  <si>
    <t>Website, Survey &amp; Baseline SEO Updates ($1900):
- High priority technical fixes (image optimization) plus quick plugin and performance review (which could lead to other suggestions).
- Keyword research and keyword optimization of the home page plus the 2 service pages.
- Drafting and implementation of properly structured and written meta page titles and meta page descriptions for all 10 pages.
- On page optimization including applying H1 tags on optimized pages plus on-site linking updates (for architecture and design services) from Home and About Pages plus  addition of appropriate calls to action with links to service page  .
- Embedding of Google Business Profile Map on Contact Page
- Drafting of additional suggestions you might consider.
- Addition of embedded survey to website on "Survey" page.
Analytics Setup ($500):
- Setup of Google Tag Manager, Google Analytics &amp; Google Search Console. These are all critical to the understanding of your site performance, site health and SEO situation and it appears they are not currently in place on the website.</t>
  </si>
  <si>
    <t>Crescent Spur Heli-Skiing</t>
  </si>
  <si>
    <t>Google Search Campaigns</t>
  </si>
  <si>
    <t xml:space="preserve">60 day engagement for Google Search Ads &amp; Landing Page </t>
  </si>
  <si>
    <t>Google PPC Mgmt</t>
  </si>
  <si>
    <t>Monthly Genus Google PPC Mgmt</t>
  </si>
  <si>
    <t>STNVideo</t>
  </si>
  <si>
    <t>Doublecheck on Keyword Research, Page Suggestions, SEO Matrix, On Page Suggestions, Review Call</t>
  </si>
  <si>
    <t>Liz Robertson Design</t>
  </si>
  <si>
    <t>Landing Page Project</t>
  </si>
  <si>
    <t>Salty Waffle</t>
  </si>
  <si>
    <t>{ per project }</t>
  </si>
  <si>
    <t>Annual Hosting</t>
  </si>
  <si>
    <t>Email Blast</t>
  </si>
  <si>
    <t>Arcwell</t>
  </si>
  <si>
    <t>Arcwell Initial Reveiw</t>
  </si>
  <si>
    <t>Draft of iniital review as outlined in "Arcwell Search Marketing.pdf"</t>
  </si>
  <si>
    <t>PPC, LP &amp; Listings</t>
  </si>
  <si>
    <t>3 month Google ads program including click charges ($4800), Major Renos page creation ($500), SEO directory work ($600)</t>
  </si>
  <si>
    <t>Sacred Deathcare : Hosting</t>
  </si>
  <si>
    <t>Anavara : Hosting</t>
  </si>
  <si>
    <t>Nova Clinical Services</t>
  </si>
  <si>
    <t>Domain Troubleshooting</t>
  </si>
  <si>
    <t>Domain troubleshooting &amp; recovery, including hosting &amp; transfer fees</t>
  </si>
  <si>
    <t>Copernic PPC / SEO</t>
  </si>
  <si>
    <t>GA4 Upgrade</t>
  </si>
  <si>
    <t>Community Financials : GA4 Upgrade</t>
  </si>
  <si>
    <t>VINN</t>
  </si>
  <si>
    <t>Switcthing to $7000 for March and April and targeting $6000/month thereafter (pending confirmation)</t>
  </si>
  <si>
    <t>GreenLane Offroad</t>
  </si>
  <si>
    <t>Review</t>
  </si>
  <si>
    <t>Web marketing review &amp; recommendations with a focus on Search &amp; Convertion opportunities.</t>
  </si>
  <si>
    <t>ESKO Pacific</t>
  </si>
  <si>
    <r>
      <rPr/>
      <t xml:space="preserve">Website rebuild and tracking according to the scope outlined in the proposal here: </t>
    </r>
    <r>
      <rPr>
        <color rgb="FF1155CC"/>
        <u/>
      </rPr>
      <t>https://docs.google.com/document/d/1J0htQrCHFJwUMxRGiHitkMEE9T3aKQbUmMlIcPlXVpM/edit</t>
    </r>
  </si>
  <si>
    <t>Maintainance Retainer</t>
  </si>
  <si>
    <t>True Reliance</t>
  </si>
  <si>
    <t>Website + Content</t>
  </si>
  <si>
    <t>Luxe Bridal LLC</t>
  </si>
  <si>
    <t xml:space="preserve">Pre-billed for first month (Feb 28th for month of March), then moved to month-end billing (April 30 for April). First 3 months are @ $2590, then likely moving to $1750/mo </t>
  </si>
  <si>
    <t>Luxe Bridal LLC (LJM)</t>
  </si>
  <si>
    <t>Pre-billed for first month (Feb 28th for month of March), then moved to month-end billing (April 30 for April). First 3 months are @ $1110, then likely moving to $750/mo</t>
  </si>
  <si>
    <t>WhistleBlower Security</t>
  </si>
  <si>
    <t>McAllister  Marketing</t>
  </si>
  <si>
    <t>Prepaid suppor hours</t>
  </si>
  <si>
    <t>GDPR Compliance Update</t>
  </si>
  <si>
    <t>Sharon Wardle</t>
  </si>
  <si>
    <t>5 Hours General Support</t>
  </si>
  <si>
    <t>Markey Machine</t>
  </si>
  <si>
    <t>General Support Retainer</t>
  </si>
  <si>
    <t>Tailbase</t>
  </si>
  <si>
    <t>SEO Support</t>
  </si>
  <si>
    <t>0 / 30</t>
  </si>
  <si>
    <t>SEO support for 20 pages on new Tailbase website, including research &amp; documentation as per proposal.</t>
  </si>
  <si>
    <t>PPC, SEO &amp; Analytics Work</t>
  </si>
  <si>
    <t>Billed at end of March, April &amp; May, then new proposal/price.</t>
  </si>
  <si>
    <t>Cobble Beach</t>
  </si>
  <si>
    <r>
      <rPr/>
      <t xml:space="preserve">Upgrade </t>
    </r>
    <r>
      <rPr>
        <color rgb="FF1155CC"/>
        <u/>
      </rPr>
      <t>cobblebeach.com</t>
    </r>
    <r>
      <rPr/>
      <t xml:space="preserve"> and </t>
    </r>
    <r>
      <rPr>
        <color rgb="FF1155CC"/>
        <u/>
      </rPr>
      <t>livecobblebeach.com</t>
    </r>
    <r>
      <rPr/>
      <t xml:space="preserve"> to GA4</t>
    </r>
  </si>
  <si>
    <t>3 Month Google Ads Camapign</t>
  </si>
  <si>
    <t>3 month Google Ads campaign trial.</t>
  </si>
  <si>
    <t>5 Hour General Support</t>
  </si>
  <si>
    <t>Rebuild website including redesign.</t>
  </si>
  <si>
    <t>Maker House</t>
  </si>
  <si>
    <t>Review shopify site and Google Analytics / Search Console</t>
  </si>
  <si>
    <t>Grant Project</t>
  </si>
  <si>
    <t>Monthly PPC and SEO</t>
  </si>
  <si>
    <t>Microassist</t>
  </si>
  <si>
    <t>3 Month Initial PPC Project</t>
  </si>
  <si>
    <t>Initial 3 Month Google Ads Optimization Project</t>
  </si>
  <si>
    <t>GA4 Upgrades</t>
  </si>
  <si>
    <t>GA4 Upgrades for costal heat pumps, homewise, mcallister, paper excelence</t>
  </si>
  <si>
    <t>Ergo Eco</t>
  </si>
  <si>
    <t>{ need to fill this out }</t>
  </si>
  <si>
    <t>Survey Project</t>
  </si>
  <si>
    <t>Limbic Media</t>
  </si>
  <si>
    <t>Red Ear Research</t>
  </si>
  <si>
    <t>Simple 1 page website</t>
  </si>
  <si>
    <t>Client GA4 Upgrades</t>
  </si>
  <si>
    <t>Essentials GA4 Setup for clients</t>
  </si>
  <si>
    <t>Comprehensive GA4 Update</t>
  </si>
  <si>
    <t>Monthly Ads Support</t>
  </si>
  <si>
    <t>ended at end of August</t>
  </si>
  <si>
    <t>Spraggs : GA4 Upgrade</t>
  </si>
  <si>
    <t>GA4 essentials upgrade</t>
  </si>
  <si>
    <t>HSJ Lawyers : Grant WorkTracking and Payment Update</t>
  </si>
  <si>
    <t>Grant WorkTracking and Payment Update</t>
  </si>
  <si>
    <t>Ecommerce payment page with "print receipt" feature ($600). Comprehensive GA4 setup and SEO review &amp; recommendations.</t>
  </si>
  <si>
    <t>Acton ADU</t>
  </si>
  <si>
    <t>Web Presence, SEO &amp; CRO Audit</t>
  </si>
  <si>
    <t>Web Presence, SEO &amp; CRO Audit including keyword and competitor research and prioritized action list.</t>
  </si>
  <si>
    <t>We are also doing SEO &amp; PPC for them but for month 1 we'll be starting with the audit &amp; PPC, then adding SEO in month 2</t>
  </si>
  <si>
    <t>Monthly SEO &amp; PPC</t>
  </si>
  <si>
    <t>Monthly SEO work ($2500) &amp; Google Ads management, optimization and reporting ($1500).</t>
  </si>
  <si>
    <t>First month we'll do just the audit and for AUGUST we'll start the PPC &amp; SEO (mid month billing should start Aug 15).</t>
  </si>
  <si>
    <t>Website Rebuild with improvements
Tracking
Content / SEO</t>
  </si>
  <si>
    <t>Halo Programs</t>
  </si>
  <si>
    <t>PPC Project</t>
  </si>
  <si>
    <t>Two month PPC project</t>
  </si>
  <si>
    <t>Tailbase SEO Project</t>
  </si>
  <si>
    <t>Ongoing Tailbase Monthly SEO Work</t>
  </si>
  <si>
    <t>AI Smart Marketing</t>
  </si>
  <si>
    <t>Acton ADU New WordPress Website + Content</t>
  </si>
  <si>
    <t>Alcohol Professor</t>
  </si>
  <si>
    <t>Mockups</t>
  </si>
  <si>
    <t>City Dogs and City Kitties</t>
  </si>
  <si>
    <t>Website Mockups and development</t>
  </si>
  <si>
    <t>GA4 + Blog</t>
  </si>
  <si>
    <t>Life UNPacked : Grant Project</t>
  </si>
  <si>
    <t>Crisp Media : Monthly PPC</t>
  </si>
  <si>
    <t>Short Name</t>
  </si>
  <si>
    <t>Official Name</t>
  </si>
  <si>
    <t>Credit Limit</t>
  </si>
  <si>
    <t>Currency</t>
  </si>
  <si>
    <t>Contact Name</t>
  </si>
  <si>
    <t>Contact Emails</t>
  </si>
  <si>
    <t>Address</t>
  </si>
  <si>
    <t>Phone</t>
  </si>
  <si>
    <t>no limit</t>
  </si>
  <si>
    <t>laura@abodezero.com</t>
  </si>
  <si>
    <t>3030 Kilpatrick Ave, Courtenay, BC V9N 8P1</t>
  </si>
  <si>
    <t>250-218-6065</t>
  </si>
  <si>
    <t>ActiveBody</t>
  </si>
  <si>
    <t>ActivBody</t>
  </si>
  <si>
    <t>mike.h@activbody.com</t>
  </si>
  <si>
    <t>4435 Eastgate Mall, Suite 100San Diego, CA 92121</t>
  </si>
  <si>
    <t>Amanda.Carlson@advisicon.com   Gayla.Bishop@advisicon.com   April.Hennerty@advisicon.com</t>
  </si>
  <si>
    <t>5411 NE 107th Avenue, Vancouver, Washington 98662</t>
  </si>
  <si>
    <t>360.314.6702</t>
  </si>
  <si>
    <t>Allsalt Maritime Corporation</t>
  </si>
  <si>
    <t xml:space="preserve">no credit </t>
  </si>
  <si>
    <t>catherinecarlson@allsalt.com</t>
  </si>
  <si>
    <t>2952 Ed Nixon Terrace, Victoria, BC V9B 0B2, Canada</t>
  </si>
  <si>
    <t>250-652-6003</t>
  </si>
  <si>
    <t>mack@alluvial-consulting.com, petraskapa@gmail.com</t>
  </si>
  <si>
    <t>Victoria, BC</t>
  </si>
  <si>
    <t>(250) 886-4273</t>
  </si>
  <si>
    <t>allie@anookathletics.com, justin@anookathletics.com</t>
  </si>
  <si>
    <t>510 Hearn St Building, Austin, TX 78703</t>
  </si>
  <si>
    <t>760-613-3234</t>
  </si>
  <si>
    <t>Argos Products Ltd</t>
  </si>
  <si>
    <t>bchankent@gmail.com</t>
  </si>
  <si>
    <t>Address: 13520 Crestwood Pl #16, Richmond, BC V6V 2G3</t>
  </si>
  <si>
    <t>(604) 270-9298</t>
  </si>
  <si>
    <t>ASAsoft Canada Inc</t>
  </si>
  <si>
    <t>no credit</t>
  </si>
  <si>
    <t>rajkumar.padmawar@asasoftcanada.com</t>
  </si>
  <si>
    <t>Box 221
108-800 Kelly Road
VICTORIA, British Columbia
V9B 6J9</t>
  </si>
  <si>
    <t>wayne@athlonegolftours.com    alison@athlonegolftours.com</t>
  </si>
  <si>
    <t xml:space="preserve">13-1818 Peak Point Court   West Kelowna, British Columbia   Canada  V1Z 4B4
</t>
  </si>
  <si>
    <t>250.864.4051</t>
  </si>
  <si>
    <t>Availed Technologies Corp.</t>
  </si>
  <si>
    <t>gmiller@availedtechnologies.com</t>
  </si>
  <si>
    <t>1581-H Hillside Avenue Suite # 254, Victoria BC V8T 2C1</t>
  </si>
  <si>
    <t>BabyPage</t>
  </si>
  <si>
    <t>katie@babypage.com  yasine@babypage.com</t>
  </si>
  <si>
    <t>12231 Academy Rd NE #301-191, Albuquerque, NM 87111, US</t>
  </si>
  <si>
    <t>jbosworth@booginhead.com</t>
  </si>
  <si>
    <t>165 Front Street North • Issaquah, WA 98027</t>
  </si>
  <si>
    <t>888.660.6964 x109</t>
  </si>
  <si>
    <t>Pacific Tier Solutions</t>
  </si>
  <si>
    <t>Colette.Hamon@bratopia.ca</t>
  </si>
  <si>
    <t>1409 Edmonton Trail #102A, Calgary, AB T2E 3K8</t>
  </si>
  <si>
    <t>(403) 457-1303</t>
  </si>
  <si>
    <t>C360, LLC</t>
  </si>
  <si>
    <t>michael@c-360.agency, evander@c-360.agency, Leah@c-360.agency</t>
  </si>
  <si>
    <t>1903 Stringtown Rd, Sparks MD 21152</t>
  </si>
  <si>
    <t xml:space="preserve">410-561-8886 </t>
  </si>
  <si>
    <t>Clapp 360 Communications</t>
  </si>
  <si>
    <t>michael@clapp360.com</t>
  </si>
  <si>
    <t>6115 Falls Rd PH 2, Baltimore, MD 21209, United States</t>
  </si>
  <si>
    <t>1 410-561-8886</t>
  </si>
  <si>
    <t>ColdStar Solutions</t>
  </si>
  <si>
    <t>christine@crispmedia.ca</t>
  </si>
  <si>
    <t>101-887 Great Northern Way, Vancouver, BC V5T 4T5</t>
  </si>
  <si>
    <t>(604) 615-2279</t>
  </si>
  <si>
    <t>CXD LLC</t>
  </si>
  <si>
    <t>nicoleadonnelly@gmail.com</t>
  </si>
  <si>
    <t>8509 Spyrun Drive, Las Vegas  NV  89134</t>
  </si>
  <si>
    <t>Daxtech</t>
  </si>
  <si>
    <t>Daxtech IT Solutions</t>
  </si>
  <si>
    <t>Daxter@daxtech.ca</t>
  </si>
  <si>
    <t>206-611 Brookside Road, Victoria, BC Canada, V9C 0C3</t>
  </si>
  <si>
    <t>250-380-0377</t>
  </si>
  <si>
    <t>Diversifed Heath Clinic</t>
  </si>
  <si>
    <t>DPV Transporation</t>
  </si>
  <si>
    <t>perezd@dpvtransportation.com, luisa.gaviria@dpvtransportation.com, nicole@saltywaffle.com</t>
  </si>
  <si>
    <t>383 Second Street, Everett, MA 02149</t>
  </si>
  <si>
    <t>1.877.378.4445</t>
  </si>
  <si>
    <t>DRH Group</t>
  </si>
  <si>
    <t>The DRH Group Inc</t>
  </si>
  <si>
    <t xml:space="preserve">rob.hoosein@drh.group </t>
  </si>
  <si>
    <t>Toronto, Ontario M4G 3E1, CA</t>
  </si>
  <si>
    <t>(416) 722-4150</t>
  </si>
  <si>
    <t>Far &amp; Away</t>
  </si>
  <si>
    <t>Far &amp; Away Adventures</t>
  </si>
  <si>
    <t>norm@farandawayadventures.com</t>
  </si>
  <si>
    <t>2407 Bevan Ave, Sidney, BC V8L 0C3 Canada</t>
  </si>
  <si>
    <t xml:space="preserve">Phone: (250) 385-3001 Ext 103 </t>
  </si>
  <si>
    <t>philippe.taillefer@gmail.com</t>
  </si>
  <si>
    <t>Lasqueti Island, BC</t>
  </si>
  <si>
    <t>(250) 858-8910</t>
  </si>
  <si>
    <t xml:space="preserve">Frank &amp; Ellis Luxury Homes CDA - Tomlinson | Sotheby's International Realty </t>
  </si>
  <si>
    <t>laurie.frank@sothebysrealty.com, emily.ellis@sothebysrealty.com</t>
  </si>
  <si>
    <t>223 E Sherman Ave, Coeur d'Alene, ID 83814, United States</t>
  </si>
  <si>
    <t>1 208-691-5750</t>
  </si>
  <si>
    <t>Full Contact Marketing</t>
  </si>
  <si>
    <t>dan@fullcontactmarketing.ca, susan@fullcontactmarketing.ca</t>
  </si>
  <si>
    <t>200-5063 N Service Rd, Burlington, ON L7L 5H6</t>
  </si>
  <si>
    <t>1 800-728-6651</t>
  </si>
  <si>
    <t>gm@hastingshouse.com</t>
  </si>
  <si>
    <t>160 Upper Ganges Rd, Salt Spring Island, BC V8K 2S2</t>
  </si>
  <si>
    <t>1 800-661-9255</t>
  </si>
  <si>
    <t>remdog@gmail.com</t>
  </si>
  <si>
    <t>5572 Pie-IX Boulevard, Montreal, QC H1X 2B8</t>
  </si>
  <si>
    <t>514 924-1735</t>
  </si>
  <si>
    <t>Higher Landing</t>
  </si>
  <si>
    <t>Higher Landing Inc</t>
  </si>
  <si>
    <t>jackie@higherlanding.com</t>
  </si>
  <si>
    <t>#200, 505 - 3 Street SW, Calgary, AB T2P 3E6</t>
  </si>
  <si>
    <t>403.538.2686</t>
  </si>
  <si>
    <t>HSJ Lawyers LLP</t>
  </si>
  <si>
    <t>rstuckel@hsjlawyers.com</t>
  </si>
  <si>
    <t>204 – 1302 Seventh Avenue, Prince George, BC V2L 3P1</t>
  </si>
  <si>
    <t>250.565.8010</t>
  </si>
  <si>
    <t>Ideon Technologies Inc</t>
  </si>
  <si>
    <t>klawrence@ideon.ai</t>
  </si>
  <si>
    <t>12471 Horseshoe Way Suite 1015, Richmond, BC V7A 4X6</t>
  </si>
  <si>
    <t>1 888-704-3366</t>
  </si>
  <si>
    <t>Imperial Yellow Ventures</t>
  </si>
  <si>
    <t>Imperial Yellow Ventures Inc.</t>
  </si>
  <si>
    <t>eric@places.yoga</t>
  </si>
  <si>
    <t>michelle@makahealth.com</t>
  </si>
  <si>
    <t>Squamish, BC</t>
  </si>
  <si>
    <t>(604) 454-8302</t>
  </si>
  <si>
    <t>andrew@inplacetechnology.com</t>
  </si>
  <si>
    <t>13962 Enterprise Dr, Garden Grove, CA 92843</t>
  </si>
  <si>
    <t>t 562-366-3557 x110</t>
  </si>
  <si>
    <t>Jetstream</t>
  </si>
  <si>
    <t>Jetstream Digital</t>
  </si>
  <si>
    <t>mike@jetstream.agency</t>
  </si>
  <si>
    <t>838 Fort St #100, Victoria, BC V8W 1H8</t>
  </si>
  <si>
    <t>(250) 686-8956</t>
  </si>
  <si>
    <t>Lexican Services</t>
  </si>
  <si>
    <t>jbkohm@shaw.ca</t>
  </si>
  <si>
    <t>Barrister &amp; Solicitor (ret)
302-2483 Spruce Street
Vancouver BC  V6H 4J2</t>
  </si>
  <si>
    <t>778.989.6462</t>
  </si>
  <si>
    <t>Life Unpacked</t>
  </si>
  <si>
    <t xml:space="preserve">erin@lifeunpacked.com </t>
  </si>
  <si>
    <t>justin@limbicmedia.ca</t>
  </si>
  <si>
    <t>740 Discovery St, Victoria, BC V8T 1H2</t>
  </si>
  <si>
    <t>(778) 430-5123</t>
  </si>
  <si>
    <t>amy@locobc.com</t>
  </si>
  <si>
    <t>c/o HiVE Vancouver, #210-128 West Hastings, Vancouver, BC V6B 1G8</t>
  </si>
  <si>
    <t>604-351-1664</t>
  </si>
  <si>
    <t>Mark West</t>
  </si>
  <si>
    <t>sdmwest@icloud.com</t>
  </si>
  <si>
    <t>4B Coblenz House, Coblenz Gardens, St Anns, Port of Spain, Trinidad and Tobago, West Indies</t>
  </si>
  <si>
    <t>Monk Office Supplies</t>
  </si>
  <si>
    <t>Nancy Glazer Pearl</t>
  </si>
  <si>
    <t>mark.how@gmail.com, neil@newgrowth.co</t>
  </si>
  <si>
    <t>4-4808 West Saanich Road, Victoria, BC, V8Z 3H5</t>
  </si>
  <si>
    <t>1-858-344-9169</t>
  </si>
  <si>
    <t>NexGen Hearing</t>
  </si>
  <si>
    <t>dtade@nexgenhearing.com</t>
  </si>
  <si>
    <t>201 – 4500 West Saanich Rd.V8Z 3G2</t>
  </si>
  <si>
    <t>1-866-352-4414</t>
  </si>
  <si>
    <t>The Region 6 Assembly of Overeaters Anonymous</t>
  </si>
  <si>
    <t>thechuckfarmer@gmail.com, treasurer@oaregion6.org</t>
  </si>
  <si>
    <t>Region 6 Treasurer, P.O.Box 644, Peabody, Mass 01960</t>
  </si>
  <si>
    <t>PlusROI Online Marketing</t>
  </si>
  <si>
    <t>Polaris Motion (PMDI)</t>
  </si>
  <si>
    <t>merlic@pmdi.com</t>
  </si>
  <si>
    <t>512 Frances Ave, Victoria, BC V8Z 1A1</t>
  </si>
  <si>
    <t xml:space="preserve"> (250) 382-7249</t>
  </si>
  <si>
    <t>payables@primeeng.ca, eric.sleigh@primeeng.ca</t>
  </si>
  <si>
    <t>717 Aldebury Street, Victoria, BC V9A 5T2 Canada</t>
  </si>
  <si>
    <t>azldm01@yahoo.com</t>
  </si>
  <si>
    <t>8776 Shea Blvd., #106-554, Scottsdale, AZ 85260</t>
  </si>
  <si>
    <t>Robertson + Rocha</t>
  </si>
  <si>
    <t>liz@robertsonrocha.com, ju@robertsonrocha.com</t>
  </si>
  <si>
    <t>15115 1/2 Sunset Blvd., Suite C Pacific Palisades CA 90272</t>
  </si>
  <si>
    <t>310-948-7846</t>
  </si>
  <si>
    <t>RT Prime</t>
  </si>
  <si>
    <t>RT Prime Industries Group</t>
  </si>
  <si>
    <t xml:space="preserve">ian@rtprime.com </t>
  </si>
  <si>
    <t>101 - 1759 Sean Heights, Saanichton, BC V8M 0A5 Canada</t>
  </si>
  <si>
    <t>250.590.5297</t>
  </si>
  <si>
    <t>The Center for Sacred Deathcare</t>
  </si>
  <si>
    <t>sarah@soulpassages.ca</t>
  </si>
  <si>
    <t xml:space="preserve">nicoleadonnelly@gmail.com </t>
  </si>
  <si>
    <t>4701 SW Admiral Way, Suite #77, Seattle, WA 98116, US</t>
  </si>
  <si>
    <t>206-356-0854</t>
  </si>
  <si>
    <t>Stack'd Consulting Inc</t>
  </si>
  <si>
    <t>danderson@stackdconsulting.com, sdamberger@stackdconsulting.com</t>
  </si>
  <si>
    <t>210, 805 1st Street SW, Calgary, Alberta, T2P 7N2</t>
  </si>
  <si>
    <t>403.454.7125</t>
  </si>
  <si>
    <t>Sweeping Beauty</t>
  </si>
  <si>
    <t xml:space="preserve">Technology Rivers LLC </t>
  </si>
  <si>
    <t>gmansoor@technologyrivers.com</t>
  </si>
  <si>
    <t>12110 Sunset Hills Road, Suite 600, Reston VA  20190</t>
  </si>
  <si>
    <t>703-444-0505</t>
  </si>
  <si>
    <t>The Academy - South Bay Regional Public Safety Training</t>
  </si>
  <si>
    <t>bcheng@theacademy.ca.gov</t>
  </si>
  <si>
    <t>560 Bailey Ave. San Jose, CA 95141</t>
  </si>
  <si>
    <t>(408) 229-4299</t>
  </si>
  <si>
    <t>The Haven</t>
  </si>
  <si>
    <t>Lisa@haven.ca</t>
  </si>
  <si>
    <t>240 Davis Rd, Gabriola, BC V0R 1X1</t>
  </si>
  <si>
    <t>(250) 247-9211</t>
  </si>
  <si>
    <t>The Lost Faucet</t>
  </si>
  <si>
    <t>thelostfaucet@gmail.com</t>
  </si>
  <si>
    <t>3455 Cumberland Rd, Courtenay, BC V9N 9N6</t>
  </si>
  <si>
    <t>Tisbest Philanthropy</t>
  </si>
  <si>
    <t>simeon@tisbest.org</t>
  </si>
  <si>
    <t>317 S Bennett St Suite 201, Seattle, WA 98108, United States</t>
  </si>
  <si>
    <t>1 206-501-3005</t>
  </si>
  <si>
    <t>Mcloney@tofinoresortandmarina.com</t>
  </si>
  <si>
    <t>634 CAMPBELL STREET, PO BOX 69, TOFINO, BC, V0R 2Z0</t>
  </si>
  <si>
    <t>1-844-680-4184</t>
  </si>
  <si>
    <t>UnityWest Capital UK Ltd.</t>
  </si>
  <si>
    <t>info@unitywestcapital.com</t>
  </si>
  <si>
    <t>Mobile: +44 (0)7435 888853</t>
  </si>
  <si>
    <t>WestCoast Weddings</t>
  </si>
  <si>
    <t>laura@westcoastweddings.com</t>
  </si>
  <si>
    <t>888-793-1687</t>
  </si>
  <si>
    <t>Zinc Communication Strategies</t>
  </si>
  <si>
    <t>dana@zincstrategies.com</t>
  </si>
  <si>
    <t>1736 Haultain Street, Victoria, BC V8R 2L2</t>
  </si>
  <si>
    <t>250-203-2687</t>
  </si>
  <si>
    <t>Dueplex Inc.</t>
  </si>
  <si>
    <t>Vigen Ismailyan</t>
  </si>
  <si>
    <t xml:space="preserve">vigen@dueplex.com </t>
  </si>
  <si>
    <t>Dueplex Inc., at 254 N Lake Ave #216, Pasadena, CA 91101</t>
  </si>
  <si>
    <t>(888) 4-Dueplex</t>
  </si>
  <si>
    <t>Tugwell Creek</t>
  </si>
  <si>
    <t>Dana LeComte</t>
  </si>
  <si>
    <t>info@tugwellcreekfarm.com</t>
  </si>
  <si>
    <t>8750 West Coast Road,  Sooke, BC</t>
  </si>
  <si>
    <t>250.642.1956</t>
  </si>
  <si>
    <t>IMBA Medical Inc.</t>
  </si>
  <si>
    <t>Sven Stilzebach</t>
  </si>
  <si>
    <t>sven@imbamedical.com</t>
  </si>
  <si>
    <t>289 Cyr Ave, Vanier, ON K1L 7N6</t>
  </si>
  <si>
    <t>(613) 627-2977</t>
  </si>
  <si>
    <t>Mike Cloney</t>
  </si>
  <si>
    <t>Mike.Cloney@measurand.com</t>
  </si>
  <si>
    <t>2111, NB-640, Hanwell, NB E3C 1M7</t>
  </si>
  <si>
    <t>(506) 462-9119</t>
  </si>
  <si>
    <t xml:space="preserve">Canyon's Construction Services LLC </t>
  </si>
  <si>
    <t>Josh Gilcreest</t>
  </si>
  <si>
    <t>jgilcreest@canyonsconstruction.com</t>
  </si>
  <si>
    <t>685 S Arthur Ave Suite 5, Louisville, CO 80027</t>
  </si>
  <si>
    <t>1 303-961-6266</t>
  </si>
  <si>
    <t>Howard Fine Jewellers &amp; Custom Designers.</t>
  </si>
  <si>
    <t>Christine Palanuk</t>
  </si>
  <si>
    <t>christine@howard.ca</t>
  </si>
  <si>
    <t>220 Sparks Street, Ottawa, Ontario K1P 5C1</t>
  </si>
  <si>
    <t>613-238-3300</t>
  </si>
  <si>
    <t>Chris Robinson</t>
  </si>
  <si>
    <t>canadiananimalassistanceteam@gmail.com</t>
  </si>
  <si>
    <t>FIKSE Wheels Ltd.</t>
  </si>
  <si>
    <t>Eric Phung</t>
  </si>
  <si>
    <t>eric@fikse.com  brant@fikse.com   christine@fikse.com</t>
  </si>
  <si>
    <t>19351 94 Ave #7, Surrey, BC V4N 4E6</t>
  </si>
  <si>
    <t>(604) 371-4991</t>
  </si>
  <si>
    <t>Lindsay Appotive, Christine Palanuk</t>
  </si>
  <si>
    <t>lindsay@truebijoux.ca   christine@howard.ca</t>
  </si>
  <si>
    <t>206 Sparks St., Ottawa, ON K1P 5C1</t>
  </si>
  <si>
    <t>(613) 232-2229</t>
  </si>
  <si>
    <t xml:space="preserve">Ashok Laguduva </t>
  </si>
  <si>
    <t>alaguduva@anavara.com</t>
  </si>
  <si>
    <t>11545 Kingston Street,
Maple Ridge, BC,
Canada V2X 0Z5</t>
  </si>
  <si>
    <t>Greg Martellotto</t>
  </si>
  <si>
    <t>greg@bighammerwines.com</t>
  </si>
  <si>
    <t>13831 Danielson St, Poway, CA 92064, United States</t>
  </si>
  <si>
    <t>Alan Smith</t>
  </si>
  <si>
    <t>finance@peninsulachamber.ca</t>
  </si>
  <si>
    <t>10382 Pat Bay Highway
North Saanich, British Columbia, V8L 5S8</t>
  </si>
  <si>
    <t>250-656-3616</t>
  </si>
  <si>
    <t>Moloco LLC</t>
  </si>
  <si>
    <t>Mika Oakes</t>
  </si>
  <si>
    <t>mika@shopmoloco.com</t>
  </si>
  <si>
    <t>144 N 7th St #515, Brooklyn, NY 11249</t>
  </si>
  <si>
    <t>201.665.1326</t>
  </si>
  <si>
    <t>Liz Brusca</t>
  </si>
  <si>
    <t>liz@bevridge.co</t>
  </si>
  <si>
    <t>414 Nicora Pl, Sonoma, CA 95476, United States</t>
  </si>
  <si>
    <t>415.336.5702</t>
  </si>
  <si>
    <t>Kirk King</t>
  </si>
  <si>
    <t>KKing@continuityprograms.com</t>
  </si>
  <si>
    <t>8451 Boulder Court
PO Box 8003
Walled Lake, MI 48390</t>
  </si>
  <si>
    <t>248.669.6900</t>
  </si>
  <si>
    <t>Stan DiFruscio</t>
  </si>
  <si>
    <t>stan.difruscio@loudclear.ca</t>
  </si>
  <si>
    <t>12-111 Fourth Avenue, Suite 373
St. Catharines, ON  L2S 3P5</t>
  </si>
  <si>
    <t>Chris Scott</t>
  </si>
  <si>
    <t>chris@charli.ai, tanmay@charli.ai</t>
  </si>
  <si>
    <t>1090 Homer St #490, Vancouver, BC V6B 2W9</t>
  </si>
  <si>
    <t>(604) 340-9774</t>
  </si>
  <si>
    <t>The Hartling Group</t>
  </si>
  <si>
    <t>Karen Whitt</t>
  </si>
  <si>
    <t>accountspayable@thesandstc.com, lincoln.martin@thesandstc.com, karen.whitt@hartlinggroup.com</t>
  </si>
  <si>
    <t>Providenciales, Turks and Caicos Islands, Turks and Caicos</t>
  </si>
  <si>
    <t>(649) 941-3339</t>
  </si>
  <si>
    <t>accountspayable@yourvilladelmar.com</t>
  </si>
  <si>
    <t>Bonaventure Crescent
Providenciales
Turks and Caicos Islands</t>
  </si>
  <si>
    <t>1 877-345-4890</t>
  </si>
  <si>
    <t>The Sands at Grace Bay</t>
  </si>
  <si>
    <t>Providenciales, Turks &amp; Caicos Islands, BWI</t>
  </si>
  <si>
    <t>(649) 946-5199</t>
  </si>
  <si>
    <t>accounts.payable@theshoreclubtc.com, financial.controller@theshoreclubtc.com, karen.whitt@hartlinggroup.com</t>
  </si>
  <si>
    <t>13 Sea Breeze Close, Long Bay Beach, Providenciales, Turks &amp; Caicos, BWI</t>
  </si>
  <si>
    <t>(649)339-8000</t>
  </si>
  <si>
    <t>karen.whitt@hartlinggroup.com, financial.controller@thepalmstc.com</t>
  </si>
  <si>
    <t>Grace Bay Beach, Princess Dr, TKCA 1ZZ, Turks and Caicos Islands</t>
  </si>
  <si>
    <t>(866) 877-7256</t>
  </si>
  <si>
    <t>Lissa Miles</t>
  </si>
  <si>
    <t xml:space="preserve">lissam@classiclifecare.ca </t>
  </si>
  <si>
    <t>1200 W 73rd Ave Suite 1000, Vancouver, BC V6P 6G5</t>
  </si>
  <si>
    <t>604-753-8908</t>
  </si>
  <si>
    <t>Alex King-Harris</t>
  </si>
  <si>
    <t>alex@yogitunes.com</t>
  </si>
  <si>
    <t>Dan Clermont</t>
  </si>
  <si>
    <t>dan@ultimatetools.ca</t>
  </si>
  <si>
    <t>3847 1st Ave, Burnaby, BC V5C 3V6</t>
  </si>
  <si>
    <t>(604) 291-9663</t>
  </si>
  <si>
    <t>Dinning Hunter Jackson Law</t>
  </si>
  <si>
    <t>Paula Williams</t>
  </si>
  <si>
    <t>pwilliams@dinninghunter.com</t>
  </si>
  <si>
    <t>Caroline von Hirschberg</t>
  </si>
  <si>
    <t>caroline@spring.is</t>
  </si>
  <si>
    <t>225 W 8th Ave #300, Vancouver, BC V5Y 1N3</t>
  </si>
  <si>
    <t>MJM Architect Inc</t>
  </si>
  <si>
    <t>Mylene Brousseau</t>
  </si>
  <si>
    <t>mylene@mjmarchitect.ca</t>
  </si>
  <si>
    <t>250-413-7873</t>
  </si>
  <si>
    <t>Crescent Spur Helicopter Holidays Ltd.</t>
  </si>
  <si>
    <t>Jessica Handley</t>
  </si>
  <si>
    <t>office@crescentspur.com</t>
  </si>
  <si>
    <t xml:space="preserve">Mailing Address: PO Box 44097 SOUTHCENTRE  Calgary, AB T2J 7C5
</t>
  </si>
  <si>
    <t>Office (403) 281-1107; Mobile (403) 585-8318</t>
  </si>
  <si>
    <t>Keltie Larter</t>
  </si>
  <si>
    <t>keltie.larter@stnvideo.com, jesse.taylor@stnvideo.com</t>
  </si>
  <si>
    <t>56 Bastion Square, Victoria, BC V8W 1J2</t>
  </si>
  <si>
    <t>(250) 590-1991</t>
  </si>
  <si>
    <t>Liz Robertson</t>
  </si>
  <si>
    <t>liz@lizrobertsondesign.com</t>
  </si>
  <si>
    <t>15115 1/2 Sunset Blvd Suite C, Pacific Palisades, CA 90272, United States</t>
  </si>
  <si>
    <t xml:space="preserve">310.948.7846 </t>
  </si>
  <si>
    <t>Arcwell + VitaHelix Nutraceuticals Ltd.</t>
  </si>
  <si>
    <t>Ting Yu</t>
  </si>
  <si>
    <t>ting@vitahelix.com, lily@vitahelix.com</t>
  </si>
  <si>
    <t xml:space="preserve">2930 Amy Rd #112, Victoria, BC V9B 0B2
</t>
  </si>
  <si>
    <t>Wayne Ghesquiere</t>
  </si>
  <si>
    <t>wghesquiere@novaclinical.com</t>
  </si>
  <si>
    <t>ALREADY IN QUICKBOOKS!</t>
  </si>
  <si>
    <t>VINN Automotive Technologies Limited</t>
  </si>
  <si>
    <t>Jeremy Thomas</t>
  </si>
  <si>
    <t>jeremy@vinnauto.com, ap@vinnauto.com</t>
  </si>
  <si>
    <t>844 Courtney St #400, Victoria, BC V8W 1C4</t>
  </si>
  <si>
    <t xml:space="preserve"> (778) 644-5751</t>
  </si>
  <si>
    <t>GreenLane Offroad: Western Edison Manufacturing Corp</t>
  </si>
  <si>
    <t>Donovan Ma</t>
  </si>
  <si>
    <t>donovan@westernedison.com</t>
  </si>
  <si>
    <t>6825 Veyaness Rd, Saanichton, BC V8M 2A7</t>
  </si>
  <si>
    <t>Esko Pacific Sales Ltd.</t>
  </si>
  <si>
    <t>Kaarina Venalainen</t>
  </si>
  <si>
    <t>kaarina@kvphotoart.com</t>
  </si>
  <si>
    <t>3480 Gardner Court, Burnaby, B.C. V5G 3K4</t>
  </si>
  <si>
    <t>Neil &amp; Aliya Nylander</t>
  </si>
  <si>
    <t>an@bluewater-inv.com. neil.nylander@gmail.com</t>
  </si>
  <si>
    <t>Lindsay Fork</t>
  </si>
  <si>
    <t>lindsay@luxebridalllc.com     arica.gragg@bhmcpagroup.com</t>
  </si>
  <si>
    <t>642 N High St, Columbus, OH 43215</t>
  </si>
  <si>
    <t>614-754-8116</t>
  </si>
  <si>
    <t>Jason Scriven</t>
  </si>
  <si>
    <t>jason.scriven@whistleblowersecurity.com</t>
  </si>
  <si>
    <t>1455 Bellevue Ave #300, West Vancouver, BC V7T 1C3</t>
  </si>
  <si>
    <t>1 250.516.5903</t>
  </si>
  <si>
    <t>Ship and Shore Events</t>
  </si>
  <si>
    <t>swardle@muzii.com</t>
  </si>
  <si>
    <t>Markey Machine LLC</t>
  </si>
  <si>
    <t>Jeff Dempke</t>
  </si>
  <si>
    <t>JDempke@markeymachine.com</t>
  </si>
  <si>
    <t>7266 8th Ave South, Seattle, WA 98108</t>
  </si>
  <si>
    <t>(206)-622-4697</t>
  </si>
  <si>
    <t>0 / 15</t>
  </si>
  <si>
    <t>Jason Wilson</t>
  </si>
  <si>
    <t xml:space="preserve">JWilson@tailbase.com, romana@copernic.com
</t>
  </si>
  <si>
    <t>4650 Boulevard des Laurentides #350, Laval, Quebec H7K 2J4</t>
  </si>
  <si>
    <t>1 866-964-6152</t>
  </si>
  <si>
    <t>Jennelle Willis</t>
  </si>
  <si>
    <t>jennelle@cobblebeach.com</t>
  </si>
  <si>
    <t>221 McLeese Dr. Kemble ON, NOH1SO</t>
  </si>
  <si>
    <t>5903702173 x255</t>
  </si>
  <si>
    <t>Maker House Co.</t>
  </si>
  <si>
    <t>Gareth Davies</t>
  </si>
  <si>
    <t>gareth@makerhouse.com</t>
  </si>
  <si>
    <t>987 Wellington St. W. – K1Y2Y1</t>
  </si>
  <si>
    <t xml:space="preserve"> 613.422.6253</t>
  </si>
  <si>
    <t>Sanjay Nasta</t>
  </si>
  <si>
    <t>snasta@microassist.com</t>
  </si>
  <si>
    <t>8500 Shoal Creek Blvd Bldg. 4, Ste. 225, Austin, TX 78757</t>
  </si>
  <si>
    <t>512-794-8440</t>
  </si>
  <si>
    <t>Brian Roberts</t>
  </si>
  <si>
    <t>brian@ergo.eco</t>
  </si>
  <si>
    <t>#3-55 Station Street Duncan, BC V9L1M2</t>
  </si>
  <si>
    <t>1-250-597-4597</t>
  </si>
  <si>
    <t>Ab DeWeese</t>
  </si>
  <si>
    <t>abdeweese@gmail.com</t>
  </si>
  <si>
    <t>4137 Roberts Road, Grapevine, TX 76051</t>
  </si>
  <si>
    <t>1-817-773-2619</t>
  </si>
  <si>
    <t>James Parks</t>
  </si>
  <si>
    <t>james.parks@actonadu.com</t>
  </si>
  <si>
    <t>1257 Dell Ave, Campbell, CA 95008, United States</t>
  </si>
  <si>
    <t>1 408-369-1103</t>
  </si>
  <si>
    <t>kingk@haloprograms.com</t>
  </si>
  <si>
    <t>Alcohol LLC</t>
  </si>
  <si>
    <t>Adam Levy</t>
  </si>
  <si>
    <t>info@alcoholprofessor.com</t>
  </si>
  <si>
    <t>82 Jackson St
Suite B8
Hoboken NJ 07030</t>
  </si>
  <si>
    <t>Raymond Gonzales</t>
  </si>
  <si>
    <t>ray@citydogsrescuedc.org</t>
  </si>
  <si>
    <t>Ray Gonzales C/O City Dogs and City Kitties Rescue  1812 1/2 11th St. NW. Washington DC 20001</t>
  </si>
  <si>
    <t>(551) 208-7065</t>
  </si>
  <si>
    <t>Related Project</t>
  </si>
  <si>
    <t>Vendor</t>
  </si>
  <si>
    <t>Expense Date</t>
  </si>
  <si>
    <t>Expense Invoice ID</t>
  </si>
  <si>
    <t>Paid By</t>
  </si>
  <si>
    <t>Expense Category</t>
  </si>
  <si>
    <t>Google</t>
  </si>
  <si>
    <t>Client Advertising Spend</t>
  </si>
  <si>
    <t>Brennan Doyle</t>
  </si>
  <si>
    <t>Labour</t>
  </si>
  <si>
    <t>Heather Bowden</t>
  </si>
  <si>
    <r>
      <rPr/>
      <t xml:space="preserve">Tires Easy : Monthly Services for </t>
    </r>
    <r>
      <rPr>
        <color rgb="FF1155CC"/>
        <u/>
      </rPr>
      <t>Tires-Easy.com</t>
    </r>
  </si>
  <si>
    <t>Summer Coley-Ward</t>
  </si>
  <si>
    <t>Carmen Herdzik</t>
  </si>
  <si>
    <t>Emma Slone</t>
  </si>
  <si>
    <t>Yulia Ekeltchik</t>
  </si>
  <si>
    <t>Taylor Harris</t>
  </si>
  <si>
    <t>Kayla Cooper</t>
  </si>
  <si>
    <t>Facebook</t>
  </si>
  <si>
    <t>Loganix Citation Rev</t>
  </si>
  <si>
    <t>Project Costs</t>
  </si>
  <si>
    <t>PlusROI : Training</t>
  </si>
  <si>
    <t>Not Set</t>
  </si>
  <si>
    <t>Process Development</t>
  </si>
  <si>
    <t>Calendly</t>
  </si>
  <si>
    <t>General Licenses</t>
  </si>
  <si>
    <t>Zoom</t>
  </si>
  <si>
    <t>SpyFu</t>
  </si>
  <si>
    <t>Moz</t>
  </si>
  <si>
    <t>Bowden Works</t>
  </si>
  <si>
    <t>SuperMetrics</t>
  </si>
  <si>
    <t>Calandar Anything</t>
  </si>
  <si>
    <t>Bowden Works Team</t>
  </si>
  <si>
    <t>Credit Card</t>
  </si>
  <si>
    <t>availd transaction fee for november, invoice applied in october</t>
  </si>
  <si>
    <t>monk transaction fee for november, invoice applied in october</t>
  </si>
  <si>
    <t>commission from previous invoices not paid yet</t>
  </si>
  <si>
    <t>Google Ads certification</t>
  </si>
  <si>
    <t>blog &amp; website copy</t>
  </si>
  <si>
    <t>EOVI</t>
  </si>
  <si>
    <t>Pro-2021-12</t>
  </si>
  <si>
    <r>
      <rPr/>
      <t xml:space="preserve">Tires Easy : Monthly Services for </t>
    </r>
    <r>
      <rPr>
        <color rgb="FF1155CC"/>
        <u/>
      </rPr>
      <t>Tires-Easy.com</t>
    </r>
  </si>
  <si>
    <t>Native Path</t>
  </si>
  <si>
    <t>Meetings with Rob</t>
  </si>
  <si>
    <t>Gravity Forms</t>
  </si>
  <si>
    <t>Gravity Perks</t>
  </si>
  <si>
    <t>PlusROI credit card spend</t>
  </si>
  <si>
    <t>Brightlocal</t>
  </si>
  <si>
    <t>Seriously Creative</t>
  </si>
  <si>
    <t>PRO-2022-01</t>
  </si>
  <si>
    <r>
      <rPr/>
      <t xml:space="preserve">Tires Easy : Monthly Services for </t>
    </r>
    <r>
      <rPr>
        <color rgb="FF1155CC"/>
        <u/>
      </rPr>
      <t>Tires-Easy.com</t>
    </r>
  </si>
  <si>
    <t>Check-ins x4, Bird Eye demo</t>
  </si>
  <si>
    <t>Now cancelled for now</t>
  </si>
  <si>
    <t>just 50% cost assigned (other 50% to jsw)</t>
  </si>
  <si>
    <t>Docusign</t>
  </si>
  <si>
    <t>Annual Fee</t>
  </si>
  <si>
    <t>Linkedin</t>
  </si>
  <si>
    <t>For French Postcard - wrongly billed to my card</t>
  </si>
  <si>
    <t>Calculator feature that the old developer did for them instead of us doing it.</t>
  </si>
  <si>
    <r>
      <rPr/>
      <t xml:space="preserve">Tires Easy : Monthly Services for </t>
    </r>
    <r>
      <rPr>
        <color rgb="FF1155CC"/>
        <u/>
      </rPr>
      <t>Tires-Easy.com</t>
    </r>
  </si>
  <si>
    <t>PRO-2022-02</t>
  </si>
  <si>
    <t>issue now fixed - they are now paying</t>
  </si>
  <si>
    <t>Billed @.5 and .5 to JSW</t>
  </si>
  <si>
    <t>4x check in meetings</t>
  </si>
  <si>
    <t>Client Expense</t>
  </si>
  <si>
    <t>Robertson+Rocha</t>
  </si>
  <si>
    <t>Alden Loutit</t>
  </si>
  <si>
    <t>Google Certification</t>
  </si>
  <si>
    <t>PRO-2022-03</t>
  </si>
  <si>
    <r>
      <rPr/>
      <t xml:space="preserve">Tires Easy : Monthly Services for </t>
    </r>
    <r>
      <rPr>
        <color rgb="FF1155CC"/>
        <u/>
      </rPr>
      <t>Tires-Easy.com</t>
    </r>
  </si>
  <si>
    <t>5X check in meetings</t>
  </si>
  <si>
    <t>1/2 - shared with JSW</t>
  </si>
  <si>
    <t>GT Metrix</t>
  </si>
  <si>
    <t>PRO-2022-04</t>
  </si>
  <si>
    <t>Internal Review Meeting</t>
  </si>
  <si>
    <t>2 hours check in meetings</t>
  </si>
  <si>
    <r>
      <rPr/>
      <t xml:space="preserve">Tires Easy : Monthly Services for </t>
    </r>
    <r>
      <rPr>
        <color rgb="FF1155CC"/>
        <u/>
      </rPr>
      <t>Tires-Easy.com</t>
    </r>
  </si>
  <si>
    <t>Draft fee &amp; exchange loss on Victory 360 refund of overpayment</t>
  </si>
  <si>
    <r>
      <rPr/>
      <t xml:space="preserve">Tires Easy : Monthly Services for </t>
    </r>
    <r>
      <rPr>
        <color rgb="FF1155CC"/>
        <u/>
      </rPr>
      <t>Tires-Easy.com</t>
    </r>
  </si>
  <si>
    <t>Google Search &amp; Google Display Certification</t>
  </si>
  <si>
    <t>1.5 hours meetings</t>
  </si>
  <si>
    <t>2.5 hours check in meetings</t>
  </si>
  <si>
    <t>PRO-2022-05</t>
  </si>
  <si>
    <t>1/2 of total</t>
  </si>
  <si>
    <t>Entertainment</t>
  </si>
  <si>
    <t>This is the Beagle Pub Expense - need to discuss ent!</t>
  </si>
  <si>
    <t>This is 1/2 of the PPC Pricing Planner Mtg with Heather</t>
  </si>
  <si>
    <t>1/2 of the BrightLocal Membership</t>
  </si>
  <si>
    <t xml:space="preserve">Now cancelled until we need it (got a separate promo membership and can share access) </t>
  </si>
  <si>
    <t>Beacon Law Centre</t>
  </si>
  <si>
    <t>Succession Planning</t>
  </si>
  <si>
    <t>Woocommerce</t>
  </si>
  <si>
    <t>Updraft</t>
  </si>
  <si>
    <r>
      <rPr/>
      <t xml:space="preserve">Tires Easy : Monthly Services for </t>
    </r>
    <r>
      <rPr>
        <color rgb="FF1155CC"/>
        <u/>
      </rPr>
      <t>Tires-Easy.com</t>
    </r>
  </si>
  <si>
    <t>PRO-2022-06</t>
  </si>
  <si>
    <t>3 hours check in meetings</t>
  </si>
  <si>
    <t>.5 Moz (July)</t>
  </si>
  <si>
    <t>.5 Moz (June)</t>
  </si>
  <si>
    <t>6 mos each for Rama/Advisicon + 1 mo for Canyon's</t>
  </si>
  <si>
    <t>Charli.ai</t>
  </si>
  <si>
    <t>Continutity Programs Inc. : Website Relaunch and SEO Review</t>
  </si>
  <si>
    <t>3 hours check-in meetings</t>
  </si>
  <si>
    <r>
      <rPr/>
      <t xml:space="preserve">Tires Easy : Monthly Services for </t>
    </r>
    <r>
      <rPr>
        <color rgb="FF1155CC"/>
        <u/>
      </rPr>
      <t>Tires-Easy.com</t>
    </r>
  </si>
  <si>
    <t>PRO-2022-07</t>
  </si>
  <si>
    <t>.5 of full payment</t>
  </si>
  <si>
    <t>.5 of new subscription</t>
  </si>
  <si>
    <t>x3 hosting slots</t>
  </si>
  <si>
    <t>Carter Cooper</t>
  </si>
  <si>
    <t xml:space="preserve">Google Display Ads Certification </t>
  </si>
  <si>
    <t>Google Shopping Ads Certification Renewal</t>
  </si>
  <si>
    <t xml:space="preserve">Outreach Research </t>
  </si>
  <si>
    <t>PRO-2022-08</t>
  </si>
  <si>
    <t>Sept 11, 2022</t>
  </si>
  <si>
    <t>Restaurants etc</t>
  </si>
  <si>
    <t>Meeting</t>
  </si>
  <si>
    <t>Sept 2022</t>
  </si>
  <si>
    <t>PRO-2022-09</t>
  </si>
  <si>
    <t>storage</t>
  </si>
  <si>
    <t>Google Workspace (not free anymore)</t>
  </si>
  <si>
    <t>Storage</t>
  </si>
  <si>
    <t>LastPass</t>
  </si>
  <si>
    <t>Halo-write &amp; manage content, part 1</t>
  </si>
  <si>
    <t>PRO-2022-10</t>
  </si>
  <si>
    <t>Annual</t>
  </si>
  <si>
    <t>Monthly Workspace</t>
  </si>
  <si>
    <t>Quarterly Plugin Fees</t>
  </si>
  <si>
    <t>Google Video Certification Renewal</t>
  </si>
  <si>
    <t>Internal Meetings</t>
  </si>
  <si>
    <t>PRO-2022-11</t>
  </si>
  <si>
    <t>2022 plugins (divided x 3 on outstanding - accurate of what was paid but not for client allocation)</t>
  </si>
  <si>
    <t>2022 hosting</t>
  </si>
  <si>
    <t>2022 Hosting</t>
  </si>
  <si>
    <t>2023 first half (Until renewal)</t>
  </si>
  <si>
    <t>Halo-write &amp; manage content, part 2</t>
  </si>
  <si>
    <t>Project costs</t>
  </si>
  <si>
    <t>nov-dec 2022</t>
  </si>
  <si>
    <t>2024 first half (Until renewal) for owner site</t>
  </si>
  <si>
    <t>2025 first half (Until renewal) for both regular site &amp; owner site</t>
  </si>
  <si>
    <t>2026 first half (Until renewal) for both regular site &amp; owner site</t>
  </si>
  <si>
    <t>Workspace</t>
  </si>
  <si>
    <t>4X Google Certifications</t>
  </si>
  <si>
    <t>Pro-2022-12</t>
  </si>
  <si>
    <t>Halo</t>
  </si>
  <si>
    <t>Campaign Monitor</t>
  </si>
  <si>
    <t>Podio</t>
  </si>
  <si>
    <t>VINN Meetings</t>
  </si>
  <si>
    <t>PRO-2023-01</t>
  </si>
  <si>
    <t>Annual Subscription</t>
  </si>
  <si>
    <t>includes $150 for learning curve &amp; $30 for meeting time</t>
  </si>
  <si>
    <t>PRO-2023-02</t>
  </si>
  <si>
    <t>Worksafe</t>
  </si>
  <si>
    <t>Just for team against profit sharing - RB/RC/DC not included</t>
  </si>
  <si>
    <t>Google Workspace</t>
  </si>
  <si>
    <t>Newsletter</t>
  </si>
  <si>
    <t>PRO-2023-03</t>
  </si>
  <si>
    <t>Turks &amp; Caicos Redirect project</t>
  </si>
  <si>
    <r>
      <rPr/>
      <t xml:space="preserve">2x $3.13 for </t>
    </r>
    <r>
      <rPr>
        <color rgb="FF1155CC"/>
        <u/>
      </rPr>
      <t>plusroi@gmail.com</t>
    </r>
    <r>
      <rPr/>
      <t xml:space="preserve"> extra storage</t>
    </r>
  </si>
  <si>
    <t>Viatec Post</t>
  </si>
  <si>
    <t>MailChimp</t>
  </si>
  <si>
    <t>Annual payment</t>
  </si>
  <si>
    <t>two went through in 30 day cycle so there shouldn't be one next month.</t>
  </si>
  <si>
    <t>Albina Beresnyeva</t>
  </si>
  <si>
    <t>PRO-2023-04</t>
  </si>
  <si>
    <t>Halo internal meeting</t>
  </si>
  <si>
    <t>Internal CDAP Consult &amp; Ad Creation</t>
  </si>
  <si>
    <t>Two Google Certification Renewals</t>
  </si>
  <si>
    <t>Halo check-up meeting</t>
  </si>
  <si>
    <t>PRO-2023-06</t>
  </si>
  <si>
    <t>Godaddy</t>
  </si>
  <si>
    <t>Caribbean Islands domain - not sure where to put the expense so put it here.</t>
  </si>
  <si>
    <t>Will ultimately get reimbursed (as "revenue")</t>
  </si>
  <si>
    <t>Halo PPC Work &amp; wrap up report</t>
  </si>
  <si>
    <t>Copilots web content</t>
  </si>
  <si>
    <t>Florian Ritmeester</t>
  </si>
  <si>
    <t>Pro-2023-07</t>
  </si>
  <si>
    <t>Name</t>
  </si>
  <si>
    <t>Default Expense Category</t>
  </si>
  <si>
    <t>Default Paid By</t>
  </si>
  <si>
    <t>Will White</t>
  </si>
  <si>
    <t>A,G,U,V,W,X,Z,E,F,K,H,I,M-0</t>
  </si>
  <si>
    <t>E like '%Month End%' and N = 'Active'</t>
  </si>
  <si>
    <t>E like '%Mid Month%' and N = 'Active'</t>
  </si>
  <si>
    <t>INVOICE</t>
  </si>
  <si>
    <t>COMPARE TO</t>
  </si>
  <si>
    <t>THIS YEAR</t>
  </si>
  <si>
    <t>PREVIOUS YEAR</t>
  </si>
  <si>
    <t>SINCE</t>
  </si>
  <si>
    <t>previous month</t>
  </si>
  <si>
    <t>a past month</t>
  </si>
  <si>
    <t>this year</t>
  </si>
  <si>
    <t>previous year</t>
  </si>
  <si>
    <t>Since...</t>
  </si>
  <si>
    <t>specific Past Month</t>
  </si>
  <si>
    <t>Sum</t>
  </si>
  <si>
    <t>Av. Month</t>
  </si>
  <si>
    <t>Bowden Works Invoice</t>
  </si>
  <si>
    <t>Total Revenue</t>
  </si>
  <si>
    <t>Transaction Fees</t>
  </si>
  <si>
    <t>Revenue - COGS</t>
  </si>
  <si>
    <t>Commissions</t>
  </si>
  <si>
    <t>Total Expenses</t>
  </si>
  <si>
    <t>Bookkeeping</t>
  </si>
  <si>
    <t>Net</t>
  </si>
  <si>
    <t>Split</t>
  </si>
  <si>
    <t>Other Expenses</t>
  </si>
  <si>
    <t>Profit</t>
  </si>
  <si>
    <t>Margins</t>
  </si>
  <si>
    <t>Gross - Ad Spend</t>
  </si>
  <si>
    <t>Gross - COGS</t>
  </si>
  <si>
    <t>Gross - COGS &amp; Bookkeping</t>
  </si>
  <si>
    <t>Month Of</t>
  </si>
  <si>
    <t>(from)</t>
  </si>
  <si>
    <t>(to)</t>
  </si>
  <si>
    <t>Project ID</t>
  </si>
  <si>
    <t>Revenue</t>
  </si>
  <si>
    <t>Transaction Fee</t>
  </si>
  <si>
    <t>Ad Spend</t>
  </si>
  <si>
    <t>Gross Revenue</t>
  </si>
  <si>
    <t>Gross Margin</t>
  </si>
  <si>
    <t>Project Expense</t>
  </si>
  <si>
    <t>Expense</t>
  </si>
  <si>
    <t>Net Margin</t>
  </si>
  <si>
    <t>Grand Total</t>
  </si>
  <si>
    <t>$ US Online Payment</t>
  </si>
  <si>
    <t>https://plusroi.com/resources/pay-an-invoice-usd/</t>
  </si>
  <si>
    <t>Please find attached your deposit invoice. We're excited to kick things off. Project work can commence following receipt of your deposit. We appreciate your prompt payment.</t>
  </si>
  <si>
    <t>Please find attached your deposit invoice. We're excited to kick things off. Our team will start our client on-boarding process as soon as possible and project work can commence following receipt of your deposit.</t>
  </si>
  <si>
    <t>Villa Del Mar (Advanced Hosting &amp; Wordpress Support - $280 USD))</t>
  </si>
  <si>
    <t>https://buy.stripe.com/9AQ9DSejD8dj8TuaEE</t>
  </si>
  <si>
    <t>Villa Del Mar (One Time Marketing E-Blast $650 USD)</t>
  </si>
  <si>
    <t>https://buy.stripe.com/8wMaHW0sN0KR1r29AB</t>
  </si>
  <si>
    <t>Villa Del Mar (Website Rebuild &amp; month 1 of Advanced Hosting &amp; WordPress Support - $3180 USD)</t>
  </si>
  <si>
    <t>https://buy.stripe.com/7sI7vK3EZ2SZ5Hi002</t>
  </si>
  <si>
    <t>Create sales poster, draft email, and send e-blast to guests. ($760USD)</t>
  </si>
  <si>
    <t>https://buy.stripe.com/fZedU87VfgJP7Pq9AE</t>
  </si>
  <si>
    <t>To pay by credit card, please click on the following secure online link: https://plusroi.com/resources/pay-an-invoice-usd/</t>
  </si>
  <si>
    <t>If you prefer to pay by wire, I have attached our wire payment instructions. Please be sure to send us a remittance notification so we can apply your payment correctly to your account.</t>
  </si>
  <si>
    <t>Just a friendly reminder invoice #US1411, emailed September 29, 2022, is now due. Please remit payment as soon as possible.</t>
  </si>
  <si>
    <t>TO ENSURE PAYMENT IS PROPERLY APPLIED TO YOUR ACCOUNT, PLEASE DO NOT SEND A WIRE PAYMENT WITHOUT SENDING A NOTICE OF PAYMENT.</t>
  </si>
  <si>
    <t>Please find attached your latest invoice (sending early due to travel, invoice dated May 15th)</t>
  </si>
  <si>
    <t>ONE TIME PROJECT BILLING</t>
  </si>
  <si>
    <t>MONTHLY ENGAGEMENT BILLING</t>
  </si>
  <si>
    <t>MONTH END AND MID-MO BILLING PROCESS</t>
  </si>
  <si>
    <t>Closer responsible to do the following unless/until they assign it to someone else and get acknowledgement back.</t>
  </si>
  <si>
    <t>- Bookkeeper copies &amp; pastes recurring invoices and notifies PM they are there</t>
  </si>
  <si>
    <t xml:space="preserve"> - Enter client</t>
  </si>
  <si>
    <t xml:space="preserve"> - PM reviews invoices against Podio and internal assignments to ensure everything's covered AND ensures previous month's additional work/exceptions are removed (maybe we should have "one time" at the start of descriptions that are added to monthly engagements as one-offs/</t>
  </si>
  <si>
    <t xml:space="preserve"> - Enter project with deposit and final in billing frequency column</t>
  </si>
  <si>
    <t xml:space="preserve"> - PM notifies Sales lead they've gone through and Sales lead checks to ensure all their stuff is addressed</t>
  </si>
  <si>
    <t xml:space="preserve"> - Enter Pre-Entered in invoice timing column and (IMPORTANT) enter the invoices on the invoice sheet with "ready to invoice" for the initial invoice and "pending" for subsequent invoices.</t>
  </si>
  <si>
    <t xml:space="preserve"> - Bookkeeper or proxy (RC) reviews current invoices in the sheet against what was billed in the same period last month to ensure nothing has slipped through the cracks.</t>
  </si>
  <si>
    <t xml:space="preserve"> - confirmation to Bookkeeper that everything's ready to go.</t>
  </si>
  <si>
    <t>February 2021</t>
  </si>
  <si>
    <t>21.Projects</t>
  </si>
  <si>
    <t>Monthly Mid Month</t>
  </si>
  <si>
    <t>21.June</t>
  </si>
  <si>
    <t>Ready to Invoice</t>
  </si>
  <si>
    <t>Monthly Month End</t>
  </si>
  <si>
    <t>21.July</t>
  </si>
  <si>
    <t>Quarterly Mid Month</t>
  </si>
  <si>
    <t>21.August</t>
  </si>
  <si>
    <t>Delayed Payment</t>
  </si>
  <si>
    <t>Monthly Prepaid</t>
  </si>
  <si>
    <t>Quarterly Month End</t>
  </si>
  <si>
    <t>21.September</t>
  </si>
  <si>
    <t>Quarterly Prepaid</t>
  </si>
  <si>
    <t>Yearly Mid Month</t>
  </si>
  <si>
    <t>21.October</t>
  </si>
  <si>
    <t>Yearly Month End</t>
  </si>
  <si>
    <t>21.November</t>
  </si>
  <si>
    <t>21.December</t>
  </si>
  <si>
    <t>22.Projects</t>
  </si>
  <si>
    <t>22.January</t>
  </si>
  <si>
    <t>Deposit Prepaid
50% of Remainder Milestone
50% of Remainder Final</t>
  </si>
  <si>
    <t>22.February</t>
  </si>
  <si>
    <t>22.March</t>
  </si>
  <si>
    <t>22.April</t>
  </si>
  <si>
    <t>22.May</t>
  </si>
  <si>
    <t>22.June</t>
  </si>
  <si>
    <t>22.July</t>
  </si>
  <si>
    <t>January 2023</t>
  </si>
  <si>
    <t>22.August</t>
  </si>
  <si>
    <t>22.September</t>
  </si>
  <si>
    <t>22.October</t>
  </si>
  <si>
    <t>22.November</t>
  </si>
  <si>
    <t>22.December</t>
  </si>
  <si>
    <t>23.January</t>
  </si>
  <si>
    <t>23.February</t>
  </si>
  <si>
    <t>23.March</t>
  </si>
  <si>
    <t>23.April</t>
  </si>
  <si>
    <t>23.May</t>
  </si>
  <si>
    <t>23.June</t>
  </si>
  <si>
    <t>23.July</t>
  </si>
  <si>
    <t>23.August</t>
  </si>
  <si>
    <t>23.September</t>
  </si>
  <si>
    <t>23.October</t>
  </si>
  <si>
    <t>23.November</t>
  </si>
  <si>
    <t>23.December</t>
  </si>
  <si>
    <t>project_projectID</t>
  </si>
  <si>
    <t>project_commission_percent</t>
  </si>
  <si>
    <t>project_amount</t>
  </si>
  <si>
    <t>project_currency</t>
  </si>
  <si>
    <t>project_terms</t>
  </si>
  <si>
    <t>project_date</t>
  </si>
  <si>
    <t>project_description</t>
  </si>
  <si>
    <t>invoice_projectID</t>
  </si>
  <si>
    <t>invoice_date</t>
  </si>
  <si>
    <t>invoice_description</t>
  </si>
  <si>
    <t>invoice_terms</t>
  </si>
  <si>
    <t>invoice_currency</t>
  </si>
  <si>
    <t>invoice_amount</t>
  </si>
  <si>
    <t>invoices_after_fees</t>
  </si>
  <si>
    <t>invoice_project_amount</t>
  </si>
  <si>
    <t>expense_projectID</t>
  </si>
  <si>
    <t>expense_category</t>
  </si>
  <si>
    <t>client_terms</t>
  </si>
  <si>
    <t>client_currency</t>
  </si>
  <si>
    <t>project_clientID</t>
  </si>
  <si>
    <t>client_clientID</t>
  </si>
  <si>
    <t>invoice_transaction_fee</t>
  </si>
  <si>
    <t>invoice_commission</t>
  </si>
  <si>
    <t>invoice_commission_percent</t>
  </si>
  <si>
    <t>invoice_invoice_timing</t>
  </si>
  <si>
    <t>invoice_title</t>
  </si>
  <si>
    <t>project_title</t>
  </si>
  <si>
    <t>project_type</t>
  </si>
  <si>
    <t>project_billing_schedule</t>
  </si>
  <si>
    <t>expense_vendor</t>
  </si>
  <si>
    <t>vendor_vendorID</t>
  </si>
  <si>
    <t>vendor_category</t>
  </si>
  <si>
    <t>vendor_paid_by</t>
  </si>
  <si>
    <t>expense_paid_by</t>
  </si>
  <si>
    <t>project_invoice_timing</t>
  </si>
  <si>
    <t>Project</t>
  </si>
  <si>
    <t>Transaction Date</t>
  </si>
  <si>
    <t>Net Revenue</t>
  </si>
  <si>
    <t>Relevant Period</t>
  </si>
  <si>
    <t>BookKing</t>
  </si>
  <si>
    <t>Premium Hosting + Support</t>
  </si>
  <si>
    <t>Monthly Services for Tires-Easy.com</t>
  </si>
  <si>
    <t>Google Search Ads</t>
  </si>
  <si>
    <t>Quarterly PPC Mgmt</t>
  </si>
  <si>
    <t>Ads and Analytics kickoff plus site support</t>
  </si>
  <si>
    <t>Tracking and Payment Update</t>
  </si>
  <si>
    <t>Training</t>
  </si>
  <si>
    <t>Arostegui Studio</t>
  </si>
  <si>
    <t>Continutity Programs Inc.</t>
  </si>
</sst>
</file>

<file path=xl/styles.xml><?xml version="1.0" encoding="utf-8"?>
<styleSheet xmlns="http://schemas.openxmlformats.org/spreadsheetml/2006/main" xmlns:x14ac="http://schemas.microsoft.com/office/spreadsheetml/2009/9/ac" xmlns:mc="http://schemas.openxmlformats.org/markup-compatibility/2006">
  <numFmts count="14">
    <numFmt numFmtId="164" formatCode="M/d/yyyy"/>
    <numFmt numFmtId="165" formatCode="&quot;$&quot;#,##0.00"/>
    <numFmt numFmtId="166" formatCode="mmm&quot; &quot;d&quot;, &quot;yyyy"/>
    <numFmt numFmtId="167" formatCode="mmm&quot; &quot;yyyy"/>
    <numFmt numFmtId="168" formatCode="mmmm yyyy"/>
    <numFmt numFmtId="169" formatCode="mmmm d"/>
    <numFmt numFmtId="170" formatCode="mmm d, yyyy"/>
    <numFmt numFmtId="171" formatCode="&quot;$&quot;#,##0"/>
    <numFmt numFmtId="172" formatCode="[$$]#,##0.00"/>
    <numFmt numFmtId="173" formatCode="mmm yyyy"/>
    <numFmt numFmtId="174" formatCode="mmm d"/>
    <numFmt numFmtId="175" formatCode="mmm d yyyy"/>
    <numFmt numFmtId="176" formatCode="0.0%"/>
    <numFmt numFmtId="177" formatCode="yyyy"/>
  </numFmts>
  <fonts count="58">
    <font>
      <sz val="10.0"/>
      <color rgb="FF000000"/>
      <name val="Arial"/>
      <scheme val="minor"/>
    </font>
    <font>
      <b/>
      <color rgb="FFFFFFFF"/>
      <name val="Arial"/>
      <scheme val="minor"/>
    </font>
    <font>
      <color theme="1"/>
      <name val="Arial"/>
      <scheme val="minor"/>
    </font>
    <font>
      <sz val="11.0"/>
      <color rgb="FF000000"/>
      <name val="Inconsolata"/>
    </font>
    <font>
      <color theme="1"/>
      <name val="Arial"/>
    </font>
    <font>
      <u/>
      <color rgb="FF0000FF"/>
    </font>
    <font>
      <u/>
      <color rgb="FF0000FF"/>
    </font>
    <font>
      <color rgb="FF000000"/>
      <name val="Arial"/>
    </font>
    <font>
      <u/>
      <color rgb="FF0000FF"/>
    </font>
    <font>
      <sz val="11.0"/>
      <color rgb="FF000000"/>
      <name val="Calibri"/>
    </font>
    <font>
      <u/>
      <color rgb="FF0000FF"/>
      <name val="Arial"/>
    </font>
    <font>
      <color rgb="FF000000"/>
      <name val="Roboto"/>
    </font>
    <font>
      <u/>
      <color rgb="FF0000FF"/>
    </font>
    <font>
      <color rgb="FF222222"/>
      <name val="Arial"/>
    </font>
    <font>
      <b/>
      <color rgb="FFFF9900"/>
      <name val="Arial"/>
    </font>
    <font>
      <b/>
      <color theme="1"/>
      <name val="Arial"/>
      <scheme val="minor"/>
    </font>
    <font>
      <sz val="8.0"/>
      <color theme="1"/>
      <name val="Arial"/>
      <scheme val="minor"/>
    </font>
    <font>
      <u/>
      <color rgb="FF0000FF"/>
    </font>
    <font>
      <u/>
      <color rgb="FF0000FF"/>
    </font>
    <font>
      <sz val="11.0"/>
      <color theme="1"/>
      <name val="Calibri"/>
    </font>
    <font>
      <sz val="11.0"/>
      <color theme="1"/>
      <name val="&quot;Calibri&quot;"/>
    </font>
    <font>
      <color rgb="FF222222"/>
      <name val="&quot;Open Sans&quot;"/>
    </font>
    <font>
      <u/>
      <sz val="11.0"/>
      <color rgb="FF0000FF"/>
      <name val="Calibri"/>
    </font>
    <font>
      <sz val="11.0"/>
      <color rgb="FF222222"/>
      <name val="Roboto"/>
    </font>
    <font>
      <color rgb="FF999999"/>
      <name val="Arial"/>
    </font>
    <font>
      <sz val="11.0"/>
      <color rgb="FF555555"/>
      <name val="Roboto"/>
    </font>
    <font>
      <sz val="11.0"/>
      <color rgb="FF202124"/>
      <name val="Arial"/>
    </font>
    <font>
      <u/>
      <sz val="11.0"/>
      <color rgb="FF1A0DAB"/>
      <name val="Arial"/>
    </font>
    <font>
      <u/>
      <color rgb="FF1155CC"/>
      <name val="Arial"/>
    </font>
    <font>
      <sz val="9.0"/>
      <color rgb="FF666666"/>
      <name val="Arial"/>
    </font>
    <font>
      <u/>
      <sz val="11.0"/>
      <color rgb="FF0000FF"/>
      <name val="Calibri"/>
    </font>
    <font>
      <sz val="11.0"/>
      <color rgb="FF222222"/>
      <name val="&quot;Google Sans&quot;"/>
    </font>
    <font>
      <sz val="11.0"/>
      <color rgb="FF5E5E5E"/>
      <name val="&quot;Google Sans&quot;"/>
    </font>
    <font>
      <color rgb="FF666666"/>
      <name val="Arial"/>
    </font>
    <font>
      <color rgb="FF500050"/>
      <name val="Arial"/>
    </font>
    <font>
      <b/>
      <color rgb="FFFFFFFF"/>
      <name val="Arial"/>
    </font>
    <font>
      <u/>
      <color rgb="FF1155CC"/>
    </font>
    <font>
      <u/>
      <color rgb="FF0000FF"/>
    </font>
    <font>
      <color rgb="FF1C1C1C"/>
      <name val="TDGraphik-semilight"/>
    </font>
    <font>
      <color theme="1"/>
      <name val="TDGraphik-semilight"/>
    </font>
    <font>
      <sz val="11.0"/>
      <color rgb="FF008000"/>
      <name val="Inconsolata"/>
    </font>
    <font>
      <b/>
      <sz val="14.0"/>
      <color rgb="FFFFFFFF"/>
      <name val="Arial"/>
      <scheme val="minor"/>
    </font>
    <font/>
    <font>
      <color rgb="FFFFFFFF"/>
      <name val="Arial"/>
      <scheme val="minor"/>
    </font>
    <font>
      <sz val="8.0"/>
      <color rgb="FFFFFFFF"/>
      <name val="Arial"/>
      <scheme val="minor"/>
    </font>
    <font>
      <b/>
      <sz val="8.0"/>
      <color rgb="FFFFFFFF"/>
      <name val="Arial"/>
      <scheme val="minor"/>
    </font>
    <font>
      <b/>
      <sz val="12.0"/>
      <color theme="1"/>
      <name val="Arial"/>
      <scheme val="minor"/>
    </font>
    <font>
      <sz val="10.0"/>
      <color theme="1"/>
      <name val="Arial"/>
      <scheme val="minor"/>
    </font>
    <font>
      <b/>
      <sz val="8.0"/>
      <color theme="1"/>
      <name val="Arial"/>
      <scheme val="minor"/>
    </font>
    <font>
      <b/>
      <sz val="8.0"/>
      <color rgb="FF000000"/>
      <name val="Inconsolata"/>
    </font>
    <font>
      <sz val="8.0"/>
      <color rgb="FF000000"/>
      <name val="Inconsolata"/>
    </font>
    <font>
      <sz val="12.0"/>
      <color theme="1"/>
      <name val="Arial"/>
      <scheme val="minor"/>
    </font>
    <font>
      <b/>
      <sz val="11.0"/>
      <color rgb="FF000000"/>
      <name val="Inconsolata"/>
    </font>
    <font>
      <color rgb="FFF3F3F3"/>
      <name val="Arial"/>
      <scheme val="minor"/>
    </font>
    <font>
      <u/>
      <sz val="11.0"/>
      <color rgb="FF1155CC"/>
      <name val="Calibri"/>
    </font>
    <font>
      <u/>
      <sz val="11.0"/>
      <color rgb="FF0000FF"/>
      <name val="Calibri"/>
    </font>
    <font>
      <u/>
      <color rgb="FF0000FF"/>
    </font>
    <font>
      <color rgb="FF202124"/>
      <name val="&quot;Roboto Mono&quot;"/>
    </font>
  </fonts>
  <fills count="10">
    <fill>
      <patternFill patternType="none"/>
    </fill>
    <fill>
      <patternFill patternType="lightGray"/>
    </fill>
    <fill>
      <patternFill patternType="solid">
        <fgColor rgb="FF5B95F9"/>
        <bgColor rgb="FF5B95F9"/>
      </patternFill>
    </fill>
    <fill>
      <patternFill patternType="solid">
        <fgColor rgb="FFFFFFFF"/>
        <bgColor rgb="FFFFFFFF"/>
      </patternFill>
    </fill>
    <fill>
      <patternFill patternType="solid">
        <fgColor rgb="FFEFF1F5"/>
        <bgColor rgb="FFEFF1F5"/>
      </patternFill>
    </fill>
    <fill>
      <patternFill patternType="solid">
        <fgColor theme="0"/>
        <bgColor theme="0"/>
      </patternFill>
    </fill>
    <fill>
      <patternFill patternType="solid">
        <fgColor rgb="FF4A86E8"/>
        <bgColor rgb="FF4A86E8"/>
      </patternFill>
    </fill>
    <fill>
      <patternFill patternType="solid">
        <fgColor rgb="FFEEEEEE"/>
        <bgColor rgb="FFEEEEEE"/>
      </patternFill>
    </fill>
    <fill>
      <patternFill patternType="solid">
        <fgColor rgb="FFF3F3F3"/>
        <bgColor rgb="FFF3F3F3"/>
      </patternFill>
    </fill>
    <fill>
      <patternFill patternType="solid">
        <fgColor rgb="FFFFFFFE"/>
        <bgColor rgb="FFFFFFFE"/>
      </patternFill>
    </fill>
  </fills>
  <borders count="7">
    <border/>
    <border>
      <left style="thin">
        <color rgb="FF000000"/>
      </left>
    </border>
    <border>
      <bottom style="thin">
        <color rgb="FF000000"/>
      </bottom>
    </border>
    <border>
      <left style="thin">
        <color rgb="FF4A86E8"/>
      </left>
    </border>
    <border>
      <right style="thin">
        <color rgb="FF4A86E8"/>
      </right>
    </border>
    <border>
      <top style="thin">
        <color rgb="FFEFEFEF"/>
      </top>
      <bottom style="thin">
        <color rgb="FFEFEFEF"/>
      </bottom>
    </border>
    <border>
      <left style="thin">
        <color rgb="FF4A86E8"/>
      </left>
      <top style="thin">
        <color rgb="FF000000"/>
      </top>
    </border>
  </borders>
  <cellStyleXfs count="1">
    <xf borderId="0" fillId="0" fontId="0" numFmtId="0" applyAlignment="1" applyFont="1"/>
  </cellStyleXfs>
  <cellXfs count="326">
    <xf borderId="0" fillId="0" fontId="0" numFmtId="0" xfId="0" applyAlignment="1" applyFont="1">
      <alignment readingOrder="0" shrinkToFit="0" vertical="bottom" wrapText="0"/>
    </xf>
    <xf borderId="0" fillId="2" fontId="1" numFmtId="0" xfId="0" applyAlignment="1" applyFill="1" applyFont="1">
      <alignment readingOrder="0" shrinkToFit="0" vertical="top" wrapText="1"/>
    </xf>
    <xf borderId="0" fillId="2" fontId="1" numFmtId="9" xfId="0" applyAlignment="1" applyFont="1" applyNumberFormat="1">
      <alignment horizontal="right" readingOrder="0" shrinkToFit="0" vertical="top" wrapText="1"/>
    </xf>
    <xf borderId="0" fillId="2" fontId="1" numFmtId="0" xfId="0" applyAlignment="1" applyFont="1">
      <alignment horizontal="right" readingOrder="0" shrinkToFit="0" vertical="top" wrapText="1"/>
    </xf>
    <xf borderId="0" fillId="3" fontId="2" numFmtId="0" xfId="0" applyAlignment="1" applyFill="1" applyFont="1">
      <alignment readingOrder="0" vertical="top"/>
    </xf>
    <xf borderId="0" fillId="3" fontId="2" numFmtId="165" xfId="0" applyAlignment="1" applyFont="1" applyNumberFormat="1">
      <alignment readingOrder="0" vertical="top"/>
    </xf>
    <xf borderId="0" fillId="3" fontId="2" numFmtId="0" xfId="0" applyAlignment="1" applyFont="1">
      <alignment horizontal="left" readingOrder="0" shrinkToFit="0" vertical="top" wrapText="0"/>
    </xf>
    <xf borderId="0" fillId="3" fontId="2" numFmtId="166" xfId="0" applyAlignment="1" applyFont="1" applyNumberFormat="1">
      <alignment readingOrder="0" vertical="top"/>
    </xf>
    <xf borderId="0" fillId="3" fontId="2" numFmtId="4" xfId="0" applyAlignment="1" applyFont="1" applyNumberFormat="1">
      <alignment readingOrder="0" vertical="top"/>
    </xf>
    <xf borderId="0" fillId="3" fontId="2" numFmtId="0" xfId="0" applyAlignment="1" applyFont="1">
      <alignment readingOrder="0" shrinkToFit="0" vertical="top" wrapText="1"/>
    </xf>
    <xf borderId="0" fillId="3" fontId="2" numFmtId="0" xfId="0" applyAlignment="1" applyFont="1">
      <alignment readingOrder="0" vertical="top"/>
    </xf>
    <xf borderId="0" fillId="3" fontId="3" numFmtId="9" xfId="0" applyAlignment="1" applyFont="1" applyNumberFormat="1">
      <alignment readingOrder="0"/>
    </xf>
    <xf borderId="0" fillId="3" fontId="2" numFmtId="165" xfId="0" applyAlignment="1" applyFont="1" applyNumberFormat="1">
      <alignment horizontal="right" readingOrder="0" vertical="top"/>
    </xf>
    <xf borderId="0" fillId="3" fontId="2" numFmtId="0" xfId="0" applyAlignment="1" applyFont="1">
      <alignment vertical="top"/>
    </xf>
    <xf borderId="0" fillId="3" fontId="2" numFmtId="0" xfId="0" applyAlignment="1" applyFont="1">
      <alignment shrinkToFit="0" vertical="top" wrapText="1"/>
    </xf>
    <xf borderId="0" fillId="3" fontId="2" numFmtId="167" xfId="0" applyAlignment="1" applyFont="1" applyNumberFormat="1">
      <alignment readingOrder="0" vertical="top"/>
    </xf>
    <xf borderId="0" fillId="4" fontId="2" numFmtId="0" xfId="0" applyAlignment="1" applyFill="1" applyFont="1">
      <alignment readingOrder="0" vertical="top"/>
    </xf>
    <xf borderId="0" fillId="4" fontId="2" numFmtId="165" xfId="0" applyAlignment="1" applyFont="1" applyNumberFormat="1">
      <alignment readingOrder="0" vertical="top"/>
    </xf>
    <xf borderId="0" fillId="4" fontId="2" numFmtId="0" xfId="0" applyAlignment="1" applyFont="1">
      <alignment horizontal="left" readingOrder="0" shrinkToFit="0" vertical="top" wrapText="0"/>
    </xf>
    <xf borderId="0" fillId="4" fontId="2" numFmtId="166" xfId="0" applyAlignment="1" applyFont="1" applyNumberFormat="1">
      <alignment readingOrder="0" vertical="top"/>
    </xf>
    <xf borderId="0" fillId="4" fontId="2" numFmtId="4" xfId="0" applyAlignment="1" applyFont="1" applyNumberFormat="1">
      <alignment readingOrder="0" vertical="top"/>
    </xf>
    <xf borderId="0" fillId="4" fontId="2" numFmtId="0" xfId="0" applyAlignment="1" applyFont="1">
      <alignment readingOrder="0" shrinkToFit="0" vertical="top" wrapText="1"/>
    </xf>
    <xf borderId="0" fillId="4" fontId="2" numFmtId="0" xfId="0" applyAlignment="1" applyFont="1">
      <alignment readingOrder="0" vertical="top"/>
    </xf>
    <xf borderId="0" fillId="4" fontId="2" numFmtId="165" xfId="0" applyAlignment="1" applyFont="1" applyNumberFormat="1">
      <alignment horizontal="right" readingOrder="0" vertical="top"/>
    </xf>
    <xf borderId="0" fillId="4" fontId="2" numFmtId="0" xfId="0" applyAlignment="1" applyFont="1">
      <alignment vertical="top"/>
    </xf>
    <xf borderId="0" fillId="4" fontId="2" numFmtId="0" xfId="0" applyAlignment="1" applyFont="1">
      <alignment shrinkToFit="0" vertical="top" wrapText="1"/>
    </xf>
    <xf borderId="0" fillId="4" fontId="2" numFmtId="167" xfId="0" applyAlignment="1" applyFont="1" applyNumberFormat="1">
      <alignment readingOrder="0" vertical="top"/>
    </xf>
    <xf borderId="0" fillId="4" fontId="4" numFmtId="0" xfId="0" applyAlignment="1" applyFont="1">
      <alignment horizontal="left" readingOrder="0" vertical="bottom"/>
    </xf>
    <xf borderId="0" fillId="3" fontId="2" numFmtId="168" xfId="0" applyAlignment="1" applyFont="1" applyNumberFormat="1">
      <alignment readingOrder="0" shrinkToFit="0" vertical="top" wrapText="1"/>
    </xf>
    <xf borderId="0" fillId="4" fontId="2" numFmtId="165" xfId="0" applyAlignment="1" applyFont="1" applyNumberFormat="1">
      <alignment readingOrder="0" shrinkToFit="0" vertical="top" wrapText="1"/>
    </xf>
    <xf borderId="0" fillId="3" fontId="2" numFmtId="165" xfId="0" applyAlignment="1" applyFont="1" applyNumberFormat="1">
      <alignment readingOrder="0" shrinkToFit="0" vertical="top" wrapText="1"/>
    </xf>
    <xf borderId="0" fillId="3" fontId="5" numFmtId="0" xfId="0" applyAlignment="1" applyFont="1">
      <alignment readingOrder="0" vertical="top"/>
    </xf>
    <xf borderId="1" fillId="3" fontId="2" numFmtId="0" xfId="0" applyAlignment="1" applyBorder="1" applyFont="1">
      <alignment horizontal="left" readingOrder="0" shrinkToFit="0" vertical="top" wrapText="0"/>
    </xf>
    <xf borderId="0" fillId="4" fontId="2" numFmtId="0" xfId="0" applyAlignment="1" applyFont="1">
      <alignment horizontal="left" readingOrder="0" vertical="bottom"/>
    </xf>
    <xf borderId="0" fillId="3" fontId="2" numFmtId="165" xfId="0" applyAlignment="1" applyFont="1" applyNumberFormat="1">
      <alignment vertical="top"/>
    </xf>
    <xf borderId="0" fillId="4" fontId="2" numFmtId="165" xfId="0" applyAlignment="1" applyFont="1" applyNumberFormat="1">
      <alignment vertical="top"/>
    </xf>
    <xf borderId="0" fillId="4" fontId="6" numFmtId="0" xfId="0" applyAlignment="1" applyFont="1">
      <alignment readingOrder="0" vertical="top"/>
    </xf>
    <xf borderId="0" fillId="3" fontId="2" numFmtId="166" xfId="0" applyAlignment="1" applyFont="1" applyNumberFormat="1">
      <alignment vertical="top"/>
    </xf>
    <xf borderId="0" fillId="4" fontId="7" numFmtId="0" xfId="0" applyAlignment="1" applyFont="1">
      <alignment horizontal="left" readingOrder="0"/>
    </xf>
    <xf borderId="0" fillId="3" fontId="2" numFmtId="0" xfId="0" applyAlignment="1" applyFont="1">
      <alignment horizontal="left" shrinkToFit="0" vertical="top" wrapText="0"/>
    </xf>
    <xf borderId="0" fillId="4" fontId="2" numFmtId="0" xfId="0" applyAlignment="1" applyFont="1">
      <alignment horizontal="left" readingOrder="0"/>
    </xf>
    <xf borderId="0" fillId="3" fontId="8" numFmtId="0" xfId="0" applyAlignment="1" applyFont="1">
      <alignment readingOrder="0" shrinkToFit="0" vertical="top" wrapText="1"/>
    </xf>
    <xf borderId="0" fillId="3" fontId="9" numFmtId="0" xfId="0" applyAlignment="1" applyFont="1">
      <alignment readingOrder="0" shrinkToFit="0" wrapText="1"/>
    </xf>
    <xf borderId="0" fillId="3" fontId="7" numFmtId="0" xfId="0" applyAlignment="1" applyFont="1">
      <alignment horizontal="left" readingOrder="0"/>
    </xf>
    <xf borderId="0" fillId="4" fontId="2" numFmtId="0" xfId="0" applyAlignment="1" applyFont="1">
      <alignment horizontal="left" shrinkToFit="0" vertical="top" wrapText="0"/>
    </xf>
    <xf borderId="0" fillId="3" fontId="4" numFmtId="0" xfId="0" applyAlignment="1" applyFont="1">
      <alignment readingOrder="0" vertical="top"/>
    </xf>
    <xf borderId="0" fillId="4" fontId="4" numFmtId="0" xfId="0" applyAlignment="1" applyFont="1">
      <alignment readingOrder="0" vertical="top"/>
    </xf>
    <xf borderId="0" fillId="4" fontId="10" numFmtId="0" xfId="0" applyAlignment="1" applyFont="1">
      <alignment readingOrder="0" vertical="top"/>
    </xf>
    <xf borderId="0" fillId="4" fontId="2" numFmtId="166" xfId="0" applyAlignment="1" applyFont="1" applyNumberFormat="1">
      <alignment vertical="top"/>
    </xf>
    <xf borderId="0" fillId="5" fontId="2" numFmtId="166" xfId="0" applyAlignment="1" applyFill="1" applyFont="1" applyNumberFormat="1">
      <alignment readingOrder="0" vertical="top"/>
    </xf>
    <xf borderId="0" fillId="4" fontId="7" numFmtId="165" xfId="0" applyAlignment="1" applyFont="1" applyNumberFormat="1">
      <alignment horizontal="left" readingOrder="0"/>
    </xf>
    <xf borderId="0" fillId="3" fontId="11" numFmtId="0" xfId="0" applyAlignment="1" applyFont="1">
      <alignment readingOrder="0" shrinkToFit="0" wrapText="1"/>
    </xf>
    <xf borderId="0" fillId="3" fontId="2" numFmtId="166" xfId="0" applyAlignment="1" applyFont="1" applyNumberFormat="1">
      <alignment readingOrder="0" shrinkToFit="0" vertical="top" wrapText="1"/>
    </xf>
    <xf borderId="0" fillId="4" fontId="12" numFmtId="0" xfId="0" applyAlignment="1" applyFont="1">
      <alignment readingOrder="0" shrinkToFit="0" vertical="top" wrapText="1"/>
    </xf>
    <xf borderId="0" fillId="3" fontId="2" numFmtId="9" xfId="0" applyAlignment="1" applyFont="1" applyNumberFormat="1">
      <alignment horizontal="right" readingOrder="0" vertical="top"/>
    </xf>
    <xf borderId="0" fillId="4" fontId="2" numFmtId="9" xfId="0" applyAlignment="1" applyFont="1" applyNumberFormat="1">
      <alignment horizontal="right" readingOrder="0" vertical="top"/>
    </xf>
    <xf borderId="0" fillId="4" fontId="2" numFmtId="169" xfId="0" applyAlignment="1" applyFont="1" applyNumberFormat="1">
      <alignment readingOrder="0" shrinkToFit="0" vertical="top" wrapText="1"/>
    </xf>
    <xf borderId="0" fillId="3" fontId="2" numFmtId="0" xfId="0" applyAlignment="1" applyFont="1">
      <alignment vertical="top"/>
    </xf>
    <xf borderId="0" fillId="3" fontId="2" numFmtId="4" xfId="0" applyAlignment="1" applyFont="1" applyNumberFormat="1">
      <alignment vertical="top"/>
    </xf>
    <xf borderId="0" fillId="4" fontId="2" numFmtId="0" xfId="0" applyAlignment="1" applyFont="1">
      <alignment vertical="top"/>
    </xf>
    <xf borderId="0" fillId="4" fontId="2" numFmtId="4" xfId="0" applyAlignment="1" applyFont="1" applyNumberFormat="1">
      <alignment vertical="top"/>
    </xf>
    <xf borderId="0" fillId="4" fontId="2" numFmtId="0" xfId="0" applyAlignment="1" applyFont="1">
      <alignment shrinkToFit="0" vertical="top" wrapText="1"/>
    </xf>
    <xf borderId="0" fillId="4" fontId="2" numFmtId="9" xfId="0" applyAlignment="1" applyFont="1" applyNumberFormat="1">
      <alignment horizontal="right" vertical="top"/>
    </xf>
    <xf borderId="0" fillId="3" fontId="2" numFmtId="0" xfId="0" applyAlignment="1" applyFont="1">
      <alignment shrinkToFit="0" vertical="top" wrapText="1"/>
    </xf>
    <xf borderId="0" fillId="3" fontId="2" numFmtId="9" xfId="0" applyAlignment="1" applyFont="1" applyNumberFormat="1">
      <alignment horizontal="right" vertical="top"/>
    </xf>
    <xf borderId="0" fillId="3" fontId="13" numFmtId="0" xfId="0" applyAlignment="1" applyFont="1">
      <alignment readingOrder="0"/>
    </xf>
    <xf borderId="0" fillId="3" fontId="2" numFmtId="0" xfId="0" applyAlignment="1" applyFont="1">
      <alignment readingOrder="0" vertical="top"/>
    </xf>
    <xf borderId="0" fillId="4" fontId="2" numFmtId="0" xfId="0" applyAlignment="1" applyFont="1">
      <alignment readingOrder="0" vertical="top"/>
    </xf>
    <xf borderId="0" fillId="3" fontId="14" numFmtId="165" xfId="0" applyAlignment="1" applyFont="1" applyNumberFormat="1">
      <alignment horizontal="right" vertical="top"/>
    </xf>
    <xf borderId="0" fillId="3" fontId="4" numFmtId="0" xfId="0" applyAlignment="1" applyFont="1">
      <alignment vertical="top"/>
    </xf>
    <xf borderId="0" fillId="3" fontId="4" numFmtId="166" xfId="0" applyAlignment="1" applyFont="1" applyNumberFormat="1">
      <alignment horizontal="right" vertical="top"/>
    </xf>
    <xf borderId="0" fillId="3" fontId="4" numFmtId="165" xfId="0" applyAlignment="1" applyFont="1" applyNumberFormat="1">
      <alignment horizontal="right" vertical="top"/>
    </xf>
    <xf borderId="0" fillId="3" fontId="4" numFmtId="4" xfId="0" applyAlignment="1" applyFont="1" applyNumberFormat="1">
      <alignment vertical="top"/>
    </xf>
    <xf borderId="0" fillId="3" fontId="4" numFmtId="0" xfId="0" applyAlignment="1" applyFont="1">
      <alignment readingOrder="0" shrinkToFit="0" vertical="top" wrapText="1"/>
    </xf>
    <xf borderId="0" fillId="3" fontId="4" numFmtId="0" xfId="0" applyAlignment="1" applyFont="1">
      <alignment shrinkToFit="0" vertical="top" wrapText="1"/>
    </xf>
    <xf borderId="0" fillId="3" fontId="4" numFmtId="0" xfId="0" applyAlignment="1" applyFont="1">
      <alignment vertical="top"/>
    </xf>
    <xf borderId="0" fillId="3" fontId="4" numFmtId="9" xfId="0" applyAlignment="1" applyFont="1" applyNumberFormat="1">
      <alignment horizontal="right" vertical="top"/>
    </xf>
    <xf borderId="0" fillId="3" fontId="4" numFmtId="165" xfId="0" applyAlignment="1" applyFont="1" applyNumberFormat="1">
      <alignment vertical="top"/>
    </xf>
    <xf borderId="0" fillId="4" fontId="2" numFmtId="165" xfId="0" applyAlignment="1" applyFont="1" applyNumberFormat="1">
      <alignment horizontal="right" vertical="top"/>
    </xf>
    <xf borderId="0" fillId="3" fontId="2" numFmtId="0" xfId="0" applyAlignment="1" applyFont="1">
      <alignment readingOrder="0" shrinkToFit="0" vertical="top" wrapText="1"/>
    </xf>
    <xf borderId="0" fillId="4" fontId="2" numFmtId="165" xfId="0" applyAlignment="1" applyFont="1" applyNumberFormat="1">
      <alignment readingOrder="0" shrinkToFit="0" vertical="top" wrapText="1"/>
    </xf>
    <xf borderId="0" fillId="4" fontId="2" numFmtId="0" xfId="0" applyAlignment="1" applyFont="1">
      <alignment readingOrder="0" shrinkToFit="0" wrapText="1"/>
    </xf>
    <xf borderId="0" fillId="4" fontId="2" numFmtId="170" xfId="0" applyAlignment="1" applyFont="1" applyNumberFormat="1">
      <alignment readingOrder="0" vertical="top"/>
    </xf>
    <xf borderId="0" fillId="4" fontId="2" numFmtId="170" xfId="0" applyAlignment="1" applyFont="1" applyNumberFormat="1">
      <alignment vertical="top"/>
    </xf>
    <xf borderId="0" fillId="3" fontId="2" numFmtId="170" xfId="0" applyAlignment="1" applyFont="1" applyNumberFormat="1">
      <alignment readingOrder="0" vertical="top"/>
    </xf>
    <xf borderId="0" fillId="3" fontId="2" numFmtId="170" xfId="0" applyAlignment="1" applyFont="1" applyNumberFormat="1">
      <alignment vertical="top"/>
    </xf>
    <xf borderId="0" fillId="5" fontId="2" numFmtId="0" xfId="0" applyAlignment="1" applyFont="1">
      <alignment readingOrder="0" shrinkToFit="0" vertical="top" wrapText="1"/>
    </xf>
    <xf borderId="0" fillId="3" fontId="2" numFmtId="9" xfId="0" applyAlignment="1" applyFont="1" applyNumberFormat="1">
      <alignment readingOrder="0" vertical="top"/>
    </xf>
    <xf borderId="0" fillId="4" fontId="2" numFmtId="0" xfId="0" applyAlignment="1" applyFont="1">
      <alignment horizontal="center" readingOrder="0" vertical="top"/>
    </xf>
    <xf borderId="0" fillId="4" fontId="2" numFmtId="9" xfId="0" applyAlignment="1" applyFont="1" applyNumberFormat="1">
      <alignment vertical="top"/>
    </xf>
    <xf borderId="0" fillId="3" fontId="2" numFmtId="9" xfId="0" applyAlignment="1" applyFont="1" applyNumberFormat="1">
      <alignment vertical="top"/>
    </xf>
    <xf borderId="0" fillId="3" fontId="2" numFmtId="0" xfId="0" applyAlignment="1" applyFont="1">
      <alignment horizontal="center" readingOrder="0" vertical="top"/>
    </xf>
    <xf borderId="0" fillId="4" fontId="2" numFmtId="9" xfId="0" applyAlignment="1" applyFont="1" applyNumberFormat="1">
      <alignment readingOrder="0" vertical="top"/>
    </xf>
    <xf borderId="0" fillId="3" fontId="2" numFmtId="165" xfId="0" applyFont="1" applyNumberFormat="1"/>
    <xf borderId="0" fillId="3" fontId="2" numFmtId="0" xfId="0" applyFont="1"/>
    <xf borderId="0" fillId="3" fontId="2" numFmtId="9" xfId="0" applyFont="1" applyNumberFormat="1"/>
    <xf borderId="0" fillId="4" fontId="2" numFmtId="165" xfId="0" applyFont="1" applyNumberFormat="1"/>
    <xf borderId="0" fillId="4" fontId="2" numFmtId="0" xfId="0" applyFont="1"/>
    <xf borderId="0" fillId="4" fontId="2" numFmtId="9" xfId="0" applyFont="1" applyNumberFormat="1"/>
    <xf borderId="0" fillId="4" fontId="2" numFmtId="0" xfId="0" applyAlignment="1" applyFont="1">
      <alignment readingOrder="0"/>
    </xf>
    <xf borderId="0" fillId="3" fontId="2" numFmtId="9" xfId="0" applyAlignment="1" applyFont="1" applyNumberFormat="1">
      <alignment readingOrder="0"/>
    </xf>
    <xf borderId="0" fillId="6" fontId="1" numFmtId="0" xfId="0" applyAlignment="1" applyFill="1" applyFont="1">
      <alignment readingOrder="0" shrinkToFit="0" vertical="top" wrapText="1"/>
    </xf>
    <xf borderId="0" fillId="6" fontId="1" numFmtId="9" xfId="0" applyAlignment="1" applyFont="1" applyNumberFormat="1">
      <alignment readingOrder="0" shrinkToFit="0" vertical="top" wrapText="1"/>
    </xf>
    <xf borderId="0" fillId="0" fontId="2" numFmtId="0" xfId="0" applyAlignment="1" applyFont="1">
      <alignment readingOrder="0" vertical="top"/>
    </xf>
    <xf borderId="0" fillId="6" fontId="1" numFmtId="0" xfId="0" applyAlignment="1" applyFont="1">
      <alignment horizontal="right" readingOrder="0" shrinkToFit="0" vertical="top" wrapText="1"/>
    </xf>
    <xf borderId="0" fillId="3" fontId="3" numFmtId="0" xfId="0" applyFont="1"/>
    <xf borderId="0" fillId="0" fontId="2" numFmtId="165" xfId="0" applyAlignment="1" applyFont="1" applyNumberFormat="1">
      <alignment readingOrder="0" vertical="top"/>
    </xf>
    <xf borderId="0" fillId="0" fontId="2" numFmtId="0" xfId="0" applyAlignment="1" applyFont="1">
      <alignment horizontal="center" readingOrder="0" vertical="top"/>
    </xf>
    <xf borderId="0" fillId="0" fontId="2" numFmtId="170" xfId="0" applyAlignment="1" applyFont="1" applyNumberFormat="1">
      <alignment readingOrder="0" vertical="top"/>
    </xf>
    <xf borderId="0" fillId="0" fontId="2" numFmtId="0" xfId="0" applyAlignment="1" applyFont="1">
      <alignment readingOrder="0" shrinkToFit="0" vertical="top" wrapText="1"/>
    </xf>
    <xf borderId="0" fillId="0" fontId="2" numFmtId="0" xfId="0" applyAlignment="1" applyFont="1">
      <alignment vertical="top"/>
    </xf>
    <xf borderId="0" fillId="0" fontId="2" numFmtId="9" xfId="0" applyAlignment="1" applyFont="1" applyNumberFormat="1">
      <alignment vertical="top"/>
    </xf>
    <xf borderId="0" fillId="0" fontId="2" numFmtId="0" xfId="0" applyAlignment="1" applyFont="1">
      <alignment shrinkToFit="0" vertical="top" wrapText="1"/>
    </xf>
    <xf borderId="0" fillId="0" fontId="2" numFmtId="0" xfId="0" applyAlignment="1" applyFont="1">
      <alignment vertical="top"/>
    </xf>
    <xf borderId="0" fillId="0" fontId="2" numFmtId="170" xfId="0" applyAlignment="1" applyFont="1" applyNumberFormat="1">
      <alignment horizontal="right" readingOrder="0" vertical="top"/>
    </xf>
    <xf borderId="0" fillId="0" fontId="2" numFmtId="165" xfId="0" applyAlignment="1" applyFont="1" applyNumberFormat="1">
      <alignment vertical="top"/>
    </xf>
    <xf borderId="0" fillId="3" fontId="11" numFmtId="0" xfId="0" applyAlignment="1" applyFont="1">
      <alignment readingOrder="0"/>
    </xf>
    <xf borderId="0" fillId="0" fontId="15" numFmtId="0" xfId="0" applyAlignment="1" applyFont="1">
      <alignment readingOrder="0" shrinkToFit="0" vertical="top" wrapText="1"/>
    </xf>
    <xf borderId="0" fillId="0" fontId="16" numFmtId="0" xfId="0" applyAlignment="1" applyFont="1">
      <alignment horizontal="right" readingOrder="0" shrinkToFit="0" wrapText="1"/>
    </xf>
    <xf borderId="0" fillId="0" fontId="2" numFmtId="0" xfId="0" applyAlignment="1" applyFont="1">
      <alignment readingOrder="0"/>
    </xf>
    <xf borderId="0" fillId="0" fontId="2" numFmtId="9" xfId="0" applyAlignment="1" applyFont="1" applyNumberFormat="1">
      <alignment readingOrder="0" vertical="top"/>
    </xf>
    <xf borderId="0" fillId="3" fontId="7" numFmtId="0" xfId="0" applyAlignment="1" applyFont="1">
      <alignment horizontal="left" readingOrder="0" shrinkToFit="0" wrapText="1"/>
    </xf>
    <xf borderId="0" fillId="0" fontId="17" numFmtId="0" xfId="0" applyAlignment="1" applyFont="1">
      <alignment readingOrder="0" vertical="top"/>
    </xf>
    <xf borderId="0" fillId="0" fontId="9" numFmtId="0" xfId="0" applyAlignment="1" applyFont="1">
      <alignment readingOrder="0" shrinkToFit="0" wrapText="1"/>
    </xf>
    <xf borderId="0" fillId="0" fontId="2" numFmtId="0" xfId="0" applyAlignment="1" applyFont="1">
      <alignment readingOrder="0" vertical="top"/>
    </xf>
    <xf borderId="0" fillId="0" fontId="2" numFmtId="0" xfId="0" applyAlignment="1" applyFont="1">
      <alignment readingOrder="0" shrinkToFit="0" vertical="top" wrapText="1"/>
    </xf>
    <xf borderId="0" fillId="4" fontId="4" numFmtId="0" xfId="0" applyAlignment="1" applyFont="1">
      <alignment vertical="top"/>
    </xf>
    <xf borderId="0" fillId="4" fontId="4" numFmtId="9" xfId="0" applyAlignment="1" applyFont="1" applyNumberFormat="1">
      <alignment horizontal="right" vertical="top"/>
    </xf>
    <xf borderId="0" fillId="0" fontId="18" numFmtId="0" xfId="0" applyAlignment="1" applyFont="1">
      <alignment readingOrder="0" shrinkToFit="0" vertical="top" wrapText="1"/>
    </xf>
    <xf borderId="0" fillId="0" fontId="19" numFmtId="0" xfId="0" applyAlignment="1" applyFont="1">
      <alignment readingOrder="0"/>
    </xf>
    <xf borderId="0" fillId="0" fontId="20" numFmtId="0" xfId="0" applyAlignment="1" applyFont="1">
      <alignment readingOrder="0"/>
    </xf>
    <xf borderId="0" fillId="0" fontId="2" numFmtId="10" xfId="0" applyAlignment="1" applyFont="1" applyNumberFormat="1">
      <alignment readingOrder="0" shrinkToFit="0" vertical="top" wrapText="1"/>
    </xf>
    <xf borderId="0" fillId="3" fontId="21" numFmtId="165" xfId="0" applyAlignment="1" applyFont="1" applyNumberFormat="1">
      <alignment readingOrder="0"/>
    </xf>
    <xf borderId="0" fillId="0" fontId="2" numFmtId="0" xfId="0" applyAlignment="1" applyFont="1">
      <alignment horizontal="center" vertical="top"/>
    </xf>
    <xf borderId="0" fillId="0" fontId="19" numFmtId="0" xfId="0" applyAlignment="1" applyFont="1">
      <alignment horizontal="left" readingOrder="0" vertical="top"/>
    </xf>
    <xf borderId="0" fillId="0" fontId="19" numFmtId="0" xfId="0" applyAlignment="1" applyFont="1">
      <alignment horizontal="left" vertical="top"/>
    </xf>
    <xf borderId="0" fillId="0" fontId="19" numFmtId="0" xfId="0" applyAlignment="1" applyFont="1">
      <alignment horizontal="left" shrinkToFit="0" vertical="top" wrapText="1"/>
    </xf>
    <xf borderId="0" fillId="0" fontId="22" numFmtId="0" xfId="0" applyAlignment="1" applyFont="1">
      <alignment horizontal="left" vertical="top"/>
    </xf>
    <xf borderId="0" fillId="3" fontId="23" numFmtId="0" xfId="0" applyAlignment="1" applyFont="1">
      <alignment readingOrder="0" shrinkToFit="0" wrapText="1"/>
    </xf>
    <xf borderId="0" fillId="3" fontId="23" numFmtId="0" xfId="0" applyAlignment="1" applyFont="1">
      <alignment readingOrder="0"/>
    </xf>
    <xf borderId="0" fillId="3" fontId="24" numFmtId="0" xfId="0" applyAlignment="1" applyFont="1">
      <alignment readingOrder="0" shrinkToFit="0" wrapText="1"/>
    </xf>
    <xf borderId="0" fillId="0" fontId="19" numFmtId="0" xfId="0" applyAlignment="1" applyFont="1">
      <alignment horizontal="left" readingOrder="0" vertical="top"/>
    </xf>
    <xf borderId="0" fillId="0" fontId="19" numFmtId="0" xfId="0" applyAlignment="1" applyFont="1">
      <alignment horizontal="left" readingOrder="0" shrinkToFit="0" vertical="top" wrapText="1"/>
    </xf>
    <xf borderId="0" fillId="3" fontId="25" numFmtId="0" xfId="0" applyAlignment="1" applyFont="1">
      <alignment readingOrder="0" shrinkToFit="0" wrapText="1"/>
    </xf>
    <xf borderId="0" fillId="3" fontId="25" numFmtId="0" xfId="0" applyAlignment="1" applyFont="1">
      <alignment readingOrder="0"/>
    </xf>
    <xf borderId="0" fillId="3" fontId="26" numFmtId="0" xfId="0" applyAlignment="1" applyFont="1">
      <alignment horizontal="left" readingOrder="0"/>
    </xf>
    <xf borderId="0" fillId="3" fontId="27" numFmtId="0" xfId="0" applyAlignment="1" applyFont="1">
      <alignment horizontal="left" readingOrder="0"/>
    </xf>
    <xf borderId="0" fillId="3" fontId="28" numFmtId="0" xfId="0" applyAlignment="1" applyFont="1">
      <alignment readingOrder="0"/>
    </xf>
    <xf borderId="0" fillId="3" fontId="29" numFmtId="0" xfId="0" applyAlignment="1" applyFont="1">
      <alignment readingOrder="0"/>
    </xf>
    <xf borderId="0" fillId="0" fontId="2" numFmtId="0" xfId="0" applyAlignment="1" applyFont="1">
      <alignment horizontal="left" readingOrder="0" vertical="top"/>
    </xf>
    <xf borderId="0" fillId="0" fontId="2" numFmtId="0" xfId="0" applyAlignment="1" applyFont="1">
      <alignment horizontal="left" readingOrder="0" vertical="top"/>
    </xf>
    <xf borderId="0" fillId="0" fontId="2" numFmtId="0" xfId="0" applyAlignment="1" applyFont="1">
      <alignment horizontal="left" readingOrder="0" shrinkToFit="0" vertical="top" wrapText="1"/>
    </xf>
    <xf borderId="0" fillId="0" fontId="2" numFmtId="0" xfId="0" applyAlignment="1" applyFont="1">
      <alignment horizontal="left" vertical="top"/>
    </xf>
    <xf borderId="0" fillId="0" fontId="2" numFmtId="0" xfId="0" applyAlignment="1" applyFont="1">
      <alignment horizontal="left" readingOrder="0" shrinkToFit="0" vertical="top" wrapText="1"/>
    </xf>
    <xf borderId="0" fillId="0" fontId="2" numFmtId="171" xfId="0" applyAlignment="1" applyFont="1" applyNumberFormat="1">
      <alignment horizontal="left" readingOrder="0" vertical="top"/>
    </xf>
    <xf borderId="0" fillId="0" fontId="2" numFmtId="0" xfId="0" applyAlignment="1" applyFont="1">
      <alignment horizontal="left" readingOrder="0" vertical="top"/>
    </xf>
    <xf borderId="0" fillId="3" fontId="13" numFmtId="0" xfId="0" applyAlignment="1" applyFont="1">
      <alignment horizontal="left" readingOrder="0"/>
    </xf>
    <xf borderId="0" fillId="0" fontId="30" numFmtId="0" xfId="0" applyAlignment="1" applyFont="1">
      <alignment readingOrder="0"/>
    </xf>
    <xf borderId="0" fillId="0" fontId="2" numFmtId="0" xfId="0" applyAlignment="1" applyFont="1">
      <alignment horizontal="left" shrinkToFit="0" vertical="top" wrapText="1"/>
    </xf>
    <xf borderId="0" fillId="0" fontId="2" numFmtId="0" xfId="0" applyAlignment="1" applyFont="1">
      <alignment readingOrder="0"/>
    </xf>
    <xf borderId="0" fillId="3" fontId="31" numFmtId="0" xfId="0" applyAlignment="1" applyFont="1">
      <alignment readingOrder="0"/>
    </xf>
    <xf borderId="0" fillId="3" fontId="32" numFmtId="0" xfId="0" applyAlignment="1" applyFont="1">
      <alignment readingOrder="0"/>
    </xf>
    <xf borderId="0" fillId="3" fontId="33" numFmtId="0" xfId="0" applyAlignment="1" applyFont="1">
      <alignment readingOrder="0"/>
    </xf>
    <xf borderId="0" fillId="3" fontId="26" numFmtId="0" xfId="0" applyAlignment="1" applyFont="1">
      <alignment readingOrder="0"/>
    </xf>
    <xf borderId="0" fillId="3" fontId="34" numFmtId="0" xfId="0" applyAlignment="1" applyFont="1">
      <alignment readingOrder="0"/>
    </xf>
    <xf borderId="0" fillId="3" fontId="23" numFmtId="0" xfId="0" applyAlignment="1" applyFont="1">
      <alignment readingOrder="0"/>
    </xf>
    <xf borderId="0" fillId="2" fontId="1" numFmtId="165" xfId="0" applyAlignment="1" applyFont="1" applyNumberFormat="1">
      <alignment readingOrder="0" shrinkToFit="0" vertical="top" wrapText="1"/>
    </xf>
    <xf borderId="0" fillId="2" fontId="1" numFmtId="166" xfId="0" applyAlignment="1" applyFont="1" applyNumberFormat="1">
      <alignment readingOrder="0" shrinkToFit="0" vertical="top" wrapText="1"/>
    </xf>
    <xf borderId="0" fillId="2" fontId="1" numFmtId="4" xfId="0" applyAlignment="1" applyFont="1" applyNumberFormat="1">
      <alignment readingOrder="0" shrinkToFit="0" vertical="top" wrapText="1"/>
    </xf>
    <xf borderId="0" fillId="2" fontId="35" numFmtId="0" xfId="0" applyAlignment="1" applyFont="1">
      <alignment shrinkToFit="0" vertical="top" wrapText="1"/>
    </xf>
    <xf borderId="0" fillId="3" fontId="2" numFmtId="0" xfId="0" applyAlignment="1" applyFont="1">
      <alignment readingOrder="0"/>
    </xf>
    <xf borderId="0" fillId="3" fontId="2" numFmtId="165" xfId="0" applyAlignment="1" applyFont="1" applyNumberFormat="1">
      <alignment readingOrder="0"/>
    </xf>
    <xf borderId="0" fillId="3" fontId="2" numFmtId="166" xfId="0" applyAlignment="1" applyFont="1" applyNumberFormat="1">
      <alignment readingOrder="0"/>
    </xf>
    <xf borderId="0" fillId="3" fontId="2" numFmtId="167" xfId="0" applyAlignment="1" applyFont="1" applyNumberFormat="1">
      <alignment readingOrder="0"/>
    </xf>
    <xf borderId="0" fillId="4" fontId="2" numFmtId="165" xfId="0" applyAlignment="1" applyFont="1" applyNumberFormat="1">
      <alignment readingOrder="0"/>
    </xf>
    <xf borderId="0" fillId="4" fontId="2" numFmtId="166" xfId="0" applyAlignment="1" applyFont="1" applyNumberFormat="1">
      <alignment readingOrder="0"/>
    </xf>
    <xf borderId="0" fillId="4" fontId="2" numFmtId="0" xfId="0" applyAlignment="1" applyFont="1">
      <alignment readingOrder="0"/>
    </xf>
    <xf borderId="0" fillId="4" fontId="2" numFmtId="167" xfId="0" applyAlignment="1" applyFont="1" applyNumberFormat="1">
      <alignment readingOrder="0"/>
    </xf>
    <xf borderId="0" fillId="3" fontId="2" numFmtId="0" xfId="0" applyAlignment="1" applyFont="1">
      <alignment readingOrder="0"/>
    </xf>
    <xf borderId="0" fillId="4" fontId="4" numFmtId="0" xfId="0" applyAlignment="1" applyFont="1">
      <alignment vertical="bottom"/>
    </xf>
    <xf borderId="0" fillId="4" fontId="4" numFmtId="165" xfId="0" applyAlignment="1" applyFont="1" applyNumberFormat="1">
      <alignment horizontal="right" vertical="bottom"/>
    </xf>
    <xf borderId="0" fillId="4" fontId="4" numFmtId="166" xfId="0" applyAlignment="1" applyFont="1" applyNumberFormat="1">
      <alignment horizontal="right" vertical="bottom"/>
    </xf>
    <xf borderId="0" fillId="3" fontId="4" numFmtId="0" xfId="0" applyAlignment="1" applyFont="1">
      <alignment readingOrder="0" vertical="bottom"/>
    </xf>
    <xf borderId="0" fillId="3" fontId="4" numFmtId="165" xfId="0" applyAlignment="1" applyFont="1" applyNumberFormat="1">
      <alignment horizontal="right" vertical="bottom"/>
    </xf>
    <xf borderId="0" fillId="3" fontId="4" numFmtId="166" xfId="0" applyAlignment="1" applyFont="1" applyNumberFormat="1">
      <alignment horizontal="right" vertical="bottom"/>
    </xf>
    <xf borderId="0" fillId="4" fontId="4" numFmtId="0" xfId="0" applyAlignment="1" applyFont="1">
      <alignment readingOrder="0" vertical="bottom"/>
    </xf>
    <xf borderId="0" fillId="3" fontId="2" numFmtId="170" xfId="0" applyAlignment="1" applyFont="1" applyNumberFormat="1">
      <alignment readingOrder="0"/>
    </xf>
    <xf borderId="0" fillId="4" fontId="2" numFmtId="170" xfId="0" applyAlignment="1" applyFont="1" applyNumberFormat="1">
      <alignment readingOrder="0"/>
    </xf>
    <xf borderId="0" fillId="3" fontId="2" numFmtId="168" xfId="0" applyAlignment="1" applyFont="1" applyNumberFormat="1">
      <alignment readingOrder="0"/>
    </xf>
    <xf borderId="0" fillId="4" fontId="2" numFmtId="168" xfId="0" applyAlignment="1" applyFont="1" applyNumberFormat="1">
      <alignment readingOrder="0"/>
    </xf>
    <xf borderId="0" fillId="3" fontId="7" numFmtId="172" xfId="0" applyAlignment="1" applyFont="1" applyNumberFormat="1">
      <alignment horizontal="right" vertical="bottom"/>
    </xf>
    <xf borderId="0" fillId="3" fontId="7" numFmtId="172" xfId="0" applyAlignment="1" applyFont="1" applyNumberFormat="1">
      <alignment horizontal="right" readingOrder="0" vertical="bottom"/>
    </xf>
    <xf borderId="0" fillId="3" fontId="36" numFmtId="0" xfId="0" applyAlignment="1" applyFont="1">
      <alignment readingOrder="0"/>
    </xf>
    <xf borderId="0" fillId="3" fontId="2" numFmtId="166" xfId="0" applyFont="1" applyNumberFormat="1"/>
    <xf borderId="0" fillId="4" fontId="2" numFmtId="0" xfId="0" applyAlignment="1" applyFont="1">
      <alignment shrinkToFit="0" wrapText="1"/>
    </xf>
    <xf borderId="0" fillId="3" fontId="2" numFmtId="0" xfId="0" applyAlignment="1" applyFont="1">
      <alignment shrinkToFit="0" wrapText="1"/>
    </xf>
    <xf borderId="0" fillId="3" fontId="2" numFmtId="173" xfId="0" applyAlignment="1" applyFont="1" applyNumberFormat="1">
      <alignment readingOrder="0"/>
    </xf>
    <xf borderId="0" fillId="4" fontId="2" numFmtId="173" xfId="0" applyAlignment="1" applyFont="1" applyNumberFormat="1">
      <alignment readingOrder="0"/>
    </xf>
    <xf borderId="0" fillId="3" fontId="2" numFmtId="0" xfId="0" applyAlignment="1" applyFont="1">
      <alignment readingOrder="0" shrinkToFit="0" wrapText="1"/>
    </xf>
    <xf borderId="0" fillId="3" fontId="2" numFmtId="174" xfId="0" applyAlignment="1" applyFont="1" applyNumberFormat="1">
      <alignment readingOrder="0"/>
    </xf>
    <xf borderId="0" fillId="4" fontId="2" numFmtId="174" xfId="0" applyAlignment="1" applyFont="1" applyNumberFormat="1">
      <alignment readingOrder="0"/>
    </xf>
    <xf borderId="0" fillId="3" fontId="2" numFmtId="4" xfId="0" applyAlignment="1" applyFont="1" applyNumberFormat="1">
      <alignment readingOrder="0"/>
    </xf>
    <xf borderId="0" fillId="4" fontId="2" numFmtId="4" xfId="0" applyAlignment="1" applyFont="1" applyNumberFormat="1">
      <alignment readingOrder="0"/>
    </xf>
    <xf borderId="0" fillId="3" fontId="2" numFmtId="175" xfId="0" applyAlignment="1" applyFont="1" applyNumberFormat="1">
      <alignment readingOrder="0"/>
    </xf>
    <xf borderId="0" fillId="3" fontId="4" numFmtId="167" xfId="0" applyAlignment="1" applyFont="1" applyNumberFormat="1">
      <alignment vertical="top"/>
    </xf>
    <xf borderId="0" fillId="4" fontId="2" numFmtId="175" xfId="0" applyAlignment="1" applyFont="1" applyNumberFormat="1">
      <alignment readingOrder="0"/>
    </xf>
    <xf borderId="0" fillId="4" fontId="4" numFmtId="167" xfId="0" applyAlignment="1" applyFont="1" applyNumberFormat="1">
      <alignment vertical="top"/>
    </xf>
    <xf borderId="0" fillId="3" fontId="2" numFmtId="4" xfId="0" applyFont="1" applyNumberFormat="1"/>
    <xf borderId="0" fillId="4" fontId="2" numFmtId="4" xfId="0" applyFont="1" applyNumberFormat="1"/>
    <xf borderId="0" fillId="3" fontId="37" numFmtId="0" xfId="0" applyAlignment="1" applyFont="1">
      <alignment readingOrder="0" shrinkToFit="0" wrapText="1"/>
    </xf>
    <xf borderId="0" fillId="7" fontId="38" numFmtId="165" xfId="0" applyAlignment="1" applyFill="1" applyFont="1" applyNumberFormat="1">
      <alignment horizontal="right" readingOrder="0" shrinkToFit="0" wrapText="0"/>
    </xf>
    <xf borderId="2" fillId="3" fontId="39" numFmtId="165" xfId="0" applyAlignment="1" applyBorder="1" applyFont="1" applyNumberFormat="1">
      <alignment horizontal="right" readingOrder="0" shrinkToFit="0" wrapText="0"/>
    </xf>
    <xf borderId="2" fillId="4" fontId="39" numFmtId="165" xfId="0" applyAlignment="1" applyBorder="1" applyFont="1" applyNumberFormat="1">
      <alignment horizontal="right" readingOrder="0" shrinkToFit="0" wrapText="0"/>
    </xf>
    <xf borderId="0" fillId="4" fontId="2" numFmtId="166" xfId="0" applyFont="1" applyNumberFormat="1"/>
    <xf borderId="0" fillId="2" fontId="35" numFmtId="0" xfId="0" applyAlignment="1" applyFont="1">
      <alignment shrinkToFit="0" vertical="top" wrapText="1"/>
    </xf>
    <xf borderId="0" fillId="3" fontId="4" numFmtId="0" xfId="0" applyAlignment="1" applyFont="1">
      <alignment readingOrder="0" vertical="top"/>
    </xf>
    <xf borderId="0" fillId="3" fontId="4" numFmtId="0" xfId="0" applyAlignment="1" applyFont="1">
      <alignment vertical="top"/>
    </xf>
    <xf borderId="0" fillId="0" fontId="2" numFmtId="0" xfId="0" applyFont="1"/>
    <xf borderId="0" fillId="0" fontId="2" numFmtId="165" xfId="0" applyFont="1" applyNumberFormat="1"/>
    <xf borderId="0" fillId="0" fontId="2" numFmtId="9" xfId="0" applyFont="1" applyNumberFormat="1"/>
    <xf borderId="0" fillId="3" fontId="40" numFmtId="0" xfId="0" applyAlignment="1" applyFont="1">
      <alignment readingOrder="0"/>
    </xf>
    <xf borderId="0" fillId="3" fontId="40" numFmtId="165" xfId="0" applyAlignment="1" applyFont="1" applyNumberFormat="1">
      <alignment readingOrder="0"/>
    </xf>
    <xf borderId="0" fillId="3" fontId="40" numFmtId="9" xfId="0" applyAlignment="1" applyFont="1" applyNumberFormat="1">
      <alignment readingOrder="0"/>
    </xf>
    <xf borderId="0" fillId="0" fontId="2" numFmtId="0" xfId="0" applyFont="1"/>
    <xf borderId="0" fillId="6" fontId="1" numFmtId="0" xfId="0" applyAlignment="1" applyFont="1">
      <alignment readingOrder="0" shrinkToFit="0" vertical="center" wrapText="1"/>
    </xf>
    <xf borderId="0" fillId="6" fontId="41" numFmtId="0" xfId="0" applyAlignment="1" applyFont="1">
      <alignment horizontal="left" readingOrder="0" shrinkToFit="0" vertical="center" wrapText="1"/>
    </xf>
    <xf borderId="3" fillId="6" fontId="35" numFmtId="0" xfId="0" applyAlignment="1" applyBorder="1" applyFont="1">
      <alignment horizontal="left" readingOrder="0" vertical="center"/>
    </xf>
    <xf borderId="4" fillId="0" fontId="42" numFmtId="0" xfId="0" applyBorder="1" applyFont="1"/>
    <xf borderId="3" fillId="6" fontId="1" numFmtId="0" xfId="0" applyAlignment="1" applyBorder="1" applyFont="1">
      <alignment readingOrder="0" shrinkToFit="0" vertical="center" wrapText="1"/>
    </xf>
    <xf borderId="0" fillId="8" fontId="1" numFmtId="0" xfId="0" applyAlignment="1" applyFill="1" applyFont="1">
      <alignment readingOrder="0" shrinkToFit="0" vertical="center" wrapText="1"/>
    </xf>
    <xf borderId="4" fillId="6" fontId="1" numFmtId="0" xfId="0" applyAlignment="1" applyBorder="1" applyFont="1">
      <alignment readingOrder="0" shrinkToFit="0" vertical="center" wrapText="1"/>
    </xf>
    <xf borderId="3" fillId="6" fontId="41" numFmtId="0" xfId="0" applyAlignment="1" applyBorder="1" applyFont="1">
      <alignment readingOrder="0" shrinkToFit="0" vertical="center" wrapText="1"/>
    </xf>
    <xf borderId="3" fillId="6" fontId="43" numFmtId="0" xfId="0" applyAlignment="1" applyBorder="1" applyFont="1">
      <alignment readingOrder="0" shrinkToFit="0" vertical="center" wrapText="1"/>
    </xf>
    <xf borderId="4" fillId="6" fontId="43" numFmtId="176" xfId="0" applyAlignment="1" applyBorder="1" applyFont="1" applyNumberFormat="1">
      <alignment readingOrder="0" shrinkToFit="0" vertical="center" wrapText="1"/>
    </xf>
    <xf borderId="4" fillId="6" fontId="44" numFmtId="176" xfId="0" applyAlignment="1" applyBorder="1" applyFont="1" applyNumberFormat="1">
      <alignment horizontal="left" readingOrder="0" shrinkToFit="0" vertical="center" wrapText="1"/>
    </xf>
    <xf borderId="4" fillId="6" fontId="43" numFmtId="0" xfId="0" applyAlignment="1" applyBorder="1" applyFont="1">
      <alignment readingOrder="0" shrinkToFit="0" vertical="center" wrapText="1"/>
    </xf>
    <xf borderId="4" fillId="6" fontId="44" numFmtId="9" xfId="0" applyAlignment="1" applyBorder="1" applyFont="1" applyNumberFormat="1">
      <alignment readingOrder="0" shrinkToFit="0" vertical="center" wrapText="1"/>
    </xf>
    <xf borderId="0" fillId="6" fontId="43" numFmtId="0" xfId="0" applyAlignment="1" applyFont="1">
      <alignment readingOrder="0" shrinkToFit="0" vertical="center" wrapText="1"/>
    </xf>
    <xf borderId="5" fillId="8" fontId="1" numFmtId="0" xfId="0" applyAlignment="1" applyBorder="1" applyFont="1">
      <alignment readingOrder="0" shrinkToFit="0" vertical="center" wrapText="1"/>
    </xf>
    <xf borderId="3" fillId="6" fontId="43" numFmtId="167" xfId="0" applyAlignment="1" applyBorder="1" applyFont="1" applyNumberFormat="1">
      <alignment horizontal="left" readingOrder="0" shrinkToFit="0" vertical="center" wrapText="1"/>
    </xf>
    <xf borderId="4" fillId="6" fontId="43" numFmtId="176" xfId="0" applyAlignment="1" applyBorder="1" applyFont="1" applyNumberFormat="1">
      <alignment horizontal="left" readingOrder="0" shrinkToFit="0" vertical="center" wrapText="1"/>
    </xf>
    <xf borderId="4" fillId="6" fontId="44" numFmtId="0" xfId="0" applyAlignment="1" applyBorder="1" applyFont="1">
      <alignment horizontal="left" readingOrder="0" shrinkToFit="0" vertical="center" wrapText="1"/>
    </xf>
    <xf borderId="3" fillId="6" fontId="43" numFmtId="177" xfId="0" applyAlignment="1" applyBorder="1" applyFont="1" applyNumberFormat="1">
      <alignment horizontal="left" readingOrder="0" shrinkToFit="0" vertical="center" wrapText="1"/>
    </xf>
    <xf borderId="3" fillId="6" fontId="43" numFmtId="175" xfId="0" applyAlignment="1" applyBorder="1" applyFont="1" applyNumberFormat="1">
      <alignment horizontal="left" readingOrder="0" shrinkToFit="0" vertical="center" wrapText="1"/>
    </xf>
    <xf borderId="4" fillId="6" fontId="45" numFmtId="176" xfId="0" applyAlignment="1" applyBorder="1" applyFont="1" applyNumberFormat="1">
      <alignment horizontal="left" readingOrder="0" shrinkToFit="0" vertical="center" wrapText="1"/>
    </xf>
    <xf borderId="0" fillId="6" fontId="1" numFmtId="0" xfId="0" applyAlignment="1" applyFont="1">
      <alignment readingOrder="0" shrinkToFit="0" vertical="top" wrapText="1"/>
    </xf>
    <xf borderId="0" fillId="0" fontId="46" numFmtId="167" xfId="0" applyAlignment="1" applyFont="1" applyNumberFormat="1">
      <alignment horizontal="left" readingOrder="0"/>
    </xf>
    <xf borderId="0" fillId="0" fontId="47" numFmtId="167" xfId="0" applyAlignment="1" applyFont="1" applyNumberFormat="1">
      <alignment horizontal="right" readingOrder="0"/>
    </xf>
    <xf borderId="4" fillId="0" fontId="2" numFmtId="165" xfId="0" applyBorder="1" applyFont="1" applyNumberFormat="1"/>
    <xf borderId="3" fillId="0" fontId="47" numFmtId="167" xfId="0" applyAlignment="1" applyBorder="1" applyFont="1" applyNumberFormat="1">
      <alignment readingOrder="0"/>
    </xf>
    <xf borderId="4" fillId="0" fontId="48" numFmtId="9" xfId="0" applyAlignment="1" applyBorder="1" applyFont="1" applyNumberFormat="1">
      <alignment readingOrder="0" vertical="center"/>
    </xf>
    <xf borderId="3" fillId="0" fontId="2" numFmtId="177" xfId="0" applyAlignment="1" applyBorder="1" applyFont="1" applyNumberFormat="1">
      <alignment readingOrder="0"/>
    </xf>
    <xf borderId="0" fillId="3" fontId="3" numFmtId="3" xfId="0" applyFont="1" applyNumberFormat="1"/>
    <xf borderId="0" fillId="3" fontId="3" numFmtId="0" xfId="0" applyAlignment="1" applyFont="1">
      <alignment readingOrder="0"/>
    </xf>
    <xf borderId="4" fillId="3" fontId="49" numFmtId="9" xfId="0" applyAlignment="1" applyBorder="1" applyFont="1" applyNumberFormat="1">
      <alignment readingOrder="0" vertical="center"/>
    </xf>
    <xf borderId="3" fillId="0" fontId="2" numFmtId="175" xfId="0" applyAlignment="1" applyBorder="1" applyFont="1" applyNumberFormat="1">
      <alignment readingOrder="0"/>
    </xf>
    <xf borderId="5" fillId="8" fontId="1" numFmtId="0" xfId="0" applyAlignment="1" applyBorder="1" applyFont="1">
      <alignment readingOrder="0" shrinkToFit="0" vertical="top" wrapText="1"/>
    </xf>
    <xf borderId="3" fillId="6" fontId="1" numFmtId="0" xfId="0" applyAlignment="1" applyBorder="1" applyFont="1">
      <alignment readingOrder="0" shrinkToFit="0" vertical="top" wrapText="1"/>
    </xf>
    <xf borderId="3" fillId="3" fontId="3" numFmtId="165" xfId="0" applyBorder="1" applyFont="1" applyNumberFormat="1"/>
    <xf borderId="4" fillId="3" fontId="50" numFmtId="176" xfId="0" applyAlignment="1" applyBorder="1" applyFont="1" applyNumberFormat="1">
      <alignment horizontal="left" vertical="center"/>
    </xf>
    <xf borderId="4" fillId="3" fontId="50" numFmtId="165" xfId="0" applyAlignment="1" applyBorder="1" applyFont="1" applyNumberFormat="1">
      <alignment horizontal="left" vertical="center"/>
    </xf>
    <xf borderId="0" fillId="0" fontId="46" numFmtId="0" xfId="0" applyAlignment="1" applyFont="1">
      <alignment horizontal="left"/>
    </xf>
    <xf borderId="3" fillId="0" fontId="2" numFmtId="0" xfId="0" applyBorder="1" applyFont="1"/>
    <xf borderId="4" fillId="0" fontId="2" numFmtId="0" xfId="0" applyBorder="1" applyFont="1"/>
    <xf borderId="4" fillId="0" fontId="48" numFmtId="9" xfId="0" applyAlignment="1" applyBorder="1" applyFont="1" applyNumberFormat="1">
      <alignment vertical="center"/>
    </xf>
    <xf borderId="4" fillId="3" fontId="50" numFmtId="10" xfId="0" applyAlignment="1" applyBorder="1" applyFont="1" applyNumberFormat="1">
      <alignment horizontal="left" vertical="center"/>
    </xf>
    <xf borderId="0" fillId="0" fontId="46" numFmtId="165" xfId="0" applyAlignment="1" applyFont="1" applyNumberFormat="1">
      <alignment horizontal="left"/>
    </xf>
    <xf borderId="3" fillId="3" fontId="3" numFmtId="165" xfId="0" applyAlignment="1" applyBorder="1" applyFont="1" applyNumberFormat="1">
      <alignment readingOrder="0"/>
    </xf>
    <xf borderId="0" fillId="3" fontId="3" numFmtId="165" xfId="0" applyAlignment="1" applyFont="1" applyNumberFormat="1">
      <alignment readingOrder="0"/>
    </xf>
    <xf borderId="0" fillId="0" fontId="51" numFmtId="165" xfId="0" applyAlignment="1" applyFont="1" applyNumberFormat="1">
      <alignment horizontal="left"/>
    </xf>
    <xf borderId="3" fillId="0" fontId="2" numFmtId="165" xfId="0" applyBorder="1" applyFont="1" applyNumberFormat="1"/>
    <xf borderId="5" fillId="8" fontId="2" numFmtId="165" xfId="0" applyAlignment="1" applyBorder="1" applyFont="1" applyNumberFormat="1">
      <alignment readingOrder="0"/>
    </xf>
    <xf borderId="3" fillId="0" fontId="2" numFmtId="165" xfId="0" applyAlignment="1" applyBorder="1" applyFont="1" applyNumberFormat="1">
      <alignment readingOrder="0"/>
    </xf>
    <xf borderId="4" fillId="0" fontId="2" numFmtId="165" xfId="0" applyAlignment="1" applyBorder="1" applyFont="1" applyNumberFormat="1">
      <alignment readingOrder="0"/>
    </xf>
    <xf borderId="6" fillId="3" fontId="52" numFmtId="165" xfId="0" applyBorder="1" applyFont="1" applyNumberFormat="1"/>
    <xf borderId="6" fillId="3" fontId="3" numFmtId="165" xfId="0" applyBorder="1" applyFont="1" applyNumberFormat="1"/>
    <xf borderId="3" fillId="0" fontId="2" numFmtId="10" xfId="0" applyBorder="1" applyFont="1" applyNumberFormat="1"/>
    <xf borderId="4" fillId="0" fontId="16" numFmtId="176" xfId="0" applyAlignment="1" applyBorder="1" applyFont="1" applyNumberFormat="1">
      <alignment horizontal="left" vertical="center"/>
    </xf>
    <xf borderId="4" fillId="0" fontId="16" numFmtId="10" xfId="0" applyAlignment="1" applyBorder="1" applyFont="1" applyNumberFormat="1">
      <alignment horizontal="left" vertical="center"/>
    </xf>
    <xf borderId="5" fillId="8" fontId="2" numFmtId="0" xfId="0" applyBorder="1" applyFont="1"/>
    <xf borderId="6" fillId="0" fontId="2" numFmtId="165" xfId="0" applyBorder="1" applyFont="1" applyNumberFormat="1"/>
    <xf borderId="4" fillId="0" fontId="16" numFmtId="0" xfId="0" applyAlignment="1" applyBorder="1" applyFont="1">
      <alignment horizontal="left" vertical="center"/>
    </xf>
    <xf borderId="3" fillId="0" fontId="15" numFmtId="165" xfId="0" applyBorder="1" applyFont="1" applyNumberFormat="1"/>
    <xf borderId="4" fillId="0" fontId="16" numFmtId="165" xfId="0" applyAlignment="1" applyBorder="1" applyFont="1" applyNumberFormat="1">
      <alignment horizontal="left" vertical="center"/>
    </xf>
    <xf borderId="3" fillId="0" fontId="2" numFmtId="9" xfId="0" applyBorder="1" applyFont="1" applyNumberFormat="1"/>
    <xf borderId="5" fillId="8" fontId="2" numFmtId="165" xfId="0" applyBorder="1" applyFont="1" applyNumberFormat="1"/>
    <xf borderId="3" fillId="2" fontId="2" numFmtId="165" xfId="0" applyBorder="1" applyFont="1" applyNumberFormat="1"/>
    <xf borderId="4" fillId="2" fontId="43" numFmtId="165" xfId="0" applyAlignment="1" applyBorder="1" applyFont="1" applyNumberFormat="1">
      <alignment readingOrder="0"/>
    </xf>
    <xf borderId="3" fillId="0" fontId="51" numFmtId="9" xfId="0" applyAlignment="1" applyBorder="1" applyFont="1" applyNumberFormat="1">
      <alignment horizontal="center"/>
    </xf>
    <xf borderId="4" fillId="2" fontId="1" numFmtId="165" xfId="0" applyAlignment="1" applyBorder="1" applyFont="1" applyNumberFormat="1">
      <alignment readingOrder="0"/>
    </xf>
    <xf borderId="3" fillId="0" fontId="46" numFmtId="9" xfId="0" applyAlignment="1" applyBorder="1" applyFont="1" applyNumberFormat="1">
      <alignment horizontal="center"/>
    </xf>
    <xf borderId="3" fillId="0" fontId="15" numFmtId="9" xfId="0" applyBorder="1" applyFont="1" applyNumberFormat="1"/>
    <xf borderId="0" fillId="0" fontId="15" numFmtId="168" xfId="0" applyAlignment="1" applyFont="1" applyNumberFormat="1">
      <alignment readingOrder="0"/>
    </xf>
    <xf borderId="0" fillId="0" fontId="2" numFmtId="0" xfId="0" applyAlignment="1" applyFont="1">
      <alignment horizontal="left" readingOrder="0"/>
    </xf>
    <xf borderId="0" fillId="0" fontId="53" numFmtId="174" xfId="0" applyAlignment="1" applyFont="1" applyNumberFormat="1">
      <alignment readingOrder="0"/>
    </xf>
    <xf borderId="0" fillId="0" fontId="53" numFmtId="4" xfId="0" applyFont="1" applyNumberFormat="1"/>
    <xf borderId="0" fillId="0" fontId="53" numFmtId="0" xfId="0" applyFont="1"/>
    <xf borderId="0" fillId="0" fontId="15" numFmtId="167" xfId="0" applyAlignment="1" applyFont="1" applyNumberFormat="1">
      <alignment readingOrder="0"/>
    </xf>
    <xf borderId="0" fillId="0" fontId="2" numFmtId="165" xfId="0" applyFont="1" applyNumberFormat="1"/>
    <xf borderId="0" fillId="0" fontId="19" numFmtId="0" xfId="0" applyAlignment="1" applyFont="1">
      <alignment vertical="bottom"/>
    </xf>
    <xf borderId="0" fillId="0" fontId="54" numFmtId="0" xfId="0" applyAlignment="1" applyFont="1">
      <alignment shrinkToFit="0" wrapText="0"/>
    </xf>
    <xf borderId="0" fillId="0" fontId="19" numFmtId="0" xfId="0" applyAlignment="1" applyFont="1">
      <alignment shrinkToFit="0" vertical="bottom" wrapText="0"/>
    </xf>
    <xf borderId="0" fillId="0" fontId="9" numFmtId="0" xfId="0" applyAlignment="1" applyFont="1">
      <alignment readingOrder="0" shrinkToFit="0" vertical="bottom" wrapText="1"/>
    </xf>
    <xf borderId="0" fillId="0" fontId="55" numFmtId="0" xfId="0" applyAlignment="1" applyFont="1">
      <alignment readingOrder="0" vertical="bottom"/>
    </xf>
    <xf borderId="0" fillId="0" fontId="2" numFmtId="0" xfId="0" applyAlignment="1" applyFont="1">
      <alignment readingOrder="0" shrinkToFit="0" wrapText="1"/>
    </xf>
    <xf borderId="0" fillId="0" fontId="56" numFmtId="0" xfId="0" applyAlignment="1" applyFont="1">
      <alignment readingOrder="0"/>
    </xf>
    <xf borderId="0" fillId="4" fontId="15" numFmtId="0" xfId="0" applyAlignment="1" applyFont="1">
      <alignment readingOrder="0" shrinkToFit="0" wrapText="1"/>
    </xf>
    <xf borderId="0" fillId="0" fontId="15" numFmtId="0" xfId="0" applyAlignment="1" applyFont="1">
      <alignment readingOrder="0" shrinkToFit="0" wrapText="1"/>
    </xf>
    <xf borderId="0" fillId="0" fontId="15" numFmtId="0" xfId="0" applyAlignment="1" applyFont="1">
      <alignment shrinkToFit="0" wrapText="1"/>
    </xf>
    <xf borderId="0" fillId="0" fontId="2" numFmtId="0" xfId="0" applyAlignment="1" applyFont="1">
      <alignment shrinkToFit="0" wrapText="1"/>
    </xf>
    <xf borderId="0" fillId="0" fontId="2" numFmtId="49" xfId="0" applyAlignment="1" applyFont="1" applyNumberFormat="1">
      <alignment horizontal="left" readingOrder="0"/>
    </xf>
    <xf borderId="0" fillId="0" fontId="2" numFmtId="168" xfId="0" applyAlignment="1" applyFont="1" applyNumberFormat="1">
      <alignment horizontal="left" readingOrder="0"/>
    </xf>
    <xf borderId="0" fillId="0" fontId="2" numFmtId="0" xfId="0" applyAlignment="1" applyFont="1">
      <alignment horizontal="left"/>
    </xf>
    <xf borderId="0" fillId="9" fontId="57" numFmtId="0" xfId="0" applyAlignment="1" applyFill="1" applyFont="1">
      <alignment readingOrder="0"/>
    </xf>
    <xf borderId="0" fillId="0" fontId="2" numFmtId="164" xfId="0" applyAlignment="1" applyFont="1" applyNumberFormat="1">
      <alignment readingOrder="0"/>
    </xf>
    <xf borderId="0" fillId="0" fontId="2" numFmtId="4" xfId="0" applyAlignment="1" applyFont="1" applyNumberFormat="1">
      <alignment readingOrder="0"/>
    </xf>
    <xf borderId="0" fillId="0" fontId="2" numFmtId="164" xfId="0" applyFont="1" applyNumberFormat="1"/>
    <xf borderId="0" fillId="0" fontId="2" numFmtId="4" xfId="0" applyFont="1" applyNumberFormat="1"/>
    <xf borderId="0" fillId="0" fontId="2" numFmtId="168" xfId="0" applyFont="1" applyNumberFormat="1"/>
    <xf borderId="0" fillId="0" fontId="2" numFmtId="2" xfId="0" applyFont="1" applyNumberFormat="1"/>
    <xf borderId="0" fillId="0" fontId="2" numFmtId="166" xfId="0" applyFont="1" applyNumberFormat="1"/>
    <xf borderId="0" fillId="3" fontId="3" numFmtId="2" xfId="0" applyFont="1" applyNumberFormat="1"/>
    <xf borderId="0" fillId="0" fontId="2" numFmtId="170" xfId="0" applyFont="1" applyNumberFormat="1"/>
    <xf borderId="0" fillId="0" fontId="2" numFmtId="172" xfId="0" applyFont="1" applyNumberFormat="1"/>
    <xf borderId="0" fillId="0" fontId="2" numFmtId="174" xfId="0" applyFont="1" applyNumberFormat="1"/>
    <xf borderId="0" fillId="0" fontId="2" numFmtId="175" xfId="0" applyFont="1" applyNumberFormat="1"/>
  </cellXfs>
  <cellStyles count="1">
    <cellStyle xfId="0" name="Normal" builtinId="0"/>
  </cellStyles>
  <dxfs count="23">
    <dxf>
      <font/>
      <fill>
        <patternFill patternType="none"/>
      </fill>
      <border/>
    </dxf>
    <dxf>
      <font>
        <b/>
      </font>
      <fill>
        <patternFill patternType="none"/>
      </fill>
      <border/>
    </dxf>
    <dxf>
      <font/>
      <fill>
        <patternFill patternType="solid">
          <fgColor rgb="FFFFFF00"/>
          <bgColor rgb="FFFFFF00"/>
        </patternFill>
      </fill>
      <border/>
    </dxf>
    <dxf>
      <font/>
      <fill>
        <patternFill patternType="solid">
          <fgColor rgb="FFD9EAD3"/>
          <bgColor rgb="FFD9EAD3"/>
        </patternFill>
      </fill>
      <border/>
    </dxf>
    <dxf>
      <font/>
      <fill>
        <patternFill patternType="solid">
          <fgColor rgb="FFEAD1DC"/>
          <bgColor rgb="FFEAD1DC"/>
        </patternFill>
      </fill>
      <border/>
    </dxf>
    <dxf>
      <font>
        <color rgb="FF666666"/>
      </font>
      <fill>
        <patternFill patternType="solid">
          <fgColor rgb="FFD9D9D9"/>
          <bgColor rgb="FFD9D9D9"/>
        </patternFill>
      </fill>
      <border/>
    </dxf>
    <dxf>
      <font>
        <color rgb="FF666666"/>
      </font>
      <fill>
        <patternFill patternType="solid">
          <fgColor rgb="FFCFE2F3"/>
          <bgColor rgb="FFCFE2F3"/>
        </patternFill>
      </fill>
      <border/>
    </dxf>
    <dxf>
      <font>
        <color rgb="FFFFFFFF"/>
      </font>
      <fill>
        <patternFill patternType="solid">
          <fgColor rgb="FFFF0000"/>
          <bgColor rgb="FFFF0000"/>
        </patternFill>
      </fill>
      <border/>
    </dxf>
    <dxf>
      <font>
        <color rgb="FF000000"/>
      </font>
      <fill>
        <patternFill patternType="solid">
          <fgColor rgb="FFFFFF00"/>
          <bgColor rgb="FFFFFF00"/>
        </patternFill>
      </fill>
      <border/>
    </dxf>
    <dxf>
      <font>
        <b/>
        <color rgb="FFFF9900"/>
      </font>
      <fill>
        <patternFill patternType="none"/>
      </fill>
      <border/>
    </dxf>
    <dxf>
      <font/>
      <fill>
        <patternFill patternType="solid">
          <fgColor rgb="FFFF0000"/>
          <bgColor rgb="FFFF0000"/>
        </patternFill>
      </fill>
      <border/>
    </dxf>
    <dxf>
      <font/>
      <fill>
        <patternFill patternType="none"/>
      </fill>
      <border/>
    </dxf>
    <dxf>
      <font/>
      <fill>
        <patternFill patternType="solid">
          <fgColor rgb="FFFFF2CC"/>
          <bgColor rgb="FFFFF2CC"/>
        </patternFill>
      </fill>
      <border/>
    </dxf>
    <dxf>
      <font/>
      <fill>
        <patternFill patternType="solid">
          <fgColor rgb="FF5B95F9"/>
          <bgColor rgb="FF5B95F9"/>
        </patternFill>
      </fill>
      <border/>
    </dxf>
    <dxf>
      <font/>
      <fill>
        <patternFill patternType="solid">
          <fgColor rgb="FFFFFFFF"/>
          <bgColor rgb="FFFFFFFF"/>
        </patternFill>
      </fill>
      <border/>
    </dxf>
    <dxf>
      <font/>
      <fill>
        <patternFill patternType="solid">
          <fgColor rgb="FFEFF1F5"/>
          <bgColor rgb="FFEFF1F5"/>
        </patternFill>
      </fill>
      <border/>
    </dxf>
    <dxf>
      <font/>
      <fill>
        <patternFill patternType="solid">
          <fgColor rgb="FFB6D7A8"/>
          <bgColor rgb="FFB6D7A8"/>
        </patternFill>
      </fill>
      <border/>
    </dxf>
    <dxf>
      <font/>
      <fill>
        <patternFill patternType="solid">
          <fgColor rgb="FFCFE2F3"/>
          <bgColor rgb="FFCFE2F3"/>
        </patternFill>
      </fill>
      <border/>
    </dxf>
    <dxf>
      <font>
        <color rgb="FF999999"/>
      </font>
      <fill>
        <patternFill patternType="solid">
          <fgColor rgb="FFCCCCCC"/>
          <bgColor rgb="FFCCCCCC"/>
        </patternFill>
      </fill>
      <border/>
    </dxf>
    <dxf>
      <font/>
      <fill>
        <patternFill patternType="solid">
          <fgColor rgb="FFB7E1CD"/>
          <bgColor rgb="FFB7E1CD"/>
        </patternFill>
      </fill>
      <border/>
    </dxf>
    <dxf>
      <font/>
      <fill>
        <patternFill patternType="solid">
          <fgColor rgb="FFF4CCCC"/>
          <bgColor rgb="FFF4CCCC"/>
        </patternFill>
      </fill>
      <border/>
    </dxf>
    <dxf>
      <font/>
      <fill>
        <patternFill patternType="solid">
          <fgColor rgb="FF6AA84F"/>
          <bgColor rgb="FF6AA84F"/>
        </patternFill>
      </fill>
      <border/>
    </dxf>
    <dxf>
      <font>
        <color rgb="FFF3F3F3"/>
      </font>
      <fill>
        <patternFill patternType="none"/>
      </fill>
      <border/>
    </dxf>
  </dxfs>
  <tableStyles count="3">
    <tableStyle count="3" pivot="0" name="Projects-style">
      <tableStyleElement dxfId="13" type="headerRow"/>
      <tableStyleElement dxfId="14" type="firstRowStripe"/>
      <tableStyleElement dxfId="15" type="secondRowStripe"/>
    </tableStyle>
    <tableStyle count="3" pivot="0" name="Clients-style">
      <tableStyleElement dxfId="13" type="headerRow"/>
      <tableStyleElement dxfId="14" type="firstRowStripe"/>
      <tableStyleElement dxfId="15" type="secondRowStripe"/>
    </tableStyle>
    <tableStyle count="3" pivot="0" name="Vendors-style">
      <tableStyleElement dxfId="13" type="headerRow"/>
      <tableStyleElement dxfId="14" type="firstRowStripe"/>
      <tableStyleElement dxfId="15" type="secondRowStripe"/>
    </tableStyle>
  </tableStyles>
</styleSheet>
</file>

<file path=xl/_rels/workbook.xml.rels><?xml version="1.0" encoding="UTF-8" standalone="yes"?><Relationships xmlns="http://schemas.openxmlformats.org/package/2006/relationships"><Relationship Id="rId11" Type="http://schemas.openxmlformats.org/officeDocument/2006/relationships/worksheet" Target="worksheets/sheet7.xml"/><Relationship Id="rId10" Type="http://schemas.openxmlformats.org/officeDocument/2006/relationships/worksheet" Target="worksheets/sheet6.xml"/><Relationship Id="rId13" Type="http://schemas.openxmlformats.org/officeDocument/2006/relationships/worksheet" Target="worksheets/sheet9.xml"/><Relationship Id="rId12" Type="http://schemas.openxmlformats.org/officeDocument/2006/relationships/worksheet" Target="worksheets/sheet8.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9" Type="http://schemas.openxmlformats.org/officeDocument/2006/relationships/worksheet" Target="worksheets/sheet5.xml"/><Relationship Id="rId15" Type="http://schemas.openxmlformats.org/officeDocument/2006/relationships/worksheet" Target="worksheets/sheet11.xml"/><Relationship Id="rId14" Type="http://schemas.openxmlformats.org/officeDocument/2006/relationships/worksheet" Target="worksheets/sheet10.xml"/><Relationship Id="rId17" Type="http://schemas.openxmlformats.org/officeDocument/2006/relationships/worksheet" Target="worksheets/sheet13.xml"/><Relationship Id="rId16" Type="http://schemas.openxmlformats.org/officeDocument/2006/relationships/worksheet" Target="worksheets/sheet12.xml"/><Relationship Id="rId5" Type="http://schemas.openxmlformats.org/officeDocument/2006/relationships/worksheet" Target="worksheets/sheet1.xml"/><Relationship Id="rId19" Type="http://schemas.openxmlformats.org/officeDocument/2006/relationships/worksheet" Target="worksheets/sheet15.xml"/><Relationship Id="rId6" Type="http://schemas.openxmlformats.org/officeDocument/2006/relationships/worksheet" Target="worksheets/sheet2.xml"/><Relationship Id="rId18" Type="http://schemas.openxmlformats.org/officeDocument/2006/relationships/worksheet" Target="worksheets/sheet14.xml"/><Relationship Id="rId7" Type="http://schemas.openxmlformats.org/officeDocument/2006/relationships/worksheet" Target="worksheets/sheet3.xml"/><Relationship Id="rId8"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ersons/person.xml><?xml version="1.0" encoding="utf-8"?>
<x18tc:personList xmlns:x18tc="http://schemas.microsoft.com/office/spreadsheetml/2018/threadedcomments"/>
</file>

<file path=xl/tables/table1.xml><?xml version="1.0" encoding="utf-8"?>
<table xmlns="http://schemas.openxmlformats.org/spreadsheetml/2006/main" headerRowCount="0" ref="A1:Z1209" displayName="Table_1" name="Table_1" id="1">
  <tableColumns count="2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s>
  <tableStyleInfo name="Projects-style" showColumnStripes="0" showFirstColumn="1" showLastColumn="1" showRowStripes="1"/>
  <extLst>
    <ext uri="GoogleSheetsCustomDataVersion1">
      <go:sheetsCustomData xmlns:go="http://customooxmlschemas.google.com/" headerRowCount="1"/>
    </ext>
  </extLst>
</table>
</file>

<file path=xl/tables/table2.xml><?xml version="1.0" encoding="utf-8"?>
<table xmlns="http://schemas.openxmlformats.org/spreadsheetml/2006/main" ref="A1:K201" displayName="Table_2" name="Table_2" id="2">
  <tableColumns count="11">
    <tableColumn name="Short Name" id="1"/>
    <tableColumn name="Official Name" id="2"/>
    <tableColumn name="Credit Limit" id="3"/>
    <tableColumn name="Currency" id="4"/>
    <tableColumn name="Invoice Timing" id="5"/>
    <tableColumn name="Terms" id="6"/>
    <tableColumn name="Contact Name" id="7"/>
    <tableColumn name="Contact Emails" id="8"/>
    <tableColumn name="Address" id="9"/>
    <tableColumn name="Phone" id="10"/>
    <tableColumn name="⛔" id="11"/>
  </tableColumns>
  <tableStyleInfo name="Clients-style" showColumnStripes="0" showFirstColumn="1" showLastColumn="1" showRowStripes="1"/>
</table>
</file>

<file path=xl/tables/table3.xml><?xml version="1.0" encoding="utf-8"?>
<table xmlns="http://schemas.openxmlformats.org/spreadsheetml/2006/main" ref="A1:D100" displayName="Table_3" name="Table_3" id="3">
  <tableColumns count="4">
    <tableColumn name="Name" id="1"/>
    <tableColumn name="Default Expense Category" id="2"/>
    <tableColumn name="Default Paid By" id="3"/>
    <tableColumn name="⛔" id="4"/>
  </tableColumns>
  <tableStyleInfo name="Vendors-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1" Type="http://schemas.openxmlformats.org/officeDocument/2006/relationships/hyperlink" Target="http://tires-easy.com/" TargetMode="External"/><Relationship Id="rId10" Type="http://schemas.openxmlformats.org/officeDocument/2006/relationships/hyperlink" Target="https://docs.google.com/document/d/1_il1upKG6rI5heQkY0uwg8UpEOmNbD-tNPsTI7-JN_0/edit." TargetMode="External"/><Relationship Id="rId13" Type="http://schemas.openxmlformats.org/officeDocument/2006/relationships/hyperlink" Target="http://tires-easy.com/" TargetMode="External"/><Relationship Id="rId12" Type="http://schemas.openxmlformats.org/officeDocument/2006/relationships/hyperlink" Target="http://tires-easy.com/" TargetMode="External"/><Relationship Id="rId1" Type="http://schemas.openxmlformats.org/officeDocument/2006/relationships/comments" Target="../comments1.xml"/><Relationship Id="rId2" Type="http://schemas.openxmlformats.org/officeDocument/2006/relationships/hyperlink" Target="http://tires-easy.com/" TargetMode="External"/><Relationship Id="rId3" Type="http://schemas.openxmlformats.org/officeDocument/2006/relationships/hyperlink" Target="http://tires-easy.com/" TargetMode="External"/><Relationship Id="rId4" Type="http://schemas.openxmlformats.org/officeDocument/2006/relationships/hyperlink" Target="http://tires-easy.com/" TargetMode="External"/><Relationship Id="rId9" Type="http://schemas.openxmlformats.org/officeDocument/2006/relationships/hyperlink" Target="https://docs.google.com/document/d/1_il1upKG6rI5heQkY0uwg8UpEOmNbD-tNPsTI7-JN_0/edit." TargetMode="External"/><Relationship Id="rId15" Type="http://schemas.openxmlformats.org/officeDocument/2006/relationships/hyperlink" Target="http://thepalmsowners.com/" TargetMode="External"/><Relationship Id="rId14" Type="http://schemas.openxmlformats.org/officeDocument/2006/relationships/hyperlink" Target="http://thepalmsowners.com/" TargetMode="External"/><Relationship Id="rId17" Type="http://schemas.openxmlformats.org/officeDocument/2006/relationships/drawing" Target="../drawings/drawing1.xml"/><Relationship Id="rId16" Type="http://schemas.openxmlformats.org/officeDocument/2006/relationships/hyperlink" Target="http://www.cobblebeachconcours.com/" TargetMode="External"/><Relationship Id="rId5" Type="http://schemas.openxmlformats.org/officeDocument/2006/relationships/hyperlink" Target="http://charitygiftcards.com/" TargetMode="External"/><Relationship Id="rId6" Type="http://schemas.openxmlformats.org/officeDocument/2006/relationships/hyperlink" Target="http://tires-easy.com/" TargetMode="External"/><Relationship Id="rId18" Type="http://schemas.openxmlformats.org/officeDocument/2006/relationships/vmlDrawing" Target="../drawings/vmlDrawing1.vml"/><Relationship Id="rId7" Type="http://schemas.openxmlformats.org/officeDocument/2006/relationships/hyperlink" Target="http://tires-easy.com/" TargetMode="External"/><Relationship Id="rId8" Type="http://schemas.openxmlformats.org/officeDocument/2006/relationships/hyperlink" Target="http://tires-easy.com/"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1" Type="http://schemas.openxmlformats.org/officeDocument/2006/relationships/table" Target="../tables/table1.xml"/><Relationship Id="rId1" Type="http://schemas.openxmlformats.org/officeDocument/2006/relationships/hyperlink" Target="http://tires-easy.com/" TargetMode="External"/><Relationship Id="rId2" Type="http://schemas.openxmlformats.org/officeDocument/2006/relationships/hyperlink" Target="http://villadelmar.com/" TargetMode="External"/><Relationship Id="rId3" Type="http://schemas.openxmlformats.org/officeDocument/2006/relationships/hyperlink" Target="http://thesandstc.com/" TargetMode="External"/><Relationship Id="rId4" Type="http://schemas.openxmlformats.org/officeDocument/2006/relationships/hyperlink" Target="http://thesandsowners.com/" TargetMode="External"/><Relationship Id="rId9" Type="http://schemas.openxmlformats.org/officeDocument/2006/relationships/drawing" Target="../drawings/drawing2.xml"/><Relationship Id="rId5" Type="http://schemas.openxmlformats.org/officeDocument/2006/relationships/hyperlink" Target="http://thepalmsowners.com/" TargetMode="External"/><Relationship Id="rId6" Type="http://schemas.openxmlformats.org/officeDocument/2006/relationships/hyperlink" Target="http://theshoreclubowners.com/" TargetMode="External"/><Relationship Id="rId7" Type="http://schemas.openxmlformats.org/officeDocument/2006/relationships/hyperlink" Target="https://docs.google.com/document/d/1J0htQrCHFJwUMxRGiHitkMEE9T3aKQbUmMlIcPlXVpM/edit" TargetMode="External"/><Relationship Id="rId8" Type="http://schemas.openxmlformats.org/officeDocument/2006/relationships/hyperlink" Target="http://cobblebeach.com/" TargetMode="External"/></Relationships>
</file>

<file path=xl/worksheets/_rels/sheet3.xml.rels><?xml version="1.0" encoding="UTF-8" standalone="yes"?><Relationships xmlns="http://schemas.openxmlformats.org/package/2006/relationships"><Relationship Id="rId20" Type="http://schemas.openxmlformats.org/officeDocument/2006/relationships/hyperlink" Target="mailto:accountspayable@yourvilladelmar.com" TargetMode="External"/><Relationship Id="rId11" Type="http://schemas.openxmlformats.org/officeDocument/2006/relationships/hyperlink" Target="https://www.google.com/search?q=limbic+media&amp;rlz=1C1CHBF_enCA858CA858&amp;oq=limbic+media&amp;aqs=chrome.0.69i59j0l2j0i22i30l3j69i61l2.5759j0j7&amp;sourceid=chrome&amp;ie=UTF-8" TargetMode="External"/><Relationship Id="rId22" Type="http://schemas.openxmlformats.org/officeDocument/2006/relationships/hyperlink" Target="https://www.google.com/search?q=tailbase+company+quebe&amp;rlz=1C1CHBF_enCA858CA858&amp;oq=tailbase+company+quebe&amp;aqs=chrome..69i57j33i10i160l3.5864j0j7&amp;sourceid=chrome&amp;ie=UTF-8" TargetMode="External"/><Relationship Id="rId10" Type="http://schemas.openxmlformats.org/officeDocument/2006/relationships/hyperlink" Target="https://www.google.com/search?q=jetstream+digital&amp;rlz=1C1CHBF_enCA858CA858&amp;oq=jets&amp;aqs=chrome.0.69i59j46i67i131i275i433j0i67j0i67i433j0i67l2j69i61l2.935j0j7&amp;sourceid=chrome&amp;ie=UTF-8" TargetMode="External"/><Relationship Id="rId21" Type="http://schemas.openxmlformats.org/officeDocument/2006/relationships/hyperlink" Target="https://www.google.com/search?q=stn+video&amp;rlz=1C1CHBF_enCA858CA858&amp;oq=stn&amp;aqs=chrome.0.35i39j46i175i199i512j69i57j0i131i433i512j46i175i199i512j69i60l3.2360j0j7&amp;sourceid=chrome&amp;ie=UTF-8" TargetMode="External"/><Relationship Id="rId13" Type="http://schemas.openxmlformats.org/officeDocument/2006/relationships/hyperlink" Target="mailto:thelostfaucet@gmail.com" TargetMode="External"/><Relationship Id="rId12" Type="http://schemas.openxmlformats.org/officeDocument/2006/relationships/hyperlink" Target="https://www.google.com/search?q=the%20haven&amp;rlz=1C1CHBF_enCA858CA858&amp;oq=the+haven&amp;aqs=chrome..69i57j46i39i175i199j46i175i199j0l3j69i60j69i61.1904j0j7&amp;sourceid=chrome&amp;ie=UTF-8&amp;tbs=lf:1,lf_ui:2&amp;tbm=lcl&amp;sxsrf=ALeKk00E_cNTzBDEmLUERUvdvi_FDwHUGQ:1617750834258&amp;rflfq=1&amp;num=10&amp;rldimm=11504911289560159112&amp;lqi=Cgl0aGUgaGF2ZW5I1OjM_eWAgIAIWiYKCXRoZSBoYXZlbhAAEAEYABgBIgl0aGUgaGF2ZW4qBggCEAAQAZIBDnJldHJlYXRfY2VudGVyqgEREAEqDSIJdGhlIGhhdmVuKAA&amp;ved=2ahUKEwifg76-3-rvAhVOrJ4KHUpoAwQQvS4wAHoECBIQNg&amp;rlst=f" TargetMode="External"/><Relationship Id="rId23" Type="http://schemas.openxmlformats.org/officeDocument/2006/relationships/drawing" Target="../drawings/drawing3.xml"/><Relationship Id="rId1" Type="http://schemas.openxmlformats.org/officeDocument/2006/relationships/hyperlink" Target="https://activbody.com/support/contact-us/" TargetMode="External"/><Relationship Id="rId2" Type="http://schemas.openxmlformats.org/officeDocument/2006/relationships/hyperlink" Target="https://www.google.com/search?rlz=1C1CHBF_enCA858CA858&amp;sxsrf=ALeKk03lkL6w5I-cjnkDVEDtH08e5EupAQ:1617209598051&amp;q=argos+products+ltd.+richmond+address&amp;stick=H4sIAAAAAAAAAOPgE-LWT9c3LEvKKzDKNdGSzU620s_JT04syczPgzOsElNSilKLixexqiQWpecXKxQU5aeUJpcUK-SUpOgpFGUmZ-Tm56UoQJUBAG7_Dj5VAAAA&amp;ludocid=5215100952533608265&amp;sa=X&amp;ved=2ahUKEwj1yfmc_9rvAhWBrp4KHbovBQMQ6BMwEHoECCMQAg" TargetMode="External"/><Relationship Id="rId3" Type="http://schemas.openxmlformats.org/officeDocument/2006/relationships/hyperlink" Target="https://www.google.com/search?gs_ssp=eJzj4tZP1zcsS8orMMo1MWC0UjWoMDWxMDM3TTQ0SE5MTkw0TLEyqDCxME1LNkpMM0-zNDQyN7H04kssSs8vVigoyk8pTS4pBgCaGBR6&amp;q=argos+products&amp;rlz=1C1CHBF_enCA858CA858&amp;oq=argos+produc&amp;aqs=chrome.1.0i355j46i175i199j69i57j0l2j0i20i263j69i60j69i61.5103j0j7&amp;sourceid=chrome&amp;ie=UTF-8" TargetMode="External"/><Relationship Id="rId4" Type="http://schemas.openxmlformats.org/officeDocument/2006/relationships/hyperlink" Target="https://www.google.com/search?rlz=1C1CHBF_enCA858CA858&amp;sxsrf=ALeKk03WU1EZDZ9d5dB6-2DuoMkx1Jg-Dg%3A1614363624398&amp;ei=6Ds5YKPwF9H4-wT6x5HYDg&amp;q=bratopia+edmonton+trail&amp;oq=bratopia+edmon&amp;gs_lcp=Cgdnd3Mtd2l6EAEYADIECCMQJzIGCAAQFhAeOgoILhDHARCvARAnOgsILhDHARCvARCRAjoECAAQQzoCCAA6CwguELEDEMcBEKMCOgUIABCxAzoICAAQsQMQgwE6DQguEMcBEK8BECcQkwI6BQgAEJECOgQILhBDOgcILhCxAxBDOgUILhCxAzoICC4QxwEQowI6BAgAEAo6BQgAEMkDOggILhDHARCvAToFCCEQoAFQwfQBWISQAmD_owJoAnACeACAAaUBiAHyCpIBBDE1LjKYAQCgAQGqAQdnd3Mtd2l6wAEB&amp;sclient=gws-wiz" TargetMode="External"/><Relationship Id="rId9" Type="http://schemas.openxmlformats.org/officeDocument/2006/relationships/hyperlink" Target="https://www.google.com/search?q=ideon+technologies&amp;rlz=1C1CHBF_enCA858CA858&amp;oq=ideon+tech&amp;aqs=chrome.0.0i355i512j46i175i199i512j69i57j0i512j69i60.5991j0j7&amp;sourceid=chrome&amp;ie=UTF-8" TargetMode="External"/><Relationship Id="rId15" Type="http://schemas.openxmlformats.org/officeDocument/2006/relationships/hyperlink" Target="mailto:Mcloney@tofinoresortandmarina.com" TargetMode="External"/><Relationship Id="rId14" Type="http://schemas.openxmlformats.org/officeDocument/2006/relationships/hyperlink" Target="https://www.google.com/search?q=tisbest+seattle&amp;rlz=1C1CHBF_enCA858CA858&amp;oq=tisbest+seattle&amp;aqs=chrome..69i57.4152j0j7&amp;sourceid=chrome&amp;ie=UTF-8" TargetMode="External"/><Relationship Id="rId25" Type="http://schemas.openxmlformats.org/officeDocument/2006/relationships/table" Target="../tables/table2.xml"/><Relationship Id="rId17" Type="http://schemas.openxmlformats.org/officeDocument/2006/relationships/hyperlink" Target="mailto:dana@zincstrategies.com" TargetMode="External"/><Relationship Id="rId16" Type="http://schemas.openxmlformats.org/officeDocument/2006/relationships/hyperlink" Target="https://www.google.com/search?gs_ssp=eJzj4tVP1zc0TDYtTqsqM6gwYLRSNagwNbFIMzdJNDIxMzFJNTI1tzKoMDFMM002MjewtDC3SDEyMfISLk8tLlFIzk8EkuWpKSmZeenFAA21FeM&amp;q=west+coast+weddings&amp;rlz=1C1CHBF_enCA858CA858&amp;oq=west+coast+weddings&amp;aqs=chrome.1.69i57j46i39i175i199j46i175i199j0j0i22i30l2j69i60l2.7968j0j7&amp;sourceid=chrome&amp;ie=UTF-8" TargetMode="External"/><Relationship Id="rId5" Type="http://schemas.openxmlformats.org/officeDocument/2006/relationships/hyperlink" Target="https://www.google.com/search?gs_ssp=eJzj4tZP1zcsSbGsMEo3N2C0UjWosLBMtjBINUgzSzFNS7UwN7cyqEgyTDVLSkxLS7Q0MLcwMbXwEknOSSwoUEjOz80tzctMTizJzM8rBgAdeBcE&amp;q=clapp+communications&amp;rlz=1C1CHBF_enCA858CA858&amp;oq=clapp+commu&amp;aqs=chrome.1.0i355j46i175i199j69i57j0i22i30l3j0i10i22i30.3919j0j7&amp;sourceid=chrome&amp;ie=UTF-8" TargetMode="External"/><Relationship Id="rId19" Type="http://schemas.openxmlformats.org/officeDocument/2006/relationships/hyperlink" Target="mailto:jgilcreest@canyonsconstruction.com" TargetMode="External"/><Relationship Id="rId6" Type="http://schemas.openxmlformats.org/officeDocument/2006/relationships/hyperlink" Target="https://www.google.com/search?q=crisp+media&amp;rlz=1C1CHBF_enCA858CA858&amp;oq=crisp+media&amp;aqs=chrome.0.69i59j0l2j0i22i30l3j69i61l2.3086j0j7&amp;sourceid=chrome&amp;ie=UTF-8" TargetMode="External"/><Relationship Id="rId18" Type="http://schemas.openxmlformats.org/officeDocument/2006/relationships/hyperlink" Target="https://www.google.com/search?gs_ssp=eJzj4tVP1zc0TM5JTy6uKisxYLRSNagwSU5ONUgzSDExSDW1NDFPsjKoMDc0SU4zMDUyTUw1MrNINvXiycxNSlTITU3JTE7MAQC3xhRj&amp;q=imba+medical&amp;rlz=1C1CHBF_enCA858CA858&amp;oq=imba+medical&amp;aqs=chrome.1.69i57j46i175i199i512j69i59j0i22i30j69i60j69i61.5143j0j4&amp;sourceid=chrome&amp;ie=UTF-8" TargetMode="External"/><Relationship Id="rId7" Type="http://schemas.openxmlformats.org/officeDocument/2006/relationships/hyperlink" Target="https://www.google.com/search?gs_ssp=eJzj4tVP1zc0zDY3ychKzq4yYLRSNaiwsDBKMjNMSTY2SzZITEyxtDKosEwyNDVJsTQwTTNPNTFMS_MSSyvNyVFIzs8rSUwuUchNLMpOLcnMSwcAezcYQQ&amp;q=full+contact+marketing&amp;rlz=1C1CHBF_enCA858CA858&amp;oq=full+cont&amp;aqs=chrome.1.69i57j46i39i175i199j0j46i175i199j0j46i175i199j69i60j69i61.6031j0j7&amp;sourceid=chrome&amp;ie=UTF-8" TargetMode="External"/><Relationship Id="rId8" Type="http://schemas.openxmlformats.org/officeDocument/2006/relationships/hyperlink" Target="https://www.google.com/search?gs_ssp=eJzj4tZP1zcsyS42ja-oMGC0UjWoMDWxSDM1NzEzT04xSUmzNLUyqEhNNLcwSjZJMjZITLMwMjb14stILC7JzEsvVsjILy1OBQCnaBSc&amp;q=hastings+house&amp;rlz=1C1CHBF_enCA858CA858&amp;oq=hastings+house&amp;aqs=chrome.1.69i57j46i175i199i275j69i59j0j46i175i199j0j69i61j69i60.3543j0j7&amp;sourceid=chrome&amp;ie=UTF-8" TargetMode="External"/></Relationships>
</file>

<file path=xl/worksheets/_rels/sheet4.xml.rels><?xml version="1.0" encoding="UTF-8" standalone="yes"?><Relationships xmlns="http://schemas.openxmlformats.org/package/2006/relationships"><Relationship Id="rId11" Type="http://schemas.openxmlformats.org/officeDocument/2006/relationships/hyperlink" Target="http://plusroi.com/" TargetMode="External"/><Relationship Id="rId10" Type="http://schemas.openxmlformats.org/officeDocument/2006/relationships/hyperlink" Target="http://tires-easy.com/" TargetMode="External"/><Relationship Id="rId12" Type="http://schemas.openxmlformats.org/officeDocument/2006/relationships/drawing" Target="../drawings/drawing4.xml"/><Relationship Id="rId1" Type="http://schemas.openxmlformats.org/officeDocument/2006/relationships/hyperlink" Target="http://tires-easy.com/" TargetMode="External"/><Relationship Id="rId2" Type="http://schemas.openxmlformats.org/officeDocument/2006/relationships/hyperlink" Target="http://tires-easy.com/" TargetMode="External"/><Relationship Id="rId3" Type="http://schemas.openxmlformats.org/officeDocument/2006/relationships/hyperlink" Target="http://tires-easy.com/" TargetMode="External"/><Relationship Id="rId4" Type="http://schemas.openxmlformats.org/officeDocument/2006/relationships/hyperlink" Target="http://tires-easy.com/" TargetMode="External"/><Relationship Id="rId9" Type="http://schemas.openxmlformats.org/officeDocument/2006/relationships/hyperlink" Target="http://charli.ai/" TargetMode="External"/><Relationship Id="rId5" Type="http://schemas.openxmlformats.org/officeDocument/2006/relationships/hyperlink" Target="http://tires-easy.com/" TargetMode="External"/><Relationship Id="rId6" Type="http://schemas.openxmlformats.org/officeDocument/2006/relationships/hyperlink" Target="http://tires-easy.com/" TargetMode="External"/><Relationship Id="rId7" Type="http://schemas.openxmlformats.org/officeDocument/2006/relationships/hyperlink" Target="http://tires-easy.com/" TargetMode="External"/><Relationship Id="rId8" Type="http://schemas.openxmlformats.org/officeDocument/2006/relationships/hyperlink" Target="http://tires-easy.com/"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 Id="rId3"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plusroi.com/resources/pay-an-invoice-usd/" TargetMode="External"/><Relationship Id="rId2" Type="http://schemas.openxmlformats.org/officeDocument/2006/relationships/hyperlink" Target="https://buy.stripe.com/9AQ9DSejD8dj8TuaEE" TargetMode="External"/><Relationship Id="rId3" Type="http://schemas.openxmlformats.org/officeDocument/2006/relationships/hyperlink" Target="https://buy.stripe.com/8wMaHW0sN0KR1r29AB" TargetMode="External"/><Relationship Id="rId4" Type="http://schemas.openxmlformats.org/officeDocument/2006/relationships/hyperlink" Target="https://buy.stripe.com/7sI7vK3EZ2SZ5Hi002" TargetMode="External"/><Relationship Id="rId5" Type="http://schemas.openxmlformats.org/officeDocument/2006/relationships/hyperlink" Target="https://buy.stripe.com/fZedU87VfgJP7Pq9AE" TargetMode="External"/><Relationship Id="rId6"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6D7A8"/>
    <outlinePr summaryBelow="0" summaryRight="0"/>
  </sheetPr>
  <sheetViews>
    <sheetView workbookViewId="0">
      <pane xSplit="3.0" ySplit="1.0" topLeftCell="D2" activePane="bottomRight" state="frozen"/>
      <selection activeCell="D1" sqref="D1" pane="topRight"/>
      <selection activeCell="A2" sqref="A2" pane="bottomLeft"/>
      <selection activeCell="D2" sqref="D2" pane="bottomRight"/>
    </sheetView>
  </sheetViews>
  <sheetFormatPr customHeight="1" defaultColWidth="12.63" defaultRowHeight="15.75"/>
  <cols>
    <col customWidth="1" min="1" max="1" width="42.5"/>
    <col customWidth="1" min="2" max="2" width="9.75"/>
    <col customWidth="1" min="3" max="3" width="12.88"/>
    <col customWidth="1" min="4" max="4" width="9.38"/>
    <col customWidth="1" min="6" max="6" width="13.25"/>
    <col customWidth="1" hidden="1" min="7" max="7" width="12.25"/>
    <col customWidth="1" min="8" max="9" width="12.25"/>
    <col customWidth="1" min="10" max="10" width="41.5"/>
    <col customWidth="1" min="11" max="11" width="10.88"/>
    <col customWidth="1" min="12" max="12" width="9.0"/>
    <col customWidth="1" min="13" max="13" width="9.63"/>
    <col customWidth="1" min="14" max="14" width="13.75"/>
    <col customWidth="1" min="18" max="18" width="30.25"/>
    <col customWidth="1" min="19" max="19" width="12.0"/>
    <col customWidth="1" min="20" max="20" width="5.38"/>
  </cols>
  <sheetData>
    <row r="1" ht="33.75" customHeight="1">
      <c r="A1" s="1" t="s">
        <v>0</v>
      </c>
      <c r="B1" s="1" t="s">
        <v>1</v>
      </c>
      <c r="C1" s="1" t="s">
        <v>2</v>
      </c>
      <c r="D1" s="1" t="s">
        <v>3</v>
      </c>
      <c r="E1" s="1" t="s">
        <v>4</v>
      </c>
      <c r="F1" s="1" t="s">
        <v>5</v>
      </c>
      <c r="G1" s="1" t="str">
        <f t="array" ref="G1:G2954">{"Relevant Period";iferror(
    if(H2:H2954="Mid Month",year(E2:E2954)+month(E2:E2954)*0.01,
    if(H2:H2954="Month End",year(E2:E2954)+month(E2:E2954)*0.01,
    if(H2="Month Start",year(E2:E2954)+(month(E2:E2954)+1)*0.01,
    year(E2:E2954)))),
  "")}
</f>
        <v>Relevant Period</v>
      </c>
      <c r="H1" s="1" t="s">
        <v>6</v>
      </c>
      <c r="I1" s="1" t="s">
        <v>7</v>
      </c>
      <c r="J1" s="1" t="s">
        <v>8</v>
      </c>
      <c r="K1" s="1" t="s">
        <v>9</v>
      </c>
      <c r="L1" s="1" t="s">
        <v>10</v>
      </c>
      <c r="M1" s="2" t="s">
        <v>11</v>
      </c>
      <c r="N1" s="3" t="str">
        <f t="array" ref="N1:N2954">{"Commission";if(A2:A2954="","",(B2:B2954-F2:F2954)*M2:M2954)}</f>
        <v>Commission</v>
      </c>
      <c r="O1" s="3" t="str">
        <f t="array" ref="O1:O2954">{"After Fees";if(A2:A2954="","",B2:B2954-F2:F2954-N2:N2954)}</f>
        <v>After Fees</v>
      </c>
      <c r="P1" s="1" t="s">
        <v>12</v>
      </c>
      <c r="Q1" s="3" t="s">
        <v>13</v>
      </c>
      <c r="R1" s="1" t="s">
        <v>14</v>
      </c>
      <c r="S1" s="1" t="s">
        <v>15</v>
      </c>
      <c r="T1" s="1" t="s">
        <v>16</v>
      </c>
    </row>
    <row r="2" hidden="1">
      <c r="A2" s="4" t="s">
        <v>17</v>
      </c>
      <c r="B2" s="5">
        <v>10000.0</v>
      </c>
      <c r="C2" s="4" t="s">
        <v>18</v>
      </c>
      <c r="D2" s="6">
        <v>4199.0</v>
      </c>
      <c r="E2" s="7">
        <v>44317.0</v>
      </c>
      <c r="F2" s="5">
        <v>0.0</v>
      </c>
      <c r="G2" s="8">
        <v>2021.0</v>
      </c>
      <c r="H2" s="9"/>
      <c r="I2" s="9" t="s">
        <v>19</v>
      </c>
      <c r="J2" s="9" t="s">
        <v>20</v>
      </c>
      <c r="K2" s="4" t="s">
        <v>21</v>
      </c>
      <c r="L2" s="10">
        <v>30.0</v>
      </c>
      <c r="M2" s="11">
        <v>0.0</v>
      </c>
      <c r="N2" s="12">
        <v>0.0</v>
      </c>
      <c r="O2" s="12">
        <v>10000.0</v>
      </c>
      <c r="P2" s="13">
        <v>44347.0</v>
      </c>
      <c r="Q2" s="12">
        <v>10000.0</v>
      </c>
      <c r="R2" s="14"/>
      <c r="S2" s="15">
        <v>44348.0</v>
      </c>
      <c r="T2" s="4" t="b">
        <v>1</v>
      </c>
    </row>
    <row r="3" hidden="1">
      <c r="A3" s="16" t="s">
        <v>22</v>
      </c>
      <c r="B3" s="17">
        <v>1173.0</v>
      </c>
      <c r="C3" s="16" t="s">
        <v>18</v>
      </c>
      <c r="D3" s="18" t="s">
        <v>23</v>
      </c>
      <c r="E3" s="19">
        <v>44317.0</v>
      </c>
      <c r="F3" s="17">
        <v>43.87</v>
      </c>
      <c r="G3" s="20">
        <v>2021.0</v>
      </c>
      <c r="H3" s="21"/>
      <c r="I3" s="21" t="s">
        <v>24</v>
      </c>
      <c r="J3" s="21" t="s">
        <v>25</v>
      </c>
      <c r="K3" s="16" t="s">
        <v>9</v>
      </c>
      <c r="L3" s="22">
        <v>30.0</v>
      </c>
      <c r="M3" s="11">
        <v>0.0</v>
      </c>
      <c r="N3" s="23">
        <v>0.0</v>
      </c>
      <c r="O3" s="23">
        <v>1129.13</v>
      </c>
      <c r="P3" s="24">
        <v>44347.0</v>
      </c>
      <c r="Q3" s="23">
        <v>7300.0</v>
      </c>
      <c r="R3" s="25"/>
      <c r="S3" s="26">
        <v>44348.0</v>
      </c>
      <c r="T3" s="16" t="b">
        <v>1</v>
      </c>
    </row>
    <row r="4" hidden="1">
      <c r="A4" s="4" t="s">
        <v>26</v>
      </c>
      <c r="B4" s="5">
        <v>650.0</v>
      </c>
      <c r="C4" s="4" t="s">
        <v>18</v>
      </c>
      <c r="D4" s="6">
        <v>4267.0</v>
      </c>
      <c r="E4" s="7">
        <v>44348.0</v>
      </c>
      <c r="F4" s="5">
        <v>12.44</v>
      </c>
      <c r="G4" s="8">
        <v>2021.06</v>
      </c>
      <c r="H4" s="9" t="s">
        <v>27</v>
      </c>
      <c r="I4" s="9" t="s">
        <v>28</v>
      </c>
      <c r="J4" s="9" t="s">
        <v>29</v>
      </c>
      <c r="K4" s="4" t="s">
        <v>21</v>
      </c>
      <c r="L4" s="10">
        <v>30.0</v>
      </c>
      <c r="M4" s="11">
        <v>0.0</v>
      </c>
      <c r="N4" s="12">
        <v>0.0</v>
      </c>
      <c r="O4" s="12">
        <v>637.56</v>
      </c>
      <c r="P4" s="13">
        <v>44378.0</v>
      </c>
      <c r="Q4" s="12">
        <v>6095.0</v>
      </c>
      <c r="R4" s="14"/>
      <c r="S4" s="15">
        <v>44378.0</v>
      </c>
      <c r="T4" s="4" t="b">
        <v>1</v>
      </c>
    </row>
    <row r="5" hidden="1">
      <c r="A5" s="16" t="s">
        <v>30</v>
      </c>
      <c r="B5" s="17">
        <v>300.0</v>
      </c>
      <c r="C5" s="16" t="s">
        <v>18</v>
      </c>
      <c r="D5" s="27">
        <v>4310.0</v>
      </c>
      <c r="E5" s="19">
        <v>44409.0</v>
      </c>
      <c r="F5" s="17">
        <v>9.33</v>
      </c>
      <c r="G5" s="20">
        <v>2021.0</v>
      </c>
      <c r="H5" s="21"/>
      <c r="I5" s="21" t="s">
        <v>31</v>
      </c>
      <c r="J5" s="21" t="s">
        <v>32</v>
      </c>
      <c r="K5" s="16" t="s">
        <v>21</v>
      </c>
      <c r="L5" s="22">
        <v>30.0</v>
      </c>
      <c r="M5" s="11">
        <v>0.0</v>
      </c>
      <c r="N5" s="23">
        <v>0.0</v>
      </c>
      <c r="O5" s="23">
        <v>290.67</v>
      </c>
      <c r="P5" s="24">
        <v>44439.0</v>
      </c>
      <c r="Q5" s="23">
        <v>600.0</v>
      </c>
      <c r="R5" s="25"/>
      <c r="S5" s="26">
        <v>44409.0</v>
      </c>
      <c r="T5" s="16" t="b">
        <v>1</v>
      </c>
    </row>
    <row r="6" hidden="1">
      <c r="A6" s="4" t="s">
        <v>33</v>
      </c>
      <c r="B6" s="5">
        <v>3911.63</v>
      </c>
      <c r="C6" s="4" t="s">
        <v>18</v>
      </c>
      <c r="D6" s="6" t="s">
        <v>34</v>
      </c>
      <c r="E6" s="7">
        <v>44378.0</v>
      </c>
      <c r="F6" s="5">
        <v>145.09</v>
      </c>
      <c r="G6" s="8">
        <v>2021.0</v>
      </c>
      <c r="H6" s="9"/>
      <c r="I6" s="9" t="s">
        <v>35</v>
      </c>
      <c r="J6" s="9" t="s">
        <v>36</v>
      </c>
      <c r="K6" s="4" t="s">
        <v>9</v>
      </c>
      <c r="L6" s="10">
        <v>30.0</v>
      </c>
      <c r="M6" s="11">
        <v>0.0</v>
      </c>
      <c r="N6" s="12">
        <v>0.0</v>
      </c>
      <c r="O6" s="12">
        <v>3766.54</v>
      </c>
      <c r="P6" s="13">
        <v>44408.0</v>
      </c>
      <c r="Q6" s="12">
        <v>9700.0</v>
      </c>
      <c r="R6" s="14"/>
      <c r="S6" s="15">
        <v>44409.0</v>
      </c>
      <c r="T6" s="4" t="b">
        <v>1</v>
      </c>
    </row>
    <row r="7" hidden="1">
      <c r="A7" s="16" t="s">
        <v>37</v>
      </c>
      <c r="B7" s="17">
        <v>2300.0</v>
      </c>
      <c r="C7" s="16" t="s">
        <v>18</v>
      </c>
      <c r="D7" s="18">
        <v>4487.0</v>
      </c>
      <c r="E7" s="19">
        <v>44470.0</v>
      </c>
      <c r="F7" s="17">
        <v>0.0</v>
      </c>
      <c r="G7" s="20">
        <v>2021.0</v>
      </c>
      <c r="H7" s="21"/>
      <c r="I7" s="21" t="s">
        <v>31</v>
      </c>
      <c r="J7" s="21" t="s">
        <v>38</v>
      </c>
      <c r="K7" s="16" t="s">
        <v>21</v>
      </c>
      <c r="L7" s="22">
        <v>30.0</v>
      </c>
      <c r="M7" s="11">
        <v>0.0</v>
      </c>
      <c r="N7" s="23">
        <v>0.0</v>
      </c>
      <c r="O7" s="23">
        <v>2300.0</v>
      </c>
      <c r="P7" s="24">
        <v>44500.0</v>
      </c>
      <c r="Q7" s="23">
        <v>5350.0</v>
      </c>
      <c r="R7" s="25"/>
      <c r="S7" s="26">
        <v>44470.0</v>
      </c>
      <c r="T7" s="16" t="b">
        <v>1</v>
      </c>
    </row>
    <row r="8" hidden="1">
      <c r="A8" s="4" t="s">
        <v>39</v>
      </c>
      <c r="B8" s="5">
        <v>900.0</v>
      </c>
      <c r="C8" s="4" t="s">
        <v>18</v>
      </c>
      <c r="D8" s="6">
        <v>4525.0</v>
      </c>
      <c r="E8" s="7">
        <v>44470.0</v>
      </c>
      <c r="F8" s="5">
        <v>0.0</v>
      </c>
      <c r="G8" s="8">
        <v>2021.0</v>
      </c>
      <c r="H8" s="9"/>
      <c r="I8" s="9" t="s">
        <v>31</v>
      </c>
      <c r="J8" s="9"/>
      <c r="K8" s="4" t="s">
        <v>21</v>
      </c>
      <c r="L8" s="10">
        <v>30.0</v>
      </c>
      <c r="M8" s="11">
        <v>0.0</v>
      </c>
      <c r="N8" s="12">
        <v>0.0</v>
      </c>
      <c r="O8" s="12">
        <v>900.0</v>
      </c>
      <c r="P8" s="13">
        <v>44500.0</v>
      </c>
      <c r="Q8" s="12">
        <v>1800.0</v>
      </c>
      <c r="R8" s="14"/>
      <c r="S8" s="15">
        <v>44470.0</v>
      </c>
      <c r="T8" s="4" t="b">
        <v>1</v>
      </c>
    </row>
    <row r="9" hidden="1">
      <c r="A9" s="16" t="s">
        <v>40</v>
      </c>
      <c r="B9" s="17">
        <v>1150.0</v>
      </c>
      <c r="C9" s="16" t="s">
        <v>18</v>
      </c>
      <c r="D9" s="18">
        <v>4526.0</v>
      </c>
      <c r="E9" s="19">
        <v>44440.0</v>
      </c>
      <c r="F9" s="17">
        <v>35.78</v>
      </c>
      <c r="G9" s="20">
        <v>2021.0</v>
      </c>
      <c r="H9" s="21"/>
      <c r="I9" s="21" t="s">
        <v>31</v>
      </c>
      <c r="J9" s="21" t="s">
        <v>41</v>
      </c>
      <c r="K9" s="16" t="s">
        <v>21</v>
      </c>
      <c r="L9" s="22">
        <v>30.0</v>
      </c>
      <c r="M9" s="11">
        <v>0.0</v>
      </c>
      <c r="N9" s="23">
        <v>0.0</v>
      </c>
      <c r="O9" s="23">
        <v>1114.22</v>
      </c>
      <c r="P9" s="24">
        <v>44470.0</v>
      </c>
      <c r="Q9" s="23">
        <v>2300.0</v>
      </c>
      <c r="R9" s="25"/>
      <c r="S9" s="26">
        <v>44470.0</v>
      </c>
      <c r="T9" s="16" t="b">
        <v>1</v>
      </c>
    </row>
    <row r="10" hidden="1">
      <c r="A10" s="4" t="s">
        <v>42</v>
      </c>
      <c r="B10" s="5">
        <v>1500.0</v>
      </c>
      <c r="C10" s="4" t="s">
        <v>18</v>
      </c>
      <c r="D10" s="6">
        <v>4295.0</v>
      </c>
      <c r="E10" s="7">
        <v>44348.0</v>
      </c>
      <c r="F10" s="5">
        <v>46.67</v>
      </c>
      <c r="G10" s="8">
        <v>2021.0</v>
      </c>
      <c r="H10" s="28"/>
      <c r="I10" s="28"/>
      <c r="J10" s="9" t="s">
        <v>43</v>
      </c>
      <c r="K10" s="4" t="s">
        <v>21</v>
      </c>
      <c r="L10" s="10">
        <v>30.0</v>
      </c>
      <c r="M10" s="11">
        <v>0.15</v>
      </c>
      <c r="N10" s="12">
        <v>217.99949999999998</v>
      </c>
      <c r="O10" s="12">
        <v>1235.3305</v>
      </c>
      <c r="P10" s="13">
        <v>44378.0</v>
      </c>
      <c r="Q10" s="12">
        <v>550.0</v>
      </c>
      <c r="R10" s="12" t="s">
        <v>44</v>
      </c>
      <c r="S10" s="15">
        <v>44501.0</v>
      </c>
      <c r="T10" s="4" t="b">
        <v>1</v>
      </c>
    </row>
    <row r="11" hidden="1">
      <c r="A11" s="16" t="s">
        <v>17</v>
      </c>
      <c r="B11" s="17">
        <v>5000.0</v>
      </c>
      <c r="C11" s="16" t="s">
        <v>18</v>
      </c>
      <c r="D11" s="18">
        <v>4382.0</v>
      </c>
      <c r="E11" s="19">
        <v>44409.0</v>
      </c>
      <c r="F11" s="17">
        <v>0.0</v>
      </c>
      <c r="G11" s="20">
        <v>2021.0</v>
      </c>
      <c r="H11" s="21"/>
      <c r="I11" s="21" t="s">
        <v>45</v>
      </c>
      <c r="J11" s="21" t="s">
        <v>20</v>
      </c>
      <c r="K11" s="16" t="s">
        <v>21</v>
      </c>
      <c r="L11" s="22">
        <v>30.0</v>
      </c>
      <c r="M11" s="11">
        <v>0.0</v>
      </c>
      <c r="N11" s="23">
        <v>0.0</v>
      </c>
      <c r="O11" s="23">
        <v>5000.0</v>
      </c>
      <c r="P11" s="24">
        <v>44439.0</v>
      </c>
      <c r="Q11" s="23">
        <v>10000.0</v>
      </c>
      <c r="R11" s="25"/>
      <c r="S11" s="26">
        <v>44501.0</v>
      </c>
      <c r="T11" s="16" t="b">
        <v>1</v>
      </c>
    </row>
    <row r="12">
      <c r="A12" s="4" t="s">
        <v>46</v>
      </c>
      <c r="B12" s="5">
        <v>900.0</v>
      </c>
      <c r="C12" s="4" t="s">
        <v>47</v>
      </c>
      <c r="D12" s="6">
        <v>4476.0</v>
      </c>
      <c r="E12" s="7">
        <v>44470.0</v>
      </c>
      <c r="F12" s="5">
        <v>0.0</v>
      </c>
      <c r="G12" s="8">
        <v>2021.1</v>
      </c>
      <c r="H12" s="9" t="s">
        <v>27</v>
      </c>
      <c r="I12" s="9" t="s">
        <v>48</v>
      </c>
      <c r="J12" s="9" t="s">
        <v>49</v>
      </c>
      <c r="K12" s="4" t="s">
        <v>21</v>
      </c>
      <c r="L12" s="10">
        <v>30.0</v>
      </c>
      <c r="M12" s="11">
        <v>0.0</v>
      </c>
      <c r="N12" s="12">
        <v>0.0</v>
      </c>
      <c r="O12" s="12">
        <v>900.0</v>
      </c>
      <c r="P12" s="13">
        <v>44500.0</v>
      </c>
      <c r="Q12" s="12">
        <v>900.0</v>
      </c>
      <c r="R12" s="14"/>
      <c r="S12" s="15"/>
      <c r="T12" s="4" t="b">
        <v>1</v>
      </c>
    </row>
    <row r="13" hidden="1">
      <c r="A13" s="16" t="s">
        <v>30</v>
      </c>
      <c r="B13" s="17">
        <v>300.0</v>
      </c>
      <c r="C13" s="16" t="s">
        <v>18</v>
      </c>
      <c r="D13" s="18">
        <v>4411.0</v>
      </c>
      <c r="E13" s="19">
        <v>44440.0</v>
      </c>
      <c r="F13" s="17">
        <v>9.33</v>
      </c>
      <c r="G13" s="20">
        <v>2021.0</v>
      </c>
      <c r="H13" s="21"/>
      <c r="I13" s="21" t="s">
        <v>45</v>
      </c>
      <c r="J13" s="21" t="s">
        <v>32</v>
      </c>
      <c r="K13" s="16" t="s">
        <v>21</v>
      </c>
      <c r="L13" s="22">
        <v>30.0</v>
      </c>
      <c r="M13" s="11">
        <v>0.0</v>
      </c>
      <c r="N13" s="23">
        <v>0.0</v>
      </c>
      <c r="O13" s="23">
        <v>290.67</v>
      </c>
      <c r="P13" s="24">
        <v>44470.0</v>
      </c>
      <c r="Q13" s="23">
        <v>600.0</v>
      </c>
      <c r="R13" s="25"/>
      <c r="S13" s="26">
        <v>44501.0</v>
      </c>
      <c r="T13" s="16" t="b">
        <v>1</v>
      </c>
    </row>
    <row r="14" hidden="1">
      <c r="A14" s="4" t="s">
        <v>50</v>
      </c>
      <c r="B14" s="5">
        <v>375.0</v>
      </c>
      <c r="C14" s="4" t="s">
        <v>18</v>
      </c>
      <c r="D14" s="6">
        <v>4416.0</v>
      </c>
      <c r="E14" s="7">
        <v>44440.0</v>
      </c>
      <c r="F14" s="5">
        <v>0.0</v>
      </c>
      <c r="G14" s="8">
        <v>2021.09</v>
      </c>
      <c r="H14" s="9" t="s">
        <v>51</v>
      </c>
      <c r="I14" s="9" t="s">
        <v>52</v>
      </c>
      <c r="J14" s="9" t="s">
        <v>53</v>
      </c>
      <c r="K14" s="4" t="s">
        <v>21</v>
      </c>
      <c r="L14" s="10">
        <v>30.0</v>
      </c>
      <c r="M14" s="11">
        <v>0.0</v>
      </c>
      <c r="N14" s="12">
        <v>0.0</v>
      </c>
      <c r="O14" s="12">
        <v>375.0</v>
      </c>
      <c r="P14" s="13">
        <v>44470.0</v>
      </c>
      <c r="Q14" s="12">
        <v>375.0</v>
      </c>
      <c r="R14" s="14"/>
      <c r="S14" s="15">
        <v>44501.0</v>
      </c>
      <c r="T14" s="4" t="b">
        <v>1</v>
      </c>
    </row>
    <row r="15" hidden="1">
      <c r="A15" s="16" t="s">
        <v>54</v>
      </c>
      <c r="B15" s="17">
        <v>750.0</v>
      </c>
      <c r="C15" s="16" t="s">
        <v>18</v>
      </c>
      <c r="D15" s="18">
        <v>4416.0</v>
      </c>
      <c r="E15" s="19">
        <v>44440.0</v>
      </c>
      <c r="F15" s="17">
        <v>23.33</v>
      </c>
      <c r="G15" s="20">
        <v>2021.09</v>
      </c>
      <c r="H15" s="21" t="s">
        <v>51</v>
      </c>
      <c r="I15" s="21" t="s">
        <v>52</v>
      </c>
      <c r="J15" s="21" t="s">
        <v>55</v>
      </c>
      <c r="K15" s="16" t="s">
        <v>21</v>
      </c>
      <c r="L15" s="22">
        <v>30.0</v>
      </c>
      <c r="M15" s="11">
        <v>0.0</v>
      </c>
      <c r="N15" s="23">
        <v>0.0</v>
      </c>
      <c r="O15" s="23">
        <v>726.67</v>
      </c>
      <c r="P15" s="24">
        <v>44470.0</v>
      </c>
      <c r="Q15" s="23">
        <v>750.0</v>
      </c>
      <c r="R15" s="25"/>
      <c r="S15" s="26">
        <v>44501.0</v>
      </c>
      <c r="T15" s="16" t="b">
        <v>1</v>
      </c>
    </row>
    <row r="16" hidden="1">
      <c r="A16" s="4" t="s">
        <v>26</v>
      </c>
      <c r="B16" s="5">
        <v>2245.0</v>
      </c>
      <c r="C16" s="4" t="s">
        <v>18</v>
      </c>
      <c r="D16" s="6">
        <v>4449.0</v>
      </c>
      <c r="E16" s="7">
        <v>44409.0</v>
      </c>
      <c r="F16" s="5">
        <v>0.0</v>
      </c>
      <c r="G16" s="8">
        <v>2021.08</v>
      </c>
      <c r="H16" s="9" t="s">
        <v>27</v>
      </c>
      <c r="I16" s="9" t="s">
        <v>45</v>
      </c>
      <c r="J16" s="9" t="s">
        <v>56</v>
      </c>
      <c r="K16" s="4" t="s">
        <v>21</v>
      </c>
      <c r="L16" s="10">
        <v>30.0</v>
      </c>
      <c r="M16" s="11">
        <v>0.0</v>
      </c>
      <c r="N16" s="12">
        <v>0.0</v>
      </c>
      <c r="O16" s="12">
        <v>2245.0</v>
      </c>
      <c r="P16" s="13">
        <v>44439.0</v>
      </c>
      <c r="Q16" s="12">
        <v>6095.0</v>
      </c>
      <c r="R16" s="9" t="s">
        <v>57</v>
      </c>
      <c r="S16" s="15">
        <v>44501.0</v>
      </c>
      <c r="T16" s="4" t="b">
        <v>1</v>
      </c>
    </row>
    <row r="17" hidden="1">
      <c r="A17" s="24" t="s">
        <v>58</v>
      </c>
      <c r="B17" s="17">
        <v>1550.0</v>
      </c>
      <c r="C17" s="16" t="s">
        <v>18</v>
      </c>
      <c r="D17" s="18">
        <v>4514.0</v>
      </c>
      <c r="E17" s="19">
        <v>44440.0</v>
      </c>
      <c r="F17" s="17">
        <v>48.22</v>
      </c>
      <c r="G17" s="20">
        <v>2021.09</v>
      </c>
      <c r="H17" s="21" t="s">
        <v>51</v>
      </c>
      <c r="I17" s="21" t="s">
        <v>52</v>
      </c>
      <c r="J17" s="21" t="s">
        <v>59</v>
      </c>
      <c r="K17" s="17" t="s">
        <v>21</v>
      </c>
      <c r="L17" s="16">
        <v>30.0</v>
      </c>
      <c r="M17" s="11">
        <v>0.0</v>
      </c>
      <c r="N17" s="23">
        <v>0.0</v>
      </c>
      <c r="O17" s="23">
        <v>1501.78</v>
      </c>
      <c r="P17" s="24">
        <v>44470.0</v>
      </c>
      <c r="Q17" s="23">
        <v>1550.0</v>
      </c>
      <c r="R17" s="21"/>
      <c r="S17" s="26">
        <v>44501.0</v>
      </c>
      <c r="T17" s="16" t="b">
        <v>1</v>
      </c>
    </row>
    <row r="18" hidden="1">
      <c r="A18" s="4" t="s">
        <v>60</v>
      </c>
      <c r="B18" s="5">
        <v>2650.0</v>
      </c>
      <c r="C18" s="4" t="s">
        <v>18</v>
      </c>
      <c r="D18" s="6">
        <v>4557.0</v>
      </c>
      <c r="E18" s="7">
        <v>44470.0</v>
      </c>
      <c r="F18" s="5">
        <v>82.45</v>
      </c>
      <c r="G18" s="8">
        <v>2021.0</v>
      </c>
      <c r="H18" s="9"/>
      <c r="I18" s="9" t="s">
        <v>31</v>
      </c>
      <c r="J18" s="9" t="s">
        <v>61</v>
      </c>
      <c r="K18" s="4" t="s">
        <v>21</v>
      </c>
      <c r="L18" s="10">
        <v>30.0</v>
      </c>
      <c r="M18" s="11">
        <v>0.0</v>
      </c>
      <c r="N18" s="12">
        <v>0.0</v>
      </c>
      <c r="O18" s="12">
        <v>2567.55</v>
      </c>
      <c r="P18" s="13">
        <v>44500.0</v>
      </c>
      <c r="Q18" s="12">
        <v>5300.0</v>
      </c>
      <c r="R18" s="14"/>
      <c r="S18" s="15">
        <v>44501.0</v>
      </c>
      <c r="T18" s="4" t="b">
        <v>1</v>
      </c>
    </row>
    <row r="19" hidden="1">
      <c r="A19" s="16" t="s">
        <v>62</v>
      </c>
      <c r="B19" s="17">
        <v>2000.0</v>
      </c>
      <c r="C19" s="16" t="s">
        <v>18</v>
      </c>
      <c r="D19" s="18">
        <v>4558.0</v>
      </c>
      <c r="E19" s="19">
        <v>44470.0</v>
      </c>
      <c r="F19" s="17">
        <v>0.0</v>
      </c>
      <c r="G19" s="20">
        <v>2021.1</v>
      </c>
      <c r="H19" s="21" t="s">
        <v>27</v>
      </c>
      <c r="I19" s="21" t="s">
        <v>52</v>
      </c>
      <c r="J19" s="21" t="s">
        <v>63</v>
      </c>
      <c r="K19" s="16" t="s">
        <v>21</v>
      </c>
      <c r="L19" s="22">
        <v>30.0</v>
      </c>
      <c r="M19" s="11">
        <v>0.0</v>
      </c>
      <c r="N19" s="23">
        <v>0.0</v>
      </c>
      <c r="O19" s="23">
        <v>2000.0</v>
      </c>
      <c r="P19" s="24">
        <v>44500.0</v>
      </c>
      <c r="Q19" s="23">
        <v>1600.0</v>
      </c>
      <c r="R19" s="29">
        <v>62.22</v>
      </c>
      <c r="S19" s="26">
        <v>44501.0</v>
      </c>
      <c r="T19" s="16" t="b">
        <v>1</v>
      </c>
    </row>
    <row r="20" hidden="1">
      <c r="A20" s="4" t="s">
        <v>64</v>
      </c>
      <c r="B20" s="5">
        <v>500.0</v>
      </c>
      <c r="C20" s="4" t="s">
        <v>18</v>
      </c>
      <c r="D20" s="6">
        <v>4559.0</v>
      </c>
      <c r="E20" s="7">
        <v>44470.0</v>
      </c>
      <c r="F20" s="5">
        <v>0.0</v>
      </c>
      <c r="G20" s="8">
        <v>2021.1</v>
      </c>
      <c r="H20" s="9" t="s">
        <v>51</v>
      </c>
      <c r="I20" s="9" t="s">
        <v>52</v>
      </c>
      <c r="J20" s="9" t="s">
        <v>65</v>
      </c>
      <c r="K20" s="4" t="s">
        <v>21</v>
      </c>
      <c r="L20" s="10">
        <v>15.0</v>
      </c>
      <c r="M20" s="11">
        <v>0.0</v>
      </c>
      <c r="N20" s="12">
        <v>0.0</v>
      </c>
      <c r="O20" s="12">
        <v>500.0</v>
      </c>
      <c r="P20" s="13">
        <v>44485.0</v>
      </c>
      <c r="Q20" s="12">
        <v>500.0</v>
      </c>
      <c r="R20" s="30">
        <v>15.56</v>
      </c>
      <c r="S20" s="15">
        <v>44501.0</v>
      </c>
      <c r="T20" s="4" t="b">
        <v>1</v>
      </c>
    </row>
    <row r="21" hidden="1">
      <c r="A21" s="16" t="s">
        <v>66</v>
      </c>
      <c r="B21" s="17">
        <v>700.0</v>
      </c>
      <c r="C21" s="16" t="s">
        <v>18</v>
      </c>
      <c r="D21" s="18">
        <v>4560.0</v>
      </c>
      <c r="E21" s="19">
        <v>44470.0</v>
      </c>
      <c r="F21" s="17">
        <v>0.0</v>
      </c>
      <c r="G21" s="20">
        <v>2021.1</v>
      </c>
      <c r="H21" s="21" t="s">
        <v>27</v>
      </c>
      <c r="I21" s="21" t="s">
        <v>52</v>
      </c>
      <c r="J21" s="21" t="s">
        <v>67</v>
      </c>
      <c r="K21" s="16" t="s">
        <v>21</v>
      </c>
      <c r="L21" s="22">
        <v>30.0</v>
      </c>
      <c r="M21" s="11">
        <v>0.0</v>
      </c>
      <c r="N21" s="23">
        <v>0.0</v>
      </c>
      <c r="O21" s="23">
        <v>700.0</v>
      </c>
      <c r="P21" s="24">
        <v>44500.0</v>
      </c>
      <c r="Q21" s="23">
        <v>700.0</v>
      </c>
      <c r="R21" s="25"/>
      <c r="S21" s="26">
        <v>44501.0</v>
      </c>
      <c r="T21" s="16" t="b">
        <v>1</v>
      </c>
    </row>
    <row r="22" hidden="1">
      <c r="A22" s="4" t="s">
        <v>68</v>
      </c>
      <c r="B22" s="5">
        <v>650.0</v>
      </c>
      <c r="C22" s="4" t="s">
        <v>18</v>
      </c>
      <c r="D22" s="6">
        <v>4561.0</v>
      </c>
      <c r="E22" s="7">
        <v>44470.0</v>
      </c>
      <c r="F22" s="5">
        <v>0.0</v>
      </c>
      <c r="G22" s="8">
        <v>2021.1</v>
      </c>
      <c r="H22" s="9" t="s">
        <v>27</v>
      </c>
      <c r="I22" s="9" t="s">
        <v>52</v>
      </c>
      <c r="J22" s="9" t="s">
        <v>69</v>
      </c>
      <c r="K22" s="4" t="s">
        <v>21</v>
      </c>
      <c r="L22" s="10">
        <v>30.0</v>
      </c>
      <c r="M22" s="11">
        <v>0.0</v>
      </c>
      <c r="N22" s="12">
        <v>0.0</v>
      </c>
      <c r="O22" s="12">
        <v>650.0</v>
      </c>
      <c r="P22" s="13">
        <v>44500.0</v>
      </c>
      <c r="Q22" s="12">
        <v>650.0</v>
      </c>
      <c r="R22" s="30">
        <v>20.09</v>
      </c>
      <c r="S22" s="15">
        <v>44501.0</v>
      </c>
      <c r="T22" s="4" t="b">
        <v>1</v>
      </c>
    </row>
    <row r="23" hidden="1">
      <c r="A23" s="16" t="s">
        <v>40</v>
      </c>
      <c r="B23" s="17">
        <v>1450.0</v>
      </c>
      <c r="C23" s="16" t="s">
        <v>18</v>
      </c>
      <c r="D23" s="18">
        <v>4562.0</v>
      </c>
      <c r="E23" s="19">
        <v>44470.0</v>
      </c>
      <c r="F23" s="17">
        <v>46.0</v>
      </c>
      <c r="G23" s="20">
        <v>2021.0</v>
      </c>
      <c r="H23" s="21"/>
      <c r="I23" s="21" t="s">
        <v>45</v>
      </c>
      <c r="J23" s="21" t="s">
        <v>41</v>
      </c>
      <c r="K23" s="16" t="s">
        <v>21</v>
      </c>
      <c r="L23" s="22">
        <v>30.0</v>
      </c>
      <c r="M23" s="11">
        <v>0.0</v>
      </c>
      <c r="N23" s="23">
        <v>0.0</v>
      </c>
      <c r="O23" s="23">
        <v>1404.0</v>
      </c>
      <c r="P23" s="24">
        <v>44500.0</v>
      </c>
      <c r="Q23" s="23">
        <v>2300.0</v>
      </c>
      <c r="R23" s="25"/>
      <c r="S23" s="26">
        <v>44501.0</v>
      </c>
      <c r="T23" s="16" t="b">
        <v>1</v>
      </c>
    </row>
    <row r="24" hidden="1">
      <c r="A24" s="4" t="s">
        <v>70</v>
      </c>
      <c r="B24" s="5">
        <v>2150.0</v>
      </c>
      <c r="C24" s="4" t="s">
        <v>18</v>
      </c>
      <c r="D24" s="6">
        <v>4563.0</v>
      </c>
      <c r="E24" s="7">
        <v>44470.0</v>
      </c>
      <c r="F24" s="5">
        <v>66.89</v>
      </c>
      <c r="G24" s="8">
        <v>2021.0</v>
      </c>
      <c r="H24" s="9"/>
      <c r="I24" s="9" t="s">
        <v>45</v>
      </c>
      <c r="J24" s="9" t="s">
        <v>36</v>
      </c>
      <c r="K24" s="4" t="s">
        <v>21</v>
      </c>
      <c r="L24" s="10">
        <v>15.0</v>
      </c>
      <c r="M24" s="11">
        <v>0.0</v>
      </c>
      <c r="N24" s="12">
        <v>0.0</v>
      </c>
      <c r="O24" s="12">
        <v>2083.11</v>
      </c>
      <c r="P24" s="13">
        <v>44485.0</v>
      </c>
      <c r="Q24" s="12">
        <v>5300.0</v>
      </c>
      <c r="R24" s="14"/>
      <c r="S24" s="15">
        <v>44501.0</v>
      </c>
      <c r="T24" s="4" t="b">
        <v>1</v>
      </c>
    </row>
    <row r="25" hidden="1">
      <c r="A25" s="16" t="s">
        <v>71</v>
      </c>
      <c r="B25" s="17">
        <v>1000.0</v>
      </c>
      <c r="C25" s="16" t="s">
        <v>18</v>
      </c>
      <c r="D25" s="18">
        <v>4578.0</v>
      </c>
      <c r="E25" s="19">
        <v>44499.0</v>
      </c>
      <c r="F25" s="17">
        <v>0.0</v>
      </c>
      <c r="G25" s="20">
        <v>2021.0</v>
      </c>
      <c r="H25" s="21"/>
      <c r="I25" s="21" t="s">
        <v>48</v>
      </c>
      <c r="J25" s="21" t="s">
        <v>72</v>
      </c>
      <c r="K25" s="16" t="s">
        <v>21</v>
      </c>
      <c r="L25" s="22">
        <v>30.0</v>
      </c>
      <c r="M25" s="11">
        <v>0.0</v>
      </c>
      <c r="N25" s="23">
        <v>0.0</v>
      </c>
      <c r="O25" s="23">
        <v>1000.0</v>
      </c>
      <c r="P25" s="24">
        <v>44529.0</v>
      </c>
      <c r="Q25" s="23">
        <v>1000.0</v>
      </c>
      <c r="R25" s="25"/>
      <c r="S25" s="26">
        <v>44501.0</v>
      </c>
      <c r="T25" s="16" t="b">
        <v>1</v>
      </c>
    </row>
    <row r="26" hidden="1">
      <c r="A26" s="4" t="s">
        <v>73</v>
      </c>
      <c r="B26" s="5">
        <v>700.0</v>
      </c>
      <c r="C26" s="4" t="s">
        <v>18</v>
      </c>
      <c r="D26" s="6">
        <v>4579.0</v>
      </c>
      <c r="E26" s="7">
        <v>44498.0</v>
      </c>
      <c r="F26" s="5">
        <v>0.0</v>
      </c>
      <c r="G26" s="8">
        <v>2021.1</v>
      </c>
      <c r="H26" s="9" t="s">
        <v>51</v>
      </c>
      <c r="I26" s="9" t="s">
        <v>52</v>
      </c>
      <c r="J26" s="9" t="s">
        <v>74</v>
      </c>
      <c r="K26" s="4" t="s">
        <v>21</v>
      </c>
      <c r="L26" s="10">
        <v>30.0</v>
      </c>
      <c r="M26" s="11">
        <v>0.0</v>
      </c>
      <c r="N26" s="12">
        <v>0.0</v>
      </c>
      <c r="O26" s="12">
        <v>700.0</v>
      </c>
      <c r="P26" s="13">
        <v>44528.0</v>
      </c>
      <c r="Q26" s="12">
        <v>700.0</v>
      </c>
      <c r="R26" s="14"/>
      <c r="S26" s="15">
        <v>44501.0</v>
      </c>
      <c r="T26" s="4" t="b">
        <v>1</v>
      </c>
    </row>
    <row r="27" hidden="1">
      <c r="A27" s="16" t="s">
        <v>75</v>
      </c>
      <c r="B27" s="17">
        <v>500.0</v>
      </c>
      <c r="C27" s="16" t="s">
        <v>18</v>
      </c>
      <c r="D27" s="18">
        <v>4580.0</v>
      </c>
      <c r="E27" s="19">
        <v>44470.0</v>
      </c>
      <c r="F27" s="17">
        <v>0.0</v>
      </c>
      <c r="G27" s="20">
        <v>2021.1</v>
      </c>
      <c r="H27" s="21" t="s">
        <v>51</v>
      </c>
      <c r="I27" s="21" t="s">
        <v>52</v>
      </c>
      <c r="J27" s="21" t="s">
        <v>76</v>
      </c>
      <c r="K27" s="16" t="s">
        <v>21</v>
      </c>
      <c r="L27" s="22">
        <v>30.0</v>
      </c>
      <c r="M27" s="11">
        <v>0.0</v>
      </c>
      <c r="N27" s="23">
        <v>0.0</v>
      </c>
      <c r="O27" s="23">
        <v>500.0</v>
      </c>
      <c r="P27" s="24">
        <v>44500.0</v>
      </c>
      <c r="Q27" s="23">
        <v>375.0</v>
      </c>
      <c r="R27" s="25"/>
      <c r="S27" s="26">
        <v>44501.0</v>
      </c>
      <c r="T27" s="16" t="b">
        <v>1</v>
      </c>
    </row>
    <row r="28" hidden="1">
      <c r="A28" s="4" t="s">
        <v>77</v>
      </c>
      <c r="B28" s="5">
        <v>495.0</v>
      </c>
      <c r="C28" s="4" t="s">
        <v>18</v>
      </c>
      <c r="D28" s="6">
        <v>4581.0</v>
      </c>
      <c r="E28" s="7">
        <v>44470.0</v>
      </c>
      <c r="F28" s="5">
        <v>0.0</v>
      </c>
      <c r="G28" s="8">
        <v>2021.1</v>
      </c>
      <c r="H28" s="9" t="s">
        <v>51</v>
      </c>
      <c r="I28" s="9" t="s">
        <v>52</v>
      </c>
      <c r="J28" s="9" t="s">
        <v>78</v>
      </c>
      <c r="K28" s="4" t="s">
        <v>21</v>
      </c>
      <c r="L28" s="10">
        <v>15.0</v>
      </c>
      <c r="M28" s="11">
        <v>0.0</v>
      </c>
      <c r="N28" s="12">
        <v>0.0</v>
      </c>
      <c r="O28" s="12">
        <v>495.0</v>
      </c>
      <c r="P28" s="13">
        <v>44485.0</v>
      </c>
      <c r="Q28" s="12">
        <v>495.0</v>
      </c>
      <c r="R28" s="30">
        <v>15.4</v>
      </c>
      <c r="S28" s="15">
        <v>44501.0</v>
      </c>
      <c r="T28" s="4" t="b">
        <v>1</v>
      </c>
    </row>
    <row r="29" hidden="1">
      <c r="A29" s="16" t="s">
        <v>79</v>
      </c>
      <c r="B29" s="17">
        <v>1200.0</v>
      </c>
      <c r="C29" s="16" t="s">
        <v>18</v>
      </c>
      <c r="D29" s="18">
        <v>4582.0</v>
      </c>
      <c r="E29" s="19">
        <v>44470.0</v>
      </c>
      <c r="F29" s="17">
        <v>37.33</v>
      </c>
      <c r="G29" s="20">
        <v>2021.1</v>
      </c>
      <c r="H29" s="21" t="s">
        <v>51</v>
      </c>
      <c r="I29" s="21" t="s">
        <v>52</v>
      </c>
      <c r="J29" s="21" t="s">
        <v>80</v>
      </c>
      <c r="K29" s="16" t="s">
        <v>21</v>
      </c>
      <c r="L29" s="22">
        <v>30.0</v>
      </c>
      <c r="M29" s="11">
        <v>0.0</v>
      </c>
      <c r="N29" s="23">
        <v>0.0</v>
      </c>
      <c r="O29" s="23">
        <v>1162.67</v>
      </c>
      <c r="P29" s="24">
        <v>44500.0</v>
      </c>
      <c r="Q29" s="23">
        <v>1200.0</v>
      </c>
      <c r="R29" s="25"/>
      <c r="S29" s="26">
        <v>44501.0</v>
      </c>
      <c r="T29" s="16" t="b">
        <v>1</v>
      </c>
    </row>
    <row r="30" hidden="1">
      <c r="A30" s="4" t="s">
        <v>50</v>
      </c>
      <c r="B30" s="5">
        <v>375.0</v>
      </c>
      <c r="C30" s="4" t="s">
        <v>18</v>
      </c>
      <c r="D30" s="6">
        <v>4583.0</v>
      </c>
      <c r="E30" s="7">
        <v>44470.0</v>
      </c>
      <c r="F30" s="5">
        <v>0.0</v>
      </c>
      <c r="G30" s="8">
        <v>2021.1</v>
      </c>
      <c r="H30" s="9" t="s">
        <v>51</v>
      </c>
      <c r="I30" s="9" t="s">
        <v>52</v>
      </c>
      <c r="J30" s="9" t="s">
        <v>53</v>
      </c>
      <c r="K30" s="4" t="s">
        <v>21</v>
      </c>
      <c r="L30" s="10">
        <v>30.0</v>
      </c>
      <c r="M30" s="11">
        <v>0.0</v>
      </c>
      <c r="N30" s="12">
        <v>0.0</v>
      </c>
      <c r="O30" s="12">
        <v>375.0</v>
      </c>
      <c r="P30" s="13">
        <v>44500.0</v>
      </c>
      <c r="Q30" s="12">
        <v>375.0</v>
      </c>
      <c r="R30" s="14"/>
      <c r="S30" s="15">
        <v>44501.0</v>
      </c>
      <c r="T30" s="4" t="b">
        <v>1</v>
      </c>
    </row>
    <row r="31" hidden="1">
      <c r="A31" s="16" t="s">
        <v>54</v>
      </c>
      <c r="B31" s="17">
        <v>750.0</v>
      </c>
      <c r="C31" s="16" t="s">
        <v>18</v>
      </c>
      <c r="D31" s="18">
        <v>4584.0</v>
      </c>
      <c r="E31" s="19">
        <v>44470.0</v>
      </c>
      <c r="F31" s="17">
        <v>23.33</v>
      </c>
      <c r="G31" s="20">
        <v>2021.1</v>
      </c>
      <c r="H31" s="21" t="s">
        <v>51</v>
      </c>
      <c r="I31" s="21" t="s">
        <v>52</v>
      </c>
      <c r="J31" s="21" t="s">
        <v>55</v>
      </c>
      <c r="K31" s="16" t="s">
        <v>21</v>
      </c>
      <c r="L31" s="22">
        <v>30.0</v>
      </c>
      <c r="M31" s="11">
        <v>0.0</v>
      </c>
      <c r="N31" s="23">
        <v>0.0</v>
      </c>
      <c r="O31" s="23">
        <v>726.67</v>
      </c>
      <c r="P31" s="24">
        <v>44500.0</v>
      </c>
      <c r="Q31" s="23">
        <v>750.0</v>
      </c>
      <c r="R31" s="25"/>
      <c r="S31" s="26">
        <v>44501.0</v>
      </c>
      <c r="T31" s="16" t="b">
        <v>1</v>
      </c>
    </row>
    <row r="32" hidden="1">
      <c r="A32" s="4" t="s">
        <v>81</v>
      </c>
      <c r="B32" s="5">
        <v>1200.0</v>
      </c>
      <c r="C32" s="4" t="s">
        <v>18</v>
      </c>
      <c r="D32" s="6">
        <v>4585.0</v>
      </c>
      <c r="E32" s="7">
        <v>44470.0</v>
      </c>
      <c r="F32" s="5">
        <v>0.0</v>
      </c>
      <c r="G32" s="8">
        <v>2021.1</v>
      </c>
      <c r="H32" s="9" t="s">
        <v>51</v>
      </c>
      <c r="I32" s="9" t="s">
        <v>52</v>
      </c>
      <c r="J32" s="9" t="s">
        <v>38</v>
      </c>
      <c r="K32" s="4" t="s">
        <v>21</v>
      </c>
      <c r="L32" s="10">
        <v>30.0</v>
      </c>
      <c r="M32" s="11">
        <v>0.0</v>
      </c>
      <c r="N32" s="12">
        <v>0.0</v>
      </c>
      <c r="O32" s="12">
        <v>1200.0</v>
      </c>
      <c r="P32" s="13">
        <v>44500.0</v>
      </c>
      <c r="Q32" s="12">
        <v>1200.0</v>
      </c>
      <c r="R32" s="14"/>
      <c r="S32" s="15">
        <v>44501.0</v>
      </c>
      <c r="T32" s="4" t="b">
        <v>1</v>
      </c>
    </row>
    <row r="33" hidden="1">
      <c r="A33" s="16" t="s">
        <v>42</v>
      </c>
      <c r="B33" s="17">
        <v>1500.0</v>
      </c>
      <c r="C33" s="16" t="s">
        <v>18</v>
      </c>
      <c r="D33" s="18">
        <v>4586.0</v>
      </c>
      <c r="E33" s="19">
        <v>44470.0</v>
      </c>
      <c r="F33" s="17">
        <v>0.0</v>
      </c>
      <c r="G33" s="20">
        <v>2021.1</v>
      </c>
      <c r="H33" s="21" t="s">
        <v>51</v>
      </c>
      <c r="I33" s="21" t="s">
        <v>52</v>
      </c>
      <c r="J33" s="21" t="s">
        <v>43</v>
      </c>
      <c r="K33" s="16" t="s">
        <v>21</v>
      </c>
      <c r="L33" s="22">
        <v>30.0</v>
      </c>
      <c r="M33" s="11">
        <v>0.15</v>
      </c>
      <c r="N33" s="23">
        <v>225.0</v>
      </c>
      <c r="O33" s="23">
        <v>1275.0</v>
      </c>
      <c r="P33" s="24">
        <v>44500.0</v>
      </c>
      <c r="Q33" s="23">
        <v>1500.0</v>
      </c>
      <c r="R33" s="29">
        <v>46.67</v>
      </c>
      <c r="S33" s="26">
        <v>44501.0</v>
      </c>
      <c r="T33" s="16" t="b">
        <v>1</v>
      </c>
    </row>
    <row r="34" hidden="1">
      <c r="A34" s="4" t="s">
        <v>58</v>
      </c>
      <c r="B34" s="5">
        <v>1550.0</v>
      </c>
      <c r="C34" s="4" t="s">
        <v>18</v>
      </c>
      <c r="D34" s="6">
        <v>4587.0</v>
      </c>
      <c r="E34" s="7">
        <v>44470.0</v>
      </c>
      <c r="F34" s="5">
        <v>48.22</v>
      </c>
      <c r="G34" s="8">
        <v>2021.1</v>
      </c>
      <c r="H34" s="9" t="s">
        <v>51</v>
      </c>
      <c r="I34" s="9" t="s">
        <v>52</v>
      </c>
      <c r="J34" s="9" t="s">
        <v>59</v>
      </c>
      <c r="K34" s="4" t="s">
        <v>21</v>
      </c>
      <c r="L34" s="10">
        <v>30.0</v>
      </c>
      <c r="M34" s="11">
        <v>0.0</v>
      </c>
      <c r="N34" s="12">
        <v>0.0</v>
      </c>
      <c r="O34" s="12">
        <v>1501.78</v>
      </c>
      <c r="P34" s="13">
        <v>44500.0</v>
      </c>
      <c r="Q34" s="12">
        <v>1550.0</v>
      </c>
      <c r="R34" s="14"/>
      <c r="S34" s="15">
        <v>44501.0</v>
      </c>
      <c r="T34" s="4" t="b">
        <v>1</v>
      </c>
    </row>
    <row r="35" hidden="1">
      <c r="A35" s="16" t="s">
        <v>82</v>
      </c>
      <c r="B35" s="17">
        <v>800.0</v>
      </c>
      <c r="C35" s="16" t="s">
        <v>18</v>
      </c>
      <c r="D35" s="18">
        <v>4588.0</v>
      </c>
      <c r="E35" s="19">
        <v>44470.0</v>
      </c>
      <c r="F35" s="17">
        <v>0.0</v>
      </c>
      <c r="G35" s="20">
        <v>2021.1</v>
      </c>
      <c r="H35" s="21" t="s">
        <v>51</v>
      </c>
      <c r="I35" s="21" t="s">
        <v>52</v>
      </c>
      <c r="J35" s="21" t="s">
        <v>83</v>
      </c>
      <c r="K35" s="16" t="s">
        <v>21</v>
      </c>
      <c r="L35" s="22">
        <v>30.0</v>
      </c>
      <c r="M35" s="11">
        <v>0.0</v>
      </c>
      <c r="N35" s="23">
        <v>0.0</v>
      </c>
      <c r="O35" s="23">
        <v>800.0</v>
      </c>
      <c r="P35" s="24">
        <v>44500.0</v>
      </c>
      <c r="Q35" s="23">
        <v>800.0</v>
      </c>
      <c r="R35" s="25"/>
      <c r="S35" s="26">
        <v>44501.0</v>
      </c>
      <c r="T35" s="16" t="b">
        <v>1</v>
      </c>
    </row>
    <row r="36" hidden="1">
      <c r="A36" s="13" t="s">
        <v>84</v>
      </c>
      <c r="B36" s="5">
        <v>1000.0</v>
      </c>
      <c r="C36" s="4" t="s">
        <v>18</v>
      </c>
      <c r="D36" s="6">
        <v>4589.0</v>
      </c>
      <c r="E36" s="7">
        <v>44500.0</v>
      </c>
      <c r="F36" s="5">
        <v>0.0</v>
      </c>
      <c r="G36" s="8">
        <v>2021.1</v>
      </c>
      <c r="H36" s="9" t="s">
        <v>51</v>
      </c>
      <c r="I36" s="9" t="s">
        <v>52</v>
      </c>
      <c r="J36" s="9" t="s">
        <v>85</v>
      </c>
      <c r="K36" s="5" t="s">
        <v>21</v>
      </c>
      <c r="L36" s="4">
        <v>30.0</v>
      </c>
      <c r="M36" s="11">
        <v>0.0</v>
      </c>
      <c r="N36" s="12">
        <v>0.0</v>
      </c>
      <c r="O36" s="12">
        <v>1000.0</v>
      </c>
      <c r="P36" s="13">
        <v>44530.0</v>
      </c>
      <c r="Q36" s="12">
        <v>1000.0</v>
      </c>
      <c r="R36" s="14"/>
      <c r="S36" s="15">
        <v>44501.0</v>
      </c>
      <c r="T36" s="4" t="b">
        <v>1</v>
      </c>
    </row>
    <row r="37" hidden="1">
      <c r="A37" s="16" t="s">
        <v>86</v>
      </c>
      <c r="B37" s="17">
        <v>550.0</v>
      </c>
      <c r="C37" s="16" t="s">
        <v>18</v>
      </c>
      <c r="D37" s="18">
        <v>4590.0</v>
      </c>
      <c r="E37" s="19">
        <v>44470.0</v>
      </c>
      <c r="F37" s="17">
        <v>0.0</v>
      </c>
      <c r="G37" s="20">
        <v>2021.1</v>
      </c>
      <c r="H37" s="21" t="s">
        <v>51</v>
      </c>
      <c r="I37" s="21" t="s">
        <v>52</v>
      </c>
      <c r="J37" s="21" t="s">
        <v>87</v>
      </c>
      <c r="K37" s="16" t="s">
        <v>21</v>
      </c>
      <c r="L37" s="22">
        <v>30.0</v>
      </c>
      <c r="M37" s="11">
        <v>0.0</v>
      </c>
      <c r="N37" s="23">
        <v>0.0</v>
      </c>
      <c r="O37" s="23">
        <v>550.0</v>
      </c>
      <c r="P37" s="24">
        <v>44500.0</v>
      </c>
      <c r="Q37" s="23">
        <v>550.0</v>
      </c>
      <c r="R37" s="29">
        <v>21.67</v>
      </c>
      <c r="S37" s="26">
        <v>44501.0</v>
      </c>
      <c r="T37" s="16" t="b">
        <v>1</v>
      </c>
    </row>
    <row r="38" hidden="1">
      <c r="A38" s="4" t="s">
        <v>88</v>
      </c>
      <c r="B38" s="5">
        <v>500.0</v>
      </c>
      <c r="C38" s="4" t="s">
        <v>18</v>
      </c>
      <c r="D38" s="6">
        <v>4591.0</v>
      </c>
      <c r="E38" s="7">
        <v>44470.0</v>
      </c>
      <c r="F38" s="5">
        <v>0.0</v>
      </c>
      <c r="G38" s="8">
        <v>2021.1</v>
      </c>
      <c r="H38" s="9" t="s">
        <v>51</v>
      </c>
      <c r="I38" s="9" t="s">
        <v>52</v>
      </c>
      <c r="J38" s="9" t="s">
        <v>89</v>
      </c>
      <c r="K38" s="4" t="s">
        <v>21</v>
      </c>
      <c r="L38" s="10">
        <v>30.0</v>
      </c>
      <c r="M38" s="11">
        <v>0.0</v>
      </c>
      <c r="N38" s="12">
        <v>0.0</v>
      </c>
      <c r="O38" s="12">
        <v>500.0</v>
      </c>
      <c r="P38" s="13">
        <v>44500.0</v>
      </c>
      <c r="Q38" s="12">
        <v>500.0</v>
      </c>
      <c r="R38" s="30">
        <v>15.53</v>
      </c>
      <c r="S38" s="15">
        <v>44501.0</v>
      </c>
      <c r="T38" s="4" t="b">
        <v>1</v>
      </c>
    </row>
    <row r="39" hidden="1">
      <c r="A39" s="16" t="s">
        <v>90</v>
      </c>
      <c r="B39" s="17">
        <v>250.0</v>
      </c>
      <c r="C39" s="16" t="s">
        <v>18</v>
      </c>
      <c r="D39" s="18">
        <v>4592.0</v>
      </c>
      <c r="E39" s="19">
        <v>44470.0</v>
      </c>
      <c r="F39" s="17">
        <v>7.78</v>
      </c>
      <c r="G39" s="20">
        <v>2021.1</v>
      </c>
      <c r="H39" s="21" t="s">
        <v>51</v>
      </c>
      <c r="I39" s="21" t="s">
        <v>52</v>
      </c>
      <c r="J39" s="21" t="s">
        <v>91</v>
      </c>
      <c r="K39" s="16" t="s">
        <v>21</v>
      </c>
      <c r="L39" s="22">
        <v>30.0</v>
      </c>
      <c r="M39" s="11">
        <v>0.0</v>
      </c>
      <c r="N39" s="23">
        <v>0.0</v>
      </c>
      <c r="O39" s="23">
        <v>242.22</v>
      </c>
      <c r="P39" s="24">
        <v>44500.0</v>
      </c>
      <c r="Q39" s="23">
        <v>250.0</v>
      </c>
      <c r="R39" s="25"/>
      <c r="S39" s="26">
        <v>44501.0</v>
      </c>
      <c r="T39" s="16" t="b">
        <v>1</v>
      </c>
    </row>
    <row r="40" hidden="1">
      <c r="A40" s="4" t="s">
        <v>92</v>
      </c>
      <c r="B40" s="5">
        <v>2900.0</v>
      </c>
      <c r="C40" s="4" t="s">
        <v>18</v>
      </c>
      <c r="D40" s="6">
        <v>4593.0</v>
      </c>
      <c r="E40" s="7">
        <v>44470.0</v>
      </c>
      <c r="F40" s="5">
        <v>0.0</v>
      </c>
      <c r="G40" s="8">
        <v>2021.1</v>
      </c>
      <c r="H40" s="9" t="s">
        <v>51</v>
      </c>
      <c r="I40" s="9" t="s">
        <v>52</v>
      </c>
      <c r="J40" s="9" t="s">
        <v>93</v>
      </c>
      <c r="K40" s="4" t="s">
        <v>21</v>
      </c>
      <c r="L40" s="10">
        <v>30.0</v>
      </c>
      <c r="M40" s="11">
        <v>0.0</v>
      </c>
      <c r="N40" s="12">
        <v>0.0</v>
      </c>
      <c r="O40" s="12">
        <v>2900.0</v>
      </c>
      <c r="P40" s="13">
        <v>44500.0</v>
      </c>
      <c r="Q40" s="12">
        <v>2500.0</v>
      </c>
      <c r="R40" s="30">
        <v>90.22</v>
      </c>
      <c r="S40" s="15">
        <v>44501.0</v>
      </c>
      <c r="T40" s="4" t="b">
        <v>1</v>
      </c>
    </row>
    <row r="41" hidden="1">
      <c r="A41" s="16" t="s">
        <v>94</v>
      </c>
      <c r="B41" s="17">
        <v>900.0</v>
      </c>
      <c r="C41" s="16" t="s">
        <v>18</v>
      </c>
      <c r="D41" s="18">
        <v>4594.0</v>
      </c>
      <c r="E41" s="19">
        <v>44470.0</v>
      </c>
      <c r="F41" s="17">
        <v>28.0</v>
      </c>
      <c r="G41" s="20">
        <v>2021.1</v>
      </c>
      <c r="H41" s="21" t="s">
        <v>51</v>
      </c>
      <c r="I41" s="21" t="s">
        <v>52</v>
      </c>
      <c r="J41" s="21" t="s">
        <v>95</v>
      </c>
      <c r="K41" s="16" t="s">
        <v>21</v>
      </c>
      <c r="L41" s="22">
        <v>30.0</v>
      </c>
      <c r="M41" s="11">
        <v>0.0</v>
      </c>
      <c r="N41" s="23">
        <v>0.0</v>
      </c>
      <c r="O41" s="23">
        <v>872.0</v>
      </c>
      <c r="P41" s="24">
        <v>44500.0</v>
      </c>
      <c r="Q41" s="23">
        <v>900.0</v>
      </c>
      <c r="R41" s="25"/>
      <c r="S41" s="26">
        <v>44501.0</v>
      </c>
      <c r="T41" s="16" t="b">
        <v>1</v>
      </c>
    </row>
    <row r="42" hidden="1">
      <c r="A42" s="4" t="s">
        <v>96</v>
      </c>
      <c r="B42" s="5">
        <v>550.0</v>
      </c>
      <c r="C42" s="4" t="s">
        <v>18</v>
      </c>
      <c r="D42" s="6">
        <v>4595.0</v>
      </c>
      <c r="E42" s="7">
        <v>44470.0</v>
      </c>
      <c r="F42" s="5">
        <v>0.0</v>
      </c>
      <c r="G42" s="8">
        <v>2021.1</v>
      </c>
      <c r="H42" s="9" t="s">
        <v>51</v>
      </c>
      <c r="I42" s="9" t="s">
        <v>52</v>
      </c>
      <c r="J42" s="9" t="s">
        <v>69</v>
      </c>
      <c r="K42" s="4" t="s">
        <v>21</v>
      </c>
      <c r="L42" s="10">
        <v>30.0</v>
      </c>
      <c r="M42" s="11">
        <v>0.0</v>
      </c>
      <c r="N42" s="12">
        <v>0.0</v>
      </c>
      <c r="O42" s="12">
        <v>550.0</v>
      </c>
      <c r="P42" s="13">
        <v>44500.0</v>
      </c>
      <c r="Q42" s="12">
        <v>550.0</v>
      </c>
      <c r="R42" s="30">
        <v>17.1</v>
      </c>
      <c r="S42" s="15">
        <v>44501.0</v>
      </c>
      <c r="T42" s="4" t="b">
        <v>1</v>
      </c>
    </row>
    <row r="43" hidden="1">
      <c r="A43" s="16" t="s">
        <v>97</v>
      </c>
      <c r="B43" s="17">
        <v>300.0</v>
      </c>
      <c r="C43" s="16" t="s">
        <v>18</v>
      </c>
      <c r="D43" s="18">
        <v>4596.0</v>
      </c>
      <c r="E43" s="19">
        <v>44470.0</v>
      </c>
      <c r="F43" s="17">
        <v>0.0</v>
      </c>
      <c r="G43" s="20">
        <v>2021.1</v>
      </c>
      <c r="H43" s="21" t="s">
        <v>51</v>
      </c>
      <c r="I43" s="21" t="s">
        <v>52</v>
      </c>
      <c r="J43" s="21" t="s">
        <v>98</v>
      </c>
      <c r="K43" s="16" t="s">
        <v>21</v>
      </c>
      <c r="L43" s="22">
        <v>30.0</v>
      </c>
      <c r="M43" s="11">
        <v>0.0</v>
      </c>
      <c r="N43" s="23">
        <v>0.0</v>
      </c>
      <c r="O43" s="23">
        <v>300.0</v>
      </c>
      <c r="P43" s="24">
        <v>44500.0</v>
      </c>
      <c r="Q43" s="23">
        <v>300.0</v>
      </c>
      <c r="R43" s="29">
        <v>9.33</v>
      </c>
      <c r="S43" s="26">
        <v>44501.0</v>
      </c>
      <c r="T43" s="16" t="b">
        <v>1</v>
      </c>
    </row>
    <row r="44" hidden="1">
      <c r="A44" s="4" t="s">
        <v>99</v>
      </c>
      <c r="B44" s="5">
        <v>1557.84</v>
      </c>
      <c r="C44" s="4" t="s">
        <v>18</v>
      </c>
      <c r="D44" s="6" t="s">
        <v>100</v>
      </c>
      <c r="E44" s="7">
        <v>44470.0</v>
      </c>
      <c r="F44" s="5">
        <v>0.0</v>
      </c>
      <c r="G44" s="8">
        <v>2021.1</v>
      </c>
      <c r="H44" s="9" t="s">
        <v>27</v>
      </c>
      <c r="I44" s="9" t="s">
        <v>52</v>
      </c>
      <c r="J44" s="9" t="s">
        <v>101</v>
      </c>
      <c r="K44" s="4" t="s">
        <v>9</v>
      </c>
      <c r="L44" s="10">
        <v>30.0</v>
      </c>
      <c r="M44" s="11">
        <v>0.2</v>
      </c>
      <c r="N44" s="12">
        <v>311.568</v>
      </c>
      <c r="O44" s="12">
        <v>1246.272</v>
      </c>
      <c r="P44" s="13">
        <v>44500.0</v>
      </c>
      <c r="Q44" s="12">
        <v>1300.0</v>
      </c>
      <c r="R44" s="30">
        <v>58.0</v>
      </c>
      <c r="S44" s="15">
        <v>44501.0</v>
      </c>
      <c r="T44" s="4" t="b">
        <v>1</v>
      </c>
    </row>
    <row r="45" hidden="1">
      <c r="A45" s="16" t="s">
        <v>102</v>
      </c>
      <c r="B45" s="17">
        <v>598.98</v>
      </c>
      <c r="C45" s="16" t="s">
        <v>18</v>
      </c>
      <c r="D45" s="18" t="s">
        <v>103</v>
      </c>
      <c r="E45" s="19">
        <v>44470.0</v>
      </c>
      <c r="F45" s="17">
        <v>0.0</v>
      </c>
      <c r="G45" s="20">
        <v>2021.1</v>
      </c>
      <c r="H45" s="21" t="s">
        <v>27</v>
      </c>
      <c r="I45" s="21" t="s">
        <v>52</v>
      </c>
      <c r="J45" s="21" t="s">
        <v>104</v>
      </c>
      <c r="K45" s="16" t="s">
        <v>9</v>
      </c>
      <c r="L45" s="22">
        <v>30.0</v>
      </c>
      <c r="M45" s="11">
        <v>0.0</v>
      </c>
      <c r="N45" s="23">
        <v>0.0</v>
      </c>
      <c r="O45" s="23">
        <v>598.98</v>
      </c>
      <c r="P45" s="24">
        <v>44500.0</v>
      </c>
      <c r="Q45" s="23">
        <v>599.0</v>
      </c>
      <c r="R45" s="29">
        <v>22.52</v>
      </c>
      <c r="S45" s="26">
        <v>44501.0</v>
      </c>
      <c r="T45" s="16" t="b">
        <v>1</v>
      </c>
    </row>
    <row r="46" hidden="1">
      <c r="A46" s="4" t="s">
        <v>105</v>
      </c>
      <c r="B46" s="5">
        <v>3768.96</v>
      </c>
      <c r="C46" s="4" t="s">
        <v>18</v>
      </c>
      <c r="D46" s="6" t="s">
        <v>106</v>
      </c>
      <c r="E46" s="7">
        <v>44470.0</v>
      </c>
      <c r="F46" s="5">
        <v>139.81</v>
      </c>
      <c r="G46" s="8">
        <v>2021.0</v>
      </c>
      <c r="H46" s="9"/>
      <c r="I46" s="9" t="s">
        <v>107</v>
      </c>
      <c r="J46" s="9" t="s">
        <v>25</v>
      </c>
      <c r="K46" s="4" t="s">
        <v>9</v>
      </c>
      <c r="L46" s="10">
        <v>30.0</v>
      </c>
      <c r="M46" s="11">
        <v>0.0</v>
      </c>
      <c r="N46" s="12">
        <v>0.0</v>
      </c>
      <c r="O46" s="12">
        <v>3629.15</v>
      </c>
      <c r="P46" s="13">
        <v>44500.0</v>
      </c>
      <c r="Q46" s="12">
        <v>7300.0</v>
      </c>
      <c r="R46" s="14"/>
      <c r="S46" s="15">
        <v>44501.0</v>
      </c>
      <c r="T46" s="4" t="b">
        <v>1</v>
      </c>
    </row>
    <row r="47" hidden="1">
      <c r="A47" s="16" t="s">
        <v>108</v>
      </c>
      <c r="B47" s="17">
        <v>37.67</v>
      </c>
      <c r="C47" s="16" t="s">
        <v>18</v>
      </c>
      <c r="D47" s="18" t="s">
        <v>109</v>
      </c>
      <c r="E47" s="19">
        <v>44470.0</v>
      </c>
      <c r="F47" s="17">
        <v>0.0</v>
      </c>
      <c r="G47" s="20">
        <v>2021.0</v>
      </c>
      <c r="H47" s="21"/>
      <c r="I47" s="21" t="s">
        <v>110</v>
      </c>
      <c r="J47" s="21" t="s">
        <v>111</v>
      </c>
      <c r="K47" s="16" t="s">
        <v>9</v>
      </c>
      <c r="L47" s="22"/>
      <c r="M47" s="11">
        <v>0.0</v>
      </c>
      <c r="N47" s="23">
        <v>0.0</v>
      </c>
      <c r="O47" s="23">
        <v>37.67</v>
      </c>
      <c r="P47" s="24">
        <v>44470.0</v>
      </c>
      <c r="Q47" s="23"/>
      <c r="R47" s="25"/>
      <c r="S47" s="26">
        <v>44501.0</v>
      </c>
      <c r="T47" s="16" t="b">
        <v>1</v>
      </c>
    </row>
    <row r="48" hidden="1">
      <c r="A48" s="31" t="s">
        <v>112</v>
      </c>
      <c r="B48" s="5">
        <v>837.0</v>
      </c>
      <c r="C48" s="4" t="s">
        <v>18</v>
      </c>
      <c r="D48" s="6" t="s">
        <v>113</v>
      </c>
      <c r="E48" s="7">
        <v>44470.0</v>
      </c>
      <c r="F48" s="5">
        <v>0.0</v>
      </c>
      <c r="G48" s="8">
        <v>2021.1</v>
      </c>
      <c r="H48" s="9" t="s">
        <v>51</v>
      </c>
      <c r="I48" s="9" t="s">
        <v>52</v>
      </c>
      <c r="J48" s="9" t="s">
        <v>114</v>
      </c>
      <c r="K48" s="4" t="s">
        <v>9</v>
      </c>
      <c r="L48" s="10">
        <v>30.0</v>
      </c>
      <c r="M48" s="11">
        <v>0.0</v>
      </c>
      <c r="N48" s="12">
        <v>0.0</v>
      </c>
      <c r="O48" s="12">
        <v>837.0</v>
      </c>
      <c r="P48" s="13">
        <v>44500.0</v>
      </c>
      <c r="Q48" s="12">
        <v>350.0</v>
      </c>
      <c r="R48" s="30">
        <v>31.33</v>
      </c>
      <c r="S48" s="15">
        <v>44501.0</v>
      </c>
      <c r="T48" s="4" t="b">
        <v>1</v>
      </c>
    </row>
    <row r="49" hidden="1">
      <c r="A49" s="16" t="s">
        <v>115</v>
      </c>
      <c r="B49" s="17">
        <v>2449.03</v>
      </c>
      <c r="C49" s="16" t="s">
        <v>18</v>
      </c>
      <c r="D49" s="18" t="s">
        <v>116</v>
      </c>
      <c r="E49" s="19">
        <v>44470.0</v>
      </c>
      <c r="F49" s="17">
        <v>0.0</v>
      </c>
      <c r="G49" s="20">
        <v>2021.1</v>
      </c>
      <c r="H49" s="21" t="s">
        <v>51</v>
      </c>
      <c r="I49" s="21" t="s">
        <v>52</v>
      </c>
      <c r="J49" s="21" t="s">
        <v>117</v>
      </c>
      <c r="K49" s="16" t="s">
        <v>9</v>
      </c>
      <c r="L49" s="22">
        <v>30.0</v>
      </c>
      <c r="M49" s="11">
        <v>0.0</v>
      </c>
      <c r="N49" s="23">
        <v>0.0</v>
      </c>
      <c r="O49" s="23">
        <v>2449.03</v>
      </c>
      <c r="P49" s="24">
        <v>44500.0</v>
      </c>
      <c r="Q49" s="23">
        <v>2000.0</v>
      </c>
      <c r="R49" s="25"/>
      <c r="S49" s="26">
        <v>44501.0</v>
      </c>
      <c r="T49" s="16" t="b">
        <v>1</v>
      </c>
    </row>
    <row r="50" hidden="1">
      <c r="A50" s="4" t="s">
        <v>118</v>
      </c>
      <c r="B50" s="5">
        <v>2449.03</v>
      </c>
      <c r="C50" s="4" t="s">
        <v>18</v>
      </c>
      <c r="D50" s="6" t="s">
        <v>119</v>
      </c>
      <c r="E50" s="7">
        <v>44470.0</v>
      </c>
      <c r="F50" s="5">
        <v>0.0</v>
      </c>
      <c r="G50" s="8">
        <v>2021.1</v>
      </c>
      <c r="H50" s="9" t="s">
        <v>51</v>
      </c>
      <c r="I50" s="9" t="s">
        <v>52</v>
      </c>
      <c r="J50" s="9" t="s">
        <v>117</v>
      </c>
      <c r="K50" s="4" t="s">
        <v>9</v>
      </c>
      <c r="L50" s="10">
        <v>30.0</v>
      </c>
      <c r="M50" s="11">
        <v>0.0</v>
      </c>
      <c r="N50" s="12">
        <v>0.0</v>
      </c>
      <c r="O50" s="12">
        <v>2449.03</v>
      </c>
      <c r="P50" s="13">
        <v>44500.0</v>
      </c>
      <c r="Q50" s="12">
        <v>2000.0</v>
      </c>
      <c r="R50" s="14"/>
      <c r="S50" s="15">
        <v>44501.0</v>
      </c>
      <c r="T50" s="4" t="b">
        <v>1</v>
      </c>
    </row>
    <row r="51" hidden="1">
      <c r="A51" s="16" t="s">
        <v>120</v>
      </c>
      <c r="B51" s="17">
        <v>1858.76</v>
      </c>
      <c r="C51" s="16" t="s">
        <v>18</v>
      </c>
      <c r="D51" s="18" t="s">
        <v>121</v>
      </c>
      <c r="E51" s="19">
        <v>44470.0</v>
      </c>
      <c r="F51" s="17">
        <v>69.15</v>
      </c>
      <c r="G51" s="20">
        <v>2021.1</v>
      </c>
      <c r="H51" s="21" t="s">
        <v>51</v>
      </c>
      <c r="I51" s="21" t="s">
        <v>52</v>
      </c>
      <c r="J51" s="21" t="s">
        <v>122</v>
      </c>
      <c r="K51" s="16" t="s">
        <v>9</v>
      </c>
      <c r="L51" s="22">
        <v>30.0</v>
      </c>
      <c r="M51" s="11">
        <v>0.2</v>
      </c>
      <c r="N51" s="23">
        <v>357.922</v>
      </c>
      <c r="O51" s="23">
        <v>1431.6879999999999</v>
      </c>
      <c r="P51" s="24">
        <v>44500.0</v>
      </c>
      <c r="Q51" s="23">
        <v>1500.0</v>
      </c>
      <c r="R51" s="25"/>
      <c r="S51" s="26">
        <v>44501.0</v>
      </c>
      <c r="T51" s="16" t="b">
        <v>1</v>
      </c>
    </row>
    <row r="52" hidden="1">
      <c r="A52" s="4" t="s">
        <v>123</v>
      </c>
      <c r="B52" s="5">
        <v>6764.25</v>
      </c>
      <c r="C52" s="4" t="s">
        <v>18</v>
      </c>
      <c r="D52" s="6" t="s">
        <v>124</v>
      </c>
      <c r="E52" s="7">
        <v>44470.0</v>
      </c>
      <c r="F52" s="5">
        <v>250.65</v>
      </c>
      <c r="G52" s="8">
        <v>2021.0</v>
      </c>
      <c r="H52" s="9" t="s">
        <v>125</v>
      </c>
      <c r="I52" s="9" t="s">
        <v>52</v>
      </c>
      <c r="J52" s="9" t="s">
        <v>126</v>
      </c>
      <c r="K52" s="4" t="s">
        <v>9</v>
      </c>
      <c r="L52" s="10">
        <v>30.0</v>
      </c>
      <c r="M52" s="11">
        <v>0.2</v>
      </c>
      <c r="N52" s="12">
        <v>1302.7200000000003</v>
      </c>
      <c r="O52" s="12">
        <v>5210.88</v>
      </c>
      <c r="P52" s="13">
        <v>44500.0</v>
      </c>
      <c r="Q52" s="12">
        <v>5500.0</v>
      </c>
      <c r="R52" s="14"/>
      <c r="S52" s="15">
        <v>44501.0</v>
      </c>
      <c r="T52" s="4" t="b">
        <v>1</v>
      </c>
    </row>
    <row r="53" hidden="1">
      <c r="A53" s="16" t="s">
        <v>33</v>
      </c>
      <c r="B53" s="17">
        <v>3882.15</v>
      </c>
      <c r="C53" s="16" t="s">
        <v>18</v>
      </c>
      <c r="D53" s="18" t="s">
        <v>127</v>
      </c>
      <c r="E53" s="19">
        <v>44470.0</v>
      </c>
      <c r="F53" s="17">
        <v>0.0</v>
      </c>
      <c r="G53" s="20">
        <v>2021.0</v>
      </c>
      <c r="H53" s="21"/>
      <c r="I53" s="21" t="s">
        <v>128</v>
      </c>
      <c r="J53" s="21" t="s">
        <v>36</v>
      </c>
      <c r="K53" s="16" t="s">
        <v>9</v>
      </c>
      <c r="L53" s="22">
        <v>30.0</v>
      </c>
      <c r="M53" s="11">
        <v>0.0</v>
      </c>
      <c r="N53" s="23">
        <v>0.0</v>
      </c>
      <c r="O53" s="23">
        <v>3882.15</v>
      </c>
      <c r="P53" s="24">
        <v>44500.0</v>
      </c>
      <c r="Q53" s="23">
        <v>9700.0</v>
      </c>
      <c r="R53" s="29">
        <v>144.0</v>
      </c>
      <c r="S53" s="26">
        <v>44501.0</v>
      </c>
      <c r="T53" s="16" t="b">
        <v>1</v>
      </c>
    </row>
    <row r="54" hidden="1">
      <c r="A54" s="4" t="s">
        <v>129</v>
      </c>
      <c r="B54" s="5">
        <v>801.37</v>
      </c>
      <c r="C54" s="4" t="s">
        <v>18</v>
      </c>
      <c r="D54" s="6" t="s">
        <v>130</v>
      </c>
      <c r="E54" s="7">
        <v>44470.0</v>
      </c>
      <c r="F54" s="5">
        <v>30.02</v>
      </c>
      <c r="G54" s="8">
        <v>2021.0</v>
      </c>
      <c r="H54" s="9"/>
      <c r="I54" s="9" t="s">
        <v>48</v>
      </c>
      <c r="J54" s="9" t="s">
        <v>131</v>
      </c>
      <c r="K54" s="4" t="s">
        <v>9</v>
      </c>
      <c r="L54" s="10">
        <v>30.0</v>
      </c>
      <c r="M54" s="11">
        <v>0.0</v>
      </c>
      <c r="N54" s="12">
        <v>0.0</v>
      </c>
      <c r="O54" s="12">
        <v>771.35</v>
      </c>
      <c r="P54" s="13">
        <v>44500.0</v>
      </c>
      <c r="Q54" s="12">
        <v>801.37</v>
      </c>
      <c r="R54" s="14"/>
      <c r="S54" s="15">
        <v>44501.0</v>
      </c>
      <c r="T54" s="4" t="b">
        <v>1</v>
      </c>
    </row>
    <row r="55" hidden="1">
      <c r="A55" s="16" t="s">
        <v>70</v>
      </c>
      <c r="B55" s="17">
        <v>2150.0</v>
      </c>
      <c r="C55" s="16" t="s">
        <v>18</v>
      </c>
      <c r="D55" s="18">
        <v>4381.0</v>
      </c>
      <c r="E55" s="19">
        <v>44409.0</v>
      </c>
      <c r="F55" s="16">
        <v>66.89</v>
      </c>
      <c r="G55" s="20">
        <v>2021.0</v>
      </c>
      <c r="H55" s="21"/>
      <c r="I55" s="21" t="s">
        <v>31</v>
      </c>
      <c r="J55" s="21" t="s">
        <v>36</v>
      </c>
      <c r="K55" s="16" t="s">
        <v>21</v>
      </c>
      <c r="L55" s="22">
        <v>15.0</v>
      </c>
      <c r="M55" s="11">
        <v>0.0</v>
      </c>
      <c r="N55" s="23">
        <v>0.0</v>
      </c>
      <c r="O55" s="23">
        <v>2083.11</v>
      </c>
      <c r="P55" s="24">
        <v>44424.0</v>
      </c>
      <c r="Q55" s="23">
        <v>5300.0</v>
      </c>
      <c r="R55" s="25"/>
      <c r="S55" s="16" t="s">
        <v>132</v>
      </c>
      <c r="T55" s="16" t="b">
        <v>1</v>
      </c>
    </row>
    <row r="56" hidden="1">
      <c r="A56" s="4" t="s">
        <v>22</v>
      </c>
      <c r="B56" s="5">
        <v>3833.12</v>
      </c>
      <c r="C56" s="4" t="s">
        <v>18</v>
      </c>
      <c r="D56" s="6" t="s">
        <v>133</v>
      </c>
      <c r="E56" s="7">
        <v>44317.0</v>
      </c>
      <c r="F56" s="5">
        <v>142.19</v>
      </c>
      <c r="G56" s="8">
        <v>2021.0</v>
      </c>
      <c r="H56" s="9"/>
      <c r="I56" s="9" t="s">
        <v>134</v>
      </c>
      <c r="J56" s="9" t="s">
        <v>25</v>
      </c>
      <c r="K56" s="4" t="s">
        <v>9</v>
      </c>
      <c r="L56" s="10">
        <v>30.0</v>
      </c>
      <c r="M56" s="11">
        <v>0.0</v>
      </c>
      <c r="N56" s="12">
        <v>0.0</v>
      </c>
      <c r="O56" s="12">
        <v>3690.93</v>
      </c>
      <c r="P56" s="13">
        <v>44347.0</v>
      </c>
      <c r="Q56" s="12">
        <v>7300.0</v>
      </c>
      <c r="R56" s="14"/>
      <c r="S56" s="4" t="s">
        <v>132</v>
      </c>
      <c r="T56" s="4" t="b">
        <v>1</v>
      </c>
    </row>
    <row r="57" hidden="1">
      <c r="A57" s="16" t="s">
        <v>39</v>
      </c>
      <c r="B57" s="17">
        <v>900.0</v>
      </c>
      <c r="C57" s="16" t="s">
        <v>18</v>
      </c>
      <c r="D57" s="18">
        <v>4624.0</v>
      </c>
      <c r="E57" s="19">
        <v>44501.0</v>
      </c>
      <c r="F57" s="17">
        <v>0.0</v>
      </c>
      <c r="G57" s="20">
        <v>2021.0</v>
      </c>
      <c r="H57" s="21"/>
      <c r="I57" s="21" t="s">
        <v>45</v>
      </c>
      <c r="J57" s="21"/>
      <c r="K57" s="16" t="s">
        <v>21</v>
      </c>
      <c r="L57" s="22">
        <v>30.0</v>
      </c>
      <c r="M57" s="11">
        <v>0.0</v>
      </c>
      <c r="N57" s="23">
        <v>0.0</v>
      </c>
      <c r="O57" s="23">
        <v>900.0</v>
      </c>
      <c r="P57" s="24">
        <v>44531.0</v>
      </c>
      <c r="Q57" s="23">
        <v>1800.0</v>
      </c>
      <c r="R57" s="25"/>
      <c r="S57" s="26">
        <v>44562.0</v>
      </c>
      <c r="T57" s="16" t="b">
        <v>1</v>
      </c>
    </row>
    <row r="58" hidden="1">
      <c r="A58" s="13" t="s">
        <v>135</v>
      </c>
      <c r="B58" s="5">
        <v>2800.0</v>
      </c>
      <c r="C58" s="4" t="s">
        <v>18</v>
      </c>
      <c r="D58" s="6">
        <v>4625.0</v>
      </c>
      <c r="E58" s="7">
        <v>44530.0</v>
      </c>
      <c r="F58" s="5">
        <v>0.0</v>
      </c>
      <c r="G58" s="8">
        <v>2021.0</v>
      </c>
      <c r="H58" s="9"/>
      <c r="I58" s="9" t="s">
        <v>31</v>
      </c>
      <c r="J58" s="9" t="s">
        <v>136</v>
      </c>
      <c r="K58" s="5" t="s">
        <v>21</v>
      </c>
      <c r="L58" s="4"/>
      <c r="M58" s="11">
        <v>0.0</v>
      </c>
      <c r="N58" s="12">
        <v>0.0</v>
      </c>
      <c r="O58" s="12">
        <v>2800.0</v>
      </c>
      <c r="P58" s="13">
        <v>44530.0</v>
      </c>
      <c r="Q58" s="12">
        <v>2800.0</v>
      </c>
      <c r="R58" s="9"/>
      <c r="S58" s="15">
        <v>44531.0</v>
      </c>
      <c r="T58" s="4" t="b">
        <v>1</v>
      </c>
    </row>
    <row r="59" hidden="1">
      <c r="A59" s="16" t="s">
        <v>137</v>
      </c>
      <c r="B59" s="17">
        <v>3000.0</v>
      </c>
      <c r="C59" s="16" t="s">
        <v>18</v>
      </c>
      <c r="D59" s="18">
        <v>4626.0</v>
      </c>
      <c r="E59" s="19">
        <v>44501.0</v>
      </c>
      <c r="F59" s="17">
        <v>0.0</v>
      </c>
      <c r="G59" s="20">
        <v>2021.0</v>
      </c>
      <c r="H59" s="21"/>
      <c r="I59" s="21" t="s">
        <v>31</v>
      </c>
      <c r="J59" s="21" t="s">
        <v>138</v>
      </c>
      <c r="K59" s="16" t="s">
        <v>21</v>
      </c>
      <c r="L59" s="22">
        <v>30.0</v>
      </c>
      <c r="M59" s="11">
        <v>0.0</v>
      </c>
      <c r="N59" s="23">
        <v>0.0</v>
      </c>
      <c r="O59" s="23">
        <v>3000.0</v>
      </c>
      <c r="P59" s="24">
        <v>44531.0</v>
      </c>
      <c r="Q59" s="23">
        <v>6000.0</v>
      </c>
      <c r="R59" s="25"/>
      <c r="S59" s="26">
        <v>44531.0</v>
      </c>
      <c r="T59" s="16" t="b">
        <v>1</v>
      </c>
    </row>
    <row r="60" hidden="1">
      <c r="A60" s="4" t="s">
        <v>62</v>
      </c>
      <c r="B60" s="5">
        <v>1600.0</v>
      </c>
      <c r="C60" s="4" t="s">
        <v>18</v>
      </c>
      <c r="D60" s="6">
        <v>4627.0</v>
      </c>
      <c r="E60" s="7">
        <v>44501.0</v>
      </c>
      <c r="F60" s="5">
        <v>49.78</v>
      </c>
      <c r="G60" s="8">
        <v>2021.11</v>
      </c>
      <c r="H60" s="9" t="s">
        <v>27</v>
      </c>
      <c r="I60" s="9" t="s">
        <v>52</v>
      </c>
      <c r="J60" s="9" t="s">
        <v>63</v>
      </c>
      <c r="K60" s="4" t="s">
        <v>21</v>
      </c>
      <c r="L60" s="10">
        <v>30.0</v>
      </c>
      <c r="M60" s="11">
        <v>0.0</v>
      </c>
      <c r="N60" s="12">
        <v>0.0</v>
      </c>
      <c r="O60" s="12">
        <v>1550.22</v>
      </c>
      <c r="P60" s="13">
        <v>44531.0</v>
      </c>
      <c r="Q60" s="12">
        <v>1600.0</v>
      </c>
      <c r="R60" s="14"/>
      <c r="S60" s="15">
        <v>44531.0</v>
      </c>
      <c r="T60" s="4" t="b">
        <v>1</v>
      </c>
    </row>
    <row r="61" hidden="1">
      <c r="A61" s="16" t="s">
        <v>68</v>
      </c>
      <c r="B61" s="17">
        <v>650.0</v>
      </c>
      <c r="C61" s="16" t="s">
        <v>18</v>
      </c>
      <c r="D61" s="18">
        <v>4628.0</v>
      </c>
      <c r="E61" s="19">
        <v>44501.0</v>
      </c>
      <c r="F61" s="17">
        <v>20.09</v>
      </c>
      <c r="G61" s="20">
        <v>2021.11</v>
      </c>
      <c r="H61" s="21" t="s">
        <v>27</v>
      </c>
      <c r="I61" s="21" t="s">
        <v>52</v>
      </c>
      <c r="J61" s="21" t="s">
        <v>69</v>
      </c>
      <c r="K61" s="16" t="s">
        <v>21</v>
      </c>
      <c r="L61" s="22">
        <v>30.0</v>
      </c>
      <c r="M61" s="11">
        <v>0.0</v>
      </c>
      <c r="N61" s="23">
        <v>0.0</v>
      </c>
      <c r="O61" s="23">
        <v>629.91</v>
      </c>
      <c r="P61" s="24">
        <v>44531.0</v>
      </c>
      <c r="Q61" s="23">
        <v>650.0</v>
      </c>
      <c r="R61" s="25"/>
      <c r="S61" s="26">
        <v>44531.0</v>
      </c>
      <c r="T61" s="16" t="b">
        <v>1</v>
      </c>
    </row>
    <row r="62" hidden="1">
      <c r="A62" s="4" t="s">
        <v>64</v>
      </c>
      <c r="B62" s="5">
        <v>500.0</v>
      </c>
      <c r="C62" s="4" t="s">
        <v>18</v>
      </c>
      <c r="D62" s="6">
        <v>4629.0</v>
      </c>
      <c r="E62" s="7">
        <v>44501.0</v>
      </c>
      <c r="F62" s="5">
        <v>15.56</v>
      </c>
      <c r="G62" s="8">
        <v>2021.11</v>
      </c>
      <c r="H62" s="9" t="s">
        <v>51</v>
      </c>
      <c r="I62" s="9" t="s">
        <v>52</v>
      </c>
      <c r="J62" s="9" t="s">
        <v>65</v>
      </c>
      <c r="K62" s="4" t="s">
        <v>21</v>
      </c>
      <c r="L62" s="10">
        <v>15.0</v>
      </c>
      <c r="M62" s="11">
        <v>0.0</v>
      </c>
      <c r="N62" s="12">
        <v>0.0</v>
      </c>
      <c r="O62" s="12">
        <v>484.44</v>
      </c>
      <c r="P62" s="13">
        <v>44516.0</v>
      </c>
      <c r="Q62" s="12">
        <v>500.0</v>
      </c>
      <c r="R62" s="14"/>
      <c r="S62" s="15">
        <v>44562.0</v>
      </c>
      <c r="T62" s="4" t="b">
        <v>1</v>
      </c>
    </row>
    <row r="63" hidden="1">
      <c r="A63" s="16" t="s">
        <v>37</v>
      </c>
      <c r="B63" s="17">
        <v>2300.0</v>
      </c>
      <c r="C63" s="16" t="s">
        <v>18</v>
      </c>
      <c r="D63" s="18">
        <v>4650.0</v>
      </c>
      <c r="E63" s="19">
        <v>44530.0</v>
      </c>
      <c r="F63" s="17">
        <v>0.0</v>
      </c>
      <c r="G63" s="20">
        <v>2021.0</v>
      </c>
      <c r="H63" s="21"/>
      <c r="I63" s="21" t="s">
        <v>45</v>
      </c>
      <c r="J63" s="21" t="s">
        <v>139</v>
      </c>
      <c r="K63" s="16" t="s">
        <v>21</v>
      </c>
      <c r="L63" s="22">
        <v>30.0</v>
      </c>
      <c r="M63" s="11">
        <v>0.0</v>
      </c>
      <c r="N63" s="23">
        <v>0.0</v>
      </c>
      <c r="O63" s="23">
        <v>2300.0</v>
      </c>
      <c r="P63" s="24">
        <v>44560.0</v>
      </c>
      <c r="Q63" s="23">
        <v>5350.0</v>
      </c>
      <c r="R63" s="21" t="s">
        <v>140</v>
      </c>
      <c r="S63" s="26">
        <v>44531.0</v>
      </c>
      <c r="T63" s="16" t="b">
        <v>1</v>
      </c>
    </row>
    <row r="64" hidden="1">
      <c r="A64" s="4" t="s">
        <v>141</v>
      </c>
      <c r="B64" s="5">
        <v>600.0</v>
      </c>
      <c r="C64" s="4" t="s">
        <v>18</v>
      </c>
      <c r="D64" s="6">
        <v>4651.0</v>
      </c>
      <c r="E64" s="7">
        <v>44501.0</v>
      </c>
      <c r="F64" s="5">
        <v>0.0</v>
      </c>
      <c r="G64" s="8">
        <v>2021.0</v>
      </c>
      <c r="H64" s="9"/>
      <c r="I64" s="9" t="s">
        <v>142</v>
      </c>
      <c r="J64" s="9" t="s">
        <v>143</v>
      </c>
      <c r="K64" s="4" t="s">
        <v>21</v>
      </c>
      <c r="L64" s="10">
        <v>30.0</v>
      </c>
      <c r="M64" s="11">
        <v>0.0</v>
      </c>
      <c r="N64" s="12">
        <v>0.0</v>
      </c>
      <c r="O64" s="12">
        <v>600.0</v>
      </c>
      <c r="P64" s="13">
        <v>44531.0</v>
      </c>
      <c r="Q64" s="12">
        <v>600.0</v>
      </c>
      <c r="R64" s="14"/>
      <c r="S64" s="15">
        <v>44531.0</v>
      </c>
      <c r="T64" s="4" t="b">
        <v>1</v>
      </c>
    </row>
    <row r="65" hidden="1">
      <c r="A65" s="16" t="s">
        <v>144</v>
      </c>
      <c r="B65" s="17">
        <v>905.0</v>
      </c>
      <c r="C65" s="16" t="s">
        <v>18</v>
      </c>
      <c r="D65" s="18">
        <v>4652.0</v>
      </c>
      <c r="E65" s="19">
        <v>44501.0</v>
      </c>
      <c r="F65" s="17">
        <v>0.0</v>
      </c>
      <c r="G65" s="20">
        <v>2021.11</v>
      </c>
      <c r="H65" s="21" t="s">
        <v>51</v>
      </c>
      <c r="I65" s="21" t="s">
        <v>52</v>
      </c>
      <c r="J65" s="21" t="s">
        <v>145</v>
      </c>
      <c r="K65" s="16" t="s">
        <v>21</v>
      </c>
      <c r="L65" s="22">
        <v>30.0</v>
      </c>
      <c r="M65" s="11">
        <v>0.0</v>
      </c>
      <c r="N65" s="23">
        <v>0.0</v>
      </c>
      <c r="O65" s="23">
        <v>905.0</v>
      </c>
      <c r="P65" s="24">
        <v>44531.0</v>
      </c>
      <c r="Q65" s="23">
        <v>905.0</v>
      </c>
      <c r="R65" s="25"/>
      <c r="S65" s="26">
        <v>44562.0</v>
      </c>
      <c r="T65" s="16" t="b">
        <v>1</v>
      </c>
    </row>
    <row r="66" hidden="1">
      <c r="A66" s="4" t="s">
        <v>73</v>
      </c>
      <c r="B66" s="5">
        <v>700.0</v>
      </c>
      <c r="C66" s="4" t="s">
        <v>18</v>
      </c>
      <c r="D66" s="32">
        <v>4653.0</v>
      </c>
      <c r="E66" s="7">
        <v>44530.0</v>
      </c>
      <c r="F66" s="5">
        <v>0.0</v>
      </c>
      <c r="G66" s="8">
        <v>2021.11</v>
      </c>
      <c r="H66" s="9" t="s">
        <v>51</v>
      </c>
      <c r="I66" s="9" t="s">
        <v>52</v>
      </c>
      <c r="J66" s="9" t="s">
        <v>74</v>
      </c>
      <c r="K66" s="4" t="s">
        <v>21</v>
      </c>
      <c r="L66" s="10">
        <v>30.0</v>
      </c>
      <c r="M66" s="11">
        <v>0.0</v>
      </c>
      <c r="N66" s="12">
        <v>0.0</v>
      </c>
      <c r="O66" s="12">
        <v>700.0</v>
      </c>
      <c r="P66" s="13">
        <v>44560.0</v>
      </c>
      <c r="Q66" s="12">
        <v>700.0</v>
      </c>
      <c r="R66" s="14"/>
      <c r="S66" s="15">
        <v>44531.0</v>
      </c>
      <c r="T66" s="4" t="b">
        <v>1</v>
      </c>
    </row>
    <row r="67" hidden="1">
      <c r="A67" s="16" t="s">
        <v>75</v>
      </c>
      <c r="B67" s="17">
        <v>500.0</v>
      </c>
      <c r="C67" s="16" t="s">
        <v>18</v>
      </c>
      <c r="D67" s="18">
        <v>4654.0</v>
      </c>
      <c r="E67" s="19">
        <v>44501.0</v>
      </c>
      <c r="F67" s="17">
        <v>0.0</v>
      </c>
      <c r="G67" s="20">
        <v>2021.11</v>
      </c>
      <c r="H67" s="21" t="s">
        <v>51</v>
      </c>
      <c r="I67" s="21" t="s">
        <v>52</v>
      </c>
      <c r="J67" s="21" t="s">
        <v>76</v>
      </c>
      <c r="K67" s="16" t="s">
        <v>21</v>
      </c>
      <c r="L67" s="22">
        <v>30.0</v>
      </c>
      <c r="M67" s="11">
        <v>0.0</v>
      </c>
      <c r="N67" s="23">
        <v>0.0</v>
      </c>
      <c r="O67" s="23">
        <v>500.0</v>
      </c>
      <c r="P67" s="24">
        <v>44531.0</v>
      </c>
      <c r="Q67" s="23">
        <v>500.0</v>
      </c>
      <c r="R67" s="25"/>
      <c r="S67" s="26">
        <v>44562.0</v>
      </c>
      <c r="T67" s="16" t="b">
        <v>1</v>
      </c>
    </row>
    <row r="68" hidden="1">
      <c r="A68" s="4" t="s">
        <v>77</v>
      </c>
      <c r="B68" s="5">
        <v>495.0</v>
      </c>
      <c r="C68" s="4" t="s">
        <v>18</v>
      </c>
      <c r="D68" s="6">
        <v>4655.0</v>
      </c>
      <c r="E68" s="7">
        <v>44501.0</v>
      </c>
      <c r="F68" s="5">
        <v>15.4</v>
      </c>
      <c r="G68" s="8">
        <v>2021.11</v>
      </c>
      <c r="H68" s="9" t="s">
        <v>51</v>
      </c>
      <c r="I68" s="9" t="s">
        <v>52</v>
      </c>
      <c r="J68" s="9" t="s">
        <v>78</v>
      </c>
      <c r="K68" s="4" t="s">
        <v>21</v>
      </c>
      <c r="L68" s="10">
        <v>15.0</v>
      </c>
      <c r="M68" s="11">
        <v>0.0</v>
      </c>
      <c r="N68" s="12">
        <v>0.0</v>
      </c>
      <c r="O68" s="12">
        <v>479.6</v>
      </c>
      <c r="P68" s="13">
        <v>44516.0</v>
      </c>
      <c r="Q68" s="12">
        <v>495.0</v>
      </c>
      <c r="R68" s="14"/>
      <c r="S68" s="15">
        <v>44531.0</v>
      </c>
      <c r="T68" s="4" t="b">
        <v>1</v>
      </c>
    </row>
    <row r="69" hidden="1">
      <c r="A69" s="16" t="s">
        <v>79</v>
      </c>
      <c r="B69" s="17">
        <v>1200.0</v>
      </c>
      <c r="C69" s="16" t="s">
        <v>18</v>
      </c>
      <c r="D69" s="18">
        <v>4656.0</v>
      </c>
      <c r="E69" s="19">
        <v>44501.0</v>
      </c>
      <c r="F69" s="17">
        <v>37.33</v>
      </c>
      <c r="G69" s="20">
        <v>2021.11</v>
      </c>
      <c r="H69" s="21" t="s">
        <v>51</v>
      </c>
      <c r="I69" s="21" t="s">
        <v>52</v>
      </c>
      <c r="J69" s="21" t="s">
        <v>80</v>
      </c>
      <c r="K69" s="16" t="s">
        <v>21</v>
      </c>
      <c r="L69" s="22">
        <v>30.0</v>
      </c>
      <c r="M69" s="11">
        <v>0.0</v>
      </c>
      <c r="N69" s="23">
        <v>0.0</v>
      </c>
      <c r="O69" s="23">
        <v>1162.67</v>
      </c>
      <c r="P69" s="24">
        <v>44531.0</v>
      </c>
      <c r="Q69" s="23">
        <v>1200.0</v>
      </c>
      <c r="R69" s="25"/>
      <c r="S69" s="26">
        <v>44531.0</v>
      </c>
      <c r="T69" s="16" t="b">
        <v>1</v>
      </c>
    </row>
    <row r="70" hidden="1">
      <c r="A70" s="4" t="s">
        <v>50</v>
      </c>
      <c r="B70" s="5">
        <v>375.0</v>
      </c>
      <c r="C70" s="4" t="s">
        <v>18</v>
      </c>
      <c r="D70" s="6">
        <v>4657.0</v>
      </c>
      <c r="E70" s="7">
        <v>44501.0</v>
      </c>
      <c r="F70" s="5">
        <v>0.0</v>
      </c>
      <c r="G70" s="8">
        <v>2021.11</v>
      </c>
      <c r="H70" s="9" t="s">
        <v>51</v>
      </c>
      <c r="I70" s="9" t="s">
        <v>52</v>
      </c>
      <c r="J70" s="9" t="s">
        <v>53</v>
      </c>
      <c r="K70" s="4" t="s">
        <v>21</v>
      </c>
      <c r="L70" s="10">
        <v>30.0</v>
      </c>
      <c r="M70" s="11">
        <v>0.0</v>
      </c>
      <c r="N70" s="12">
        <v>0.0</v>
      </c>
      <c r="O70" s="12">
        <v>375.0</v>
      </c>
      <c r="P70" s="13">
        <v>44531.0</v>
      </c>
      <c r="Q70" s="12">
        <v>375.0</v>
      </c>
      <c r="R70" s="14"/>
      <c r="S70" s="15">
        <v>44531.0</v>
      </c>
      <c r="T70" s="4" t="b">
        <v>1</v>
      </c>
    </row>
    <row r="71" hidden="1">
      <c r="A71" s="16" t="s">
        <v>54</v>
      </c>
      <c r="B71" s="17">
        <v>750.0</v>
      </c>
      <c r="C71" s="16" t="s">
        <v>18</v>
      </c>
      <c r="D71" s="33">
        <v>4658.0</v>
      </c>
      <c r="E71" s="19">
        <v>44501.0</v>
      </c>
      <c r="F71" s="17">
        <v>23.33</v>
      </c>
      <c r="G71" s="20">
        <v>2021.11</v>
      </c>
      <c r="H71" s="21" t="s">
        <v>51</v>
      </c>
      <c r="I71" s="21" t="s">
        <v>52</v>
      </c>
      <c r="J71" s="21" t="s">
        <v>55</v>
      </c>
      <c r="K71" s="16" t="s">
        <v>21</v>
      </c>
      <c r="L71" s="22">
        <v>30.0</v>
      </c>
      <c r="M71" s="11">
        <v>0.0</v>
      </c>
      <c r="N71" s="23">
        <v>0.0</v>
      </c>
      <c r="O71" s="23">
        <v>726.67</v>
      </c>
      <c r="P71" s="24">
        <v>44531.0</v>
      </c>
      <c r="Q71" s="23">
        <v>750.0</v>
      </c>
      <c r="R71" s="25"/>
      <c r="S71" s="26">
        <v>44531.0</v>
      </c>
      <c r="T71" s="16" t="b">
        <v>1</v>
      </c>
    </row>
    <row r="72" hidden="1">
      <c r="A72" s="4" t="s">
        <v>81</v>
      </c>
      <c r="B72" s="5">
        <v>1200.0</v>
      </c>
      <c r="C72" s="4" t="s">
        <v>18</v>
      </c>
      <c r="D72" s="6">
        <v>4659.0</v>
      </c>
      <c r="E72" s="7">
        <v>44501.0</v>
      </c>
      <c r="F72" s="5">
        <v>0.0</v>
      </c>
      <c r="G72" s="8">
        <v>2021.11</v>
      </c>
      <c r="H72" s="9" t="s">
        <v>51</v>
      </c>
      <c r="I72" s="9" t="s">
        <v>52</v>
      </c>
      <c r="J72" s="9" t="s">
        <v>38</v>
      </c>
      <c r="K72" s="4" t="s">
        <v>21</v>
      </c>
      <c r="L72" s="10">
        <v>30.0</v>
      </c>
      <c r="M72" s="11">
        <v>0.0</v>
      </c>
      <c r="N72" s="12">
        <v>0.0</v>
      </c>
      <c r="O72" s="12">
        <v>1200.0</v>
      </c>
      <c r="P72" s="13">
        <v>44531.0</v>
      </c>
      <c r="Q72" s="12">
        <v>1200.0</v>
      </c>
      <c r="R72" s="14"/>
      <c r="S72" s="15">
        <v>44531.0</v>
      </c>
      <c r="T72" s="4" t="b">
        <v>1</v>
      </c>
    </row>
    <row r="73" hidden="1">
      <c r="A73" s="16" t="s">
        <v>42</v>
      </c>
      <c r="B73" s="17">
        <v>1500.0</v>
      </c>
      <c r="C73" s="16" t="s">
        <v>18</v>
      </c>
      <c r="D73" s="18">
        <v>4660.0</v>
      </c>
      <c r="E73" s="19">
        <v>44501.0</v>
      </c>
      <c r="F73" s="17">
        <v>46.67</v>
      </c>
      <c r="G73" s="20">
        <v>2021.11</v>
      </c>
      <c r="H73" s="21" t="s">
        <v>51</v>
      </c>
      <c r="I73" s="21" t="s">
        <v>52</v>
      </c>
      <c r="J73" s="21" t="s">
        <v>43</v>
      </c>
      <c r="K73" s="16" t="s">
        <v>21</v>
      </c>
      <c r="L73" s="22">
        <v>30.0</v>
      </c>
      <c r="M73" s="11">
        <v>0.15</v>
      </c>
      <c r="N73" s="23">
        <v>217.99949999999998</v>
      </c>
      <c r="O73" s="23">
        <v>1235.3305</v>
      </c>
      <c r="P73" s="24">
        <v>44531.0</v>
      </c>
      <c r="Q73" s="23">
        <v>1500.0</v>
      </c>
      <c r="R73" s="25"/>
      <c r="S73" s="26">
        <v>44531.0</v>
      </c>
      <c r="T73" s="16" t="b">
        <v>1</v>
      </c>
    </row>
    <row r="74" hidden="1">
      <c r="A74" s="4" t="s">
        <v>58</v>
      </c>
      <c r="B74" s="5">
        <v>2350.0</v>
      </c>
      <c r="C74" s="4" t="s">
        <v>18</v>
      </c>
      <c r="D74" s="6">
        <v>4661.0</v>
      </c>
      <c r="E74" s="7">
        <v>44501.0</v>
      </c>
      <c r="F74" s="5">
        <v>73.11</v>
      </c>
      <c r="G74" s="8">
        <v>2021.11</v>
      </c>
      <c r="H74" s="9" t="s">
        <v>51</v>
      </c>
      <c r="I74" s="9" t="s">
        <v>52</v>
      </c>
      <c r="J74" s="9" t="s">
        <v>146</v>
      </c>
      <c r="K74" s="4" t="s">
        <v>21</v>
      </c>
      <c r="L74" s="10">
        <v>30.0</v>
      </c>
      <c r="M74" s="11">
        <v>0.0</v>
      </c>
      <c r="N74" s="12">
        <v>0.0</v>
      </c>
      <c r="O74" s="12">
        <v>2276.89</v>
      </c>
      <c r="P74" s="13">
        <v>44531.0</v>
      </c>
      <c r="Q74" s="12">
        <v>1550.0</v>
      </c>
      <c r="R74" s="14"/>
      <c r="S74" s="15">
        <v>44531.0</v>
      </c>
      <c r="T74" s="4" t="b">
        <v>1</v>
      </c>
    </row>
    <row r="75" hidden="1">
      <c r="A75" s="16" t="s">
        <v>82</v>
      </c>
      <c r="B75" s="17">
        <v>800.0</v>
      </c>
      <c r="C75" s="16" t="s">
        <v>18</v>
      </c>
      <c r="D75" s="18">
        <v>4662.0</v>
      </c>
      <c r="E75" s="19">
        <v>44501.0</v>
      </c>
      <c r="F75" s="17">
        <v>0.0</v>
      </c>
      <c r="G75" s="20">
        <v>2021.11</v>
      </c>
      <c r="H75" s="21" t="s">
        <v>51</v>
      </c>
      <c r="I75" s="21" t="s">
        <v>52</v>
      </c>
      <c r="J75" s="21" t="s">
        <v>83</v>
      </c>
      <c r="K75" s="16" t="s">
        <v>21</v>
      </c>
      <c r="L75" s="22">
        <v>30.0</v>
      </c>
      <c r="M75" s="11">
        <v>0.0</v>
      </c>
      <c r="N75" s="23">
        <v>0.0</v>
      </c>
      <c r="O75" s="23">
        <v>800.0</v>
      </c>
      <c r="P75" s="24">
        <v>44531.0</v>
      </c>
      <c r="Q75" s="23">
        <v>800.0</v>
      </c>
      <c r="R75" s="25"/>
      <c r="S75" s="26">
        <v>44531.0</v>
      </c>
      <c r="T75" s="16" t="b">
        <v>1</v>
      </c>
    </row>
    <row r="76" hidden="1">
      <c r="A76" s="4" t="s">
        <v>84</v>
      </c>
      <c r="B76" s="5">
        <v>1000.0</v>
      </c>
      <c r="C76" s="4" t="s">
        <v>18</v>
      </c>
      <c r="D76" s="6">
        <v>4663.0</v>
      </c>
      <c r="E76" s="7">
        <v>44501.0</v>
      </c>
      <c r="F76" s="5">
        <v>0.0</v>
      </c>
      <c r="G76" s="8">
        <v>2021.11</v>
      </c>
      <c r="H76" s="9" t="s">
        <v>51</v>
      </c>
      <c r="I76" s="9" t="s">
        <v>52</v>
      </c>
      <c r="J76" s="9" t="s">
        <v>85</v>
      </c>
      <c r="K76" s="4" t="s">
        <v>21</v>
      </c>
      <c r="L76" s="10">
        <v>30.0</v>
      </c>
      <c r="M76" s="11">
        <v>0.0</v>
      </c>
      <c r="N76" s="12">
        <v>0.0</v>
      </c>
      <c r="O76" s="12">
        <v>1000.0</v>
      </c>
      <c r="P76" s="13">
        <v>44531.0</v>
      </c>
      <c r="Q76" s="12">
        <v>1000.0</v>
      </c>
      <c r="R76" s="14"/>
      <c r="S76" s="15">
        <v>44531.0</v>
      </c>
      <c r="T76" s="4" t="b">
        <v>1</v>
      </c>
    </row>
    <row r="77" hidden="1">
      <c r="A77" s="16" t="s">
        <v>86</v>
      </c>
      <c r="B77" s="17">
        <v>550.0</v>
      </c>
      <c r="C77" s="16" t="s">
        <v>18</v>
      </c>
      <c r="D77" s="18">
        <v>4664.0</v>
      </c>
      <c r="E77" s="19">
        <v>44501.0</v>
      </c>
      <c r="F77" s="16">
        <v>21.67</v>
      </c>
      <c r="G77" s="20">
        <v>2021.11</v>
      </c>
      <c r="H77" s="21" t="s">
        <v>51</v>
      </c>
      <c r="I77" s="21" t="s">
        <v>52</v>
      </c>
      <c r="J77" s="21" t="s">
        <v>87</v>
      </c>
      <c r="K77" s="16" t="s">
        <v>21</v>
      </c>
      <c r="L77" s="22">
        <v>30.0</v>
      </c>
      <c r="M77" s="11">
        <v>0.0</v>
      </c>
      <c r="N77" s="23">
        <v>0.0</v>
      </c>
      <c r="O77" s="23">
        <v>528.33</v>
      </c>
      <c r="P77" s="24">
        <v>44531.0</v>
      </c>
      <c r="Q77" s="23">
        <v>550.0</v>
      </c>
      <c r="R77" s="25"/>
      <c r="S77" s="26">
        <v>44531.0</v>
      </c>
      <c r="T77" s="16" t="b">
        <v>1</v>
      </c>
    </row>
    <row r="78" hidden="1">
      <c r="A78" s="4" t="s">
        <v>88</v>
      </c>
      <c r="B78" s="5">
        <v>500.0</v>
      </c>
      <c r="C78" s="4" t="s">
        <v>18</v>
      </c>
      <c r="D78" s="6">
        <v>4665.0</v>
      </c>
      <c r="E78" s="7">
        <v>44501.0</v>
      </c>
      <c r="F78" s="4">
        <v>15.53</v>
      </c>
      <c r="G78" s="8">
        <v>2021.11</v>
      </c>
      <c r="H78" s="9" t="s">
        <v>51</v>
      </c>
      <c r="I78" s="9" t="s">
        <v>52</v>
      </c>
      <c r="J78" s="9" t="s">
        <v>89</v>
      </c>
      <c r="K78" s="4" t="s">
        <v>21</v>
      </c>
      <c r="L78" s="10">
        <v>30.0</v>
      </c>
      <c r="M78" s="11">
        <v>0.0</v>
      </c>
      <c r="N78" s="12">
        <v>0.0</v>
      </c>
      <c r="O78" s="12">
        <v>484.47</v>
      </c>
      <c r="P78" s="13">
        <v>44531.0</v>
      </c>
      <c r="Q78" s="12">
        <v>500.0</v>
      </c>
      <c r="R78" s="14"/>
      <c r="S78" s="15">
        <v>44531.0</v>
      </c>
      <c r="T78" s="4" t="b">
        <v>1</v>
      </c>
    </row>
    <row r="79" hidden="1">
      <c r="A79" s="16" t="s">
        <v>90</v>
      </c>
      <c r="B79" s="17">
        <v>250.0</v>
      </c>
      <c r="C79" s="16" t="s">
        <v>18</v>
      </c>
      <c r="D79" s="18">
        <v>4666.0</v>
      </c>
      <c r="E79" s="19">
        <v>44501.0</v>
      </c>
      <c r="F79" s="17">
        <v>7.78</v>
      </c>
      <c r="G79" s="20">
        <v>2021.11</v>
      </c>
      <c r="H79" s="21" t="s">
        <v>51</v>
      </c>
      <c r="I79" s="21" t="s">
        <v>52</v>
      </c>
      <c r="J79" s="21" t="s">
        <v>91</v>
      </c>
      <c r="K79" s="16" t="s">
        <v>21</v>
      </c>
      <c r="L79" s="22">
        <v>30.0</v>
      </c>
      <c r="M79" s="11">
        <v>0.0</v>
      </c>
      <c r="N79" s="23">
        <v>0.0</v>
      </c>
      <c r="O79" s="23">
        <v>242.22</v>
      </c>
      <c r="P79" s="24">
        <v>44531.0</v>
      </c>
      <c r="Q79" s="23">
        <v>250.0</v>
      </c>
      <c r="R79" s="25"/>
      <c r="S79" s="26">
        <v>44531.0</v>
      </c>
      <c r="T79" s="16" t="b">
        <v>1</v>
      </c>
    </row>
    <row r="80" hidden="1">
      <c r="A80" s="4" t="s">
        <v>92</v>
      </c>
      <c r="B80" s="5">
        <v>2500.0</v>
      </c>
      <c r="C80" s="4" t="s">
        <v>18</v>
      </c>
      <c r="D80" s="6">
        <v>4667.0</v>
      </c>
      <c r="E80" s="7">
        <v>44501.0</v>
      </c>
      <c r="F80" s="5">
        <v>77.78</v>
      </c>
      <c r="G80" s="8">
        <v>2021.11</v>
      </c>
      <c r="H80" s="9" t="s">
        <v>51</v>
      </c>
      <c r="I80" s="9" t="s">
        <v>52</v>
      </c>
      <c r="J80" s="9" t="s">
        <v>93</v>
      </c>
      <c r="K80" s="4" t="s">
        <v>21</v>
      </c>
      <c r="L80" s="10">
        <v>30.0</v>
      </c>
      <c r="M80" s="11">
        <v>0.0</v>
      </c>
      <c r="N80" s="12">
        <v>0.0</v>
      </c>
      <c r="O80" s="12">
        <v>2422.22</v>
      </c>
      <c r="P80" s="13">
        <v>44531.0</v>
      </c>
      <c r="Q80" s="12">
        <v>2500.0</v>
      </c>
      <c r="R80" s="14"/>
      <c r="S80" s="15">
        <v>44531.0</v>
      </c>
      <c r="T80" s="4" t="b">
        <v>1</v>
      </c>
    </row>
    <row r="81" hidden="1">
      <c r="A81" s="16" t="s">
        <v>147</v>
      </c>
      <c r="B81" s="17">
        <v>900.0</v>
      </c>
      <c r="C81" s="16" t="s">
        <v>18</v>
      </c>
      <c r="D81" s="18">
        <v>4668.0</v>
      </c>
      <c r="E81" s="19">
        <v>44501.0</v>
      </c>
      <c r="F81" s="17">
        <v>28.0</v>
      </c>
      <c r="G81" s="20">
        <v>2021.11</v>
      </c>
      <c r="H81" s="21" t="s">
        <v>51</v>
      </c>
      <c r="I81" s="21" t="s">
        <v>52</v>
      </c>
      <c r="J81" s="21" t="s">
        <v>95</v>
      </c>
      <c r="K81" s="16" t="s">
        <v>21</v>
      </c>
      <c r="L81" s="22">
        <v>30.0</v>
      </c>
      <c r="M81" s="11">
        <v>0.0</v>
      </c>
      <c r="N81" s="23">
        <v>0.0</v>
      </c>
      <c r="O81" s="23">
        <v>872.0</v>
      </c>
      <c r="P81" s="24">
        <v>44531.0</v>
      </c>
      <c r="Q81" s="23">
        <v>900.0</v>
      </c>
      <c r="R81" s="25"/>
      <c r="S81" s="26">
        <v>44531.0</v>
      </c>
      <c r="T81" s="16" t="b">
        <v>1</v>
      </c>
    </row>
    <row r="82" hidden="1">
      <c r="A82" s="4" t="s">
        <v>97</v>
      </c>
      <c r="B82" s="5">
        <v>300.0</v>
      </c>
      <c r="C82" s="4" t="s">
        <v>18</v>
      </c>
      <c r="D82" s="6">
        <v>4669.0</v>
      </c>
      <c r="E82" s="7">
        <v>44501.0</v>
      </c>
      <c r="F82" s="5">
        <v>9.33</v>
      </c>
      <c r="G82" s="8">
        <v>2021.11</v>
      </c>
      <c r="H82" s="9" t="s">
        <v>51</v>
      </c>
      <c r="I82" s="9" t="s">
        <v>52</v>
      </c>
      <c r="J82" s="9" t="s">
        <v>98</v>
      </c>
      <c r="K82" s="4" t="s">
        <v>21</v>
      </c>
      <c r="L82" s="10">
        <v>30.0</v>
      </c>
      <c r="M82" s="11">
        <v>0.0</v>
      </c>
      <c r="N82" s="12">
        <v>0.0</v>
      </c>
      <c r="O82" s="12">
        <v>290.67</v>
      </c>
      <c r="P82" s="13">
        <v>44531.0</v>
      </c>
      <c r="Q82" s="12">
        <v>300.0</v>
      </c>
      <c r="R82" s="14"/>
      <c r="S82" s="15">
        <v>44531.0</v>
      </c>
      <c r="T82" s="4" t="b">
        <v>1</v>
      </c>
    </row>
    <row r="83" hidden="1">
      <c r="A83" s="16" t="s">
        <v>60</v>
      </c>
      <c r="B83" s="17">
        <v>2650.0</v>
      </c>
      <c r="C83" s="16" t="s">
        <v>18</v>
      </c>
      <c r="D83" s="18">
        <v>4733.0</v>
      </c>
      <c r="E83" s="19">
        <v>44531.0</v>
      </c>
      <c r="F83" s="17">
        <v>82.44</v>
      </c>
      <c r="G83" s="20">
        <v>2021.0</v>
      </c>
      <c r="H83" s="21"/>
      <c r="I83" s="21" t="s">
        <v>45</v>
      </c>
      <c r="J83" s="21" t="s">
        <v>61</v>
      </c>
      <c r="K83" s="16" t="s">
        <v>21</v>
      </c>
      <c r="L83" s="22">
        <v>30.0</v>
      </c>
      <c r="M83" s="11">
        <v>0.0</v>
      </c>
      <c r="N83" s="23">
        <v>0.0</v>
      </c>
      <c r="O83" s="23">
        <v>2567.56</v>
      </c>
      <c r="P83" s="24">
        <v>44561.0</v>
      </c>
      <c r="Q83" s="23">
        <v>5300.0</v>
      </c>
      <c r="R83" s="25"/>
      <c r="S83" s="26">
        <v>44531.0</v>
      </c>
      <c r="T83" s="16" t="b">
        <v>1</v>
      </c>
    </row>
    <row r="84" hidden="1">
      <c r="A84" s="4" t="s">
        <v>148</v>
      </c>
      <c r="B84" s="5">
        <v>599.0</v>
      </c>
      <c r="C84" s="4" t="s">
        <v>18</v>
      </c>
      <c r="D84" s="6">
        <v>4734.0</v>
      </c>
      <c r="E84" s="7">
        <v>44531.0</v>
      </c>
      <c r="F84" s="5">
        <v>18.67</v>
      </c>
      <c r="G84" s="8">
        <v>2021.0</v>
      </c>
      <c r="H84" s="9"/>
      <c r="I84" s="9" t="s">
        <v>142</v>
      </c>
      <c r="J84" s="9" t="s">
        <v>143</v>
      </c>
      <c r="K84" s="4" t="s">
        <v>21</v>
      </c>
      <c r="L84" s="10">
        <v>30.0</v>
      </c>
      <c r="M84" s="11">
        <v>0.0</v>
      </c>
      <c r="N84" s="12">
        <v>0.0</v>
      </c>
      <c r="O84" s="12">
        <v>580.33</v>
      </c>
      <c r="P84" s="13">
        <v>44561.0</v>
      </c>
      <c r="Q84" s="12">
        <v>599.0</v>
      </c>
      <c r="R84" s="14"/>
      <c r="S84" s="15">
        <v>44531.0</v>
      </c>
      <c r="T84" s="4" t="b">
        <v>1</v>
      </c>
    </row>
    <row r="85" hidden="1">
      <c r="A85" s="16" t="s">
        <v>149</v>
      </c>
      <c r="B85" s="17">
        <v>600.0</v>
      </c>
      <c r="C85" s="16" t="s">
        <v>18</v>
      </c>
      <c r="D85" s="18">
        <v>4735.0</v>
      </c>
      <c r="E85" s="19">
        <v>44531.0</v>
      </c>
      <c r="F85" s="17">
        <v>18.67</v>
      </c>
      <c r="G85" s="20">
        <v>2021.0</v>
      </c>
      <c r="H85" s="21"/>
      <c r="I85" s="21" t="s">
        <v>142</v>
      </c>
      <c r="J85" s="21" t="s">
        <v>143</v>
      </c>
      <c r="K85" s="16" t="s">
        <v>21</v>
      </c>
      <c r="L85" s="22">
        <v>30.0</v>
      </c>
      <c r="M85" s="11">
        <v>0.0</v>
      </c>
      <c r="N85" s="23">
        <v>0.0</v>
      </c>
      <c r="O85" s="23">
        <v>581.33</v>
      </c>
      <c r="P85" s="24">
        <v>44561.0</v>
      </c>
      <c r="Q85" s="23">
        <v>600.0</v>
      </c>
      <c r="R85" s="25"/>
      <c r="S85" s="26">
        <v>44531.0</v>
      </c>
      <c r="T85" s="16" t="b">
        <v>1</v>
      </c>
    </row>
    <row r="86" hidden="1">
      <c r="A86" s="4" t="s">
        <v>62</v>
      </c>
      <c r="B86" s="5">
        <v>1600.0</v>
      </c>
      <c r="C86" s="4" t="s">
        <v>18</v>
      </c>
      <c r="D86" s="6">
        <v>4736.0</v>
      </c>
      <c r="E86" s="7">
        <v>44545.0</v>
      </c>
      <c r="F86" s="5">
        <v>49.78</v>
      </c>
      <c r="G86" s="8">
        <v>2021.12</v>
      </c>
      <c r="H86" s="9" t="s">
        <v>27</v>
      </c>
      <c r="I86" s="9" t="s">
        <v>52</v>
      </c>
      <c r="J86" s="9" t="s">
        <v>63</v>
      </c>
      <c r="K86" s="4" t="s">
        <v>21</v>
      </c>
      <c r="L86" s="10">
        <v>30.0</v>
      </c>
      <c r="M86" s="11">
        <v>0.0</v>
      </c>
      <c r="N86" s="12">
        <v>0.0</v>
      </c>
      <c r="O86" s="12">
        <v>1550.22</v>
      </c>
      <c r="P86" s="13">
        <v>44575.0</v>
      </c>
      <c r="Q86" s="12">
        <v>1600.0</v>
      </c>
      <c r="R86" s="14"/>
      <c r="S86" s="15">
        <v>44562.0</v>
      </c>
      <c r="T86" s="4" t="b">
        <v>1</v>
      </c>
    </row>
    <row r="87" hidden="1">
      <c r="A87" s="16" t="s">
        <v>68</v>
      </c>
      <c r="B87" s="17">
        <v>650.0</v>
      </c>
      <c r="C87" s="16" t="s">
        <v>18</v>
      </c>
      <c r="D87" s="18">
        <v>4737.0</v>
      </c>
      <c r="E87" s="19">
        <v>44545.0</v>
      </c>
      <c r="F87" s="17">
        <v>20.09</v>
      </c>
      <c r="G87" s="20">
        <v>2021.12</v>
      </c>
      <c r="H87" s="21" t="s">
        <v>27</v>
      </c>
      <c r="I87" s="21" t="s">
        <v>52</v>
      </c>
      <c r="J87" s="21" t="s">
        <v>69</v>
      </c>
      <c r="K87" s="16" t="s">
        <v>21</v>
      </c>
      <c r="L87" s="22">
        <v>30.0</v>
      </c>
      <c r="M87" s="11">
        <v>0.0</v>
      </c>
      <c r="N87" s="23">
        <v>0.0</v>
      </c>
      <c r="O87" s="23">
        <v>629.91</v>
      </c>
      <c r="P87" s="24">
        <v>44575.0</v>
      </c>
      <c r="Q87" s="23">
        <v>650.0</v>
      </c>
      <c r="R87" s="25"/>
      <c r="S87" s="26">
        <v>44531.0</v>
      </c>
      <c r="T87" s="16" t="b">
        <v>1</v>
      </c>
    </row>
    <row r="88">
      <c r="A88" s="4" t="s">
        <v>64</v>
      </c>
      <c r="B88" s="5">
        <v>500.0</v>
      </c>
      <c r="C88" s="4" t="s">
        <v>47</v>
      </c>
      <c r="D88" s="6">
        <v>4738.0</v>
      </c>
      <c r="E88" s="7">
        <v>44531.0</v>
      </c>
      <c r="F88" s="34"/>
      <c r="G88" s="8">
        <v>2021.12</v>
      </c>
      <c r="H88" s="9" t="s">
        <v>51</v>
      </c>
      <c r="I88" s="9" t="s">
        <v>52</v>
      </c>
      <c r="J88" s="9" t="s">
        <v>65</v>
      </c>
      <c r="K88" s="4" t="s">
        <v>21</v>
      </c>
      <c r="L88" s="10">
        <v>15.0</v>
      </c>
      <c r="M88" s="11">
        <v>0.0</v>
      </c>
      <c r="N88" s="12">
        <v>0.0</v>
      </c>
      <c r="O88" s="12">
        <v>500.0</v>
      </c>
      <c r="P88" s="13">
        <v>44546.0</v>
      </c>
      <c r="Q88" s="12">
        <v>500.0</v>
      </c>
      <c r="R88" s="9" t="s">
        <v>150</v>
      </c>
      <c r="S88" s="15"/>
      <c r="T88" s="4" t="b">
        <v>1</v>
      </c>
    </row>
    <row r="89" hidden="1">
      <c r="A89" s="16" t="s">
        <v>151</v>
      </c>
      <c r="B89" s="17">
        <v>798.5912999999999</v>
      </c>
      <c r="C89" s="16" t="s">
        <v>18</v>
      </c>
      <c r="D89" s="18" t="s">
        <v>152</v>
      </c>
      <c r="E89" s="19">
        <v>44470.0</v>
      </c>
      <c r="F89" s="35">
        <v>29.9164587</v>
      </c>
      <c r="G89" s="20">
        <v>2021.1</v>
      </c>
      <c r="H89" s="21" t="s">
        <v>51</v>
      </c>
      <c r="I89" s="21" t="s">
        <v>52</v>
      </c>
      <c r="J89" s="21" t="s">
        <v>122</v>
      </c>
      <c r="K89" s="16" t="s">
        <v>9</v>
      </c>
      <c r="L89" s="22">
        <v>30.0</v>
      </c>
      <c r="M89" s="11">
        <v>0.0</v>
      </c>
      <c r="N89" s="23">
        <v>0.0</v>
      </c>
      <c r="O89" s="23">
        <v>768.6748412999999</v>
      </c>
      <c r="P89" s="24">
        <v>44500.0</v>
      </c>
      <c r="Q89" s="23">
        <v>600.0</v>
      </c>
      <c r="R89" s="25"/>
      <c r="S89" s="26">
        <v>44531.0</v>
      </c>
      <c r="T89" s="16" t="b">
        <v>1</v>
      </c>
    </row>
    <row r="90" hidden="1">
      <c r="A90" s="4" t="s">
        <v>105</v>
      </c>
      <c r="B90" s="5">
        <v>360.37</v>
      </c>
      <c r="C90" s="4" t="s">
        <v>18</v>
      </c>
      <c r="D90" s="6" t="s">
        <v>153</v>
      </c>
      <c r="E90" s="7">
        <v>44501.0</v>
      </c>
      <c r="F90" s="5">
        <v>13.69</v>
      </c>
      <c r="G90" s="8">
        <v>2021.0</v>
      </c>
      <c r="H90" s="9"/>
      <c r="I90" s="9" t="s">
        <v>142</v>
      </c>
      <c r="J90" s="9" t="s">
        <v>154</v>
      </c>
      <c r="K90" s="4" t="s">
        <v>9</v>
      </c>
      <c r="L90" s="10">
        <v>30.0</v>
      </c>
      <c r="M90" s="11">
        <v>0.0</v>
      </c>
      <c r="N90" s="12">
        <v>0.0</v>
      </c>
      <c r="O90" s="12">
        <v>346.68</v>
      </c>
      <c r="P90" s="13">
        <v>44531.0</v>
      </c>
      <c r="Q90" s="12">
        <v>300.0</v>
      </c>
      <c r="R90" s="9" t="s">
        <v>155</v>
      </c>
      <c r="S90" s="15">
        <v>44531.0</v>
      </c>
      <c r="T90" s="4" t="b">
        <v>1</v>
      </c>
    </row>
    <row r="91" hidden="1">
      <c r="A91" s="16" t="s">
        <v>156</v>
      </c>
      <c r="B91" s="17">
        <v>544.24</v>
      </c>
      <c r="C91" s="16" t="s">
        <v>18</v>
      </c>
      <c r="D91" s="18" t="s">
        <v>157</v>
      </c>
      <c r="E91" s="19">
        <v>44501.0</v>
      </c>
      <c r="F91" s="17">
        <v>20.5</v>
      </c>
      <c r="G91" s="20">
        <v>2021.11</v>
      </c>
      <c r="H91" s="21" t="s">
        <v>27</v>
      </c>
      <c r="I91" s="21" t="s">
        <v>52</v>
      </c>
      <c r="J91" s="21" t="s">
        <v>158</v>
      </c>
      <c r="K91" s="16" t="s">
        <v>9</v>
      </c>
      <c r="L91" s="22">
        <v>30.0</v>
      </c>
      <c r="M91" s="11">
        <v>0.2</v>
      </c>
      <c r="N91" s="23">
        <v>104.748</v>
      </c>
      <c r="O91" s="23">
        <v>418.992</v>
      </c>
      <c r="P91" s="24">
        <v>44531.0</v>
      </c>
      <c r="Q91" s="23">
        <v>500.0</v>
      </c>
      <c r="R91" s="25"/>
      <c r="S91" s="26">
        <v>44531.0</v>
      </c>
      <c r="T91" s="16" t="b">
        <v>1</v>
      </c>
    </row>
    <row r="92" hidden="1">
      <c r="A92" s="4" t="s">
        <v>159</v>
      </c>
      <c r="B92" s="5">
        <v>1177.62</v>
      </c>
      <c r="C92" s="4" t="s">
        <v>18</v>
      </c>
      <c r="D92" s="6" t="s">
        <v>160</v>
      </c>
      <c r="E92" s="7">
        <v>44501.0</v>
      </c>
      <c r="F92" s="5">
        <v>0.0</v>
      </c>
      <c r="G92" s="8">
        <v>2021.0</v>
      </c>
      <c r="H92" s="9"/>
      <c r="I92" s="9" t="s">
        <v>31</v>
      </c>
      <c r="J92" s="9" t="s">
        <v>161</v>
      </c>
      <c r="K92" s="4" t="s">
        <v>9</v>
      </c>
      <c r="L92" s="10">
        <v>30.0</v>
      </c>
      <c r="M92" s="11">
        <v>0.0</v>
      </c>
      <c r="N92" s="12">
        <v>0.0</v>
      </c>
      <c r="O92" s="12">
        <v>1177.62</v>
      </c>
      <c r="P92" s="13">
        <v>44531.0</v>
      </c>
      <c r="Q92" s="12">
        <v>1900.0</v>
      </c>
      <c r="R92" s="14"/>
      <c r="S92" s="15">
        <v>44531.0</v>
      </c>
      <c r="T92" s="4" t="b">
        <v>1</v>
      </c>
    </row>
    <row r="93" hidden="1">
      <c r="A93" s="16" t="s">
        <v>162</v>
      </c>
      <c r="B93" s="17">
        <v>1177.62</v>
      </c>
      <c r="C93" s="16" t="s">
        <v>18</v>
      </c>
      <c r="D93" s="18" t="s">
        <v>163</v>
      </c>
      <c r="E93" s="19">
        <v>44501.0</v>
      </c>
      <c r="F93" s="17">
        <v>0.0</v>
      </c>
      <c r="G93" s="20">
        <v>2021.0</v>
      </c>
      <c r="H93" s="21"/>
      <c r="I93" s="21" t="s">
        <v>31</v>
      </c>
      <c r="J93" s="21" t="s">
        <v>161</v>
      </c>
      <c r="K93" s="16" t="s">
        <v>9</v>
      </c>
      <c r="L93" s="22">
        <v>30.0</v>
      </c>
      <c r="M93" s="11">
        <v>0.0</v>
      </c>
      <c r="N93" s="23">
        <v>0.0</v>
      </c>
      <c r="O93" s="23">
        <v>1177.62</v>
      </c>
      <c r="P93" s="24">
        <v>44531.0</v>
      </c>
      <c r="Q93" s="23">
        <v>1900.0</v>
      </c>
      <c r="R93" s="25"/>
      <c r="S93" s="26">
        <v>44531.0</v>
      </c>
      <c r="T93" s="16" t="b">
        <v>1</v>
      </c>
    </row>
    <row r="94" hidden="1">
      <c r="A94" s="4" t="s">
        <v>102</v>
      </c>
      <c r="B94" s="5">
        <v>620.0</v>
      </c>
      <c r="C94" s="4" t="s">
        <v>18</v>
      </c>
      <c r="D94" s="6" t="s">
        <v>164</v>
      </c>
      <c r="E94" s="7">
        <v>44501.0</v>
      </c>
      <c r="F94" s="5">
        <v>23.3</v>
      </c>
      <c r="G94" s="8">
        <v>2021.11</v>
      </c>
      <c r="H94" s="9" t="s">
        <v>27</v>
      </c>
      <c r="I94" s="9" t="s">
        <v>52</v>
      </c>
      <c r="J94" s="9" t="s">
        <v>104</v>
      </c>
      <c r="K94" s="4" t="s">
        <v>9</v>
      </c>
      <c r="L94" s="10">
        <v>30.0</v>
      </c>
      <c r="M94" s="11">
        <v>0.0</v>
      </c>
      <c r="N94" s="12">
        <v>0.0</v>
      </c>
      <c r="O94" s="12">
        <v>596.7</v>
      </c>
      <c r="P94" s="13">
        <v>44531.0</v>
      </c>
      <c r="Q94" s="12">
        <v>599.0</v>
      </c>
      <c r="R94" s="14"/>
      <c r="S94" s="15">
        <v>44531.0</v>
      </c>
      <c r="T94" s="4" t="b">
        <v>1</v>
      </c>
    </row>
    <row r="95" hidden="1">
      <c r="A95" s="16" t="s">
        <v>99</v>
      </c>
      <c r="B95" s="17">
        <v>1581.0</v>
      </c>
      <c r="C95" s="16" t="s">
        <v>18</v>
      </c>
      <c r="D95" s="18" t="s">
        <v>165</v>
      </c>
      <c r="E95" s="19">
        <v>44501.0</v>
      </c>
      <c r="F95" s="17">
        <v>58.86</v>
      </c>
      <c r="G95" s="20">
        <v>2021.11</v>
      </c>
      <c r="H95" s="21" t="s">
        <v>27</v>
      </c>
      <c r="I95" s="21" t="s">
        <v>52</v>
      </c>
      <c r="J95" s="21" t="s">
        <v>101</v>
      </c>
      <c r="K95" s="16" t="s">
        <v>9</v>
      </c>
      <c r="L95" s="22">
        <v>30.0</v>
      </c>
      <c r="M95" s="11">
        <v>0.2</v>
      </c>
      <c r="N95" s="23">
        <v>304.42800000000005</v>
      </c>
      <c r="O95" s="23">
        <v>1217.712</v>
      </c>
      <c r="P95" s="24">
        <v>44531.0</v>
      </c>
      <c r="Q95" s="23">
        <v>1300.0</v>
      </c>
      <c r="R95" s="25"/>
      <c r="S95" s="26">
        <v>44531.0</v>
      </c>
      <c r="T95" s="16" t="b">
        <v>1</v>
      </c>
    </row>
    <row r="96" hidden="1">
      <c r="A96" s="4" t="s">
        <v>166</v>
      </c>
      <c r="B96" s="5">
        <v>1226.0</v>
      </c>
      <c r="C96" s="4" t="s">
        <v>18</v>
      </c>
      <c r="D96" s="6" t="s">
        <v>167</v>
      </c>
      <c r="E96" s="7">
        <v>44501.0</v>
      </c>
      <c r="F96" s="5">
        <v>45.75</v>
      </c>
      <c r="G96" s="8">
        <v>2021.0</v>
      </c>
      <c r="H96" s="9"/>
      <c r="I96" s="9" t="s">
        <v>31</v>
      </c>
      <c r="J96" s="9" t="s">
        <v>168</v>
      </c>
      <c r="K96" s="4" t="s">
        <v>9</v>
      </c>
      <c r="L96" s="10">
        <v>30.0</v>
      </c>
      <c r="M96" s="11">
        <v>0.0</v>
      </c>
      <c r="N96" s="12">
        <v>0.0</v>
      </c>
      <c r="O96" s="12">
        <v>1180.25</v>
      </c>
      <c r="P96" s="13">
        <v>44531.0</v>
      </c>
      <c r="Q96" s="12">
        <v>2000.0</v>
      </c>
      <c r="R96" s="14"/>
      <c r="S96" s="15">
        <v>44531.0</v>
      </c>
      <c r="T96" s="4" t="b">
        <v>1</v>
      </c>
    </row>
    <row r="97" hidden="1">
      <c r="A97" s="36" t="s">
        <v>112</v>
      </c>
      <c r="B97" s="17">
        <v>864.0</v>
      </c>
      <c r="C97" s="16" t="s">
        <v>18</v>
      </c>
      <c r="D97" s="18" t="s">
        <v>169</v>
      </c>
      <c r="E97" s="19">
        <v>44501.0</v>
      </c>
      <c r="F97" s="16">
        <v>32.34</v>
      </c>
      <c r="G97" s="20">
        <v>2021.11</v>
      </c>
      <c r="H97" s="21" t="s">
        <v>51</v>
      </c>
      <c r="I97" s="21" t="s">
        <v>52</v>
      </c>
      <c r="J97" s="21" t="s">
        <v>114</v>
      </c>
      <c r="K97" s="16" t="s">
        <v>9</v>
      </c>
      <c r="L97" s="22">
        <v>30.0</v>
      </c>
      <c r="M97" s="11">
        <v>0.0</v>
      </c>
      <c r="N97" s="23">
        <v>0.0</v>
      </c>
      <c r="O97" s="23">
        <v>831.66</v>
      </c>
      <c r="P97" s="24">
        <v>44531.0</v>
      </c>
      <c r="Q97" s="23">
        <v>350.0</v>
      </c>
      <c r="R97" s="25"/>
      <c r="S97" s="26">
        <v>44531.0</v>
      </c>
      <c r="T97" s="16" t="b">
        <v>1</v>
      </c>
    </row>
    <row r="98" hidden="1">
      <c r="A98" s="4" t="s">
        <v>115</v>
      </c>
      <c r="B98" s="5">
        <v>2451.025</v>
      </c>
      <c r="C98" s="4" t="s">
        <v>18</v>
      </c>
      <c r="D98" s="6" t="s">
        <v>170</v>
      </c>
      <c r="E98" s="7">
        <v>44501.0</v>
      </c>
      <c r="F98" s="5">
        <v>0.0</v>
      </c>
      <c r="G98" s="8">
        <v>2021.11</v>
      </c>
      <c r="H98" s="9" t="s">
        <v>51</v>
      </c>
      <c r="I98" s="9" t="s">
        <v>52</v>
      </c>
      <c r="J98" s="9" t="s">
        <v>117</v>
      </c>
      <c r="K98" s="4" t="s">
        <v>9</v>
      </c>
      <c r="L98" s="10">
        <v>30.0</v>
      </c>
      <c r="M98" s="11">
        <v>0.0</v>
      </c>
      <c r="N98" s="12">
        <v>0.0</v>
      </c>
      <c r="O98" s="12">
        <v>2451.025</v>
      </c>
      <c r="P98" s="13">
        <v>44531.0</v>
      </c>
      <c r="Q98" s="12">
        <v>2000.0</v>
      </c>
      <c r="R98" s="14"/>
      <c r="S98" s="15">
        <v>44531.0</v>
      </c>
      <c r="T98" s="4" t="b">
        <v>1</v>
      </c>
    </row>
    <row r="99" hidden="1">
      <c r="A99" s="16" t="s">
        <v>118</v>
      </c>
      <c r="B99" s="17">
        <v>2451.025</v>
      </c>
      <c r="C99" s="16" t="s">
        <v>18</v>
      </c>
      <c r="D99" s="18" t="s">
        <v>171</v>
      </c>
      <c r="E99" s="19">
        <v>44501.0</v>
      </c>
      <c r="F99" s="17">
        <v>0.0</v>
      </c>
      <c r="G99" s="20">
        <v>2021.11</v>
      </c>
      <c r="H99" s="21" t="s">
        <v>51</v>
      </c>
      <c r="I99" s="21" t="s">
        <v>52</v>
      </c>
      <c r="J99" s="21" t="s">
        <v>117</v>
      </c>
      <c r="K99" s="16" t="s">
        <v>9</v>
      </c>
      <c r="L99" s="22">
        <v>30.0</v>
      </c>
      <c r="M99" s="11">
        <v>0.0</v>
      </c>
      <c r="N99" s="23">
        <v>0.0</v>
      </c>
      <c r="O99" s="23">
        <v>2451.025</v>
      </c>
      <c r="P99" s="24">
        <v>44531.0</v>
      </c>
      <c r="Q99" s="23">
        <v>2000.0</v>
      </c>
      <c r="R99" s="25"/>
      <c r="S99" s="26">
        <v>44531.0</v>
      </c>
      <c r="T99" s="16" t="b">
        <v>1</v>
      </c>
    </row>
    <row r="100" hidden="1">
      <c r="A100" s="4" t="s">
        <v>151</v>
      </c>
      <c r="B100" s="5">
        <v>798.5912999999999</v>
      </c>
      <c r="C100" s="4" t="s">
        <v>18</v>
      </c>
      <c r="D100" s="6" t="s">
        <v>172</v>
      </c>
      <c r="E100" s="7">
        <v>44501.0</v>
      </c>
      <c r="F100" s="34">
        <v>29.9164587</v>
      </c>
      <c r="G100" s="8">
        <v>2021.11</v>
      </c>
      <c r="H100" s="9" t="s">
        <v>51</v>
      </c>
      <c r="I100" s="9" t="s">
        <v>52</v>
      </c>
      <c r="J100" s="9" t="s">
        <v>122</v>
      </c>
      <c r="K100" s="4" t="s">
        <v>9</v>
      </c>
      <c r="L100" s="10">
        <v>30.0</v>
      </c>
      <c r="M100" s="11">
        <v>0.0</v>
      </c>
      <c r="N100" s="12">
        <v>0.0</v>
      </c>
      <c r="O100" s="12">
        <v>768.6748412999999</v>
      </c>
      <c r="P100" s="13">
        <v>44531.0</v>
      </c>
      <c r="Q100" s="12">
        <v>650.0</v>
      </c>
      <c r="R100" s="14"/>
      <c r="S100" s="15">
        <v>44531.0</v>
      </c>
      <c r="T100" s="4" t="b">
        <v>1</v>
      </c>
    </row>
    <row r="101" hidden="1">
      <c r="A101" s="16" t="s">
        <v>120</v>
      </c>
      <c r="B101" s="17">
        <v>1817.586</v>
      </c>
      <c r="C101" s="16" t="s">
        <v>18</v>
      </c>
      <c r="D101" s="18" t="s">
        <v>173</v>
      </c>
      <c r="E101" s="19">
        <v>44501.0</v>
      </c>
      <c r="F101" s="35">
        <v>67.6141992</v>
      </c>
      <c r="G101" s="20">
        <v>2021.11</v>
      </c>
      <c r="H101" s="21" t="s">
        <v>51</v>
      </c>
      <c r="I101" s="21" t="s">
        <v>52</v>
      </c>
      <c r="J101" s="21" t="s">
        <v>122</v>
      </c>
      <c r="K101" s="16" t="s">
        <v>9</v>
      </c>
      <c r="L101" s="22">
        <v>30.0</v>
      </c>
      <c r="M101" s="11">
        <v>0.2</v>
      </c>
      <c r="N101" s="23">
        <v>349.99436016000004</v>
      </c>
      <c r="O101" s="23">
        <v>1399.97744064</v>
      </c>
      <c r="P101" s="24">
        <v>44531.0</v>
      </c>
      <c r="Q101" s="23">
        <v>1500.0</v>
      </c>
      <c r="R101" s="25"/>
      <c r="S101" s="26">
        <v>44562.0</v>
      </c>
      <c r="T101" s="16" t="b">
        <v>1</v>
      </c>
    </row>
    <row r="102" hidden="1">
      <c r="A102" s="4" t="s">
        <v>123</v>
      </c>
      <c r="B102" s="5">
        <v>6764.25</v>
      </c>
      <c r="C102" s="4" t="s">
        <v>18</v>
      </c>
      <c r="D102" s="6" t="s">
        <v>174</v>
      </c>
      <c r="E102" s="7">
        <v>44501.0</v>
      </c>
      <c r="F102" s="5">
        <v>250.65</v>
      </c>
      <c r="G102" s="8">
        <v>2021.11</v>
      </c>
      <c r="H102" s="9" t="s">
        <v>51</v>
      </c>
      <c r="I102" s="9" t="s">
        <v>52</v>
      </c>
      <c r="J102" s="9" t="s">
        <v>126</v>
      </c>
      <c r="K102" s="4" t="s">
        <v>9</v>
      </c>
      <c r="L102" s="10">
        <v>30.0</v>
      </c>
      <c r="M102" s="11">
        <v>0.2</v>
      </c>
      <c r="N102" s="12">
        <v>1302.7200000000003</v>
      </c>
      <c r="O102" s="12">
        <v>5210.88</v>
      </c>
      <c r="P102" s="13">
        <v>44531.0</v>
      </c>
      <c r="Q102" s="12">
        <v>5500.0</v>
      </c>
      <c r="R102" s="14"/>
      <c r="S102" s="15">
        <v>44531.0</v>
      </c>
      <c r="T102" s="4" t="b">
        <v>1</v>
      </c>
    </row>
    <row r="103" hidden="1">
      <c r="A103" s="16" t="s">
        <v>105</v>
      </c>
      <c r="B103" s="17">
        <v>370.06</v>
      </c>
      <c r="C103" s="16" t="s">
        <v>18</v>
      </c>
      <c r="D103" s="18" t="s">
        <v>175</v>
      </c>
      <c r="E103" s="19">
        <v>44501.0</v>
      </c>
      <c r="F103" s="17">
        <v>14.06</v>
      </c>
      <c r="G103" s="20">
        <v>2021.0</v>
      </c>
      <c r="H103" s="21"/>
      <c r="I103" s="21" t="s">
        <v>142</v>
      </c>
      <c r="J103" s="21" t="s">
        <v>154</v>
      </c>
      <c r="K103" s="16" t="s">
        <v>9</v>
      </c>
      <c r="L103" s="22">
        <v>30.0</v>
      </c>
      <c r="M103" s="11">
        <v>0.0</v>
      </c>
      <c r="N103" s="23">
        <v>0.0</v>
      </c>
      <c r="O103" s="23">
        <v>356.0</v>
      </c>
      <c r="P103" s="24">
        <v>44531.0</v>
      </c>
      <c r="Q103" s="23">
        <v>300.0</v>
      </c>
      <c r="R103" s="21" t="s">
        <v>176</v>
      </c>
      <c r="S103" s="26">
        <v>44531.0</v>
      </c>
      <c r="T103" s="16" t="b">
        <v>1</v>
      </c>
    </row>
    <row r="104" hidden="1">
      <c r="A104" s="4" t="s">
        <v>177</v>
      </c>
      <c r="B104" s="5">
        <v>1284.0</v>
      </c>
      <c r="C104" s="4" t="s">
        <v>18</v>
      </c>
      <c r="D104" s="6" t="s">
        <v>178</v>
      </c>
      <c r="E104" s="7">
        <v>44531.0</v>
      </c>
      <c r="F104" s="5">
        <v>47.87</v>
      </c>
      <c r="G104" s="8">
        <v>2021.0</v>
      </c>
      <c r="H104" s="9"/>
      <c r="I104" s="9" t="s">
        <v>31</v>
      </c>
      <c r="J104" s="9" t="s">
        <v>179</v>
      </c>
      <c r="K104" s="4" t="s">
        <v>21</v>
      </c>
      <c r="L104" s="10">
        <v>30.0</v>
      </c>
      <c r="M104" s="11">
        <v>0.0</v>
      </c>
      <c r="N104" s="12">
        <v>0.0</v>
      </c>
      <c r="O104" s="12">
        <v>1236.13</v>
      </c>
      <c r="P104" s="13">
        <v>44561.0</v>
      </c>
      <c r="Q104" s="12">
        <v>2095.0</v>
      </c>
      <c r="R104" s="14"/>
      <c r="S104" s="15">
        <v>44562.0</v>
      </c>
      <c r="T104" s="4" t="b">
        <v>1</v>
      </c>
    </row>
    <row r="105" hidden="1">
      <c r="A105" s="16" t="s">
        <v>180</v>
      </c>
      <c r="B105" s="17">
        <v>147.43224</v>
      </c>
      <c r="C105" s="16" t="s">
        <v>18</v>
      </c>
      <c r="D105" s="18" t="s">
        <v>181</v>
      </c>
      <c r="E105" s="19">
        <v>44545.0</v>
      </c>
      <c r="F105" s="35">
        <v>5.82357348</v>
      </c>
      <c r="G105" s="20">
        <v>2021.0</v>
      </c>
      <c r="H105" s="21" t="s">
        <v>182</v>
      </c>
      <c r="I105" s="21" t="s">
        <v>183</v>
      </c>
      <c r="J105" s="21" t="s">
        <v>184</v>
      </c>
      <c r="K105" s="16" t="s">
        <v>9</v>
      </c>
      <c r="L105" s="22">
        <v>30.0</v>
      </c>
      <c r="M105" s="11">
        <v>0.0</v>
      </c>
      <c r="N105" s="23">
        <v>0.0</v>
      </c>
      <c r="O105" s="23">
        <v>141.60866652</v>
      </c>
      <c r="P105" s="24">
        <v>44575.0</v>
      </c>
      <c r="Q105" s="23">
        <v>120.0</v>
      </c>
      <c r="R105" s="25"/>
      <c r="S105" s="26">
        <v>44593.0</v>
      </c>
      <c r="T105" s="16" t="b">
        <v>1</v>
      </c>
    </row>
    <row r="106" hidden="1">
      <c r="A106" s="4" t="s">
        <v>156</v>
      </c>
      <c r="B106" s="5">
        <v>612.6034999999999</v>
      </c>
      <c r="C106" s="4" t="s">
        <v>18</v>
      </c>
      <c r="D106" s="6" t="s">
        <v>185</v>
      </c>
      <c r="E106" s="7">
        <v>44531.0</v>
      </c>
      <c r="F106" s="34">
        <v>23.0338916</v>
      </c>
      <c r="G106" s="8">
        <v>2021.12</v>
      </c>
      <c r="H106" s="9" t="s">
        <v>27</v>
      </c>
      <c r="I106" s="9" t="s">
        <v>52</v>
      </c>
      <c r="J106" s="9" t="s">
        <v>158</v>
      </c>
      <c r="K106" s="4" t="s">
        <v>9</v>
      </c>
      <c r="L106" s="10">
        <v>30.0</v>
      </c>
      <c r="M106" s="11">
        <v>0.2</v>
      </c>
      <c r="N106" s="12">
        <v>117.91392168</v>
      </c>
      <c r="O106" s="12">
        <v>471.65568672</v>
      </c>
      <c r="P106" s="13">
        <v>44561.0</v>
      </c>
      <c r="Q106" s="12">
        <v>500.0</v>
      </c>
      <c r="R106" s="14"/>
      <c r="S106" s="15">
        <v>44562.0</v>
      </c>
      <c r="T106" s="4" t="b">
        <v>1</v>
      </c>
    </row>
    <row r="107" hidden="1">
      <c r="A107" s="16" t="s">
        <v>159</v>
      </c>
      <c r="B107" s="17">
        <v>1155.865</v>
      </c>
      <c r="C107" s="16" t="s">
        <v>18</v>
      </c>
      <c r="D107" s="18" t="s">
        <v>186</v>
      </c>
      <c r="E107" s="19">
        <v>44531.0</v>
      </c>
      <c r="F107" s="17">
        <v>0.0</v>
      </c>
      <c r="G107" s="20">
        <v>2021.0</v>
      </c>
      <c r="H107" s="21"/>
      <c r="I107" s="21" t="s">
        <v>45</v>
      </c>
      <c r="J107" s="21" t="s">
        <v>161</v>
      </c>
      <c r="K107" s="16" t="s">
        <v>9</v>
      </c>
      <c r="L107" s="22">
        <v>30.0</v>
      </c>
      <c r="M107" s="11">
        <v>0.0</v>
      </c>
      <c r="N107" s="23">
        <v>0.0</v>
      </c>
      <c r="O107" s="23">
        <v>1155.865</v>
      </c>
      <c r="P107" s="24">
        <v>44561.0</v>
      </c>
      <c r="Q107" s="23">
        <v>1900.0</v>
      </c>
      <c r="R107" s="25"/>
      <c r="S107" s="26">
        <v>44562.0</v>
      </c>
      <c r="T107" s="16" t="b">
        <v>1</v>
      </c>
    </row>
    <row r="108" hidden="1">
      <c r="A108" s="4" t="s">
        <v>162</v>
      </c>
      <c r="B108" s="5">
        <v>1155.865</v>
      </c>
      <c r="C108" s="4" t="s">
        <v>18</v>
      </c>
      <c r="D108" s="6" t="s">
        <v>186</v>
      </c>
      <c r="E108" s="7">
        <v>44531.0</v>
      </c>
      <c r="F108" s="5">
        <v>0.0</v>
      </c>
      <c r="G108" s="8">
        <v>2021.0</v>
      </c>
      <c r="H108" s="9"/>
      <c r="I108" s="9" t="s">
        <v>45</v>
      </c>
      <c r="J108" s="9" t="s">
        <v>161</v>
      </c>
      <c r="K108" s="4" t="s">
        <v>9</v>
      </c>
      <c r="L108" s="10">
        <v>30.0</v>
      </c>
      <c r="M108" s="11">
        <v>0.0</v>
      </c>
      <c r="N108" s="12">
        <v>0.0</v>
      </c>
      <c r="O108" s="12">
        <v>1155.865</v>
      </c>
      <c r="P108" s="13">
        <v>44561.0</v>
      </c>
      <c r="Q108" s="12">
        <v>1900.0</v>
      </c>
      <c r="R108" s="14"/>
      <c r="S108" s="15">
        <v>44562.0</v>
      </c>
      <c r="T108" s="4" t="b">
        <v>1</v>
      </c>
    </row>
    <row r="109" hidden="1">
      <c r="A109" s="16" t="s">
        <v>102</v>
      </c>
      <c r="B109" s="17">
        <v>615.5135</v>
      </c>
      <c r="C109" s="16" t="s">
        <v>18</v>
      </c>
      <c r="D109" s="18" t="s">
        <v>187</v>
      </c>
      <c r="E109" s="19">
        <v>44531.0</v>
      </c>
      <c r="F109" s="35">
        <v>23.007894630000003</v>
      </c>
      <c r="G109" s="20">
        <v>2021.12</v>
      </c>
      <c r="H109" s="21" t="s">
        <v>27</v>
      </c>
      <c r="I109" s="21" t="s">
        <v>52</v>
      </c>
      <c r="J109" s="21" t="s">
        <v>104</v>
      </c>
      <c r="K109" s="16" t="s">
        <v>9</v>
      </c>
      <c r="L109" s="22">
        <v>30.0</v>
      </c>
      <c r="M109" s="11">
        <v>0.0</v>
      </c>
      <c r="N109" s="23">
        <v>0.0</v>
      </c>
      <c r="O109" s="23">
        <v>592.50560537</v>
      </c>
      <c r="P109" s="24">
        <v>44561.0</v>
      </c>
      <c r="Q109" s="23">
        <v>599.0</v>
      </c>
      <c r="R109" s="25"/>
      <c r="S109" s="26">
        <v>44562.0</v>
      </c>
      <c r="T109" s="16" t="b">
        <v>1</v>
      </c>
    </row>
    <row r="110" hidden="1">
      <c r="A110" s="4" t="s">
        <v>99</v>
      </c>
      <c r="B110" s="5">
        <v>1609.0</v>
      </c>
      <c r="C110" s="4" t="s">
        <v>18</v>
      </c>
      <c r="D110" s="6" t="s">
        <v>188</v>
      </c>
      <c r="E110" s="7">
        <v>44531.0</v>
      </c>
      <c r="F110" s="5">
        <v>59.31</v>
      </c>
      <c r="G110" s="8">
        <v>2021.12</v>
      </c>
      <c r="H110" s="9" t="s">
        <v>27</v>
      </c>
      <c r="I110" s="9" t="s">
        <v>52</v>
      </c>
      <c r="J110" s="9" t="s">
        <v>101</v>
      </c>
      <c r="K110" s="4" t="s">
        <v>9</v>
      </c>
      <c r="L110" s="10">
        <v>30.0</v>
      </c>
      <c r="M110" s="11">
        <v>0.2</v>
      </c>
      <c r="N110" s="12">
        <v>309.93800000000005</v>
      </c>
      <c r="O110" s="12">
        <v>1239.752</v>
      </c>
      <c r="P110" s="13">
        <v>44561.0</v>
      </c>
      <c r="Q110" s="12">
        <v>1300.0</v>
      </c>
      <c r="R110" s="14"/>
      <c r="S110" s="15">
        <v>44562.0</v>
      </c>
      <c r="T110" s="4" t="b">
        <v>1</v>
      </c>
    </row>
    <row r="111" hidden="1">
      <c r="A111" s="16" t="s">
        <v>189</v>
      </c>
      <c r="B111" s="17">
        <v>1235.95848</v>
      </c>
      <c r="C111" s="16" t="s">
        <v>18</v>
      </c>
      <c r="D111" s="18" t="s">
        <v>190</v>
      </c>
      <c r="E111" s="19">
        <v>44547.0</v>
      </c>
      <c r="F111" s="35">
        <v>46.09398096</v>
      </c>
      <c r="G111" s="20">
        <v>2021.0</v>
      </c>
      <c r="H111" s="21"/>
      <c r="I111" s="21" t="s">
        <v>48</v>
      </c>
      <c r="J111" s="21" t="s">
        <v>191</v>
      </c>
      <c r="K111" s="16" t="s">
        <v>9</v>
      </c>
      <c r="L111" s="22">
        <v>30.0</v>
      </c>
      <c r="M111" s="11">
        <v>0.0</v>
      </c>
      <c r="N111" s="23">
        <v>0.0</v>
      </c>
      <c r="O111" s="23">
        <v>1189.86449904</v>
      </c>
      <c r="P111" s="24">
        <v>44577.0</v>
      </c>
      <c r="Q111" s="23">
        <v>950.0</v>
      </c>
      <c r="R111" s="25"/>
      <c r="S111" s="26">
        <v>44562.0</v>
      </c>
      <c r="T111" s="16" t="b">
        <v>1</v>
      </c>
    </row>
    <row r="112" hidden="1">
      <c r="A112" s="4" t="s">
        <v>108</v>
      </c>
      <c r="B112" s="5">
        <v>39.571732000000004</v>
      </c>
      <c r="C112" s="4" t="s">
        <v>18</v>
      </c>
      <c r="D112" s="6" t="s">
        <v>192</v>
      </c>
      <c r="E112" s="7">
        <v>44552.0</v>
      </c>
      <c r="F112" s="5">
        <v>0.0</v>
      </c>
      <c r="G112" s="8">
        <v>2021.12</v>
      </c>
      <c r="H112" s="9" t="s">
        <v>51</v>
      </c>
      <c r="I112" s="9" t="s">
        <v>52</v>
      </c>
      <c r="J112" s="9" t="s">
        <v>111</v>
      </c>
      <c r="K112" s="4" t="s">
        <v>9</v>
      </c>
      <c r="L112" s="10"/>
      <c r="M112" s="11">
        <v>0.0</v>
      </c>
      <c r="N112" s="12">
        <v>0.0</v>
      </c>
      <c r="O112" s="12">
        <v>39.571732000000004</v>
      </c>
      <c r="P112" s="13">
        <v>44552.0</v>
      </c>
      <c r="Q112" s="12">
        <v>0.0</v>
      </c>
      <c r="R112" s="14"/>
      <c r="S112" s="15">
        <v>44562.0</v>
      </c>
      <c r="T112" s="4" t="b">
        <v>1</v>
      </c>
    </row>
    <row r="113" hidden="1">
      <c r="A113" s="16" t="s">
        <v>166</v>
      </c>
      <c r="B113" s="17">
        <v>1227.632</v>
      </c>
      <c r="C113" s="16" t="s">
        <v>18</v>
      </c>
      <c r="D113" s="18" t="s">
        <v>193</v>
      </c>
      <c r="E113" s="19">
        <v>44561.0</v>
      </c>
      <c r="F113" s="35">
        <v>45.7906736</v>
      </c>
      <c r="G113" s="20">
        <v>2021.12</v>
      </c>
      <c r="H113" s="21" t="s">
        <v>27</v>
      </c>
      <c r="I113" s="21" t="s">
        <v>45</v>
      </c>
      <c r="J113" s="21" t="s">
        <v>168</v>
      </c>
      <c r="K113" s="16" t="s">
        <v>9</v>
      </c>
      <c r="L113" s="22">
        <v>30.0</v>
      </c>
      <c r="M113" s="11">
        <v>0.0</v>
      </c>
      <c r="N113" s="23">
        <v>0.0</v>
      </c>
      <c r="O113" s="23">
        <v>1181.8413264</v>
      </c>
      <c r="P113" s="24">
        <v>44591.0</v>
      </c>
      <c r="Q113" s="23">
        <v>2000.0</v>
      </c>
      <c r="R113" s="25"/>
      <c r="S113" s="26">
        <v>44562.0</v>
      </c>
      <c r="T113" s="16" t="b">
        <v>1</v>
      </c>
    </row>
    <row r="114" hidden="1">
      <c r="A114" s="4" t="s">
        <v>177</v>
      </c>
      <c r="B114" s="5">
        <f>1047*1.238399</f>
        <v>1296.603753</v>
      </c>
      <c r="C114" s="4" t="s">
        <v>18</v>
      </c>
      <c r="D114" s="6" t="s">
        <v>194</v>
      </c>
      <c r="E114" s="7">
        <v>44635.0</v>
      </c>
      <c r="F114" s="34">
        <f>39.06*1.238399</f>
        <v>48.37186494</v>
      </c>
      <c r="G114" s="8">
        <v>2022.0</v>
      </c>
      <c r="H114" s="9" t="s">
        <v>195</v>
      </c>
      <c r="I114" s="9" t="s">
        <v>196</v>
      </c>
      <c r="J114" s="9" t="s">
        <v>197</v>
      </c>
      <c r="K114" s="4" t="s">
        <v>9</v>
      </c>
      <c r="L114" s="10">
        <v>30.0</v>
      </c>
      <c r="M114" s="11">
        <v>0.0</v>
      </c>
      <c r="N114" s="12">
        <v>0.0</v>
      </c>
      <c r="O114" s="12">
        <v>1248.23188806</v>
      </c>
      <c r="P114" s="37">
        <f>if(E114="","", E114+L114)</f>
        <v>44665</v>
      </c>
      <c r="Q114" s="12">
        <v>2095.0</v>
      </c>
      <c r="R114" s="14"/>
      <c r="S114" s="15">
        <v>44682.0</v>
      </c>
      <c r="T114" s="4" t="b">
        <v>1</v>
      </c>
    </row>
    <row r="115" hidden="1">
      <c r="A115" s="16" t="s">
        <v>135</v>
      </c>
      <c r="B115" s="17">
        <v>1900.0</v>
      </c>
      <c r="C115" s="16" t="s">
        <v>18</v>
      </c>
      <c r="D115" s="18">
        <v>4791.0</v>
      </c>
      <c r="E115" s="19">
        <v>44575.0</v>
      </c>
      <c r="F115" s="17">
        <v>0.0</v>
      </c>
      <c r="G115" s="20">
        <v>2022.0</v>
      </c>
      <c r="H115" s="21" t="s">
        <v>195</v>
      </c>
      <c r="I115" s="38" t="s">
        <v>45</v>
      </c>
      <c r="J115" s="21" t="s">
        <v>136</v>
      </c>
      <c r="K115" s="16" t="s">
        <v>21</v>
      </c>
      <c r="L115" s="22"/>
      <c r="M115" s="11">
        <v>0.0</v>
      </c>
      <c r="N115" s="23">
        <v>0.0</v>
      </c>
      <c r="O115" s="23">
        <v>1900.0</v>
      </c>
      <c r="P115" s="24">
        <v>44575.0</v>
      </c>
      <c r="Q115" s="23">
        <v>3800.0</v>
      </c>
      <c r="R115" s="25"/>
      <c r="S115" s="26">
        <v>44593.0</v>
      </c>
      <c r="T115" s="16" t="b">
        <v>1</v>
      </c>
    </row>
    <row r="116">
      <c r="A116" s="4" t="s">
        <v>37</v>
      </c>
      <c r="B116" s="5">
        <v>750.0</v>
      </c>
      <c r="C116" s="4" t="s">
        <v>47</v>
      </c>
      <c r="D116" s="39"/>
      <c r="E116" s="7"/>
      <c r="F116" s="34"/>
      <c r="G116" s="8">
        <v>1899.0</v>
      </c>
      <c r="H116" s="9"/>
      <c r="I116" s="9" t="s">
        <v>198</v>
      </c>
      <c r="J116" s="9" t="s">
        <v>199</v>
      </c>
      <c r="K116" s="4" t="s">
        <v>21</v>
      </c>
      <c r="L116" s="10">
        <v>30.0</v>
      </c>
      <c r="M116" s="11">
        <v>0.0</v>
      </c>
      <c r="N116" s="12">
        <v>0.0</v>
      </c>
      <c r="O116" s="12">
        <v>750.0</v>
      </c>
      <c r="P116" s="13" t="s">
        <v>200</v>
      </c>
      <c r="Q116" s="12">
        <v>5350.0</v>
      </c>
      <c r="R116" s="14"/>
      <c r="S116" s="15"/>
      <c r="T116" s="4" t="b">
        <v>1</v>
      </c>
    </row>
    <row r="117" hidden="1">
      <c r="A117" s="16" t="s">
        <v>33</v>
      </c>
      <c r="B117" s="17">
        <v>3904.4294170200005</v>
      </c>
      <c r="C117" s="16" t="s">
        <v>18</v>
      </c>
      <c r="D117" s="18" t="s">
        <v>201</v>
      </c>
      <c r="E117" s="19">
        <v>44561.0</v>
      </c>
      <c r="F117" s="35">
        <v>144.82183129000003</v>
      </c>
      <c r="G117" s="20">
        <v>2021.0</v>
      </c>
      <c r="H117" s="40"/>
      <c r="I117" s="40" t="s">
        <v>202</v>
      </c>
      <c r="J117" s="21" t="s">
        <v>36</v>
      </c>
      <c r="K117" s="16" t="s">
        <v>9</v>
      </c>
      <c r="L117" s="22">
        <v>30.0</v>
      </c>
      <c r="M117" s="11">
        <v>0.0</v>
      </c>
      <c r="N117" s="23">
        <v>0.0</v>
      </c>
      <c r="O117" s="23">
        <v>3759.6075857300007</v>
      </c>
      <c r="P117" s="24">
        <v>44591.0</v>
      </c>
      <c r="Q117" s="23">
        <v>9700.0</v>
      </c>
      <c r="R117" s="25"/>
      <c r="S117" s="26">
        <v>44562.0</v>
      </c>
      <c r="T117" s="16" t="b">
        <v>1</v>
      </c>
    </row>
    <row r="118" hidden="1">
      <c r="A118" s="4" t="s">
        <v>203</v>
      </c>
      <c r="B118" s="5">
        <f>1250*1.2309</f>
        <v>1538.625</v>
      </c>
      <c r="C118" s="4" t="s">
        <v>18</v>
      </c>
      <c r="D118" s="6" t="s">
        <v>204</v>
      </c>
      <c r="E118" s="7">
        <v>44561.0</v>
      </c>
      <c r="F118" s="5">
        <v>0.0</v>
      </c>
      <c r="G118" s="8">
        <v>2021.0</v>
      </c>
      <c r="H118" s="9"/>
      <c r="I118" s="9" t="s">
        <v>31</v>
      </c>
      <c r="J118" s="9" t="s">
        <v>205</v>
      </c>
      <c r="K118" s="4" t="s">
        <v>9</v>
      </c>
      <c r="L118" s="10">
        <v>30.0</v>
      </c>
      <c r="M118" s="11">
        <v>0.0</v>
      </c>
      <c r="N118" s="12">
        <v>0.0</v>
      </c>
      <c r="O118" s="12">
        <v>1538.6250000000002</v>
      </c>
      <c r="P118" s="37">
        <f>if(E118="","", E118+L118)</f>
        <v>44591</v>
      </c>
      <c r="Q118" s="12">
        <v>2500.0</v>
      </c>
      <c r="R118" s="14"/>
      <c r="S118" s="15">
        <v>44562.0</v>
      </c>
      <c r="T118" s="4" t="b">
        <v>1</v>
      </c>
    </row>
    <row r="119" hidden="1">
      <c r="A119" s="16" t="s">
        <v>203</v>
      </c>
      <c r="B119" s="17">
        <f>1250*1.2449</f>
        <v>1556.125</v>
      </c>
      <c r="C119" s="16" t="s">
        <v>18</v>
      </c>
      <c r="D119" s="18" t="s">
        <v>206</v>
      </c>
      <c r="E119" s="19">
        <v>44635.0</v>
      </c>
      <c r="F119" s="17">
        <v>0.0</v>
      </c>
      <c r="G119" s="20">
        <v>2022.0</v>
      </c>
      <c r="H119" s="21" t="s">
        <v>195</v>
      </c>
      <c r="I119" s="21" t="s">
        <v>45</v>
      </c>
      <c r="J119" s="21" t="s">
        <v>207</v>
      </c>
      <c r="K119" s="16" t="s">
        <v>9</v>
      </c>
      <c r="L119" s="22">
        <v>30.0</v>
      </c>
      <c r="M119" s="11">
        <v>0.0</v>
      </c>
      <c r="N119" s="23">
        <v>0.0</v>
      </c>
      <c r="O119" s="23">
        <v>1556.1249999999998</v>
      </c>
      <c r="P119" s="24"/>
      <c r="Q119" s="23">
        <v>2500.0</v>
      </c>
      <c r="R119" s="25"/>
      <c r="S119" s="26">
        <v>44652.0</v>
      </c>
      <c r="T119" s="16" t="b">
        <v>1</v>
      </c>
    </row>
    <row r="120" hidden="1">
      <c r="A120" s="4" t="s">
        <v>208</v>
      </c>
      <c r="B120" s="5">
        <v>600.0</v>
      </c>
      <c r="C120" s="4" t="s">
        <v>18</v>
      </c>
      <c r="D120" s="6">
        <v>4743.0</v>
      </c>
      <c r="E120" s="7">
        <v>44561.0</v>
      </c>
      <c r="F120" s="5">
        <v>0.0</v>
      </c>
      <c r="G120" s="8">
        <v>2021.0</v>
      </c>
      <c r="H120" s="9" t="s">
        <v>209</v>
      </c>
      <c r="I120" s="9" t="s">
        <v>210</v>
      </c>
      <c r="J120" s="9" t="s">
        <v>143</v>
      </c>
      <c r="K120" s="4" t="s">
        <v>21</v>
      </c>
      <c r="L120" s="10">
        <v>30.0</v>
      </c>
      <c r="M120" s="11">
        <v>0.0</v>
      </c>
      <c r="N120" s="12">
        <v>0.0</v>
      </c>
      <c r="O120" s="12">
        <v>600.0</v>
      </c>
      <c r="P120" s="13">
        <v>44591.0</v>
      </c>
      <c r="Q120" s="12">
        <v>600.0</v>
      </c>
      <c r="R120" s="14"/>
      <c r="S120" s="15">
        <v>44593.0</v>
      </c>
      <c r="T120" s="4" t="b">
        <v>1</v>
      </c>
    </row>
    <row r="121" hidden="1">
      <c r="A121" s="16" t="s">
        <v>54</v>
      </c>
      <c r="B121" s="17">
        <v>750.0</v>
      </c>
      <c r="C121" s="16" t="s">
        <v>18</v>
      </c>
      <c r="D121" s="18">
        <v>4748.0</v>
      </c>
      <c r="E121" s="19">
        <v>44561.0</v>
      </c>
      <c r="F121" s="17">
        <v>23.33</v>
      </c>
      <c r="G121" s="20">
        <v>2021.12</v>
      </c>
      <c r="H121" s="21" t="s">
        <v>51</v>
      </c>
      <c r="I121" s="21" t="s">
        <v>52</v>
      </c>
      <c r="J121" s="21" t="s">
        <v>55</v>
      </c>
      <c r="K121" s="16" t="s">
        <v>21</v>
      </c>
      <c r="L121" s="22">
        <v>30.0</v>
      </c>
      <c r="M121" s="11">
        <v>0.0</v>
      </c>
      <c r="N121" s="23">
        <v>0.0</v>
      </c>
      <c r="O121" s="23">
        <v>726.67</v>
      </c>
      <c r="P121" s="24">
        <v>44591.0</v>
      </c>
      <c r="Q121" s="23">
        <v>750.0</v>
      </c>
      <c r="R121" s="25"/>
      <c r="S121" s="26">
        <v>44562.0</v>
      </c>
      <c r="T121" s="16" t="b">
        <v>1</v>
      </c>
    </row>
    <row r="122" hidden="1">
      <c r="A122" s="4" t="s">
        <v>147</v>
      </c>
      <c r="B122" s="5">
        <v>900.0</v>
      </c>
      <c r="C122" s="4" t="s">
        <v>18</v>
      </c>
      <c r="D122" s="6">
        <v>4758.0</v>
      </c>
      <c r="E122" s="7">
        <v>44561.0</v>
      </c>
      <c r="F122" s="5">
        <v>28.0</v>
      </c>
      <c r="G122" s="8">
        <v>2021.12</v>
      </c>
      <c r="H122" s="9" t="s">
        <v>51</v>
      </c>
      <c r="I122" s="9" t="s">
        <v>52</v>
      </c>
      <c r="J122" s="9" t="s">
        <v>95</v>
      </c>
      <c r="K122" s="4" t="s">
        <v>21</v>
      </c>
      <c r="L122" s="10">
        <v>30.0</v>
      </c>
      <c r="M122" s="11">
        <v>0.0</v>
      </c>
      <c r="N122" s="12">
        <v>0.0</v>
      </c>
      <c r="O122" s="12">
        <v>872.0</v>
      </c>
      <c r="P122" s="13">
        <v>44591.0</v>
      </c>
      <c r="Q122" s="12">
        <v>900.0</v>
      </c>
      <c r="R122" s="14"/>
      <c r="S122" s="15">
        <v>44562.0</v>
      </c>
      <c r="T122" s="4" t="b">
        <v>1</v>
      </c>
    </row>
    <row r="123" hidden="1">
      <c r="A123" s="16" t="s">
        <v>58</v>
      </c>
      <c r="B123" s="17">
        <v>1550.0</v>
      </c>
      <c r="C123" s="16" t="s">
        <v>18</v>
      </c>
      <c r="D123" s="18">
        <v>4751.0</v>
      </c>
      <c r="E123" s="19">
        <v>44561.0</v>
      </c>
      <c r="F123" s="17">
        <v>48.22</v>
      </c>
      <c r="G123" s="20">
        <v>2021.12</v>
      </c>
      <c r="H123" s="21" t="s">
        <v>51</v>
      </c>
      <c r="I123" s="21" t="s">
        <v>52</v>
      </c>
      <c r="J123" s="21" t="s">
        <v>59</v>
      </c>
      <c r="K123" s="16" t="s">
        <v>21</v>
      </c>
      <c r="L123" s="22">
        <v>30.0</v>
      </c>
      <c r="M123" s="11">
        <v>0.0</v>
      </c>
      <c r="N123" s="23">
        <v>0.0</v>
      </c>
      <c r="O123" s="23">
        <v>1501.78</v>
      </c>
      <c r="P123" s="24">
        <v>44591.0</v>
      </c>
      <c r="Q123" s="23">
        <v>1550.0</v>
      </c>
      <c r="R123" s="25"/>
      <c r="S123" s="26">
        <v>44562.0</v>
      </c>
      <c r="T123" s="16" t="b">
        <v>1</v>
      </c>
    </row>
    <row r="124" hidden="1">
      <c r="A124" s="4" t="s">
        <v>120</v>
      </c>
      <c r="B124" s="5">
        <v>1844.9399999999998</v>
      </c>
      <c r="C124" s="4" t="s">
        <v>18</v>
      </c>
      <c r="D124" s="6" t="s">
        <v>211</v>
      </c>
      <c r="E124" s="7">
        <v>44561.0</v>
      </c>
      <c r="F124" s="34">
        <v>68.631768</v>
      </c>
      <c r="G124" s="8">
        <v>2021.12</v>
      </c>
      <c r="H124" s="9" t="s">
        <v>51</v>
      </c>
      <c r="I124" s="9" t="s">
        <v>52</v>
      </c>
      <c r="J124" s="9" t="s">
        <v>122</v>
      </c>
      <c r="K124" s="4" t="s">
        <v>9</v>
      </c>
      <c r="L124" s="10">
        <v>30.0</v>
      </c>
      <c r="M124" s="11">
        <v>0.2</v>
      </c>
      <c r="N124" s="12">
        <v>355.2616464</v>
      </c>
      <c r="O124" s="12">
        <v>1421.0465855999998</v>
      </c>
      <c r="P124" s="13">
        <v>44591.0</v>
      </c>
      <c r="Q124" s="12">
        <v>1500.0</v>
      </c>
      <c r="R124" s="14"/>
      <c r="S124" s="15">
        <v>44562.0</v>
      </c>
      <c r="T124" s="4" t="b">
        <v>1</v>
      </c>
    </row>
    <row r="125" hidden="1">
      <c r="A125" s="16" t="s">
        <v>84</v>
      </c>
      <c r="B125" s="17">
        <v>1000.0</v>
      </c>
      <c r="C125" s="16" t="s">
        <v>18</v>
      </c>
      <c r="D125" s="18">
        <v>4753.0</v>
      </c>
      <c r="E125" s="19">
        <v>44561.0</v>
      </c>
      <c r="F125" s="17">
        <v>0.0</v>
      </c>
      <c r="G125" s="20">
        <v>2021.12</v>
      </c>
      <c r="H125" s="21" t="s">
        <v>51</v>
      </c>
      <c r="I125" s="21" t="s">
        <v>52</v>
      </c>
      <c r="J125" s="21" t="s">
        <v>85</v>
      </c>
      <c r="K125" s="16" t="s">
        <v>21</v>
      </c>
      <c r="L125" s="22">
        <v>30.0</v>
      </c>
      <c r="M125" s="11">
        <v>0.0</v>
      </c>
      <c r="N125" s="23">
        <v>0.0</v>
      </c>
      <c r="O125" s="23">
        <v>1000.0</v>
      </c>
      <c r="P125" s="24">
        <v>44591.0</v>
      </c>
      <c r="Q125" s="23">
        <v>1000.0</v>
      </c>
      <c r="R125" s="25"/>
      <c r="S125" s="26">
        <v>44562.0</v>
      </c>
      <c r="T125" s="16" t="b">
        <v>1</v>
      </c>
    </row>
    <row r="126" hidden="1">
      <c r="A126" s="4" t="s">
        <v>86</v>
      </c>
      <c r="B126" s="5">
        <v>550.0</v>
      </c>
      <c r="C126" s="4" t="s">
        <v>18</v>
      </c>
      <c r="D126" s="6">
        <v>4754.0</v>
      </c>
      <c r="E126" s="7">
        <v>44561.0</v>
      </c>
      <c r="F126" s="5">
        <v>21.67</v>
      </c>
      <c r="G126" s="8">
        <v>2021.12</v>
      </c>
      <c r="H126" s="9" t="s">
        <v>51</v>
      </c>
      <c r="I126" s="9" t="s">
        <v>52</v>
      </c>
      <c r="J126" s="9" t="s">
        <v>87</v>
      </c>
      <c r="K126" s="4" t="s">
        <v>21</v>
      </c>
      <c r="L126" s="10">
        <v>30.0</v>
      </c>
      <c r="M126" s="11">
        <v>0.0</v>
      </c>
      <c r="N126" s="12">
        <v>0.0</v>
      </c>
      <c r="O126" s="12">
        <v>528.33</v>
      </c>
      <c r="P126" s="13">
        <v>44591.0</v>
      </c>
      <c r="Q126" s="12">
        <v>550.0</v>
      </c>
      <c r="R126" s="14"/>
      <c r="S126" s="15">
        <v>44562.0</v>
      </c>
      <c r="T126" s="4" t="b">
        <v>1</v>
      </c>
    </row>
    <row r="127" hidden="1">
      <c r="A127" s="16" t="s">
        <v>42</v>
      </c>
      <c r="B127" s="17">
        <v>1500.0</v>
      </c>
      <c r="C127" s="16" t="s">
        <v>18</v>
      </c>
      <c r="D127" s="18">
        <v>4750.0</v>
      </c>
      <c r="E127" s="19">
        <v>44561.0</v>
      </c>
      <c r="F127" s="17">
        <v>46.67</v>
      </c>
      <c r="G127" s="20">
        <v>2021.12</v>
      </c>
      <c r="H127" s="21" t="s">
        <v>51</v>
      </c>
      <c r="I127" s="21" t="s">
        <v>52</v>
      </c>
      <c r="J127" s="21" t="s">
        <v>43</v>
      </c>
      <c r="K127" s="16" t="s">
        <v>21</v>
      </c>
      <c r="L127" s="22">
        <v>30.0</v>
      </c>
      <c r="M127" s="11">
        <v>0.15</v>
      </c>
      <c r="N127" s="23">
        <v>217.99949999999998</v>
      </c>
      <c r="O127" s="23">
        <v>1235.3305</v>
      </c>
      <c r="P127" s="24">
        <v>44591.0</v>
      </c>
      <c r="Q127" s="23">
        <v>1500.0</v>
      </c>
      <c r="R127" s="25"/>
      <c r="S127" s="26">
        <v>44562.0</v>
      </c>
      <c r="T127" s="16" t="b">
        <v>1</v>
      </c>
    </row>
    <row r="128" hidden="1">
      <c r="A128" s="4" t="s">
        <v>79</v>
      </c>
      <c r="B128" s="5">
        <v>1200.0</v>
      </c>
      <c r="C128" s="4" t="s">
        <v>18</v>
      </c>
      <c r="D128" s="6">
        <v>4746.0</v>
      </c>
      <c r="E128" s="7">
        <v>44561.0</v>
      </c>
      <c r="F128" s="5">
        <v>37.33</v>
      </c>
      <c r="G128" s="8">
        <v>2021.12</v>
      </c>
      <c r="H128" s="9" t="s">
        <v>51</v>
      </c>
      <c r="I128" s="9" t="s">
        <v>52</v>
      </c>
      <c r="J128" s="9" t="s">
        <v>80</v>
      </c>
      <c r="K128" s="4" t="s">
        <v>21</v>
      </c>
      <c r="L128" s="10">
        <v>30.0</v>
      </c>
      <c r="M128" s="11">
        <v>0.0</v>
      </c>
      <c r="N128" s="12">
        <v>0.0</v>
      </c>
      <c r="O128" s="12">
        <v>1162.67</v>
      </c>
      <c r="P128" s="13">
        <v>44591.0</v>
      </c>
      <c r="Q128" s="12">
        <v>1200.0</v>
      </c>
      <c r="R128" s="14"/>
      <c r="S128" s="15">
        <v>44562.0</v>
      </c>
      <c r="T128" s="4" t="b">
        <v>1</v>
      </c>
    </row>
    <row r="129" hidden="1">
      <c r="A129" s="16" t="s">
        <v>82</v>
      </c>
      <c r="B129" s="17">
        <v>800.0</v>
      </c>
      <c r="C129" s="16" t="s">
        <v>18</v>
      </c>
      <c r="D129" s="18">
        <v>4752.0</v>
      </c>
      <c r="E129" s="19">
        <v>44561.0</v>
      </c>
      <c r="F129" s="17">
        <v>0.0</v>
      </c>
      <c r="G129" s="20">
        <v>2021.12</v>
      </c>
      <c r="H129" s="21" t="s">
        <v>51</v>
      </c>
      <c r="I129" s="21" t="s">
        <v>52</v>
      </c>
      <c r="J129" s="21" t="s">
        <v>83</v>
      </c>
      <c r="K129" s="16" t="s">
        <v>21</v>
      </c>
      <c r="L129" s="22">
        <v>30.0</v>
      </c>
      <c r="M129" s="11">
        <v>0.0</v>
      </c>
      <c r="N129" s="23">
        <v>0.0</v>
      </c>
      <c r="O129" s="23">
        <v>800.0</v>
      </c>
      <c r="P129" s="24">
        <v>44591.0</v>
      </c>
      <c r="Q129" s="23">
        <v>800.0</v>
      </c>
      <c r="R129" s="25"/>
      <c r="S129" s="26">
        <v>44562.0</v>
      </c>
      <c r="T129" s="16" t="b">
        <v>1</v>
      </c>
    </row>
    <row r="130" hidden="1">
      <c r="A130" s="4" t="s">
        <v>81</v>
      </c>
      <c r="B130" s="5">
        <v>1200.0</v>
      </c>
      <c r="C130" s="4" t="s">
        <v>18</v>
      </c>
      <c r="D130" s="6">
        <v>4749.0</v>
      </c>
      <c r="E130" s="7">
        <v>44561.0</v>
      </c>
      <c r="F130" s="5">
        <v>0.0</v>
      </c>
      <c r="G130" s="8">
        <v>2021.12</v>
      </c>
      <c r="H130" s="9" t="s">
        <v>51</v>
      </c>
      <c r="I130" s="9" t="s">
        <v>52</v>
      </c>
      <c r="J130" s="9" t="s">
        <v>38</v>
      </c>
      <c r="K130" s="4" t="s">
        <v>21</v>
      </c>
      <c r="L130" s="10">
        <v>30.0</v>
      </c>
      <c r="M130" s="11">
        <v>0.0</v>
      </c>
      <c r="N130" s="12">
        <v>0.0</v>
      </c>
      <c r="O130" s="12">
        <v>1200.0</v>
      </c>
      <c r="P130" s="13">
        <v>44591.0</v>
      </c>
      <c r="Q130" s="12">
        <v>1200.0</v>
      </c>
      <c r="R130" s="14"/>
      <c r="S130" s="15">
        <v>44562.0</v>
      </c>
      <c r="T130" s="4" t="b">
        <v>1</v>
      </c>
    </row>
    <row r="131" hidden="1">
      <c r="A131" s="16" t="s">
        <v>88</v>
      </c>
      <c r="B131" s="17">
        <v>500.0</v>
      </c>
      <c r="C131" s="16" t="s">
        <v>18</v>
      </c>
      <c r="D131" s="18">
        <v>4755.0</v>
      </c>
      <c r="E131" s="19">
        <v>44561.0</v>
      </c>
      <c r="F131" s="17">
        <v>15.53</v>
      </c>
      <c r="G131" s="20">
        <v>2021.12</v>
      </c>
      <c r="H131" s="21" t="s">
        <v>51</v>
      </c>
      <c r="I131" s="21" t="s">
        <v>52</v>
      </c>
      <c r="J131" s="21" t="s">
        <v>89</v>
      </c>
      <c r="K131" s="16" t="s">
        <v>21</v>
      </c>
      <c r="L131" s="22">
        <v>30.0</v>
      </c>
      <c r="M131" s="11">
        <v>0.0</v>
      </c>
      <c r="N131" s="23">
        <v>0.0</v>
      </c>
      <c r="O131" s="23">
        <v>484.47</v>
      </c>
      <c r="P131" s="24">
        <v>44591.0</v>
      </c>
      <c r="Q131" s="23">
        <v>500.0</v>
      </c>
      <c r="R131" s="25"/>
      <c r="S131" s="26">
        <v>44562.0</v>
      </c>
      <c r="T131" s="16" t="b">
        <v>1</v>
      </c>
    </row>
    <row r="132" hidden="1">
      <c r="A132" s="4" t="s">
        <v>151</v>
      </c>
      <c r="B132" s="5">
        <v>797.4563999999999</v>
      </c>
      <c r="C132" s="4" t="s">
        <v>18</v>
      </c>
      <c r="D132" s="6" t="s">
        <v>212</v>
      </c>
      <c r="E132" s="7">
        <v>44561.0</v>
      </c>
      <c r="F132" s="34">
        <v>29.8739436</v>
      </c>
      <c r="G132" s="8">
        <v>2021.12</v>
      </c>
      <c r="H132" s="9" t="s">
        <v>51</v>
      </c>
      <c r="I132" s="9" t="s">
        <v>52</v>
      </c>
      <c r="J132" s="9" t="s">
        <v>122</v>
      </c>
      <c r="K132" s="4" t="s">
        <v>9</v>
      </c>
      <c r="L132" s="10">
        <v>30.0</v>
      </c>
      <c r="M132" s="11">
        <v>0.0</v>
      </c>
      <c r="N132" s="12">
        <v>0.0</v>
      </c>
      <c r="O132" s="12">
        <v>767.5824564</v>
      </c>
      <c r="P132" s="13">
        <v>44591.0</v>
      </c>
      <c r="Q132" s="12">
        <v>650.0</v>
      </c>
      <c r="R132" s="14"/>
      <c r="S132" s="15">
        <v>44562.0</v>
      </c>
      <c r="T132" s="4" t="b">
        <v>1</v>
      </c>
    </row>
    <row r="133" hidden="1">
      <c r="A133" s="16" t="s">
        <v>50</v>
      </c>
      <c r="B133" s="17">
        <v>375.0</v>
      </c>
      <c r="C133" s="16" t="s">
        <v>18</v>
      </c>
      <c r="D133" s="18">
        <v>4747.0</v>
      </c>
      <c r="E133" s="19">
        <v>44561.0</v>
      </c>
      <c r="F133" s="17">
        <v>0.0</v>
      </c>
      <c r="G133" s="20">
        <v>2021.12</v>
      </c>
      <c r="H133" s="21" t="s">
        <v>51</v>
      </c>
      <c r="I133" s="21" t="s">
        <v>52</v>
      </c>
      <c r="J133" s="21" t="s">
        <v>53</v>
      </c>
      <c r="K133" s="16" t="s">
        <v>21</v>
      </c>
      <c r="L133" s="22">
        <v>30.0</v>
      </c>
      <c r="M133" s="11">
        <v>0.0</v>
      </c>
      <c r="N133" s="23">
        <v>0.0</v>
      </c>
      <c r="O133" s="23">
        <v>375.0</v>
      </c>
      <c r="P133" s="24">
        <v>44591.0</v>
      </c>
      <c r="Q133" s="23">
        <v>375.0</v>
      </c>
      <c r="R133" s="25"/>
      <c r="S133" s="26">
        <v>44562.0</v>
      </c>
      <c r="T133" s="16" t="b">
        <v>1</v>
      </c>
    </row>
    <row r="134" hidden="1">
      <c r="A134" s="4" t="s">
        <v>75</v>
      </c>
      <c r="B134" s="5">
        <v>500.0</v>
      </c>
      <c r="C134" s="4" t="s">
        <v>18</v>
      </c>
      <c r="D134" s="6">
        <v>4745.0</v>
      </c>
      <c r="E134" s="7">
        <v>44561.0</v>
      </c>
      <c r="F134" s="5">
        <v>0.0</v>
      </c>
      <c r="G134" s="8">
        <v>2021.12</v>
      </c>
      <c r="H134" s="9" t="s">
        <v>51</v>
      </c>
      <c r="I134" s="9" t="s">
        <v>52</v>
      </c>
      <c r="J134" s="9" t="s">
        <v>76</v>
      </c>
      <c r="K134" s="4" t="s">
        <v>21</v>
      </c>
      <c r="L134" s="10">
        <v>30.0</v>
      </c>
      <c r="M134" s="11">
        <v>0.0</v>
      </c>
      <c r="N134" s="12">
        <v>0.0</v>
      </c>
      <c r="O134" s="12">
        <v>500.0</v>
      </c>
      <c r="P134" s="13">
        <v>44591.0</v>
      </c>
      <c r="Q134" s="12">
        <v>500.0</v>
      </c>
      <c r="R134" s="14"/>
      <c r="S134" s="15">
        <v>44562.0</v>
      </c>
      <c r="T134" s="4" t="b">
        <v>1</v>
      </c>
    </row>
    <row r="135" hidden="1">
      <c r="A135" s="16" t="s">
        <v>105</v>
      </c>
      <c r="B135" s="17">
        <v>367.242</v>
      </c>
      <c r="C135" s="16" t="s">
        <v>18</v>
      </c>
      <c r="D135" s="18" t="s">
        <v>213</v>
      </c>
      <c r="E135" s="19">
        <v>44561.0</v>
      </c>
      <c r="F135" s="35">
        <v>13.955196</v>
      </c>
      <c r="G135" s="20">
        <v>2021.12</v>
      </c>
      <c r="H135" s="21" t="s">
        <v>51</v>
      </c>
      <c r="I135" s="21" t="s">
        <v>52</v>
      </c>
      <c r="J135" s="21" t="s">
        <v>154</v>
      </c>
      <c r="K135" s="16" t="s">
        <v>9</v>
      </c>
      <c r="L135" s="22">
        <v>30.0</v>
      </c>
      <c r="M135" s="11">
        <v>0.0</v>
      </c>
      <c r="N135" s="23">
        <v>0.0</v>
      </c>
      <c r="O135" s="23">
        <v>353.286804</v>
      </c>
      <c r="P135" s="24">
        <v>44591.0</v>
      </c>
      <c r="Q135" s="23">
        <v>300.0</v>
      </c>
      <c r="R135" s="21" t="s">
        <v>214</v>
      </c>
      <c r="S135" s="26">
        <v>44562.0</v>
      </c>
      <c r="T135" s="16" t="b">
        <v>1</v>
      </c>
    </row>
    <row r="136" hidden="1">
      <c r="A136" s="4" t="s">
        <v>90</v>
      </c>
      <c r="B136" s="5">
        <v>250.0</v>
      </c>
      <c r="C136" s="4" t="s">
        <v>18</v>
      </c>
      <c r="D136" s="6">
        <v>4756.0</v>
      </c>
      <c r="E136" s="7">
        <v>44561.0</v>
      </c>
      <c r="F136" s="5">
        <v>0.0</v>
      </c>
      <c r="G136" s="8">
        <v>2021.12</v>
      </c>
      <c r="H136" s="9" t="s">
        <v>51</v>
      </c>
      <c r="I136" s="9" t="s">
        <v>52</v>
      </c>
      <c r="J136" s="9" t="s">
        <v>215</v>
      </c>
      <c r="K136" s="4" t="s">
        <v>21</v>
      </c>
      <c r="L136" s="10">
        <v>30.0</v>
      </c>
      <c r="M136" s="11">
        <v>0.0</v>
      </c>
      <c r="N136" s="12">
        <v>0.0</v>
      </c>
      <c r="O136" s="12">
        <v>250.0</v>
      </c>
      <c r="P136" s="13">
        <v>44591.0</v>
      </c>
      <c r="Q136" s="12">
        <v>250.0</v>
      </c>
      <c r="R136" s="14"/>
      <c r="S136" s="15">
        <v>44562.0</v>
      </c>
      <c r="T136" s="4" t="b">
        <v>1</v>
      </c>
    </row>
    <row r="137" hidden="1">
      <c r="A137" s="16" t="s">
        <v>97</v>
      </c>
      <c r="B137" s="17">
        <v>300.0</v>
      </c>
      <c r="C137" s="16" t="s">
        <v>18</v>
      </c>
      <c r="D137" s="18">
        <v>4759.0</v>
      </c>
      <c r="E137" s="19">
        <v>44561.0</v>
      </c>
      <c r="F137" s="17">
        <v>9.33</v>
      </c>
      <c r="G137" s="20">
        <v>2021.12</v>
      </c>
      <c r="H137" s="21" t="s">
        <v>51</v>
      </c>
      <c r="I137" s="21" t="s">
        <v>52</v>
      </c>
      <c r="J137" s="21" t="s">
        <v>98</v>
      </c>
      <c r="K137" s="16" t="s">
        <v>21</v>
      </c>
      <c r="L137" s="22">
        <v>30.0</v>
      </c>
      <c r="M137" s="11">
        <v>0.0</v>
      </c>
      <c r="N137" s="23">
        <v>0.0</v>
      </c>
      <c r="O137" s="23">
        <v>290.67</v>
      </c>
      <c r="P137" s="24">
        <v>44591.0</v>
      </c>
      <c r="Q137" s="23">
        <v>300.0</v>
      </c>
      <c r="R137" s="25"/>
      <c r="S137" s="26">
        <v>44562.0</v>
      </c>
      <c r="T137" s="16" t="b">
        <v>1</v>
      </c>
    </row>
    <row r="138" hidden="1">
      <c r="A138" s="4" t="s">
        <v>92</v>
      </c>
      <c r="B138" s="5">
        <v>2500.0</v>
      </c>
      <c r="C138" s="4" t="s">
        <v>18</v>
      </c>
      <c r="D138" s="6">
        <v>4757.0</v>
      </c>
      <c r="E138" s="7">
        <v>44561.0</v>
      </c>
      <c r="F138" s="5">
        <v>77.78</v>
      </c>
      <c r="G138" s="8">
        <v>2021.12</v>
      </c>
      <c r="H138" s="9" t="s">
        <v>51</v>
      </c>
      <c r="I138" s="9" t="s">
        <v>52</v>
      </c>
      <c r="J138" s="9" t="s">
        <v>93</v>
      </c>
      <c r="K138" s="4" t="s">
        <v>21</v>
      </c>
      <c r="L138" s="10">
        <v>30.0</v>
      </c>
      <c r="M138" s="11">
        <v>0.0</v>
      </c>
      <c r="N138" s="12">
        <v>0.0</v>
      </c>
      <c r="O138" s="12">
        <v>2422.22</v>
      </c>
      <c r="P138" s="13">
        <v>44591.0</v>
      </c>
      <c r="Q138" s="12">
        <v>2500.0</v>
      </c>
      <c r="R138" s="14"/>
      <c r="S138" s="15">
        <v>44562.0</v>
      </c>
      <c r="T138" s="4" t="b">
        <v>1</v>
      </c>
    </row>
    <row r="139" hidden="1">
      <c r="A139" s="36" t="s">
        <v>112</v>
      </c>
      <c r="B139" s="17">
        <v>428.449</v>
      </c>
      <c r="C139" s="16" t="s">
        <v>18</v>
      </c>
      <c r="D139" s="18" t="s">
        <v>216</v>
      </c>
      <c r="E139" s="19">
        <v>44561.0</v>
      </c>
      <c r="F139" s="35">
        <v>16.219855</v>
      </c>
      <c r="G139" s="20">
        <v>2021.12</v>
      </c>
      <c r="H139" s="21" t="s">
        <v>51</v>
      </c>
      <c r="I139" s="21" t="s">
        <v>52</v>
      </c>
      <c r="J139" s="21" t="s">
        <v>114</v>
      </c>
      <c r="K139" s="16" t="s">
        <v>9</v>
      </c>
      <c r="L139" s="22">
        <v>30.0</v>
      </c>
      <c r="M139" s="11">
        <v>0.0</v>
      </c>
      <c r="N139" s="23">
        <v>0.0</v>
      </c>
      <c r="O139" s="23">
        <v>412.229145</v>
      </c>
      <c r="P139" s="24">
        <v>44591.0</v>
      </c>
      <c r="Q139" s="23">
        <v>350.0</v>
      </c>
      <c r="R139" s="25"/>
      <c r="S139" s="26">
        <v>44562.0</v>
      </c>
      <c r="T139" s="16" t="b">
        <v>1</v>
      </c>
    </row>
    <row r="140" hidden="1">
      <c r="A140" s="4" t="s">
        <v>123</v>
      </c>
      <c r="B140" s="5">
        <v>7985.913</v>
      </c>
      <c r="C140" s="4" t="s">
        <v>18</v>
      </c>
      <c r="D140" s="6" t="s">
        <v>217</v>
      </c>
      <c r="E140" s="7">
        <v>44561.0</v>
      </c>
      <c r="F140" s="34">
        <v>295.8473616</v>
      </c>
      <c r="G140" s="8">
        <v>2021.12</v>
      </c>
      <c r="H140" s="9" t="s">
        <v>51</v>
      </c>
      <c r="I140" s="9" t="s">
        <v>52</v>
      </c>
      <c r="J140" s="41" t="s">
        <v>218</v>
      </c>
      <c r="K140" s="4" t="s">
        <v>9</v>
      </c>
      <c r="L140" s="10">
        <v>30.0</v>
      </c>
      <c r="M140" s="11">
        <v>0.2</v>
      </c>
      <c r="N140" s="12">
        <v>1538.01312768</v>
      </c>
      <c r="O140" s="12">
        <v>6152.052510719999</v>
      </c>
      <c r="P140" s="13">
        <v>44591.0</v>
      </c>
      <c r="Q140" s="12">
        <v>5500.0</v>
      </c>
      <c r="R140" s="14"/>
      <c r="S140" s="15">
        <v>44562.0</v>
      </c>
      <c r="T140" s="4" t="b">
        <v>1</v>
      </c>
    </row>
    <row r="141" hidden="1">
      <c r="A141" s="16" t="s">
        <v>115</v>
      </c>
      <c r="B141" s="17">
        <v>2451.025</v>
      </c>
      <c r="C141" s="16" t="s">
        <v>18</v>
      </c>
      <c r="D141" s="18" t="s">
        <v>219</v>
      </c>
      <c r="E141" s="19">
        <v>44561.0</v>
      </c>
      <c r="F141" s="17">
        <v>0.0</v>
      </c>
      <c r="G141" s="20">
        <v>2021.12</v>
      </c>
      <c r="H141" s="21" t="s">
        <v>51</v>
      </c>
      <c r="I141" s="21" t="s">
        <v>52</v>
      </c>
      <c r="J141" s="21" t="s">
        <v>117</v>
      </c>
      <c r="K141" s="16" t="s">
        <v>9</v>
      </c>
      <c r="L141" s="22">
        <v>30.0</v>
      </c>
      <c r="M141" s="11">
        <v>0.0</v>
      </c>
      <c r="N141" s="23">
        <v>0.0</v>
      </c>
      <c r="O141" s="23">
        <v>2451.025</v>
      </c>
      <c r="P141" s="24">
        <v>44591.0</v>
      </c>
      <c r="Q141" s="23">
        <v>2000.0</v>
      </c>
      <c r="R141" s="25"/>
      <c r="S141" s="26">
        <v>44562.0</v>
      </c>
      <c r="T141" s="16" t="b">
        <v>1</v>
      </c>
    </row>
    <row r="142" hidden="1">
      <c r="A142" s="4" t="s">
        <v>118</v>
      </c>
      <c r="B142" s="5">
        <v>2451.025</v>
      </c>
      <c r="C142" s="4" t="s">
        <v>18</v>
      </c>
      <c r="D142" s="6" t="s">
        <v>220</v>
      </c>
      <c r="E142" s="7">
        <v>44561.0</v>
      </c>
      <c r="F142" s="5">
        <v>0.0</v>
      </c>
      <c r="G142" s="8">
        <v>2021.12</v>
      </c>
      <c r="H142" s="9" t="s">
        <v>51</v>
      </c>
      <c r="I142" s="9" t="s">
        <v>52</v>
      </c>
      <c r="J142" s="9" t="s">
        <v>117</v>
      </c>
      <c r="K142" s="4" t="s">
        <v>9</v>
      </c>
      <c r="L142" s="10">
        <v>30.0</v>
      </c>
      <c r="M142" s="11">
        <v>0.0</v>
      </c>
      <c r="N142" s="12">
        <v>0.0</v>
      </c>
      <c r="O142" s="12">
        <v>2451.025</v>
      </c>
      <c r="P142" s="13">
        <v>44591.0</v>
      </c>
      <c r="Q142" s="12">
        <v>2000.0</v>
      </c>
      <c r="R142" s="14"/>
      <c r="S142" s="15">
        <v>44562.0</v>
      </c>
      <c r="T142" s="4" t="b">
        <v>1</v>
      </c>
    </row>
    <row r="143" hidden="1">
      <c r="A143" s="16" t="s">
        <v>73</v>
      </c>
      <c r="B143" s="17">
        <v>700.0</v>
      </c>
      <c r="C143" s="16" t="s">
        <v>18</v>
      </c>
      <c r="D143" s="18">
        <v>4744.0</v>
      </c>
      <c r="E143" s="19">
        <v>44561.0</v>
      </c>
      <c r="F143" s="17">
        <v>0.0</v>
      </c>
      <c r="G143" s="20">
        <v>2021.12</v>
      </c>
      <c r="H143" s="21" t="s">
        <v>51</v>
      </c>
      <c r="I143" s="21" t="s">
        <v>52</v>
      </c>
      <c r="J143" s="21" t="s">
        <v>74</v>
      </c>
      <c r="K143" s="16" t="s">
        <v>21</v>
      </c>
      <c r="L143" s="22">
        <v>30.0</v>
      </c>
      <c r="M143" s="11">
        <v>0.0</v>
      </c>
      <c r="N143" s="23">
        <v>0.0</v>
      </c>
      <c r="O143" s="23">
        <v>700.0</v>
      </c>
      <c r="P143" s="24">
        <v>44591.0</v>
      </c>
      <c r="Q143" s="23">
        <v>700.0</v>
      </c>
      <c r="R143" s="25"/>
      <c r="S143" s="26">
        <v>44562.0</v>
      </c>
      <c r="T143" s="16" t="b">
        <v>1</v>
      </c>
    </row>
    <row r="144" hidden="1">
      <c r="A144" s="4" t="s">
        <v>221</v>
      </c>
      <c r="B144" s="5">
        <v>800.0</v>
      </c>
      <c r="C144" s="4" t="s">
        <v>18</v>
      </c>
      <c r="D144" s="6">
        <v>4742.0</v>
      </c>
      <c r="E144" s="7">
        <v>44561.0</v>
      </c>
      <c r="F144" s="5">
        <v>24.89</v>
      </c>
      <c r="G144" s="8">
        <v>2021.12</v>
      </c>
      <c r="H144" s="9" t="s">
        <v>27</v>
      </c>
      <c r="I144" s="9" t="s">
        <v>48</v>
      </c>
      <c r="J144" s="42" t="s">
        <v>222</v>
      </c>
      <c r="K144" s="4" t="s">
        <v>21</v>
      </c>
      <c r="L144" s="10">
        <v>30.0</v>
      </c>
      <c r="M144" s="11">
        <v>0.0</v>
      </c>
      <c r="N144" s="12">
        <v>0.0</v>
      </c>
      <c r="O144" s="12">
        <v>775.11</v>
      </c>
      <c r="P144" s="13">
        <v>44591.0</v>
      </c>
      <c r="Q144" s="12">
        <v>800.0</v>
      </c>
      <c r="R144" s="14"/>
      <c r="S144" s="15">
        <v>44562.0</v>
      </c>
      <c r="T144" s="4" t="b">
        <v>1</v>
      </c>
    </row>
    <row r="145" hidden="1">
      <c r="A145" s="16" t="s">
        <v>223</v>
      </c>
      <c r="B145" s="17">
        <v>1000.0</v>
      </c>
      <c r="C145" s="16" t="s">
        <v>18</v>
      </c>
      <c r="D145" s="18">
        <v>4740.0</v>
      </c>
      <c r="E145" s="19">
        <v>44561.0</v>
      </c>
      <c r="F145" s="17">
        <v>31.11</v>
      </c>
      <c r="G145" s="20">
        <v>2021.12</v>
      </c>
      <c r="H145" s="21" t="s">
        <v>51</v>
      </c>
      <c r="I145" s="21" t="s">
        <v>52</v>
      </c>
      <c r="J145" s="21" t="s">
        <v>224</v>
      </c>
      <c r="K145" s="16" t="s">
        <v>21</v>
      </c>
      <c r="L145" s="22">
        <v>30.0</v>
      </c>
      <c r="M145" s="11">
        <v>0.0</v>
      </c>
      <c r="N145" s="23">
        <v>0.0</v>
      </c>
      <c r="O145" s="23">
        <v>968.89</v>
      </c>
      <c r="P145" s="24">
        <v>44591.0</v>
      </c>
      <c r="Q145" s="23">
        <v>800.0</v>
      </c>
      <c r="R145" s="25"/>
      <c r="S145" s="26">
        <v>44562.0</v>
      </c>
      <c r="T145" s="16" t="b">
        <v>1</v>
      </c>
    </row>
    <row r="146" hidden="1">
      <c r="A146" s="4" t="s">
        <v>225</v>
      </c>
      <c r="B146" s="5">
        <v>1000.0</v>
      </c>
      <c r="C146" s="4" t="s">
        <v>18</v>
      </c>
      <c r="D146" s="6">
        <v>4741.0</v>
      </c>
      <c r="E146" s="7">
        <v>44561.0</v>
      </c>
      <c r="F146" s="5">
        <v>0.0</v>
      </c>
      <c r="G146" s="8">
        <v>2021.12</v>
      </c>
      <c r="H146" s="9" t="s">
        <v>27</v>
      </c>
      <c r="I146" s="9" t="s">
        <v>52</v>
      </c>
      <c r="J146" s="9" t="s">
        <v>226</v>
      </c>
      <c r="K146" s="4" t="s">
        <v>21</v>
      </c>
      <c r="L146" s="10">
        <v>30.0</v>
      </c>
      <c r="M146" s="11">
        <v>0.0</v>
      </c>
      <c r="N146" s="12">
        <v>0.0</v>
      </c>
      <c r="O146" s="12">
        <v>1000.0</v>
      </c>
      <c r="P146" s="13">
        <v>44591.0</v>
      </c>
      <c r="Q146" s="12">
        <v>5000.0</v>
      </c>
      <c r="R146" s="14"/>
      <c r="S146" s="15">
        <v>44562.0</v>
      </c>
      <c r="T146" s="4" t="b">
        <v>1</v>
      </c>
    </row>
    <row r="147" hidden="1">
      <c r="A147" s="16" t="s">
        <v>227</v>
      </c>
      <c r="B147" s="17">
        <v>1014.3445200000001</v>
      </c>
      <c r="C147" s="16" t="s">
        <v>18</v>
      </c>
      <c r="D147" s="18" t="s">
        <v>228</v>
      </c>
      <c r="E147" s="19">
        <v>44567.0</v>
      </c>
      <c r="F147" s="35">
        <v>64.4833302</v>
      </c>
      <c r="G147" s="20">
        <v>2022.0</v>
      </c>
      <c r="H147" s="21" t="s">
        <v>182</v>
      </c>
      <c r="I147" s="21" t="s">
        <v>183</v>
      </c>
      <c r="J147" s="21" t="s">
        <v>229</v>
      </c>
      <c r="K147" s="16" t="s">
        <v>9</v>
      </c>
      <c r="L147" s="22">
        <v>30.0</v>
      </c>
      <c r="M147" s="11">
        <v>0.0</v>
      </c>
      <c r="N147" s="23">
        <v>0.0</v>
      </c>
      <c r="O147" s="23">
        <v>949.8611898000001</v>
      </c>
      <c r="P147" s="24">
        <v>44597.0</v>
      </c>
      <c r="Q147" s="23">
        <v>805.0</v>
      </c>
      <c r="R147" s="21" t="s">
        <v>230</v>
      </c>
      <c r="S147" s="26">
        <v>44593.0</v>
      </c>
      <c r="T147" s="16" t="b">
        <v>1</v>
      </c>
    </row>
    <row r="148" hidden="1">
      <c r="A148" s="4" t="s">
        <v>231</v>
      </c>
      <c r="B148" s="5">
        <v>718.494035</v>
      </c>
      <c r="C148" s="4" t="s">
        <v>18</v>
      </c>
      <c r="D148" s="6" t="s">
        <v>228</v>
      </c>
      <c r="E148" s="7">
        <v>44567.0</v>
      </c>
      <c r="F148" s="5">
        <v>0.0</v>
      </c>
      <c r="G148" s="8">
        <v>2022.0</v>
      </c>
      <c r="H148" s="9" t="s">
        <v>209</v>
      </c>
      <c r="I148" s="9" t="s">
        <v>210</v>
      </c>
      <c r="J148" s="9" t="s">
        <v>143</v>
      </c>
      <c r="K148" s="4" t="s">
        <v>9</v>
      </c>
      <c r="L148" s="10">
        <v>30.0</v>
      </c>
      <c r="M148" s="11">
        <v>0.0</v>
      </c>
      <c r="N148" s="12">
        <v>0.0</v>
      </c>
      <c r="O148" s="12">
        <v>718.494035</v>
      </c>
      <c r="P148" s="13">
        <v>44597.0</v>
      </c>
      <c r="Q148" s="12">
        <v>595.0</v>
      </c>
      <c r="R148" s="14"/>
      <c r="S148" s="15">
        <v>44593.0</v>
      </c>
      <c r="T148" s="4" t="b">
        <v>1</v>
      </c>
    </row>
    <row r="149" hidden="1">
      <c r="A149" s="16" t="s">
        <v>232</v>
      </c>
      <c r="B149" s="17">
        <v>1300.0</v>
      </c>
      <c r="C149" s="16" t="s">
        <v>18</v>
      </c>
      <c r="D149" s="18">
        <v>4778.0</v>
      </c>
      <c r="E149" s="19">
        <v>44567.0</v>
      </c>
      <c r="F149" s="17">
        <v>40.44</v>
      </c>
      <c r="G149" s="20">
        <v>2022.0</v>
      </c>
      <c r="H149" s="21" t="s">
        <v>209</v>
      </c>
      <c r="I149" s="21" t="s">
        <v>210</v>
      </c>
      <c r="J149" s="21" t="s">
        <v>233</v>
      </c>
      <c r="K149" s="16" t="s">
        <v>21</v>
      </c>
      <c r="L149" s="22">
        <v>30.0</v>
      </c>
      <c r="M149" s="11">
        <v>0.0</v>
      </c>
      <c r="N149" s="23">
        <v>0.0</v>
      </c>
      <c r="O149" s="23">
        <v>1259.56</v>
      </c>
      <c r="P149" s="24">
        <v>44597.0</v>
      </c>
      <c r="Q149" s="23">
        <v>1300.0</v>
      </c>
      <c r="R149" s="25"/>
      <c r="S149" s="26">
        <v>44593.0</v>
      </c>
      <c r="T149" s="16" t="b">
        <v>1</v>
      </c>
    </row>
    <row r="150" hidden="1">
      <c r="A150" s="4" t="s">
        <v>68</v>
      </c>
      <c r="B150" s="5">
        <v>650.0</v>
      </c>
      <c r="C150" s="4" t="s">
        <v>18</v>
      </c>
      <c r="D150" s="6">
        <v>4792.0</v>
      </c>
      <c r="E150" s="7">
        <v>44575.0</v>
      </c>
      <c r="F150" s="5">
        <v>20.09</v>
      </c>
      <c r="G150" s="8">
        <v>2022.01</v>
      </c>
      <c r="H150" s="9" t="s">
        <v>27</v>
      </c>
      <c r="I150" s="9" t="s">
        <v>52</v>
      </c>
      <c r="J150" s="9" t="s">
        <v>69</v>
      </c>
      <c r="K150" s="4" t="s">
        <v>21</v>
      </c>
      <c r="L150" s="10">
        <v>30.0</v>
      </c>
      <c r="M150" s="11">
        <v>0.0</v>
      </c>
      <c r="N150" s="12">
        <v>0.0</v>
      </c>
      <c r="O150" s="12">
        <v>629.91</v>
      </c>
      <c r="P150" s="13">
        <v>44605.0</v>
      </c>
      <c r="Q150" s="12">
        <v>650.0</v>
      </c>
      <c r="R150" s="9" t="s">
        <v>234</v>
      </c>
      <c r="S150" s="15">
        <v>44593.0</v>
      </c>
      <c r="T150" s="4" t="b">
        <v>1</v>
      </c>
    </row>
    <row r="151" hidden="1">
      <c r="A151" s="16" t="s">
        <v>99</v>
      </c>
      <c r="B151" s="17">
        <v>1569.945</v>
      </c>
      <c r="C151" s="16" t="s">
        <v>18</v>
      </c>
      <c r="D151" s="18" t="s">
        <v>235</v>
      </c>
      <c r="E151" s="19">
        <v>44575.0</v>
      </c>
      <c r="F151" s="35">
        <v>58.45025999999999</v>
      </c>
      <c r="G151" s="20">
        <v>2022.01</v>
      </c>
      <c r="H151" s="21" t="s">
        <v>27</v>
      </c>
      <c r="I151" s="21" t="s">
        <v>52</v>
      </c>
      <c r="J151" s="21" t="s">
        <v>101</v>
      </c>
      <c r="K151" s="16" t="s">
        <v>9</v>
      </c>
      <c r="L151" s="22">
        <v>30.0</v>
      </c>
      <c r="M151" s="11">
        <v>0.2</v>
      </c>
      <c r="N151" s="23">
        <v>302.298948</v>
      </c>
      <c r="O151" s="23">
        <v>1209.195792</v>
      </c>
      <c r="P151" s="24">
        <v>44605.0</v>
      </c>
      <c r="Q151" s="23">
        <v>1300.0</v>
      </c>
      <c r="R151" s="25"/>
      <c r="S151" s="26">
        <v>44593.0</v>
      </c>
      <c r="T151" s="16" t="b">
        <v>1</v>
      </c>
    </row>
    <row r="152" hidden="1">
      <c r="A152" s="4" t="s">
        <v>99</v>
      </c>
      <c r="B152" s="5">
        <v>1300.0</v>
      </c>
      <c r="C152" s="4" t="s">
        <v>18</v>
      </c>
      <c r="D152" s="6" t="s">
        <v>236</v>
      </c>
      <c r="E152" s="7">
        <v>44575.0</v>
      </c>
      <c r="F152" s="34">
        <v>23.0885996</v>
      </c>
      <c r="G152" s="8">
        <v>2022.01</v>
      </c>
      <c r="H152" s="9" t="s">
        <v>27</v>
      </c>
      <c r="I152" s="9" t="s">
        <v>52</v>
      </c>
      <c r="J152" s="9" t="s">
        <v>101</v>
      </c>
      <c r="K152" s="4" t="s">
        <v>9</v>
      </c>
      <c r="L152" s="10">
        <v>30.0</v>
      </c>
      <c r="M152" s="11">
        <v>0.2</v>
      </c>
      <c r="N152" s="12">
        <v>255.38228008000002</v>
      </c>
      <c r="O152" s="12">
        <v>1021.5291203200001</v>
      </c>
      <c r="P152" s="13">
        <v>44605.0</v>
      </c>
      <c r="Q152" s="12">
        <v>1300.0</v>
      </c>
      <c r="R152" s="14"/>
      <c r="S152" s="15">
        <v>44593.0</v>
      </c>
      <c r="T152" s="4" t="b">
        <v>1</v>
      </c>
    </row>
    <row r="153" hidden="1">
      <c r="A153" s="16" t="s">
        <v>156</v>
      </c>
      <c r="B153" s="17">
        <v>603.8249999999999</v>
      </c>
      <c r="C153" s="16" t="s">
        <v>18</v>
      </c>
      <c r="D153" s="18" t="s">
        <v>237</v>
      </c>
      <c r="E153" s="19">
        <v>44575.0</v>
      </c>
      <c r="F153" s="35">
        <v>22.70382</v>
      </c>
      <c r="G153" s="20">
        <v>2022.01</v>
      </c>
      <c r="H153" s="21" t="s">
        <v>27</v>
      </c>
      <c r="I153" s="21" t="s">
        <v>52</v>
      </c>
      <c r="J153" s="21" t="s">
        <v>158</v>
      </c>
      <c r="K153" s="16" t="s">
        <v>9</v>
      </c>
      <c r="L153" s="22">
        <v>30.0</v>
      </c>
      <c r="M153" s="11">
        <v>0.2</v>
      </c>
      <c r="N153" s="23">
        <v>116.224236</v>
      </c>
      <c r="O153" s="23">
        <v>464.89694399999996</v>
      </c>
      <c r="P153" s="24">
        <v>44605.0</v>
      </c>
      <c r="Q153" s="23">
        <v>500.0</v>
      </c>
      <c r="R153" s="25"/>
      <c r="S153" s="26">
        <v>44593.0</v>
      </c>
      <c r="T153" s="16" t="b">
        <v>1</v>
      </c>
    </row>
    <row r="154" hidden="1">
      <c r="A154" s="4" t="s">
        <v>62</v>
      </c>
      <c r="B154" s="5">
        <v>1600.0</v>
      </c>
      <c r="C154" s="4" t="s">
        <v>18</v>
      </c>
      <c r="D154" s="6">
        <v>4793.0</v>
      </c>
      <c r="E154" s="7">
        <v>44575.0</v>
      </c>
      <c r="F154" s="5">
        <v>49.78</v>
      </c>
      <c r="G154" s="8">
        <v>2022.01</v>
      </c>
      <c r="H154" s="9" t="s">
        <v>27</v>
      </c>
      <c r="I154" s="9" t="s">
        <v>52</v>
      </c>
      <c r="J154" s="9" t="s">
        <v>63</v>
      </c>
      <c r="K154" s="4" t="s">
        <v>21</v>
      </c>
      <c r="L154" s="10">
        <v>30.0</v>
      </c>
      <c r="M154" s="11">
        <v>0.0</v>
      </c>
      <c r="N154" s="12">
        <v>0.0</v>
      </c>
      <c r="O154" s="12">
        <v>1550.22</v>
      </c>
      <c r="P154" s="13">
        <v>44605.0</v>
      </c>
      <c r="Q154" s="12">
        <v>1600.0</v>
      </c>
      <c r="R154" s="14"/>
      <c r="S154" s="15">
        <v>44593.0</v>
      </c>
      <c r="T154" s="4" t="b">
        <v>1</v>
      </c>
    </row>
    <row r="155" hidden="1">
      <c r="A155" s="16" t="s">
        <v>225</v>
      </c>
      <c r="B155" s="17">
        <v>5000.0</v>
      </c>
      <c r="C155" s="16" t="s">
        <v>18</v>
      </c>
      <c r="D155" s="18">
        <v>4794.0</v>
      </c>
      <c r="E155" s="19">
        <v>44575.0</v>
      </c>
      <c r="F155" s="17">
        <v>0.0</v>
      </c>
      <c r="G155" s="20">
        <v>2022.01</v>
      </c>
      <c r="H155" s="21" t="s">
        <v>27</v>
      </c>
      <c r="I155" s="21" t="s">
        <v>52</v>
      </c>
      <c r="J155" s="21" t="s">
        <v>238</v>
      </c>
      <c r="K155" s="16" t="s">
        <v>21</v>
      </c>
      <c r="L155" s="22">
        <v>30.0</v>
      </c>
      <c r="M155" s="11">
        <v>0.0</v>
      </c>
      <c r="N155" s="23">
        <v>0.0</v>
      </c>
      <c r="O155" s="23">
        <v>5000.0</v>
      </c>
      <c r="P155" s="24">
        <v>44605.0</v>
      </c>
      <c r="Q155" s="23">
        <v>5000.0</v>
      </c>
      <c r="R155" s="25"/>
      <c r="S155" s="26">
        <v>44593.0</v>
      </c>
      <c r="T155" s="16" t="b">
        <v>1</v>
      </c>
    </row>
    <row r="156" hidden="1">
      <c r="A156" s="4" t="s">
        <v>239</v>
      </c>
      <c r="B156" s="5">
        <v>1800.0</v>
      </c>
      <c r="C156" s="4" t="s">
        <v>18</v>
      </c>
      <c r="D156" s="6">
        <v>4795.0</v>
      </c>
      <c r="E156" s="7">
        <v>44575.0</v>
      </c>
      <c r="F156" s="5">
        <v>0.0</v>
      </c>
      <c r="G156" s="8">
        <v>2022.0</v>
      </c>
      <c r="H156" s="9" t="s">
        <v>209</v>
      </c>
      <c r="I156" s="9" t="s">
        <v>210</v>
      </c>
      <c r="J156" s="9" t="s">
        <v>240</v>
      </c>
      <c r="K156" s="4" t="s">
        <v>21</v>
      </c>
      <c r="L156" s="10">
        <v>30.0</v>
      </c>
      <c r="M156" s="11">
        <v>0.0</v>
      </c>
      <c r="N156" s="12">
        <v>0.0</v>
      </c>
      <c r="O156" s="12">
        <v>1800.0</v>
      </c>
      <c r="P156" s="13">
        <v>44605.0</v>
      </c>
      <c r="Q156" s="12">
        <v>1800.0</v>
      </c>
      <c r="R156" s="14"/>
      <c r="S156" s="15">
        <v>44593.0</v>
      </c>
      <c r="T156" s="4" t="b">
        <v>1</v>
      </c>
    </row>
    <row r="157" hidden="1">
      <c r="A157" s="16" t="s">
        <v>241</v>
      </c>
      <c r="B157" s="17">
        <v>330.0</v>
      </c>
      <c r="C157" s="16" t="s">
        <v>18</v>
      </c>
      <c r="D157" s="18">
        <v>4795.0</v>
      </c>
      <c r="E157" s="19">
        <v>44575.0</v>
      </c>
      <c r="F157" s="17">
        <v>0.0</v>
      </c>
      <c r="G157" s="20">
        <v>2022.0</v>
      </c>
      <c r="H157" s="21" t="s">
        <v>182</v>
      </c>
      <c r="I157" s="21" t="s">
        <v>183</v>
      </c>
      <c r="J157" s="21" t="s">
        <v>242</v>
      </c>
      <c r="K157" s="16" t="s">
        <v>21</v>
      </c>
      <c r="L157" s="22">
        <v>30.0</v>
      </c>
      <c r="M157" s="11">
        <v>0.0</v>
      </c>
      <c r="N157" s="23">
        <v>0.0</v>
      </c>
      <c r="O157" s="23">
        <v>330.0</v>
      </c>
      <c r="P157" s="24">
        <v>44605.0</v>
      </c>
      <c r="Q157" s="23">
        <v>360.0</v>
      </c>
      <c r="R157" s="21" t="s">
        <v>243</v>
      </c>
      <c r="S157" s="26">
        <v>44593.0</v>
      </c>
      <c r="T157" s="16" t="b">
        <v>1</v>
      </c>
    </row>
    <row r="158" hidden="1">
      <c r="A158" s="4" t="s">
        <v>244</v>
      </c>
      <c r="B158" s="5">
        <v>650.0</v>
      </c>
      <c r="C158" s="4" t="s">
        <v>18</v>
      </c>
      <c r="D158" s="6">
        <v>4796.0</v>
      </c>
      <c r="E158" s="7">
        <v>44575.0</v>
      </c>
      <c r="F158" s="5">
        <v>0.0</v>
      </c>
      <c r="G158" s="8">
        <v>2022.0</v>
      </c>
      <c r="H158" s="9" t="s">
        <v>209</v>
      </c>
      <c r="I158" s="9" t="s">
        <v>210</v>
      </c>
      <c r="J158" s="9" t="s">
        <v>245</v>
      </c>
      <c r="K158" s="4" t="s">
        <v>21</v>
      </c>
      <c r="L158" s="10">
        <v>15.0</v>
      </c>
      <c r="M158" s="11">
        <v>0.0</v>
      </c>
      <c r="N158" s="12">
        <v>0.0</v>
      </c>
      <c r="O158" s="12">
        <v>650.0</v>
      </c>
      <c r="P158" s="13">
        <v>44590.0</v>
      </c>
      <c r="Q158" s="12">
        <v>650.0</v>
      </c>
      <c r="R158" s="14"/>
      <c r="S158" s="15">
        <v>44593.0</v>
      </c>
      <c r="T158" s="4" t="b">
        <v>1</v>
      </c>
    </row>
    <row r="159" hidden="1">
      <c r="A159" s="16" t="s">
        <v>246</v>
      </c>
      <c r="B159" s="17">
        <v>500.0</v>
      </c>
      <c r="C159" s="16" t="s">
        <v>18</v>
      </c>
      <c r="D159" s="18">
        <v>4797.0</v>
      </c>
      <c r="E159" s="19">
        <v>44575.0</v>
      </c>
      <c r="F159" s="17">
        <v>0.0</v>
      </c>
      <c r="G159" s="20">
        <v>2022.0</v>
      </c>
      <c r="H159" s="21" t="s">
        <v>209</v>
      </c>
      <c r="I159" s="21" t="s">
        <v>52</v>
      </c>
      <c r="J159" s="21" t="s">
        <v>247</v>
      </c>
      <c r="K159" s="16" t="s">
        <v>21</v>
      </c>
      <c r="L159" s="22">
        <v>30.0</v>
      </c>
      <c r="M159" s="11">
        <v>0.0</v>
      </c>
      <c r="N159" s="23">
        <v>0.0</v>
      </c>
      <c r="O159" s="23">
        <v>500.0</v>
      </c>
      <c r="P159" s="24">
        <v>44605.0</v>
      </c>
      <c r="Q159" s="23">
        <v>500.0</v>
      </c>
      <c r="R159" s="25"/>
      <c r="S159" s="26">
        <v>44593.0</v>
      </c>
      <c r="T159" s="16" t="b">
        <v>1</v>
      </c>
    </row>
    <row r="160" hidden="1">
      <c r="A160" s="4" t="s">
        <v>248</v>
      </c>
      <c r="B160" s="5">
        <v>700.0</v>
      </c>
      <c r="C160" s="4" t="s">
        <v>18</v>
      </c>
      <c r="D160" s="6">
        <v>4798.0</v>
      </c>
      <c r="E160" s="7">
        <v>44575.0</v>
      </c>
      <c r="F160" s="5">
        <v>21.78</v>
      </c>
      <c r="G160" s="8">
        <v>2022.0</v>
      </c>
      <c r="H160" s="9" t="s">
        <v>195</v>
      </c>
      <c r="I160" s="9" t="s">
        <v>31</v>
      </c>
      <c r="J160" s="9" t="s">
        <v>249</v>
      </c>
      <c r="K160" s="4" t="s">
        <v>21</v>
      </c>
      <c r="L160" s="10">
        <v>30.0</v>
      </c>
      <c r="M160" s="11">
        <v>0.0</v>
      </c>
      <c r="N160" s="12">
        <v>0.0</v>
      </c>
      <c r="O160" s="12">
        <v>678.22</v>
      </c>
      <c r="P160" s="13">
        <v>44605.0</v>
      </c>
      <c r="Q160" s="12">
        <v>1400.0</v>
      </c>
      <c r="R160" s="14"/>
      <c r="S160" s="15">
        <v>44593.0</v>
      </c>
      <c r="T160" s="4" t="b">
        <v>1</v>
      </c>
    </row>
    <row r="161" hidden="1">
      <c r="A161" s="16" t="s">
        <v>248</v>
      </c>
      <c r="B161" s="17">
        <v>700.0</v>
      </c>
      <c r="C161" s="16" t="s">
        <v>18</v>
      </c>
      <c r="D161" s="18">
        <v>4932.0</v>
      </c>
      <c r="E161" s="19">
        <v>44635.0</v>
      </c>
      <c r="F161" s="17">
        <v>21.78</v>
      </c>
      <c r="G161" s="20">
        <v>2022.0</v>
      </c>
      <c r="H161" s="21" t="s">
        <v>195</v>
      </c>
      <c r="I161" s="43" t="s">
        <v>45</v>
      </c>
      <c r="J161" s="21" t="s">
        <v>250</v>
      </c>
      <c r="K161" s="16" t="s">
        <v>21</v>
      </c>
      <c r="L161" s="22">
        <v>30.0</v>
      </c>
      <c r="M161" s="11">
        <v>0.0</v>
      </c>
      <c r="N161" s="23">
        <v>0.0</v>
      </c>
      <c r="O161" s="23">
        <v>678.22</v>
      </c>
      <c r="P161" s="24">
        <v>44665.0</v>
      </c>
      <c r="Q161" s="23">
        <v>1400.0</v>
      </c>
      <c r="R161" s="25"/>
      <c r="S161" s="26">
        <v>44593.0</v>
      </c>
      <c r="T161" s="16" t="b">
        <v>1</v>
      </c>
    </row>
    <row r="162" hidden="1">
      <c r="A162" s="4" t="s">
        <v>251</v>
      </c>
      <c r="B162" s="5">
        <v>500.0</v>
      </c>
      <c r="C162" s="4" t="s">
        <v>18</v>
      </c>
      <c r="D162" s="6">
        <v>4799.0</v>
      </c>
      <c r="E162" s="7">
        <v>44575.0</v>
      </c>
      <c r="F162" s="5">
        <v>15.56</v>
      </c>
      <c r="G162" s="8">
        <v>2022.0</v>
      </c>
      <c r="H162" s="9" t="s">
        <v>195</v>
      </c>
      <c r="I162" s="9" t="s">
        <v>252</v>
      </c>
      <c r="J162" s="9" t="s">
        <v>253</v>
      </c>
      <c r="K162" s="4" t="s">
        <v>21</v>
      </c>
      <c r="L162" s="10">
        <v>30.0</v>
      </c>
      <c r="M162" s="11">
        <v>0.0</v>
      </c>
      <c r="N162" s="12">
        <v>0.0</v>
      </c>
      <c r="O162" s="12">
        <v>484.44</v>
      </c>
      <c r="P162" s="13">
        <v>44605.0</v>
      </c>
      <c r="Q162" s="12">
        <v>500.0</v>
      </c>
      <c r="R162" s="14"/>
      <c r="S162" s="15">
        <v>44593.0</v>
      </c>
      <c r="T162" s="4" t="b">
        <v>1</v>
      </c>
    </row>
    <row r="163" hidden="1">
      <c r="A163" s="16" t="s">
        <v>254</v>
      </c>
      <c r="B163" s="17">
        <v>666.7683000000001</v>
      </c>
      <c r="C163" s="16" t="s">
        <v>18</v>
      </c>
      <c r="D163" s="18" t="s">
        <v>255</v>
      </c>
      <c r="E163" s="19">
        <v>44575.0</v>
      </c>
      <c r="F163" s="35">
        <v>19.6999725</v>
      </c>
      <c r="G163" s="20">
        <v>2022.0</v>
      </c>
      <c r="H163" s="21" t="s">
        <v>209</v>
      </c>
      <c r="I163" s="21" t="s">
        <v>210</v>
      </c>
      <c r="J163" s="21" t="s">
        <v>256</v>
      </c>
      <c r="K163" s="16" t="s">
        <v>9</v>
      </c>
      <c r="L163" s="22">
        <v>30.0</v>
      </c>
      <c r="M163" s="11">
        <v>0.0</v>
      </c>
      <c r="N163" s="23">
        <v>0.0</v>
      </c>
      <c r="O163" s="23">
        <v>647.0683275000001</v>
      </c>
      <c r="P163" s="24">
        <v>44605.0</v>
      </c>
      <c r="Q163" s="23">
        <v>550.0</v>
      </c>
      <c r="R163" s="25"/>
      <c r="S163" s="26">
        <v>44593.0</v>
      </c>
      <c r="T163" s="16" t="b">
        <v>1</v>
      </c>
    </row>
    <row r="164" hidden="1">
      <c r="A164" s="4" t="s">
        <v>66</v>
      </c>
      <c r="B164" s="5">
        <v>700.0</v>
      </c>
      <c r="C164" s="4" t="s">
        <v>18</v>
      </c>
      <c r="D164" s="6">
        <v>4800.0</v>
      </c>
      <c r="E164" s="7">
        <v>44575.0</v>
      </c>
      <c r="F164" s="5">
        <v>0.0</v>
      </c>
      <c r="G164" s="8">
        <v>2022.01</v>
      </c>
      <c r="H164" s="9" t="s">
        <v>27</v>
      </c>
      <c r="I164" s="9" t="s">
        <v>257</v>
      </c>
      <c r="J164" s="9" t="s">
        <v>258</v>
      </c>
      <c r="K164" s="4" t="s">
        <v>21</v>
      </c>
      <c r="L164" s="10">
        <v>30.0</v>
      </c>
      <c r="M164" s="11">
        <v>0.0</v>
      </c>
      <c r="N164" s="12">
        <v>0.0</v>
      </c>
      <c r="O164" s="12">
        <v>700.0</v>
      </c>
      <c r="P164" s="37">
        <f>if(E164="","", E164+L164)</f>
        <v>44605</v>
      </c>
      <c r="Q164" s="12">
        <v>700.0</v>
      </c>
      <c r="R164" s="14"/>
      <c r="S164" s="15">
        <v>44593.0</v>
      </c>
      <c r="T164" s="4" t="b">
        <v>1</v>
      </c>
    </row>
    <row r="165" hidden="1">
      <c r="A165" s="16" t="s">
        <v>259</v>
      </c>
      <c r="B165" s="17">
        <v>950.0</v>
      </c>
      <c r="C165" s="16" t="s">
        <v>18</v>
      </c>
      <c r="D165" s="18">
        <v>4814.0</v>
      </c>
      <c r="E165" s="19">
        <v>44585.0</v>
      </c>
      <c r="F165" s="17">
        <v>29.56</v>
      </c>
      <c r="G165" s="20">
        <v>2022.0</v>
      </c>
      <c r="H165" s="21" t="s">
        <v>209</v>
      </c>
      <c r="I165" s="21" t="s">
        <v>210</v>
      </c>
      <c r="J165" s="21" t="s">
        <v>260</v>
      </c>
      <c r="K165" s="16" t="s">
        <v>21</v>
      </c>
      <c r="L165" s="22">
        <v>30.0</v>
      </c>
      <c r="M165" s="11">
        <v>0.0</v>
      </c>
      <c r="N165" s="23">
        <v>0.0</v>
      </c>
      <c r="O165" s="23">
        <v>920.44</v>
      </c>
      <c r="P165" s="24">
        <v>44615.0</v>
      </c>
      <c r="Q165" s="23">
        <v>950.0</v>
      </c>
      <c r="R165" s="25"/>
      <c r="S165" s="26">
        <v>44593.0</v>
      </c>
      <c r="T165" s="16" t="b">
        <v>1</v>
      </c>
    </row>
    <row r="166" hidden="1">
      <c r="A166" s="4" t="s">
        <v>261</v>
      </c>
      <c r="B166" s="5">
        <v>766.785</v>
      </c>
      <c r="C166" s="4" t="s">
        <v>18</v>
      </c>
      <c r="D166" s="6" t="s">
        <v>262</v>
      </c>
      <c r="E166" s="7">
        <v>44589.0</v>
      </c>
      <c r="F166" s="34">
        <v>28.745236079999998</v>
      </c>
      <c r="G166" s="8">
        <v>2022.0</v>
      </c>
      <c r="H166" s="9" t="s">
        <v>209</v>
      </c>
      <c r="I166" s="9" t="s">
        <v>31</v>
      </c>
      <c r="J166" s="9" t="s">
        <v>263</v>
      </c>
      <c r="K166" s="4" t="s">
        <v>9</v>
      </c>
      <c r="L166" s="4">
        <v>0.0</v>
      </c>
      <c r="M166" s="11">
        <v>0.0</v>
      </c>
      <c r="N166" s="12">
        <v>0.0</v>
      </c>
      <c r="O166" s="12">
        <v>738.0397639199999</v>
      </c>
      <c r="P166" s="13">
        <v>44589.0</v>
      </c>
      <c r="Q166" s="12">
        <v>1250.0</v>
      </c>
      <c r="R166" s="14"/>
      <c r="S166" s="15">
        <v>44593.0</v>
      </c>
      <c r="T166" s="4" t="b">
        <v>1</v>
      </c>
    </row>
    <row r="167">
      <c r="A167" s="16" t="s">
        <v>261</v>
      </c>
      <c r="B167" s="17">
        <v>625.0</v>
      </c>
      <c r="C167" s="16" t="s">
        <v>47</v>
      </c>
      <c r="D167" s="44"/>
      <c r="E167" s="19"/>
      <c r="F167" s="35"/>
      <c r="G167" s="20">
        <v>1899.0</v>
      </c>
      <c r="H167" s="21" t="s">
        <v>195</v>
      </c>
      <c r="I167" s="21" t="s">
        <v>45</v>
      </c>
      <c r="J167" s="21" t="s">
        <v>263</v>
      </c>
      <c r="K167" s="16" t="s">
        <v>9</v>
      </c>
      <c r="L167" s="16">
        <v>15.0</v>
      </c>
      <c r="M167" s="11">
        <v>0.0</v>
      </c>
      <c r="N167" s="23">
        <v>0.0</v>
      </c>
      <c r="O167" s="23">
        <v>625.0</v>
      </c>
      <c r="P167" s="24" t="s">
        <v>200</v>
      </c>
      <c r="Q167" s="23">
        <v>1250.0</v>
      </c>
      <c r="R167" s="25"/>
      <c r="S167" s="26"/>
      <c r="T167" s="16" t="b">
        <v>1</v>
      </c>
    </row>
    <row r="168" hidden="1">
      <c r="A168" s="4" t="s">
        <v>264</v>
      </c>
      <c r="B168" s="5">
        <v>850.0</v>
      </c>
      <c r="C168" s="4" t="s">
        <v>18</v>
      </c>
      <c r="D168" s="6">
        <v>4818.0</v>
      </c>
      <c r="E168" s="7">
        <v>44589.0</v>
      </c>
      <c r="F168" s="5">
        <v>26.18</v>
      </c>
      <c r="G168" s="8">
        <v>2022.0</v>
      </c>
      <c r="H168" s="9" t="s">
        <v>209</v>
      </c>
      <c r="I168" s="9" t="s">
        <v>210</v>
      </c>
      <c r="J168" s="9" t="s">
        <v>265</v>
      </c>
      <c r="K168" s="4" t="s">
        <v>21</v>
      </c>
      <c r="L168" s="10">
        <v>30.0</v>
      </c>
      <c r="M168" s="11">
        <v>0.0</v>
      </c>
      <c r="N168" s="12">
        <v>0.0</v>
      </c>
      <c r="O168" s="12">
        <v>823.82</v>
      </c>
      <c r="P168" s="37">
        <f>if(E168="","", E168+L168)</f>
        <v>44619</v>
      </c>
      <c r="Q168" s="12">
        <v>0.0</v>
      </c>
      <c r="R168" s="14"/>
      <c r="S168" s="15">
        <v>44593.0</v>
      </c>
      <c r="T168" s="4" t="b">
        <v>1</v>
      </c>
    </row>
    <row r="169" hidden="1">
      <c r="A169" s="45" t="s">
        <v>54</v>
      </c>
      <c r="B169" s="17">
        <v>750.0</v>
      </c>
      <c r="C169" s="16" t="s">
        <v>18</v>
      </c>
      <c r="D169" s="18">
        <v>4833.0</v>
      </c>
      <c r="E169" s="19">
        <v>44592.0</v>
      </c>
      <c r="F169" s="17">
        <v>23.33</v>
      </c>
      <c r="G169" s="20">
        <v>2022.01</v>
      </c>
      <c r="H169" s="21" t="s">
        <v>51</v>
      </c>
      <c r="I169" s="21" t="s">
        <v>52</v>
      </c>
      <c r="J169" s="21" t="s">
        <v>55</v>
      </c>
      <c r="K169" s="16" t="s">
        <v>21</v>
      </c>
      <c r="L169" s="22">
        <v>30.0</v>
      </c>
      <c r="M169" s="11">
        <v>0.0</v>
      </c>
      <c r="N169" s="23">
        <v>0.0</v>
      </c>
      <c r="O169" s="23">
        <v>726.67</v>
      </c>
      <c r="P169" s="24"/>
      <c r="Q169" s="23">
        <v>750.0</v>
      </c>
      <c r="R169" s="25"/>
      <c r="S169" s="26">
        <v>44593.0</v>
      </c>
      <c r="T169" s="16" t="b">
        <v>1</v>
      </c>
    </row>
    <row r="170" hidden="1">
      <c r="A170" s="46" t="s">
        <v>147</v>
      </c>
      <c r="B170" s="5">
        <v>900.0</v>
      </c>
      <c r="C170" s="4" t="s">
        <v>18</v>
      </c>
      <c r="D170" s="6">
        <v>4834.0</v>
      </c>
      <c r="E170" s="7">
        <v>44592.0</v>
      </c>
      <c r="F170" s="5">
        <v>28.0</v>
      </c>
      <c r="G170" s="8">
        <v>2022.01</v>
      </c>
      <c r="H170" s="9" t="s">
        <v>51</v>
      </c>
      <c r="I170" s="9" t="s">
        <v>52</v>
      </c>
      <c r="J170" s="9" t="s">
        <v>95</v>
      </c>
      <c r="K170" s="4" t="s">
        <v>21</v>
      </c>
      <c r="L170" s="10">
        <v>30.0</v>
      </c>
      <c r="M170" s="11">
        <v>0.0</v>
      </c>
      <c r="N170" s="12">
        <v>0.0</v>
      </c>
      <c r="O170" s="12">
        <v>872.0</v>
      </c>
      <c r="P170" s="13"/>
      <c r="Q170" s="12">
        <v>900.0</v>
      </c>
      <c r="R170" s="14"/>
      <c r="S170" s="15">
        <v>44593.0</v>
      </c>
      <c r="T170" s="4" t="b">
        <v>1</v>
      </c>
    </row>
    <row r="171" hidden="1">
      <c r="A171" s="45" t="s">
        <v>58</v>
      </c>
      <c r="B171" s="17">
        <v>1550.0</v>
      </c>
      <c r="C171" s="16" t="s">
        <v>18</v>
      </c>
      <c r="D171" s="18">
        <v>4835.0</v>
      </c>
      <c r="E171" s="19">
        <v>44592.0</v>
      </c>
      <c r="F171" s="17">
        <v>48.22</v>
      </c>
      <c r="G171" s="20">
        <v>2022.01</v>
      </c>
      <c r="H171" s="21" t="s">
        <v>51</v>
      </c>
      <c r="I171" s="21" t="s">
        <v>52</v>
      </c>
      <c r="J171" s="21" t="s">
        <v>59</v>
      </c>
      <c r="K171" s="16" t="s">
        <v>21</v>
      </c>
      <c r="L171" s="22">
        <v>30.0</v>
      </c>
      <c r="M171" s="11">
        <v>0.0</v>
      </c>
      <c r="N171" s="23">
        <v>0.0</v>
      </c>
      <c r="O171" s="23">
        <v>1501.78</v>
      </c>
      <c r="P171" s="24">
        <v>44622.0</v>
      </c>
      <c r="Q171" s="23">
        <v>1550.0</v>
      </c>
      <c r="R171" s="25"/>
      <c r="S171" s="26">
        <v>44593.0</v>
      </c>
      <c r="T171" s="16" t="b">
        <v>1</v>
      </c>
    </row>
    <row r="172" hidden="1">
      <c r="A172" s="46" t="s">
        <v>120</v>
      </c>
      <c r="B172" s="5">
        <v>1845.522</v>
      </c>
      <c r="C172" s="4" t="s">
        <v>18</v>
      </c>
      <c r="D172" s="6" t="s">
        <v>266</v>
      </c>
      <c r="E172" s="7">
        <v>44592.0</v>
      </c>
      <c r="F172" s="34">
        <v>68.65341839999999</v>
      </c>
      <c r="G172" s="8">
        <v>2022.01</v>
      </c>
      <c r="H172" s="9" t="s">
        <v>51</v>
      </c>
      <c r="I172" s="9" t="s">
        <v>52</v>
      </c>
      <c r="J172" s="9" t="s">
        <v>122</v>
      </c>
      <c r="K172" s="4" t="s">
        <v>9</v>
      </c>
      <c r="L172" s="10">
        <v>30.0</v>
      </c>
      <c r="M172" s="11">
        <v>0.2</v>
      </c>
      <c r="N172" s="12">
        <v>355.37371632</v>
      </c>
      <c r="O172" s="12">
        <v>1421.4948652799999</v>
      </c>
      <c r="P172" s="13">
        <v>44622.0</v>
      </c>
      <c r="Q172" s="12">
        <v>1500.0</v>
      </c>
      <c r="R172" s="14"/>
      <c r="S172" s="15">
        <v>44593.0</v>
      </c>
      <c r="T172" s="4" t="b">
        <v>1</v>
      </c>
    </row>
    <row r="173" hidden="1">
      <c r="A173" s="45" t="s">
        <v>84</v>
      </c>
      <c r="B173" s="17">
        <v>1000.0</v>
      </c>
      <c r="C173" s="16" t="s">
        <v>18</v>
      </c>
      <c r="D173" s="18">
        <v>4836.0</v>
      </c>
      <c r="E173" s="19">
        <v>44592.0</v>
      </c>
      <c r="F173" s="17">
        <v>0.0</v>
      </c>
      <c r="G173" s="20">
        <v>2022.01</v>
      </c>
      <c r="H173" s="21" t="s">
        <v>51</v>
      </c>
      <c r="I173" s="21" t="s">
        <v>52</v>
      </c>
      <c r="J173" s="21" t="s">
        <v>85</v>
      </c>
      <c r="K173" s="16" t="s">
        <v>21</v>
      </c>
      <c r="L173" s="22">
        <v>30.0</v>
      </c>
      <c r="M173" s="11">
        <v>0.0</v>
      </c>
      <c r="N173" s="23">
        <v>0.0</v>
      </c>
      <c r="O173" s="23">
        <v>1000.0</v>
      </c>
      <c r="P173" s="24">
        <v>44622.0</v>
      </c>
      <c r="Q173" s="23">
        <v>1000.0</v>
      </c>
      <c r="R173" s="25"/>
      <c r="S173" s="26">
        <v>44593.0</v>
      </c>
      <c r="T173" s="16" t="b">
        <v>1</v>
      </c>
    </row>
    <row r="174" hidden="1">
      <c r="A174" s="46" t="s">
        <v>86</v>
      </c>
      <c r="B174" s="5">
        <v>550.0</v>
      </c>
      <c r="C174" s="4" t="s">
        <v>18</v>
      </c>
      <c r="D174" s="6">
        <v>4837.0</v>
      </c>
      <c r="E174" s="7">
        <v>44592.0</v>
      </c>
      <c r="F174" s="5">
        <v>21.67</v>
      </c>
      <c r="G174" s="8">
        <v>2022.01</v>
      </c>
      <c r="H174" s="9" t="s">
        <v>51</v>
      </c>
      <c r="I174" s="9" t="s">
        <v>52</v>
      </c>
      <c r="J174" s="9" t="s">
        <v>87</v>
      </c>
      <c r="K174" s="4" t="s">
        <v>21</v>
      </c>
      <c r="L174" s="10">
        <v>30.0</v>
      </c>
      <c r="M174" s="11">
        <v>0.0</v>
      </c>
      <c r="N174" s="12">
        <v>0.0</v>
      </c>
      <c r="O174" s="12">
        <v>528.33</v>
      </c>
      <c r="P174" s="13">
        <v>44622.0</v>
      </c>
      <c r="Q174" s="12">
        <v>550.0</v>
      </c>
      <c r="R174" s="14"/>
      <c r="S174" s="15">
        <v>44593.0</v>
      </c>
      <c r="T174" s="4" t="b">
        <v>1</v>
      </c>
    </row>
    <row r="175" hidden="1">
      <c r="A175" s="45" t="s">
        <v>42</v>
      </c>
      <c r="B175" s="17">
        <v>1500.0</v>
      </c>
      <c r="C175" s="16" t="s">
        <v>18</v>
      </c>
      <c r="D175" s="18">
        <v>4838.0</v>
      </c>
      <c r="E175" s="19">
        <v>44592.0</v>
      </c>
      <c r="F175" s="17">
        <v>46.67</v>
      </c>
      <c r="G175" s="20">
        <v>2022.01</v>
      </c>
      <c r="H175" s="21" t="s">
        <v>51</v>
      </c>
      <c r="I175" s="21" t="s">
        <v>52</v>
      </c>
      <c r="J175" s="21" t="s">
        <v>43</v>
      </c>
      <c r="K175" s="16" t="s">
        <v>21</v>
      </c>
      <c r="L175" s="22">
        <v>30.0</v>
      </c>
      <c r="M175" s="11">
        <v>0.15</v>
      </c>
      <c r="N175" s="23">
        <v>217.99949999999998</v>
      </c>
      <c r="O175" s="23">
        <v>1235.3305</v>
      </c>
      <c r="P175" s="24">
        <v>44622.0</v>
      </c>
      <c r="Q175" s="23">
        <v>1500.0</v>
      </c>
      <c r="R175" s="25"/>
      <c r="S175" s="26">
        <v>44593.0</v>
      </c>
      <c r="T175" s="16" t="b">
        <v>1</v>
      </c>
    </row>
    <row r="176" hidden="1">
      <c r="A176" s="46" t="s">
        <v>79</v>
      </c>
      <c r="B176" s="5">
        <v>800.0</v>
      </c>
      <c r="C176" s="4" t="s">
        <v>18</v>
      </c>
      <c r="D176" s="6">
        <v>4839.0</v>
      </c>
      <c r="E176" s="7">
        <v>44592.0</v>
      </c>
      <c r="F176" s="5">
        <v>24.89</v>
      </c>
      <c r="G176" s="8">
        <v>2022.01</v>
      </c>
      <c r="H176" s="9" t="s">
        <v>51</v>
      </c>
      <c r="I176" s="9" t="s">
        <v>52</v>
      </c>
      <c r="J176" s="9" t="s">
        <v>267</v>
      </c>
      <c r="K176" s="4" t="s">
        <v>21</v>
      </c>
      <c r="L176" s="10">
        <v>30.0</v>
      </c>
      <c r="M176" s="11">
        <v>0.0</v>
      </c>
      <c r="N176" s="12">
        <v>0.0</v>
      </c>
      <c r="O176" s="12">
        <v>775.11</v>
      </c>
      <c r="P176" s="13">
        <v>44622.0</v>
      </c>
      <c r="Q176" s="12">
        <v>1200.0</v>
      </c>
      <c r="R176" s="14"/>
      <c r="S176" s="15">
        <v>44593.0</v>
      </c>
      <c r="T176" s="4" t="b">
        <v>1</v>
      </c>
    </row>
    <row r="177" hidden="1">
      <c r="A177" s="45" t="s">
        <v>82</v>
      </c>
      <c r="B177" s="17">
        <v>800.0</v>
      </c>
      <c r="C177" s="16" t="s">
        <v>18</v>
      </c>
      <c r="D177" s="18">
        <v>4840.0</v>
      </c>
      <c r="E177" s="19">
        <v>44592.0</v>
      </c>
      <c r="F177" s="17">
        <v>0.0</v>
      </c>
      <c r="G177" s="20">
        <v>2022.01</v>
      </c>
      <c r="H177" s="21" t="s">
        <v>51</v>
      </c>
      <c r="I177" s="21" t="s">
        <v>52</v>
      </c>
      <c r="J177" s="21" t="s">
        <v>83</v>
      </c>
      <c r="K177" s="16" t="s">
        <v>21</v>
      </c>
      <c r="L177" s="22">
        <v>30.0</v>
      </c>
      <c r="M177" s="11">
        <v>0.0</v>
      </c>
      <c r="N177" s="23">
        <v>0.0</v>
      </c>
      <c r="O177" s="23">
        <v>800.0</v>
      </c>
      <c r="P177" s="24">
        <v>44622.0</v>
      </c>
      <c r="Q177" s="23">
        <v>800.0</v>
      </c>
      <c r="R177" s="25"/>
      <c r="S177" s="26">
        <v>44593.0</v>
      </c>
      <c r="T177" s="16" t="b">
        <v>1</v>
      </c>
    </row>
    <row r="178" hidden="1">
      <c r="A178" s="46" t="s">
        <v>81</v>
      </c>
      <c r="B178" s="5">
        <v>1200.0</v>
      </c>
      <c r="C178" s="4" t="s">
        <v>18</v>
      </c>
      <c r="D178" s="6">
        <v>4841.0</v>
      </c>
      <c r="E178" s="7">
        <v>44592.0</v>
      </c>
      <c r="F178" s="5">
        <v>0.0</v>
      </c>
      <c r="G178" s="8">
        <v>2022.01</v>
      </c>
      <c r="H178" s="9" t="s">
        <v>51</v>
      </c>
      <c r="I178" s="9" t="s">
        <v>52</v>
      </c>
      <c r="J178" s="9" t="s">
        <v>38</v>
      </c>
      <c r="K178" s="4" t="s">
        <v>21</v>
      </c>
      <c r="L178" s="10">
        <v>30.0</v>
      </c>
      <c r="M178" s="11">
        <v>0.0</v>
      </c>
      <c r="N178" s="12">
        <v>0.0</v>
      </c>
      <c r="O178" s="12">
        <v>1200.0</v>
      </c>
      <c r="P178" s="13">
        <v>44622.0</v>
      </c>
      <c r="Q178" s="12">
        <v>1200.0</v>
      </c>
      <c r="R178" s="14"/>
      <c r="S178" s="15">
        <v>44593.0</v>
      </c>
      <c r="T178" s="4" t="b">
        <v>1</v>
      </c>
    </row>
    <row r="179" hidden="1">
      <c r="A179" s="45" t="s">
        <v>88</v>
      </c>
      <c r="B179" s="17">
        <v>500.0</v>
      </c>
      <c r="C179" s="16" t="s">
        <v>18</v>
      </c>
      <c r="D179" s="18">
        <v>4842.0</v>
      </c>
      <c r="E179" s="19">
        <v>44592.0</v>
      </c>
      <c r="F179" s="17">
        <v>15.53</v>
      </c>
      <c r="G179" s="20">
        <v>2022.01</v>
      </c>
      <c r="H179" s="21" t="s">
        <v>51</v>
      </c>
      <c r="I179" s="21" t="s">
        <v>52</v>
      </c>
      <c r="J179" s="21" t="s">
        <v>89</v>
      </c>
      <c r="K179" s="16" t="s">
        <v>21</v>
      </c>
      <c r="L179" s="22">
        <v>30.0</v>
      </c>
      <c r="M179" s="11">
        <v>0.0</v>
      </c>
      <c r="N179" s="23">
        <v>0.0</v>
      </c>
      <c r="O179" s="23">
        <v>484.47</v>
      </c>
      <c r="P179" s="24">
        <v>44622.0</v>
      </c>
      <c r="Q179" s="23">
        <v>500.0</v>
      </c>
      <c r="R179" s="25"/>
      <c r="S179" s="26">
        <v>44593.0</v>
      </c>
      <c r="T179" s="16" t="b">
        <v>1</v>
      </c>
    </row>
    <row r="180" hidden="1">
      <c r="A180" s="46" t="s">
        <v>151</v>
      </c>
      <c r="B180" s="5">
        <v>798.0869</v>
      </c>
      <c r="C180" s="4" t="s">
        <v>18</v>
      </c>
      <c r="D180" s="6" t="s">
        <v>268</v>
      </c>
      <c r="E180" s="7">
        <v>44592.0</v>
      </c>
      <c r="F180" s="34">
        <v>29.897563100000003</v>
      </c>
      <c r="G180" s="8">
        <v>2022.01</v>
      </c>
      <c r="H180" s="9" t="s">
        <v>51</v>
      </c>
      <c r="I180" s="9" t="s">
        <v>52</v>
      </c>
      <c r="J180" s="9" t="s">
        <v>122</v>
      </c>
      <c r="K180" s="4" t="s">
        <v>9</v>
      </c>
      <c r="L180" s="10">
        <v>30.0</v>
      </c>
      <c r="M180" s="11">
        <v>0.0</v>
      </c>
      <c r="N180" s="12">
        <v>0.0</v>
      </c>
      <c r="O180" s="12">
        <v>768.1893369000001</v>
      </c>
      <c r="P180" s="13">
        <v>44622.0</v>
      </c>
      <c r="Q180" s="12">
        <v>650.0</v>
      </c>
      <c r="R180" s="14"/>
      <c r="S180" s="15">
        <v>44593.0</v>
      </c>
      <c r="T180" s="4" t="b">
        <v>1</v>
      </c>
    </row>
    <row r="181" hidden="1">
      <c r="A181" s="45" t="s">
        <v>50</v>
      </c>
      <c r="B181" s="17">
        <v>375.0</v>
      </c>
      <c r="C181" s="16" t="s">
        <v>18</v>
      </c>
      <c r="D181" s="18">
        <v>4843.0</v>
      </c>
      <c r="E181" s="19">
        <v>44592.0</v>
      </c>
      <c r="F181" s="17">
        <v>0.0</v>
      </c>
      <c r="G181" s="20">
        <v>2022.01</v>
      </c>
      <c r="H181" s="21" t="s">
        <v>51</v>
      </c>
      <c r="I181" s="21" t="s">
        <v>52</v>
      </c>
      <c r="J181" s="21" t="s">
        <v>53</v>
      </c>
      <c r="K181" s="16" t="s">
        <v>21</v>
      </c>
      <c r="L181" s="22">
        <v>30.0</v>
      </c>
      <c r="M181" s="11">
        <v>0.0</v>
      </c>
      <c r="N181" s="23">
        <v>0.0</v>
      </c>
      <c r="O181" s="23">
        <v>375.0</v>
      </c>
      <c r="P181" s="24">
        <v>44622.0</v>
      </c>
      <c r="Q181" s="23">
        <v>375.0</v>
      </c>
      <c r="R181" s="25"/>
      <c r="S181" s="26">
        <v>44593.0</v>
      </c>
      <c r="T181" s="16" t="b">
        <v>1</v>
      </c>
    </row>
    <row r="182" hidden="1">
      <c r="A182" s="46" t="s">
        <v>75</v>
      </c>
      <c r="B182" s="5">
        <v>500.0</v>
      </c>
      <c r="C182" s="4" t="s">
        <v>18</v>
      </c>
      <c r="D182" s="6">
        <v>4844.0</v>
      </c>
      <c r="E182" s="7">
        <v>44592.0</v>
      </c>
      <c r="F182" s="5">
        <v>0.0</v>
      </c>
      <c r="G182" s="8">
        <v>2022.01</v>
      </c>
      <c r="H182" s="9" t="s">
        <v>51</v>
      </c>
      <c r="I182" s="9" t="s">
        <v>52</v>
      </c>
      <c r="J182" s="9" t="s">
        <v>76</v>
      </c>
      <c r="K182" s="4" t="s">
        <v>21</v>
      </c>
      <c r="L182" s="10">
        <v>30.0</v>
      </c>
      <c r="M182" s="11">
        <v>0.0</v>
      </c>
      <c r="N182" s="12">
        <v>0.0</v>
      </c>
      <c r="O182" s="12">
        <v>500.0</v>
      </c>
      <c r="P182" s="13">
        <v>44622.0</v>
      </c>
      <c r="Q182" s="12">
        <v>500.0</v>
      </c>
      <c r="R182" s="14"/>
      <c r="S182" s="15">
        <v>44593.0</v>
      </c>
      <c r="T182" s="4" t="b">
        <v>1</v>
      </c>
    </row>
    <row r="183" hidden="1">
      <c r="A183" s="45" t="s">
        <v>105</v>
      </c>
      <c r="B183" s="17">
        <v>368.2314</v>
      </c>
      <c r="C183" s="16" t="s">
        <v>18</v>
      </c>
      <c r="D183" s="18" t="s">
        <v>269</v>
      </c>
      <c r="E183" s="19">
        <v>44592.0</v>
      </c>
      <c r="F183" s="35">
        <v>13.992793200000001</v>
      </c>
      <c r="G183" s="20">
        <v>2022.01</v>
      </c>
      <c r="H183" s="21" t="s">
        <v>51</v>
      </c>
      <c r="I183" s="21" t="s">
        <v>52</v>
      </c>
      <c r="J183" s="21" t="s">
        <v>154</v>
      </c>
      <c r="K183" s="16" t="s">
        <v>9</v>
      </c>
      <c r="L183" s="22">
        <v>30.0</v>
      </c>
      <c r="M183" s="11">
        <v>0.0</v>
      </c>
      <c r="N183" s="23">
        <v>0.0</v>
      </c>
      <c r="O183" s="23">
        <v>354.2386068</v>
      </c>
      <c r="P183" s="24">
        <v>44622.0</v>
      </c>
      <c r="Q183" s="23">
        <v>300.0</v>
      </c>
      <c r="R183" s="25"/>
      <c r="S183" s="26">
        <v>44593.0</v>
      </c>
      <c r="T183" s="16" t="b">
        <v>1</v>
      </c>
    </row>
    <row r="184" hidden="1">
      <c r="A184" s="46" t="s">
        <v>90</v>
      </c>
      <c r="B184" s="5">
        <v>250.0</v>
      </c>
      <c r="C184" s="4" t="s">
        <v>18</v>
      </c>
      <c r="D184" s="6">
        <v>4845.0</v>
      </c>
      <c r="E184" s="7">
        <v>44592.0</v>
      </c>
      <c r="F184" s="5">
        <v>0.0</v>
      </c>
      <c r="G184" s="8">
        <v>2022.01</v>
      </c>
      <c r="H184" s="9" t="s">
        <v>51</v>
      </c>
      <c r="I184" s="9" t="s">
        <v>52</v>
      </c>
      <c r="J184" s="9" t="s">
        <v>215</v>
      </c>
      <c r="K184" s="4" t="s">
        <v>21</v>
      </c>
      <c r="L184" s="10">
        <v>30.0</v>
      </c>
      <c r="M184" s="11">
        <v>0.0</v>
      </c>
      <c r="N184" s="12">
        <v>0.0</v>
      </c>
      <c r="O184" s="12">
        <v>250.0</v>
      </c>
      <c r="P184" s="13">
        <v>44622.0</v>
      </c>
      <c r="Q184" s="12">
        <v>250.0</v>
      </c>
      <c r="R184" s="14"/>
      <c r="S184" s="15">
        <v>44593.0</v>
      </c>
      <c r="T184" s="4" t="b">
        <v>1</v>
      </c>
    </row>
    <row r="185" hidden="1">
      <c r="A185" s="45" t="s">
        <v>97</v>
      </c>
      <c r="B185" s="17">
        <v>300.0</v>
      </c>
      <c r="C185" s="16" t="s">
        <v>18</v>
      </c>
      <c r="D185" s="18">
        <v>4846.0</v>
      </c>
      <c r="E185" s="19">
        <v>44592.0</v>
      </c>
      <c r="F185" s="17">
        <v>9.33</v>
      </c>
      <c r="G185" s="20">
        <v>2022.01</v>
      </c>
      <c r="H185" s="21" t="s">
        <v>51</v>
      </c>
      <c r="I185" s="21" t="s">
        <v>52</v>
      </c>
      <c r="J185" s="21" t="s">
        <v>98</v>
      </c>
      <c r="K185" s="16" t="s">
        <v>21</v>
      </c>
      <c r="L185" s="22">
        <v>30.0</v>
      </c>
      <c r="M185" s="11">
        <v>0.0</v>
      </c>
      <c r="N185" s="23">
        <v>0.0</v>
      </c>
      <c r="O185" s="23">
        <v>290.67</v>
      </c>
      <c r="P185" s="24">
        <v>44622.0</v>
      </c>
      <c r="Q185" s="23">
        <v>300.0</v>
      </c>
      <c r="R185" s="25"/>
      <c r="S185" s="26">
        <v>44593.0</v>
      </c>
      <c r="T185" s="16" t="b">
        <v>1</v>
      </c>
    </row>
    <row r="186" hidden="1">
      <c r="A186" s="45" t="s">
        <v>92</v>
      </c>
      <c r="B186" s="5">
        <v>2500.0</v>
      </c>
      <c r="C186" s="4" t="s">
        <v>18</v>
      </c>
      <c r="D186" s="6">
        <v>4847.0</v>
      </c>
      <c r="E186" s="7">
        <v>44592.0</v>
      </c>
      <c r="F186" s="5">
        <v>77.78</v>
      </c>
      <c r="G186" s="8">
        <v>2022.01</v>
      </c>
      <c r="H186" s="9" t="s">
        <v>51</v>
      </c>
      <c r="I186" s="9" t="s">
        <v>52</v>
      </c>
      <c r="J186" s="9" t="s">
        <v>93</v>
      </c>
      <c r="K186" s="4" t="s">
        <v>21</v>
      </c>
      <c r="L186" s="10">
        <v>30.0</v>
      </c>
      <c r="M186" s="11">
        <v>0.0</v>
      </c>
      <c r="N186" s="12">
        <v>0.0</v>
      </c>
      <c r="O186" s="12">
        <v>2422.22</v>
      </c>
      <c r="P186" s="13">
        <v>44622.0</v>
      </c>
      <c r="Q186" s="12">
        <v>2500.0</v>
      </c>
      <c r="R186" s="14"/>
      <c r="S186" s="15">
        <v>44593.0</v>
      </c>
      <c r="T186" s="4" t="b">
        <v>1</v>
      </c>
    </row>
    <row r="187" hidden="1">
      <c r="A187" s="47" t="s">
        <v>112</v>
      </c>
      <c r="B187" s="17">
        <v>427.26075</v>
      </c>
      <c r="C187" s="16" t="s">
        <v>18</v>
      </c>
      <c r="D187" s="18" t="s">
        <v>270</v>
      </c>
      <c r="E187" s="19">
        <v>44592.0</v>
      </c>
      <c r="F187" s="35">
        <v>16.17487125</v>
      </c>
      <c r="G187" s="20">
        <v>2022.01</v>
      </c>
      <c r="H187" s="21" t="s">
        <v>51</v>
      </c>
      <c r="I187" s="21" t="s">
        <v>52</v>
      </c>
      <c r="J187" s="21" t="s">
        <v>114</v>
      </c>
      <c r="K187" s="16" t="s">
        <v>9</v>
      </c>
      <c r="L187" s="22">
        <v>30.0</v>
      </c>
      <c r="M187" s="11">
        <v>0.0</v>
      </c>
      <c r="N187" s="23">
        <v>0.0</v>
      </c>
      <c r="O187" s="23">
        <v>411.08587874999995</v>
      </c>
      <c r="P187" s="24">
        <v>44622.0</v>
      </c>
      <c r="Q187" s="23">
        <v>350.0</v>
      </c>
      <c r="R187" s="25"/>
      <c r="S187" s="26">
        <v>44593.0</v>
      </c>
      <c r="T187" s="16" t="b">
        <v>1</v>
      </c>
    </row>
    <row r="188" hidden="1">
      <c r="A188" s="45" t="s">
        <v>123</v>
      </c>
      <c r="B188" s="5">
        <v>6754.643499999999</v>
      </c>
      <c r="C188" s="4" t="s">
        <v>18</v>
      </c>
      <c r="D188" s="6" t="s">
        <v>271</v>
      </c>
      <c r="E188" s="7">
        <v>44592.0</v>
      </c>
      <c r="F188" s="34">
        <v>250.2902446</v>
      </c>
      <c r="G188" s="8">
        <v>2022.01</v>
      </c>
      <c r="H188" s="9" t="s">
        <v>51</v>
      </c>
      <c r="I188" s="9" t="s">
        <v>52</v>
      </c>
      <c r="J188" s="9" t="s">
        <v>126</v>
      </c>
      <c r="K188" s="4" t="s">
        <v>9</v>
      </c>
      <c r="L188" s="10">
        <v>30.0</v>
      </c>
      <c r="M188" s="11">
        <v>0.2</v>
      </c>
      <c r="N188" s="12">
        <v>1300.87065108</v>
      </c>
      <c r="O188" s="12">
        <v>5203.482604319999</v>
      </c>
      <c r="P188" s="13">
        <v>44622.0</v>
      </c>
      <c r="Q188" s="12">
        <v>5500.0</v>
      </c>
      <c r="R188" s="14"/>
      <c r="S188" s="15">
        <v>44593.0</v>
      </c>
      <c r="T188" s="4" t="b">
        <v>1</v>
      </c>
    </row>
    <row r="189" hidden="1">
      <c r="A189" s="46" t="s">
        <v>115</v>
      </c>
      <c r="B189" s="17">
        <v>2453.05</v>
      </c>
      <c r="C189" s="16" t="s">
        <v>18</v>
      </c>
      <c r="D189" s="18" t="s">
        <v>272</v>
      </c>
      <c r="E189" s="19">
        <v>44592.0</v>
      </c>
      <c r="F189" s="17">
        <v>0.0</v>
      </c>
      <c r="G189" s="20">
        <v>2022.01</v>
      </c>
      <c r="H189" s="21" t="s">
        <v>51</v>
      </c>
      <c r="I189" s="21" t="s">
        <v>52</v>
      </c>
      <c r="J189" s="21" t="s">
        <v>117</v>
      </c>
      <c r="K189" s="16" t="s">
        <v>9</v>
      </c>
      <c r="L189" s="22">
        <v>30.0</v>
      </c>
      <c r="M189" s="11">
        <v>0.0</v>
      </c>
      <c r="N189" s="23">
        <v>0.0</v>
      </c>
      <c r="O189" s="23">
        <v>2453.05</v>
      </c>
      <c r="P189" s="24">
        <v>44622.0</v>
      </c>
      <c r="Q189" s="23">
        <v>2000.0</v>
      </c>
      <c r="R189" s="25"/>
      <c r="S189" s="26">
        <v>44593.0</v>
      </c>
      <c r="T189" s="16" t="b">
        <v>1</v>
      </c>
    </row>
    <row r="190" hidden="1">
      <c r="A190" s="45" t="s">
        <v>118</v>
      </c>
      <c r="B190" s="5">
        <v>2453.05</v>
      </c>
      <c r="C190" s="4" t="s">
        <v>18</v>
      </c>
      <c r="D190" s="6" t="s">
        <v>273</v>
      </c>
      <c r="E190" s="7">
        <v>44592.0</v>
      </c>
      <c r="F190" s="5">
        <v>0.0</v>
      </c>
      <c r="G190" s="8">
        <v>2022.01</v>
      </c>
      <c r="H190" s="9" t="s">
        <v>51</v>
      </c>
      <c r="I190" s="9" t="s">
        <v>52</v>
      </c>
      <c r="J190" s="9" t="s">
        <v>117</v>
      </c>
      <c r="K190" s="4" t="s">
        <v>9</v>
      </c>
      <c r="L190" s="10">
        <v>30.0</v>
      </c>
      <c r="M190" s="11">
        <v>0.0</v>
      </c>
      <c r="N190" s="12">
        <v>0.0</v>
      </c>
      <c r="O190" s="12">
        <v>2453.05</v>
      </c>
      <c r="P190" s="13">
        <v>44622.0</v>
      </c>
      <c r="Q190" s="12">
        <v>2000.0</v>
      </c>
      <c r="R190" s="14"/>
      <c r="S190" s="15">
        <v>44593.0</v>
      </c>
      <c r="T190" s="4" t="b">
        <v>1</v>
      </c>
    </row>
    <row r="191" hidden="1">
      <c r="A191" s="46" t="s">
        <v>73</v>
      </c>
      <c r="B191" s="17">
        <v>700.0</v>
      </c>
      <c r="C191" s="16" t="s">
        <v>18</v>
      </c>
      <c r="D191" s="18">
        <v>4848.0</v>
      </c>
      <c r="E191" s="19">
        <v>44592.0</v>
      </c>
      <c r="F191" s="17">
        <v>0.0</v>
      </c>
      <c r="G191" s="20">
        <v>2022.01</v>
      </c>
      <c r="H191" s="21" t="s">
        <v>51</v>
      </c>
      <c r="I191" s="21" t="s">
        <v>52</v>
      </c>
      <c r="J191" s="21" t="s">
        <v>74</v>
      </c>
      <c r="K191" s="16" t="s">
        <v>21</v>
      </c>
      <c r="L191" s="22">
        <v>30.0</v>
      </c>
      <c r="M191" s="11">
        <v>0.0</v>
      </c>
      <c r="N191" s="23">
        <v>0.0</v>
      </c>
      <c r="O191" s="23">
        <v>700.0</v>
      </c>
      <c r="P191" s="24">
        <v>44622.0</v>
      </c>
      <c r="Q191" s="23">
        <v>700.0</v>
      </c>
      <c r="R191" s="25"/>
      <c r="S191" s="26">
        <v>44593.0</v>
      </c>
      <c r="T191" s="16" t="b">
        <v>1</v>
      </c>
    </row>
    <row r="192" hidden="1">
      <c r="A192" s="45" t="s">
        <v>223</v>
      </c>
      <c r="B192" s="5">
        <v>800.0</v>
      </c>
      <c r="C192" s="4" t="s">
        <v>18</v>
      </c>
      <c r="D192" s="6">
        <v>4849.0</v>
      </c>
      <c r="E192" s="7">
        <v>44592.0</v>
      </c>
      <c r="F192" s="5">
        <v>24.89</v>
      </c>
      <c r="G192" s="8">
        <v>2022.01</v>
      </c>
      <c r="H192" s="9" t="s">
        <v>51</v>
      </c>
      <c r="I192" s="9" t="s">
        <v>52</v>
      </c>
      <c r="J192" s="9" t="s">
        <v>247</v>
      </c>
      <c r="K192" s="4" t="s">
        <v>21</v>
      </c>
      <c r="L192" s="10">
        <v>30.0</v>
      </c>
      <c r="M192" s="11">
        <v>0.0</v>
      </c>
      <c r="N192" s="12">
        <v>0.0</v>
      </c>
      <c r="O192" s="12">
        <v>775.11</v>
      </c>
      <c r="P192" s="13">
        <v>44622.0</v>
      </c>
      <c r="Q192" s="12">
        <v>800.0</v>
      </c>
      <c r="R192" s="14"/>
      <c r="S192" s="15">
        <v>44593.0</v>
      </c>
      <c r="T192" s="4" t="b">
        <v>1</v>
      </c>
    </row>
    <row r="193" hidden="1">
      <c r="A193" s="16" t="s">
        <v>137</v>
      </c>
      <c r="B193" s="17">
        <v>4000.0</v>
      </c>
      <c r="C193" s="16" t="s">
        <v>18</v>
      </c>
      <c r="D193" s="18">
        <v>4850.0</v>
      </c>
      <c r="E193" s="19">
        <v>44599.0</v>
      </c>
      <c r="F193" s="17">
        <v>118.52</v>
      </c>
      <c r="G193" s="20">
        <v>2022.0</v>
      </c>
      <c r="H193" s="21" t="s">
        <v>195</v>
      </c>
      <c r="I193" s="21" t="s">
        <v>274</v>
      </c>
      <c r="J193" s="21" t="s">
        <v>275</v>
      </c>
      <c r="K193" s="16" t="s">
        <v>21</v>
      </c>
      <c r="L193" s="22">
        <v>30.0</v>
      </c>
      <c r="M193" s="11">
        <v>0.0</v>
      </c>
      <c r="N193" s="23">
        <v>0.0</v>
      </c>
      <c r="O193" s="23">
        <v>3881.48</v>
      </c>
      <c r="P193" s="48">
        <f t="shared" ref="P193:P197" si="1">if(E193="","", E193+L193)</f>
        <v>44629</v>
      </c>
      <c r="Q193" s="23">
        <v>7000.0</v>
      </c>
      <c r="R193" s="25"/>
      <c r="S193" s="26">
        <v>44621.0</v>
      </c>
      <c r="T193" s="16" t="b">
        <v>1</v>
      </c>
    </row>
    <row r="194" hidden="1">
      <c r="A194" s="4" t="s">
        <v>276</v>
      </c>
      <c r="B194" s="5">
        <f>275*1.228796</f>
        <v>337.9189</v>
      </c>
      <c r="C194" s="4" t="s">
        <v>18</v>
      </c>
      <c r="D194" s="6" t="s">
        <v>277</v>
      </c>
      <c r="E194" s="49">
        <v>44620.0</v>
      </c>
      <c r="F194" s="34">
        <f>10.18*1.228796</f>
        <v>12.50914328</v>
      </c>
      <c r="G194" s="8">
        <v>2022.0</v>
      </c>
      <c r="H194" s="9" t="s">
        <v>182</v>
      </c>
      <c r="I194" s="9" t="s">
        <v>183</v>
      </c>
      <c r="J194" s="9" t="s">
        <v>278</v>
      </c>
      <c r="K194" s="4" t="s">
        <v>9</v>
      </c>
      <c r="L194" s="10">
        <v>30.0</v>
      </c>
      <c r="M194" s="11">
        <v>0.0</v>
      </c>
      <c r="N194" s="12">
        <v>0.0</v>
      </c>
      <c r="O194" s="12">
        <v>325.40975672</v>
      </c>
      <c r="P194" s="37">
        <f t="shared" si="1"/>
        <v>44650</v>
      </c>
      <c r="Q194" s="12">
        <v>300.0</v>
      </c>
      <c r="R194" s="14"/>
      <c r="S194" s="15">
        <v>44621.0</v>
      </c>
      <c r="T194" s="4" t="b">
        <v>1</v>
      </c>
    </row>
    <row r="195" hidden="1">
      <c r="A195" s="16" t="s">
        <v>279</v>
      </c>
      <c r="B195" s="17">
        <v>1000.0</v>
      </c>
      <c r="C195" s="16" t="s">
        <v>18</v>
      </c>
      <c r="D195" s="18">
        <v>4877.0</v>
      </c>
      <c r="E195" s="19">
        <v>44607.0</v>
      </c>
      <c r="F195" s="17">
        <v>31.11</v>
      </c>
      <c r="G195" s="20">
        <v>2022.02</v>
      </c>
      <c r="H195" s="21" t="s">
        <v>27</v>
      </c>
      <c r="I195" s="21" t="s">
        <v>280</v>
      </c>
      <c r="J195" s="21" t="s">
        <v>281</v>
      </c>
      <c r="K195" s="16" t="s">
        <v>21</v>
      </c>
      <c r="L195" s="22">
        <v>15.0</v>
      </c>
      <c r="M195" s="11">
        <v>0.0</v>
      </c>
      <c r="N195" s="23">
        <v>0.0</v>
      </c>
      <c r="O195" s="23">
        <v>968.89</v>
      </c>
      <c r="P195" s="48">
        <f t="shared" si="1"/>
        <v>44622</v>
      </c>
      <c r="Q195" s="23">
        <v>10000.0</v>
      </c>
      <c r="R195" s="25"/>
      <c r="S195" s="26">
        <v>44621.0</v>
      </c>
      <c r="T195" s="16" t="b">
        <v>1</v>
      </c>
    </row>
    <row r="196" hidden="1">
      <c r="A196" s="4" t="s">
        <v>279</v>
      </c>
      <c r="B196" s="5">
        <v>2000.0</v>
      </c>
      <c r="C196" s="4" t="s">
        <v>18</v>
      </c>
      <c r="D196" s="6">
        <v>4970.0</v>
      </c>
      <c r="E196" s="7">
        <v>44651.0</v>
      </c>
      <c r="F196" s="5">
        <v>62.22</v>
      </c>
      <c r="G196" s="8">
        <v>2022.03</v>
      </c>
      <c r="H196" s="9" t="s">
        <v>51</v>
      </c>
      <c r="I196" s="9" t="s">
        <v>282</v>
      </c>
      <c r="J196" s="9" t="s">
        <v>283</v>
      </c>
      <c r="K196" s="4" t="s">
        <v>21</v>
      </c>
      <c r="L196" s="10">
        <v>15.0</v>
      </c>
      <c r="M196" s="11">
        <v>0.0</v>
      </c>
      <c r="N196" s="12">
        <v>0.0</v>
      </c>
      <c r="O196" s="12">
        <v>1937.78</v>
      </c>
      <c r="P196" s="37">
        <f t="shared" si="1"/>
        <v>44666</v>
      </c>
      <c r="Q196" s="12">
        <v>10000.0</v>
      </c>
      <c r="R196" s="14"/>
      <c r="S196" s="15">
        <v>44621.0</v>
      </c>
      <c r="T196" s="4" t="b">
        <v>1</v>
      </c>
    </row>
    <row r="197" hidden="1">
      <c r="A197" s="16" t="s">
        <v>279</v>
      </c>
      <c r="B197" s="17">
        <v>7000.0</v>
      </c>
      <c r="C197" s="16" t="s">
        <v>18</v>
      </c>
      <c r="D197" s="18">
        <v>4991.0</v>
      </c>
      <c r="E197" s="19">
        <v>44666.0</v>
      </c>
      <c r="F197" s="17">
        <v>217.78</v>
      </c>
      <c r="G197" s="20">
        <v>2022.04</v>
      </c>
      <c r="H197" s="21" t="s">
        <v>27</v>
      </c>
      <c r="I197" s="21" t="s">
        <v>52</v>
      </c>
      <c r="J197" s="21" t="s">
        <v>284</v>
      </c>
      <c r="K197" s="16" t="s">
        <v>21</v>
      </c>
      <c r="L197" s="22">
        <v>15.0</v>
      </c>
      <c r="M197" s="11">
        <v>0.0</v>
      </c>
      <c r="N197" s="23">
        <v>0.0</v>
      </c>
      <c r="O197" s="23">
        <v>6782.22</v>
      </c>
      <c r="P197" s="48">
        <f t="shared" si="1"/>
        <v>44681</v>
      </c>
      <c r="Q197" s="23">
        <v>10000.0</v>
      </c>
      <c r="R197" s="25"/>
      <c r="S197" s="26">
        <v>44621.0</v>
      </c>
      <c r="T197" s="16" t="b">
        <v>1</v>
      </c>
    </row>
    <row r="198">
      <c r="A198" s="4" t="s">
        <v>279</v>
      </c>
      <c r="B198" s="5">
        <v>1166.66</v>
      </c>
      <c r="C198" s="4" t="s">
        <v>47</v>
      </c>
      <c r="D198" s="39"/>
      <c r="E198" s="7">
        <v>44696.0</v>
      </c>
      <c r="F198" s="34"/>
      <c r="G198" s="8">
        <v>2022.05</v>
      </c>
      <c r="H198" s="9" t="s">
        <v>27</v>
      </c>
      <c r="I198" s="9" t="s">
        <v>52</v>
      </c>
      <c r="J198" s="9" t="s">
        <v>285</v>
      </c>
      <c r="K198" s="4" t="s">
        <v>21</v>
      </c>
      <c r="L198" s="10">
        <v>15.0</v>
      </c>
      <c r="M198" s="11">
        <v>0.0</v>
      </c>
      <c r="N198" s="12">
        <v>0.0</v>
      </c>
      <c r="O198" s="12">
        <v>1166.66</v>
      </c>
      <c r="P198" s="13">
        <v>44711.0</v>
      </c>
      <c r="Q198" s="12">
        <v>10000.0</v>
      </c>
      <c r="R198" s="14"/>
      <c r="S198" s="15"/>
      <c r="T198" s="4" t="b">
        <v>1</v>
      </c>
    </row>
    <row r="199">
      <c r="A199" s="16" t="s">
        <v>279</v>
      </c>
      <c r="B199" s="17">
        <v>1166.66</v>
      </c>
      <c r="C199" s="16" t="s">
        <v>47</v>
      </c>
      <c r="D199" s="44"/>
      <c r="E199" s="19">
        <v>44727.0</v>
      </c>
      <c r="F199" s="35"/>
      <c r="G199" s="20">
        <v>2022.06</v>
      </c>
      <c r="H199" s="21" t="s">
        <v>27</v>
      </c>
      <c r="I199" s="21" t="s">
        <v>52</v>
      </c>
      <c r="J199" s="21" t="s">
        <v>285</v>
      </c>
      <c r="K199" s="16" t="s">
        <v>21</v>
      </c>
      <c r="L199" s="22">
        <v>15.0</v>
      </c>
      <c r="M199" s="11">
        <v>0.0</v>
      </c>
      <c r="N199" s="23">
        <v>0.0</v>
      </c>
      <c r="O199" s="23">
        <v>1166.66</v>
      </c>
      <c r="P199" s="24">
        <v>44742.0</v>
      </c>
      <c r="Q199" s="23">
        <v>10000.0</v>
      </c>
      <c r="R199" s="25"/>
      <c r="S199" s="26"/>
      <c r="T199" s="16" t="b">
        <v>1</v>
      </c>
    </row>
    <row r="200">
      <c r="A200" s="4" t="s">
        <v>279</v>
      </c>
      <c r="B200" s="5">
        <v>1166.66</v>
      </c>
      <c r="C200" s="4" t="s">
        <v>47</v>
      </c>
      <c r="D200" s="39"/>
      <c r="E200" s="7">
        <v>44757.0</v>
      </c>
      <c r="F200" s="34"/>
      <c r="G200" s="8">
        <v>2022.07</v>
      </c>
      <c r="H200" s="9" t="s">
        <v>27</v>
      </c>
      <c r="I200" s="9" t="s">
        <v>52</v>
      </c>
      <c r="J200" s="9" t="s">
        <v>285</v>
      </c>
      <c r="K200" s="4" t="s">
        <v>21</v>
      </c>
      <c r="L200" s="10">
        <v>15.0</v>
      </c>
      <c r="M200" s="11">
        <v>0.0</v>
      </c>
      <c r="N200" s="12">
        <v>0.0</v>
      </c>
      <c r="O200" s="12">
        <v>1166.66</v>
      </c>
      <c r="P200" s="13">
        <v>44772.0</v>
      </c>
      <c r="Q200" s="12">
        <v>10000.0</v>
      </c>
      <c r="R200" s="14"/>
      <c r="S200" s="15"/>
      <c r="T200" s="4" t="b">
        <v>1</v>
      </c>
    </row>
    <row r="201">
      <c r="A201" s="16" t="s">
        <v>279</v>
      </c>
      <c r="B201" s="17">
        <v>1166.66</v>
      </c>
      <c r="C201" s="16" t="s">
        <v>47</v>
      </c>
      <c r="D201" s="44"/>
      <c r="E201" s="19">
        <v>44788.0</v>
      </c>
      <c r="F201" s="35"/>
      <c r="G201" s="20">
        <v>2022.08</v>
      </c>
      <c r="H201" s="21" t="s">
        <v>27</v>
      </c>
      <c r="I201" s="21" t="s">
        <v>52</v>
      </c>
      <c r="J201" s="21" t="s">
        <v>285</v>
      </c>
      <c r="K201" s="16" t="s">
        <v>21</v>
      </c>
      <c r="L201" s="22">
        <v>15.0</v>
      </c>
      <c r="M201" s="11">
        <v>0.0</v>
      </c>
      <c r="N201" s="23">
        <v>0.0</v>
      </c>
      <c r="O201" s="23">
        <v>1166.66</v>
      </c>
      <c r="P201" s="24">
        <v>44803.0</v>
      </c>
      <c r="Q201" s="23">
        <v>10000.0</v>
      </c>
      <c r="R201" s="25"/>
      <c r="S201" s="26"/>
      <c r="T201" s="16" t="b">
        <v>1</v>
      </c>
    </row>
    <row r="202">
      <c r="A202" s="4" t="s">
        <v>279</v>
      </c>
      <c r="B202" s="5">
        <v>1166.66</v>
      </c>
      <c r="C202" s="4" t="s">
        <v>47</v>
      </c>
      <c r="D202" s="39"/>
      <c r="E202" s="7">
        <v>44819.0</v>
      </c>
      <c r="F202" s="34"/>
      <c r="G202" s="8">
        <v>2022.09</v>
      </c>
      <c r="H202" s="9" t="s">
        <v>27</v>
      </c>
      <c r="I202" s="9" t="s">
        <v>52</v>
      </c>
      <c r="J202" s="9" t="s">
        <v>285</v>
      </c>
      <c r="K202" s="4" t="s">
        <v>21</v>
      </c>
      <c r="L202" s="10">
        <v>15.0</v>
      </c>
      <c r="M202" s="11">
        <v>0.0</v>
      </c>
      <c r="N202" s="12">
        <v>0.0</v>
      </c>
      <c r="O202" s="12">
        <v>1166.66</v>
      </c>
      <c r="P202" s="13">
        <v>44834.0</v>
      </c>
      <c r="Q202" s="12">
        <v>10000.0</v>
      </c>
      <c r="R202" s="14"/>
      <c r="S202" s="15"/>
      <c r="T202" s="4" t="b">
        <v>1</v>
      </c>
    </row>
    <row r="203" hidden="1">
      <c r="A203" s="16" t="s">
        <v>58</v>
      </c>
      <c r="B203" s="17">
        <v>173.65</v>
      </c>
      <c r="C203" s="16" t="s">
        <v>18</v>
      </c>
      <c r="D203" s="18">
        <v>4878.0</v>
      </c>
      <c r="E203" s="19">
        <v>44607.0</v>
      </c>
      <c r="F203" s="17">
        <v>5.15</v>
      </c>
      <c r="G203" s="20">
        <v>2022.0</v>
      </c>
      <c r="H203" s="21" t="s">
        <v>209</v>
      </c>
      <c r="I203" s="21" t="s">
        <v>252</v>
      </c>
      <c r="J203" s="21" t="s">
        <v>286</v>
      </c>
      <c r="K203" s="16" t="s">
        <v>21</v>
      </c>
      <c r="L203" s="22">
        <v>30.0</v>
      </c>
      <c r="M203" s="11">
        <v>0.0</v>
      </c>
      <c r="N203" s="23">
        <v>0.0</v>
      </c>
      <c r="O203" s="23">
        <v>168.5</v>
      </c>
      <c r="P203" s="48">
        <f t="shared" ref="P203:P205" si="2">if(E203="","", E203+L203)</f>
        <v>44637</v>
      </c>
      <c r="Q203" s="23">
        <v>1550.0</v>
      </c>
      <c r="R203" s="25"/>
      <c r="S203" s="26">
        <v>44621.0</v>
      </c>
      <c r="T203" s="16" t="b">
        <v>1</v>
      </c>
    </row>
    <row r="204" hidden="1">
      <c r="A204" s="4" t="s">
        <v>156</v>
      </c>
      <c r="B204" s="5">
        <f>1400*1.228311</f>
        <v>1719.6354</v>
      </c>
      <c r="C204" s="4" t="s">
        <v>18</v>
      </c>
      <c r="D204" s="6" t="s">
        <v>287</v>
      </c>
      <c r="E204" s="7">
        <v>44607.0</v>
      </c>
      <c r="F204" s="34">
        <f>52.1*1.228311</f>
        <v>63.9950031</v>
      </c>
      <c r="G204" s="8">
        <v>2022.02</v>
      </c>
      <c r="H204" s="9" t="s">
        <v>27</v>
      </c>
      <c r="I204" s="9" t="s">
        <v>52</v>
      </c>
      <c r="J204" s="9" t="s">
        <v>288</v>
      </c>
      <c r="K204" s="4" t="s">
        <v>9</v>
      </c>
      <c r="L204" s="10">
        <v>30.0</v>
      </c>
      <c r="M204" s="11">
        <v>0.2</v>
      </c>
      <c r="N204" s="12">
        <v>331.12807938</v>
      </c>
      <c r="O204" s="12">
        <v>1324.51231752</v>
      </c>
      <c r="P204" s="37">
        <f t="shared" si="2"/>
        <v>44637</v>
      </c>
      <c r="Q204" s="12">
        <v>500.0</v>
      </c>
      <c r="R204" s="14"/>
      <c r="S204" s="15">
        <v>44621.0</v>
      </c>
      <c r="T204" s="4" t="b">
        <v>1</v>
      </c>
    </row>
    <row r="205" hidden="1">
      <c r="A205" s="16" t="s">
        <v>289</v>
      </c>
      <c r="B205" s="17">
        <f>1425/2</f>
        <v>712.5</v>
      </c>
      <c r="C205" s="16" t="s">
        <v>18</v>
      </c>
      <c r="D205" s="18">
        <v>4879.0</v>
      </c>
      <c r="E205" s="19">
        <v>44607.0</v>
      </c>
      <c r="F205" s="17">
        <v>23.86</v>
      </c>
      <c r="G205" s="20">
        <v>2022.0</v>
      </c>
      <c r="H205" s="21" t="s">
        <v>195</v>
      </c>
      <c r="I205" s="21" t="s">
        <v>290</v>
      </c>
      <c r="J205" s="21" t="s">
        <v>291</v>
      </c>
      <c r="K205" s="16" t="s">
        <v>21</v>
      </c>
      <c r="L205" s="16">
        <v>0.0</v>
      </c>
      <c r="M205" s="11">
        <v>0.0</v>
      </c>
      <c r="N205" s="23">
        <v>0.0</v>
      </c>
      <c r="O205" s="23">
        <v>688.64</v>
      </c>
      <c r="P205" s="48">
        <f t="shared" si="2"/>
        <v>44607</v>
      </c>
      <c r="Q205" s="23">
        <v>1425.0</v>
      </c>
      <c r="R205" s="25"/>
      <c r="S205" s="26">
        <v>44621.0</v>
      </c>
      <c r="T205" s="16" t="b">
        <v>1</v>
      </c>
    </row>
    <row r="206">
      <c r="A206" s="4" t="s">
        <v>289</v>
      </c>
      <c r="B206" s="5">
        <v>712.5</v>
      </c>
      <c r="C206" s="4" t="s">
        <v>47</v>
      </c>
      <c r="D206" s="39"/>
      <c r="E206" s="7"/>
      <c r="F206" s="34"/>
      <c r="G206" s="8">
        <v>1899.0</v>
      </c>
      <c r="H206" s="9" t="s">
        <v>195</v>
      </c>
      <c r="I206" s="9" t="s">
        <v>290</v>
      </c>
      <c r="J206" s="9" t="s">
        <v>292</v>
      </c>
      <c r="K206" s="4" t="s">
        <v>21</v>
      </c>
      <c r="L206" s="10">
        <v>15.0</v>
      </c>
      <c r="M206" s="11">
        <v>0.0</v>
      </c>
      <c r="N206" s="12">
        <v>0.0</v>
      </c>
      <c r="O206" s="12">
        <v>712.5</v>
      </c>
      <c r="P206" s="13" t="s">
        <v>200</v>
      </c>
      <c r="Q206" s="12">
        <v>1425.0</v>
      </c>
      <c r="R206" s="14"/>
      <c r="S206" s="15"/>
      <c r="T206" s="4" t="b">
        <v>1</v>
      </c>
    </row>
    <row r="207" hidden="1">
      <c r="A207" s="16" t="s">
        <v>68</v>
      </c>
      <c r="B207" s="17">
        <v>650.0</v>
      </c>
      <c r="C207" s="16" t="s">
        <v>18</v>
      </c>
      <c r="D207" s="18">
        <v>4880.0</v>
      </c>
      <c r="E207" s="19">
        <v>44607.0</v>
      </c>
      <c r="F207" s="17">
        <v>20.09</v>
      </c>
      <c r="G207" s="20">
        <v>2022.02</v>
      </c>
      <c r="H207" s="21" t="s">
        <v>27</v>
      </c>
      <c r="I207" s="21" t="s">
        <v>52</v>
      </c>
      <c r="J207" s="21" t="s">
        <v>69</v>
      </c>
      <c r="K207" s="16" t="s">
        <v>21</v>
      </c>
      <c r="L207" s="22">
        <v>30.0</v>
      </c>
      <c r="M207" s="11">
        <v>0.0</v>
      </c>
      <c r="N207" s="23">
        <v>0.0</v>
      </c>
      <c r="O207" s="23">
        <v>629.91</v>
      </c>
      <c r="P207" s="48">
        <f t="shared" ref="P207:P208" si="3">if(E207="","", E207+L207)</f>
        <v>44637</v>
      </c>
      <c r="Q207" s="23">
        <v>650.0</v>
      </c>
      <c r="R207" s="25"/>
      <c r="S207" s="26">
        <v>44621.0</v>
      </c>
      <c r="T207" s="16" t="b">
        <v>1</v>
      </c>
    </row>
    <row r="208" hidden="1">
      <c r="A208" s="4" t="s">
        <v>102</v>
      </c>
      <c r="B208" s="5">
        <f>350*1.220745</f>
        <v>427.26075</v>
      </c>
      <c r="C208" s="4" t="s">
        <v>18</v>
      </c>
      <c r="D208" s="6" t="s">
        <v>293</v>
      </c>
      <c r="E208" s="7">
        <v>44607.0</v>
      </c>
      <c r="F208" s="34">
        <f>13.25*1.220745</f>
        <v>16.17487125</v>
      </c>
      <c r="G208" s="8">
        <v>2022.02</v>
      </c>
      <c r="H208" s="9" t="s">
        <v>27</v>
      </c>
      <c r="I208" s="9" t="s">
        <v>52</v>
      </c>
      <c r="J208" s="9" t="s">
        <v>104</v>
      </c>
      <c r="K208" s="4" t="s">
        <v>9</v>
      </c>
      <c r="L208" s="10">
        <v>30.0</v>
      </c>
      <c r="M208" s="11">
        <v>0.0</v>
      </c>
      <c r="N208" s="12">
        <v>0.0</v>
      </c>
      <c r="O208" s="12">
        <v>411.08587874999995</v>
      </c>
      <c r="P208" s="37">
        <f t="shared" si="3"/>
        <v>44637</v>
      </c>
      <c r="Q208" s="12">
        <v>350.0</v>
      </c>
      <c r="R208" s="14"/>
      <c r="S208" s="15">
        <v>44621.0</v>
      </c>
      <c r="T208" s="4" t="b">
        <v>1</v>
      </c>
    </row>
    <row r="209" hidden="1">
      <c r="A209" s="16" t="s">
        <v>62</v>
      </c>
      <c r="B209" s="17">
        <v>1600.0</v>
      </c>
      <c r="C209" s="16" t="s">
        <v>18</v>
      </c>
      <c r="D209" s="18">
        <v>4881.0</v>
      </c>
      <c r="E209" s="19">
        <v>44607.0</v>
      </c>
      <c r="F209" s="17">
        <v>49.79</v>
      </c>
      <c r="G209" s="20">
        <v>2022.02</v>
      </c>
      <c r="H209" s="21" t="s">
        <v>27</v>
      </c>
      <c r="I209" s="21" t="s">
        <v>52</v>
      </c>
      <c r="J209" s="21" t="s">
        <v>63</v>
      </c>
      <c r="K209" s="16" t="s">
        <v>21</v>
      </c>
      <c r="L209" s="22">
        <v>30.0</v>
      </c>
      <c r="M209" s="11">
        <v>0.0</v>
      </c>
      <c r="N209" s="23">
        <v>0.0</v>
      </c>
      <c r="O209" s="23">
        <v>1550.21</v>
      </c>
      <c r="P209" s="24"/>
      <c r="Q209" s="23">
        <v>1600.0</v>
      </c>
      <c r="R209" s="25"/>
      <c r="S209" s="26">
        <v>44621.0</v>
      </c>
      <c r="T209" s="16" t="b">
        <v>1</v>
      </c>
    </row>
    <row r="210" hidden="1">
      <c r="A210" s="4" t="s">
        <v>66</v>
      </c>
      <c r="B210" s="5">
        <v>900.0</v>
      </c>
      <c r="C210" s="4" t="s">
        <v>18</v>
      </c>
      <c r="D210" s="6">
        <v>4882.0</v>
      </c>
      <c r="E210" s="7">
        <v>44607.0</v>
      </c>
      <c r="F210" s="5">
        <v>0.0</v>
      </c>
      <c r="G210" s="8">
        <v>2022.02</v>
      </c>
      <c r="H210" s="9" t="s">
        <v>27</v>
      </c>
      <c r="I210" s="9" t="s">
        <v>52</v>
      </c>
      <c r="J210" s="9" t="s">
        <v>294</v>
      </c>
      <c r="K210" s="4" t="s">
        <v>21</v>
      </c>
      <c r="L210" s="10">
        <v>30.0</v>
      </c>
      <c r="M210" s="11">
        <v>0.0</v>
      </c>
      <c r="N210" s="12">
        <v>0.0</v>
      </c>
      <c r="O210" s="12">
        <v>900.0</v>
      </c>
      <c r="P210" s="13"/>
      <c r="Q210" s="12">
        <v>900.0</v>
      </c>
      <c r="R210" s="14"/>
      <c r="S210" s="15">
        <v>44621.0</v>
      </c>
      <c r="T210" s="4" t="b">
        <v>1</v>
      </c>
    </row>
    <row r="211" hidden="1">
      <c r="A211" s="16" t="s">
        <v>225</v>
      </c>
      <c r="B211" s="17">
        <v>5000.0</v>
      </c>
      <c r="C211" s="16" t="s">
        <v>18</v>
      </c>
      <c r="D211" s="18">
        <v>4883.0</v>
      </c>
      <c r="E211" s="19">
        <v>44607.0</v>
      </c>
      <c r="F211" s="17">
        <v>0.0</v>
      </c>
      <c r="G211" s="20">
        <v>2022.02</v>
      </c>
      <c r="H211" s="21" t="s">
        <v>27</v>
      </c>
      <c r="I211" s="21" t="s">
        <v>52</v>
      </c>
      <c r="J211" s="21" t="s">
        <v>295</v>
      </c>
      <c r="K211" s="16" t="s">
        <v>21</v>
      </c>
      <c r="L211" s="22">
        <v>30.0</v>
      </c>
      <c r="M211" s="11">
        <v>0.0</v>
      </c>
      <c r="N211" s="23">
        <v>0.0</v>
      </c>
      <c r="O211" s="23">
        <v>5000.0</v>
      </c>
      <c r="P211" s="24"/>
      <c r="Q211" s="23">
        <v>5000.0</v>
      </c>
      <c r="R211" s="25"/>
      <c r="S211" s="26">
        <v>44621.0</v>
      </c>
      <c r="T211" s="16" t="b">
        <v>1</v>
      </c>
    </row>
    <row r="212" hidden="1">
      <c r="A212" s="4" t="s">
        <v>246</v>
      </c>
      <c r="B212" s="5">
        <v>500.0</v>
      </c>
      <c r="C212" s="4" t="s">
        <v>18</v>
      </c>
      <c r="D212" s="6">
        <v>4884.0</v>
      </c>
      <c r="E212" s="7">
        <v>44607.0</v>
      </c>
      <c r="F212" s="5">
        <v>0.0</v>
      </c>
      <c r="G212" s="8">
        <v>2022.02</v>
      </c>
      <c r="H212" s="9" t="s">
        <v>27</v>
      </c>
      <c r="I212" s="9" t="s">
        <v>52</v>
      </c>
      <c r="J212" s="9" t="s">
        <v>247</v>
      </c>
      <c r="K212" s="4" t="s">
        <v>21</v>
      </c>
      <c r="L212" s="10">
        <v>30.0</v>
      </c>
      <c r="M212" s="11">
        <v>0.0</v>
      </c>
      <c r="N212" s="12">
        <v>0.0</v>
      </c>
      <c r="O212" s="12">
        <v>500.0</v>
      </c>
      <c r="P212" s="13"/>
      <c r="Q212" s="12">
        <v>500.0</v>
      </c>
      <c r="R212" s="14"/>
      <c r="S212" s="15">
        <v>44621.0</v>
      </c>
      <c r="T212" s="4" t="b">
        <v>1</v>
      </c>
    </row>
    <row r="213" hidden="1">
      <c r="A213" s="16" t="s">
        <v>296</v>
      </c>
      <c r="B213" s="17">
        <f>2500*1.2227</f>
        <v>3056.75</v>
      </c>
      <c r="C213" s="16" t="s">
        <v>18</v>
      </c>
      <c r="D213" s="18" t="s">
        <v>297</v>
      </c>
      <c r="E213" s="19">
        <v>44607.0</v>
      </c>
      <c r="F213" s="17">
        <v>0.0</v>
      </c>
      <c r="G213" s="20">
        <v>2022.02</v>
      </c>
      <c r="H213" s="21" t="s">
        <v>27</v>
      </c>
      <c r="I213" s="21" t="s">
        <v>52</v>
      </c>
      <c r="J213" s="21" t="s">
        <v>298</v>
      </c>
      <c r="K213" s="16" t="s">
        <v>9</v>
      </c>
      <c r="L213" s="22">
        <v>30.0</v>
      </c>
      <c r="M213" s="11">
        <v>0.0</v>
      </c>
      <c r="N213" s="23">
        <v>0.0</v>
      </c>
      <c r="O213" s="23">
        <v>3056.7499999999995</v>
      </c>
      <c r="P213" s="48">
        <f t="shared" ref="P213:P431" si="4">if(E213="","", E213+L213)</f>
        <v>44637</v>
      </c>
      <c r="Q213" s="23">
        <v>2500.0</v>
      </c>
      <c r="R213" s="25"/>
      <c r="S213" s="26">
        <v>44621.0</v>
      </c>
      <c r="T213" s="16" t="b">
        <v>1</v>
      </c>
    </row>
    <row r="214" hidden="1">
      <c r="A214" s="4" t="s">
        <v>299</v>
      </c>
      <c r="B214" s="5">
        <f>1500*1.2227</f>
        <v>1834.05</v>
      </c>
      <c r="C214" s="4" t="s">
        <v>18</v>
      </c>
      <c r="D214" s="6" t="s">
        <v>300</v>
      </c>
      <c r="E214" s="7">
        <v>44607.0</v>
      </c>
      <c r="F214" s="5">
        <v>0.0</v>
      </c>
      <c r="G214" s="8">
        <v>2022.02</v>
      </c>
      <c r="H214" s="9" t="s">
        <v>27</v>
      </c>
      <c r="I214" s="9" t="s">
        <v>52</v>
      </c>
      <c r="J214" s="9" t="s">
        <v>301</v>
      </c>
      <c r="K214" s="4" t="s">
        <v>9</v>
      </c>
      <c r="L214" s="10">
        <v>30.0</v>
      </c>
      <c r="M214" s="11">
        <v>0.0</v>
      </c>
      <c r="N214" s="12">
        <v>0.0</v>
      </c>
      <c r="O214" s="12">
        <v>1834.05</v>
      </c>
      <c r="P214" s="37">
        <f t="shared" si="4"/>
        <v>44637</v>
      </c>
      <c r="Q214" s="12">
        <v>1500.0</v>
      </c>
      <c r="R214" s="14"/>
      <c r="S214" s="15">
        <v>44621.0</v>
      </c>
      <c r="T214" s="4" t="b">
        <v>1</v>
      </c>
    </row>
    <row r="215" hidden="1">
      <c r="A215" s="16" t="s">
        <v>302</v>
      </c>
      <c r="B215" s="17">
        <f>2500*1.231318</f>
        <v>3078.295</v>
      </c>
      <c r="C215" s="16" t="s">
        <v>18</v>
      </c>
      <c r="D215" s="18" t="s">
        <v>303</v>
      </c>
      <c r="E215" s="19">
        <v>44607.0</v>
      </c>
      <c r="F215" s="35">
        <f>92.8*1.231318</f>
        <v>114.2663104</v>
      </c>
      <c r="G215" s="20">
        <v>2022.0</v>
      </c>
      <c r="H215" s="21" t="s">
        <v>209</v>
      </c>
      <c r="I215" s="21" t="s">
        <v>252</v>
      </c>
      <c r="J215" s="21" t="s">
        <v>304</v>
      </c>
      <c r="K215" s="16" t="s">
        <v>9</v>
      </c>
      <c r="L215" s="22">
        <v>15.0</v>
      </c>
      <c r="M215" s="11">
        <v>0.0</v>
      </c>
      <c r="N215" s="23">
        <v>0.0</v>
      </c>
      <c r="O215" s="23">
        <v>2964.0286896</v>
      </c>
      <c r="P215" s="48">
        <f t="shared" si="4"/>
        <v>44622</v>
      </c>
      <c r="Q215" s="23">
        <v>2500.0</v>
      </c>
      <c r="R215" s="25"/>
      <c r="S215" s="26">
        <v>44621.0</v>
      </c>
      <c r="T215" s="16" t="b">
        <v>1</v>
      </c>
    </row>
    <row r="216" hidden="1">
      <c r="A216" s="4" t="s">
        <v>305</v>
      </c>
      <c r="B216" s="5">
        <f>500*1.233646</f>
        <v>616.823</v>
      </c>
      <c r="C216" s="4" t="s">
        <v>18</v>
      </c>
      <c r="D216" s="6" t="s">
        <v>306</v>
      </c>
      <c r="E216" s="7">
        <v>44607.0</v>
      </c>
      <c r="F216" s="5">
        <v>0.0</v>
      </c>
      <c r="G216" s="8">
        <v>2022.0</v>
      </c>
      <c r="H216" s="9" t="s">
        <v>209</v>
      </c>
      <c r="I216" s="9" t="s">
        <v>252</v>
      </c>
      <c r="J216" s="9" t="s">
        <v>307</v>
      </c>
      <c r="K216" s="4" t="s">
        <v>9</v>
      </c>
      <c r="L216" s="10">
        <v>30.0</v>
      </c>
      <c r="M216" s="11">
        <v>0.0</v>
      </c>
      <c r="N216" s="12">
        <v>0.0</v>
      </c>
      <c r="O216" s="12">
        <v>616.823</v>
      </c>
      <c r="P216" s="37">
        <f t="shared" si="4"/>
        <v>44637</v>
      </c>
      <c r="Q216" s="12">
        <v>500.0</v>
      </c>
      <c r="R216" s="14"/>
      <c r="S216" s="15">
        <v>44621.0</v>
      </c>
      <c r="T216" s="4" t="b">
        <v>1</v>
      </c>
    </row>
    <row r="217" hidden="1">
      <c r="A217" s="16" t="s">
        <v>299</v>
      </c>
      <c r="B217" s="17">
        <f>1500*1.2223</f>
        <v>1833.45</v>
      </c>
      <c r="C217" s="16" t="s">
        <v>18</v>
      </c>
      <c r="D217" s="18" t="s">
        <v>308</v>
      </c>
      <c r="E217" s="19">
        <v>44666.0</v>
      </c>
      <c r="F217" s="17">
        <v>0.0</v>
      </c>
      <c r="G217" s="20">
        <v>2022.04</v>
      </c>
      <c r="H217" s="21" t="s">
        <v>27</v>
      </c>
      <c r="I217" s="21" t="s">
        <v>309</v>
      </c>
      <c r="J217" s="21" t="s">
        <v>310</v>
      </c>
      <c r="K217" s="16" t="s">
        <v>9</v>
      </c>
      <c r="L217" s="22">
        <v>30.0</v>
      </c>
      <c r="M217" s="11">
        <v>0.0</v>
      </c>
      <c r="N217" s="23">
        <v>0.0</v>
      </c>
      <c r="O217" s="23">
        <v>1833.4499999999998</v>
      </c>
      <c r="P217" s="48">
        <f t="shared" si="4"/>
        <v>44696</v>
      </c>
      <c r="Q217" s="23">
        <v>1500.0</v>
      </c>
      <c r="R217" s="25"/>
      <c r="S217" s="26">
        <v>44682.0</v>
      </c>
      <c r="T217" s="16" t="b">
        <v>1</v>
      </c>
    </row>
    <row r="218" hidden="1">
      <c r="A218" s="4" t="s">
        <v>311</v>
      </c>
      <c r="B218" s="5">
        <v>1500.0</v>
      </c>
      <c r="C218" s="4" t="s">
        <v>18</v>
      </c>
      <c r="D218" s="6">
        <v>4933.0</v>
      </c>
      <c r="E218" s="7">
        <v>44635.0</v>
      </c>
      <c r="F218" s="5">
        <v>46.67</v>
      </c>
      <c r="G218" s="8">
        <v>2022.03</v>
      </c>
      <c r="H218" s="9" t="s">
        <v>27</v>
      </c>
      <c r="I218" s="9" t="s">
        <v>52</v>
      </c>
      <c r="J218" s="9" t="s">
        <v>312</v>
      </c>
      <c r="K218" s="4" t="s">
        <v>21</v>
      </c>
      <c r="L218" s="10">
        <v>30.0</v>
      </c>
      <c r="M218" s="11">
        <v>0.0</v>
      </c>
      <c r="N218" s="12">
        <v>0.0</v>
      </c>
      <c r="O218" s="12">
        <v>1453.33</v>
      </c>
      <c r="P218" s="37">
        <f t="shared" si="4"/>
        <v>44665</v>
      </c>
      <c r="Q218" s="12">
        <v>1500.0</v>
      </c>
      <c r="R218" s="14"/>
      <c r="S218" s="15">
        <v>44621.0</v>
      </c>
      <c r="T218" s="4" t="b">
        <v>1</v>
      </c>
    </row>
    <row r="219" hidden="1">
      <c r="A219" s="16" t="s">
        <v>313</v>
      </c>
      <c r="B219" s="17">
        <v>5075.0</v>
      </c>
      <c r="C219" s="16" t="s">
        <v>18</v>
      </c>
      <c r="D219" s="18">
        <v>4887.0</v>
      </c>
      <c r="E219" s="19">
        <v>44614.0</v>
      </c>
      <c r="F219" s="17">
        <v>0.0</v>
      </c>
      <c r="G219" s="20">
        <v>2022.0</v>
      </c>
      <c r="H219" s="21" t="s">
        <v>195</v>
      </c>
      <c r="I219" s="21" t="s">
        <v>196</v>
      </c>
      <c r="J219" s="21" t="s">
        <v>314</v>
      </c>
      <c r="K219" s="16" t="s">
        <v>21</v>
      </c>
      <c r="L219" s="22">
        <v>0.0</v>
      </c>
      <c r="M219" s="11">
        <v>0.0</v>
      </c>
      <c r="N219" s="23">
        <v>0.0</v>
      </c>
      <c r="O219" s="23">
        <v>5075.0</v>
      </c>
      <c r="P219" s="48">
        <f t="shared" si="4"/>
        <v>44614</v>
      </c>
      <c r="Q219" s="23"/>
      <c r="R219" s="25"/>
      <c r="S219" s="26">
        <v>44621.0</v>
      </c>
      <c r="T219" s="16" t="b">
        <v>1</v>
      </c>
    </row>
    <row r="220" hidden="1">
      <c r="A220" s="4" t="s">
        <v>313</v>
      </c>
      <c r="B220" s="5">
        <v>5075.0</v>
      </c>
      <c r="C220" s="4" t="s">
        <v>18</v>
      </c>
      <c r="D220" s="6">
        <v>4971.0</v>
      </c>
      <c r="E220" s="7">
        <v>44651.0</v>
      </c>
      <c r="F220" s="5">
        <v>172.93</v>
      </c>
      <c r="G220" s="8">
        <v>2022.0</v>
      </c>
      <c r="H220" s="9" t="s">
        <v>195</v>
      </c>
      <c r="I220" s="9" t="s">
        <v>196</v>
      </c>
      <c r="J220" s="9" t="s">
        <v>315</v>
      </c>
      <c r="K220" s="4" t="s">
        <v>21</v>
      </c>
      <c r="L220" s="10">
        <v>0.0</v>
      </c>
      <c r="M220" s="11">
        <v>0.0</v>
      </c>
      <c r="N220" s="12">
        <v>0.0</v>
      </c>
      <c r="O220" s="12">
        <v>4902.07</v>
      </c>
      <c r="P220" s="37">
        <f t="shared" si="4"/>
        <v>44651</v>
      </c>
      <c r="Q220" s="12"/>
      <c r="R220" s="14"/>
      <c r="S220" s="15">
        <v>44652.0</v>
      </c>
      <c r="T220" s="4" t="b">
        <v>1</v>
      </c>
    </row>
    <row r="221" hidden="1">
      <c r="A221" s="16" t="s">
        <v>108</v>
      </c>
      <c r="B221" s="17">
        <f>31.6*1.233549</f>
        <v>38.9801484</v>
      </c>
      <c r="C221" s="16" t="s">
        <v>18</v>
      </c>
      <c r="D221" s="18" t="s">
        <v>316</v>
      </c>
      <c r="E221" s="19">
        <v>44614.0</v>
      </c>
      <c r="F221" s="17">
        <v>0.0</v>
      </c>
      <c r="G221" s="20">
        <v>2022.02</v>
      </c>
      <c r="H221" s="21" t="s">
        <v>51</v>
      </c>
      <c r="I221" s="21" t="s">
        <v>52</v>
      </c>
      <c r="J221" s="21" t="s">
        <v>111</v>
      </c>
      <c r="K221" s="16" t="s">
        <v>9</v>
      </c>
      <c r="L221" s="22"/>
      <c r="M221" s="11">
        <v>0.0</v>
      </c>
      <c r="N221" s="23">
        <v>0.0</v>
      </c>
      <c r="O221" s="23">
        <v>38.980148400000004</v>
      </c>
      <c r="P221" s="48">
        <f t="shared" si="4"/>
        <v>44614</v>
      </c>
      <c r="Q221" s="23"/>
      <c r="R221" s="25"/>
      <c r="S221" s="26">
        <v>44621.0</v>
      </c>
      <c r="T221" s="16" t="b">
        <v>1</v>
      </c>
    </row>
    <row r="222" hidden="1">
      <c r="A222" s="4" t="s">
        <v>54</v>
      </c>
      <c r="B222" s="5">
        <v>750.0</v>
      </c>
      <c r="C222" s="4" t="s">
        <v>18</v>
      </c>
      <c r="D222" s="6">
        <v>4901.0</v>
      </c>
      <c r="E222" s="7">
        <v>44620.0</v>
      </c>
      <c r="F222" s="5">
        <v>23.33</v>
      </c>
      <c r="G222" s="8">
        <v>2022.02</v>
      </c>
      <c r="H222" s="9" t="s">
        <v>51</v>
      </c>
      <c r="I222" s="9" t="s">
        <v>52</v>
      </c>
      <c r="J222" s="9" t="s">
        <v>55</v>
      </c>
      <c r="K222" s="4" t="s">
        <v>21</v>
      </c>
      <c r="L222" s="10">
        <v>30.0</v>
      </c>
      <c r="M222" s="11">
        <v>0.0</v>
      </c>
      <c r="N222" s="12">
        <v>0.0</v>
      </c>
      <c r="O222" s="12">
        <v>726.67</v>
      </c>
      <c r="P222" s="37">
        <f t="shared" si="4"/>
        <v>44650</v>
      </c>
      <c r="Q222" s="12">
        <v>750.0</v>
      </c>
      <c r="R222" s="14"/>
      <c r="S222" s="15">
        <v>44652.0</v>
      </c>
      <c r="T222" s="4" t="b">
        <v>1</v>
      </c>
    </row>
    <row r="223" hidden="1">
      <c r="A223" s="16" t="s">
        <v>147</v>
      </c>
      <c r="B223" s="17">
        <v>900.0</v>
      </c>
      <c r="C223" s="16" t="s">
        <v>18</v>
      </c>
      <c r="D223" s="18">
        <v>4902.0</v>
      </c>
      <c r="E223" s="19">
        <v>44620.0</v>
      </c>
      <c r="F223" s="17">
        <v>28.0</v>
      </c>
      <c r="G223" s="20">
        <v>2022.02</v>
      </c>
      <c r="H223" s="21" t="s">
        <v>51</v>
      </c>
      <c r="I223" s="21" t="s">
        <v>52</v>
      </c>
      <c r="J223" s="21" t="s">
        <v>95</v>
      </c>
      <c r="K223" s="16" t="s">
        <v>21</v>
      </c>
      <c r="L223" s="22">
        <v>30.0</v>
      </c>
      <c r="M223" s="11">
        <v>0.0</v>
      </c>
      <c r="N223" s="23">
        <v>0.0</v>
      </c>
      <c r="O223" s="23">
        <v>872.0</v>
      </c>
      <c r="P223" s="48">
        <f t="shared" si="4"/>
        <v>44650</v>
      </c>
      <c r="Q223" s="23">
        <v>900.0</v>
      </c>
      <c r="R223" s="25"/>
      <c r="S223" s="26">
        <v>44621.0</v>
      </c>
      <c r="T223" s="16" t="b">
        <v>1</v>
      </c>
    </row>
    <row r="224" hidden="1">
      <c r="A224" s="4" t="s">
        <v>58</v>
      </c>
      <c r="B224" s="5">
        <v>1550.0</v>
      </c>
      <c r="C224" s="4" t="s">
        <v>18</v>
      </c>
      <c r="D224" s="6">
        <v>4903.0</v>
      </c>
      <c r="E224" s="7">
        <v>44620.0</v>
      </c>
      <c r="F224" s="5">
        <v>48.21</v>
      </c>
      <c r="G224" s="8">
        <v>2022.02</v>
      </c>
      <c r="H224" s="9" t="s">
        <v>51</v>
      </c>
      <c r="I224" s="9" t="s">
        <v>52</v>
      </c>
      <c r="J224" s="9" t="s">
        <v>59</v>
      </c>
      <c r="K224" s="4" t="s">
        <v>21</v>
      </c>
      <c r="L224" s="10">
        <v>30.0</v>
      </c>
      <c r="M224" s="11">
        <v>0.0</v>
      </c>
      <c r="N224" s="12">
        <v>0.0</v>
      </c>
      <c r="O224" s="12">
        <v>1501.79</v>
      </c>
      <c r="P224" s="37">
        <f t="shared" si="4"/>
        <v>44650</v>
      </c>
      <c r="Q224" s="12">
        <v>1550.0</v>
      </c>
      <c r="R224" s="14"/>
      <c r="S224" s="15">
        <v>44652.0</v>
      </c>
      <c r="T224" s="4" t="b">
        <v>1</v>
      </c>
    </row>
    <row r="225" hidden="1">
      <c r="A225" s="16" t="s">
        <v>120</v>
      </c>
      <c r="B225" s="17">
        <f>3000*1.208911</f>
        <v>3626.733</v>
      </c>
      <c r="C225" s="16" t="s">
        <v>18</v>
      </c>
      <c r="D225" s="18" t="s">
        <v>317</v>
      </c>
      <c r="E225" s="19">
        <v>44620.0</v>
      </c>
      <c r="F225" s="35">
        <f>116.85*1.208911</f>
        <v>141.2612504</v>
      </c>
      <c r="G225" s="20">
        <v>2022.02</v>
      </c>
      <c r="H225" s="21" t="s">
        <v>51</v>
      </c>
      <c r="I225" s="21" t="s">
        <v>52</v>
      </c>
      <c r="J225" s="21" t="s">
        <v>318</v>
      </c>
      <c r="K225" s="16" t="s">
        <v>9</v>
      </c>
      <c r="L225" s="22">
        <v>30.0</v>
      </c>
      <c r="M225" s="11">
        <v>0.2</v>
      </c>
      <c r="N225" s="23">
        <v>697.0943499300001</v>
      </c>
      <c r="O225" s="23">
        <v>2788.37739972</v>
      </c>
      <c r="P225" s="48">
        <f t="shared" si="4"/>
        <v>44650</v>
      </c>
      <c r="Q225" s="23">
        <v>3000.0</v>
      </c>
      <c r="R225" s="25"/>
      <c r="S225" s="26">
        <v>44621.0</v>
      </c>
      <c r="T225" s="16" t="b">
        <v>1</v>
      </c>
    </row>
    <row r="226" hidden="1">
      <c r="A226" s="4" t="s">
        <v>84</v>
      </c>
      <c r="B226" s="5">
        <v>1000.0</v>
      </c>
      <c r="C226" s="4" t="s">
        <v>18</v>
      </c>
      <c r="D226" s="6">
        <v>4904.0</v>
      </c>
      <c r="E226" s="7">
        <v>44620.0</v>
      </c>
      <c r="F226" s="5">
        <v>0.0</v>
      </c>
      <c r="G226" s="8">
        <v>2022.02</v>
      </c>
      <c r="H226" s="9" t="s">
        <v>51</v>
      </c>
      <c r="I226" s="9" t="s">
        <v>52</v>
      </c>
      <c r="J226" s="9" t="s">
        <v>85</v>
      </c>
      <c r="K226" s="4" t="s">
        <v>21</v>
      </c>
      <c r="L226" s="10">
        <v>30.0</v>
      </c>
      <c r="M226" s="11">
        <v>0.0</v>
      </c>
      <c r="N226" s="12">
        <v>0.0</v>
      </c>
      <c r="O226" s="12">
        <v>1000.0</v>
      </c>
      <c r="P226" s="37">
        <f t="shared" si="4"/>
        <v>44650</v>
      </c>
      <c r="Q226" s="12">
        <v>1000.0</v>
      </c>
      <c r="R226" s="14"/>
      <c r="S226" s="15">
        <v>44621.0</v>
      </c>
      <c r="T226" s="4" t="b">
        <v>1</v>
      </c>
    </row>
    <row r="227" hidden="1">
      <c r="A227" s="16" t="s">
        <v>86</v>
      </c>
      <c r="B227" s="17">
        <v>550.0</v>
      </c>
      <c r="C227" s="16" t="s">
        <v>18</v>
      </c>
      <c r="D227" s="18">
        <v>4905.0</v>
      </c>
      <c r="E227" s="19">
        <v>44620.0</v>
      </c>
      <c r="F227" s="17">
        <v>21.67</v>
      </c>
      <c r="G227" s="20">
        <v>2022.02</v>
      </c>
      <c r="H227" s="21" t="s">
        <v>51</v>
      </c>
      <c r="I227" s="21" t="s">
        <v>52</v>
      </c>
      <c r="J227" s="21" t="s">
        <v>87</v>
      </c>
      <c r="K227" s="16" t="s">
        <v>21</v>
      </c>
      <c r="L227" s="22">
        <v>30.0</v>
      </c>
      <c r="M227" s="11">
        <v>0.0</v>
      </c>
      <c r="N227" s="23">
        <v>0.0</v>
      </c>
      <c r="O227" s="23">
        <v>528.33</v>
      </c>
      <c r="P227" s="48">
        <f t="shared" si="4"/>
        <v>44650</v>
      </c>
      <c r="Q227" s="23">
        <v>550.0</v>
      </c>
      <c r="R227" s="25"/>
      <c r="S227" s="26">
        <v>44621.0</v>
      </c>
      <c r="T227" s="16" t="b">
        <v>1</v>
      </c>
    </row>
    <row r="228" hidden="1">
      <c r="A228" s="4" t="s">
        <v>42</v>
      </c>
      <c r="B228" s="5">
        <v>1500.0</v>
      </c>
      <c r="C228" s="4" t="s">
        <v>18</v>
      </c>
      <c r="D228" s="6">
        <v>4906.0</v>
      </c>
      <c r="E228" s="7">
        <v>44620.0</v>
      </c>
      <c r="F228" s="5">
        <v>46.67</v>
      </c>
      <c r="G228" s="8">
        <v>2022.02</v>
      </c>
      <c r="H228" s="9" t="s">
        <v>51</v>
      </c>
      <c r="I228" s="9" t="s">
        <v>52</v>
      </c>
      <c r="J228" s="9" t="s">
        <v>43</v>
      </c>
      <c r="K228" s="4" t="s">
        <v>21</v>
      </c>
      <c r="L228" s="10">
        <v>30.0</v>
      </c>
      <c r="M228" s="11">
        <v>0.15</v>
      </c>
      <c r="N228" s="12">
        <v>217.99949999999998</v>
      </c>
      <c r="O228" s="12">
        <v>1235.3305</v>
      </c>
      <c r="P228" s="37">
        <f t="shared" si="4"/>
        <v>44650</v>
      </c>
      <c r="Q228" s="12">
        <v>1500.0</v>
      </c>
      <c r="R228" s="14"/>
      <c r="S228" s="15">
        <v>44621.0</v>
      </c>
      <c r="T228" s="4" t="b">
        <v>1</v>
      </c>
    </row>
    <row r="229" hidden="1">
      <c r="A229" s="16" t="s">
        <v>82</v>
      </c>
      <c r="B229" s="17">
        <v>800.0</v>
      </c>
      <c r="C229" s="16" t="s">
        <v>18</v>
      </c>
      <c r="D229" s="18">
        <v>4907.0</v>
      </c>
      <c r="E229" s="19">
        <v>44620.0</v>
      </c>
      <c r="F229" s="17">
        <v>0.0</v>
      </c>
      <c r="G229" s="20">
        <v>2022.02</v>
      </c>
      <c r="H229" s="21" t="s">
        <v>51</v>
      </c>
      <c r="I229" s="21" t="s">
        <v>52</v>
      </c>
      <c r="J229" s="21" t="s">
        <v>83</v>
      </c>
      <c r="K229" s="16" t="s">
        <v>21</v>
      </c>
      <c r="L229" s="22">
        <v>30.0</v>
      </c>
      <c r="M229" s="11">
        <v>0.0</v>
      </c>
      <c r="N229" s="23">
        <v>0.0</v>
      </c>
      <c r="O229" s="23">
        <v>800.0</v>
      </c>
      <c r="P229" s="48">
        <f t="shared" si="4"/>
        <v>44650</v>
      </c>
      <c r="Q229" s="23">
        <v>800.0</v>
      </c>
      <c r="R229" s="25"/>
      <c r="S229" s="26">
        <v>44621.0</v>
      </c>
      <c r="T229" s="16" t="b">
        <v>1</v>
      </c>
    </row>
    <row r="230" hidden="1">
      <c r="A230" s="4" t="s">
        <v>81</v>
      </c>
      <c r="B230" s="5">
        <v>1200.0</v>
      </c>
      <c r="C230" s="4" t="s">
        <v>18</v>
      </c>
      <c r="D230" s="6">
        <v>4908.0</v>
      </c>
      <c r="E230" s="7">
        <v>44620.0</v>
      </c>
      <c r="F230" s="5">
        <v>0.0</v>
      </c>
      <c r="G230" s="8">
        <v>2022.02</v>
      </c>
      <c r="H230" s="9" t="s">
        <v>51</v>
      </c>
      <c r="I230" s="9" t="s">
        <v>52</v>
      </c>
      <c r="J230" s="9" t="s">
        <v>38</v>
      </c>
      <c r="K230" s="4" t="s">
        <v>21</v>
      </c>
      <c r="L230" s="10">
        <v>30.0</v>
      </c>
      <c r="M230" s="11">
        <v>0.0</v>
      </c>
      <c r="N230" s="12">
        <v>0.0</v>
      </c>
      <c r="O230" s="12">
        <v>1200.0</v>
      </c>
      <c r="P230" s="37">
        <f t="shared" si="4"/>
        <v>44650</v>
      </c>
      <c r="Q230" s="12">
        <v>1200.0</v>
      </c>
      <c r="R230" s="14"/>
      <c r="S230" s="15">
        <v>44652.0</v>
      </c>
      <c r="T230" s="4" t="b">
        <v>1</v>
      </c>
    </row>
    <row r="231" hidden="1">
      <c r="A231" s="16" t="s">
        <v>88</v>
      </c>
      <c r="B231" s="17">
        <v>500.0</v>
      </c>
      <c r="C231" s="16" t="s">
        <v>18</v>
      </c>
      <c r="D231" s="18">
        <v>4909.0</v>
      </c>
      <c r="E231" s="19">
        <v>44620.0</v>
      </c>
      <c r="F231" s="17">
        <v>15.53</v>
      </c>
      <c r="G231" s="20">
        <v>2022.02</v>
      </c>
      <c r="H231" s="21" t="s">
        <v>51</v>
      </c>
      <c r="I231" s="21" t="s">
        <v>52</v>
      </c>
      <c r="J231" s="21" t="s">
        <v>89</v>
      </c>
      <c r="K231" s="16" t="s">
        <v>21</v>
      </c>
      <c r="L231" s="22">
        <v>30.0</v>
      </c>
      <c r="M231" s="11">
        <v>0.0</v>
      </c>
      <c r="N231" s="23">
        <v>0.0</v>
      </c>
      <c r="O231" s="23">
        <v>484.47</v>
      </c>
      <c r="P231" s="48">
        <f t="shared" si="4"/>
        <v>44650</v>
      </c>
      <c r="Q231" s="23">
        <v>500.0</v>
      </c>
      <c r="R231" s="25"/>
      <c r="S231" s="26">
        <v>44621.0</v>
      </c>
      <c r="T231" s="16" t="b">
        <v>1</v>
      </c>
    </row>
    <row r="232" hidden="1">
      <c r="A232" s="4" t="s">
        <v>151</v>
      </c>
      <c r="B232" s="5">
        <f>650*1.220745</f>
        <v>793.48425</v>
      </c>
      <c r="C232" s="4" t="s">
        <v>18</v>
      </c>
      <c r="D232" s="6" t="s">
        <v>319</v>
      </c>
      <c r="E232" s="7">
        <v>44620.0</v>
      </c>
      <c r="F232" s="34">
        <f>24.35*1.220745</f>
        <v>29.72514075</v>
      </c>
      <c r="G232" s="8">
        <v>2022.02</v>
      </c>
      <c r="H232" s="9" t="s">
        <v>51</v>
      </c>
      <c r="I232" s="9" t="s">
        <v>52</v>
      </c>
      <c r="J232" s="9" t="s">
        <v>122</v>
      </c>
      <c r="K232" s="4" t="s">
        <v>9</v>
      </c>
      <c r="L232" s="10">
        <v>30.0</v>
      </c>
      <c r="M232" s="11">
        <v>0.0</v>
      </c>
      <c r="N232" s="12">
        <v>0.0</v>
      </c>
      <c r="O232" s="12">
        <v>763.7591092499999</v>
      </c>
      <c r="P232" s="37">
        <f t="shared" si="4"/>
        <v>44650</v>
      </c>
      <c r="Q232" s="12">
        <v>650.0</v>
      </c>
      <c r="R232" s="14"/>
      <c r="S232" s="15">
        <v>44621.0</v>
      </c>
      <c r="T232" s="4" t="b">
        <v>1</v>
      </c>
    </row>
    <row r="233" hidden="1">
      <c r="A233" s="16" t="s">
        <v>50</v>
      </c>
      <c r="B233" s="17">
        <v>375.0</v>
      </c>
      <c r="C233" s="16" t="s">
        <v>18</v>
      </c>
      <c r="D233" s="18">
        <v>4910.0</v>
      </c>
      <c r="E233" s="19">
        <v>44620.0</v>
      </c>
      <c r="F233" s="17">
        <v>0.0</v>
      </c>
      <c r="G233" s="20">
        <v>2022.02</v>
      </c>
      <c r="H233" s="21" t="s">
        <v>51</v>
      </c>
      <c r="I233" s="21" t="s">
        <v>52</v>
      </c>
      <c r="J233" s="21" t="s">
        <v>53</v>
      </c>
      <c r="K233" s="16" t="s">
        <v>21</v>
      </c>
      <c r="L233" s="22">
        <v>30.0</v>
      </c>
      <c r="M233" s="11">
        <v>0.0</v>
      </c>
      <c r="N233" s="23">
        <v>0.0</v>
      </c>
      <c r="O233" s="23">
        <v>375.0</v>
      </c>
      <c r="P233" s="48">
        <f t="shared" si="4"/>
        <v>44650</v>
      </c>
      <c r="Q233" s="23">
        <v>375.0</v>
      </c>
      <c r="R233" s="25"/>
      <c r="S233" s="26">
        <v>44621.0</v>
      </c>
      <c r="T233" s="16" t="b">
        <v>1</v>
      </c>
    </row>
    <row r="234" hidden="1">
      <c r="A234" s="4" t="s">
        <v>75</v>
      </c>
      <c r="B234" s="5">
        <v>500.0</v>
      </c>
      <c r="C234" s="4" t="s">
        <v>18</v>
      </c>
      <c r="D234" s="6">
        <v>4911.0</v>
      </c>
      <c r="E234" s="7">
        <v>44620.0</v>
      </c>
      <c r="F234" s="5">
        <v>0.0</v>
      </c>
      <c r="G234" s="8">
        <v>2022.02</v>
      </c>
      <c r="H234" s="9" t="s">
        <v>51</v>
      </c>
      <c r="I234" s="9" t="s">
        <v>52</v>
      </c>
      <c r="J234" s="9" t="s">
        <v>76</v>
      </c>
      <c r="K234" s="4" t="s">
        <v>21</v>
      </c>
      <c r="L234" s="10">
        <v>30.0</v>
      </c>
      <c r="M234" s="11">
        <v>0.0</v>
      </c>
      <c r="N234" s="12">
        <v>0.0</v>
      </c>
      <c r="O234" s="12">
        <v>500.0</v>
      </c>
      <c r="P234" s="37">
        <f t="shared" si="4"/>
        <v>44650</v>
      </c>
      <c r="Q234" s="12">
        <v>500.0</v>
      </c>
      <c r="R234" s="14"/>
      <c r="S234" s="15">
        <v>44621.0</v>
      </c>
      <c r="T234" s="4" t="b">
        <v>1</v>
      </c>
    </row>
    <row r="235" hidden="1">
      <c r="A235" s="16" t="s">
        <v>105</v>
      </c>
      <c r="B235" s="17">
        <f>300*1.227244</f>
        <v>368.1732</v>
      </c>
      <c r="C235" s="16" t="s">
        <v>18</v>
      </c>
      <c r="D235" s="18" t="s">
        <v>320</v>
      </c>
      <c r="E235" s="19">
        <v>44620.0</v>
      </c>
      <c r="F235" s="35">
        <f>11.4*1.227244</f>
        <v>13.9905816</v>
      </c>
      <c r="G235" s="20">
        <v>2022.02</v>
      </c>
      <c r="H235" s="21" t="s">
        <v>51</v>
      </c>
      <c r="I235" s="21" t="s">
        <v>52</v>
      </c>
      <c r="J235" s="21" t="s">
        <v>154</v>
      </c>
      <c r="K235" s="16" t="s">
        <v>9</v>
      </c>
      <c r="L235" s="22">
        <v>30.0</v>
      </c>
      <c r="M235" s="11">
        <v>0.0</v>
      </c>
      <c r="N235" s="23">
        <v>0.0</v>
      </c>
      <c r="O235" s="23">
        <v>354.1826184</v>
      </c>
      <c r="P235" s="48">
        <f t="shared" si="4"/>
        <v>44650</v>
      </c>
      <c r="Q235" s="23">
        <v>300.0</v>
      </c>
      <c r="R235" s="25"/>
      <c r="S235" s="26">
        <v>44621.0</v>
      </c>
      <c r="T235" s="16" t="b">
        <v>1</v>
      </c>
    </row>
    <row r="236" hidden="1">
      <c r="A236" s="4" t="s">
        <v>90</v>
      </c>
      <c r="B236" s="5">
        <v>250.0</v>
      </c>
      <c r="C236" s="4" t="s">
        <v>18</v>
      </c>
      <c r="D236" s="6">
        <v>4912.0</v>
      </c>
      <c r="E236" s="7">
        <v>44620.0</v>
      </c>
      <c r="F236" s="5">
        <v>0.0</v>
      </c>
      <c r="G236" s="8">
        <v>2022.02</v>
      </c>
      <c r="H236" s="9" t="s">
        <v>51</v>
      </c>
      <c r="I236" s="9" t="s">
        <v>52</v>
      </c>
      <c r="J236" s="9" t="s">
        <v>215</v>
      </c>
      <c r="K236" s="4" t="s">
        <v>21</v>
      </c>
      <c r="L236" s="10">
        <v>30.0</v>
      </c>
      <c r="M236" s="11">
        <v>0.0</v>
      </c>
      <c r="N236" s="12">
        <v>0.0</v>
      </c>
      <c r="O236" s="12">
        <v>250.0</v>
      </c>
      <c r="P236" s="37">
        <f t="shared" si="4"/>
        <v>44650</v>
      </c>
      <c r="Q236" s="12">
        <v>250.0</v>
      </c>
      <c r="R236" s="14"/>
      <c r="S236" s="15">
        <v>44621.0</v>
      </c>
      <c r="T236" s="4" t="b">
        <v>1</v>
      </c>
    </row>
    <row r="237" hidden="1">
      <c r="A237" s="16" t="s">
        <v>97</v>
      </c>
      <c r="B237" s="17">
        <v>300.0</v>
      </c>
      <c r="C237" s="16" t="s">
        <v>18</v>
      </c>
      <c r="D237" s="18">
        <v>4913.0</v>
      </c>
      <c r="E237" s="19">
        <v>44620.0</v>
      </c>
      <c r="F237" s="17">
        <v>9.33</v>
      </c>
      <c r="G237" s="20">
        <v>2022.02</v>
      </c>
      <c r="H237" s="21" t="s">
        <v>51</v>
      </c>
      <c r="I237" s="21" t="s">
        <v>52</v>
      </c>
      <c r="J237" s="21" t="s">
        <v>98</v>
      </c>
      <c r="K237" s="16" t="s">
        <v>21</v>
      </c>
      <c r="L237" s="22">
        <v>30.0</v>
      </c>
      <c r="M237" s="11">
        <v>0.0</v>
      </c>
      <c r="N237" s="23">
        <v>0.0</v>
      </c>
      <c r="O237" s="23">
        <v>290.67</v>
      </c>
      <c r="P237" s="48">
        <f t="shared" si="4"/>
        <v>44650</v>
      </c>
      <c r="Q237" s="23">
        <v>300.0</v>
      </c>
      <c r="R237" s="25"/>
      <c r="S237" s="26">
        <v>44621.0</v>
      </c>
      <c r="T237" s="16" t="b">
        <v>1</v>
      </c>
    </row>
    <row r="238" hidden="1">
      <c r="A238" s="4" t="s">
        <v>92</v>
      </c>
      <c r="B238" s="5">
        <v>2500.0</v>
      </c>
      <c r="C238" s="4" t="s">
        <v>18</v>
      </c>
      <c r="D238" s="6">
        <v>4914.0</v>
      </c>
      <c r="E238" s="7">
        <v>44620.0</v>
      </c>
      <c r="F238" s="5">
        <v>77.78</v>
      </c>
      <c r="G238" s="8">
        <v>2022.02</v>
      </c>
      <c r="H238" s="9" t="s">
        <v>51</v>
      </c>
      <c r="I238" s="9" t="s">
        <v>52</v>
      </c>
      <c r="J238" s="9" t="s">
        <v>93</v>
      </c>
      <c r="K238" s="4" t="s">
        <v>21</v>
      </c>
      <c r="L238" s="10">
        <v>30.0</v>
      </c>
      <c r="M238" s="11">
        <v>0.0</v>
      </c>
      <c r="N238" s="12">
        <v>0.0</v>
      </c>
      <c r="O238" s="12">
        <v>2422.22</v>
      </c>
      <c r="P238" s="37">
        <f t="shared" si="4"/>
        <v>44650</v>
      </c>
      <c r="Q238" s="12">
        <v>2500.0</v>
      </c>
      <c r="R238" s="14"/>
      <c r="S238" s="15">
        <v>44621.0</v>
      </c>
      <c r="T238" s="4" t="b">
        <v>1</v>
      </c>
    </row>
    <row r="239" hidden="1">
      <c r="A239" s="36" t="s">
        <v>321</v>
      </c>
      <c r="B239" s="17">
        <f>350*1.210463</f>
        <v>423.66205</v>
      </c>
      <c r="C239" s="16" t="s">
        <v>18</v>
      </c>
      <c r="D239" s="18" t="s">
        <v>322</v>
      </c>
      <c r="E239" s="19">
        <v>44620.0</v>
      </c>
      <c r="F239" s="35">
        <f>13.25*1.210463</f>
        <v>16.03863475</v>
      </c>
      <c r="G239" s="20">
        <v>2022.02</v>
      </c>
      <c r="H239" s="21" t="s">
        <v>51</v>
      </c>
      <c r="I239" s="21" t="s">
        <v>52</v>
      </c>
      <c r="J239" s="21" t="s">
        <v>114</v>
      </c>
      <c r="K239" s="16" t="s">
        <v>9</v>
      </c>
      <c r="L239" s="22">
        <v>30.0</v>
      </c>
      <c r="M239" s="11">
        <v>0.0</v>
      </c>
      <c r="N239" s="23">
        <v>0.0</v>
      </c>
      <c r="O239" s="23">
        <v>407.62341525</v>
      </c>
      <c r="P239" s="48">
        <f t="shared" si="4"/>
        <v>44650</v>
      </c>
      <c r="Q239" s="23">
        <v>350.0</v>
      </c>
      <c r="R239" s="25"/>
      <c r="S239" s="26">
        <v>44621.0</v>
      </c>
      <c r="T239" s="16" t="b">
        <v>1</v>
      </c>
    </row>
    <row r="240" hidden="1">
      <c r="A240" s="4" t="s">
        <v>123</v>
      </c>
      <c r="B240" s="5">
        <f>5500*1.228796</f>
        <v>6758.378</v>
      </c>
      <c r="C240" s="4" t="s">
        <v>18</v>
      </c>
      <c r="D240" s="6" t="s">
        <v>277</v>
      </c>
      <c r="E240" s="7">
        <v>44620.0</v>
      </c>
      <c r="F240" s="5">
        <f>203.8*1.228796</f>
        <v>250.4286248</v>
      </c>
      <c r="G240" s="8">
        <v>2022.02</v>
      </c>
      <c r="H240" s="9" t="s">
        <v>51</v>
      </c>
      <c r="I240" s="9" t="s">
        <v>52</v>
      </c>
      <c r="J240" s="9" t="s">
        <v>323</v>
      </c>
      <c r="K240" s="4" t="s">
        <v>9</v>
      </c>
      <c r="L240" s="10">
        <v>30.0</v>
      </c>
      <c r="M240" s="11">
        <v>0.2</v>
      </c>
      <c r="N240" s="12">
        <v>1301.5898750400002</v>
      </c>
      <c r="O240" s="12">
        <v>5206.35950016</v>
      </c>
      <c r="P240" s="37">
        <f t="shared" si="4"/>
        <v>44650</v>
      </c>
      <c r="Q240" s="12">
        <v>5500.0</v>
      </c>
      <c r="R240" s="14"/>
      <c r="S240" s="15">
        <v>44621.0</v>
      </c>
      <c r="T240" s="4" t="b">
        <v>1</v>
      </c>
    </row>
    <row r="241" hidden="1">
      <c r="A241" s="16" t="s">
        <v>115</v>
      </c>
      <c r="B241" s="17">
        <f t="shared" ref="B241:B242" si="5">2000*1.215125</f>
        <v>2430.25</v>
      </c>
      <c r="C241" s="16" t="s">
        <v>18</v>
      </c>
      <c r="D241" s="18" t="s">
        <v>324</v>
      </c>
      <c r="E241" s="19">
        <v>44620.0</v>
      </c>
      <c r="F241" s="17">
        <v>0.0</v>
      </c>
      <c r="G241" s="20">
        <v>2022.02</v>
      </c>
      <c r="H241" s="21" t="s">
        <v>51</v>
      </c>
      <c r="I241" s="21" t="s">
        <v>52</v>
      </c>
      <c r="J241" s="21" t="s">
        <v>117</v>
      </c>
      <c r="K241" s="16" t="s">
        <v>9</v>
      </c>
      <c r="L241" s="22">
        <v>30.0</v>
      </c>
      <c r="M241" s="11">
        <v>0.0</v>
      </c>
      <c r="N241" s="23">
        <v>0.0</v>
      </c>
      <c r="O241" s="23">
        <v>2430.25</v>
      </c>
      <c r="P241" s="48">
        <f t="shared" si="4"/>
        <v>44650</v>
      </c>
      <c r="Q241" s="23">
        <v>2000.0</v>
      </c>
      <c r="R241" s="25"/>
      <c r="S241" s="26">
        <v>44621.0</v>
      </c>
      <c r="T241" s="16" t="b">
        <v>1</v>
      </c>
    </row>
    <row r="242" hidden="1">
      <c r="A242" s="4" t="s">
        <v>118</v>
      </c>
      <c r="B242" s="5">
        <f t="shared" si="5"/>
        <v>2430.25</v>
      </c>
      <c r="C242" s="4" t="s">
        <v>18</v>
      </c>
      <c r="D242" s="6" t="s">
        <v>325</v>
      </c>
      <c r="E242" s="7">
        <v>44620.0</v>
      </c>
      <c r="F242" s="5">
        <v>0.0</v>
      </c>
      <c r="G242" s="8">
        <v>2022.02</v>
      </c>
      <c r="H242" s="9" t="s">
        <v>51</v>
      </c>
      <c r="I242" s="9" t="s">
        <v>52</v>
      </c>
      <c r="J242" s="9" t="s">
        <v>117</v>
      </c>
      <c r="K242" s="4" t="s">
        <v>9</v>
      </c>
      <c r="L242" s="10">
        <v>30.0</v>
      </c>
      <c r="M242" s="11">
        <v>0.0</v>
      </c>
      <c r="N242" s="12">
        <v>0.0</v>
      </c>
      <c r="O242" s="12">
        <v>2430.25</v>
      </c>
      <c r="P242" s="37">
        <f t="shared" si="4"/>
        <v>44650</v>
      </c>
      <c r="Q242" s="12">
        <v>2000.0</v>
      </c>
      <c r="R242" s="14"/>
      <c r="S242" s="15">
        <v>44621.0</v>
      </c>
      <c r="T242" s="4" t="b">
        <v>1</v>
      </c>
    </row>
    <row r="243" hidden="1">
      <c r="A243" s="16" t="s">
        <v>73</v>
      </c>
      <c r="B243" s="17">
        <v>700.0</v>
      </c>
      <c r="C243" s="16" t="s">
        <v>18</v>
      </c>
      <c r="D243" s="18">
        <v>4915.0</v>
      </c>
      <c r="E243" s="19">
        <v>44620.0</v>
      </c>
      <c r="F243" s="17">
        <v>23.44</v>
      </c>
      <c r="G243" s="20">
        <v>2022.02</v>
      </c>
      <c r="H243" s="21" t="s">
        <v>51</v>
      </c>
      <c r="I243" s="21" t="s">
        <v>52</v>
      </c>
      <c r="J243" s="21" t="s">
        <v>74</v>
      </c>
      <c r="K243" s="16" t="s">
        <v>21</v>
      </c>
      <c r="L243" s="22">
        <v>30.0</v>
      </c>
      <c r="M243" s="11">
        <v>0.0</v>
      </c>
      <c r="N243" s="23">
        <v>0.0</v>
      </c>
      <c r="O243" s="23">
        <v>676.56</v>
      </c>
      <c r="P243" s="48">
        <f t="shared" si="4"/>
        <v>44650</v>
      </c>
      <c r="Q243" s="23">
        <v>700.0</v>
      </c>
      <c r="R243" s="25"/>
      <c r="S243" s="26">
        <v>44621.0</v>
      </c>
      <c r="T243" s="16" t="b">
        <v>1</v>
      </c>
    </row>
    <row r="244" hidden="1">
      <c r="A244" s="4" t="s">
        <v>223</v>
      </c>
      <c r="B244" s="5">
        <v>800.0</v>
      </c>
      <c r="C244" s="4" t="s">
        <v>18</v>
      </c>
      <c r="D244" s="6">
        <v>4916.0</v>
      </c>
      <c r="E244" s="7">
        <v>44620.0</v>
      </c>
      <c r="F244" s="5">
        <v>24.89</v>
      </c>
      <c r="G244" s="8">
        <v>2022.02</v>
      </c>
      <c r="H244" s="9" t="s">
        <v>51</v>
      </c>
      <c r="I244" s="9" t="s">
        <v>52</v>
      </c>
      <c r="J244" s="9" t="s">
        <v>247</v>
      </c>
      <c r="K244" s="4" t="s">
        <v>21</v>
      </c>
      <c r="L244" s="10">
        <v>30.0</v>
      </c>
      <c r="M244" s="11">
        <v>0.0</v>
      </c>
      <c r="N244" s="12">
        <v>0.0</v>
      </c>
      <c r="O244" s="12">
        <v>775.11</v>
      </c>
      <c r="P244" s="37">
        <f t="shared" si="4"/>
        <v>44650</v>
      </c>
      <c r="Q244" s="12">
        <v>800.0</v>
      </c>
      <c r="R244" s="14"/>
      <c r="S244" s="15">
        <v>44621.0</v>
      </c>
      <c r="T244" s="4" t="b">
        <v>1</v>
      </c>
    </row>
    <row r="245" hidden="1">
      <c r="A245" s="16" t="s">
        <v>326</v>
      </c>
      <c r="B245" s="17">
        <f>1000*1.236653</f>
        <v>1236.653</v>
      </c>
      <c r="C245" s="16" t="s">
        <v>18</v>
      </c>
      <c r="D245" s="18" t="s">
        <v>327</v>
      </c>
      <c r="E245" s="19">
        <v>44627.0</v>
      </c>
      <c r="F245" s="35">
        <f>37.3*1.236653</f>
        <v>46.1271569</v>
      </c>
      <c r="G245" s="20">
        <v>2022.0</v>
      </c>
      <c r="H245" s="21" t="s">
        <v>195</v>
      </c>
      <c r="I245" s="21" t="s">
        <v>196</v>
      </c>
      <c r="J245" s="21" t="s">
        <v>328</v>
      </c>
      <c r="K245" s="16" t="s">
        <v>9</v>
      </c>
      <c r="L245" s="22">
        <v>0.0</v>
      </c>
      <c r="M245" s="11">
        <v>0.2</v>
      </c>
      <c r="N245" s="23">
        <v>238.10516862</v>
      </c>
      <c r="O245" s="23">
        <v>952.42067448</v>
      </c>
      <c r="P245" s="48">
        <f t="shared" si="4"/>
        <v>44627</v>
      </c>
      <c r="Q245" s="23">
        <v>2000.0</v>
      </c>
      <c r="R245" s="25"/>
      <c r="S245" s="26">
        <v>44652.0</v>
      </c>
      <c r="T245" s="16" t="b">
        <v>1</v>
      </c>
    </row>
    <row r="246" hidden="1">
      <c r="A246" s="4" t="s">
        <v>326</v>
      </c>
      <c r="B246" s="5">
        <f>1000*1.220842</f>
        <v>1220.842</v>
      </c>
      <c r="C246" s="4" t="s">
        <v>18</v>
      </c>
      <c r="D246" s="6" t="s">
        <v>329</v>
      </c>
      <c r="E246" s="7">
        <v>44666.0</v>
      </c>
      <c r="F246" s="34">
        <f>37.3*1.220842</f>
        <v>45.5374066</v>
      </c>
      <c r="G246" s="8">
        <v>2022.0</v>
      </c>
      <c r="H246" s="9" t="s">
        <v>195</v>
      </c>
      <c r="I246" s="9" t="s">
        <v>196</v>
      </c>
      <c r="J246" s="9" t="s">
        <v>330</v>
      </c>
      <c r="K246" s="4" t="s">
        <v>9</v>
      </c>
      <c r="L246" s="4">
        <v>15.0</v>
      </c>
      <c r="M246" s="11">
        <v>0.2</v>
      </c>
      <c r="N246" s="12">
        <v>235.06091868</v>
      </c>
      <c r="O246" s="12">
        <v>940.24367472</v>
      </c>
      <c r="P246" s="37">
        <f t="shared" si="4"/>
        <v>44681</v>
      </c>
      <c r="Q246" s="12">
        <v>2000.0</v>
      </c>
      <c r="R246" s="14"/>
      <c r="S246" s="15">
        <v>44652.0</v>
      </c>
      <c r="T246" s="4" t="b">
        <v>1</v>
      </c>
    </row>
    <row r="247" hidden="1">
      <c r="A247" s="16" t="s">
        <v>311</v>
      </c>
      <c r="B247" s="17">
        <v>500.0</v>
      </c>
      <c r="C247" s="16" t="s">
        <v>18</v>
      </c>
      <c r="D247" s="18">
        <v>4934.0</v>
      </c>
      <c r="E247" s="19">
        <v>44635.0</v>
      </c>
      <c r="F247" s="17">
        <v>15.56</v>
      </c>
      <c r="G247" s="20">
        <v>2022.03</v>
      </c>
      <c r="H247" s="21" t="s">
        <v>27</v>
      </c>
      <c r="I247" s="21" t="s">
        <v>52</v>
      </c>
      <c r="J247" s="21" t="s">
        <v>331</v>
      </c>
      <c r="K247" s="16" t="s">
        <v>21</v>
      </c>
      <c r="L247" s="22">
        <v>30.0</v>
      </c>
      <c r="M247" s="11">
        <v>0.0</v>
      </c>
      <c r="N247" s="23">
        <v>0.0</v>
      </c>
      <c r="O247" s="23">
        <v>484.44</v>
      </c>
      <c r="P247" s="48">
        <f t="shared" si="4"/>
        <v>44665</v>
      </c>
      <c r="Q247" s="23">
        <v>600.0</v>
      </c>
      <c r="R247" s="25"/>
      <c r="S247" s="26">
        <v>44652.0</v>
      </c>
      <c r="T247" s="16" t="b">
        <v>1</v>
      </c>
    </row>
    <row r="248" hidden="1">
      <c r="A248" s="4" t="s">
        <v>162</v>
      </c>
      <c r="B248" s="5">
        <f>1250*1.2449</f>
        <v>1556.125</v>
      </c>
      <c r="C248" s="4" t="s">
        <v>18</v>
      </c>
      <c r="D248" s="6" t="s">
        <v>332</v>
      </c>
      <c r="E248" s="7">
        <v>44635.0</v>
      </c>
      <c r="F248" s="5">
        <v>0.0</v>
      </c>
      <c r="G248" s="8">
        <v>2022.0</v>
      </c>
      <c r="H248" s="9" t="s">
        <v>195</v>
      </c>
      <c r="I248" s="9" t="s">
        <v>196</v>
      </c>
      <c r="J248" s="9" t="s">
        <v>333</v>
      </c>
      <c r="K248" s="4" t="s">
        <v>9</v>
      </c>
      <c r="L248" s="10">
        <v>30.0</v>
      </c>
      <c r="M248" s="11">
        <v>0.0</v>
      </c>
      <c r="N248" s="12">
        <v>0.0</v>
      </c>
      <c r="O248" s="12">
        <v>1556.1249999999998</v>
      </c>
      <c r="P248" s="37">
        <f t="shared" si="4"/>
        <v>44665</v>
      </c>
      <c r="Q248" s="12">
        <v>1900.0</v>
      </c>
      <c r="R248" s="14"/>
      <c r="S248" s="15">
        <v>44652.0</v>
      </c>
      <c r="T248" s="4" t="b">
        <v>1</v>
      </c>
    </row>
    <row r="249" hidden="1">
      <c r="A249" s="16" t="s">
        <v>334</v>
      </c>
      <c r="B249" s="50">
        <v>178.2</v>
      </c>
      <c r="C249" s="16" t="s">
        <v>18</v>
      </c>
      <c r="D249" s="18">
        <v>4972.0</v>
      </c>
      <c r="E249" s="19">
        <v>44651.0</v>
      </c>
      <c r="F249" s="17">
        <v>5.28</v>
      </c>
      <c r="G249" s="20">
        <v>2022.03</v>
      </c>
      <c r="H249" s="21" t="s">
        <v>51</v>
      </c>
      <c r="I249" s="21" t="s">
        <v>252</v>
      </c>
      <c r="J249" s="21" t="s">
        <v>335</v>
      </c>
      <c r="K249" s="16" t="s">
        <v>21</v>
      </c>
      <c r="L249" s="22">
        <v>30.0</v>
      </c>
      <c r="M249" s="11">
        <v>0.0</v>
      </c>
      <c r="N249" s="23">
        <v>0.0</v>
      </c>
      <c r="O249" s="23">
        <v>172.92</v>
      </c>
      <c r="P249" s="48">
        <f t="shared" si="4"/>
        <v>44681</v>
      </c>
      <c r="Q249" s="23"/>
      <c r="R249" s="25"/>
      <c r="S249" s="26">
        <v>44682.0</v>
      </c>
      <c r="T249" s="16" t="b">
        <v>1</v>
      </c>
    </row>
    <row r="250" hidden="1">
      <c r="A250" s="4" t="s">
        <v>68</v>
      </c>
      <c r="B250" s="5">
        <v>650.0</v>
      </c>
      <c r="C250" s="4" t="s">
        <v>18</v>
      </c>
      <c r="D250" s="6">
        <v>4935.0</v>
      </c>
      <c r="E250" s="7">
        <v>44635.0</v>
      </c>
      <c r="F250" s="5">
        <v>20.09</v>
      </c>
      <c r="G250" s="8">
        <v>2022.03</v>
      </c>
      <c r="H250" s="9" t="s">
        <v>27</v>
      </c>
      <c r="I250" s="9" t="s">
        <v>52</v>
      </c>
      <c r="J250" s="9" t="s">
        <v>69</v>
      </c>
      <c r="K250" s="4" t="s">
        <v>21</v>
      </c>
      <c r="L250" s="10">
        <v>30.0</v>
      </c>
      <c r="M250" s="11">
        <v>0.0</v>
      </c>
      <c r="N250" s="12">
        <v>0.0</v>
      </c>
      <c r="O250" s="12">
        <v>629.91</v>
      </c>
      <c r="P250" s="37">
        <f t="shared" si="4"/>
        <v>44665</v>
      </c>
      <c r="Q250" s="12">
        <v>650.0</v>
      </c>
      <c r="R250" s="14"/>
      <c r="S250" s="15">
        <v>44652.0</v>
      </c>
      <c r="T250" s="4" t="b">
        <v>1</v>
      </c>
    </row>
    <row r="251" hidden="1">
      <c r="A251" s="16" t="s">
        <v>99</v>
      </c>
      <c r="B251" s="17">
        <f>1300*1.23384</f>
        <v>1603.992</v>
      </c>
      <c r="C251" s="16" t="s">
        <v>18</v>
      </c>
      <c r="D251" s="18" t="s">
        <v>336</v>
      </c>
      <c r="E251" s="19">
        <v>44635.0</v>
      </c>
      <c r="F251" s="35">
        <f>48.4*1.23384</f>
        <v>59.717856</v>
      </c>
      <c r="G251" s="20">
        <v>2022.03</v>
      </c>
      <c r="H251" s="21" t="s">
        <v>27</v>
      </c>
      <c r="I251" s="21" t="s">
        <v>52</v>
      </c>
      <c r="J251" s="21" t="s">
        <v>101</v>
      </c>
      <c r="K251" s="16" t="s">
        <v>9</v>
      </c>
      <c r="L251" s="22">
        <v>30.0</v>
      </c>
      <c r="M251" s="11">
        <v>0.2</v>
      </c>
      <c r="N251" s="23">
        <v>308.8548288</v>
      </c>
      <c r="O251" s="23">
        <v>1235.4193152</v>
      </c>
      <c r="P251" s="48">
        <f t="shared" si="4"/>
        <v>44665</v>
      </c>
      <c r="Q251" s="23">
        <v>1300.0</v>
      </c>
      <c r="R251" s="25"/>
      <c r="S251" s="26">
        <v>44652.0</v>
      </c>
      <c r="T251" s="16" t="b">
        <v>1</v>
      </c>
    </row>
    <row r="252" hidden="1">
      <c r="A252" s="4" t="s">
        <v>102</v>
      </c>
      <c r="B252" s="5">
        <f>350*1.218611</f>
        <v>426.51385</v>
      </c>
      <c r="C252" s="4" t="s">
        <v>18</v>
      </c>
      <c r="D252" s="6" t="s">
        <v>337</v>
      </c>
      <c r="E252" s="7">
        <v>44635.0</v>
      </c>
      <c r="F252" s="34">
        <f>13.25*1.218611</f>
        <v>16.14659575</v>
      </c>
      <c r="G252" s="8">
        <v>2022.03</v>
      </c>
      <c r="H252" s="9" t="s">
        <v>27</v>
      </c>
      <c r="I252" s="9" t="s">
        <v>52</v>
      </c>
      <c r="J252" s="9" t="s">
        <v>104</v>
      </c>
      <c r="K252" s="4" t="s">
        <v>9</v>
      </c>
      <c r="L252" s="10">
        <v>30.0</v>
      </c>
      <c r="M252" s="11">
        <v>0.0</v>
      </c>
      <c r="N252" s="12">
        <v>0.0</v>
      </c>
      <c r="O252" s="12">
        <v>410.36725425000003</v>
      </c>
      <c r="P252" s="37">
        <f t="shared" si="4"/>
        <v>44665</v>
      </c>
      <c r="Q252" s="12">
        <v>350.0</v>
      </c>
      <c r="R252" s="14"/>
      <c r="S252" s="15">
        <v>44652.0</v>
      </c>
      <c r="T252" s="4" t="b">
        <v>1</v>
      </c>
    </row>
    <row r="253" hidden="1">
      <c r="A253" s="16" t="s">
        <v>156</v>
      </c>
      <c r="B253" s="17">
        <f>500*1.229281</f>
        <v>614.6405</v>
      </c>
      <c r="C253" s="16" t="s">
        <v>18</v>
      </c>
      <c r="D253" s="18" t="s">
        <v>338</v>
      </c>
      <c r="E253" s="19">
        <v>44635.0</v>
      </c>
      <c r="F253" s="35">
        <f>18.8*1.229281</f>
        <v>23.1104828</v>
      </c>
      <c r="G253" s="20">
        <v>2022.03</v>
      </c>
      <c r="H253" s="21" t="s">
        <v>27</v>
      </c>
      <c r="I253" s="21" t="s">
        <v>52</v>
      </c>
      <c r="J253" s="21" t="s">
        <v>158</v>
      </c>
      <c r="K253" s="16" t="s">
        <v>9</v>
      </c>
      <c r="L253" s="22">
        <v>30.0</v>
      </c>
      <c r="M253" s="11">
        <v>0.2</v>
      </c>
      <c r="N253" s="23">
        <v>118.30600344000003</v>
      </c>
      <c r="O253" s="23">
        <v>473.22401376000005</v>
      </c>
      <c r="P253" s="48">
        <f t="shared" si="4"/>
        <v>44665</v>
      </c>
      <c r="Q253" s="23">
        <v>500.0</v>
      </c>
      <c r="R253" s="25"/>
      <c r="S253" s="26">
        <v>44652.0</v>
      </c>
      <c r="T253" s="16" t="b">
        <v>1</v>
      </c>
    </row>
    <row r="254" hidden="1">
      <c r="A254" s="4" t="s">
        <v>62</v>
      </c>
      <c r="B254" s="5">
        <v>1600.0</v>
      </c>
      <c r="C254" s="4" t="s">
        <v>18</v>
      </c>
      <c r="D254" s="6">
        <v>4936.0</v>
      </c>
      <c r="E254" s="7">
        <v>44635.0</v>
      </c>
      <c r="F254" s="5">
        <v>49.78</v>
      </c>
      <c r="G254" s="8">
        <v>2022.03</v>
      </c>
      <c r="H254" s="9" t="s">
        <v>27</v>
      </c>
      <c r="I254" s="9" t="s">
        <v>52</v>
      </c>
      <c r="J254" s="9" t="s">
        <v>63</v>
      </c>
      <c r="K254" s="4" t="s">
        <v>21</v>
      </c>
      <c r="L254" s="10">
        <v>30.0</v>
      </c>
      <c r="M254" s="11">
        <v>0.0</v>
      </c>
      <c r="N254" s="12">
        <v>0.0</v>
      </c>
      <c r="O254" s="12">
        <v>1550.22</v>
      </c>
      <c r="P254" s="37">
        <f t="shared" si="4"/>
        <v>44665</v>
      </c>
      <c r="Q254" s="12">
        <v>1600.0</v>
      </c>
      <c r="R254" s="14"/>
      <c r="S254" s="15">
        <v>44652.0</v>
      </c>
      <c r="T254" s="4" t="b">
        <v>1</v>
      </c>
    </row>
    <row r="255" hidden="1">
      <c r="A255" s="16" t="s">
        <v>66</v>
      </c>
      <c r="B255" s="17">
        <v>900.0</v>
      </c>
      <c r="C255" s="16" t="s">
        <v>18</v>
      </c>
      <c r="D255" s="18">
        <v>4937.0</v>
      </c>
      <c r="E255" s="19">
        <v>44635.0</v>
      </c>
      <c r="F255" s="17">
        <v>0.0</v>
      </c>
      <c r="G255" s="20">
        <v>2022.03</v>
      </c>
      <c r="H255" s="21" t="s">
        <v>27</v>
      </c>
      <c r="I255" s="21" t="s">
        <v>52</v>
      </c>
      <c r="J255" s="21" t="s">
        <v>294</v>
      </c>
      <c r="K255" s="16" t="s">
        <v>21</v>
      </c>
      <c r="L255" s="22">
        <v>30.0</v>
      </c>
      <c r="M255" s="11">
        <v>0.0</v>
      </c>
      <c r="N255" s="23">
        <v>0.0</v>
      </c>
      <c r="O255" s="23">
        <v>900.0</v>
      </c>
      <c r="P255" s="48">
        <f t="shared" si="4"/>
        <v>44665</v>
      </c>
      <c r="Q255" s="23">
        <v>900.0</v>
      </c>
      <c r="R255" s="25"/>
      <c r="S255" s="26">
        <v>44652.0</v>
      </c>
      <c r="T255" s="16" t="b">
        <v>1</v>
      </c>
    </row>
    <row r="256" hidden="1">
      <c r="A256" s="4" t="s">
        <v>225</v>
      </c>
      <c r="B256" s="5">
        <v>5000.0</v>
      </c>
      <c r="C256" s="4" t="s">
        <v>18</v>
      </c>
      <c r="D256" s="6">
        <v>4938.0</v>
      </c>
      <c r="E256" s="7">
        <v>44635.0</v>
      </c>
      <c r="F256" s="5">
        <v>0.0</v>
      </c>
      <c r="G256" s="8">
        <v>2022.03</v>
      </c>
      <c r="H256" s="9" t="s">
        <v>27</v>
      </c>
      <c r="I256" s="9" t="s">
        <v>52</v>
      </c>
      <c r="J256" s="9" t="s">
        <v>339</v>
      </c>
      <c r="K256" s="4" t="s">
        <v>21</v>
      </c>
      <c r="L256" s="10">
        <v>30.0</v>
      </c>
      <c r="M256" s="11">
        <v>0.0</v>
      </c>
      <c r="N256" s="12">
        <v>0.0</v>
      </c>
      <c r="O256" s="12">
        <v>5000.0</v>
      </c>
      <c r="P256" s="37">
        <f t="shared" si="4"/>
        <v>44665</v>
      </c>
      <c r="Q256" s="12">
        <v>5000.0</v>
      </c>
      <c r="R256" s="14"/>
      <c r="S256" s="15">
        <v>44652.0</v>
      </c>
      <c r="T256" s="4" t="b">
        <v>1</v>
      </c>
    </row>
    <row r="257" hidden="1">
      <c r="A257" s="16" t="s">
        <v>246</v>
      </c>
      <c r="B257" s="17">
        <v>500.0</v>
      </c>
      <c r="C257" s="16" t="s">
        <v>18</v>
      </c>
      <c r="D257" s="18">
        <v>4939.0</v>
      </c>
      <c r="E257" s="19">
        <v>44635.0</v>
      </c>
      <c r="F257" s="17">
        <v>0.0</v>
      </c>
      <c r="G257" s="20">
        <v>2022.03</v>
      </c>
      <c r="H257" s="21" t="s">
        <v>27</v>
      </c>
      <c r="I257" s="21" t="s">
        <v>52</v>
      </c>
      <c r="J257" s="21" t="s">
        <v>247</v>
      </c>
      <c r="K257" s="16" t="s">
        <v>21</v>
      </c>
      <c r="L257" s="22">
        <v>30.0</v>
      </c>
      <c r="M257" s="11">
        <v>0.0</v>
      </c>
      <c r="N257" s="23">
        <v>0.0</v>
      </c>
      <c r="O257" s="23">
        <v>500.0</v>
      </c>
      <c r="P257" s="48">
        <f t="shared" si="4"/>
        <v>44665</v>
      </c>
      <c r="Q257" s="23">
        <v>500.0</v>
      </c>
      <c r="R257" s="25"/>
      <c r="S257" s="26">
        <v>44652.0</v>
      </c>
      <c r="T257" s="16" t="b">
        <v>1</v>
      </c>
    </row>
    <row r="258" hidden="1">
      <c r="A258" s="4" t="s">
        <v>296</v>
      </c>
      <c r="B258" s="5">
        <f>2000*1.2197</f>
        <v>2439.4</v>
      </c>
      <c r="C258" s="4" t="s">
        <v>18</v>
      </c>
      <c r="D258" s="6" t="s">
        <v>340</v>
      </c>
      <c r="E258" s="7">
        <v>44635.0</v>
      </c>
      <c r="F258" s="5">
        <v>0.0</v>
      </c>
      <c r="G258" s="8">
        <v>2022.03</v>
      </c>
      <c r="H258" s="9" t="s">
        <v>27</v>
      </c>
      <c r="I258" s="9" t="s">
        <v>52</v>
      </c>
      <c r="J258" s="9" t="s">
        <v>341</v>
      </c>
      <c r="K258" s="4" t="s">
        <v>9</v>
      </c>
      <c r="L258" s="10">
        <v>30.0</v>
      </c>
      <c r="M258" s="11">
        <v>0.0</v>
      </c>
      <c r="N258" s="12">
        <v>0.0</v>
      </c>
      <c r="O258" s="12">
        <v>2439.4</v>
      </c>
      <c r="P258" s="37">
        <f t="shared" si="4"/>
        <v>44665</v>
      </c>
      <c r="Q258" s="12">
        <v>2500.0</v>
      </c>
      <c r="R258" s="14"/>
      <c r="S258" s="15">
        <v>44652.0</v>
      </c>
      <c r="T258" s="4" t="b">
        <v>1</v>
      </c>
    </row>
    <row r="259" hidden="1">
      <c r="A259" s="16" t="s">
        <v>299</v>
      </c>
      <c r="B259" s="17">
        <f>1500*1.2449</f>
        <v>1867.35</v>
      </c>
      <c r="C259" s="16" t="s">
        <v>18</v>
      </c>
      <c r="D259" s="18" t="s">
        <v>342</v>
      </c>
      <c r="E259" s="19">
        <v>44635.0</v>
      </c>
      <c r="F259" s="17">
        <v>0.0</v>
      </c>
      <c r="G259" s="20">
        <v>2022.03</v>
      </c>
      <c r="H259" s="21" t="s">
        <v>27</v>
      </c>
      <c r="I259" s="21" t="s">
        <v>52</v>
      </c>
      <c r="J259" s="21" t="s">
        <v>343</v>
      </c>
      <c r="K259" s="16" t="s">
        <v>9</v>
      </c>
      <c r="L259" s="22">
        <v>30.0</v>
      </c>
      <c r="M259" s="11">
        <v>0.0</v>
      </c>
      <c r="N259" s="23">
        <v>0.0</v>
      </c>
      <c r="O259" s="23">
        <v>1867.35</v>
      </c>
      <c r="P259" s="48">
        <f t="shared" si="4"/>
        <v>44665</v>
      </c>
      <c r="Q259" s="23">
        <v>1500.0</v>
      </c>
      <c r="R259" s="25"/>
      <c r="S259" s="26">
        <v>44652.0</v>
      </c>
      <c r="T259" s="16" t="b">
        <v>1</v>
      </c>
    </row>
    <row r="260" hidden="1">
      <c r="A260" s="4" t="s">
        <v>311</v>
      </c>
      <c r="B260" s="5">
        <v>600.0</v>
      </c>
      <c r="C260" s="4" t="s">
        <v>18</v>
      </c>
      <c r="D260" s="6">
        <v>4992.0</v>
      </c>
      <c r="E260" s="7">
        <v>44666.0</v>
      </c>
      <c r="F260" s="5">
        <v>18.67</v>
      </c>
      <c r="G260" s="8">
        <v>2022.04</v>
      </c>
      <c r="H260" s="9" t="s">
        <v>27</v>
      </c>
      <c r="I260" s="9" t="s">
        <v>52</v>
      </c>
      <c r="J260" s="9" t="s">
        <v>344</v>
      </c>
      <c r="K260" s="4" t="s">
        <v>21</v>
      </c>
      <c r="L260" s="10">
        <v>30.0</v>
      </c>
      <c r="M260" s="11">
        <v>0.0</v>
      </c>
      <c r="N260" s="12">
        <v>0.0</v>
      </c>
      <c r="O260" s="12">
        <v>581.33</v>
      </c>
      <c r="P260" s="37">
        <f t="shared" si="4"/>
        <v>44696</v>
      </c>
      <c r="Q260" s="12">
        <v>600.0</v>
      </c>
      <c r="R260" s="14"/>
      <c r="S260" s="15">
        <v>44652.0</v>
      </c>
      <c r="T260" s="4" t="b">
        <v>1</v>
      </c>
    </row>
    <row r="261" hidden="1">
      <c r="A261" s="16" t="s">
        <v>162</v>
      </c>
      <c r="B261" s="17">
        <f>1250*1.2223</f>
        <v>1527.875</v>
      </c>
      <c r="C261" s="16" t="s">
        <v>18</v>
      </c>
      <c r="D261" s="18" t="s">
        <v>345</v>
      </c>
      <c r="E261" s="19">
        <v>44666.0</v>
      </c>
      <c r="F261" s="17">
        <v>0.0</v>
      </c>
      <c r="G261" s="20">
        <v>2022.0</v>
      </c>
      <c r="H261" s="21" t="s">
        <v>195</v>
      </c>
      <c r="I261" s="21" t="s">
        <v>196</v>
      </c>
      <c r="J261" s="21" t="s">
        <v>346</v>
      </c>
      <c r="K261" s="16" t="s">
        <v>9</v>
      </c>
      <c r="L261" s="22">
        <v>30.0</v>
      </c>
      <c r="M261" s="11">
        <v>0.0</v>
      </c>
      <c r="N261" s="23">
        <v>0.0</v>
      </c>
      <c r="O261" s="23">
        <v>1527.875</v>
      </c>
      <c r="P261" s="48">
        <f t="shared" si="4"/>
        <v>44696</v>
      </c>
      <c r="Q261" s="23">
        <v>1900.0</v>
      </c>
      <c r="R261" s="25"/>
      <c r="S261" s="26">
        <v>44682.0</v>
      </c>
      <c r="T261" s="16" t="b">
        <v>1</v>
      </c>
    </row>
    <row r="262" hidden="1">
      <c r="A262" s="4" t="s">
        <v>347</v>
      </c>
      <c r="B262" s="5">
        <v>750.0</v>
      </c>
      <c r="C262" s="4" t="s">
        <v>18</v>
      </c>
      <c r="D262" s="6">
        <v>4940.0</v>
      </c>
      <c r="E262" s="7">
        <v>44635.0</v>
      </c>
      <c r="F262" s="5">
        <v>25.11</v>
      </c>
      <c r="G262" s="8">
        <v>2022.0</v>
      </c>
      <c r="H262" s="9" t="s">
        <v>195</v>
      </c>
      <c r="I262" s="9" t="s">
        <v>196</v>
      </c>
      <c r="J262" s="51" t="s">
        <v>348</v>
      </c>
      <c r="K262" s="4" t="s">
        <v>21</v>
      </c>
      <c r="L262" s="10">
        <v>0.0</v>
      </c>
      <c r="M262" s="11">
        <v>0.0</v>
      </c>
      <c r="N262" s="12">
        <v>0.0</v>
      </c>
      <c r="O262" s="12">
        <v>724.89</v>
      </c>
      <c r="P262" s="37">
        <f t="shared" si="4"/>
        <v>44635</v>
      </c>
      <c r="Q262" s="12">
        <v>750.0</v>
      </c>
      <c r="R262" s="14"/>
      <c r="S262" s="15">
        <v>44652.0</v>
      </c>
      <c r="T262" s="4" t="b">
        <v>1</v>
      </c>
    </row>
    <row r="263" hidden="1">
      <c r="A263" s="16" t="s">
        <v>347</v>
      </c>
      <c r="B263" s="17">
        <v>750.0</v>
      </c>
      <c r="C263" s="16" t="s">
        <v>18</v>
      </c>
      <c r="D263" s="18">
        <v>5071.0</v>
      </c>
      <c r="E263" s="19">
        <v>44680.0</v>
      </c>
      <c r="F263" s="17">
        <v>25.11</v>
      </c>
      <c r="G263" s="20">
        <v>2022.0</v>
      </c>
      <c r="H263" s="21" t="s">
        <v>195</v>
      </c>
      <c r="I263" s="21" t="s">
        <v>196</v>
      </c>
      <c r="J263" s="51" t="s">
        <v>349</v>
      </c>
      <c r="K263" s="16" t="s">
        <v>21</v>
      </c>
      <c r="L263" s="22">
        <v>0.0</v>
      </c>
      <c r="M263" s="11">
        <v>0.0</v>
      </c>
      <c r="N263" s="23">
        <v>0.0</v>
      </c>
      <c r="O263" s="23">
        <v>724.89</v>
      </c>
      <c r="P263" s="48">
        <f t="shared" si="4"/>
        <v>44680</v>
      </c>
      <c r="Q263" s="23">
        <v>750.0</v>
      </c>
      <c r="R263" s="25"/>
      <c r="S263" s="26">
        <v>44652.0</v>
      </c>
      <c r="T263" s="16" t="b">
        <v>1</v>
      </c>
    </row>
    <row r="264" hidden="1">
      <c r="A264" s="4" t="s">
        <v>350</v>
      </c>
      <c r="B264" s="5">
        <v>1200.0</v>
      </c>
      <c r="C264" s="4" t="s">
        <v>18</v>
      </c>
      <c r="D264" s="6">
        <v>4950.0</v>
      </c>
      <c r="E264" s="7">
        <v>44635.0</v>
      </c>
      <c r="F264" s="5">
        <v>37.33</v>
      </c>
      <c r="G264" s="8">
        <v>2022.0</v>
      </c>
      <c r="H264" s="9" t="s">
        <v>209</v>
      </c>
      <c r="I264" s="9" t="s">
        <v>210</v>
      </c>
      <c r="J264" s="9" t="s">
        <v>351</v>
      </c>
      <c r="K264" s="4" t="s">
        <v>21</v>
      </c>
      <c r="L264" s="10">
        <v>15.0</v>
      </c>
      <c r="M264" s="11">
        <v>0.0</v>
      </c>
      <c r="N264" s="12">
        <v>0.0</v>
      </c>
      <c r="O264" s="12">
        <v>1162.67</v>
      </c>
      <c r="P264" s="37">
        <f t="shared" si="4"/>
        <v>44650</v>
      </c>
      <c r="Q264" s="12">
        <v>1200.0</v>
      </c>
      <c r="R264" s="14"/>
      <c r="S264" s="15">
        <v>44652.0</v>
      </c>
      <c r="T264" s="4" t="b">
        <v>1</v>
      </c>
    </row>
    <row r="265" hidden="1">
      <c r="A265" s="16" t="s">
        <v>352</v>
      </c>
      <c r="B265" s="17">
        <v>700.0</v>
      </c>
      <c r="C265" s="16" t="s">
        <v>18</v>
      </c>
      <c r="D265" s="18">
        <v>4973.0</v>
      </c>
      <c r="E265" s="19">
        <v>44651.0</v>
      </c>
      <c r="F265" s="17">
        <v>21.78</v>
      </c>
      <c r="G265" s="20">
        <v>2022.0</v>
      </c>
      <c r="H265" s="21" t="s">
        <v>209</v>
      </c>
      <c r="I265" s="21" t="s">
        <v>210</v>
      </c>
      <c r="J265" s="21" t="s">
        <v>353</v>
      </c>
      <c r="K265" s="16" t="s">
        <v>21</v>
      </c>
      <c r="L265" s="22">
        <v>30.0</v>
      </c>
      <c r="M265" s="11">
        <v>0.0</v>
      </c>
      <c r="N265" s="23">
        <v>0.0</v>
      </c>
      <c r="O265" s="23">
        <v>678.22</v>
      </c>
      <c r="P265" s="48">
        <f t="shared" si="4"/>
        <v>44681</v>
      </c>
      <c r="Q265" s="23"/>
      <c r="R265" s="25"/>
      <c r="S265" s="26">
        <v>44652.0</v>
      </c>
      <c r="T265" s="16" t="b">
        <v>1</v>
      </c>
    </row>
    <row r="266" hidden="1">
      <c r="A266" s="4" t="s">
        <v>354</v>
      </c>
      <c r="B266" s="5">
        <v>3000.0</v>
      </c>
      <c r="C266" s="4" t="s">
        <v>18</v>
      </c>
      <c r="D266" s="6">
        <v>4952.0</v>
      </c>
      <c r="E266" s="7">
        <v>44642.0</v>
      </c>
      <c r="F266" s="5">
        <v>0.0</v>
      </c>
      <c r="G266" s="8">
        <v>2022.0</v>
      </c>
      <c r="H266" s="9" t="s">
        <v>209</v>
      </c>
      <c r="I266" s="9" t="s">
        <v>280</v>
      </c>
      <c r="J266" s="9" t="s">
        <v>355</v>
      </c>
      <c r="K266" s="4" t="s">
        <v>21</v>
      </c>
      <c r="L266" s="10">
        <v>30.0</v>
      </c>
      <c r="M266" s="11">
        <v>0.0</v>
      </c>
      <c r="N266" s="12">
        <v>0.0</v>
      </c>
      <c r="O266" s="12">
        <v>3000.0</v>
      </c>
      <c r="P266" s="37">
        <f t="shared" si="4"/>
        <v>44672</v>
      </c>
      <c r="Q266" s="12">
        <v>3000.0</v>
      </c>
      <c r="R266" s="14"/>
      <c r="S266" s="15">
        <v>44652.0</v>
      </c>
      <c r="T266" s="4" t="b">
        <v>1</v>
      </c>
    </row>
    <row r="267" hidden="1">
      <c r="A267" s="16" t="s">
        <v>356</v>
      </c>
      <c r="B267" s="17">
        <v>300.0</v>
      </c>
      <c r="C267" s="16" t="s">
        <v>18</v>
      </c>
      <c r="D267" s="18">
        <v>4953.0</v>
      </c>
      <c r="E267" s="19">
        <v>44642.0</v>
      </c>
      <c r="F267" s="17">
        <v>9.33</v>
      </c>
      <c r="G267" s="20">
        <v>2022.0</v>
      </c>
      <c r="H267" s="21" t="s">
        <v>209</v>
      </c>
      <c r="I267" s="21" t="s">
        <v>210</v>
      </c>
      <c r="J267" s="21" t="s">
        <v>357</v>
      </c>
      <c r="K267" s="16" t="s">
        <v>21</v>
      </c>
      <c r="L267" s="22">
        <v>30.0</v>
      </c>
      <c r="M267" s="11">
        <v>0.0</v>
      </c>
      <c r="N267" s="23">
        <v>0.0</v>
      </c>
      <c r="O267" s="23">
        <v>290.67</v>
      </c>
      <c r="P267" s="48">
        <f t="shared" si="4"/>
        <v>44672</v>
      </c>
      <c r="Q267" s="23">
        <v>300.0</v>
      </c>
      <c r="R267" s="25"/>
      <c r="S267" s="26">
        <v>44652.0</v>
      </c>
      <c r="T267" s="16" t="b">
        <v>1</v>
      </c>
    </row>
    <row r="268" hidden="1">
      <c r="A268" s="4" t="s">
        <v>354</v>
      </c>
      <c r="B268" s="5">
        <v>2000.0</v>
      </c>
      <c r="C268" s="4" t="s">
        <v>18</v>
      </c>
      <c r="D268" s="6">
        <v>5178.0</v>
      </c>
      <c r="E268" s="7">
        <v>44742.0</v>
      </c>
      <c r="F268" s="5">
        <v>0.0</v>
      </c>
      <c r="G268" s="8">
        <v>2022.06</v>
      </c>
      <c r="H268" s="9" t="s">
        <v>27</v>
      </c>
      <c r="I268" s="9" t="s">
        <v>52</v>
      </c>
      <c r="J268" s="9" t="s">
        <v>355</v>
      </c>
      <c r="K268" s="4" t="s">
        <v>21</v>
      </c>
      <c r="L268" s="10">
        <v>30.0</v>
      </c>
      <c r="M268" s="11">
        <v>0.0</v>
      </c>
      <c r="N268" s="12">
        <v>0.0</v>
      </c>
      <c r="O268" s="12">
        <v>2000.0</v>
      </c>
      <c r="P268" s="37">
        <f t="shared" si="4"/>
        <v>44772</v>
      </c>
      <c r="Q268" s="12">
        <v>3000.0</v>
      </c>
      <c r="R268" s="14"/>
      <c r="S268" s="15">
        <v>44713.0</v>
      </c>
      <c r="T268" s="4" t="b">
        <v>1</v>
      </c>
    </row>
    <row r="269" hidden="1">
      <c r="A269" s="16" t="s">
        <v>354</v>
      </c>
      <c r="B269" s="17">
        <v>2000.0</v>
      </c>
      <c r="C269" s="16" t="s">
        <v>18</v>
      </c>
      <c r="D269" s="18">
        <v>5246.0</v>
      </c>
      <c r="E269" s="19">
        <v>44771.0</v>
      </c>
      <c r="F269" s="17">
        <v>0.0</v>
      </c>
      <c r="G269" s="20">
        <v>2022.07</v>
      </c>
      <c r="H269" s="21" t="s">
        <v>27</v>
      </c>
      <c r="I269" s="21" t="s">
        <v>52</v>
      </c>
      <c r="J269" s="21" t="s">
        <v>355</v>
      </c>
      <c r="K269" s="16" t="s">
        <v>21</v>
      </c>
      <c r="L269" s="22"/>
      <c r="M269" s="11">
        <v>0.0</v>
      </c>
      <c r="N269" s="23">
        <v>0.0</v>
      </c>
      <c r="O269" s="23">
        <v>2000.0</v>
      </c>
      <c r="P269" s="48">
        <f t="shared" si="4"/>
        <v>44771</v>
      </c>
      <c r="Q269" s="23"/>
      <c r="R269" s="25"/>
      <c r="S269" s="26">
        <v>44774.0</v>
      </c>
      <c r="T269" s="16" t="b">
        <v>1</v>
      </c>
    </row>
    <row r="270" hidden="1">
      <c r="A270" s="4" t="s">
        <v>354</v>
      </c>
      <c r="B270" s="5">
        <v>2000.0</v>
      </c>
      <c r="C270" s="4" t="s">
        <v>18</v>
      </c>
      <c r="D270" s="6">
        <v>5287.0</v>
      </c>
      <c r="E270" s="7">
        <v>44796.0</v>
      </c>
      <c r="F270" s="5">
        <v>0.0</v>
      </c>
      <c r="G270" s="8">
        <v>2022.08</v>
      </c>
      <c r="H270" s="9" t="s">
        <v>27</v>
      </c>
      <c r="I270" s="9" t="s">
        <v>52</v>
      </c>
      <c r="J270" s="9" t="s">
        <v>355</v>
      </c>
      <c r="K270" s="4" t="s">
        <v>21</v>
      </c>
      <c r="L270" s="10"/>
      <c r="M270" s="11">
        <v>0.0</v>
      </c>
      <c r="N270" s="12">
        <v>0.0</v>
      </c>
      <c r="O270" s="12">
        <v>2000.0</v>
      </c>
      <c r="P270" s="37">
        <f t="shared" si="4"/>
        <v>44796</v>
      </c>
      <c r="Q270" s="12"/>
      <c r="R270" s="14"/>
      <c r="S270" s="15">
        <v>44805.0</v>
      </c>
      <c r="T270" s="4" t="b">
        <v>1</v>
      </c>
    </row>
    <row r="271">
      <c r="A271" s="16" t="s">
        <v>354</v>
      </c>
      <c r="B271" s="17">
        <v>2000.0</v>
      </c>
      <c r="C271" s="16" t="s">
        <v>47</v>
      </c>
      <c r="D271" s="44"/>
      <c r="E271" s="19">
        <v>44819.0</v>
      </c>
      <c r="F271" s="35"/>
      <c r="G271" s="20">
        <v>2022.09</v>
      </c>
      <c r="H271" s="21" t="s">
        <v>27</v>
      </c>
      <c r="I271" s="21" t="s">
        <v>52</v>
      </c>
      <c r="J271" s="21" t="s">
        <v>355</v>
      </c>
      <c r="K271" s="16" t="s">
        <v>21</v>
      </c>
      <c r="L271" s="22"/>
      <c r="M271" s="11">
        <v>0.0</v>
      </c>
      <c r="N271" s="23">
        <v>0.0</v>
      </c>
      <c r="O271" s="23">
        <v>2000.0</v>
      </c>
      <c r="P271" s="48">
        <f t="shared" si="4"/>
        <v>44819</v>
      </c>
      <c r="Q271" s="23"/>
      <c r="R271" s="25"/>
      <c r="S271" s="26"/>
      <c r="T271" s="16" t="b">
        <v>1</v>
      </c>
    </row>
    <row r="272">
      <c r="A272" s="4" t="s">
        <v>358</v>
      </c>
      <c r="B272" s="5">
        <v>1300.0</v>
      </c>
      <c r="C272" s="4" t="s">
        <v>47</v>
      </c>
      <c r="D272" s="39"/>
      <c r="E272" s="52" t="s">
        <v>359</v>
      </c>
      <c r="F272" s="34"/>
      <c r="G272" s="8" t="s">
        <v>200</v>
      </c>
      <c r="H272" s="9" t="s">
        <v>209</v>
      </c>
      <c r="I272" s="9" t="s">
        <v>210</v>
      </c>
      <c r="J272" s="9" t="s">
        <v>360</v>
      </c>
      <c r="K272" s="4" t="s">
        <v>21</v>
      </c>
      <c r="L272" s="10">
        <v>30.0</v>
      </c>
      <c r="M272" s="11">
        <v>0.0</v>
      </c>
      <c r="N272" s="12">
        <v>0.0</v>
      </c>
      <c r="O272" s="12">
        <v>1300.0</v>
      </c>
      <c r="P272" s="13" t="str">
        <f t="shared" si="4"/>
        <v>#VALUE!</v>
      </c>
      <c r="Q272" s="12">
        <v>1300.0</v>
      </c>
      <c r="R272" s="14"/>
      <c r="S272" s="15"/>
      <c r="T272" s="4" t="b">
        <v>1</v>
      </c>
    </row>
    <row r="273" hidden="1">
      <c r="A273" s="16" t="s">
        <v>135</v>
      </c>
      <c r="B273" s="17">
        <v>350.0</v>
      </c>
      <c r="C273" s="16" t="s">
        <v>18</v>
      </c>
      <c r="D273" s="18">
        <v>4954.0</v>
      </c>
      <c r="E273" s="19">
        <v>44642.0</v>
      </c>
      <c r="F273" s="17">
        <v>0.0</v>
      </c>
      <c r="G273" s="20">
        <v>2022.0</v>
      </c>
      <c r="H273" s="21" t="s">
        <v>209</v>
      </c>
      <c r="I273" s="21" t="s">
        <v>210</v>
      </c>
      <c r="J273" s="21" t="s">
        <v>361</v>
      </c>
      <c r="K273" s="16" t="s">
        <v>21</v>
      </c>
      <c r="L273" s="22"/>
      <c r="M273" s="11">
        <v>0.0</v>
      </c>
      <c r="N273" s="23">
        <v>0.0</v>
      </c>
      <c r="O273" s="23">
        <v>350.0</v>
      </c>
      <c r="P273" s="48">
        <f t="shared" si="4"/>
        <v>44642</v>
      </c>
      <c r="Q273" s="23">
        <v>2800.0</v>
      </c>
      <c r="R273" s="25"/>
      <c r="S273" s="26">
        <v>44652.0</v>
      </c>
      <c r="T273" s="16" t="b">
        <v>1</v>
      </c>
    </row>
    <row r="274" hidden="1">
      <c r="A274" s="4" t="s">
        <v>54</v>
      </c>
      <c r="B274" s="5">
        <v>750.0</v>
      </c>
      <c r="C274" s="4" t="s">
        <v>18</v>
      </c>
      <c r="D274" s="6">
        <v>4974.0</v>
      </c>
      <c r="E274" s="7">
        <v>44651.0</v>
      </c>
      <c r="F274" s="5">
        <v>23.33</v>
      </c>
      <c r="G274" s="8">
        <v>2022.03</v>
      </c>
      <c r="H274" s="9" t="s">
        <v>51</v>
      </c>
      <c r="I274" s="9" t="s">
        <v>52</v>
      </c>
      <c r="J274" s="9" t="s">
        <v>55</v>
      </c>
      <c r="K274" s="4" t="s">
        <v>21</v>
      </c>
      <c r="L274" s="10">
        <v>30.0</v>
      </c>
      <c r="M274" s="11">
        <v>0.0</v>
      </c>
      <c r="N274" s="12">
        <v>0.0</v>
      </c>
      <c r="O274" s="12">
        <v>726.67</v>
      </c>
      <c r="P274" s="37">
        <f t="shared" si="4"/>
        <v>44681</v>
      </c>
      <c r="Q274" s="12">
        <v>750.0</v>
      </c>
      <c r="R274" s="14"/>
      <c r="S274" s="15">
        <v>44652.0</v>
      </c>
      <c r="T274" s="4" t="b">
        <v>1</v>
      </c>
    </row>
    <row r="275" hidden="1">
      <c r="A275" s="16" t="s">
        <v>147</v>
      </c>
      <c r="B275" s="17">
        <v>900.0</v>
      </c>
      <c r="C275" s="16" t="s">
        <v>18</v>
      </c>
      <c r="D275" s="18">
        <v>4975.0</v>
      </c>
      <c r="E275" s="19">
        <v>44651.0</v>
      </c>
      <c r="F275" s="17">
        <v>28.0</v>
      </c>
      <c r="G275" s="20">
        <v>2022.03</v>
      </c>
      <c r="H275" s="21" t="s">
        <v>51</v>
      </c>
      <c r="I275" s="21" t="s">
        <v>52</v>
      </c>
      <c r="J275" s="21" t="s">
        <v>362</v>
      </c>
      <c r="K275" s="16"/>
      <c r="L275" s="22"/>
      <c r="M275" s="11">
        <v>0.0</v>
      </c>
      <c r="N275" s="23">
        <v>0.0</v>
      </c>
      <c r="O275" s="23">
        <v>872.0</v>
      </c>
      <c r="P275" s="48">
        <f t="shared" si="4"/>
        <v>44651</v>
      </c>
      <c r="Q275" s="23">
        <v>900.0</v>
      </c>
      <c r="R275" s="25"/>
      <c r="S275" s="26">
        <v>44652.0</v>
      </c>
      <c r="T275" s="16" t="b">
        <v>1</v>
      </c>
    </row>
    <row r="276" hidden="1">
      <c r="A276" s="4" t="s">
        <v>58</v>
      </c>
      <c r="B276" s="5">
        <v>1550.0</v>
      </c>
      <c r="C276" s="4" t="s">
        <v>18</v>
      </c>
      <c r="D276" s="6">
        <v>4972.0</v>
      </c>
      <c r="E276" s="7">
        <v>44651.0</v>
      </c>
      <c r="F276" s="5">
        <v>48.22</v>
      </c>
      <c r="G276" s="8">
        <v>2022.03</v>
      </c>
      <c r="H276" s="9" t="s">
        <v>51</v>
      </c>
      <c r="I276" s="9" t="s">
        <v>52</v>
      </c>
      <c r="J276" s="9" t="s">
        <v>59</v>
      </c>
      <c r="K276" s="4" t="s">
        <v>21</v>
      </c>
      <c r="L276" s="10">
        <v>30.0</v>
      </c>
      <c r="M276" s="11">
        <v>0.0</v>
      </c>
      <c r="N276" s="12">
        <v>0.0</v>
      </c>
      <c r="O276" s="12">
        <v>1501.78</v>
      </c>
      <c r="P276" s="37">
        <f t="shared" si="4"/>
        <v>44681</v>
      </c>
      <c r="Q276" s="12">
        <v>1550.0</v>
      </c>
      <c r="R276" s="14"/>
      <c r="S276" s="15">
        <v>44682.0</v>
      </c>
      <c r="T276" s="4" t="b">
        <v>1</v>
      </c>
    </row>
    <row r="277" hidden="1">
      <c r="A277" s="16" t="s">
        <v>120</v>
      </c>
      <c r="B277" s="17">
        <f>1500*1.20959</f>
        <v>1814.385</v>
      </c>
      <c r="C277" s="16" t="s">
        <v>18</v>
      </c>
      <c r="D277" s="18" t="s">
        <v>363</v>
      </c>
      <c r="E277" s="19">
        <v>44651.0</v>
      </c>
      <c r="F277" s="35">
        <f>55.8*1.20959</f>
        <v>67.495122</v>
      </c>
      <c r="G277" s="20">
        <v>2022.03</v>
      </c>
      <c r="H277" s="21" t="s">
        <v>51</v>
      </c>
      <c r="I277" s="21" t="s">
        <v>52</v>
      </c>
      <c r="J277" s="21" t="s">
        <v>364</v>
      </c>
      <c r="K277" s="16" t="s">
        <v>9</v>
      </c>
      <c r="L277" s="22"/>
      <c r="M277" s="11">
        <v>0.2</v>
      </c>
      <c r="N277" s="23">
        <v>349.3779756</v>
      </c>
      <c r="O277" s="23">
        <v>1397.5119024</v>
      </c>
      <c r="P277" s="48">
        <f t="shared" si="4"/>
        <v>44651</v>
      </c>
      <c r="Q277" s="23">
        <v>3000.0</v>
      </c>
      <c r="R277" s="25"/>
      <c r="S277" s="26">
        <v>44652.0</v>
      </c>
      <c r="T277" s="16" t="b">
        <v>1</v>
      </c>
    </row>
    <row r="278" hidden="1">
      <c r="A278" s="4" t="s">
        <v>84</v>
      </c>
      <c r="B278" s="5">
        <v>1000.0</v>
      </c>
      <c r="C278" s="4" t="s">
        <v>18</v>
      </c>
      <c r="D278" s="6">
        <v>4976.0</v>
      </c>
      <c r="E278" s="7">
        <v>44651.0</v>
      </c>
      <c r="F278" s="5">
        <v>0.0</v>
      </c>
      <c r="G278" s="8">
        <v>2022.03</v>
      </c>
      <c r="H278" s="9" t="s">
        <v>51</v>
      </c>
      <c r="I278" s="9" t="s">
        <v>52</v>
      </c>
      <c r="J278" s="9" t="s">
        <v>85</v>
      </c>
      <c r="K278" s="4" t="s">
        <v>21</v>
      </c>
      <c r="L278" s="10">
        <v>30.0</v>
      </c>
      <c r="M278" s="11">
        <v>0.0</v>
      </c>
      <c r="N278" s="12">
        <v>0.0</v>
      </c>
      <c r="O278" s="12">
        <v>1000.0</v>
      </c>
      <c r="P278" s="37">
        <f t="shared" si="4"/>
        <v>44681</v>
      </c>
      <c r="Q278" s="12">
        <v>1000.0</v>
      </c>
      <c r="R278" s="14"/>
      <c r="S278" s="15">
        <v>44652.0</v>
      </c>
      <c r="T278" s="4" t="b">
        <v>1</v>
      </c>
    </row>
    <row r="279" hidden="1">
      <c r="A279" s="16" t="s">
        <v>86</v>
      </c>
      <c r="B279" s="17">
        <v>550.0</v>
      </c>
      <c r="C279" s="16" t="s">
        <v>18</v>
      </c>
      <c r="D279" s="18">
        <v>4977.0</v>
      </c>
      <c r="E279" s="19">
        <v>44651.0</v>
      </c>
      <c r="F279" s="17">
        <v>21.67</v>
      </c>
      <c r="G279" s="20">
        <v>2022.03</v>
      </c>
      <c r="H279" s="21" t="s">
        <v>51</v>
      </c>
      <c r="I279" s="21" t="s">
        <v>52</v>
      </c>
      <c r="J279" s="21" t="s">
        <v>87</v>
      </c>
      <c r="K279" s="16" t="s">
        <v>21</v>
      </c>
      <c r="L279" s="22">
        <v>30.0</v>
      </c>
      <c r="M279" s="11">
        <v>0.0</v>
      </c>
      <c r="N279" s="23">
        <v>0.0</v>
      </c>
      <c r="O279" s="23">
        <v>528.33</v>
      </c>
      <c r="P279" s="48">
        <f t="shared" si="4"/>
        <v>44681</v>
      </c>
      <c r="Q279" s="23">
        <v>550.0</v>
      </c>
      <c r="R279" s="25"/>
      <c r="S279" s="26">
        <v>44652.0</v>
      </c>
      <c r="T279" s="16" t="b">
        <v>1</v>
      </c>
    </row>
    <row r="280" hidden="1">
      <c r="A280" s="4" t="s">
        <v>42</v>
      </c>
      <c r="B280" s="5">
        <v>1500.0</v>
      </c>
      <c r="C280" s="4" t="s">
        <v>18</v>
      </c>
      <c r="D280" s="6">
        <v>4978.0</v>
      </c>
      <c r="E280" s="7">
        <v>44651.0</v>
      </c>
      <c r="F280" s="5">
        <v>46.67</v>
      </c>
      <c r="G280" s="8">
        <v>2022.03</v>
      </c>
      <c r="H280" s="9" t="s">
        <v>51</v>
      </c>
      <c r="I280" s="9" t="s">
        <v>52</v>
      </c>
      <c r="J280" s="9" t="s">
        <v>43</v>
      </c>
      <c r="K280" s="4"/>
      <c r="L280" s="10">
        <v>30.0</v>
      </c>
      <c r="M280" s="11">
        <v>0.15</v>
      </c>
      <c r="N280" s="12">
        <v>217.99949999999998</v>
      </c>
      <c r="O280" s="12">
        <v>1235.3305</v>
      </c>
      <c r="P280" s="37">
        <f t="shared" si="4"/>
        <v>44681</v>
      </c>
      <c r="Q280" s="12">
        <v>1500.0</v>
      </c>
      <c r="R280" s="14"/>
      <c r="S280" s="15">
        <v>44652.0</v>
      </c>
      <c r="T280" s="4" t="b">
        <v>1</v>
      </c>
    </row>
    <row r="281" hidden="1">
      <c r="A281" s="16" t="s">
        <v>82</v>
      </c>
      <c r="B281" s="17">
        <v>800.0</v>
      </c>
      <c r="C281" s="16" t="s">
        <v>18</v>
      </c>
      <c r="D281" s="18">
        <v>4979.0</v>
      </c>
      <c r="E281" s="19">
        <v>44651.0</v>
      </c>
      <c r="F281" s="17">
        <v>0.0</v>
      </c>
      <c r="G281" s="20">
        <v>2022.03</v>
      </c>
      <c r="H281" s="21" t="s">
        <v>51</v>
      </c>
      <c r="I281" s="21" t="s">
        <v>52</v>
      </c>
      <c r="J281" s="21" t="s">
        <v>83</v>
      </c>
      <c r="K281" s="16" t="s">
        <v>21</v>
      </c>
      <c r="L281" s="22">
        <v>30.0</v>
      </c>
      <c r="M281" s="11">
        <v>0.0</v>
      </c>
      <c r="N281" s="23">
        <v>0.0</v>
      </c>
      <c r="O281" s="23">
        <v>800.0</v>
      </c>
      <c r="P281" s="48">
        <f t="shared" si="4"/>
        <v>44681</v>
      </c>
      <c r="Q281" s="23">
        <v>800.0</v>
      </c>
      <c r="R281" s="25"/>
      <c r="S281" s="26">
        <v>44652.0</v>
      </c>
      <c r="T281" s="16" t="b">
        <v>1</v>
      </c>
    </row>
    <row r="282" hidden="1">
      <c r="A282" s="4" t="s">
        <v>151</v>
      </c>
      <c r="B282" s="5">
        <f>650*1.243637</f>
        <v>808.36405</v>
      </c>
      <c r="C282" s="4" t="s">
        <v>18</v>
      </c>
      <c r="D282" s="6" t="s">
        <v>365</v>
      </c>
      <c r="E282" s="7">
        <v>44651.0</v>
      </c>
      <c r="F282" s="34">
        <f>24.13*1.243637</f>
        <v>30.00896081</v>
      </c>
      <c r="G282" s="8">
        <v>2022.03</v>
      </c>
      <c r="H282" s="9" t="s">
        <v>51</v>
      </c>
      <c r="I282" s="9" t="s">
        <v>52</v>
      </c>
      <c r="J282" s="9" t="s">
        <v>122</v>
      </c>
      <c r="K282" s="4" t="s">
        <v>9</v>
      </c>
      <c r="L282" s="10">
        <v>30.0</v>
      </c>
      <c r="M282" s="11">
        <v>0.0</v>
      </c>
      <c r="N282" s="12">
        <v>0.0</v>
      </c>
      <c r="O282" s="12">
        <v>778.3550891900001</v>
      </c>
      <c r="P282" s="37">
        <f t="shared" si="4"/>
        <v>44681</v>
      </c>
      <c r="Q282" s="12">
        <v>650.0</v>
      </c>
      <c r="R282" s="14"/>
      <c r="S282" s="15">
        <v>44713.0</v>
      </c>
      <c r="T282" s="4" t="b">
        <v>1</v>
      </c>
    </row>
    <row r="283" hidden="1">
      <c r="A283" s="16" t="s">
        <v>50</v>
      </c>
      <c r="B283" s="17">
        <v>375.0</v>
      </c>
      <c r="C283" s="16" t="s">
        <v>18</v>
      </c>
      <c r="D283" s="18">
        <v>4980.0</v>
      </c>
      <c r="E283" s="19">
        <v>44651.0</v>
      </c>
      <c r="F283" s="17">
        <v>0.0</v>
      </c>
      <c r="G283" s="20">
        <v>2022.03</v>
      </c>
      <c r="H283" s="21" t="s">
        <v>51</v>
      </c>
      <c r="I283" s="21" t="s">
        <v>52</v>
      </c>
      <c r="J283" s="21" t="s">
        <v>53</v>
      </c>
      <c r="K283" s="16" t="s">
        <v>21</v>
      </c>
      <c r="L283" s="22">
        <v>30.0</v>
      </c>
      <c r="M283" s="11">
        <v>0.0</v>
      </c>
      <c r="N283" s="23">
        <v>0.0</v>
      </c>
      <c r="O283" s="23">
        <v>375.0</v>
      </c>
      <c r="P283" s="48">
        <f t="shared" si="4"/>
        <v>44681</v>
      </c>
      <c r="Q283" s="23">
        <v>375.0</v>
      </c>
      <c r="R283" s="25"/>
      <c r="S283" s="26">
        <v>44652.0</v>
      </c>
      <c r="T283" s="16" t="b">
        <v>1</v>
      </c>
    </row>
    <row r="284" hidden="1">
      <c r="A284" s="4" t="s">
        <v>75</v>
      </c>
      <c r="B284" s="5">
        <v>500.0</v>
      </c>
      <c r="C284" s="4" t="s">
        <v>18</v>
      </c>
      <c r="D284" s="6">
        <v>4981.0</v>
      </c>
      <c r="E284" s="7">
        <v>44651.0</v>
      </c>
      <c r="F284" s="5">
        <v>0.0</v>
      </c>
      <c r="G284" s="8">
        <v>2022.03</v>
      </c>
      <c r="H284" s="9" t="s">
        <v>51</v>
      </c>
      <c r="I284" s="9" t="s">
        <v>52</v>
      </c>
      <c r="J284" s="9" t="s">
        <v>76</v>
      </c>
      <c r="K284" s="4" t="s">
        <v>21</v>
      </c>
      <c r="L284" s="10">
        <v>30.0</v>
      </c>
      <c r="M284" s="11">
        <v>0.0</v>
      </c>
      <c r="N284" s="12">
        <v>0.0</v>
      </c>
      <c r="O284" s="12">
        <v>500.0</v>
      </c>
      <c r="P284" s="37">
        <f t="shared" si="4"/>
        <v>44681</v>
      </c>
      <c r="Q284" s="12">
        <v>500.0</v>
      </c>
      <c r="R284" s="14"/>
      <c r="S284" s="15">
        <v>44652.0</v>
      </c>
      <c r="T284" s="4" t="b">
        <v>1</v>
      </c>
    </row>
    <row r="285" hidden="1">
      <c r="A285" s="16" t="s">
        <v>105</v>
      </c>
      <c r="B285" s="17">
        <f>300*1.208911</f>
        <v>362.6733</v>
      </c>
      <c r="C285" s="16" t="s">
        <v>18</v>
      </c>
      <c r="D285" s="18" t="s">
        <v>366</v>
      </c>
      <c r="E285" s="19">
        <v>44651.0</v>
      </c>
      <c r="F285" s="35">
        <f>11.4*1.208911</f>
        <v>13.7815854</v>
      </c>
      <c r="G285" s="20">
        <v>2022.03</v>
      </c>
      <c r="H285" s="21" t="s">
        <v>51</v>
      </c>
      <c r="I285" s="21" t="s">
        <v>52</v>
      </c>
      <c r="J285" s="21" t="s">
        <v>154</v>
      </c>
      <c r="K285" s="16" t="s">
        <v>9</v>
      </c>
      <c r="L285" s="22">
        <v>30.0</v>
      </c>
      <c r="M285" s="11">
        <v>0.0</v>
      </c>
      <c r="N285" s="23">
        <v>0.0</v>
      </c>
      <c r="O285" s="23">
        <v>348.89171460000006</v>
      </c>
      <c r="P285" s="48">
        <f t="shared" si="4"/>
        <v>44681</v>
      </c>
      <c r="Q285" s="23">
        <v>300.0</v>
      </c>
      <c r="R285" s="25"/>
      <c r="S285" s="26">
        <v>44652.0</v>
      </c>
      <c r="T285" s="16" t="b">
        <v>1</v>
      </c>
    </row>
    <row r="286" hidden="1">
      <c r="A286" s="4" t="s">
        <v>90</v>
      </c>
      <c r="B286" s="5">
        <v>250.0</v>
      </c>
      <c r="C286" s="4" t="s">
        <v>18</v>
      </c>
      <c r="D286" s="6">
        <v>4982.0</v>
      </c>
      <c r="E286" s="7">
        <v>44651.0</v>
      </c>
      <c r="F286" s="5">
        <v>0.0</v>
      </c>
      <c r="G286" s="8">
        <v>2022.03</v>
      </c>
      <c r="H286" s="9" t="s">
        <v>51</v>
      </c>
      <c r="I286" s="9" t="s">
        <v>52</v>
      </c>
      <c r="J286" s="9" t="s">
        <v>215</v>
      </c>
      <c r="K286" s="4" t="s">
        <v>21</v>
      </c>
      <c r="L286" s="10">
        <v>30.0</v>
      </c>
      <c r="M286" s="11">
        <v>0.0</v>
      </c>
      <c r="N286" s="12">
        <v>0.0</v>
      </c>
      <c r="O286" s="12">
        <v>250.0</v>
      </c>
      <c r="P286" s="37">
        <f t="shared" si="4"/>
        <v>44681</v>
      </c>
      <c r="Q286" s="12">
        <v>250.0</v>
      </c>
      <c r="R286" s="14"/>
      <c r="S286" s="15">
        <v>44652.0</v>
      </c>
      <c r="T286" s="4" t="b">
        <v>1</v>
      </c>
    </row>
    <row r="287" hidden="1">
      <c r="A287" s="16" t="s">
        <v>97</v>
      </c>
      <c r="B287" s="17">
        <v>300.0</v>
      </c>
      <c r="C287" s="16" t="s">
        <v>18</v>
      </c>
      <c r="D287" s="18">
        <v>4983.0</v>
      </c>
      <c r="E287" s="19">
        <v>44651.0</v>
      </c>
      <c r="F287" s="17">
        <v>9.33</v>
      </c>
      <c r="G287" s="20">
        <v>2022.03</v>
      </c>
      <c r="H287" s="21" t="s">
        <v>51</v>
      </c>
      <c r="I287" s="21" t="s">
        <v>52</v>
      </c>
      <c r="J287" s="21" t="s">
        <v>98</v>
      </c>
      <c r="K287" s="16" t="s">
        <v>21</v>
      </c>
      <c r="L287" s="22">
        <v>30.0</v>
      </c>
      <c r="M287" s="11">
        <v>0.0</v>
      </c>
      <c r="N287" s="23">
        <v>0.0</v>
      </c>
      <c r="O287" s="23">
        <v>290.67</v>
      </c>
      <c r="P287" s="48">
        <f t="shared" si="4"/>
        <v>44681</v>
      </c>
      <c r="Q287" s="23">
        <v>300.0</v>
      </c>
      <c r="R287" s="25"/>
      <c r="S287" s="26">
        <v>44652.0</v>
      </c>
      <c r="T287" s="16" t="b">
        <v>1</v>
      </c>
    </row>
    <row r="288" hidden="1">
      <c r="A288" s="4" t="s">
        <v>92</v>
      </c>
      <c r="B288" s="5">
        <v>2500.0</v>
      </c>
      <c r="C288" s="4" t="s">
        <v>18</v>
      </c>
      <c r="D288" s="6">
        <v>4984.0</v>
      </c>
      <c r="E288" s="7">
        <v>44651.0</v>
      </c>
      <c r="F288" s="5">
        <v>77.78</v>
      </c>
      <c r="G288" s="8">
        <v>2022.03</v>
      </c>
      <c r="H288" s="9" t="s">
        <v>51</v>
      </c>
      <c r="I288" s="9" t="s">
        <v>52</v>
      </c>
      <c r="J288" s="9" t="s">
        <v>93</v>
      </c>
      <c r="K288" s="4"/>
      <c r="L288" s="10"/>
      <c r="M288" s="11">
        <v>0.0</v>
      </c>
      <c r="N288" s="12">
        <v>0.0</v>
      </c>
      <c r="O288" s="12">
        <v>2422.22</v>
      </c>
      <c r="P288" s="37">
        <f t="shared" si="4"/>
        <v>44651</v>
      </c>
      <c r="Q288" s="12">
        <v>2500.0</v>
      </c>
      <c r="R288" s="14"/>
      <c r="S288" s="15">
        <v>44652.0</v>
      </c>
      <c r="T288" s="4" t="b">
        <v>1</v>
      </c>
    </row>
    <row r="289" hidden="1">
      <c r="A289" s="36" t="s">
        <v>367</v>
      </c>
      <c r="B289" s="17">
        <f>350*1.238399</f>
        <v>433.43965</v>
      </c>
      <c r="C289" s="16" t="s">
        <v>18</v>
      </c>
      <c r="D289" s="18" t="s">
        <v>368</v>
      </c>
      <c r="E289" s="19">
        <v>44651.0</v>
      </c>
      <c r="F289" s="35">
        <f>13.25*1.238399</f>
        <v>16.40878675</v>
      </c>
      <c r="G289" s="20">
        <v>2022.03</v>
      </c>
      <c r="H289" s="21" t="s">
        <v>51</v>
      </c>
      <c r="I289" s="21" t="s">
        <v>52</v>
      </c>
      <c r="J289" s="21" t="s">
        <v>114</v>
      </c>
      <c r="K289" s="16" t="s">
        <v>9</v>
      </c>
      <c r="L289" s="22">
        <v>30.0</v>
      </c>
      <c r="M289" s="11">
        <v>0.0</v>
      </c>
      <c r="N289" s="23">
        <v>0.0</v>
      </c>
      <c r="O289" s="23">
        <v>417.03086325000004</v>
      </c>
      <c r="P289" s="48">
        <f t="shared" si="4"/>
        <v>44681</v>
      </c>
      <c r="Q289" s="23">
        <v>350.0</v>
      </c>
      <c r="R289" s="25"/>
      <c r="S289" s="26">
        <v>44682.0</v>
      </c>
      <c r="T289" s="16" t="b">
        <v>1</v>
      </c>
    </row>
    <row r="290" hidden="1">
      <c r="A290" s="4" t="s">
        <v>123</v>
      </c>
      <c r="B290" s="5">
        <f>4500*1.215798</f>
        <v>5471.091</v>
      </c>
      <c r="C290" s="4" t="s">
        <v>18</v>
      </c>
      <c r="D290" s="6" t="s">
        <v>369</v>
      </c>
      <c r="E290" s="7">
        <v>44651.0</v>
      </c>
      <c r="F290" s="34">
        <f>166.8*1.215798</f>
        <v>202.7951064</v>
      </c>
      <c r="G290" s="8">
        <v>2022.03</v>
      </c>
      <c r="H290" s="9" t="s">
        <v>51</v>
      </c>
      <c r="I290" s="9" t="s">
        <v>52</v>
      </c>
      <c r="J290" s="9" t="s">
        <v>370</v>
      </c>
      <c r="K290" s="4" t="s">
        <v>9</v>
      </c>
      <c r="L290" s="10">
        <v>30.0</v>
      </c>
      <c r="M290" s="11">
        <v>0.2</v>
      </c>
      <c r="N290" s="12">
        <v>1053.65917872</v>
      </c>
      <c r="O290" s="12">
        <v>4214.63671488</v>
      </c>
      <c r="P290" s="37">
        <f t="shared" si="4"/>
        <v>44681</v>
      </c>
      <c r="Q290" s="12">
        <v>4500.0</v>
      </c>
      <c r="R290" s="14"/>
      <c r="S290" s="15">
        <v>44652.0</v>
      </c>
      <c r="T290" s="4" t="b">
        <v>1</v>
      </c>
    </row>
    <row r="291" hidden="1">
      <c r="A291" s="16" t="s">
        <v>115</v>
      </c>
      <c r="B291" s="17">
        <f t="shared" ref="B291:B292" si="6">2000*1.2539125</f>
        <v>2507.825</v>
      </c>
      <c r="C291" s="16" t="s">
        <v>18</v>
      </c>
      <c r="D291" s="18" t="s">
        <v>371</v>
      </c>
      <c r="E291" s="19">
        <v>44651.0</v>
      </c>
      <c r="F291" s="17">
        <v>0.0</v>
      </c>
      <c r="G291" s="20">
        <v>2022.03</v>
      </c>
      <c r="H291" s="21" t="s">
        <v>51</v>
      </c>
      <c r="I291" s="21" t="s">
        <v>52</v>
      </c>
      <c r="J291" s="21" t="s">
        <v>117</v>
      </c>
      <c r="K291" s="16" t="s">
        <v>9</v>
      </c>
      <c r="L291" s="22">
        <v>30.0</v>
      </c>
      <c r="M291" s="11">
        <v>0.0</v>
      </c>
      <c r="N291" s="23">
        <v>0.0</v>
      </c>
      <c r="O291" s="23">
        <v>2507.825</v>
      </c>
      <c r="P291" s="48">
        <f t="shared" si="4"/>
        <v>44681</v>
      </c>
      <c r="Q291" s="23">
        <v>2000.0</v>
      </c>
      <c r="R291" s="25"/>
      <c r="S291" s="26">
        <v>44682.0</v>
      </c>
      <c r="T291" s="16" t="b">
        <v>1</v>
      </c>
    </row>
    <row r="292" hidden="1">
      <c r="A292" s="4" t="s">
        <v>118</v>
      </c>
      <c r="B292" s="5">
        <f t="shared" si="6"/>
        <v>2507.825</v>
      </c>
      <c r="C292" s="4" t="s">
        <v>18</v>
      </c>
      <c r="D292" s="6" t="s">
        <v>372</v>
      </c>
      <c r="E292" s="7">
        <v>44651.0</v>
      </c>
      <c r="F292" s="5">
        <v>0.0</v>
      </c>
      <c r="G292" s="8">
        <v>2022.03</v>
      </c>
      <c r="H292" s="9" t="s">
        <v>51</v>
      </c>
      <c r="I292" s="9" t="s">
        <v>52</v>
      </c>
      <c r="J292" s="9" t="s">
        <v>117</v>
      </c>
      <c r="K292" s="4" t="s">
        <v>9</v>
      </c>
      <c r="L292" s="10">
        <v>30.0</v>
      </c>
      <c r="M292" s="11">
        <v>0.0</v>
      </c>
      <c r="N292" s="12">
        <v>0.0</v>
      </c>
      <c r="O292" s="12">
        <v>2507.825</v>
      </c>
      <c r="P292" s="37">
        <f t="shared" si="4"/>
        <v>44681</v>
      </c>
      <c r="Q292" s="12">
        <v>2000.0</v>
      </c>
      <c r="R292" s="14"/>
      <c r="S292" s="15">
        <v>44682.0</v>
      </c>
      <c r="T292" s="4" t="b">
        <v>1</v>
      </c>
    </row>
    <row r="293" hidden="1">
      <c r="A293" s="16" t="s">
        <v>73</v>
      </c>
      <c r="B293" s="17">
        <v>700.0</v>
      </c>
      <c r="C293" s="16" t="s">
        <v>18</v>
      </c>
      <c r="D293" s="18">
        <v>4985.0</v>
      </c>
      <c r="E293" s="19">
        <v>44651.0</v>
      </c>
      <c r="F293" s="17">
        <v>0.0</v>
      </c>
      <c r="G293" s="20">
        <v>2022.03</v>
      </c>
      <c r="H293" s="21" t="s">
        <v>51</v>
      </c>
      <c r="I293" s="21" t="s">
        <v>52</v>
      </c>
      <c r="J293" s="21" t="s">
        <v>74</v>
      </c>
      <c r="K293" s="16" t="s">
        <v>21</v>
      </c>
      <c r="L293" s="22">
        <v>30.0</v>
      </c>
      <c r="M293" s="11">
        <v>0.0</v>
      </c>
      <c r="N293" s="23">
        <v>0.0</v>
      </c>
      <c r="O293" s="23">
        <v>700.0</v>
      </c>
      <c r="P293" s="48">
        <f t="shared" si="4"/>
        <v>44681</v>
      </c>
      <c r="Q293" s="23">
        <v>700.0</v>
      </c>
      <c r="R293" s="25"/>
      <c r="S293" s="26">
        <v>44682.0</v>
      </c>
      <c r="T293" s="16" t="b">
        <v>1</v>
      </c>
    </row>
    <row r="294" hidden="1">
      <c r="A294" s="4" t="s">
        <v>223</v>
      </c>
      <c r="B294" s="5">
        <v>800.0</v>
      </c>
      <c r="C294" s="4" t="s">
        <v>18</v>
      </c>
      <c r="D294" s="6">
        <v>4986.0</v>
      </c>
      <c r="E294" s="7">
        <v>44651.0</v>
      </c>
      <c r="F294" s="5">
        <v>24.89</v>
      </c>
      <c r="G294" s="8">
        <v>2022.03</v>
      </c>
      <c r="H294" s="9" t="s">
        <v>51</v>
      </c>
      <c r="I294" s="9" t="s">
        <v>52</v>
      </c>
      <c r="J294" s="9" t="s">
        <v>247</v>
      </c>
      <c r="K294" s="4" t="s">
        <v>21</v>
      </c>
      <c r="L294" s="10">
        <v>30.0</v>
      </c>
      <c r="M294" s="11">
        <v>0.0</v>
      </c>
      <c r="N294" s="12">
        <v>0.0</v>
      </c>
      <c r="O294" s="12">
        <v>775.11</v>
      </c>
      <c r="P294" s="37">
        <f t="shared" si="4"/>
        <v>44681</v>
      </c>
      <c r="Q294" s="12">
        <v>800.0</v>
      </c>
      <c r="R294" s="14"/>
      <c r="S294" s="15">
        <v>44682.0</v>
      </c>
      <c r="T294" s="4" t="b">
        <v>1</v>
      </c>
    </row>
    <row r="295" hidden="1">
      <c r="A295" s="16" t="s">
        <v>373</v>
      </c>
      <c r="B295" s="17">
        <v>1700.0</v>
      </c>
      <c r="C295" s="16" t="s">
        <v>18</v>
      </c>
      <c r="D295" s="18">
        <v>5046.0</v>
      </c>
      <c r="E295" s="19">
        <v>44680.0</v>
      </c>
      <c r="F295" s="17">
        <v>52.89</v>
      </c>
      <c r="G295" s="20">
        <v>2022.0</v>
      </c>
      <c r="H295" s="21" t="s">
        <v>209</v>
      </c>
      <c r="I295" s="21" t="s">
        <v>252</v>
      </c>
      <c r="J295" s="21" t="s">
        <v>374</v>
      </c>
      <c r="K295" s="16" t="s">
        <v>21</v>
      </c>
      <c r="L295" s="22">
        <v>15.0</v>
      </c>
      <c r="M295" s="11">
        <v>0.0</v>
      </c>
      <c r="N295" s="23">
        <v>0.0</v>
      </c>
      <c r="O295" s="23">
        <v>1647.11</v>
      </c>
      <c r="P295" s="48">
        <f t="shared" si="4"/>
        <v>44695</v>
      </c>
      <c r="Q295" s="23">
        <v>1700.0</v>
      </c>
      <c r="R295" s="25"/>
      <c r="S295" s="26">
        <v>44682.0</v>
      </c>
      <c r="T295" s="16" t="b">
        <v>1</v>
      </c>
    </row>
    <row r="296" hidden="1">
      <c r="A296" s="4" t="s">
        <v>81</v>
      </c>
      <c r="B296" s="5">
        <v>1200.0</v>
      </c>
      <c r="C296" s="4" t="s">
        <v>18</v>
      </c>
      <c r="D296" s="6">
        <v>4987.0</v>
      </c>
      <c r="E296" s="7">
        <v>44651.0</v>
      </c>
      <c r="F296" s="5">
        <v>0.0</v>
      </c>
      <c r="G296" s="8">
        <v>2022.03</v>
      </c>
      <c r="H296" s="9" t="s">
        <v>51</v>
      </c>
      <c r="I296" s="9" t="s">
        <v>52</v>
      </c>
      <c r="J296" s="9" t="s">
        <v>38</v>
      </c>
      <c r="K296" s="4" t="s">
        <v>21</v>
      </c>
      <c r="L296" s="10">
        <v>30.0</v>
      </c>
      <c r="M296" s="11">
        <v>0.0</v>
      </c>
      <c r="N296" s="12">
        <v>0.0</v>
      </c>
      <c r="O296" s="12">
        <v>1200.0</v>
      </c>
      <c r="P296" s="37">
        <f t="shared" si="4"/>
        <v>44681</v>
      </c>
      <c r="Q296" s="12">
        <v>1200.0</v>
      </c>
      <c r="R296" s="9" t="s">
        <v>375</v>
      </c>
      <c r="S296" s="15">
        <v>44652.0</v>
      </c>
      <c r="T296" s="4" t="b">
        <v>1</v>
      </c>
    </row>
    <row r="297" hidden="1">
      <c r="A297" s="16" t="s">
        <v>88</v>
      </c>
      <c r="B297" s="17">
        <v>500.0</v>
      </c>
      <c r="C297" s="16" t="s">
        <v>18</v>
      </c>
      <c r="D297" s="18">
        <v>4988.0</v>
      </c>
      <c r="E297" s="19">
        <v>44651.0</v>
      </c>
      <c r="F297" s="17">
        <v>15.53</v>
      </c>
      <c r="G297" s="20">
        <v>2022.03</v>
      </c>
      <c r="H297" s="21" t="s">
        <v>51</v>
      </c>
      <c r="I297" s="21" t="s">
        <v>52</v>
      </c>
      <c r="J297" s="21" t="s">
        <v>89</v>
      </c>
      <c r="K297" s="16" t="s">
        <v>21</v>
      </c>
      <c r="L297" s="22">
        <v>30.0</v>
      </c>
      <c r="M297" s="11">
        <v>0.0</v>
      </c>
      <c r="N297" s="23">
        <v>0.0</v>
      </c>
      <c r="O297" s="23">
        <v>484.47</v>
      </c>
      <c r="P297" s="48">
        <f t="shared" si="4"/>
        <v>44681</v>
      </c>
      <c r="Q297" s="23">
        <v>500.0</v>
      </c>
      <c r="R297" s="21" t="s">
        <v>375</v>
      </c>
      <c r="S297" s="26">
        <v>44682.0</v>
      </c>
      <c r="T297" s="16" t="b">
        <v>1</v>
      </c>
    </row>
    <row r="298" hidden="1">
      <c r="A298" s="4" t="s">
        <v>264</v>
      </c>
      <c r="B298" s="5">
        <f>4500/2</f>
        <v>2250</v>
      </c>
      <c r="C298" s="4" t="s">
        <v>18</v>
      </c>
      <c r="D298" s="6">
        <v>4989.0</v>
      </c>
      <c r="E298" s="7">
        <v>44659.0</v>
      </c>
      <c r="F298" s="5">
        <v>68.81</v>
      </c>
      <c r="G298" s="8">
        <v>2022.0</v>
      </c>
      <c r="H298" s="9" t="s">
        <v>209</v>
      </c>
      <c r="I298" s="9" t="s">
        <v>290</v>
      </c>
      <c r="J298" s="41" t="s">
        <v>376</v>
      </c>
      <c r="K298" s="4" t="s">
        <v>21</v>
      </c>
      <c r="L298" s="10">
        <v>30.0</v>
      </c>
      <c r="M298" s="11">
        <v>0.0</v>
      </c>
      <c r="N298" s="12">
        <v>0.0</v>
      </c>
      <c r="O298" s="12">
        <v>2181.19</v>
      </c>
      <c r="P298" s="37">
        <f t="shared" si="4"/>
        <v>44689</v>
      </c>
      <c r="Q298" s="12">
        <v>0.0</v>
      </c>
      <c r="R298" s="14"/>
      <c r="S298" s="15">
        <v>44682.0</v>
      </c>
      <c r="T298" s="4" t="b">
        <v>1</v>
      </c>
    </row>
    <row r="299" hidden="1">
      <c r="A299" s="16" t="s">
        <v>264</v>
      </c>
      <c r="B299" s="17">
        <v>2250.0</v>
      </c>
      <c r="C299" s="16" t="s">
        <v>18</v>
      </c>
      <c r="D299" s="18">
        <v>5286.0</v>
      </c>
      <c r="E299" s="19">
        <v>44788.0</v>
      </c>
      <c r="F299" s="17">
        <v>68.81</v>
      </c>
      <c r="G299" s="20">
        <v>2022.0</v>
      </c>
      <c r="H299" s="21" t="s">
        <v>209</v>
      </c>
      <c r="I299" s="21" t="s">
        <v>377</v>
      </c>
      <c r="J299" s="53" t="s">
        <v>378</v>
      </c>
      <c r="K299" s="16" t="s">
        <v>21</v>
      </c>
      <c r="L299" s="22">
        <v>30.0</v>
      </c>
      <c r="M299" s="11">
        <v>0.0</v>
      </c>
      <c r="N299" s="23">
        <v>0.0</v>
      </c>
      <c r="O299" s="23">
        <v>2181.19</v>
      </c>
      <c r="P299" s="48">
        <f t="shared" si="4"/>
        <v>44818</v>
      </c>
      <c r="Q299" s="23">
        <v>0.0</v>
      </c>
      <c r="R299" s="25"/>
      <c r="S299" s="26">
        <v>44805.0</v>
      </c>
      <c r="T299" s="16" t="b">
        <v>1</v>
      </c>
    </row>
    <row r="300" hidden="1">
      <c r="A300" s="4" t="s">
        <v>68</v>
      </c>
      <c r="B300" s="5">
        <v>650.0</v>
      </c>
      <c r="C300" s="4" t="s">
        <v>18</v>
      </c>
      <c r="D300" s="6">
        <v>4993.0</v>
      </c>
      <c r="E300" s="7">
        <v>44666.0</v>
      </c>
      <c r="F300" s="5">
        <v>20.09</v>
      </c>
      <c r="G300" s="8">
        <v>2022.04</v>
      </c>
      <c r="H300" s="9" t="s">
        <v>27</v>
      </c>
      <c r="I300" s="9" t="s">
        <v>52</v>
      </c>
      <c r="J300" s="9" t="s">
        <v>69</v>
      </c>
      <c r="K300" s="4" t="s">
        <v>21</v>
      </c>
      <c r="L300" s="10">
        <v>30.0</v>
      </c>
      <c r="M300" s="11">
        <v>0.0</v>
      </c>
      <c r="N300" s="12">
        <v>0.0</v>
      </c>
      <c r="O300" s="12">
        <v>629.91</v>
      </c>
      <c r="P300" s="37">
        <f t="shared" si="4"/>
        <v>44696</v>
      </c>
      <c r="Q300" s="12">
        <v>650.0</v>
      </c>
      <c r="R300" s="14"/>
      <c r="S300" s="15">
        <v>44682.0</v>
      </c>
      <c r="T300" s="4" t="b">
        <v>1</v>
      </c>
    </row>
    <row r="301" hidden="1">
      <c r="A301" s="16" t="s">
        <v>246</v>
      </c>
      <c r="B301" s="17">
        <v>500.0</v>
      </c>
      <c r="C301" s="16" t="s">
        <v>18</v>
      </c>
      <c r="D301" s="18">
        <v>4994.0</v>
      </c>
      <c r="E301" s="19">
        <v>44666.0</v>
      </c>
      <c r="F301" s="17">
        <v>0.0</v>
      </c>
      <c r="G301" s="20">
        <v>2022.04</v>
      </c>
      <c r="H301" s="21" t="s">
        <v>27</v>
      </c>
      <c r="I301" s="21" t="s">
        <v>52</v>
      </c>
      <c r="J301" s="21" t="s">
        <v>247</v>
      </c>
      <c r="K301" s="16" t="s">
        <v>21</v>
      </c>
      <c r="L301" s="22">
        <v>30.0</v>
      </c>
      <c r="M301" s="11">
        <v>0.0</v>
      </c>
      <c r="N301" s="23">
        <v>0.0</v>
      </c>
      <c r="O301" s="23">
        <v>500.0</v>
      </c>
      <c r="P301" s="48">
        <f t="shared" si="4"/>
        <v>44696</v>
      </c>
      <c r="Q301" s="23">
        <v>500.0</v>
      </c>
      <c r="R301" s="25"/>
      <c r="S301" s="26">
        <v>44682.0</v>
      </c>
      <c r="T301" s="16" t="b">
        <v>1</v>
      </c>
    </row>
    <row r="302" hidden="1">
      <c r="A302" s="4" t="s">
        <v>99</v>
      </c>
      <c r="B302" s="5">
        <f>1300*1.220842</f>
        <v>1587.0946</v>
      </c>
      <c r="C302" s="4" t="s">
        <v>18</v>
      </c>
      <c r="D302" s="6" t="s">
        <v>379</v>
      </c>
      <c r="E302" s="7">
        <v>44666.0</v>
      </c>
      <c r="F302" s="34">
        <f>48.4*1.220842</f>
        <v>59.0887528</v>
      </c>
      <c r="G302" s="8">
        <v>2022.04</v>
      </c>
      <c r="H302" s="9" t="s">
        <v>27</v>
      </c>
      <c r="I302" s="9" t="s">
        <v>52</v>
      </c>
      <c r="J302" s="9" t="s">
        <v>101</v>
      </c>
      <c r="K302" s="4" t="s">
        <v>9</v>
      </c>
      <c r="L302" s="10">
        <v>30.0</v>
      </c>
      <c r="M302" s="11">
        <v>0.2</v>
      </c>
      <c r="N302" s="12">
        <v>305.60116944</v>
      </c>
      <c r="O302" s="12">
        <v>1222.40467776</v>
      </c>
      <c r="P302" s="37">
        <f t="shared" si="4"/>
        <v>44696</v>
      </c>
      <c r="Q302" s="12">
        <v>1300.0</v>
      </c>
      <c r="R302" s="14"/>
      <c r="S302" s="15">
        <v>44682.0</v>
      </c>
      <c r="T302" s="4" t="b">
        <v>1</v>
      </c>
    </row>
    <row r="303" hidden="1">
      <c r="A303" s="16" t="s">
        <v>296</v>
      </c>
      <c r="B303" s="17">
        <f>1500*1.2449</f>
        <v>1867.35</v>
      </c>
      <c r="C303" s="16" t="s">
        <v>18</v>
      </c>
      <c r="D303" s="18" t="s">
        <v>380</v>
      </c>
      <c r="E303" s="19">
        <v>44666.0</v>
      </c>
      <c r="F303" s="17">
        <v>0.0</v>
      </c>
      <c r="G303" s="20">
        <v>2022.04</v>
      </c>
      <c r="H303" s="21" t="s">
        <v>27</v>
      </c>
      <c r="I303" s="21" t="s">
        <v>52</v>
      </c>
      <c r="J303" s="21" t="s">
        <v>381</v>
      </c>
      <c r="K303" s="16" t="s">
        <v>9</v>
      </c>
      <c r="L303" s="22">
        <v>30.0</v>
      </c>
      <c r="M303" s="11">
        <v>0.0</v>
      </c>
      <c r="N303" s="23">
        <v>0.0</v>
      </c>
      <c r="O303" s="23">
        <v>1867.35</v>
      </c>
      <c r="P303" s="48">
        <f t="shared" si="4"/>
        <v>44696</v>
      </c>
      <c r="Q303" s="23">
        <v>2500.0</v>
      </c>
      <c r="R303" s="25"/>
      <c r="S303" s="26">
        <v>44682.0</v>
      </c>
      <c r="T303" s="16" t="b">
        <v>1</v>
      </c>
    </row>
    <row r="304" hidden="1">
      <c r="A304" s="4" t="s">
        <v>225</v>
      </c>
      <c r="B304" s="5">
        <v>5000.0</v>
      </c>
      <c r="C304" s="4" t="s">
        <v>18</v>
      </c>
      <c r="D304" s="6">
        <v>4995.0</v>
      </c>
      <c r="E304" s="7">
        <v>44666.0</v>
      </c>
      <c r="F304" s="5">
        <v>0.0</v>
      </c>
      <c r="G304" s="8">
        <v>2022.04</v>
      </c>
      <c r="H304" s="9" t="s">
        <v>27</v>
      </c>
      <c r="I304" s="9" t="s">
        <v>52</v>
      </c>
      <c r="J304" s="9" t="s">
        <v>382</v>
      </c>
      <c r="K304" s="4" t="s">
        <v>21</v>
      </c>
      <c r="L304" s="10">
        <v>30.0</v>
      </c>
      <c r="M304" s="11">
        <v>0.0</v>
      </c>
      <c r="N304" s="12">
        <v>0.0</v>
      </c>
      <c r="O304" s="12">
        <v>5000.0</v>
      </c>
      <c r="P304" s="37">
        <f t="shared" si="4"/>
        <v>44696</v>
      </c>
      <c r="Q304" s="12">
        <v>5000.0</v>
      </c>
      <c r="R304" s="14"/>
      <c r="S304" s="15">
        <v>44682.0</v>
      </c>
      <c r="T304" s="4" t="b">
        <v>1</v>
      </c>
    </row>
    <row r="305" hidden="1">
      <c r="A305" s="16" t="s">
        <v>102</v>
      </c>
      <c r="B305" s="17">
        <f>350*1.240921</f>
        <v>434.32235</v>
      </c>
      <c r="C305" s="16" t="s">
        <v>18</v>
      </c>
      <c r="D305" s="18" t="s">
        <v>383</v>
      </c>
      <c r="E305" s="19">
        <v>44666.0</v>
      </c>
      <c r="F305" s="35">
        <f>13.25*1.240921</f>
        <v>16.44220325</v>
      </c>
      <c r="G305" s="20">
        <v>2022.04</v>
      </c>
      <c r="H305" s="21" t="s">
        <v>27</v>
      </c>
      <c r="I305" s="21" t="s">
        <v>52</v>
      </c>
      <c r="J305" s="21" t="s">
        <v>104</v>
      </c>
      <c r="K305" s="16" t="s">
        <v>9</v>
      </c>
      <c r="L305" s="22">
        <v>30.0</v>
      </c>
      <c r="M305" s="11">
        <v>0.0</v>
      </c>
      <c r="N305" s="23">
        <v>0.0</v>
      </c>
      <c r="O305" s="23">
        <v>417.88014675</v>
      </c>
      <c r="P305" s="48">
        <f t="shared" si="4"/>
        <v>44696</v>
      </c>
      <c r="Q305" s="23">
        <v>350.0</v>
      </c>
      <c r="R305" s="25"/>
      <c r="S305" s="26">
        <v>44682.0</v>
      </c>
      <c r="T305" s="16" t="b">
        <v>1</v>
      </c>
    </row>
    <row r="306" hidden="1">
      <c r="A306" s="4" t="s">
        <v>156</v>
      </c>
      <c r="B306" s="5">
        <f>500*1.220842</f>
        <v>610.421</v>
      </c>
      <c r="C306" s="4" t="s">
        <v>18</v>
      </c>
      <c r="D306" s="6" t="s">
        <v>384</v>
      </c>
      <c r="E306" s="7">
        <v>44666.0</v>
      </c>
      <c r="F306" s="34">
        <f>18.8*1.220842</f>
        <v>22.9518296</v>
      </c>
      <c r="G306" s="8">
        <v>2022.04</v>
      </c>
      <c r="H306" s="9" t="s">
        <v>51</v>
      </c>
      <c r="I306" s="9" t="s">
        <v>52</v>
      </c>
      <c r="J306" s="9" t="s">
        <v>158</v>
      </c>
      <c r="K306" s="4" t="s">
        <v>9</v>
      </c>
      <c r="L306" s="10">
        <v>30.0</v>
      </c>
      <c r="M306" s="11">
        <v>0.2</v>
      </c>
      <c r="N306" s="12">
        <v>117.49383408</v>
      </c>
      <c r="O306" s="12">
        <v>469.97533631999994</v>
      </c>
      <c r="P306" s="37">
        <f t="shared" si="4"/>
        <v>44696</v>
      </c>
      <c r="Q306" s="12">
        <v>500.0</v>
      </c>
      <c r="R306" s="14"/>
      <c r="S306" s="15">
        <v>44682.0</v>
      </c>
      <c r="T306" s="4" t="b">
        <v>1</v>
      </c>
    </row>
    <row r="307" hidden="1">
      <c r="A307" s="16" t="s">
        <v>62</v>
      </c>
      <c r="B307" s="17">
        <v>1600.0</v>
      </c>
      <c r="C307" s="16" t="s">
        <v>18</v>
      </c>
      <c r="D307" s="18">
        <v>4996.0</v>
      </c>
      <c r="E307" s="19">
        <v>44666.0</v>
      </c>
      <c r="F307" s="17">
        <v>49.78</v>
      </c>
      <c r="G307" s="20">
        <v>2022.0</v>
      </c>
      <c r="H307" s="21"/>
      <c r="I307" s="21" t="s">
        <v>52</v>
      </c>
      <c r="J307" s="21" t="s">
        <v>63</v>
      </c>
      <c r="K307" s="16" t="s">
        <v>21</v>
      </c>
      <c r="L307" s="22">
        <v>30.0</v>
      </c>
      <c r="M307" s="11">
        <v>0.0</v>
      </c>
      <c r="N307" s="23">
        <v>0.0</v>
      </c>
      <c r="O307" s="23">
        <v>1550.22</v>
      </c>
      <c r="P307" s="48">
        <f t="shared" si="4"/>
        <v>44696</v>
      </c>
      <c r="Q307" s="23">
        <v>1600.0</v>
      </c>
      <c r="R307" s="25"/>
      <c r="S307" s="26">
        <v>44682.0</v>
      </c>
      <c r="T307" s="16" t="b">
        <v>1</v>
      </c>
    </row>
    <row r="308" hidden="1">
      <c r="A308" s="4" t="s">
        <v>66</v>
      </c>
      <c r="B308" s="5">
        <v>900.0</v>
      </c>
      <c r="C308" s="4" t="s">
        <v>18</v>
      </c>
      <c r="D308" s="6">
        <v>4997.0</v>
      </c>
      <c r="E308" s="7">
        <v>44666.0</v>
      </c>
      <c r="F308" s="5">
        <v>0.0</v>
      </c>
      <c r="G308" s="8">
        <v>2022.04</v>
      </c>
      <c r="H308" s="9" t="s">
        <v>27</v>
      </c>
      <c r="I308" s="9" t="s">
        <v>52</v>
      </c>
      <c r="J308" s="9" t="s">
        <v>294</v>
      </c>
      <c r="K308" s="4" t="s">
        <v>21</v>
      </c>
      <c r="L308" s="10">
        <v>30.0</v>
      </c>
      <c r="M308" s="11">
        <v>0.0</v>
      </c>
      <c r="N308" s="12">
        <v>0.0</v>
      </c>
      <c r="O308" s="12">
        <v>900.0</v>
      </c>
      <c r="P308" s="37">
        <f t="shared" si="4"/>
        <v>44696</v>
      </c>
      <c r="Q308" s="12">
        <v>900.0</v>
      </c>
      <c r="R308" s="14"/>
      <c r="S308" s="15">
        <v>44682.0</v>
      </c>
      <c r="T308" s="4" t="b">
        <v>1</v>
      </c>
    </row>
    <row r="309" hidden="1">
      <c r="A309" s="16" t="s">
        <v>385</v>
      </c>
      <c r="B309" s="17">
        <f>3250*1.220842</f>
        <v>3967.7365</v>
      </c>
      <c r="C309" s="16" t="s">
        <v>18</v>
      </c>
      <c r="D309" s="18" t="s">
        <v>386</v>
      </c>
      <c r="E309" s="19">
        <v>44666.0</v>
      </c>
      <c r="F309" s="35">
        <f>120.55*1.220842</f>
        <v>147.1725031</v>
      </c>
      <c r="G309" s="20">
        <v>2022.0</v>
      </c>
      <c r="H309" s="21" t="s">
        <v>195</v>
      </c>
      <c r="I309" s="21" t="s">
        <v>196</v>
      </c>
      <c r="J309" s="21" t="s">
        <v>387</v>
      </c>
      <c r="K309" s="16" t="s">
        <v>9</v>
      </c>
      <c r="L309" s="22">
        <v>0.0</v>
      </c>
      <c r="M309" s="11">
        <v>0.0</v>
      </c>
      <c r="N309" s="23">
        <v>0.0</v>
      </c>
      <c r="O309" s="23">
        <v>3820.5639969</v>
      </c>
      <c r="P309" s="48">
        <f t="shared" si="4"/>
        <v>44666</v>
      </c>
      <c r="Q309" s="23">
        <v>6500.0</v>
      </c>
      <c r="R309" s="25"/>
      <c r="S309" s="26">
        <v>44682.0</v>
      </c>
      <c r="T309" s="16" t="b">
        <v>1</v>
      </c>
    </row>
    <row r="310" hidden="1">
      <c r="A310" s="4" t="s">
        <v>385</v>
      </c>
      <c r="B310" s="5">
        <f>3250*1.247808</f>
        <v>4055.376</v>
      </c>
      <c r="C310" s="4" t="s">
        <v>18</v>
      </c>
      <c r="D310" s="6" t="s">
        <v>388</v>
      </c>
      <c r="E310" s="7">
        <v>44712.0</v>
      </c>
      <c r="F310" s="34">
        <f>120.55*1.247808</f>
        <v>150.4232544</v>
      </c>
      <c r="G310" s="8">
        <v>2022.0</v>
      </c>
      <c r="H310" s="9" t="s">
        <v>195</v>
      </c>
      <c r="I310" s="9" t="s">
        <v>196</v>
      </c>
      <c r="J310" s="9" t="s">
        <v>389</v>
      </c>
      <c r="K310" s="4" t="s">
        <v>9</v>
      </c>
      <c r="L310" s="10">
        <v>0.0</v>
      </c>
      <c r="M310" s="11">
        <v>0.3956775</v>
      </c>
      <c r="N310" s="12">
        <v>1545.1019399971442</v>
      </c>
      <c r="O310" s="12">
        <v>2359.850805602856</v>
      </c>
      <c r="P310" s="37">
        <f t="shared" si="4"/>
        <v>44712</v>
      </c>
      <c r="Q310" s="12">
        <v>6500.0</v>
      </c>
      <c r="R310" s="14"/>
      <c r="S310" s="15">
        <v>44713.0</v>
      </c>
      <c r="T310" s="4" t="b">
        <v>1</v>
      </c>
    </row>
    <row r="311" hidden="1">
      <c r="A311" s="16" t="s">
        <v>390</v>
      </c>
      <c r="B311" s="17">
        <v>350.0</v>
      </c>
      <c r="C311" s="16" t="s">
        <v>18</v>
      </c>
      <c r="D311" s="18">
        <v>5050.0</v>
      </c>
      <c r="E311" s="19">
        <v>44680.0</v>
      </c>
      <c r="F311" s="17">
        <v>0.0</v>
      </c>
      <c r="G311" s="20">
        <v>2022.0</v>
      </c>
      <c r="H311" s="21" t="s">
        <v>209</v>
      </c>
      <c r="I311" s="21" t="s">
        <v>391</v>
      </c>
      <c r="J311" s="21" t="s">
        <v>392</v>
      </c>
      <c r="K311" s="16" t="s">
        <v>21</v>
      </c>
      <c r="L311" s="22">
        <v>30.0</v>
      </c>
      <c r="M311" s="11">
        <v>0.0</v>
      </c>
      <c r="N311" s="23">
        <v>0.0</v>
      </c>
      <c r="O311" s="23">
        <v>350.0</v>
      </c>
      <c r="P311" s="48">
        <f t="shared" si="4"/>
        <v>44710</v>
      </c>
      <c r="Q311" s="23">
        <v>350.0</v>
      </c>
      <c r="R311" s="25"/>
      <c r="S311" s="26">
        <v>44682.0</v>
      </c>
      <c r="T311" s="16" t="b">
        <v>1</v>
      </c>
    </row>
    <row r="312" hidden="1">
      <c r="A312" s="4" t="s">
        <v>108</v>
      </c>
      <c r="B312" s="5">
        <f>31.6*1.218902</f>
        <v>38.5173032</v>
      </c>
      <c r="C312" s="4" t="s">
        <v>18</v>
      </c>
      <c r="D312" s="6" t="s">
        <v>393</v>
      </c>
      <c r="E312" s="7">
        <v>44673.0</v>
      </c>
      <c r="F312" s="5">
        <v>0.0</v>
      </c>
      <c r="G312" s="8">
        <v>2022.0</v>
      </c>
      <c r="H312" s="9"/>
      <c r="I312" s="9" t="s">
        <v>52</v>
      </c>
      <c r="J312" s="9" t="s">
        <v>111</v>
      </c>
      <c r="K312" s="4" t="s">
        <v>9</v>
      </c>
      <c r="L312" s="10"/>
      <c r="M312" s="11">
        <v>0.0</v>
      </c>
      <c r="N312" s="12">
        <v>0.0</v>
      </c>
      <c r="O312" s="12">
        <v>38.5173032</v>
      </c>
      <c r="P312" s="37">
        <f t="shared" si="4"/>
        <v>44673</v>
      </c>
      <c r="Q312" s="12"/>
      <c r="R312" s="14"/>
      <c r="S312" s="15">
        <v>44682.0</v>
      </c>
      <c r="T312" s="4" t="b">
        <v>1</v>
      </c>
    </row>
    <row r="313" hidden="1">
      <c r="A313" s="16" t="s">
        <v>394</v>
      </c>
      <c r="B313" s="17">
        <f>150*1.2223</f>
        <v>183.345</v>
      </c>
      <c r="C313" s="16" t="s">
        <v>18</v>
      </c>
      <c r="D313" s="18" t="s">
        <v>395</v>
      </c>
      <c r="E313" s="19">
        <v>44680.0</v>
      </c>
      <c r="F313" s="17">
        <v>0.0</v>
      </c>
      <c r="G313" s="20">
        <v>2022.04</v>
      </c>
      <c r="H313" s="21" t="s">
        <v>51</v>
      </c>
      <c r="I313" s="21" t="s">
        <v>52</v>
      </c>
      <c r="J313" s="21" t="s">
        <v>396</v>
      </c>
      <c r="K313" s="16" t="s">
        <v>9</v>
      </c>
      <c r="L313" s="22">
        <v>30.0</v>
      </c>
      <c r="M313" s="11">
        <v>0.0</v>
      </c>
      <c r="N313" s="23">
        <v>0.0</v>
      </c>
      <c r="O313" s="23">
        <v>183.345</v>
      </c>
      <c r="P313" s="48">
        <f t="shared" si="4"/>
        <v>44710</v>
      </c>
      <c r="Q313" s="23">
        <v>150.0</v>
      </c>
      <c r="R313" s="25"/>
      <c r="S313" s="26">
        <v>44682.0</v>
      </c>
      <c r="T313" s="16" t="b">
        <v>1</v>
      </c>
    </row>
    <row r="314" hidden="1">
      <c r="A314" s="4" t="s">
        <v>223</v>
      </c>
      <c r="B314" s="5">
        <v>800.0</v>
      </c>
      <c r="C314" s="4" t="s">
        <v>18</v>
      </c>
      <c r="D314" s="6">
        <v>5051.0</v>
      </c>
      <c r="E314" s="7">
        <v>44680.0</v>
      </c>
      <c r="F314" s="5">
        <v>24.89</v>
      </c>
      <c r="G314" s="8">
        <v>2022.04</v>
      </c>
      <c r="H314" s="9" t="s">
        <v>51</v>
      </c>
      <c r="I314" s="9" t="s">
        <v>52</v>
      </c>
      <c r="J314" s="9" t="s">
        <v>247</v>
      </c>
      <c r="K314" s="4" t="s">
        <v>21</v>
      </c>
      <c r="L314" s="10">
        <v>30.0</v>
      </c>
      <c r="M314" s="11">
        <v>0.0</v>
      </c>
      <c r="N314" s="12">
        <v>0.0</v>
      </c>
      <c r="O314" s="12">
        <v>775.11</v>
      </c>
      <c r="P314" s="37">
        <f t="shared" si="4"/>
        <v>44710</v>
      </c>
      <c r="Q314" s="12">
        <v>800.0</v>
      </c>
      <c r="R314" s="14"/>
      <c r="S314" s="15">
        <v>44682.0</v>
      </c>
      <c r="T314" s="4" t="b">
        <v>1</v>
      </c>
    </row>
    <row r="315" hidden="1">
      <c r="A315" s="16" t="s">
        <v>54</v>
      </c>
      <c r="B315" s="17">
        <v>750.0</v>
      </c>
      <c r="C315" s="16" t="s">
        <v>18</v>
      </c>
      <c r="D315" s="18">
        <v>5052.0</v>
      </c>
      <c r="E315" s="19">
        <v>44680.0</v>
      </c>
      <c r="F315" s="17">
        <v>23.33</v>
      </c>
      <c r="G315" s="20">
        <v>2022.04</v>
      </c>
      <c r="H315" s="21" t="s">
        <v>51</v>
      </c>
      <c r="I315" s="21" t="s">
        <v>52</v>
      </c>
      <c r="J315" s="21" t="s">
        <v>55</v>
      </c>
      <c r="K315" s="16" t="s">
        <v>21</v>
      </c>
      <c r="L315" s="22">
        <v>30.0</v>
      </c>
      <c r="M315" s="11">
        <v>0.0</v>
      </c>
      <c r="N315" s="23">
        <v>0.0</v>
      </c>
      <c r="O315" s="23">
        <v>726.67</v>
      </c>
      <c r="P315" s="48">
        <f t="shared" si="4"/>
        <v>44710</v>
      </c>
      <c r="Q315" s="23">
        <v>750.0</v>
      </c>
      <c r="R315" s="25"/>
      <c r="S315" s="26">
        <v>44713.0</v>
      </c>
      <c r="T315" s="16" t="b">
        <v>1</v>
      </c>
    </row>
    <row r="316" hidden="1">
      <c r="A316" s="4" t="s">
        <v>147</v>
      </c>
      <c r="B316" s="5">
        <v>900.0</v>
      </c>
      <c r="C316" s="4" t="s">
        <v>18</v>
      </c>
      <c r="D316" s="6">
        <v>5053.0</v>
      </c>
      <c r="E316" s="7">
        <v>44680.0</v>
      </c>
      <c r="F316" s="5">
        <v>0.0</v>
      </c>
      <c r="G316" s="8">
        <v>2022.04</v>
      </c>
      <c r="H316" s="9" t="s">
        <v>51</v>
      </c>
      <c r="I316" s="9" t="s">
        <v>52</v>
      </c>
      <c r="J316" s="9" t="s">
        <v>397</v>
      </c>
      <c r="K316" s="4" t="s">
        <v>21</v>
      </c>
      <c r="L316" s="10">
        <v>30.0</v>
      </c>
      <c r="M316" s="11">
        <v>0.0</v>
      </c>
      <c r="N316" s="12">
        <v>0.0</v>
      </c>
      <c r="O316" s="12">
        <v>900.0</v>
      </c>
      <c r="P316" s="37">
        <f t="shared" si="4"/>
        <v>44710</v>
      </c>
      <c r="Q316" s="12">
        <v>900.0</v>
      </c>
      <c r="R316" s="14"/>
      <c r="S316" s="15">
        <v>44682.0</v>
      </c>
      <c r="T316" s="4" t="b">
        <v>1</v>
      </c>
    </row>
    <row r="317" hidden="1">
      <c r="A317" s="16" t="s">
        <v>58</v>
      </c>
      <c r="B317" s="17">
        <v>1550.0</v>
      </c>
      <c r="C317" s="16" t="s">
        <v>18</v>
      </c>
      <c r="D317" s="18">
        <v>5054.0</v>
      </c>
      <c r="E317" s="19">
        <v>44680.0</v>
      </c>
      <c r="F317" s="17">
        <v>48.22</v>
      </c>
      <c r="G317" s="20">
        <v>2022.04</v>
      </c>
      <c r="H317" s="21" t="s">
        <v>51</v>
      </c>
      <c r="I317" s="21" t="s">
        <v>52</v>
      </c>
      <c r="J317" s="21" t="s">
        <v>59</v>
      </c>
      <c r="K317" s="16" t="s">
        <v>21</v>
      </c>
      <c r="L317" s="22">
        <v>30.0</v>
      </c>
      <c r="M317" s="11">
        <v>0.0</v>
      </c>
      <c r="N317" s="23">
        <v>0.0</v>
      </c>
      <c r="O317" s="23">
        <v>1501.78</v>
      </c>
      <c r="P317" s="48">
        <f t="shared" si="4"/>
        <v>44710</v>
      </c>
      <c r="Q317" s="23">
        <v>1550.0</v>
      </c>
      <c r="R317" s="25"/>
      <c r="S317" s="26">
        <v>44682.0</v>
      </c>
      <c r="T317" s="16" t="b">
        <v>1</v>
      </c>
    </row>
    <row r="318" hidden="1">
      <c r="A318" s="4" t="s">
        <v>120</v>
      </c>
      <c r="B318" s="5">
        <f>1500*1.23287</f>
        <v>1849.305</v>
      </c>
      <c r="C318" s="4" t="s">
        <v>18</v>
      </c>
      <c r="D318" s="6" t="s">
        <v>398</v>
      </c>
      <c r="E318" s="7">
        <v>44680.0</v>
      </c>
      <c r="F318" s="34">
        <f>55.8*1.23287</f>
        <v>68.794146</v>
      </c>
      <c r="G318" s="8">
        <v>2022.04</v>
      </c>
      <c r="H318" s="9" t="s">
        <v>51</v>
      </c>
      <c r="I318" s="9" t="s">
        <v>52</v>
      </c>
      <c r="J318" s="9" t="s">
        <v>364</v>
      </c>
      <c r="K318" s="4" t="s">
        <v>9</v>
      </c>
      <c r="L318" s="10">
        <v>30.0</v>
      </c>
      <c r="M318" s="54">
        <v>0.2</v>
      </c>
      <c r="N318" s="12">
        <v>356.1021708</v>
      </c>
      <c r="O318" s="12">
        <v>1424.4086831999998</v>
      </c>
      <c r="P318" s="37">
        <f t="shared" si="4"/>
        <v>44710</v>
      </c>
      <c r="Q318" s="12">
        <v>1500.0</v>
      </c>
      <c r="R318" s="14"/>
      <c r="S318" s="15">
        <v>44682.0</v>
      </c>
      <c r="T318" s="4" t="b">
        <v>1</v>
      </c>
    </row>
    <row r="319" hidden="1">
      <c r="A319" s="16" t="s">
        <v>84</v>
      </c>
      <c r="B319" s="17">
        <v>1000.0</v>
      </c>
      <c r="C319" s="16" t="s">
        <v>18</v>
      </c>
      <c r="D319" s="18">
        <v>5055.0</v>
      </c>
      <c r="E319" s="19">
        <v>44680.0</v>
      </c>
      <c r="F319" s="17">
        <v>0.0</v>
      </c>
      <c r="G319" s="20">
        <v>2022.04</v>
      </c>
      <c r="H319" s="21" t="s">
        <v>51</v>
      </c>
      <c r="I319" s="21" t="s">
        <v>52</v>
      </c>
      <c r="J319" s="21" t="s">
        <v>85</v>
      </c>
      <c r="K319" s="16" t="s">
        <v>21</v>
      </c>
      <c r="L319" s="22">
        <v>30.0</v>
      </c>
      <c r="M319" s="11">
        <v>0.0</v>
      </c>
      <c r="N319" s="23">
        <v>0.0</v>
      </c>
      <c r="O319" s="23">
        <v>1000.0</v>
      </c>
      <c r="P319" s="48">
        <f t="shared" si="4"/>
        <v>44710</v>
      </c>
      <c r="Q319" s="23">
        <v>1000.0</v>
      </c>
      <c r="R319" s="25"/>
      <c r="S319" s="26">
        <v>44682.0</v>
      </c>
      <c r="T319" s="16" t="b">
        <v>1</v>
      </c>
    </row>
    <row r="320" hidden="1">
      <c r="A320" s="4" t="s">
        <v>86</v>
      </c>
      <c r="B320" s="5">
        <v>550.0</v>
      </c>
      <c r="C320" s="4" t="s">
        <v>18</v>
      </c>
      <c r="D320" s="6">
        <v>5056.0</v>
      </c>
      <c r="E320" s="7">
        <v>44680.0</v>
      </c>
      <c r="F320" s="5">
        <v>21.67</v>
      </c>
      <c r="G320" s="8">
        <v>2022.04</v>
      </c>
      <c r="H320" s="9" t="s">
        <v>51</v>
      </c>
      <c r="I320" s="9" t="s">
        <v>52</v>
      </c>
      <c r="J320" s="9" t="s">
        <v>87</v>
      </c>
      <c r="K320" s="4" t="s">
        <v>21</v>
      </c>
      <c r="L320" s="10">
        <v>30.0</v>
      </c>
      <c r="M320" s="11">
        <v>0.0</v>
      </c>
      <c r="N320" s="12">
        <v>0.0</v>
      </c>
      <c r="O320" s="12">
        <v>528.33</v>
      </c>
      <c r="P320" s="37">
        <f t="shared" si="4"/>
        <v>44710</v>
      </c>
      <c r="Q320" s="12">
        <v>550.0</v>
      </c>
      <c r="R320" s="14"/>
      <c r="S320" s="15">
        <v>44682.0</v>
      </c>
      <c r="T320" s="4" t="b">
        <v>1</v>
      </c>
    </row>
    <row r="321" hidden="1">
      <c r="A321" s="16" t="s">
        <v>42</v>
      </c>
      <c r="B321" s="17">
        <v>1500.0</v>
      </c>
      <c r="C321" s="16" t="s">
        <v>18</v>
      </c>
      <c r="D321" s="18">
        <v>5057.0</v>
      </c>
      <c r="E321" s="19">
        <v>44680.0</v>
      </c>
      <c r="F321" s="17">
        <v>46.67</v>
      </c>
      <c r="G321" s="20">
        <v>2022.04</v>
      </c>
      <c r="H321" s="21" t="s">
        <v>51</v>
      </c>
      <c r="I321" s="21" t="s">
        <v>52</v>
      </c>
      <c r="J321" s="21" t="s">
        <v>43</v>
      </c>
      <c r="K321" s="16" t="s">
        <v>21</v>
      </c>
      <c r="L321" s="22">
        <v>30.0</v>
      </c>
      <c r="M321" s="55">
        <v>0.15</v>
      </c>
      <c r="N321" s="23">
        <v>217.99949999999998</v>
      </c>
      <c r="O321" s="23">
        <v>1235.3305</v>
      </c>
      <c r="P321" s="48">
        <f t="shared" si="4"/>
        <v>44710</v>
      </c>
      <c r="Q321" s="23">
        <v>1500.0</v>
      </c>
      <c r="R321" s="25"/>
      <c r="S321" s="26">
        <v>44682.0</v>
      </c>
      <c r="T321" s="16" t="b">
        <v>1</v>
      </c>
    </row>
    <row r="322" hidden="1">
      <c r="A322" s="4" t="s">
        <v>82</v>
      </c>
      <c r="B322" s="5">
        <v>800.0</v>
      </c>
      <c r="C322" s="4" t="s">
        <v>18</v>
      </c>
      <c r="D322" s="6">
        <v>5058.0</v>
      </c>
      <c r="E322" s="7">
        <v>44680.0</v>
      </c>
      <c r="F322" s="5">
        <v>0.0</v>
      </c>
      <c r="G322" s="8">
        <v>2022.04</v>
      </c>
      <c r="H322" s="9" t="s">
        <v>51</v>
      </c>
      <c r="I322" s="9" t="s">
        <v>52</v>
      </c>
      <c r="J322" s="9" t="s">
        <v>83</v>
      </c>
      <c r="K322" s="4" t="s">
        <v>21</v>
      </c>
      <c r="L322" s="10">
        <v>30.0</v>
      </c>
      <c r="M322" s="11">
        <v>0.0</v>
      </c>
      <c r="N322" s="12">
        <v>0.0</v>
      </c>
      <c r="O322" s="12">
        <v>800.0</v>
      </c>
      <c r="P322" s="37">
        <f t="shared" si="4"/>
        <v>44710</v>
      </c>
      <c r="Q322" s="12">
        <v>800.0</v>
      </c>
      <c r="R322" s="14"/>
      <c r="S322" s="15">
        <v>44682.0</v>
      </c>
      <c r="T322" s="4" t="b">
        <v>1</v>
      </c>
    </row>
    <row r="323" hidden="1">
      <c r="A323" s="16" t="s">
        <v>88</v>
      </c>
      <c r="B323" s="17">
        <v>500.0</v>
      </c>
      <c r="C323" s="16" t="s">
        <v>18</v>
      </c>
      <c r="D323" s="18">
        <v>5059.0</v>
      </c>
      <c r="E323" s="19">
        <v>44680.0</v>
      </c>
      <c r="F323" s="17">
        <v>15.53</v>
      </c>
      <c r="G323" s="20">
        <v>2022.04</v>
      </c>
      <c r="H323" s="21" t="s">
        <v>51</v>
      </c>
      <c r="I323" s="21" t="s">
        <v>52</v>
      </c>
      <c r="J323" s="21" t="s">
        <v>89</v>
      </c>
      <c r="K323" s="16" t="s">
        <v>21</v>
      </c>
      <c r="L323" s="22">
        <v>30.0</v>
      </c>
      <c r="M323" s="11">
        <v>0.0</v>
      </c>
      <c r="N323" s="23">
        <v>0.0</v>
      </c>
      <c r="O323" s="23">
        <v>484.47</v>
      </c>
      <c r="P323" s="48">
        <f t="shared" si="4"/>
        <v>44710</v>
      </c>
      <c r="Q323" s="23">
        <v>500.0</v>
      </c>
      <c r="R323" s="25"/>
      <c r="S323" s="26">
        <v>44682.0</v>
      </c>
      <c r="T323" s="16" t="b">
        <v>1</v>
      </c>
    </row>
    <row r="324" hidden="1">
      <c r="A324" s="4" t="s">
        <v>151</v>
      </c>
      <c r="B324" s="5">
        <f>650*1.243637</f>
        <v>808.36405</v>
      </c>
      <c r="C324" s="4" t="s">
        <v>18</v>
      </c>
      <c r="D324" s="6" t="s">
        <v>399</v>
      </c>
      <c r="E324" s="7">
        <v>44680.0</v>
      </c>
      <c r="F324" s="34">
        <f>24.13*1.243637</f>
        <v>30.00896081</v>
      </c>
      <c r="G324" s="8">
        <v>2022.04</v>
      </c>
      <c r="H324" s="9" t="s">
        <v>51</v>
      </c>
      <c r="I324" s="9" t="s">
        <v>52</v>
      </c>
      <c r="J324" s="9" t="s">
        <v>122</v>
      </c>
      <c r="K324" s="4" t="s">
        <v>9</v>
      </c>
      <c r="L324" s="10">
        <v>30.0</v>
      </c>
      <c r="M324" s="54">
        <v>0.2</v>
      </c>
      <c r="N324" s="12">
        <v>155.671017838</v>
      </c>
      <c r="O324" s="12">
        <v>622.684071352</v>
      </c>
      <c r="P324" s="37">
        <f t="shared" si="4"/>
        <v>44710</v>
      </c>
      <c r="Q324" s="12">
        <v>650.0</v>
      </c>
      <c r="R324" s="14"/>
      <c r="S324" s="15">
        <v>44713.0</v>
      </c>
      <c r="T324" s="4" t="b">
        <v>1</v>
      </c>
    </row>
    <row r="325" hidden="1">
      <c r="A325" s="16" t="s">
        <v>50</v>
      </c>
      <c r="B325" s="17">
        <v>375.0</v>
      </c>
      <c r="C325" s="16" t="s">
        <v>18</v>
      </c>
      <c r="D325" s="18">
        <v>5060.0</v>
      </c>
      <c r="E325" s="19">
        <v>44680.0</v>
      </c>
      <c r="F325" s="17">
        <v>0.0</v>
      </c>
      <c r="G325" s="20">
        <v>2022.04</v>
      </c>
      <c r="H325" s="21" t="s">
        <v>51</v>
      </c>
      <c r="I325" s="21" t="s">
        <v>52</v>
      </c>
      <c r="J325" s="21" t="s">
        <v>400</v>
      </c>
      <c r="K325" s="16" t="s">
        <v>21</v>
      </c>
      <c r="L325" s="22">
        <v>30.0</v>
      </c>
      <c r="M325" s="11">
        <v>0.0</v>
      </c>
      <c r="N325" s="23">
        <v>0.0</v>
      </c>
      <c r="O325" s="23">
        <v>375.0</v>
      </c>
      <c r="P325" s="48">
        <f t="shared" si="4"/>
        <v>44710</v>
      </c>
      <c r="Q325" s="23">
        <v>375.0</v>
      </c>
      <c r="R325" s="25"/>
      <c r="S325" s="26">
        <v>44682.0</v>
      </c>
      <c r="T325" s="16" t="b">
        <v>1</v>
      </c>
    </row>
    <row r="326" hidden="1">
      <c r="A326" s="4" t="s">
        <v>75</v>
      </c>
      <c r="B326" s="5">
        <v>500.0</v>
      </c>
      <c r="C326" s="4" t="s">
        <v>18</v>
      </c>
      <c r="D326" s="6">
        <v>5061.0</v>
      </c>
      <c r="E326" s="7">
        <v>44680.0</v>
      </c>
      <c r="F326" s="5">
        <v>0.0</v>
      </c>
      <c r="G326" s="8">
        <v>2022.04</v>
      </c>
      <c r="H326" s="9" t="s">
        <v>51</v>
      </c>
      <c r="I326" s="9" t="s">
        <v>52</v>
      </c>
      <c r="J326" s="9" t="s">
        <v>76</v>
      </c>
      <c r="K326" s="4" t="s">
        <v>21</v>
      </c>
      <c r="L326" s="10">
        <v>30.0</v>
      </c>
      <c r="M326" s="54">
        <v>0.0</v>
      </c>
      <c r="N326" s="12">
        <v>0.0</v>
      </c>
      <c r="O326" s="12">
        <v>500.0</v>
      </c>
      <c r="P326" s="37">
        <f t="shared" si="4"/>
        <v>44710</v>
      </c>
      <c r="Q326" s="12">
        <v>500.0</v>
      </c>
      <c r="R326" s="14"/>
      <c r="S326" s="15">
        <v>44682.0</v>
      </c>
      <c r="T326" s="4" t="b">
        <v>1</v>
      </c>
    </row>
    <row r="327" hidden="1">
      <c r="A327" s="16" t="s">
        <v>105</v>
      </c>
      <c r="B327" s="17">
        <f>300*1.233549</f>
        <v>370.0647</v>
      </c>
      <c r="C327" s="16" t="s">
        <v>18</v>
      </c>
      <c r="D327" s="18" t="s">
        <v>401</v>
      </c>
      <c r="E327" s="19">
        <v>44680.0</v>
      </c>
      <c r="F327" s="35">
        <f>11.4*1.233549</f>
        <v>14.0624586</v>
      </c>
      <c r="G327" s="20">
        <v>2022.04</v>
      </c>
      <c r="H327" s="21" t="s">
        <v>51</v>
      </c>
      <c r="I327" s="21" t="s">
        <v>52</v>
      </c>
      <c r="J327" s="21" t="s">
        <v>154</v>
      </c>
      <c r="K327" s="16" t="s">
        <v>9</v>
      </c>
      <c r="L327" s="22">
        <v>30.0</v>
      </c>
      <c r="M327" s="55">
        <v>0.0</v>
      </c>
      <c r="N327" s="23">
        <v>0.0</v>
      </c>
      <c r="O327" s="23">
        <v>356.0022414</v>
      </c>
      <c r="P327" s="48">
        <f t="shared" si="4"/>
        <v>44710</v>
      </c>
      <c r="Q327" s="23">
        <v>300.0</v>
      </c>
      <c r="R327" s="25"/>
      <c r="S327" s="26">
        <v>44682.0</v>
      </c>
      <c r="T327" s="16" t="b">
        <v>1</v>
      </c>
    </row>
    <row r="328" hidden="1">
      <c r="A328" s="4" t="s">
        <v>90</v>
      </c>
      <c r="B328" s="5">
        <v>250.0</v>
      </c>
      <c r="C328" s="4" t="s">
        <v>18</v>
      </c>
      <c r="D328" s="6">
        <v>5062.0</v>
      </c>
      <c r="E328" s="7">
        <v>44680.0</v>
      </c>
      <c r="F328" s="5">
        <v>0.0</v>
      </c>
      <c r="G328" s="8">
        <v>2022.04</v>
      </c>
      <c r="H328" s="9" t="s">
        <v>51</v>
      </c>
      <c r="I328" s="9" t="s">
        <v>52</v>
      </c>
      <c r="J328" s="9" t="s">
        <v>215</v>
      </c>
      <c r="K328" s="4" t="s">
        <v>21</v>
      </c>
      <c r="L328" s="10">
        <v>30.0</v>
      </c>
      <c r="M328" s="54">
        <v>0.0</v>
      </c>
      <c r="N328" s="12">
        <v>0.0</v>
      </c>
      <c r="O328" s="12">
        <v>250.0</v>
      </c>
      <c r="P328" s="37">
        <f t="shared" si="4"/>
        <v>44710</v>
      </c>
      <c r="Q328" s="12">
        <v>250.0</v>
      </c>
      <c r="R328" s="14"/>
      <c r="S328" s="15">
        <v>44682.0</v>
      </c>
      <c r="T328" s="4" t="b">
        <v>1</v>
      </c>
    </row>
    <row r="329" hidden="1">
      <c r="A329" s="16" t="s">
        <v>97</v>
      </c>
      <c r="B329" s="17">
        <v>300.0</v>
      </c>
      <c r="C329" s="16" t="s">
        <v>18</v>
      </c>
      <c r="D329" s="18">
        <v>5063.0</v>
      </c>
      <c r="E329" s="19">
        <v>44680.0</v>
      </c>
      <c r="F329" s="17">
        <v>9.33</v>
      </c>
      <c r="G329" s="20">
        <v>2022.04</v>
      </c>
      <c r="H329" s="21" t="s">
        <v>51</v>
      </c>
      <c r="I329" s="21" t="s">
        <v>52</v>
      </c>
      <c r="J329" s="21" t="s">
        <v>98</v>
      </c>
      <c r="K329" s="16" t="s">
        <v>21</v>
      </c>
      <c r="L329" s="22">
        <v>30.0</v>
      </c>
      <c r="M329" s="55">
        <v>0.0</v>
      </c>
      <c r="N329" s="23">
        <v>0.0</v>
      </c>
      <c r="O329" s="23">
        <v>290.67</v>
      </c>
      <c r="P329" s="48">
        <f t="shared" si="4"/>
        <v>44710</v>
      </c>
      <c r="Q329" s="23">
        <v>300.0</v>
      </c>
      <c r="R329" s="25"/>
      <c r="S329" s="26">
        <v>44682.0</v>
      </c>
      <c r="T329" s="16" t="b">
        <v>1</v>
      </c>
    </row>
    <row r="330" hidden="1">
      <c r="A330" s="4" t="s">
        <v>92</v>
      </c>
      <c r="B330" s="5">
        <v>2500.0</v>
      </c>
      <c r="C330" s="4" t="s">
        <v>18</v>
      </c>
      <c r="D330" s="6">
        <v>5064.0</v>
      </c>
      <c r="E330" s="7">
        <v>44680.0</v>
      </c>
      <c r="F330" s="5">
        <v>77.78</v>
      </c>
      <c r="G330" s="8">
        <v>2022.04</v>
      </c>
      <c r="H330" s="9" t="s">
        <v>51</v>
      </c>
      <c r="I330" s="9" t="s">
        <v>52</v>
      </c>
      <c r="J330" s="9" t="s">
        <v>93</v>
      </c>
      <c r="K330" s="4" t="s">
        <v>21</v>
      </c>
      <c r="L330" s="10">
        <v>30.0</v>
      </c>
      <c r="M330" s="54">
        <v>0.0</v>
      </c>
      <c r="N330" s="12">
        <v>0.0</v>
      </c>
      <c r="O330" s="12">
        <v>2422.22</v>
      </c>
      <c r="P330" s="37">
        <f t="shared" si="4"/>
        <v>44710</v>
      </c>
      <c r="Q330" s="12">
        <v>2500.0</v>
      </c>
      <c r="R330" s="14"/>
      <c r="S330" s="15">
        <v>44682.0</v>
      </c>
      <c r="T330" s="4" t="b">
        <v>1</v>
      </c>
    </row>
    <row r="331" hidden="1">
      <c r="A331" s="36" t="s">
        <v>402</v>
      </c>
      <c r="B331" s="17">
        <f>350*1.238399</f>
        <v>433.43965</v>
      </c>
      <c r="C331" s="16" t="s">
        <v>18</v>
      </c>
      <c r="D331" s="18" t="s">
        <v>403</v>
      </c>
      <c r="E331" s="19">
        <v>44680.0</v>
      </c>
      <c r="F331" s="35">
        <f>13.25*1.238399</f>
        <v>16.40878675</v>
      </c>
      <c r="G331" s="20">
        <v>2022.04</v>
      </c>
      <c r="H331" s="21" t="s">
        <v>51</v>
      </c>
      <c r="I331" s="21" t="s">
        <v>52</v>
      </c>
      <c r="J331" s="21" t="s">
        <v>114</v>
      </c>
      <c r="K331" s="16" t="s">
        <v>9</v>
      </c>
      <c r="L331" s="22">
        <v>30.0</v>
      </c>
      <c r="M331" s="55">
        <v>0.0</v>
      </c>
      <c r="N331" s="23">
        <v>0.0</v>
      </c>
      <c r="O331" s="23">
        <v>417.03086325000004</v>
      </c>
      <c r="P331" s="48">
        <f t="shared" si="4"/>
        <v>44710</v>
      </c>
      <c r="Q331" s="23">
        <v>950.0</v>
      </c>
      <c r="R331" s="25"/>
      <c r="S331" s="26">
        <v>44682.0</v>
      </c>
      <c r="T331" s="16" t="b">
        <v>1</v>
      </c>
    </row>
    <row r="332" hidden="1">
      <c r="A332" s="4" t="s">
        <v>123</v>
      </c>
      <c r="B332" s="5">
        <f>4500*1.23287</f>
        <v>5547.915</v>
      </c>
      <c r="C332" s="4" t="s">
        <v>18</v>
      </c>
      <c r="D332" s="6" t="s">
        <v>404</v>
      </c>
      <c r="E332" s="7">
        <v>44680.0</v>
      </c>
      <c r="F332" s="34">
        <f>166.8*1.23287</f>
        <v>205.642716</v>
      </c>
      <c r="G332" s="8">
        <v>2022.04</v>
      </c>
      <c r="H332" s="9" t="s">
        <v>51</v>
      </c>
      <c r="I332" s="9" t="s">
        <v>52</v>
      </c>
      <c r="J332" s="9" t="s">
        <v>405</v>
      </c>
      <c r="K332" s="4" t="s">
        <v>9</v>
      </c>
      <c r="L332" s="10">
        <v>30.0</v>
      </c>
      <c r="M332" s="54">
        <v>0.2</v>
      </c>
      <c r="N332" s="12">
        <v>1068.4544568</v>
      </c>
      <c r="O332" s="12">
        <v>4273.8178272</v>
      </c>
      <c r="P332" s="37">
        <f t="shared" si="4"/>
        <v>44710</v>
      </c>
      <c r="Q332" s="12">
        <v>4500.0</v>
      </c>
      <c r="R332" s="14"/>
      <c r="S332" s="15">
        <v>44682.0</v>
      </c>
      <c r="T332" s="4" t="b">
        <v>1</v>
      </c>
    </row>
    <row r="333" hidden="1">
      <c r="A333" s="16" t="s">
        <v>406</v>
      </c>
      <c r="B333" s="17">
        <v>510.0</v>
      </c>
      <c r="C333" s="16" t="s">
        <v>18</v>
      </c>
      <c r="D333" s="18">
        <v>5065.0</v>
      </c>
      <c r="E333" s="19">
        <v>44680.0</v>
      </c>
      <c r="F333" s="17">
        <v>0.0</v>
      </c>
      <c r="G333" s="20">
        <v>2022.0</v>
      </c>
      <c r="H333" s="21" t="s">
        <v>195</v>
      </c>
      <c r="I333" s="21" t="s">
        <v>196</v>
      </c>
      <c r="J333" s="21" t="s">
        <v>407</v>
      </c>
      <c r="K333" s="16" t="s">
        <v>21</v>
      </c>
      <c r="L333" s="22">
        <v>15.0</v>
      </c>
      <c r="M333" s="55">
        <v>0.0</v>
      </c>
      <c r="N333" s="23">
        <v>0.0</v>
      </c>
      <c r="O333" s="23">
        <v>510.0</v>
      </c>
      <c r="P333" s="48">
        <f t="shared" si="4"/>
        <v>44695</v>
      </c>
      <c r="Q333" s="23">
        <v>1020.0</v>
      </c>
      <c r="R333" s="25"/>
      <c r="S333" s="26">
        <v>44682.0</v>
      </c>
      <c r="T333" s="16" t="b">
        <v>1</v>
      </c>
    </row>
    <row r="334" hidden="1">
      <c r="A334" s="4" t="s">
        <v>408</v>
      </c>
      <c r="B334" s="5">
        <v>750.0</v>
      </c>
      <c r="C334" s="4" t="s">
        <v>18</v>
      </c>
      <c r="D334" s="6">
        <v>5066.0</v>
      </c>
      <c r="E334" s="7">
        <v>44680.0</v>
      </c>
      <c r="F334" s="5">
        <v>25.11</v>
      </c>
      <c r="G334" s="8">
        <v>2022.0</v>
      </c>
      <c r="H334" s="9" t="s">
        <v>195</v>
      </c>
      <c r="I334" s="9" t="s">
        <v>196</v>
      </c>
      <c r="J334" s="9" t="s">
        <v>409</v>
      </c>
      <c r="K334" s="4" t="s">
        <v>21</v>
      </c>
      <c r="L334" s="10">
        <v>15.0</v>
      </c>
      <c r="M334" s="54">
        <v>0.0</v>
      </c>
      <c r="N334" s="12">
        <v>0.0</v>
      </c>
      <c r="O334" s="12">
        <v>724.89</v>
      </c>
      <c r="P334" s="37">
        <f t="shared" si="4"/>
        <v>44695</v>
      </c>
      <c r="Q334" s="12">
        <v>750.0</v>
      </c>
      <c r="R334" s="14"/>
      <c r="S334" s="15">
        <v>44682.0</v>
      </c>
      <c r="T334" s="4" t="b">
        <v>1</v>
      </c>
    </row>
    <row r="335" hidden="1">
      <c r="A335" s="16" t="s">
        <v>406</v>
      </c>
      <c r="B335" s="17">
        <v>510.0</v>
      </c>
      <c r="C335" s="16" t="s">
        <v>18</v>
      </c>
      <c r="D335" s="18">
        <v>5121.0</v>
      </c>
      <c r="E335" s="19">
        <v>44712.0</v>
      </c>
      <c r="F335" s="17">
        <v>0.0</v>
      </c>
      <c r="G335" s="20">
        <v>2022.0</v>
      </c>
      <c r="H335" s="21" t="s">
        <v>195</v>
      </c>
      <c r="I335" s="21" t="s">
        <v>196</v>
      </c>
      <c r="J335" s="21" t="s">
        <v>410</v>
      </c>
      <c r="K335" s="16" t="s">
        <v>21</v>
      </c>
      <c r="L335" s="22">
        <v>15.0</v>
      </c>
      <c r="M335" s="55">
        <v>0.0</v>
      </c>
      <c r="N335" s="23">
        <v>0.0</v>
      </c>
      <c r="O335" s="23">
        <v>510.0</v>
      </c>
      <c r="P335" s="48">
        <f t="shared" si="4"/>
        <v>44727</v>
      </c>
      <c r="Q335" s="23">
        <v>510.0</v>
      </c>
      <c r="R335" s="25"/>
      <c r="S335" s="26">
        <v>44713.0</v>
      </c>
      <c r="T335" s="16" t="b">
        <v>1</v>
      </c>
    </row>
    <row r="336" hidden="1">
      <c r="A336" s="4" t="s">
        <v>408</v>
      </c>
      <c r="B336" s="5">
        <v>750.0</v>
      </c>
      <c r="C336" s="4" t="s">
        <v>18</v>
      </c>
      <c r="D336" s="6">
        <v>5072.0</v>
      </c>
      <c r="E336" s="7">
        <v>44694.0</v>
      </c>
      <c r="F336" s="5">
        <v>25.11</v>
      </c>
      <c r="G336" s="8">
        <v>2022.0</v>
      </c>
      <c r="H336" s="9" t="s">
        <v>195</v>
      </c>
      <c r="I336" s="9" t="s">
        <v>196</v>
      </c>
      <c r="J336" s="9" t="s">
        <v>411</v>
      </c>
      <c r="K336" s="4" t="s">
        <v>21</v>
      </c>
      <c r="L336" s="10">
        <v>15.0</v>
      </c>
      <c r="M336" s="54">
        <v>0.0</v>
      </c>
      <c r="N336" s="12">
        <v>0.0</v>
      </c>
      <c r="O336" s="12">
        <v>724.89</v>
      </c>
      <c r="P336" s="37">
        <f t="shared" si="4"/>
        <v>44709</v>
      </c>
      <c r="Q336" s="12">
        <v>750.0</v>
      </c>
      <c r="R336" s="14"/>
      <c r="S336" s="15">
        <v>44713.0</v>
      </c>
      <c r="T336" s="4" t="b">
        <v>1</v>
      </c>
    </row>
    <row r="337" hidden="1">
      <c r="A337" s="16" t="s">
        <v>115</v>
      </c>
      <c r="B337" s="17">
        <f t="shared" ref="B337:B338" si="7">2000*1.2539125</f>
        <v>2507.825</v>
      </c>
      <c r="C337" s="16" t="s">
        <v>18</v>
      </c>
      <c r="D337" s="18" t="s">
        <v>412</v>
      </c>
      <c r="E337" s="19">
        <v>44680.0</v>
      </c>
      <c r="F337" s="17">
        <v>0.0</v>
      </c>
      <c r="G337" s="20">
        <v>2022.04</v>
      </c>
      <c r="H337" s="21" t="s">
        <v>51</v>
      </c>
      <c r="I337" s="21" t="s">
        <v>52</v>
      </c>
      <c r="J337" s="21" t="s">
        <v>117</v>
      </c>
      <c r="K337" s="16" t="s">
        <v>9</v>
      </c>
      <c r="L337" s="22">
        <v>30.0</v>
      </c>
      <c r="M337" s="55">
        <v>0.0</v>
      </c>
      <c r="N337" s="23">
        <v>0.0</v>
      </c>
      <c r="O337" s="23">
        <v>2507.825</v>
      </c>
      <c r="P337" s="48">
        <f t="shared" si="4"/>
        <v>44710</v>
      </c>
      <c r="Q337" s="23">
        <v>2000.0</v>
      </c>
      <c r="R337" s="25"/>
      <c r="S337" s="26">
        <v>44713.0</v>
      </c>
      <c r="T337" s="16" t="b">
        <v>1</v>
      </c>
    </row>
    <row r="338" hidden="1">
      <c r="A338" s="4" t="s">
        <v>118</v>
      </c>
      <c r="B338" s="5">
        <f t="shared" si="7"/>
        <v>2507.825</v>
      </c>
      <c r="C338" s="4" t="s">
        <v>18</v>
      </c>
      <c r="D338" s="6" t="s">
        <v>413</v>
      </c>
      <c r="E338" s="7">
        <v>44680.0</v>
      </c>
      <c r="F338" s="5">
        <v>0.0</v>
      </c>
      <c r="G338" s="8">
        <v>2022.04</v>
      </c>
      <c r="H338" s="9" t="s">
        <v>51</v>
      </c>
      <c r="I338" s="9" t="s">
        <v>52</v>
      </c>
      <c r="J338" s="9" t="s">
        <v>117</v>
      </c>
      <c r="K338" s="4" t="s">
        <v>9</v>
      </c>
      <c r="L338" s="10">
        <v>30.0</v>
      </c>
      <c r="M338" s="54">
        <v>0.0</v>
      </c>
      <c r="N338" s="12">
        <v>0.0</v>
      </c>
      <c r="O338" s="12">
        <v>2507.825</v>
      </c>
      <c r="P338" s="37">
        <f t="shared" si="4"/>
        <v>44710</v>
      </c>
      <c r="Q338" s="12">
        <v>2000.0</v>
      </c>
      <c r="R338" s="14"/>
      <c r="S338" s="15">
        <v>44713.0</v>
      </c>
      <c r="T338" s="4" t="b">
        <v>1</v>
      </c>
    </row>
    <row r="339" hidden="1">
      <c r="A339" s="16" t="s">
        <v>73</v>
      </c>
      <c r="B339" s="17">
        <v>700.0</v>
      </c>
      <c r="C339" s="16" t="s">
        <v>18</v>
      </c>
      <c r="D339" s="18">
        <v>5067.0</v>
      </c>
      <c r="E339" s="19">
        <v>44680.0</v>
      </c>
      <c r="F339" s="17">
        <v>23.44</v>
      </c>
      <c r="G339" s="20">
        <v>2022.04</v>
      </c>
      <c r="H339" s="21" t="s">
        <v>51</v>
      </c>
      <c r="I339" s="21" t="s">
        <v>52</v>
      </c>
      <c r="J339" s="21" t="s">
        <v>74</v>
      </c>
      <c r="K339" s="16" t="s">
        <v>21</v>
      </c>
      <c r="L339" s="22">
        <v>30.0</v>
      </c>
      <c r="M339" s="55">
        <v>0.0</v>
      </c>
      <c r="N339" s="23">
        <v>0.0</v>
      </c>
      <c r="O339" s="23">
        <v>676.56</v>
      </c>
      <c r="P339" s="48">
        <f t="shared" si="4"/>
        <v>44710</v>
      </c>
      <c r="Q339" s="23">
        <v>700.0</v>
      </c>
      <c r="R339" s="25"/>
      <c r="S339" s="26">
        <v>44713.0</v>
      </c>
      <c r="T339" s="16" t="b">
        <v>1</v>
      </c>
    </row>
    <row r="340" hidden="1">
      <c r="A340" s="4" t="s">
        <v>414</v>
      </c>
      <c r="B340" s="5">
        <v>1500.0</v>
      </c>
      <c r="C340" s="4" t="s">
        <v>18</v>
      </c>
      <c r="D340" s="6">
        <v>5068.0</v>
      </c>
      <c r="E340" s="7">
        <v>44680.0</v>
      </c>
      <c r="F340" s="5">
        <v>46.67</v>
      </c>
      <c r="G340" s="8">
        <v>2022.0</v>
      </c>
      <c r="H340" s="9" t="s">
        <v>209</v>
      </c>
      <c r="I340" s="9" t="s">
        <v>415</v>
      </c>
      <c r="J340" s="9" t="s">
        <v>416</v>
      </c>
      <c r="K340" s="4" t="s">
        <v>21</v>
      </c>
      <c r="L340" s="10">
        <v>0.0</v>
      </c>
      <c r="M340" s="54">
        <v>0.0</v>
      </c>
      <c r="N340" s="12">
        <v>0.0</v>
      </c>
      <c r="O340" s="12">
        <v>1453.33</v>
      </c>
      <c r="P340" s="37">
        <f t="shared" si="4"/>
        <v>44680</v>
      </c>
      <c r="Q340" s="12">
        <v>12450.0</v>
      </c>
      <c r="R340" s="14"/>
      <c r="S340" s="15">
        <v>44713.0</v>
      </c>
      <c r="T340" s="4" t="b">
        <v>1</v>
      </c>
    </row>
    <row r="341" hidden="1">
      <c r="A341" s="16" t="s">
        <v>414</v>
      </c>
      <c r="B341" s="17">
        <v>3650.0</v>
      </c>
      <c r="C341" s="16" t="s">
        <v>18</v>
      </c>
      <c r="D341" s="18">
        <v>5073.0</v>
      </c>
      <c r="E341" s="19">
        <v>44694.0</v>
      </c>
      <c r="F341" s="17">
        <v>113.56</v>
      </c>
      <c r="G341" s="20">
        <v>2022.0</v>
      </c>
      <c r="H341" s="21" t="s">
        <v>195</v>
      </c>
      <c r="I341" s="21" t="s">
        <v>415</v>
      </c>
      <c r="J341" s="21" t="s">
        <v>417</v>
      </c>
      <c r="K341" s="16" t="s">
        <v>21</v>
      </c>
      <c r="L341" s="22">
        <v>0.0</v>
      </c>
      <c r="M341" s="55">
        <v>0.0</v>
      </c>
      <c r="N341" s="23">
        <v>0.0</v>
      </c>
      <c r="O341" s="23">
        <v>3536.44</v>
      </c>
      <c r="P341" s="48">
        <f t="shared" si="4"/>
        <v>44694</v>
      </c>
      <c r="Q341" s="23">
        <v>12450.0</v>
      </c>
      <c r="R341" s="25"/>
      <c r="S341" s="26">
        <v>44713.0</v>
      </c>
      <c r="T341" s="16" t="b">
        <v>1</v>
      </c>
    </row>
    <row r="342" hidden="1">
      <c r="A342" s="4" t="s">
        <v>414</v>
      </c>
      <c r="B342" s="5">
        <v>3650.0</v>
      </c>
      <c r="C342" s="4" t="s">
        <v>18</v>
      </c>
      <c r="D342" s="6">
        <v>5141.0</v>
      </c>
      <c r="E342" s="7">
        <v>44715.0</v>
      </c>
      <c r="F342" s="5">
        <v>113.56</v>
      </c>
      <c r="G342" s="8">
        <v>2022.0</v>
      </c>
      <c r="H342" s="9" t="s">
        <v>195</v>
      </c>
      <c r="I342" s="9" t="s">
        <v>415</v>
      </c>
      <c r="J342" s="9" t="s">
        <v>418</v>
      </c>
      <c r="K342" s="4" t="s">
        <v>21</v>
      </c>
      <c r="L342" s="10">
        <v>0.0</v>
      </c>
      <c r="M342" s="54">
        <v>0.0</v>
      </c>
      <c r="N342" s="12">
        <v>0.0</v>
      </c>
      <c r="O342" s="12">
        <v>3536.44</v>
      </c>
      <c r="P342" s="37">
        <f t="shared" si="4"/>
        <v>44715</v>
      </c>
      <c r="Q342" s="12">
        <v>12450.0</v>
      </c>
      <c r="R342" s="14"/>
      <c r="S342" s="15">
        <v>44713.0</v>
      </c>
      <c r="T342" s="4" t="b">
        <v>1</v>
      </c>
    </row>
    <row r="343" hidden="1">
      <c r="A343" s="16" t="s">
        <v>414</v>
      </c>
      <c r="B343" s="17">
        <v>3650.0</v>
      </c>
      <c r="C343" s="16" t="s">
        <v>18</v>
      </c>
      <c r="D343" s="18">
        <v>5170.0</v>
      </c>
      <c r="E343" s="19">
        <v>44727.0</v>
      </c>
      <c r="F343" s="17">
        <v>113.56</v>
      </c>
      <c r="G343" s="20">
        <v>2022.0</v>
      </c>
      <c r="H343" s="21" t="s">
        <v>195</v>
      </c>
      <c r="I343" s="21" t="s">
        <v>415</v>
      </c>
      <c r="J343" s="21" t="s">
        <v>419</v>
      </c>
      <c r="K343" s="16" t="s">
        <v>21</v>
      </c>
      <c r="L343" s="22">
        <v>0.0</v>
      </c>
      <c r="M343" s="55">
        <v>0.0</v>
      </c>
      <c r="N343" s="23">
        <v>0.0</v>
      </c>
      <c r="O343" s="23">
        <v>3536.44</v>
      </c>
      <c r="P343" s="48">
        <f t="shared" si="4"/>
        <v>44727</v>
      </c>
      <c r="Q343" s="23">
        <v>12450.0</v>
      </c>
      <c r="R343" s="25"/>
      <c r="S343" s="26">
        <v>44713.0</v>
      </c>
      <c r="T343" s="16" t="b">
        <v>1</v>
      </c>
    </row>
    <row r="344" hidden="1">
      <c r="A344" s="4" t="s">
        <v>420</v>
      </c>
      <c r="B344" s="5">
        <v>3225.0</v>
      </c>
      <c r="C344" s="4" t="s">
        <v>18</v>
      </c>
      <c r="D344" s="6">
        <v>5069.0</v>
      </c>
      <c r="E344" s="7">
        <v>44680.0</v>
      </c>
      <c r="F344" s="5">
        <v>0.0</v>
      </c>
      <c r="G344" s="8">
        <v>2022.0</v>
      </c>
      <c r="H344" s="9" t="s">
        <v>195</v>
      </c>
      <c r="I344" s="9" t="s">
        <v>196</v>
      </c>
      <c r="J344" s="9" t="s">
        <v>421</v>
      </c>
      <c r="K344" s="4" t="s">
        <v>21</v>
      </c>
      <c r="L344" s="10">
        <v>0.0</v>
      </c>
      <c r="M344" s="54">
        <v>0.0</v>
      </c>
      <c r="N344" s="12">
        <v>0.0</v>
      </c>
      <c r="O344" s="12">
        <v>3225.0</v>
      </c>
      <c r="P344" s="37">
        <f t="shared" si="4"/>
        <v>44680</v>
      </c>
      <c r="Q344" s="12">
        <v>6450.0</v>
      </c>
      <c r="R344" s="14"/>
      <c r="S344" s="15">
        <v>44713.0</v>
      </c>
      <c r="T344" s="4" t="b">
        <v>1</v>
      </c>
    </row>
    <row r="345" hidden="1">
      <c r="A345" s="16" t="s">
        <v>354</v>
      </c>
      <c r="B345" s="17">
        <v>2000.0</v>
      </c>
      <c r="C345" s="16" t="s">
        <v>18</v>
      </c>
      <c r="D345" s="18">
        <v>5070.0</v>
      </c>
      <c r="E345" s="19">
        <v>44680.0</v>
      </c>
      <c r="F345" s="17">
        <v>59.26</v>
      </c>
      <c r="G345" s="20">
        <v>2022.04</v>
      </c>
      <c r="H345" s="16" t="s">
        <v>51</v>
      </c>
      <c r="I345" s="21" t="s">
        <v>52</v>
      </c>
      <c r="J345" s="21" t="s">
        <v>355</v>
      </c>
      <c r="K345" s="16" t="s">
        <v>21</v>
      </c>
      <c r="L345" s="22">
        <v>30.0</v>
      </c>
      <c r="M345" s="55">
        <v>0.0</v>
      </c>
      <c r="N345" s="23">
        <v>0.0</v>
      </c>
      <c r="O345" s="23">
        <v>1940.74</v>
      </c>
      <c r="P345" s="48">
        <f t="shared" si="4"/>
        <v>44710</v>
      </c>
      <c r="Q345" s="23">
        <v>2000.0</v>
      </c>
      <c r="R345" s="25"/>
      <c r="S345" s="26">
        <v>44713.0</v>
      </c>
      <c r="T345" s="16" t="b">
        <v>1</v>
      </c>
    </row>
    <row r="346" hidden="1">
      <c r="A346" s="4" t="s">
        <v>420</v>
      </c>
      <c r="B346" s="5">
        <f>(6450/2)+750</f>
        <v>3975</v>
      </c>
      <c r="C346" s="4" t="s">
        <v>18</v>
      </c>
      <c r="D346" s="6">
        <v>5179.0</v>
      </c>
      <c r="E346" s="7">
        <v>44742.0</v>
      </c>
      <c r="F346" s="5">
        <v>0.0</v>
      </c>
      <c r="G346" s="8">
        <v>2022.0</v>
      </c>
      <c r="H346" s="9" t="s">
        <v>195</v>
      </c>
      <c r="I346" s="9" t="s">
        <v>422</v>
      </c>
      <c r="J346" s="9" t="s">
        <v>423</v>
      </c>
      <c r="K346" s="4" t="s">
        <v>21</v>
      </c>
      <c r="L346" s="10">
        <v>0.0</v>
      </c>
      <c r="M346" s="54">
        <v>0.0</v>
      </c>
      <c r="N346" s="12">
        <v>0.0</v>
      </c>
      <c r="O346" s="12">
        <v>3975.0</v>
      </c>
      <c r="P346" s="37">
        <f t="shared" si="4"/>
        <v>44742</v>
      </c>
      <c r="Q346" s="12">
        <v>6450.0</v>
      </c>
      <c r="R346" s="14"/>
      <c r="S346" s="15">
        <v>44774.0</v>
      </c>
      <c r="T346" s="4" t="b">
        <v>1</v>
      </c>
    </row>
    <row r="347" hidden="1">
      <c r="A347" s="16" t="s">
        <v>394</v>
      </c>
      <c r="B347" s="17">
        <f>150*1.2503</f>
        <v>187.545</v>
      </c>
      <c r="C347" s="16" t="s">
        <v>18</v>
      </c>
      <c r="D347" s="18" t="s">
        <v>424</v>
      </c>
      <c r="E347" s="19">
        <v>44687.0</v>
      </c>
      <c r="F347" s="17">
        <v>0.0</v>
      </c>
      <c r="G347" s="20">
        <v>2022.0</v>
      </c>
      <c r="H347" s="21" t="s">
        <v>425</v>
      </c>
      <c r="I347" s="21" t="s">
        <v>257</v>
      </c>
      <c r="J347" s="21" t="s">
        <v>426</v>
      </c>
      <c r="K347" s="16" t="s">
        <v>9</v>
      </c>
      <c r="L347" s="22">
        <v>30.0</v>
      </c>
      <c r="M347" s="55">
        <v>0.0</v>
      </c>
      <c r="N347" s="23">
        <v>0.0</v>
      </c>
      <c r="O347" s="23">
        <v>187.545</v>
      </c>
      <c r="P347" s="48">
        <f t="shared" si="4"/>
        <v>44717</v>
      </c>
      <c r="Q347" s="23">
        <v>150.0</v>
      </c>
      <c r="R347" s="25"/>
      <c r="S347" s="26">
        <v>44713.0</v>
      </c>
      <c r="T347" s="16" t="b">
        <v>1</v>
      </c>
    </row>
    <row r="348" hidden="1">
      <c r="A348" s="4" t="s">
        <v>427</v>
      </c>
      <c r="B348" s="5">
        <v>1220.0</v>
      </c>
      <c r="C348" s="4" t="s">
        <v>18</v>
      </c>
      <c r="D348" s="6">
        <v>5122.0</v>
      </c>
      <c r="E348" s="7">
        <v>44712.0</v>
      </c>
      <c r="F348" s="5">
        <v>37.96</v>
      </c>
      <c r="G348" s="8">
        <v>2022.0</v>
      </c>
      <c r="H348" s="9" t="s">
        <v>209</v>
      </c>
      <c r="I348" s="9" t="s">
        <v>252</v>
      </c>
      <c r="J348" s="9" t="s">
        <v>428</v>
      </c>
      <c r="K348" s="4" t="s">
        <v>21</v>
      </c>
      <c r="L348" s="10">
        <v>30.0</v>
      </c>
      <c r="M348" s="54">
        <v>0.0</v>
      </c>
      <c r="N348" s="12">
        <v>0.0</v>
      </c>
      <c r="O348" s="12">
        <v>1182.04</v>
      </c>
      <c r="P348" s="37">
        <f t="shared" si="4"/>
        <v>44742</v>
      </c>
      <c r="Q348" s="12">
        <v>1220.0</v>
      </c>
      <c r="R348" s="14"/>
      <c r="S348" s="15">
        <v>44713.0</v>
      </c>
      <c r="T348" s="4" t="b">
        <v>1</v>
      </c>
    </row>
    <row r="349" hidden="1">
      <c r="A349" s="16" t="s">
        <v>68</v>
      </c>
      <c r="B349" s="17">
        <v>650.0</v>
      </c>
      <c r="C349" s="16" t="s">
        <v>18</v>
      </c>
      <c r="D349" s="18">
        <v>5074.0</v>
      </c>
      <c r="E349" s="19">
        <v>44694.0</v>
      </c>
      <c r="F349" s="35">
        <f>20.09</f>
        <v>20.09</v>
      </c>
      <c r="G349" s="20">
        <v>2022.05</v>
      </c>
      <c r="H349" s="21" t="s">
        <v>27</v>
      </c>
      <c r="I349" s="21" t="s">
        <v>52</v>
      </c>
      <c r="J349" s="21" t="s">
        <v>69</v>
      </c>
      <c r="K349" s="16" t="s">
        <v>21</v>
      </c>
      <c r="L349" s="22">
        <v>30.0</v>
      </c>
      <c r="M349" s="55">
        <v>0.0</v>
      </c>
      <c r="N349" s="23">
        <v>0.0</v>
      </c>
      <c r="O349" s="23">
        <v>629.91</v>
      </c>
      <c r="P349" s="48">
        <f t="shared" si="4"/>
        <v>44724</v>
      </c>
      <c r="Q349" s="23">
        <v>650.0</v>
      </c>
      <c r="R349" s="25"/>
      <c r="S349" s="26">
        <v>44713.0</v>
      </c>
      <c r="T349" s="16" t="b">
        <v>1</v>
      </c>
    </row>
    <row r="350" hidden="1">
      <c r="A350" s="4" t="s">
        <v>99</v>
      </c>
      <c r="B350" s="5">
        <f>1300*1.250912</f>
        <v>1626.1856</v>
      </c>
      <c r="C350" s="4" t="s">
        <v>18</v>
      </c>
      <c r="D350" s="6" t="s">
        <v>429</v>
      </c>
      <c r="E350" s="7">
        <v>44694.0</v>
      </c>
      <c r="F350" s="34">
        <f>48.4*1.250912</f>
        <v>60.5441408</v>
      </c>
      <c r="G350" s="8">
        <v>2022.05</v>
      </c>
      <c r="H350" s="9" t="s">
        <v>27</v>
      </c>
      <c r="I350" s="9" t="s">
        <v>52</v>
      </c>
      <c r="J350" s="9" t="s">
        <v>101</v>
      </c>
      <c r="K350" s="4" t="s">
        <v>9</v>
      </c>
      <c r="L350" s="10">
        <v>30.0</v>
      </c>
      <c r="M350" s="54">
        <v>0.2</v>
      </c>
      <c r="N350" s="12">
        <v>313.12829184000003</v>
      </c>
      <c r="O350" s="12">
        <v>1252.5131673600001</v>
      </c>
      <c r="P350" s="37">
        <f t="shared" si="4"/>
        <v>44724</v>
      </c>
      <c r="Q350" s="12">
        <v>1300.0</v>
      </c>
      <c r="R350" s="14"/>
      <c r="S350" s="15">
        <v>44713.0</v>
      </c>
      <c r="T350" s="4" t="b">
        <v>1</v>
      </c>
    </row>
    <row r="351" hidden="1">
      <c r="A351" s="16" t="s">
        <v>225</v>
      </c>
      <c r="B351" s="17">
        <v>5000.0</v>
      </c>
      <c r="C351" s="16" t="s">
        <v>18</v>
      </c>
      <c r="D351" s="18">
        <v>5075.0</v>
      </c>
      <c r="E351" s="19">
        <v>44694.0</v>
      </c>
      <c r="F351" s="17">
        <v>0.0</v>
      </c>
      <c r="G351" s="20">
        <v>2022.05</v>
      </c>
      <c r="H351" s="21" t="s">
        <v>27</v>
      </c>
      <c r="I351" s="21" t="s">
        <v>52</v>
      </c>
      <c r="J351" s="21" t="s">
        <v>430</v>
      </c>
      <c r="K351" s="16" t="s">
        <v>21</v>
      </c>
      <c r="L351" s="22">
        <v>30.0</v>
      </c>
      <c r="M351" s="55">
        <v>0.0</v>
      </c>
      <c r="N351" s="23">
        <v>0.0</v>
      </c>
      <c r="O351" s="23">
        <v>5000.0</v>
      </c>
      <c r="P351" s="48">
        <f t="shared" si="4"/>
        <v>44724</v>
      </c>
      <c r="Q351" s="23">
        <v>5000.0</v>
      </c>
      <c r="R351" s="25"/>
      <c r="S351" s="26">
        <v>44713.0</v>
      </c>
      <c r="T351" s="16" t="b">
        <v>1</v>
      </c>
    </row>
    <row r="352" hidden="1">
      <c r="A352" s="4" t="s">
        <v>102</v>
      </c>
      <c r="B352" s="5">
        <f>350*1.229766</f>
        <v>430.4181</v>
      </c>
      <c r="C352" s="4" t="s">
        <v>18</v>
      </c>
      <c r="D352" s="6" t="s">
        <v>431</v>
      </c>
      <c r="E352" s="7">
        <v>44694.0</v>
      </c>
      <c r="F352" s="34">
        <f>13.25*1.229766</f>
        <v>16.2943995</v>
      </c>
      <c r="G352" s="8">
        <v>2022.05</v>
      </c>
      <c r="H352" s="9" t="s">
        <v>27</v>
      </c>
      <c r="I352" s="9" t="s">
        <v>52</v>
      </c>
      <c r="J352" s="9" t="s">
        <v>104</v>
      </c>
      <c r="K352" s="4" t="s">
        <v>9</v>
      </c>
      <c r="L352" s="10">
        <v>30.0</v>
      </c>
      <c r="M352" s="54">
        <v>0.0</v>
      </c>
      <c r="N352" s="12">
        <v>0.0</v>
      </c>
      <c r="O352" s="12">
        <v>414.1237005</v>
      </c>
      <c r="P352" s="37">
        <f t="shared" si="4"/>
        <v>44724</v>
      </c>
      <c r="Q352" s="12">
        <v>350.0</v>
      </c>
      <c r="R352" s="14"/>
      <c r="S352" s="15">
        <v>44713.0</v>
      </c>
      <c r="T352" s="4" t="b">
        <v>1</v>
      </c>
    </row>
    <row r="353" hidden="1">
      <c r="A353" s="16" t="s">
        <v>156</v>
      </c>
      <c r="B353" s="17">
        <f>500*1.245577</f>
        <v>622.7885</v>
      </c>
      <c r="C353" s="16" t="s">
        <v>18</v>
      </c>
      <c r="D353" s="18" t="s">
        <v>432</v>
      </c>
      <c r="E353" s="19">
        <v>44694.0</v>
      </c>
      <c r="F353" s="35">
        <f>18.8*1.245577</f>
        <v>23.4168476</v>
      </c>
      <c r="G353" s="20">
        <v>2022.05</v>
      </c>
      <c r="H353" s="21" t="s">
        <v>27</v>
      </c>
      <c r="I353" s="21" t="s">
        <v>52</v>
      </c>
      <c r="J353" s="21" t="s">
        <v>158</v>
      </c>
      <c r="K353" s="16" t="s">
        <v>9</v>
      </c>
      <c r="L353" s="22">
        <v>30.0</v>
      </c>
      <c r="M353" s="55">
        <v>0.2</v>
      </c>
      <c r="N353" s="23">
        <v>119.87433048000001</v>
      </c>
      <c r="O353" s="23">
        <v>479.49732192</v>
      </c>
      <c r="P353" s="48">
        <f t="shared" si="4"/>
        <v>44724</v>
      </c>
      <c r="Q353" s="23">
        <v>500.0</v>
      </c>
      <c r="R353" s="25"/>
      <c r="S353" s="26">
        <v>44713.0</v>
      </c>
      <c r="T353" s="16" t="b">
        <v>1</v>
      </c>
    </row>
    <row r="354" hidden="1">
      <c r="A354" s="4" t="s">
        <v>62</v>
      </c>
      <c r="B354" s="5">
        <v>1600.0</v>
      </c>
      <c r="C354" s="4" t="s">
        <v>18</v>
      </c>
      <c r="D354" s="6">
        <v>5076.0</v>
      </c>
      <c r="E354" s="7">
        <v>44694.0</v>
      </c>
      <c r="F354" s="5">
        <v>49.78</v>
      </c>
      <c r="G354" s="8">
        <v>2022.05</v>
      </c>
      <c r="H354" s="9" t="s">
        <v>27</v>
      </c>
      <c r="I354" s="9" t="s">
        <v>52</v>
      </c>
      <c r="J354" s="9" t="s">
        <v>63</v>
      </c>
      <c r="K354" s="4" t="s">
        <v>21</v>
      </c>
      <c r="L354" s="10">
        <v>30.0</v>
      </c>
      <c r="M354" s="54">
        <v>0.0</v>
      </c>
      <c r="N354" s="12">
        <v>0.0</v>
      </c>
      <c r="O354" s="12">
        <v>1550.22</v>
      </c>
      <c r="P354" s="37">
        <f t="shared" si="4"/>
        <v>44724</v>
      </c>
      <c r="Q354" s="12">
        <v>1600.0</v>
      </c>
      <c r="R354" s="14"/>
      <c r="S354" s="15">
        <v>44713.0</v>
      </c>
      <c r="T354" s="4" t="b">
        <v>1</v>
      </c>
    </row>
    <row r="355" hidden="1">
      <c r="A355" s="16" t="s">
        <v>66</v>
      </c>
      <c r="B355" s="17">
        <v>900.0</v>
      </c>
      <c r="C355" s="16" t="s">
        <v>18</v>
      </c>
      <c r="D355" s="18">
        <v>5077.0</v>
      </c>
      <c r="E355" s="19">
        <v>44694.0</v>
      </c>
      <c r="F355" s="17">
        <v>0.0</v>
      </c>
      <c r="G355" s="20">
        <v>2022.05</v>
      </c>
      <c r="H355" s="21" t="s">
        <v>27</v>
      </c>
      <c r="I355" s="21" t="s">
        <v>52</v>
      </c>
      <c r="J355" s="21" t="s">
        <v>294</v>
      </c>
      <c r="K355" s="16" t="s">
        <v>21</v>
      </c>
      <c r="L355" s="22">
        <v>30.0</v>
      </c>
      <c r="M355" s="55">
        <v>0.0</v>
      </c>
      <c r="N355" s="23">
        <v>0.0</v>
      </c>
      <c r="O355" s="23">
        <v>900.0</v>
      </c>
      <c r="P355" s="48">
        <f t="shared" si="4"/>
        <v>44724</v>
      </c>
      <c r="Q355" s="23">
        <v>900.0</v>
      </c>
      <c r="R355" s="25"/>
      <c r="S355" s="26">
        <v>44713.0</v>
      </c>
      <c r="T355" s="16" t="b">
        <v>1</v>
      </c>
    </row>
    <row r="356" hidden="1">
      <c r="A356" s="4" t="s">
        <v>433</v>
      </c>
      <c r="B356" s="5">
        <v>400.0</v>
      </c>
      <c r="C356" s="4" t="s">
        <v>18</v>
      </c>
      <c r="D356" s="6">
        <v>5105.0</v>
      </c>
      <c r="E356" s="7">
        <v>44708.0</v>
      </c>
      <c r="F356" s="5">
        <v>12.44</v>
      </c>
      <c r="G356" s="8">
        <v>2022.0</v>
      </c>
      <c r="H356" s="9" t="s">
        <v>209</v>
      </c>
      <c r="I356" s="9" t="s">
        <v>210</v>
      </c>
      <c r="J356" s="9" t="s">
        <v>434</v>
      </c>
      <c r="K356" s="4" t="s">
        <v>21</v>
      </c>
      <c r="L356" s="10">
        <v>30.0</v>
      </c>
      <c r="M356" s="54">
        <v>0.0</v>
      </c>
      <c r="N356" s="12">
        <v>0.0</v>
      </c>
      <c r="O356" s="12">
        <v>387.56</v>
      </c>
      <c r="P356" s="37">
        <f t="shared" si="4"/>
        <v>44738</v>
      </c>
      <c r="Q356" s="12">
        <v>400.0</v>
      </c>
      <c r="R356" s="14"/>
      <c r="S356" s="15">
        <v>44713.0</v>
      </c>
      <c r="T356" s="4" t="b">
        <v>1</v>
      </c>
    </row>
    <row r="357" hidden="1">
      <c r="A357" s="16" t="s">
        <v>354</v>
      </c>
      <c r="B357" s="17">
        <v>2000.0</v>
      </c>
      <c r="C357" s="16" t="s">
        <v>18</v>
      </c>
      <c r="D357" s="18">
        <v>5106.0</v>
      </c>
      <c r="E357" s="19">
        <v>44708.0</v>
      </c>
      <c r="F357" s="17">
        <v>59.26</v>
      </c>
      <c r="G357" s="20">
        <v>2022.0</v>
      </c>
      <c r="H357" s="56">
        <v>44708.0</v>
      </c>
      <c r="I357" s="21" t="s">
        <v>52</v>
      </c>
      <c r="J357" s="21" t="s">
        <v>355</v>
      </c>
      <c r="K357" s="16" t="s">
        <v>21</v>
      </c>
      <c r="L357" s="16">
        <v>15.0</v>
      </c>
      <c r="M357" s="55">
        <v>0.0</v>
      </c>
      <c r="N357" s="23">
        <v>0.0</v>
      </c>
      <c r="O357" s="23">
        <v>1940.74</v>
      </c>
      <c r="P357" s="48">
        <f t="shared" si="4"/>
        <v>44723</v>
      </c>
      <c r="Q357" s="23">
        <v>2000.0</v>
      </c>
      <c r="R357" s="25"/>
      <c r="S357" s="26">
        <v>44713.0</v>
      </c>
      <c r="T357" s="16" t="b">
        <v>1</v>
      </c>
    </row>
    <row r="358" hidden="1">
      <c r="A358" s="57" t="s">
        <v>223</v>
      </c>
      <c r="B358" s="5">
        <v>800.0</v>
      </c>
      <c r="C358" s="4" t="s">
        <v>18</v>
      </c>
      <c r="D358" s="6">
        <v>5123.0</v>
      </c>
      <c r="E358" s="7">
        <v>44712.0</v>
      </c>
      <c r="F358" s="5">
        <v>24.89</v>
      </c>
      <c r="G358" s="58">
        <v>2022.05</v>
      </c>
      <c r="H358" s="9" t="s">
        <v>51</v>
      </c>
      <c r="I358" s="9" t="s">
        <v>52</v>
      </c>
      <c r="J358" s="9" t="s">
        <v>247</v>
      </c>
      <c r="K358" s="4" t="s">
        <v>21</v>
      </c>
      <c r="L358" s="10">
        <v>30.0</v>
      </c>
      <c r="M358" s="54">
        <v>0.0</v>
      </c>
      <c r="N358" s="12">
        <v>0.0</v>
      </c>
      <c r="O358" s="12">
        <v>775.11</v>
      </c>
      <c r="P358" s="37">
        <f t="shared" si="4"/>
        <v>44742</v>
      </c>
      <c r="Q358" s="12"/>
      <c r="R358" s="14"/>
      <c r="S358" s="15">
        <v>44713.0</v>
      </c>
      <c r="T358" s="4" t="b">
        <v>1</v>
      </c>
    </row>
    <row r="359" hidden="1">
      <c r="A359" s="59" t="s">
        <v>54</v>
      </c>
      <c r="B359" s="35">
        <v>750.0</v>
      </c>
      <c r="C359" s="16" t="s">
        <v>18</v>
      </c>
      <c r="D359" s="18">
        <v>5124.0</v>
      </c>
      <c r="E359" s="19">
        <v>44712.0</v>
      </c>
      <c r="F359" s="17">
        <v>23.33</v>
      </c>
      <c r="G359" s="60">
        <v>2022.05</v>
      </c>
      <c r="H359" s="61" t="s">
        <v>51</v>
      </c>
      <c r="I359" s="61" t="s">
        <v>52</v>
      </c>
      <c r="J359" s="61" t="s">
        <v>55</v>
      </c>
      <c r="K359" s="59" t="s">
        <v>21</v>
      </c>
      <c r="L359" s="24">
        <v>30.0</v>
      </c>
      <c r="M359" s="62"/>
      <c r="N359" s="23">
        <v>0.0</v>
      </c>
      <c r="O359" s="23">
        <v>726.67</v>
      </c>
      <c r="P359" s="48">
        <f t="shared" si="4"/>
        <v>44742</v>
      </c>
      <c r="Q359" s="23"/>
      <c r="R359" s="25"/>
      <c r="S359" s="26">
        <v>44713.0</v>
      </c>
      <c r="T359" s="16" t="b">
        <v>1</v>
      </c>
    </row>
    <row r="360" hidden="1">
      <c r="A360" s="57" t="s">
        <v>147</v>
      </c>
      <c r="B360" s="34">
        <v>900.0</v>
      </c>
      <c r="C360" s="4" t="s">
        <v>18</v>
      </c>
      <c r="D360" s="6">
        <v>5125.0</v>
      </c>
      <c r="E360" s="7">
        <v>44712.0</v>
      </c>
      <c r="F360" s="5">
        <v>0.0</v>
      </c>
      <c r="G360" s="58">
        <v>2022.05</v>
      </c>
      <c r="H360" s="63" t="s">
        <v>51</v>
      </c>
      <c r="I360" s="63" t="s">
        <v>52</v>
      </c>
      <c r="J360" s="9" t="s">
        <v>435</v>
      </c>
      <c r="K360" s="57" t="s">
        <v>21</v>
      </c>
      <c r="L360" s="13">
        <v>30.0</v>
      </c>
      <c r="M360" s="64"/>
      <c r="N360" s="12">
        <v>0.0</v>
      </c>
      <c r="O360" s="12">
        <v>900.0</v>
      </c>
      <c r="P360" s="37">
        <f t="shared" si="4"/>
        <v>44742</v>
      </c>
      <c r="Q360" s="12"/>
      <c r="R360" s="14"/>
      <c r="S360" s="15">
        <v>44713.0</v>
      </c>
      <c r="T360" s="4" t="b">
        <v>1</v>
      </c>
    </row>
    <row r="361" hidden="1">
      <c r="A361" s="59" t="s">
        <v>58</v>
      </c>
      <c r="B361" s="35">
        <v>1550.0</v>
      </c>
      <c r="C361" s="16" t="s">
        <v>18</v>
      </c>
      <c r="D361" s="18">
        <v>5126.0</v>
      </c>
      <c r="E361" s="19">
        <v>44712.0</v>
      </c>
      <c r="F361" s="17">
        <v>48.22</v>
      </c>
      <c r="G361" s="60">
        <v>2022.05</v>
      </c>
      <c r="H361" s="61" t="s">
        <v>51</v>
      </c>
      <c r="I361" s="61" t="s">
        <v>52</v>
      </c>
      <c r="J361" s="61" t="s">
        <v>59</v>
      </c>
      <c r="K361" s="59" t="s">
        <v>21</v>
      </c>
      <c r="L361" s="24">
        <v>30.0</v>
      </c>
      <c r="M361" s="62"/>
      <c r="N361" s="23">
        <v>0.0</v>
      </c>
      <c r="O361" s="23">
        <v>1501.78</v>
      </c>
      <c r="P361" s="48">
        <f t="shared" si="4"/>
        <v>44742</v>
      </c>
      <c r="Q361" s="23"/>
      <c r="R361" s="25"/>
      <c r="S361" s="26">
        <v>44713.0</v>
      </c>
      <c r="T361" s="16" t="b">
        <v>1</v>
      </c>
    </row>
    <row r="362" hidden="1">
      <c r="A362" s="57" t="s">
        <v>120</v>
      </c>
      <c r="B362" s="34">
        <f>1500*1.222879</f>
        <v>1834.3185</v>
      </c>
      <c r="C362" s="4" t="s">
        <v>18</v>
      </c>
      <c r="D362" s="6" t="s">
        <v>436</v>
      </c>
      <c r="E362" s="7">
        <v>44712.0</v>
      </c>
      <c r="F362" s="34">
        <f>55.8*1.222879</f>
        <v>68.2366482</v>
      </c>
      <c r="G362" s="58">
        <v>2022.05</v>
      </c>
      <c r="H362" s="63" t="s">
        <v>51</v>
      </c>
      <c r="I362" s="63" t="s">
        <v>52</v>
      </c>
      <c r="J362" s="63" t="s">
        <v>364</v>
      </c>
      <c r="K362" s="57" t="s">
        <v>9</v>
      </c>
      <c r="L362" s="13">
        <v>30.0</v>
      </c>
      <c r="M362" s="64">
        <v>0.2</v>
      </c>
      <c r="N362" s="12">
        <v>353.21637036000004</v>
      </c>
      <c r="O362" s="12">
        <v>1412.8654814400002</v>
      </c>
      <c r="P362" s="37">
        <f t="shared" si="4"/>
        <v>44742</v>
      </c>
      <c r="Q362" s="12"/>
      <c r="R362" s="14"/>
      <c r="S362" s="15">
        <v>44713.0</v>
      </c>
      <c r="T362" s="4" t="b">
        <v>1</v>
      </c>
    </row>
    <row r="363" hidden="1">
      <c r="A363" s="59" t="s">
        <v>84</v>
      </c>
      <c r="B363" s="35">
        <v>1000.0</v>
      </c>
      <c r="C363" s="16" t="s">
        <v>18</v>
      </c>
      <c r="D363" s="18">
        <v>5127.0</v>
      </c>
      <c r="E363" s="19">
        <v>44712.0</v>
      </c>
      <c r="F363" s="17">
        <v>0.0</v>
      </c>
      <c r="G363" s="60">
        <v>2022.05</v>
      </c>
      <c r="H363" s="61" t="s">
        <v>51</v>
      </c>
      <c r="I363" s="61" t="s">
        <v>52</v>
      </c>
      <c r="J363" s="61" t="s">
        <v>85</v>
      </c>
      <c r="K363" s="59" t="s">
        <v>21</v>
      </c>
      <c r="L363" s="24">
        <v>30.0</v>
      </c>
      <c r="M363" s="62"/>
      <c r="N363" s="23">
        <v>0.0</v>
      </c>
      <c r="O363" s="23">
        <v>1000.0</v>
      </c>
      <c r="P363" s="48">
        <f t="shared" si="4"/>
        <v>44742</v>
      </c>
      <c r="Q363" s="23"/>
      <c r="R363" s="25"/>
      <c r="S363" s="26">
        <v>44713.0</v>
      </c>
      <c r="T363" s="16" t="b">
        <v>1</v>
      </c>
    </row>
    <row r="364" hidden="1">
      <c r="A364" s="57" t="s">
        <v>86</v>
      </c>
      <c r="B364" s="5">
        <v>375.0</v>
      </c>
      <c r="C364" s="4" t="s">
        <v>18</v>
      </c>
      <c r="D364" s="6">
        <v>5138.0</v>
      </c>
      <c r="E364" s="7">
        <v>44712.0</v>
      </c>
      <c r="F364" s="5">
        <v>14.87</v>
      </c>
      <c r="G364" s="58">
        <v>2022.05</v>
      </c>
      <c r="H364" s="63" t="s">
        <v>51</v>
      </c>
      <c r="I364" s="63" t="s">
        <v>52</v>
      </c>
      <c r="J364" s="65" t="s">
        <v>437</v>
      </c>
      <c r="K364" s="57" t="s">
        <v>21</v>
      </c>
      <c r="L364" s="13">
        <v>30.0</v>
      </c>
      <c r="M364" s="64"/>
      <c r="N364" s="12">
        <v>0.0</v>
      </c>
      <c r="O364" s="12">
        <v>360.13</v>
      </c>
      <c r="P364" s="37">
        <f t="shared" si="4"/>
        <v>44742</v>
      </c>
      <c r="Q364" s="12"/>
      <c r="R364" s="14"/>
      <c r="S364" s="15">
        <v>44713.0</v>
      </c>
      <c r="T364" s="4" t="b">
        <v>1</v>
      </c>
    </row>
    <row r="365" hidden="1">
      <c r="A365" s="59" t="s">
        <v>42</v>
      </c>
      <c r="B365" s="35">
        <v>1500.0</v>
      </c>
      <c r="C365" s="16" t="s">
        <v>18</v>
      </c>
      <c r="D365" s="18">
        <v>5128.0</v>
      </c>
      <c r="E365" s="19">
        <v>44712.0</v>
      </c>
      <c r="F365" s="17">
        <v>46.67</v>
      </c>
      <c r="G365" s="60">
        <v>2022.05</v>
      </c>
      <c r="H365" s="61" t="s">
        <v>51</v>
      </c>
      <c r="I365" s="61" t="s">
        <v>52</v>
      </c>
      <c r="J365" s="61" t="s">
        <v>43</v>
      </c>
      <c r="K365" s="59" t="s">
        <v>21</v>
      </c>
      <c r="L365" s="24">
        <v>30.0</v>
      </c>
      <c r="M365" s="62">
        <v>0.15</v>
      </c>
      <c r="N365" s="23">
        <v>217.99949999999998</v>
      </c>
      <c r="O365" s="23">
        <v>1235.3305</v>
      </c>
      <c r="P365" s="48">
        <f t="shared" si="4"/>
        <v>44742</v>
      </c>
      <c r="Q365" s="23"/>
      <c r="R365" s="25"/>
      <c r="S365" s="26">
        <v>44713.0</v>
      </c>
      <c r="T365" s="16" t="b">
        <v>1</v>
      </c>
    </row>
    <row r="366" hidden="1">
      <c r="A366" s="57" t="s">
        <v>82</v>
      </c>
      <c r="B366" s="34">
        <v>800.0</v>
      </c>
      <c r="C366" s="4" t="s">
        <v>18</v>
      </c>
      <c r="D366" s="6">
        <v>5129.0</v>
      </c>
      <c r="E366" s="7">
        <v>44712.0</v>
      </c>
      <c r="F366" s="5">
        <v>0.0</v>
      </c>
      <c r="G366" s="58">
        <v>2022.05</v>
      </c>
      <c r="H366" s="63" t="s">
        <v>51</v>
      </c>
      <c r="I366" s="63" t="s">
        <v>52</v>
      </c>
      <c r="J366" s="63" t="s">
        <v>83</v>
      </c>
      <c r="K366" s="57" t="s">
        <v>21</v>
      </c>
      <c r="L366" s="13">
        <v>30.0</v>
      </c>
      <c r="M366" s="64"/>
      <c r="N366" s="12">
        <v>0.0</v>
      </c>
      <c r="O366" s="12">
        <v>800.0</v>
      </c>
      <c r="P366" s="37">
        <f t="shared" si="4"/>
        <v>44742</v>
      </c>
      <c r="Q366" s="12"/>
      <c r="R366" s="14"/>
      <c r="S366" s="15">
        <v>44713.0</v>
      </c>
      <c r="T366" s="4" t="b">
        <v>1</v>
      </c>
    </row>
    <row r="367" hidden="1">
      <c r="A367" s="59" t="s">
        <v>88</v>
      </c>
      <c r="B367" s="35">
        <v>500.0</v>
      </c>
      <c r="C367" s="16" t="s">
        <v>18</v>
      </c>
      <c r="D367" s="18">
        <v>5130.0</v>
      </c>
      <c r="E367" s="19">
        <v>44712.0</v>
      </c>
      <c r="F367" s="17">
        <v>15.53</v>
      </c>
      <c r="G367" s="60">
        <v>2022.05</v>
      </c>
      <c r="H367" s="61" t="s">
        <v>51</v>
      </c>
      <c r="I367" s="61" t="s">
        <v>52</v>
      </c>
      <c r="J367" s="61" t="s">
        <v>89</v>
      </c>
      <c r="K367" s="59" t="s">
        <v>21</v>
      </c>
      <c r="L367" s="24">
        <v>30.0</v>
      </c>
      <c r="M367" s="62"/>
      <c r="N367" s="23">
        <v>0.0</v>
      </c>
      <c r="O367" s="23">
        <v>484.47</v>
      </c>
      <c r="P367" s="48">
        <f t="shared" si="4"/>
        <v>44742</v>
      </c>
      <c r="Q367" s="23"/>
      <c r="R367" s="25"/>
      <c r="S367" s="26">
        <v>44713.0</v>
      </c>
      <c r="T367" s="16" t="b">
        <v>1</v>
      </c>
    </row>
    <row r="368" hidden="1">
      <c r="A368" s="57" t="s">
        <v>151</v>
      </c>
      <c r="B368" s="34">
        <f>650*1.243637</f>
        <v>808.36405</v>
      </c>
      <c r="C368" s="4" t="s">
        <v>18</v>
      </c>
      <c r="D368" s="6" t="s">
        <v>438</v>
      </c>
      <c r="E368" s="7">
        <v>44712.0</v>
      </c>
      <c r="F368" s="34">
        <f>24.13*1.243637</f>
        <v>30.00896081</v>
      </c>
      <c r="G368" s="58">
        <v>2022.05</v>
      </c>
      <c r="H368" s="63" t="s">
        <v>51</v>
      </c>
      <c r="I368" s="63" t="s">
        <v>52</v>
      </c>
      <c r="J368" s="63" t="s">
        <v>122</v>
      </c>
      <c r="K368" s="57" t="s">
        <v>9</v>
      </c>
      <c r="L368" s="13">
        <v>30.0</v>
      </c>
      <c r="M368" s="64"/>
      <c r="N368" s="12">
        <v>0.0</v>
      </c>
      <c r="O368" s="12">
        <v>778.3550891900001</v>
      </c>
      <c r="P368" s="37">
        <f t="shared" si="4"/>
        <v>44742</v>
      </c>
      <c r="Q368" s="12"/>
      <c r="R368" s="14"/>
      <c r="S368" s="15">
        <v>44713.0</v>
      </c>
      <c r="T368" s="4" t="b">
        <v>1</v>
      </c>
    </row>
    <row r="369" hidden="1">
      <c r="A369" s="59" t="s">
        <v>50</v>
      </c>
      <c r="B369" s="35">
        <v>375.0</v>
      </c>
      <c r="C369" s="16" t="s">
        <v>18</v>
      </c>
      <c r="D369" s="18">
        <v>5131.0</v>
      </c>
      <c r="E369" s="19">
        <v>44712.0</v>
      </c>
      <c r="F369" s="17">
        <v>0.0</v>
      </c>
      <c r="G369" s="60">
        <v>2022.05</v>
      </c>
      <c r="H369" s="61" t="s">
        <v>51</v>
      </c>
      <c r="I369" s="61" t="s">
        <v>52</v>
      </c>
      <c r="J369" s="61" t="s">
        <v>400</v>
      </c>
      <c r="K369" s="59" t="s">
        <v>21</v>
      </c>
      <c r="L369" s="24">
        <v>30.0</v>
      </c>
      <c r="M369" s="62"/>
      <c r="N369" s="23">
        <v>0.0</v>
      </c>
      <c r="O369" s="23">
        <v>375.0</v>
      </c>
      <c r="P369" s="48">
        <f t="shared" si="4"/>
        <v>44742</v>
      </c>
      <c r="Q369" s="23"/>
      <c r="R369" s="25"/>
      <c r="S369" s="26">
        <v>44713.0</v>
      </c>
      <c r="T369" s="16" t="b">
        <v>1</v>
      </c>
    </row>
    <row r="370" hidden="1">
      <c r="A370" s="57" t="s">
        <v>75</v>
      </c>
      <c r="B370" s="34">
        <v>500.0</v>
      </c>
      <c r="C370" s="4" t="s">
        <v>18</v>
      </c>
      <c r="D370" s="6">
        <v>5132.0</v>
      </c>
      <c r="E370" s="7">
        <v>44712.0</v>
      </c>
      <c r="F370" s="5">
        <v>0.0</v>
      </c>
      <c r="G370" s="58">
        <v>2022.05</v>
      </c>
      <c r="H370" s="63" t="s">
        <v>51</v>
      </c>
      <c r="I370" s="63" t="s">
        <v>52</v>
      </c>
      <c r="J370" s="63" t="s">
        <v>76</v>
      </c>
      <c r="K370" s="57" t="s">
        <v>21</v>
      </c>
      <c r="L370" s="13">
        <v>30.0</v>
      </c>
      <c r="M370" s="64"/>
      <c r="N370" s="12">
        <v>0.0</v>
      </c>
      <c r="O370" s="12">
        <v>500.0</v>
      </c>
      <c r="P370" s="37">
        <f t="shared" si="4"/>
        <v>44742</v>
      </c>
      <c r="Q370" s="12"/>
      <c r="R370" s="14"/>
      <c r="S370" s="15">
        <v>44713.0</v>
      </c>
      <c r="T370" s="4" t="b">
        <v>1</v>
      </c>
    </row>
    <row r="371" hidden="1">
      <c r="A371" s="59" t="s">
        <v>105</v>
      </c>
      <c r="B371" s="35">
        <f>300*1.224819</f>
        <v>367.4457</v>
      </c>
      <c r="C371" s="16" t="s">
        <v>18</v>
      </c>
      <c r="D371" s="18" t="s">
        <v>439</v>
      </c>
      <c r="E371" s="19">
        <v>44712.0</v>
      </c>
      <c r="F371" s="35">
        <f>11.4*1.224819</f>
        <v>13.9629366</v>
      </c>
      <c r="G371" s="60">
        <v>2022.05</v>
      </c>
      <c r="H371" s="61" t="s">
        <v>51</v>
      </c>
      <c r="I371" s="61" t="s">
        <v>52</v>
      </c>
      <c r="J371" s="61" t="s">
        <v>154</v>
      </c>
      <c r="K371" s="59" t="s">
        <v>9</v>
      </c>
      <c r="L371" s="24">
        <v>30.0</v>
      </c>
      <c r="M371" s="62"/>
      <c r="N371" s="23">
        <v>0.0</v>
      </c>
      <c r="O371" s="23">
        <v>353.48276340000007</v>
      </c>
      <c r="P371" s="48">
        <f t="shared" si="4"/>
        <v>44742</v>
      </c>
      <c r="Q371" s="23"/>
      <c r="R371" s="25"/>
      <c r="S371" s="26">
        <v>44713.0</v>
      </c>
      <c r="T371" s="16" t="b">
        <v>1</v>
      </c>
    </row>
    <row r="372" hidden="1">
      <c r="A372" s="57" t="s">
        <v>90</v>
      </c>
      <c r="B372" s="34">
        <v>250.0</v>
      </c>
      <c r="C372" s="4" t="s">
        <v>18</v>
      </c>
      <c r="D372" s="6">
        <v>5133.0</v>
      </c>
      <c r="E372" s="7">
        <v>44712.0</v>
      </c>
      <c r="F372" s="5">
        <v>0.0</v>
      </c>
      <c r="G372" s="58">
        <v>2022.05</v>
      </c>
      <c r="H372" s="63" t="s">
        <v>51</v>
      </c>
      <c r="I372" s="63" t="s">
        <v>52</v>
      </c>
      <c r="J372" s="63" t="s">
        <v>215</v>
      </c>
      <c r="K372" s="57" t="s">
        <v>21</v>
      </c>
      <c r="L372" s="13">
        <v>30.0</v>
      </c>
      <c r="M372" s="64"/>
      <c r="N372" s="12">
        <v>0.0</v>
      </c>
      <c r="O372" s="12">
        <v>250.0</v>
      </c>
      <c r="P372" s="37">
        <f t="shared" si="4"/>
        <v>44742</v>
      </c>
      <c r="Q372" s="12"/>
      <c r="R372" s="14"/>
      <c r="S372" s="15">
        <v>44713.0</v>
      </c>
      <c r="T372" s="4" t="b">
        <v>1</v>
      </c>
    </row>
    <row r="373" hidden="1">
      <c r="A373" s="59" t="s">
        <v>97</v>
      </c>
      <c r="B373" s="35">
        <v>300.0</v>
      </c>
      <c r="C373" s="16" t="s">
        <v>18</v>
      </c>
      <c r="D373" s="18">
        <v>5134.0</v>
      </c>
      <c r="E373" s="19">
        <v>44712.0</v>
      </c>
      <c r="F373" s="17">
        <v>9.33</v>
      </c>
      <c r="G373" s="60">
        <v>2022.05</v>
      </c>
      <c r="H373" s="61" t="s">
        <v>51</v>
      </c>
      <c r="I373" s="61" t="s">
        <v>52</v>
      </c>
      <c r="J373" s="61" t="s">
        <v>98</v>
      </c>
      <c r="K373" s="59" t="s">
        <v>21</v>
      </c>
      <c r="L373" s="24">
        <v>30.0</v>
      </c>
      <c r="M373" s="62"/>
      <c r="N373" s="23">
        <v>0.0</v>
      </c>
      <c r="O373" s="23">
        <v>290.67</v>
      </c>
      <c r="P373" s="48">
        <f t="shared" si="4"/>
        <v>44742</v>
      </c>
      <c r="Q373" s="23"/>
      <c r="R373" s="25"/>
      <c r="S373" s="26">
        <v>44713.0</v>
      </c>
      <c r="T373" s="16" t="b">
        <v>1</v>
      </c>
    </row>
    <row r="374" hidden="1">
      <c r="A374" s="57" t="s">
        <v>92</v>
      </c>
      <c r="B374" s="34">
        <v>2500.0</v>
      </c>
      <c r="C374" s="4" t="s">
        <v>18</v>
      </c>
      <c r="D374" s="6">
        <v>5135.0</v>
      </c>
      <c r="E374" s="7">
        <v>44712.0</v>
      </c>
      <c r="F374" s="5">
        <v>77.78</v>
      </c>
      <c r="G374" s="58">
        <v>2022.05</v>
      </c>
      <c r="H374" s="63" t="s">
        <v>51</v>
      </c>
      <c r="I374" s="63" t="s">
        <v>52</v>
      </c>
      <c r="J374" s="63" t="s">
        <v>93</v>
      </c>
      <c r="K374" s="57" t="s">
        <v>21</v>
      </c>
      <c r="L374" s="13">
        <v>30.0</v>
      </c>
      <c r="M374" s="64"/>
      <c r="N374" s="12">
        <v>0.0</v>
      </c>
      <c r="O374" s="12">
        <v>2422.22</v>
      </c>
      <c r="P374" s="37">
        <f t="shared" si="4"/>
        <v>44742</v>
      </c>
      <c r="Q374" s="12"/>
      <c r="R374" s="14"/>
      <c r="S374" s="15">
        <v>44713.0</v>
      </c>
      <c r="T374" s="4" t="b">
        <v>1</v>
      </c>
    </row>
    <row r="375" hidden="1">
      <c r="A375" s="59" t="s">
        <v>112</v>
      </c>
      <c r="B375" s="17">
        <f>420*1.245577</f>
        <v>523.14234</v>
      </c>
      <c r="C375" s="16" t="s">
        <v>18</v>
      </c>
      <c r="D375" s="18" t="s">
        <v>440</v>
      </c>
      <c r="E375" s="19">
        <v>44712.0</v>
      </c>
      <c r="F375" s="35">
        <f>15.84*1.245577</f>
        <v>19.72993968</v>
      </c>
      <c r="G375" s="60">
        <v>2022.05</v>
      </c>
      <c r="H375" s="61" t="s">
        <v>51</v>
      </c>
      <c r="I375" s="61" t="s">
        <v>52</v>
      </c>
      <c r="J375" s="65" t="s">
        <v>441</v>
      </c>
      <c r="K375" s="59" t="s">
        <v>9</v>
      </c>
      <c r="L375" s="24">
        <v>30.0</v>
      </c>
      <c r="M375" s="62"/>
      <c r="N375" s="23">
        <v>0.0</v>
      </c>
      <c r="O375" s="23">
        <v>503.41240032</v>
      </c>
      <c r="P375" s="48">
        <f t="shared" si="4"/>
        <v>44742</v>
      </c>
      <c r="Q375" s="23"/>
      <c r="R375" s="25"/>
      <c r="S375" s="26">
        <v>44713.0</v>
      </c>
      <c r="T375" s="16" t="b">
        <v>1</v>
      </c>
    </row>
    <row r="376" hidden="1">
      <c r="A376" s="57" t="s">
        <v>123</v>
      </c>
      <c r="B376" s="34">
        <f>4500*1.214537</f>
        <v>5465.4165</v>
      </c>
      <c r="C376" s="4" t="s">
        <v>18</v>
      </c>
      <c r="D376" s="6" t="s">
        <v>442</v>
      </c>
      <c r="E376" s="7">
        <v>44712.0</v>
      </c>
      <c r="F376" s="34">
        <f>166.8*1.214537</f>
        <v>202.5847716</v>
      </c>
      <c r="G376" s="58">
        <v>2022.05</v>
      </c>
      <c r="H376" s="63" t="s">
        <v>51</v>
      </c>
      <c r="I376" s="63" t="s">
        <v>52</v>
      </c>
      <c r="J376" s="9" t="s">
        <v>443</v>
      </c>
      <c r="K376" s="57" t="s">
        <v>9</v>
      </c>
      <c r="L376" s="13">
        <v>30.0</v>
      </c>
      <c r="M376" s="64">
        <v>0.2</v>
      </c>
      <c r="N376" s="12">
        <v>1052.56634568</v>
      </c>
      <c r="O376" s="12">
        <v>4210.26538272</v>
      </c>
      <c r="P376" s="37">
        <f t="shared" si="4"/>
        <v>44742</v>
      </c>
      <c r="Q376" s="12"/>
      <c r="R376" s="14"/>
      <c r="S376" s="15">
        <v>44713.0</v>
      </c>
      <c r="T376" s="4" t="b">
        <v>1</v>
      </c>
    </row>
    <row r="377" hidden="1">
      <c r="A377" s="59" t="s">
        <v>115</v>
      </c>
      <c r="B377" s="35">
        <f t="shared" ref="B377:B378" si="8">2000*1.2570125</f>
        <v>2514.025</v>
      </c>
      <c r="C377" s="16" t="s">
        <v>18</v>
      </c>
      <c r="D377" s="18" t="s">
        <v>444</v>
      </c>
      <c r="E377" s="19">
        <v>44712.0</v>
      </c>
      <c r="F377" s="17">
        <v>0.0</v>
      </c>
      <c r="G377" s="60">
        <v>2022.05</v>
      </c>
      <c r="H377" s="61" t="s">
        <v>51</v>
      </c>
      <c r="I377" s="61" t="s">
        <v>52</v>
      </c>
      <c r="J377" s="61" t="s">
        <v>117</v>
      </c>
      <c r="K377" s="59" t="s">
        <v>9</v>
      </c>
      <c r="L377" s="24">
        <v>30.0</v>
      </c>
      <c r="M377" s="62"/>
      <c r="N377" s="23">
        <v>0.0</v>
      </c>
      <c r="O377" s="23">
        <v>2514.025</v>
      </c>
      <c r="P377" s="48">
        <f t="shared" si="4"/>
        <v>44742</v>
      </c>
      <c r="Q377" s="23"/>
      <c r="R377" s="25"/>
      <c r="S377" s="26">
        <v>44713.0</v>
      </c>
      <c r="T377" s="16" t="b">
        <v>1</v>
      </c>
    </row>
    <row r="378" hidden="1">
      <c r="A378" s="57" t="s">
        <v>118</v>
      </c>
      <c r="B378" s="34">
        <f t="shared" si="8"/>
        <v>2514.025</v>
      </c>
      <c r="C378" s="4" t="s">
        <v>18</v>
      </c>
      <c r="D378" s="6" t="s">
        <v>445</v>
      </c>
      <c r="E378" s="7">
        <v>44712.0</v>
      </c>
      <c r="F378" s="5">
        <v>0.0</v>
      </c>
      <c r="G378" s="58">
        <v>2022.05</v>
      </c>
      <c r="H378" s="63" t="s">
        <v>51</v>
      </c>
      <c r="I378" s="63" t="s">
        <v>52</v>
      </c>
      <c r="J378" s="63" t="s">
        <v>117</v>
      </c>
      <c r="K378" s="57" t="s">
        <v>9</v>
      </c>
      <c r="L378" s="13">
        <v>30.0</v>
      </c>
      <c r="M378" s="64"/>
      <c r="N378" s="12">
        <v>0.0</v>
      </c>
      <c r="O378" s="12">
        <v>2514.025</v>
      </c>
      <c r="P378" s="37">
        <f t="shared" si="4"/>
        <v>44742</v>
      </c>
      <c r="Q378" s="12"/>
      <c r="R378" s="14"/>
      <c r="S378" s="15">
        <v>44713.0</v>
      </c>
      <c r="T378" s="4" t="b">
        <v>1</v>
      </c>
    </row>
    <row r="379" hidden="1">
      <c r="A379" s="59" t="s">
        <v>73</v>
      </c>
      <c r="B379" s="35">
        <v>700.0</v>
      </c>
      <c r="C379" s="16" t="s">
        <v>18</v>
      </c>
      <c r="D379" s="18">
        <v>5136.0</v>
      </c>
      <c r="E379" s="19">
        <v>44712.0</v>
      </c>
      <c r="F379" s="17">
        <v>23.44</v>
      </c>
      <c r="G379" s="60">
        <v>2022.05</v>
      </c>
      <c r="H379" s="61" t="s">
        <v>51</v>
      </c>
      <c r="I379" s="61" t="s">
        <v>52</v>
      </c>
      <c r="J379" s="61" t="s">
        <v>74</v>
      </c>
      <c r="K379" s="59" t="s">
        <v>21</v>
      </c>
      <c r="L379" s="24">
        <v>30.0</v>
      </c>
      <c r="M379" s="62"/>
      <c r="N379" s="23">
        <v>0.0</v>
      </c>
      <c r="O379" s="23">
        <v>676.56</v>
      </c>
      <c r="P379" s="48">
        <f t="shared" si="4"/>
        <v>44742</v>
      </c>
      <c r="Q379" s="23"/>
      <c r="R379" s="25"/>
      <c r="S379" s="26">
        <v>44713.0</v>
      </c>
      <c r="T379" s="16" t="b">
        <v>1</v>
      </c>
    </row>
    <row r="380" hidden="1">
      <c r="A380" s="4" t="s">
        <v>394</v>
      </c>
      <c r="B380" s="5">
        <f>150*1.278</f>
        <v>191.7</v>
      </c>
      <c r="C380" s="4" t="s">
        <v>18</v>
      </c>
      <c r="D380" s="6" t="s">
        <v>446</v>
      </c>
      <c r="E380" s="7">
        <v>44771.0</v>
      </c>
      <c r="F380" s="5">
        <v>0.0</v>
      </c>
      <c r="G380" s="8">
        <v>2022.0</v>
      </c>
      <c r="H380" s="9" t="s">
        <v>447</v>
      </c>
      <c r="I380" s="9" t="s">
        <v>257</v>
      </c>
      <c r="J380" s="9" t="s">
        <v>448</v>
      </c>
      <c r="K380" s="4" t="s">
        <v>9</v>
      </c>
      <c r="L380" s="10">
        <v>30.0</v>
      </c>
      <c r="M380" s="54">
        <v>0.0</v>
      </c>
      <c r="N380" s="12">
        <v>0.0</v>
      </c>
      <c r="O380" s="12">
        <v>191.70000000000002</v>
      </c>
      <c r="P380" s="37">
        <f t="shared" si="4"/>
        <v>44801</v>
      </c>
      <c r="Q380" s="12">
        <v>150.0</v>
      </c>
      <c r="R380" s="14"/>
      <c r="S380" s="15">
        <v>44774.0</v>
      </c>
      <c r="T380" s="4" t="b">
        <v>1</v>
      </c>
    </row>
    <row r="381" hidden="1">
      <c r="A381" s="16" t="s">
        <v>394</v>
      </c>
      <c r="B381" s="17">
        <f>150*1.3048</f>
        <v>195.72</v>
      </c>
      <c r="C381" s="16" t="s">
        <v>18</v>
      </c>
      <c r="D381" s="18" t="s">
        <v>449</v>
      </c>
      <c r="E381" s="19">
        <v>44865.0</v>
      </c>
      <c r="F381" s="17">
        <v>0.0</v>
      </c>
      <c r="G381" s="20">
        <v>2022.0</v>
      </c>
      <c r="H381" s="21" t="s">
        <v>447</v>
      </c>
      <c r="I381" s="21" t="s">
        <v>257</v>
      </c>
      <c r="J381" s="21" t="s">
        <v>450</v>
      </c>
      <c r="K381" s="16" t="s">
        <v>9</v>
      </c>
      <c r="L381" s="22">
        <v>30.0</v>
      </c>
      <c r="M381" s="55">
        <v>0.0</v>
      </c>
      <c r="N381" s="23">
        <v>0.0</v>
      </c>
      <c r="O381" s="23">
        <v>195.72</v>
      </c>
      <c r="P381" s="48">
        <f t="shared" si="4"/>
        <v>44895</v>
      </c>
      <c r="Q381" s="23">
        <v>150.0</v>
      </c>
      <c r="R381" s="25"/>
      <c r="S381" s="26">
        <v>44866.0</v>
      </c>
      <c r="T381" s="16" t="b">
        <v>1</v>
      </c>
    </row>
    <row r="382" hidden="1">
      <c r="A382" s="4" t="s">
        <v>451</v>
      </c>
      <c r="B382" s="5">
        <f>1050*1.226953</f>
        <v>1288.30065</v>
      </c>
      <c r="C382" s="4" t="s">
        <v>18</v>
      </c>
      <c r="D382" s="6" t="s">
        <v>452</v>
      </c>
      <c r="E382" s="7">
        <v>44712.0</v>
      </c>
      <c r="F382" s="34">
        <f>39.15*1.226953</f>
        <v>48.03520995</v>
      </c>
      <c r="G382" s="8">
        <v>2022.0</v>
      </c>
      <c r="H382" s="9" t="s">
        <v>453</v>
      </c>
      <c r="I382" s="9" t="s">
        <v>19</v>
      </c>
      <c r="J382" s="9" t="s">
        <v>454</v>
      </c>
      <c r="K382" s="4" t="s">
        <v>9</v>
      </c>
      <c r="L382" s="10">
        <v>0.0</v>
      </c>
      <c r="M382" s="54">
        <v>0.0</v>
      </c>
      <c r="N382" s="12">
        <v>0.0</v>
      </c>
      <c r="O382" s="12">
        <v>1240.2654400499998</v>
      </c>
      <c r="P382" s="37">
        <f t="shared" si="4"/>
        <v>44712</v>
      </c>
      <c r="Q382" s="12">
        <v>2100.0</v>
      </c>
      <c r="R382" s="14"/>
      <c r="S382" s="15">
        <v>44743.0</v>
      </c>
      <c r="T382" s="4" t="b">
        <v>1</v>
      </c>
    </row>
    <row r="383" hidden="1">
      <c r="A383" s="16" t="s">
        <v>451</v>
      </c>
      <c r="B383" s="17">
        <f>1050*1.254307</f>
        <v>1317.02235</v>
      </c>
      <c r="C383" s="16" t="s">
        <v>18</v>
      </c>
      <c r="D383" s="18" t="s">
        <v>455</v>
      </c>
      <c r="E383" s="19">
        <v>44757.0</v>
      </c>
      <c r="F383" s="35">
        <f>39.15*1.254307</f>
        <v>49.10611905</v>
      </c>
      <c r="G383" s="20">
        <v>2022.0</v>
      </c>
      <c r="H383" s="21" t="s">
        <v>209</v>
      </c>
      <c r="I383" s="21" t="s">
        <v>45</v>
      </c>
      <c r="J383" s="21" t="s">
        <v>456</v>
      </c>
      <c r="K383" s="16" t="s">
        <v>9</v>
      </c>
      <c r="L383" s="22">
        <v>0.0</v>
      </c>
      <c r="M383" s="55">
        <v>0.0</v>
      </c>
      <c r="N383" s="23">
        <v>0.0</v>
      </c>
      <c r="O383" s="23">
        <v>1267.91623095</v>
      </c>
      <c r="P383" s="48">
        <f t="shared" si="4"/>
        <v>44757</v>
      </c>
      <c r="Q383" s="23">
        <v>2100.0</v>
      </c>
      <c r="R383" s="25"/>
      <c r="S383" s="26">
        <v>44774.0</v>
      </c>
      <c r="T383" s="16" t="b">
        <v>1</v>
      </c>
    </row>
    <row r="384" hidden="1">
      <c r="A384" s="4" t="s">
        <v>457</v>
      </c>
      <c r="B384" s="5">
        <v>450.0</v>
      </c>
      <c r="C384" s="4" t="s">
        <v>18</v>
      </c>
      <c r="D384" s="6">
        <v>5137.0</v>
      </c>
      <c r="E384" s="7">
        <v>44712.0</v>
      </c>
      <c r="F384" s="5">
        <v>0.0</v>
      </c>
      <c r="G384" s="8">
        <v>2022.0</v>
      </c>
      <c r="H384" s="9" t="s">
        <v>447</v>
      </c>
      <c r="I384" s="9" t="s">
        <v>252</v>
      </c>
      <c r="J384" s="9" t="s">
        <v>458</v>
      </c>
      <c r="K384" s="4" t="s">
        <v>21</v>
      </c>
      <c r="L384" s="10">
        <v>30.0</v>
      </c>
      <c r="M384" s="54">
        <v>0.0</v>
      </c>
      <c r="N384" s="12">
        <v>0.0</v>
      </c>
      <c r="O384" s="12">
        <v>450.0</v>
      </c>
      <c r="P384" s="37">
        <f t="shared" si="4"/>
        <v>44742</v>
      </c>
      <c r="Q384" s="12">
        <v>450.0</v>
      </c>
      <c r="R384" s="14"/>
      <c r="S384" s="15">
        <v>44743.0</v>
      </c>
      <c r="T384" s="4" t="b">
        <v>1</v>
      </c>
    </row>
    <row r="385" hidden="1">
      <c r="A385" s="16" t="s">
        <v>141</v>
      </c>
      <c r="B385" s="17">
        <v>600.0</v>
      </c>
      <c r="C385" s="16" t="s">
        <v>18</v>
      </c>
      <c r="D385" s="18">
        <v>5140.0</v>
      </c>
      <c r="E385" s="19">
        <v>44714.0</v>
      </c>
      <c r="F385" s="17">
        <v>18.67</v>
      </c>
      <c r="G385" s="20">
        <v>2022.0</v>
      </c>
      <c r="H385" s="21" t="s">
        <v>209</v>
      </c>
      <c r="I385" s="21" t="s">
        <v>459</v>
      </c>
      <c r="J385" s="21" t="s">
        <v>460</v>
      </c>
      <c r="K385" s="16" t="s">
        <v>21</v>
      </c>
      <c r="L385" s="16">
        <v>15.0</v>
      </c>
      <c r="M385" s="55">
        <v>0.0</v>
      </c>
      <c r="N385" s="23">
        <v>0.0</v>
      </c>
      <c r="O385" s="23">
        <v>581.33</v>
      </c>
      <c r="P385" s="48">
        <f t="shared" si="4"/>
        <v>44729</v>
      </c>
      <c r="Q385" s="23">
        <v>600.0</v>
      </c>
      <c r="R385" s="25"/>
      <c r="S385" s="26">
        <v>44743.0</v>
      </c>
      <c r="T385" s="16" t="b">
        <v>1</v>
      </c>
    </row>
    <row r="386" hidden="1">
      <c r="A386" s="4" t="s">
        <v>68</v>
      </c>
      <c r="B386" s="5">
        <v>650.0</v>
      </c>
      <c r="C386" s="4" t="s">
        <v>18</v>
      </c>
      <c r="D386" s="6">
        <v>5171.0</v>
      </c>
      <c r="E386" s="7">
        <v>44727.0</v>
      </c>
      <c r="F386" s="5">
        <v>20.09</v>
      </c>
      <c r="G386" s="8">
        <v>2022.06</v>
      </c>
      <c r="H386" s="9" t="s">
        <v>27</v>
      </c>
      <c r="I386" s="9" t="s">
        <v>52</v>
      </c>
      <c r="J386" s="9" t="s">
        <v>69</v>
      </c>
      <c r="K386" s="4" t="s">
        <v>21</v>
      </c>
      <c r="L386" s="10">
        <v>30.0</v>
      </c>
      <c r="M386" s="54">
        <v>0.0</v>
      </c>
      <c r="N386" s="12">
        <v>0.0</v>
      </c>
      <c r="O386" s="12">
        <v>629.91</v>
      </c>
      <c r="P386" s="37">
        <f t="shared" si="4"/>
        <v>44757</v>
      </c>
      <c r="Q386" s="12">
        <v>650.0</v>
      </c>
      <c r="R386" s="14"/>
      <c r="S386" s="15">
        <v>44743.0</v>
      </c>
      <c r="T386" s="4" t="b">
        <v>1</v>
      </c>
    </row>
    <row r="387" hidden="1">
      <c r="A387" s="16" t="s">
        <v>99</v>
      </c>
      <c r="B387" s="17">
        <f>1300*1.247517</f>
        <v>1621.7721</v>
      </c>
      <c r="C387" s="16" t="s">
        <v>18</v>
      </c>
      <c r="D387" s="18" t="s">
        <v>461</v>
      </c>
      <c r="E387" s="19">
        <v>44727.0</v>
      </c>
      <c r="F387" s="35">
        <f>48.4*1.247517</f>
        <v>60.3798228</v>
      </c>
      <c r="G387" s="20">
        <v>2022.06</v>
      </c>
      <c r="H387" s="21" t="s">
        <v>27</v>
      </c>
      <c r="I387" s="21" t="s">
        <v>52</v>
      </c>
      <c r="J387" s="21" t="s">
        <v>101</v>
      </c>
      <c r="K387" s="16" t="s">
        <v>9</v>
      </c>
      <c r="L387" s="22">
        <v>30.0</v>
      </c>
      <c r="M387" s="55">
        <v>0.2</v>
      </c>
      <c r="N387" s="23">
        <v>312.27845544</v>
      </c>
      <c r="O387" s="23">
        <v>1249.1138217599998</v>
      </c>
      <c r="P387" s="48">
        <f t="shared" si="4"/>
        <v>44757</v>
      </c>
      <c r="Q387" s="23">
        <v>1300.0</v>
      </c>
      <c r="R387" s="25"/>
      <c r="S387" s="26">
        <v>44743.0</v>
      </c>
      <c r="T387" s="16" t="b">
        <v>1</v>
      </c>
    </row>
    <row r="388" hidden="1">
      <c r="A388" s="4" t="s">
        <v>225</v>
      </c>
      <c r="B388" s="5">
        <v>5000.0</v>
      </c>
      <c r="C388" s="4" t="s">
        <v>18</v>
      </c>
      <c r="D388" s="6">
        <v>5172.0</v>
      </c>
      <c r="E388" s="7">
        <v>44727.0</v>
      </c>
      <c r="F388" s="5">
        <v>0.0</v>
      </c>
      <c r="G388" s="8">
        <v>2022.06</v>
      </c>
      <c r="H388" s="9" t="s">
        <v>27</v>
      </c>
      <c r="I388" s="9" t="s">
        <v>52</v>
      </c>
      <c r="J388" s="9" t="s">
        <v>462</v>
      </c>
      <c r="K388" s="4" t="s">
        <v>21</v>
      </c>
      <c r="L388" s="10">
        <v>30.0</v>
      </c>
      <c r="M388" s="54">
        <v>0.0</v>
      </c>
      <c r="N388" s="12">
        <v>0.0</v>
      </c>
      <c r="O388" s="12">
        <v>5000.0</v>
      </c>
      <c r="P388" s="37">
        <f t="shared" si="4"/>
        <v>44757</v>
      </c>
      <c r="Q388" s="12">
        <v>5000.0</v>
      </c>
      <c r="R388" s="14"/>
      <c r="S388" s="15">
        <v>44743.0</v>
      </c>
      <c r="T388" s="4" t="b">
        <v>1</v>
      </c>
    </row>
    <row r="389" hidden="1">
      <c r="A389" s="16" t="s">
        <v>102</v>
      </c>
      <c r="B389" s="17">
        <f>350*1.244995</f>
        <v>435.74825</v>
      </c>
      <c r="C389" s="16" t="s">
        <v>18</v>
      </c>
      <c r="D389" s="18" t="s">
        <v>463</v>
      </c>
      <c r="E389" s="19">
        <v>44727.0</v>
      </c>
      <c r="F389" s="35">
        <f>13.25*1.244995</f>
        <v>16.49618375</v>
      </c>
      <c r="G389" s="20">
        <v>2022.06</v>
      </c>
      <c r="H389" s="21" t="s">
        <v>27</v>
      </c>
      <c r="I389" s="21" t="s">
        <v>52</v>
      </c>
      <c r="J389" s="21" t="s">
        <v>104</v>
      </c>
      <c r="K389" s="16" t="s">
        <v>9</v>
      </c>
      <c r="L389" s="22">
        <v>30.0</v>
      </c>
      <c r="M389" s="55">
        <v>0.0</v>
      </c>
      <c r="N389" s="23">
        <v>0.0</v>
      </c>
      <c r="O389" s="23">
        <v>419.25206625000004</v>
      </c>
      <c r="P389" s="48">
        <f t="shared" si="4"/>
        <v>44757</v>
      </c>
      <c r="Q389" s="23">
        <v>350.0</v>
      </c>
      <c r="R389" s="25"/>
      <c r="S389" s="26">
        <v>44743.0</v>
      </c>
      <c r="T389" s="16" t="b">
        <v>1</v>
      </c>
    </row>
    <row r="390" hidden="1">
      <c r="A390" s="4" t="s">
        <v>156</v>
      </c>
      <c r="B390" s="5">
        <f>500*1.243637</f>
        <v>621.8185</v>
      </c>
      <c r="C390" s="4" t="s">
        <v>18</v>
      </c>
      <c r="D390" s="6" t="s">
        <v>464</v>
      </c>
      <c r="E390" s="7">
        <v>44727.0</v>
      </c>
      <c r="F390" s="34">
        <f>18.8*1.243637</f>
        <v>23.3803756</v>
      </c>
      <c r="G390" s="8">
        <v>2022.06</v>
      </c>
      <c r="H390" s="9" t="s">
        <v>27</v>
      </c>
      <c r="I390" s="9" t="s">
        <v>52</v>
      </c>
      <c r="J390" s="9" t="s">
        <v>158</v>
      </c>
      <c r="K390" s="4" t="s">
        <v>9</v>
      </c>
      <c r="L390" s="10">
        <v>30.0</v>
      </c>
      <c r="M390" s="54">
        <v>0.2</v>
      </c>
      <c r="N390" s="12">
        <v>119.68762488000003</v>
      </c>
      <c r="O390" s="12">
        <v>478.75049952000006</v>
      </c>
      <c r="P390" s="37">
        <f t="shared" si="4"/>
        <v>44757</v>
      </c>
      <c r="Q390" s="12">
        <v>500.0</v>
      </c>
      <c r="R390" s="14"/>
      <c r="S390" s="15">
        <v>44743.0</v>
      </c>
      <c r="T390" s="4" t="b">
        <v>1</v>
      </c>
    </row>
    <row r="391" hidden="1">
      <c r="A391" s="16" t="s">
        <v>62</v>
      </c>
      <c r="B391" s="17">
        <v>1600.0</v>
      </c>
      <c r="C391" s="16" t="s">
        <v>18</v>
      </c>
      <c r="D391" s="18">
        <v>5173.0</v>
      </c>
      <c r="E391" s="19">
        <v>44727.0</v>
      </c>
      <c r="F391" s="17">
        <v>49.78</v>
      </c>
      <c r="G391" s="20">
        <v>2022.06</v>
      </c>
      <c r="H391" s="21" t="s">
        <v>27</v>
      </c>
      <c r="I391" s="21" t="s">
        <v>52</v>
      </c>
      <c r="J391" s="21" t="s">
        <v>63</v>
      </c>
      <c r="K391" s="16" t="s">
        <v>21</v>
      </c>
      <c r="L391" s="22">
        <v>30.0</v>
      </c>
      <c r="M391" s="55">
        <v>0.0</v>
      </c>
      <c r="N391" s="23">
        <v>0.0</v>
      </c>
      <c r="O391" s="23">
        <v>1550.22</v>
      </c>
      <c r="P391" s="48">
        <f t="shared" si="4"/>
        <v>44757</v>
      </c>
      <c r="Q391" s="23">
        <v>1600.0</v>
      </c>
      <c r="R391" s="25"/>
      <c r="S391" s="26">
        <v>44743.0</v>
      </c>
      <c r="T391" s="16" t="b">
        <v>1</v>
      </c>
    </row>
    <row r="392" hidden="1">
      <c r="A392" s="4" t="s">
        <v>66</v>
      </c>
      <c r="B392" s="5">
        <v>900.0</v>
      </c>
      <c r="C392" s="4" t="s">
        <v>18</v>
      </c>
      <c r="D392" s="6">
        <v>5174.0</v>
      </c>
      <c r="E392" s="7">
        <v>44727.0</v>
      </c>
      <c r="F392" s="5">
        <v>0.0</v>
      </c>
      <c r="G392" s="8">
        <v>2022.06</v>
      </c>
      <c r="H392" s="9" t="s">
        <v>27</v>
      </c>
      <c r="I392" s="9" t="s">
        <v>52</v>
      </c>
      <c r="J392" s="9" t="s">
        <v>294</v>
      </c>
      <c r="K392" s="4" t="s">
        <v>21</v>
      </c>
      <c r="L392" s="10">
        <v>30.0</v>
      </c>
      <c r="M392" s="54">
        <v>0.0</v>
      </c>
      <c r="N392" s="12">
        <v>0.0</v>
      </c>
      <c r="O392" s="12">
        <v>900.0</v>
      </c>
      <c r="P392" s="37">
        <f t="shared" si="4"/>
        <v>44757</v>
      </c>
      <c r="Q392" s="12">
        <v>900.0</v>
      </c>
      <c r="R392" s="14"/>
      <c r="S392" s="15">
        <v>44743.0</v>
      </c>
      <c r="T392" s="4" t="b">
        <v>1</v>
      </c>
    </row>
    <row r="393" hidden="1">
      <c r="A393" s="16" t="s">
        <v>465</v>
      </c>
      <c r="B393" s="17">
        <v>500.0</v>
      </c>
      <c r="C393" s="16" t="s">
        <v>18</v>
      </c>
      <c r="D393" s="18">
        <v>5175.0</v>
      </c>
      <c r="E393" s="19">
        <v>44727.0</v>
      </c>
      <c r="F393" s="17">
        <v>0.0</v>
      </c>
      <c r="G393" s="20">
        <v>2022.06</v>
      </c>
      <c r="H393" s="21" t="s">
        <v>27</v>
      </c>
      <c r="I393" s="21" t="s">
        <v>52</v>
      </c>
      <c r="J393" s="21" t="s">
        <v>466</v>
      </c>
      <c r="K393" s="16" t="s">
        <v>21</v>
      </c>
      <c r="L393" s="22">
        <v>15.0</v>
      </c>
      <c r="M393" s="55">
        <v>0.0</v>
      </c>
      <c r="N393" s="23">
        <v>0.0</v>
      </c>
      <c r="O393" s="23">
        <v>500.0</v>
      </c>
      <c r="P393" s="48">
        <f t="shared" si="4"/>
        <v>44742</v>
      </c>
      <c r="Q393" s="23">
        <v>500.0</v>
      </c>
      <c r="R393" s="25"/>
      <c r="S393" s="26">
        <v>44743.0</v>
      </c>
      <c r="T393" s="16" t="b">
        <v>1</v>
      </c>
    </row>
    <row r="394" hidden="1">
      <c r="A394" s="4" t="s">
        <v>467</v>
      </c>
      <c r="B394" s="5">
        <f>280*1.247517</f>
        <v>349.30476</v>
      </c>
      <c r="C394" s="4" t="s">
        <v>18</v>
      </c>
      <c r="D394" s="6" t="s">
        <v>468</v>
      </c>
      <c r="E394" s="7">
        <v>44727.0</v>
      </c>
      <c r="F394" s="34">
        <f>10.66*1.247517</f>
        <v>13.29853122</v>
      </c>
      <c r="G394" s="8">
        <v>2022.06</v>
      </c>
      <c r="H394" s="9" t="s">
        <v>27</v>
      </c>
      <c r="I394" s="9" t="s">
        <v>52</v>
      </c>
      <c r="J394" s="9" t="s">
        <v>469</v>
      </c>
      <c r="K394" s="4" t="s">
        <v>9</v>
      </c>
      <c r="L394" s="10">
        <v>0.0</v>
      </c>
      <c r="M394" s="54">
        <v>0.2</v>
      </c>
      <c r="N394" s="12">
        <v>67.201245756</v>
      </c>
      <c r="O394" s="12">
        <v>268.804983024</v>
      </c>
      <c r="P394" s="37">
        <f t="shared" si="4"/>
        <v>44727</v>
      </c>
      <c r="Q394" s="12">
        <v>280.0</v>
      </c>
      <c r="R394" s="14"/>
      <c r="S394" s="15">
        <v>44743.0</v>
      </c>
      <c r="T394" s="4" t="b">
        <v>1</v>
      </c>
    </row>
    <row r="395" hidden="1">
      <c r="A395" s="16" t="s">
        <v>470</v>
      </c>
      <c r="B395" s="17">
        <f>345*1.247517</f>
        <v>430.393365</v>
      </c>
      <c r="C395" s="16" t="s">
        <v>18</v>
      </c>
      <c r="D395" s="18" t="s">
        <v>471</v>
      </c>
      <c r="E395" s="19">
        <v>44727.0</v>
      </c>
      <c r="F395" s="35">
        <f>13.07*1.247517</f>
        <v>16.30504719</v>
      </c>
      <c r="G395" s="20">
        <v>2022.0</v>
      </c>
      <c r="H395" s="21" t="s">
        <v>447</v>
      </c>
      <c r="I395" s="21" t="s">
        <v>472</v>
      </c>
      <c r="J395" s="21" t="s">
        <v>473</v>
      </c>
      <c r="K395" s="16" t="s">
        <v>9</v>
      </c>
      <c r="L395" s="22">
        <v>0.0</v>
      </c>
      <c r="M395" s="55">
        <v>0.0</v>
      </c>
      <c r="N395" s="23">
        <v>0.0</v>
      </c>
      <c r="O395" s="23">
        <v>414.08831781000004</v>
      </c>
      <c r="P395" s="48">
        <f t="shared" si="4"/>
        <v>44727</v>
      </c>
      <c r="Q395" s="23">
        <v>690.0</v>
      </c>
      <c r="R395" s="25"/>
      <c r="S395" s="26">
        <v>44743.0</v>
      </c>
      <c r="T395" s="16" t="b">
        <v>1</v>
      </c>
    </row>
    <row r="396" hidden="1">
      <c r="A396" s="4" t="s">
        <v>470</v>
      </c>
      <c r="B396" s="5">
        <f>345*1.240242</f>
        <v>427.88349</v>
      </c>
      <c r="C396" s="4" t="s">
        <v>18</v>
      </c>
      <c r="D396" s="6" t="s">
        <v>474</v>
      </c>
      <c r="E396" s="7">
        <v>44771.0</v>
      </c>
      <c r="F396" s="34">
        <f>13.02*1.240242</f>
        <v>16.14795084</v>
      </c>
      <c r="G396" s="8">
        <v>2022.0</v>
      </c>
      <c r="H396" s="9" t="s">
        <v>447</v>
      </c>
      <c r="I396" s="9" t="s">
        <v>45</v>
      </c>
      <c r="J396" s="9" t="s">
        <v>475</v>
      </c>
      <c r="K396" s="4" t="s">
        <v>9</v>
      </c>
      <c r="L396" s="10">
        <v>0.0</v>
      </c>
      <c r="M396" s="54">
        <v>0.0</v>
      </c>
      <c r="N396" s="12">
        <v>0.0</v>
      </c>
      <c r="O396" s="12">
        <v>411.73553916</v>
      </c>
      <c r="P396" s="37">
        <f t="shared" si="4"/>
        <v>44771</v>
      </c>
      <c r="Q396" s="12">
        <v>690.0</v>
      </c>
      <c r="R396" s="14"/>
      <c r="S396" s="15">
        <v>44774.0</v>
      </c>
      <c r="T396" s="4" t="b">
        <v>1</v>
      </c>
    </row>
    <row r="397" hidden="1">
      <c r="A397" s="16" t="s">
        <v>476</v>
      </c>
      <c r="B397" s="17">
        <v>1500.0</v>
      </c>
      <c r="C397" s="16" t="s">
        <v>18</v>
      </c>
      <c r="D397" s="18">
        <v>5180.0</v>
      </c>
      <c r="E397" s="19">
        <v>44742.0</v>
      </c>
      <c r="F397" s="17">
        <v>46.67</v>
      </c>
      <c r="G397" s="20">
        <v>2022.0</v>
      </c>
      <c r="H397" s="21" t="s">
        <v>447</v>
      </c>
      <c r="I397" s="21" t="s">
        <v>252</v>
      </c>
      <c r="J397" s="21" t="s">
        <v>477</v>
      </c>
      <c r="K397" s="16" t="s">
        <v>21</v>
      </c>
      <c r="L397" s="22">
        <v>30.0</v>
      </c>
      <c r="M397" s="55">
        <v>0.0</v>
      </c>
      <c r="N397" s="23">
        <v>0.0</v>
      </c>
      <c r="O397" s="23">
        <v>1453.33</v>
      </c>
      <c r="P397" s="48">
        <f t="shared" si="4"/>
        <v>44772</v>
      </c>
      <c r="Q397" s="23">
        <v>1500.0</v>
      </c>
      <c r="R397" s="25"/>
      <c r="S397" s="26">
        <v>44743.0</v>
      </c>
      <c r="T397" s="16" t="b">
        <v>1</v>
      </c>
    </row>
    <row r="398" hidden="1">
      <c r="A398" s="4" t="s">
        <v>478</v>
      </c>
      <c r="B398" s="5">
        <f>1000*1.251</f>
        <v>1251</v>
      </c>
      <c r="C398" s="4" t="s">
        <v>18</v>
      </c>
      <c r="D398" s="6" t="s">
        <v>479</v>
      </c>
      <c r="E398" s="7">
        <v>44742.0</v>
      </c>
      <c r="F398" s="5">
        <v>0.0</v>
      </c>
      <c r="G398" s="8">
        <v>2022.0</v>
      </c>
      <c r="H398" s="9" t="s">
        <v>447</v>
      </c>
      <c r="I398" s="9" t="s">
        <v>252</v>
      </c>
      <c r="J398" s="9" t="s">
        <v>480</v>
      </c>
      <c r="K398" s="4" t="s">
        <v>9</v>
      </c>
      <c r="L398" s="10">
        <v>30.0</v>
      </c>
      <c r="M398" s="54">
        <v>0.0</v>
      </c>
      <c r="N398" s="12">
        <v>0.0</v>
      </c>
      <c r="O398" s="12">
        <v>1251.0</v>
      </c>
      <c r="P398" s="37">
        <f t="shared" si="4"/>
        <v>44772</v>
      </c>
      <c r="Q398" s="12">
        <v>1000.0</v>
      </c>
      <c r="R398" s="14"/>
      <c r="S398" s="15">
        <v>44743.0</v>
      </c>
      <c r="T398" s="4" t="b">
        <v>1</v>
      </c>
    </row>
    <row r="399" hidden="1">
      <c r="A399" s="16" t="s">
        <v>481</v>
      </c>
      <c r="B399" s="17">
        <f>700*1.2492</f>
        <v>874.44</v>
      </c>
      <c r="C399" s="16" t="s">
        <v>18</v>
      </c>
      <c r="D399" s="18" t="s">
        <v>482</v>
      </c>
      <c r="E399" s="19">
        <v>44771.0</v>
      </c>
      <c r="F399" s="17">
        <v>0.0</v>
      </c>
      <c r="G399" s="20">
        <v>2022.0</v>
      </c>
      <c r="H399" s="21" t="s">
        <v>447</v>
      </c>
      <c r="I399" s="21" t="s">
        <v>52</v>
      </c>
      <c r="J399" s="21" t="s">
        <v>483</v>
      </c>
      <c r="K399" s="16" t="s">
        <v>9</v>
      </c>
      <c r="L399" s="22">
        <v>30.0</v>
      </c>
      <c r="M399" s="55">
        <v>0.0</v>
      </c>
      <c r="N399" s="23">
        <v>0.0</v>
      </c>
      <c r="O399" s="23">
        <v>874.44</v>
      </c>
      <c r="P399" s="48">
        <f t="shared" si="4"/>
        <v>44801</v>
      </c>
      <c r="Q399" s="23">
        <v>700.0</v>
      </c>
      <c r="R399" s="25"/>
      <c r="S399" s="26">
        <v>44774.0</v>
      </c>
      <c r="T399" s="16" t="b">
        <v>1</v>
      </c>
    </row>
    <row r="400" hidden="1">
      <c r="A400" s="4" t="s">
        <v>481</v>
      </c>
      <c r="B400" s="5">
        <f>700*1.3251</f>
        <v>927.57</v>
      </c>
      <c r="C400" s="4" t="s">
        <v>18</v>
      </c>
      <c r="D400" s="6" t="s">
        <v>484</v>
      </c>
      <c r="E400" s="7">
        <v>44804.0</v>
      </c>
      <c r="F400" s="5">
        <v>0.0</v>
      </c>
      <c r="G400" s="8">
        <v>2022.0</v>
      </c>
      <c r="H400" s="9" t="s">
        <v>447</v>
      </c>
      <c r="I400" s="9" t="s">
        <v>52</v>
      </c>
      <c r="J400" s="9" t="s">
        <v>483</v>
      </c>
      <c r="K400" s="4" t="s">
        <v>9</v>
      </c>
      <c r="L400" s="10">
        <v>30.0</v>
      </c>
      <c r="M400" s="54">
        <v>0.0</v>
      </c>
      <c r="N400" s="12">
        <v>0.0</v>
      </c>
      <c r="O400" s="12">
        <v>927.5699999999999</v>
      </c>
      <c r="P400" s="37">
        <f t="shared" si="4"/>
        <v>44834</v>
      </c>
      <c r="Q400" s="12">
        <v>700.0</v>
      </c>
      <c r="R400" s="14"/>
      <c r="S400" s="15">
        <v>44805.0</v>
      </c>
      <c r="T400" s="4" t="b">
        <v>1</v>
      </c>
    </row>
    <row r="401">
      <c r="A401" s="16" t="s">
        <v>481</v>
      </c>
      <c r="B401" s="17">
        <v>700.0</v>
      </c>
      <c r="C401" s="16" t="s">
        <v>47</v>
      </c>
      <c r="D401" s="44"/>
      <c r="E401" s="19">
        <v>44834.0</v>
      </c>
      <c r="F401" s="35"/>
      <c r="G401" s="20">
        <v>2022.0</v>
      </c>
      <c r="H401" s="21" t="s">
        <v>447</v>
      </c>
      <c r="I401" s="21" t="s">
        <v>52</v>
      </c>
      <c r="J401" s="21" t="s">
        <v>483</v>
      </c>
      <c r="K401" s="16" t="s">
        <v>9</v>
      </c>
      <c r="L401" s="22">
        <v>30.0</v>
      </c>
      <c r="M401" s="55">
        <v>0.0</v>
      </c>
      <c r="N401" s="23">
        <v>0.0</v>
      </c>
      <c r="O401" s="23">
        <v>700.0</v>
      </c>
      <c r="P401" s="48">
        <f t="shared" si="4"/>
        <v>44864</v>
      </c>
      <c r="Q401" s="23">
        <v>700.0</v>
      </c>
      <c r="R401" s="25"/>
      <c r="S401" s="26"/>
      <c r="T401" s="16" t="b">
        <v>1</v>
      </c>
    </row>
    <row r="402" hidden="1">
      <c r="A402" s="4" t="s">
        <v>481</v>
      </c>
      <c r="B402" s="5">
        <f>700*1.2996</f>
        <v>909.72</v>
      </c>
      <c r="C402" s="4" t="s">
        <v>18</v>
      </c>
      <c r="D402" s="6" t="s">
        <v>485</v>
      </c>
      <c r="E402" s="7">
        <v>44865.0</v>
      </c>
      <c r="F402" s="5">
        <v>0.0</v>
      </c>
      <c r="G402" s="8">
        <v>2022.0</v>
      </c>
      <c r="H402" s="9" t="s">
        <v>447</v>
      </c>
      <c r="I402" s="9" t="s">
        <v>52</v>
      </c>
      <c r="J402" s="9" t="s">
        <v>483</v>
      </c>
      <c r="K402" s="4" t="s">
        <v>9</v>
      </c>
      <c r="L402" s="10">
        <v>30.0</v>
      </c>
      <c r="M402" s="54">
        <v>0.0</v>
      </c>
      <c r="N402" s="12">
        <v>0.0</v>
      </c>
      <c r="O402" s="12">
        <v>909.72</v>
      </c>
      <c r="P402" s="37">
        <f t="shared" si="4"/>
        <v>44895</v>
      </c>
      <c r="Q402" s="12">
        <v>700.0</v>
      </c>
      <c r="R402" s="14"/>
      <c r="S402" s="15">
        <v>44866.0</v>
      </c>
      <c r="T402" s="4" t="b">
        <v>1</v>
      </c>
    </row>
    <row r="403" hidden="1">
      <c r="A403" s="16" t="s">
        <v>481</v>
      </c>
      <c r="B403" s="17">
        <f>700*1.3166</f>
        <v>921.62</v>
      </c>
      <c r="C403" s="16" t="s">
        <v>18</v>
      </c>
      <c r="D403" s="18" t="s">
        <v>486</v>
      </c>
      <c r="E403" s="19">
        <v>44895.0</v>
      </c>
      <c r="F403" s="17">
        <v>0.0</v>
      </c>
      <c r="G403" s="20">
        <v>2022.0</v>
      </c>
      <c r="H403" s="21" t="s">
        <v>447</v>
      </c>
      <c r="I403" s="21" t="s">
        <v>52</v>
      </c>
      <c r="J403" s="21" t="s">
        <v>483</v>
      </c>
      <c r="K403" s="16" t="s">
        <v>9</v>
      </c>
      <c r="L403" s="22">
        <v>30.0</v>
      </c>
      <c r="M403" s="55">
        <v>0.0</v>
      </c>
      <c r="N403" s="23">
        <v>0.0</v>
      </c>
      <c r="O403" s="23">
        <v>921.62</v>
      </c>
      <c r="P403" s="48">
        <f t="shared" si="4"/>
        <v>44925</v>
      </c>
      <c r="Q403" s="23">
        <v>700.0</v>
      </c>
      <c r="R403" s="25"/>
      <c r="S403" s="26">
        <v>44896.0</v>
      </c>
      <c r="T403" s="16" t="b">
        <v>1</v>
      </c>
    </row>
    <row r="404" hidden="1">
      <c r="A404" s="4" t="s">
        <v>481</v>
      </c>
      <c r="B404" s="5">
        <f>700*1.2981</f>
        <v>908.67</v>
      </c>
      <c r="C404" s="4" t="s">
        <v>18</v>
      </c>
      <c r="D404" s="6" t="s">
        <v>487</v>
      </c>
      <c r="E404" s="7">
        <v>44925.0</v>
      </c>
      <c r="F404" s="5">
        <v>0.0</v>
      </c>
      <c r="G404" s="8">
        <v>2022.0</v>
      </c>
      <c r="H404" s="9" t="s">
        <v>447</v>
      </c>
      <c r="I404" s="9" t="s">
        <v>52</v>
      </c>
      <c r="J404" s="9" t="s">
        <v>483</v>
      </c>
      <c r="K404" s="4" t="s">
        <v>9</v>
      </c>
      <c r="L404" s="10">
        <v>30.0</v>
      </c>
      <c r="M404" s="54">
        <v>0.0</v>
      </c>
      <c r="N404" s="12">
        <v>0.0</v>
      </c>
      <c r="O404" s="12">
        <v>908.6700000000001</v>
      </c>
      <c r="P404" s="37">
        <f t="shared" si="4"/>
        <v>44955</v>
      </c>
      <c r="Q404" s="12">
        <v>700.0</v>
      </c>
      <c r="R404" s="14"/>
      <c r="S404" s="15">
        <v>44927.0</v>
      </c>
      <c r="T404" s="4" t="b">
        <v>1</v>
      </c>
    </row>
    <row r="405" hidden="1">
      <c r="A405" s="16" t="s">
        <v>481</v>
      </c>
      <c r="B405" s="17">
        <f>700*1.3171</f>
        <v>921.97</v>
      </c>
      <c r="C405" s="16" t="s">
        <v>18</v>
      </c>
      <c r="D405" s="18" t="s">
        <v>488</v>
      </c>
      <c r="E405" s="19">
        <v>44957.0</v>
      </c>
      <c r="F405" s="17">
        <v>0.0</v>
      </c>
      <c r="G405" s="20">
        <v>2023.0</v>
      </c>
      <c r="H405" s="21" t="s">
        <v>447</v>
      </c>
      <c r="I405" s="21" t="s">
        <v>52</v>
      </c>
      <c r="J405" s="21" t="s">
        <v>483</v>
      </c>
      <c r="K405" s="16" t="s">
        <v>9</v>
      </c>
      <c r="L405" s="22">
        <v>30.0</v>
      </c>
      <c r="M405" s="55">
        <v>0.0</v>
      </c>
      <c r="N405" s="23">
        <v>0.0</v>
      </c>
      <c r="O405" s="23">
        <v>921.9699999999999</v>
      </c>
      <c r="P405" s="48">
        <f t="shared" si="4"/>
        <v>44987</v>
      </c>
      <c r="Q405" s="23">
        <v>700.0</v>
      </c>
      <c r="R405" s="25"/>
      <c r="S405" s="26">
        <v>44927.0</v>
      </c>
      <c r="T405" s="16" t="b">
        <v>1</v>
      </c>
    </row>
    <row r="406" hidden="1">
      <c r="A406" s="4" t="s">
        <v>223</v>
      </c>
      <c r="B406" s="5">
        <v>800.0</v>
      </c>
      <c r="C406" s="4" t="s">
        <v>18</v>
      </c>
      <c r="D406" s="6">
        <v>5181.0</v>
      </c>
      <c r="E406" s="7">
        <v>44742.0</v>
      </c>
      <c r="F406" s="5">
        <v>24.89</v>
      </c>
      <c r="G406" s="8">
        <v>2022.06</v>
      </c>
      <c r="H406" s="9" t="s">
        <v>51</v>
      </c>
      <c r="I406" s="9" t="s">
        <v>52</v>
      </c>
      <c r="J406" s="9" t="s">
        <v>247</v>
      </c>
      <c r="K406" s="4" t="s">
        <v>21</v>
      </c>
      <c r="L406" s="10">
        <v>30.0</v>
      </c>
      <c r="M406" s="54">
        <v>0.0</v>
      </c>
      <c r="N406" s="12">
        <v>0.0</v>
      </c>
      <c r="O406" s="12">
        <v>775.11</v>
      </c>
      <c r="P406" s="37">
        <f t="shared" si="4"/>
        <v>44772</v>
      </c>
      <c r="Q406" s="12">
        <v>800.0</v>
      </c>
      <c r="R406" s="14"/>
      <c r="S406" s="15">
        <v>44743.0</v>
      </c>
      <c r="T406" s="4" t="b">
        <v>1</v>
      </c>
    </row>
    <row r="407" hidden="1">
      <c r="A407" s="16" t="s">
        <v>54</v>
      </c>
      <c r="B407" s="17">
        <v>750.0</v>
      </c>
      <c r="C407" s="16" t="s">
        <v>18</v>
      </c>
      <c r="D407" s="18">
        <v>5182.0</v>
      </c>
      <c r="E407" s="19">
        <v>44742.0</v>
      </c>
      <c r="F407" s="17">
        <v>23.33</v>
      </c>
      <c r="G407" s="20">
        <v>2022.06</v>
      </c>
      <c r="H407" s="21" t="s">
        <v>51</v>
      </c>
      <c r="I407" s="21" t="s">
        <v>52</v>
      </c>
      <c r="J407" s="21" t="s">
        <v>55</v>
      </c>
      <c r="K407" s="16" t="s">
        <v>21</v>
      </c>
      <c r="L407" s="22">
        <v>30.0</v>
      </c>
      <c r="M407" s="55">
        <v>0.0</v>
      </c>
      <c r="N407" s="23">
        <v>0.0</v>
      </c>
      <c r="O407" s="23">
        <v>726.67</v>
      </c>
      <c r="P407" s="48">
        <f t="shared" si="4"/>
        <v>44772</v>
      </c>
      <c r="Q407" s="23">
        <v>750.0</v>
      </c>
      <c r="R407" s="25"/>
      <c r="S407" s="26">
        <v>44774.0</v>
      </c>
      <c r="T407" s="16" t="b">
        <v>1</v>
      </c>
    </row>
    <row r="408" hidden="1">
      <c r="A408" s="4" t="s">
        <v>147</v>
      </c>
      <c r="B408" s="5">
        <v>900.0</v>
      </c>
      <c r="C408" s="4" t="s">
        <v>18</v>
      </c>
      <c r="D408" s="6">
        <v>5183.0</v>
      </c>
      <c r="E408" s="7">
        <v>44742.0</v>
      </c>
      <c r="F408" s="5">
        <v>0.0</v>
      </c>
      <c r="G408" s="8">
        <v>2022.06</v>
      </c>
      <c r="H408" s="9" t="s">
        <v>51</v>
      </c>
      <c r="I408" s="9" t="s">
        <v>52</v>
      </c>
      <c r="J408" s="9" t="s">
        <v>489</v>
      </c>
      <c r="K408" s="4" t="s">
        <v>21</v>
      </c>
      <c r="L408" s="10">
        <v>30.0</v>
      </c>
      <c r="M408" s="54">
        <v>0.0</v>
      </c>
      <c r="N408" s="12">
        <v>0.0</v>
      </c>
      <c r="O408" s="12">
        <v>900.0</v>
      </c>
      <c r="P408" s="37">
        <f t="shared" si="4"/>
        <v>44772</v>
      </c>
      <c r="Q408" s="12">
        <v>900.0</v>
      </c>
      <c r="R408" s="14"/>
      <c r="S408" s="15">
        <v>44743.0</v>
      </c>
      <c r="T408" s="4" t="b">
        <v>1</v>
      </c>
    </row>
    <row r="409" hidden="1">
      <c r="A409" s="16" t="s">
        <v>58</v>
      </c>
      <c r="B409" s="17">
        <v>1550.0</v>
      </c>
      <c r="C409" s="16" t="s">
        <v>18</v>
      </c>
      <c r="D409" s="18">
        <v>5184.0</v>
      </c>
      <c r="E409" s="19">
        <v>44742.0</v>
      </c>
      <c r="F409" s="17">
        <v>48.22</v>
      </c>
      <c r="G409" s="20">
        <v>2022.06</v>
      </c>
      <c r="H409" s="21" t="s">
        <v>51</v>
      </c>
      <c r="I409" s="21" t="s">
        <v>52</v>
      </c>
      <c r="J409" s="21" t="s">
        <v>59</v>
      </c>
      <c r="K409" s="16" t="s">
        <v>21</v>
      </c>
      <c r="L409" s="22">
        <v>30.0</v>
      </c>
      <c r="M409" s="55">
        <v>0.0</v>
      </c>
      <c r="N409" s="23">
        <v>0.0</v>
      </c>
      <c r="O409" s="23">
        <v>1501.78</v>
      </c>
      <c r="P409" s="48">
        <f t="shared" si="4"/>
        <v>44772</v>
      </c>
      <c r="Q409" s="23">
        <v>1550.0</v>
      </c>
      <c r="R409" s="25"/>
      <c r="S409" s="26">
        <v>44743.0</v>
      </c>
      <c r="T409" s="16" t="b">
        <v>1</v>
      </c>
    </row>
    <row r="410" hidden="1">
      <c r="A410" s="4" t="s">
        <v>120</v>
      </c>
      <c r="B410" s="5">
        <f>1500*1.247808</f>
        <v>1871.712</v>
      </c>
      <c r="C410" s="4" t="s">
        <v>18</v>
      </c>
      <c r="D410" s="6" t="s">
        <v>490</v>
      </c>
      <c r="E410" s="7">
        <v>44742.0</v>
      </c>
      <c r="F410" s="34">
        <f>55.8*1.247808</f>
        <v>69.6276864</v>
      </c>
      <c r="G410" s="8">
        <v>2022.06</v>
      </c>
      <c r="H410" s="9" t="s">
        <v>51</v>
      </c>
      <c r="I410" s="9" t="s">
        <v>52</v>
      </c>
      <c r="J410" s="9" t="s">
        <v>364</v>
      </c>
      <c r="K410" s="4" t="s">
        <v>9</v>
      </c>
      <c r="L410" s="10">
        <v>30.0</v>
      </c>
      <c r="M410" s="54">
        <v>0.2</v>
      </c>
      <c r="N410" s="12">
        <v>360.41686272000004</v>
      </c>
      <c r="O410" s="12">
        <v>1441.6674508800002</v>
      </c>
      <c r="P410" s="37">
        <f t="shared" si="4"/>
        <v>44772</v>
      </c>
      <c r="Q410" s="12">
        <v>1500.0</v>
      </c>
      <c r="R410" s="14"/>
      <c r="S410" s="15">
        <v>44743.0</v>
      </c>
      <c r="T410" s="4" t="b">
        <v>1</v>
      </c>
    </row>
    <row r="411" hidden="1">
      <c r="A411" s="16" t="s">
        <v>84</v>
      </c>
      <c r="B411" s="17">
        <v>1000.0</v>
      </c>
      <c r="C411" s="16" t="s">
        <v>18</v>
      </c>
      <c r="D411" s="18">
        <v>5185.0</v>
      </c>
      <c r="E411" s="19">
        <v>44742.0</v>
      </c>
      <c r="F411" s="17">
        <v>0.0</v>
      </c>
      <c r="G411" s="20">
        <v>2022.06</v>
      </c>
      <c r="H411" s="21" t="s">
        <v>51</v>
      </c>
      <c r="I411" s="21" t="s">
        <v>52</v>
      </c>
      <c r="J411" s="21" t="s">
        <v>85</v>
      </c>
      <c r="K411" s="16" t="s">
        <v>21</v>
      </c>
      <c r="L411" s="22">
        <v>30.0</v>
      </c>
      <c r="M411" s="55">
        <v>0.0</v>
      </c>
      <c r="N411" s="23">
        <v>0.0</v>
      </c>
      <c r="O411" s="23">
        <v>1000.0</v>
      </c>
      <c r="P411" s="48">
        <f t="shared" si="4"/>
        <v>44772</v>
      </c>
      <c r="Q411" s="23">
        <v>1000.0</v>
      </c>
      <c r="R411" s="25"/>
      <c r="S411" s="26">
        <v>44743.0</v>
      </c>
      <c r="T411" s="16" t="b">
        <v>1</v>
      </c>
    </row>
    <row r="412" hidden="1">
      <c r="A412" s="4" t="s">
        <v>86</v>
      </c>
      <c r="B412" s="5">
        <v>150.0</v>
      </c>
      <c r="C412" s="4" t="s">
        <v>18</v>
      </c>
      <c r="D412" s="6">
        <v>5186.0</v>
      </c>
      <c r="E412" s="7">
        <v>44742.0</v>
      </c>
      <c r="F412" s="5">
        <v>6.13</v>
      </c>
      <c r="G412" s="8">
        <v>2022.06</v>
      </c>
      <c r="H412" s="9" t="s">
        <v>51</v>
      </c>
      <c r="I412" s="9" t="s">
        <v>52</v>
      </c>
      <c r="J412" s="9" t="s">
        <v>87</v>
      </c>
      <c r="K412" s="4" t="s">
        <v>21</v>
      </c>
      <c r="L412" s="10">
        <v>30.0</v>
      </c>
      <c r="M412" s="54">
        <v>0.0</v>
      </c>
      <c r="N412" s="12">
        <v>0.0</v>
      </c>
      <c r="O412" s="12">
        <v>143.87</v>
      </c>
      <c r="P412" s="37">
        <f t="shared" si="4"/>
        <v>44772</v>
      </c>
      <c r="Q412" s="12">
        <v>550.0</v>
      </c>
      <c r="R412" s="14"/>
      <c r="S412" s="15">
        <v>44743.0</v>
      </c>
      <c r="T412" s="4" t="b">
        <v>1</v>
      </c>
    </row>
    <row r="413" hidden="1">
      <c r="A413" s="16" t="s">
        <v>42</v>
      </c>
      <c r="B413" s="17">
        <v>1500.0</v>
      </c>
      <c r="C413" s="16" t="s">
        <v>18</v>
      </c>
      <c r="D413" s="18">
        <v>5187.0</v>
      </c>
      <c r="E413" s="19">
        <v>44742.0</v>
      </c>
      <c r="F413" s="17">
        <v>46.67</v>
      </c>
      <c r="G413" s="20">
        <v>2022.06</v>
      </c>
      <c r="H413" s="21" t="s">
        <v>51</v>
      </c>
      <c r="I413" s="21" t="s">
        <v>52</v>
      </c>
      <c r="J413" s="21" t="s">
        <v>43</v>
      </c>
      <c r="K413" s="16" t="s">
        <v>21</v>
      </c>
      <c r="L413" s="22">
        <v>30.0</v>
      </c>
      <c r="M413" s="55">
        <v>0.15</v>
      </c>
      <c r="N413" s="23">
        <v>217.99949999999998</v>
      </c>
      <c r="O413" s="23">
        <v>1235.3305</v>
      </c>
      <c r="P413" s="48">
        <f t="shared" si="4"/>
        <v>44772</v>
      </c>
      <c r="Q413" s="23">
        <v>1500.0</v>
      </c>
      <c r="R413" s="25"/>
      <c r="S413" s="26">
        <v>44743.0</v>
      </c>
      <c r="T413" s="16" t="b">
        <v>1</v>
      </c>
    </row>
    <row r="414" hidden="1">
      <c r="A414" s="4" t="s">
        <v>82</v>
      </c>
      <c r="B414" s="5">
        <v>800.0</v>
      </c>
      <c r="C414" s="4" t="s">
        <v>18</v>
      </c>
      <c r="D414" s="6">
        <v>5188.0</v>
      </c>
      <c r="E414" s="7">
        <v>44742.0</v>
      </c>
      <c r="F414" s="5">
        <v>0.0</v>
      </c>
      <c r="G414" s="8">
        <v>2022.06</v>
      </c>
      <c r="H414" s="9" t="s">
        <v>51</v>
      </c>
      <c r="I414" s="9" t="s">
        <v>52</v>
      </c>
      <c r="J414" s="9" t="s">
        <v>83</v>
      </c>
      <c r="K414" s="4" t="s">
        <v>21</v>
      </c>
      <c r="L414" s="10">
        <v>30.0</v>
      </c>
      <c r="M414" s="54">
        <v>0.0</v>
      </c>
      <c r="N414" s="12">
        <v>0.0</v>
      </c>
      <c r="O414" s="12">
        <v>800.0</v>
      </c>
      <c r="P414" s="37">
        <f t="shared" si="4"/>
        <v>44772</v>
      </c>
      <c r="Q414" s="12">
        <v>800.0</v>
      </c>
      <c r="R414" s="14"/>
      <c r="S414" s="15">
        <v>44743.0</v>
      </c>
      <c r="T414" s="4" t="b">
        <v>1</v>
      </c>
    </row>
    <row r="415" hidden="1">
      <c r="A415" s="16" t="s">
        <v>88</v>
      </c>
      <c r="B415" s="17">
        <v>500.0</v>
      </c>
      <c r="C415" s="16" t="s">
        <v>18</v>
      </c>
      <c r="D415" s="18">
        <v>5189.0</v>
      </c>
      <c r="E415" s="19">
        <v>44742.0</v>
      </c>
      <c r="F415" s="17">
        <v>15.53</v>
      </c>
      <c r="G415" s="20">
        <v>2022.06</v>
      </c>
      <c r="H415" s="21" t="s">
        <v>51</v>
      </c>
      <c r="I415" s="21" t="s">
        <v>52</v>
      </c>
      <c r="J415" s="21" t="s">
        <v>89</v>
      </c>
      <c r="K415" s="16" t="s">
        <v>21</v>
      </c>
      <c r="L415" s="22">
        <v>30.0</v>
      </c>
      <c r="M415" s="55">
        <v>0.0</v>
      </c>
      <c r="N415" s="23">
        <v>0.0</v>
      </c>
      <c r="O415" s="23">
        <v>484.47</v>
      </c>
      <c r="P415" s="48">
        <f t="shared" si="4"/>
        <v>44772</v>
      </c>
      <c r="Q415" s="23">
        <v>500.0</v>
      </c>
      <c r="R415" s="25"/>
      <c r="S415" s="26">
        <v>44743.0</v>
      </c>
      <c r="T415" s="16" t="b">
        <v>1</v>
      </c>
    </row>
    <row r="416" hidden="1">
      <c r="A416" s="4" t="s">
        <v>151</v>
      </c>
      <c r="B416" s="5">
        <f>650*1.243637</f>
        <v>808.36405</v>
      </c>
      <c r="C416" s="4" t="s">
        <v>18</v>
      </c>
      <c r="D416" s="6" t="s">
        <v>491</v>
      </c>
      <c r="E416" s="7">
        <v>44742.0</v>
      </c>
      <c r="F416" s="34">
        <f>24.13*1.243637</f>
        <v>30.00896081</v>
      </c>
      <c r="G416" s="8">
        <v>2022.06</v>
      </c>
      <c r="H416" s="9" t="s">
        <v>51</v>
      </c>
      <c r="I416" s="9" t="s">
        <v>52</v>
      </c>
      <c r="J416" s="9" t="s">
        <v>122</v>
      </c>
      <c r="K416" s="4" t="s">
        <v>9</v>
      </c>
      <c r="L416" s="10">
        <v>30.0</v>
      </c>
      <c r="M416" s="54">
        <v>0.0</v>
      </c>
      <c r="N416" s="12">
        <v>0.0</v>
      </c>
      <c r="O416" s="12">
        <v>778.3550891900001</v>
      </c>
      <c r="P416" s="37">
        <f t="shared" si="4"/>
        <v>44772</v>
      </c>
      <c r="Q416" s="12">
        <v>650.0</v>
      </c>
      <c r="R416" s="14"/>
      <c r="S416" s="15">
        <v>44743.0</v>
      </c>
      <c r="T416" s="4" t="b">
        <v>1</v>
      </c>
    </row>
    <row r="417" hidden="1">
      <c r="A417" s="16" t="s">
        <v>50</v>
      </c>
      <c r="B417" s="17">
        <v>375.0</v>
      </c>
      <c r="C417" s="16" t="s">
        <v>18</v>
      </c>
      <c r="D417" s="18">
        <v>5190.0</v>
      </c>
      <c r="E417" s="19">
        <v>44742.0</v>
      </c>
      <c r="F417" s="17">
        <v>0.0</v>
      </c>
      <c r="G417" s="20">
        <v>2022.06</v>
      </c>
      <c r="H417" s="21" t="s">
        <v>51</v>
      </c>
      <c r="I417" s="21" t="s">
        <v>52</v>
      </c>
      <c r="J417" s="21" t="s">
        <v>400</v>
      </c>
      <c r="K417" s="16" t="s">
        <v>21</v>
      </c>
      <c r="L417" s="22">
        <v>30.0</v>
      </c>
      <c r="M417" s="55">
        <v>0.0</v>
      </c>
      <c r="N417" s="23">
        <v>0.0</v>
      </c>
      <c r="O417" s="23">
        <v>375.0</v>
      </c>
      <c r="P417" s="48">
        <f t="shared" si="4"/>
        <v>44772</v>
      </c>
      <c r="Q417" s="23">
        <v>375.0</v>
      </c>
      <c r="R417" s="25"/>
      <c r="S417" s="26">
        <v>44743.0</v>
      </c>
      <c r="T417" s="16" t="b">
        <v>1</v>
      </c>
    </row>
    <row r="418" hidden="1">
      <c r="A418" s="4" t="s">
        <v>75</v>
      </c>
      <c r="B418" s="5">
        <v>500.0</v>
      </c>
      <c r="C418" s="4" t="s">
        <v>18</v>
      </c>
      <c r="D418" s="6">
        <v>5191.0</v>
      </c>
      <c r="E418" s="7">
        <v>44742.0</v>
      </c>
      <c r="F418" s="5">
        <v>0.0</v>
      </c>
      <c r="G418" s="8">
        <v>2022.06</v>
      </c>
      <c r="H418" s="9" t="s">
        <v>51</v>
      </c>
      <c r="I418" s="9" t="s">
        <v>52</v>
      </c>
      <c r="J418" s="9" t="s">
        <v>76</v>
      </c>
      <c r="K418" s="4" t="s">
        <v>21</v>
      </c>
      <c r="L418" s="10">
        <v>30.0</v>
      </c>
      <c r="M418" s="54">
        <v>0.0</v>
      </c>
      <c r="N418" s="12">
        <v>0.0</v>
      </c>
      <c r="O418" s="12">
        <v>500.0</v>
      </c>
      <c r="P418" s="37">
        <f t="shared" si="4"/>
        <v>44772</v>
      </c>
      <c r="Q418" s="12">
        <v>500.0</v>
      </c>
      <c r="R418" s="14"/>
      <c r="S418" s="15">
        <v>44743.0</v>
      </c>
      <c r="T418" s="4" t="b">
        <v>1</v>
      </c>
    </row>
    <row r="419" hidden="1">
      <c r="A419" s="16" t="s">
        <v>105</v>
      </c>
      <c r="B419" s="17">
        <f>300*1.247808</f>
        <v>374.3424</v>
      </c>
      <c r="C419" s="16" t="s">
        <v>18</v>
      </c>
      <c r="D419" s="18" t="s">
        <v>492</v>
      </c>
      <c r="E419" s="19">
        <v>44742.0</v>
      </c>
      <c r="F419" s="35">
        <f>11.4*1.247808</f>
        <v>14.2250112</v>
      </c>
      <c r="G419" s="20">
        <v>2022.06</v>
      </c>
      <c r="H419" s="21" t="s">
        <v>51</v>
      </c>
      <c r="I419" s="21" t="s">
        <v>52</v>
      </c>
      <c r="J419" s="21" t="s">
        <v>154</v>
      </c>
      <c r="K419" s="16" t="s">
        <v>9</v>
      </c>
      <c r="L419" s="22">
        <v>30.0</v>
      </c>
      <c r="M419" s="55">
        <v>0.0</v>
      </c>
      <c r="N419" s="23">
        <v>0.0</v>
      </c>
      <c r="O419" s="23">
        <v>360.1173888</v>
      </c>
      <c r="P419" s="48">
        <f t="shared" si="4"/>
        <v>44772</v>
      </c>
      <c r="Q419" s="23">
        <v>300.0</v>
      </c>
      <c r="R419" s="25"/>
      <c r="S419" s="26">
        <v>44743.0</v>
      </c>
      <c r="T419" s="16" t="b">
        <v>1</v>
      </c>
    </row>
    <row r="420" hidden="1">
      <c r="A420" s="4" t="s">
        <v>90</v>
      </c>
      <c r="B420" s="5">
        <v>250.0</v>
      </c>
      <c r="C420" s="4" t="s">
        <v>18</v>
      </c>
      <c r="D420" s="6">
        <v>5192.0</v>
      </c>
      <c r="E420" s="7">
        <v>44742.0</v>
      </c>
      <c r="F420" s="5">
        <v>0.0</v>
      </c>
      <c r="G420" s="8">
        <v>2022.06</v>
      </c>
      <c r="H420" s="9" t="s">
        <v>51</v>
      </c>
      <c r="I420" s="9" t="s">
        <v>52</v>
      </c>
      <c r="J420" s="9" t="s">
        <v>215</v>
      </c>
      <c r="K420" s="4" t="s">
        <v>21</v>
      </c>
      <c r="L420" s="10">
        <v>30.0</v>
      </c>
      <c r="M420" s="54">
        <v>0.0</v>
      </c>
      <c r="N420" s="12">
        <v>0.0</v>
      </c>
      <c r="O420" s="12">
        <v>250.0</v>
      </c>
      <c r="P420" s="37">
        <f t="shared" si="4"/>
        <v>44772</v>
      </c>
      <c r="Q420" s="12">
        <v>250.0</v>
      </c>
      <c r="R420" s="14"/>
      <c r="S420" s="15">
        <v>44743.0</v>
      </c>
      <c r="T420" s="4" t="b">
        <v>1</v>
      </c>
    </row>
    <row r="421" hidden="1">
      <c r="A421" s="16" t="s">
        <v>97</v>
      </c>
      <c r="B421" s="17">
        <v>300.0</v>
      </c>
      <c r="C421" s="16" t="s">
        <v>18</v>
      </c>
      <c r="D421" s="18">
        <v>5193.0</v>
      </c>
      <c r="E421" s="19">
        <v>44742.0</v>
      </c>
      <c r="F421" s="17">
        <v>9.33</v>
      </c>
      <c r="G421" s="20">
        <v>2022.06</v>
      </c>
      <c r="H421" s="21" t="s">
        <v>51</v>
      </c>
      <c r="I421" s="21" t="s">
        <v>52</v>
      </c>
      <c r="J421" s="21" t="s">
        <v>98</v>
      </c>
      <c r="K421" s="16" t="s">
        <v>21</v>
      </c>
      <c r="L421" s="22">
        <v>30.0</v>
      </c>
      <c r="M421" s="55">
        <v>0.0</v>
      </c>
      <c r="N421" s="23">
        <v>0.0</v>
      </c>
      <c r="O421" s="23">
        <v>290.67</v>
      </c>
      <c r="P421" s="48">
        <f t="shared" si="4"/>
        <v>44772</v>
      </c>
      <c r="Q421" s="23">
        <v>300.0</v>
      </c>
      <c r="R421" s="25"/>
      <c r="S421" s="26">
        <v>44743.0</v>
      </c>
      <c r="T421" s="16" t="b">
        <v>1</v>
      </c>
    </row>
    <row r="422" hidden="1">
      <c r="A422" s="4" t="s">
        <v>92</v>
      </c>
      <c r="B422" s="5">
        <v>2500.0</v>
      </c>
      <c r="C422" s="4" t="s">
        <v>18</v>
      </c>
      <c r="D422" s="6">
        <v>5194.0</v>
      </c>
      <c r="E422" s="7">
        <v>44742.0</v>
      </c>
      <c r="F422" s="5">
        <v>77.78</v>
      </c>
      <c r="G422" s="8">
        <v>2022.06</v>
      </c>
      <c r="H422" s="9" t="s">
        <v>51</v>
      </c>
      <c r="I422" s="9" t="s">
        <v>52</v>
      </c>
      <c r="J422" s="9" t="s">
        <v>93</v>
      </c>
      <c r="K422" s="4" t="s">
        <v>21</v>
      </c>
      <c r="L422" s="10">
        <v>30.0</v>
      </c>
      <c r="M422" s="54">
        <v>0.0</v>
      </c>
      <c r="N422" s="12">
        <v>0.0</v>
      </c>
      <c r="O422" s="12">
        <v>2422.22</v>
      </c>
      <c r="P422" s="37">
        <f t="shared" si="4"/>
        <v>44772</v>
      </c>
      <c r="Q422" s="12">
        <v>2500.0</v>
      </c>
      <c r="R422" s="14"/>
      <c r="S422" s="15">
        <v>44743.0</v>
      </c>
      <c r="T422" s="4" t="b">
        <v>1</v>
      </c>
    </row>
    <row r="423" hidden="1">
      <c r="A423" s="36" t="s">
        <v>493</v>
      </c>
      <c r="B423" s="17">
        <f>720*1.245577</f>
        <v>896.81544</v>
      </c>
      <c r="C423" s="16" t="s">
        <v>18</v>
      </c>
      <c r="D423" s="18" t="s">
        <v>494</v>
      </c>
      <c r="E423" s="19">
        <v>44742.0</v>
      </c>
      <c r="F423" s="35">
        <f>26.94*1.245577</f>
        <v>33.55584438</v>
      </c>
      <c r="G423" s="20">
        <v>2022.06</v>
      </c>
      <c r="H423" s="21" t="s">
        <v>51</v>
      </c>
      <c r="I423" s="21" t="s">
        <v>52</v>
      </c>
      <c r="J423" s="21" t="s">
        <v>114</v>
      </c>
      <c r="K423" s="16" t="s">
        <v>9</v>
      </c>
      <c r="L423" s="22">
        <v>30.0</v>
      </c>
      <c r="M423" s="55">
        <v>0.0</v>
      </c>
      <c r="N423" s="23">
        <v>0.0</v>
      </c>
      <c r="O423" s="23">
        <v>863.25959562</v>
      </c>
      <c r="P423" s="48">
        <f t="shared" si="4"/>
        <v>44772</v>
      </c>
      <c r="Q423" s="23">
        <v>350.0</v>
      </c>
      <c r="R423" s="25"/>
      <c r="S423" s="26">
        <v>44743.0</v>
      </c>
      <c r="T423" s="16" t="b">
        <v>1</v>
      </c>
    </row>
    <row r="424" hidden="1">
      <c r="A424" s="4" t="s">
        <v>123</v>
      </c>
      <c r="B424" s="5">
        <f>4500*1.247323</f>
        <v>5612.9535</v>
      </c>
      <c r="C424" s="4" t="s">
        <v>18</v>
      </c>
      <c r="D424" s="6" t="s">
        <v>495</v>
      </c>
      <c r="E424" s="7">
        <v>44742.0</v>
      </c>
      <c r="F424" s="34">
        <f>166.8*1.247323</f>
        <v>208.0534764</v>
      </c>
      <c r="G424" s="8">
        <v>2022.06</v>
      </c>
      <c r="H424" s="9" t="s">
        <v>51</v>
      </c>
      <c r="I424" s="9" t="s">
        <v>52</v>
      </c>
      <c r="J424" s="9" t="s">
        <v>496</v>
      </c>
      <c r="K424" s="4" t="s">
        <v>9</v>
      </c>
      <c r="L424" s="10">
        <v>30.0</v>
      </c>
      <c r="M424" s="54">
        <v>0.2</v>
      </c>
      <c r="N424" s="12">
        <v>1080.98000472</v>
      </c>
      <c r="O424" s="12">
        <v>4323.92001888</v>
      </c>
      <c r="P424" s="37">
        <f t="shared" si="4"/>
        <v>44772</v>
      </c>
      <c r="Q424" s="12">
        <v>4500.0</v>
      </c>
      <c r="R424" s="14"/>
      <c r="S424" s="15">
        <v>44743.0</v>
      </c>
      <c r="T424" s="4" t="b">
        <v>1</v>
      </c>
    </row>
    <row r="425" hidden="1">
      <c r="A425" s="16" t="s">
        <v>115</v>
      </c>
      <c r="B425" s="35">
        <f t="shared" ref="B425:B426" si="9">2000*1.2570125</f>
        <v>2514.025</v>
      </c>
      <c r="C425" s="16" t="s">
        <v>18</v>
      </c>
      <c r="D425" s="18" t="s">
        <v>497</v>
      </c>
      <c r="E425" s="19">
        <v>44742.0</v>
      </c>
      <c r="F425" s="17">
        <v>0.0</v>
      </c>
      <c r="G425" s="20">
        <v>2022.06</v>
      </c>
      <c r="H425" s="21" t="s">
        <v>51</v>
      </c>
      <c r="I425" s="21" t="s">
        <v>52</v>
      </c>
      <c r="J425" s="21" t="s">
        <v>117</v>
      </c>
      <c r="K425" s="16" t="s">
        <v>9</v>
      </c>
      <c r="L425" s="22">
        <v>30.0</v>
      </c>
      <c r="M425" s="55">
        <v>0.0</v>
      </c>
      <c r="N425" s="23">
        <v>0.0</v>
      </c>
      <c r="O425" s="23">
        <v>2514.025</v>
      </c>
      <c r="P425" s="48">
        <f t="shared" si="4"/>
        <v>44772</v>
      </c>
      <c r="Q425" s="23">
        <v>2000.0</v>
      </c>
      <c r="R425" s="25"/>
      <c r="S425" s="26">
        <v>44743.0</v>
      </c>
      <c r="T425" s="16" t="b">
        <v>1</v>
      </c>
    </row>
    <row r="426" hidden="1">
      <c r="A426" s="4" t="s">
        <v>118</v>
      </c>
      <c r="B426" s="34">
        <f t="shared" si="9"/>
        <v>2514.025</v>
      </c>
      <c r="C426" s="4" t="s">
        <v>18</v>
      </c>
      <c r="D426" s="6" t="s">
        <v>498</v>
      </c>
      <c r="E426" s="7">
        <v>44742.0</v>
      </c>
      <c r="F426" s="5">
        <v>0.0</v>
      </c>
      <c r="G426" s="8">
        <v>2022.06</v>
      </c>
      <c r="H426" s="9" t="s">
        <v>51</v>
      </c>
      <c r="I426" s="9" t="s">
        <v>52</v>
      </c>
      <c r="J426" s="9" t="s">
        <v>117</v>
      </c>
      <c r="K426" s="4" t="s">
        <v>9</v>
      </c>
      <c r="L426" s="10">
        <v>30.0</v>
      </c>
      <c r="M426" s="54">
        <v>0.0</v>
      </c>
      <c r="N426" s="12">
        <v>0.0</v>
      </c>
      <c r="O426" s="12">
        <v>2514.025</v>
      </c>
      <c r="P426" s="37">
        <f t="shared" si="4"/>
        <v>44772</v>
      </c>
      <c r="Q426" s="12">
        <v>2000.0</v>
      </c>
      <c r="R426" s="14"/>
      <c r="S426" s="15">
        <v>44743.0</v>
      </c>
      <c r="T426" s="4" t="b">
        <v>1</v>
      </c>
    </row>
    <row r="427" hidden="1">
      <c r="A427" s="16" t="s">
        <v>73</v>
      </c>
      <c r="B427" s="17">
        <v>700.0</v>
      </c>
      <c r="C427" s="16" t="s">
        <v>18</v>
      </c>
      <c r="D427" s="18">
        <v>5195.0</v>
      </c>
      <c r="E427" s="19">
        <v>44742.0</v>
      </c>
      <c r="F427" s="17">
        <v>0.0</v>
      </c>
      <c r="G427" s="20">
        <v>2022.06</v>
      </c>
      <c r="H427" s="21" t="s">
        <v>51</v>
      </c>
      <c r="I427" s="21" t="s">
        <v>52</v>
      </c>
      <c r="J427" s="21" t="s">
        <v>74</v>
      </c>
      <c r="K427" s="16" t="s">
        <v>21</v>
      </c>
      <c r="L427" s="22">
        <v>30.0</v>
      </c>
      <c r="M427" s="55">
        <v>0.0</v>
      </c>
      <c r="N427" s="23">
        <v>0.0</v>
      </c>
      <c r="O427" s="23">
        <v>700.0</v>
      </c>
      <c r="P427" s="48">
        <f t="shared" si="4"/>
        <v>44772</v>
      </c>
      <c r="Q427" s="23">
        <v>700.0</v>
      </c>
      <c r="R427" s="25"/>
      <c r="S427" s="26">
        <v>44743.0</v>
      </c>
      <c r="T427" s="16" t="b">
        <v>1</v>
      </c>
    </row>
    <row r="428" hidden="1">
      <c r="A428" s="4" t="s">
        <v>499</v>
      </c>
      <c r="B428" s="5">
        <v>1450.0</v>
      </c>
      <c r="C428" s="4" t="s">
        <v>18</v>
      </c>
      <c r="D428" s="6">
        <v>5196.0</v>
      </c>
      <c r="E428" s="7">
        <v>44742.0</v>
      </c>
      <c r="F428" s="5">
        <v>48.55</v>
      </c>
      <c r="G428" s="8">
        <v>2022.06</v>
      </c>
      <c r="H428" s="9" t="s">
        <v>51</v>
      </c>
      <c r="I428" s="9" t="s">
        <v>52</v>
      </c>
      <c r="J428" s="9" t="s">
        <v>500</v>
      </c>
      <c r="K428" s="4" t="s">
        <v>21</v>
      </c>
      <c r="L428" s="10">
        <v>30.0</v>
      </c>
      <c r="M428" s="54">
        <v>0.0</v>
      </c>
      <c r="N428" s="12">
        <v>0.0</v>
      </c>
      <c r="O428" s="12">
        <v>1401.45</v>
      </c>
      <c r="P428" s="37">
        <f t="shared" si="4"/>
        <v>44772</v>
      </c>
      <c r="Q428" s="12">
        <v>1450.0</v>
      </c>
      <c r="R428" s="14"/>
      <c r="S428" s="15">
        <v>44743.0</v>
      </c>
      <c r="T428" s="4" t="b">
        <v>1</v>
      </c>
    </row>
    <row r="429" hidden="1">
      <c r="A429" s="16" t="s">
        <v>501</v>
      </c>
      <c r="B429" s="17">
        <f>2600*1.24448846</f>
        <v>3235.669996</v>
      </c>
      <c r="C429" s="16" t="s">
        <v>18</v>
      </c>
      <c r="D429" s="18" t="s">
        <v>502</v>
      </c>
      <c r="E429" s="19">
        <v>44740.0</v>
      </c>
      <c r="F429" s="17">
        <v>0.0</v>
      </c>
      <c r="G429" s="20">
        <v>2022.0</v>
      </c>
      <c r="H429" s="21" t="s">
        <v>447</v>
      </c>
      <c r="I429" s="21" t="s">
        <v>503</v>
      </c>
      <c r="J429" s="21" t="s">
        <v>504</v>
      </c>
      <c r="K429" s="16" t="s">
        <v>9</v>
      </c>
      <c r="L429" s="22">
        <v>0.0</v>
      </c>
      <c r="M429" s="55">
        <v>0.0</v>
      </c>
      <c r="N429" s="23">
        <v>0.0</v>
      </c>
      <c r="O429" s="23">
        <v>3235.6699959999996</v>
      </c>
      <c r="P429" s="48">
        <f t="shared" si="4"/>
        <v>44740</v>
      </c>
      <c r="Q429" s="23">
        <v>6150.0</v>
      </c>
      <c r="R429" s="25"/>
      <c r="S429" s="26">
        <v>44743.0</v>
      </c>
      <c r="T429" s="16" t="b">
        <v>1</v>
      </c>
    </row>
    <row r="430" hidden="1">
      <c r="A430" s="4" t="s">
        <v>501</v>
      </c>
      <c r="B430" s="5">
        <f>1775*1.258963</f>
        <v>2234.659325</v>
      </c>
      <c r="C430" s="4" t="s">
        <v>18</v>
      </c>
      <c r="D430" s="6" t="s">
        <v>505</v>
      </c>
      <c r="E430" s="7">
        <v>44796.0</v>
      </c>
      <c r="F430" s="34">
        <f>65.98*1.258963</f>
        <v>83.06637874</v>
      </c>
      <c r="G430" s="8">
        <v>2022.0</v>
      </c>
      <c r="H430" s="9" t="s">
        <v>447</v>
      </c>
      <c r="I430" s="9" t="s">
        <v>506</v>
      </c>
      <c r="J430" s="9" t="s">
        <v>507</v>
      </c>
      <c r="K430" s="4" t="s">
        <v>9</v>
      </c>
      <c r="L430" s="4">
        <v>15.0</v>
      </c>
      <c r="M430" s="54">
        <v>0.0</v>
      </c>
      <c r="N430" s="12">
        <v>0.0</v>
      </c>
      <c r="O430" s="12">
        <v>2151.59294626</v>
      </c>
      <c r="P430" s="37">
        <f t="shared" si="4"/>
        <v>44811</v>
      </c>
      <c r="Q430" s="12">
        <v>6150.0</v>
      </c>
      <c r="R430" s="14"/>
      <c r="S430" s="15">
        <v>44805.0</v>
      </c>
      <c r="T430" s="4" t="b">
        <v>1</v>
      </c>
    </row>
    <row r="431">
      <c r="A431" s="16" t="s">
        <v>501</v>
      </c>
      <c r="B431" s="17">
        <v>1775.0</v>
      </c>
      <c r="C431" s="16" t="s">
        <v>47</v>
      </c>
      <c r="D431" s="44"/>
      <c r="E431" s="19">
        <v>44804.0</v>
      </c>
      <c r="F431" s="35"/>
      <c r="G431" s="20">
        <v>2022.0</v>
      </c>
      <c r="H431" s="21" t="s">
        <v>447</v>
      </c>
      <c r="I431" s="21" t="s">
        <v>508</v>
      </c>
      <c r="J431" s="21" t="s">
        <v>509</v>
      </c>
      <c r="K431" s="16" t="s">
        <v>9</v>
      </c>
      <c r="L431" s="16">
        <v>15.0</v>
      </c>
      <c r="M431" s="55">
        <v>0.0</v>
      </c>
      <c r="N431" s="23">
        <v>0.0</v>
      </c>
      <c r="O431" s="23">
        <v>1775.0</v>
      </c>
      <c r="P431" s="48">
        <f t="shared" si="4"/>
        <v>44819</v>
      </c>
      <c r="Q431" s="23">
        <v>6150.0</v>
      </c>
      <c r="R431" s="25"/>
      <c r="S431" s="26"/>
      <c r="T431" s="16" t="b">
        <v>1</v>
      </c>
    </row>
    <row r="432" hidden="1">
      <c r="A432" s="66" t="s">
        <v>510</v>
      </c>
      <c r="B432" s="5">
        <f>400*1.254598</f>
        <v>501.8392</v>
      </c>
      <c r="C432" s="4" t="s">
        <v>18</v>
      </c>
      <c r="D432" s="6" t="s">
        <v>511</v>
      </c>
      <c r="E432" s="7">
        <v>44753.0</v>
      </c>
      <c r="F432" s="34">
        <f>15.1*1.254598</f>
        <v>18.9444298</v>
      </c>
      <c r="G432" s="8">
        <v>2022.0</v>
      </c>
      <c r="H432" s="9" t="s">
        <v>447</v>
      </c>
      <c r="I432" s="9" t="s">
        <v>19</v>
      </c>
      <c r="J432" s="9" t="s">
        <v>512</v>
      </c>
      <c r="K432" s="4" t="s">
        <v>9</v>
      </c>
      <c r="L432" s="10">
        <v>0.0</v>
      </c>
      <c r="M432" s="54">
        <v>0.0</v>
      </c>
      <c r="N432" s="12">
        <v>0.0</v>
      </c>
      <c r="O432" s="12">
        <v>482.89477020000004</v>
      </c>
      <c r="P432" s="13"/>
      <c r="Q432" s="12">
        <v>800.0</v>
      </c>
      <c r="R432" s="14"/>
      <c r="S432" s="15">
        <v>44774.0</v>
      </c>
      <c r="T432" s="4" t="b">
        <v>1</v>
      </c>
    </row>
    <row r="433" hidden="1">
      <c r="A433" s="67" t="s">
        <v>510</v>
      </c>
      <c r="B433" s="17">
        <f>400*1.240242</f>
        <v>496.0968</v>
      </c>
      <c r="C433" s="16" t="s">
        <v>18</v>
      </c>
      <c r="D433" s="18" t="s">
        <v>513</v>
      </c>
      <c r="E433" s="19">
        <v>44771.0</v>
      </c>
      <c r="F433" s="35">
        <f>15.1*1.240242</f>
        <v>18.7276542</v>
      </c>
      <c r="G433" s="20">
        <v>2022.0</v>
      </c>
      <c r="H433" s="21" t="s">
        <v>447</v>
      </c>
      <c r="I433" s="21" t="s">
        <v>19</v>
      </c>
      <c r="J433" s="21" t="s">
        <v>514</v>
      </c>
      <c r="K433" s="16" t="s">
        <v>9</v>
      </c>
      <c r="L433" s="22">
        <v>0.0</v>
      </c>
      <c r="M433" s="55">
        <v>0.0</v>
      </c>
      <c r="N433" s="23">
        <v>0.0</v>
      </c>
      <c r="O433" s="23">
        <v>477.3691458</v>
      </c>
      <c r="P433" s="48">
        <f t="shared" ref="P433:P434" si="10">if(E433="","", E433+L433)</f>
        <v>44771</v>
      </c>
      <c r="Q433" s="23">
        <v>800.0</v>
      </c>
      <c r="R433" s="25"/>
      <c r="S433" s="26">
        <v>44774.0</v>
      </c>
      <c r="T433" s="16" t="b">
        <v>1</v>
      </c>
    </row>
    <row r="434" hidden="1">
      <c r="A434" s="4" t="s">
        <v>515</v>
      </c>
      <c r="B434" s="68">
        <f>1900*1.259157</f>
        <v>2392.3983</v>
      </c>
      <c r="C434" s="69" t="s">
        <v>18</v>
      </c>
      <c r="D434" s="69" t="s">
        <v>516</v>
      </c>
      <c r="E434" s="70">
        <v>44753.0</v>
      </c>
      <c r="F434" s="71">
        <f>70.6*1.259157</f>
        <v>88.8964842</v>
      </c>
      <c r="G434" s="72">
        <v>2022.0</v>
      </c>
      <c r="H434" s="73" t="s">
        <v>447</v>
      </c>
      <c r="I434" s="73" t="s">
        <v>19</v>
      </c>
      <c r="J434" s="74" t="s">
        <v>517</v>
      </c>
      <c r="K434" s="69" t="s">
        <v>9</v>
      </c>
      <c r="L434" s="75"/>
      <c r="M434" s="76">
        <v>0.2</v>
      </c>
      <c r="N434" s="77">
        <v>460.70036316000005</v>
      </c>
      <c r="O434" s="77">
        <v>1842.8014526400002</v>
      </c>
      <c r="P434" s="70">
        <f t="shared" si="10"/>
        <v>44753</v>
      </c>
      <c r="Q434" s="77">
        <v>3800.0</v>
      </c>
      <c r="R434" s="75"/>
      <c r="S434" s="15">
        <v>44774.0</v>
      </c>
      <c r="T434" s="4" t="b">
        <v>1</v>
      </c>
    </row>
    <row r="435" hidden="1">
      <c r="A435" s="16" t="s">
        <v>515</v>
      </c>
      <c r="B435" s="35">
        <f>1900*1.271864</f>
        <v>2416.5416</v>
      </c>
      <c r="C435" s="16" t="s">
        <v>18</v>
      </c>
      <c r="D435" s="18" t="s">
        <v>518</v>
      </c>
      <c r="E435" s="19">
        <v>44796.0</v>
      </c>
      <c r="F435" s="35">
        <f>70.6*1.271864</f>
        <v>89.7935984</v>
      </c>
      <c r="G435" s="60">
        <v>2022.0</v>
      </c>
      <c r="H435" s="21" t="s">
        <v>447</v>
      </c>
      <c r="I435" s="61" t="s">
        <v>19</v>
      </c>
      <c r="J435" s="61" t="s">
        <v>519</v>
      </c>
      <c r="K435" s="59" t="s">
        <v>9</v>
      </c>
      <c r="L435" s="24"/>
      <c r="M435" s="62">
        <v>0.2</v>
      </c>
      <c r="N435" s="78">
        <v>465.34960032000004</v>
      </c>
      <c r="O435" s="78">
        <v>1861.39840128</v>
      </c>
      <c r="P435" s="24" t="s">
        <v>200</v>
      </c>
      <c r="Q435" s="78">
        <v>3800.0</v>
      </c>
      <c r="R435" s="25"/>
      <c r="S435" s="26">
        <v>44805.0</v>
      </c>
      <c r="T435" s="16" t="b">
        <v>1</v>
      </c>
    </row>
    <row r="436" hidden="1">
      <c r="A436" s="4" t="s">
        <v>68</v>
      </c>
      <c r="B436" s="5">
        <v>650.0</v>
      </c>
      <c r="C436" s="4" t="s">
        <v>18</v>
      </c>
      <c r="D436" s="6">
        <v>5213.0</v>
      </c>
      <c r="E436" s="7">
        <v>44757.0</v>
      </c>
      <c r="F436" s="5">
        <v>20.09</v>
      </c>
      <c r="G436" s="8">
        <v>2022.07</v>
      </c>
      <c r="H436" s="9" t="s">
        <v>27</v>
      </c>
      <c r="I436" s="9" t="s">
        <v>52</v>
      </c>
      <c r="J436" s="9" t="s">
        <v>69</v>
      </c>
      <c r="K436" s="4" t="s">
        <v>21</v>
      </c>
      <c r="L436" s="10">
        <v>30.0</v>
      </c>
      <c r="M436" s="54">
        <v>0.0</v>
      </c>
      <c r="N436" s="12">
        <v>0.0</v>
      </c>
      <c r="O436" s="12">
        <v>629.91</v>
      </c>
      <c r="P436" s="37">
        <f t="shared" ref="P436:P496" si="11">if(E436="","", E436+L436)</f>
        <v>44787</v>
      </c>
      <c r="Q436" s="12">
        <v>650.0</v>
      </c>
      <c r="R436" s="14"/>
      <c r="S436" s="15">
        <v>44774.0</v>
      </c>
      <c r="T436" s="4" t="b">
        <v>1</v>
      </c>
    </row>
    <row r="437" hidden="1">
      <c r="A437" s="16" t="s">
        <v>99</v>
      </c>
      <c r="B437" s="17">
        <f>1300*1.259836</f>
        <v>1637.7868</v>
      </c>
      <c r="C437" s="16" t="s">
        <v>18</v>
      </c>
      <c r="D437" s="18" t="s">
        <v>520</v>
      </c>
      <c r="E437" s="19">
        <v>44757.0</v>
      </c>
      <c r="F437" s="35">
        <f>48.4*1.259836</f>
        <v>60.9760624</v>
      </c>
      <c r="G437" s="20">
        <v>2022.07</v>
      </c>
      <c r="H437" s="21" t="s">
        <v>27</v>
      </c>
      <c r="I437" s="21" t="s">
        <v>52</v>
      </c>
      <c r="J437" s="21" t="s">
        <v>101</v>
      </c>
      <c r="K437" s="16" t="s">
        <v>9</v>
      </c>
      <c r="L437" s="22">
        <v>30.0</v>
      </c>
      <c r="M437" s="55">
        <v>0.2</v>
      </c>
      <c r="N437" s="23">
        <v>315.36214752</v>
      </c>
      <c r="O437" s="23">
        <v>1261.4485900799998</v>
      </c>
      <c r="P437" s="48">
        <f t="shared" si="11"/>
        <v>44787</v>
      </c>
      <c r="Q437" s="23">
        <v>1300.0</v>
      </c>
      <c r="R437" s="25"/>
      <c r="S437" s="26">
        <v>44774.0</v>
      </c>
      <c r="T437" s="16" t="b">
        <v>1</v>
      </c>
    </row>
    <row r="438" hidden="1">
      <c r="A438" s="4" t="s">
        <v>225</v>
      </c>
      <c r="B438" s="5">
        <v>5000.0</v>
      </c>
      <c r="C438" s="4" t="s">
        <v>18</v>
      </c>
      <c r="D438" s="6">
        <v>5240.0</v>
      </c>
      <c r="E438" s="7">
        <v>44757.0</v>
      </c>
      <c r="F438" s="5">
        <v>0.0</v>
      </c>
      <c r="G438" s="8">
        <v>2022.07</v>
      </c>
      <c r="H438" s="9" t="s">
        <v>27</v>
      </c>
      <c r="I438" s="9" t="s">
        <v>52</v>
      </c>
      <c r="J438" s="9" t="s">
        <v>521</v>
      </c>
      <c r="K438" s="4" t="s">
        <v>21</v>
      </c>
      <c r="L438" s="10">
        <v>30.0</v>
      </c>
      <c r="M438" s="54">
        <v>0.0</v>
      </c>
      <c r="N438" s="12">
        <v>0.0</v>
      </c>
      <c r="O438" s="12">
        <v>5000.0</v>
      </c>
      <c r="P438" s="37">
        <f t="shared" si="11"/>
        <v>44787</v>
      </c>
      <c r="Q438" s="12">
        <v>5000.0</v>
      </c>
      <c r="R438" s="14"/>
      <c r="S438" s="15">
        <v>44774.0</v>
      </c>
      <c r="T438" s="4" t="b">
        <v>1</v>
      </c>
    </row>
    <row r="439" hidden="1">
      <c r="A439" s="16" t="s">
        <v>102</v>
      </c>
      <c r="B439" s="17">
        <f>350*1.247323</f>
        <v>436.56305</v>
      </c>
      <c r="C439" s="16" t="s">
        <v>18</v>
      </c>
      <c r="D439" s="18" t="s">
        <v>522</v>
      </c>
      <c r="E439" s="19">
        <v>44757.0</v>
      </c>
      <c r="F439" s="35">
        <f>13.25*1.247323</f>
        <v>16.52702975</v>
      </c>
      <c r="G439" s="20">
        <v>2022.07</v>
      </c>
      <c r="H439" s="21" t="s">
        <v>27</v>
      </c>
      <c r="I439" s="21" t="s">
        <v>52</v>
      </c>
      <c r="J439" s="21" t="s">
        <v>104</v>
      </c>
      <c r="K439" s="16" t="s">
        <v>9</v>
      </c>
      <c r="L439" s="22">
        <v>30.0</v>
      </c>
      <c r="M439" s="55">
        <v>0.0</v>
      </c>
      <c r="N439" s="23">
        <v>0.0</v>
      </c>
      <c r="O439" s="23">
        <v>420.03602025</v>
      </c>
      <c r="P439" s="48">
        <f t="shared" si="11"/>
        <v>44787</v>
      </c>
      <c r="Q439" s="23">
        <v>350.0</v>
      </c>
      <c r="R439" s="25"/>
      <c r="S439" s="26">
        <v>44774.0</v>
      </c>
      <c r="T439" s="16" t="b">
        <v>1</v>
      </c>
    </row>
    <row r="440" hidden="1">
      <c r="A440" s="4" t="s">
        <v>62</v>
      </c>
      <c r="B440" s="5">
        <v>1600.0</v>
      </c>
      <c r="C440" s="4" t="s">
        <v>18</v>
      </c>
      <c r="D440" s="6">
        <v>5241.0</v>
      </c>
      <c r="E440" s="7">
        <v>44757.0</v>
      </c>
      <c r="F440" s="5">
        <v>49.78</v>
      </c>
      <c r="G440" s="8">
        <v>2022.07</v>
      </c>
      <c r="H440" s="9" t="s">
        <v>27</v>
      </c>
      <c r="I440" s="9" t="s">
        <v>52</v>
      </c>
      <c r="J440" s="9" t="s">
        <v>63</v>
      </c>
      <c r="K440" s="4" t="s">
        <v>21</v>
      </c>
      <c r="L440" s="10">
        <v>30.0</v>
      </c>
      <c r="M440" s="54">
        <v>0.0</v>
      </c>
      <c r="N440" s="12">
        <v>0.0</v>
      </c>
      <c r="O440" s="12">
        <v>1550.22</v>
      </c>
      <c r="P440" s="37">
        <f t="shared" si="11"/>
        <v>44787</v>
      </c>
      <c r="Q440" s="12">
        <v>1600.0</v>
      </c>
      <c r="R440" s="14"/>
      <c r="S440" s="15">
        <v>44774.0</v>
      </c>
      <c r="T440" s="4" t="b">
        <v>1</v>
      </c>
    </row>
    <row r="441" hidden="1">
      <c r="A441" s="16" t="s">
        <v>66</v>
      </c>
      <c r="B441" s="17">
        <v>900.0</v>
      </c>
      <c r="C441" s="16" t="s">
        <v>18</v>
      </c>
      <c r="D441" s="18">
        <v>5242.0</v>
      </c>
      <c r="E441" s="19">
        <v>44757.0</v>
      </c>
      <c r="F441" s="17">
        <v>0.0</v>
      </c>
      <c r="G441" s="20">
        <v>2022.07</v>
      </c>
      <c r="H441" s="21" t="s">
        <v>27</v>
      </c>
      <c r="I441" s="21" t="s">
        <v>52</v>
      </c>
      <c r="J441" s="21" t="s">
        <v>294</v>
      </c>
      <c r="K441" s="16" t="s">
        <v>21</v>
      </c>
      <c r="L441" s="22">
        <v>30.0</v>
      </c>
      <c r="M441" s="55">
        <v>0.0</v>
      </c>
      <c r="N441" s="23">
        <v>0.0</v>
      </c>
      <c r="O441" s="23">
        <v>900.0</v>
      </c>
      <c r="P441" s="48">
        <f t="shared" si="11"/>
        <v>44787</v>
      </c>
      <c r="Q441" s="23">
        <v>900.0</v>
      </c>
      <c r="R441" s="25"/>
      <c r="S441" s="26">
        <v>44774.0</v>
      </c>
      <c r="T441" s="16" t="b">
        <v>1</v>
      </c>
    </row>
    <row r="442" hidden="1">
      <c r="A442" s="4" t="s">
        <v>523</v>
      </c>
      <c r="B442" s="5">
        <v>500.0</v>
      </c>
      <c r="C442" s="4" t="s">
        <v>18</v>
      </c>
      <c r="D442" s="6">
        <v>5243.0</v>
      </c>
      <c r="E442" s="7">
        <v>44757.0</v>
      </c>
      <c r="F442" s="5">
        <v>0.0</v>
      </c>
      <c r="G442" s="8">
        <v>2022.07</v>
      </c>
      <c r="H442" s="9" t="s">
        <v>27</v>
      </c>
      <c r="I442" s="9" t="s">
        <v>52</v>
      </c>
      <c r="J442" s="4" t="s">
        <v>524</v>
      </c>
      <c r="K442" s="4" t="s">
        <v>21</v>
      </c>
      <c r="L442" s="10">
        <v>15.0</v>
      </c>
      <c r="M442" s="54">
        <v>0.0</v>
      </c>
      <c r="N442" s="12">
        <v>0.0</v>
      </c>
      <c r="O442" s="12">
        <v>500.0</v>
      </c>
      <c r="P442" s="37">
        <f t="shared" si="11"/>
        <v>44772</v>
      </c>
      <c r="Q442" s="12">
        <v>500.0</v>
      </c>
      <c r="R442" s="14"/>
      <c r="S442" s="15">
        <v>44774.0</v>
      </c>
      <c r="T442" s="4" t="b">
        <v>1</v>
      </c>
    </row>
    <row r="443" hidden="1">
      <c r="A443" s="16" t="s">
        <v>467</v>
      </c>
      <c r="B443" s="17">
        <f>280*1.257993</f>
        <v>352.23804</v>
      </c>
      <c r="C443" s="16" t="s">
        <v>18</v>
      </c>
      <c r="D443" s="18" t="s">
        <v>525</v>
      </c>
      <c r="E443" s="19">
        <v>44757.0</v>
      </c>
      <c r="F443" s="35">
        <f>10.66*1.257993</f>
        <v>13.41020538</v>
      </c>
      <c r="G443" s="20">
        <v>2022.07</v>
      </c>
      <c r="H443" s="21" t="s">
        <v>27</v>
      </c>
      <c r="I443" s="21" t="s">
        <v>52</v>
      </c>
      <c r="J443" s="21" t="s">
        <v>469</v>
      </c>
      <c r="K443" s="16" t="s">
        <v>9</v>
      </c>
      <c r="L443" s="22">
        <v>0.0</v>
      </c>
      <c r="M443" s="55">
        <v>0.2</v>
      </c>
      <c r="N443" s="23">
        <v>67.765566924</v>
      </c>
      <c r="O443" s="23">
        <v>271.062267696</v>
      </c>
      <c r="P443" s="48">
        <f t="shared" si="11"/>
        <v>44757</v>
      </c>
      <c r="Q443" s="23">
        <v>280.0</v>
      </c>
      <c r="R443" s="25"/>
      <c r="S443" s="26">
        <v>44774.0</v>
      </c>
      <c r="T443" s="16" t="b">
        <v>1</v>
      </c>
    </row>
    <row r="444" hidden="1">
      <c r="A444" s="4" t="s">
        <v>526</v>
      </c>
      <c r="B444" s="5">
        <v>560.0</v>
      </c>
      <c r="C444" s="4" t="s">
        <v>18</v>
      </c>
      <c r="D444" s="6">
        <v>5244.0</v>
      </c>
      <c r="E444" s="7">
        <v>44757.0</v>
      </c>
      <c r="F444" s="5">
        <v>17.42</v>
      </c>
      <c r="G444" s="8">
        <v>2022.0</v>
      </c>
      <c r="H444" s="9" t="s">
        <v>447</v>
      </c>
      <c r="I444" s="9" t="s">
        <v>459</v>
      </c>
      <c r="J444" s="9" t="s">
        <v>527</v>
      </c>
      <c r="K444" s="4" t="s">
        <v>21</v>
      </c>
      <c r="L444" s="10">
        <v>0.0</v>
      </c>
      <c r="M444" s="54">
        <v>0.0</v>
      </c>
      <c r="N444" s="12">
        <v>0.0</v>
      </c>
      <c r="O444" s="12">
        <v>542.58</v>
      </c>
      <c r="P444" s="37">
        <f t="shared" si="11"/>
        <v>44757</v>
      </c>
      <c r="Q444" s="12"/>
      <c r="R444" s="14"/>
      <c r="S444" s="15">
        <v>44774.0</v>
      </c>
      <c r="T444" s="4" t="b">
        <v>1</v>
      </c>
    </row>
    <row r="445" hidden="1">
      <c r="A445" s="16" t="s">
        <v>528</v>
      </c>
      <c r="B445" s="17">
        <v>900.0</v>
      </c>
      <c r="C445" s="16" t="s">
        <v>18</v>
      </c>
      <c r="D445" s="18">
        <v>5247.0</v>
      </c>
      <c r="E445" s="19">
        <v>44771.0</v>
      </c>
      <c r="F445" s="17">
        <v>28.0</v>
      </c>
      <c r="G445" s="20">
        <v>2022.0</v>
      </c>
      <c r="H445" s="21" t="s">
        <v>447</v>
      </c>
      <c r="I445" s="21" t="s">
        <v>252</v>
      </c>
      <c r="J445" s="21" t="s">
        <v>529</v>
      </c>
      <c r="K445" s="16" t="s">
        <v>21</v>
      </c>
      <c r="L445" s="22">
        <v>0.0</v>
      </c>
      <c r="M445" s="55">
        <v>0.0</v>
      </c>
      <c r="N445" s="23">
        <v>0.0</v>
      </c>
      <c r="O445" s="23">
        <v>872.0</v>
      </c>
      <c r="P445" s="48">
        <f t="shared" si="11"/>
        <v>44771</v>
      </c>
      <c r="Q445" s="23"/>
      <c r="R445" s="25"/>
      <c r="S445" s="26">
        <v>44774.0</v>
      </c>
      <c r="T445" s="16" t="b">
        <v>1</v>
      </c>
    </row>
    <row r="446" hidden="1">
      <c r="A446" s="4" t="s">
        <v>530</v>
      </c>
      <c r="B446" s="5">
        <f>110*10.75</f>
        <v>1182.5</v>
      </c>
      <c r="C446" s="4" t="s">
        <v>18</v>
      </c>
      <c r="D446" s="6">
        <v>5248.0</v>
      </c>
      <c r="E446" s="7">
        <v>44771.0</v>
      </c>
      <c r="F446" s="5">
        <v>39.59</v>
      </c>
      <c r="G446" s="8">
        <v>2022.0</v>
      </c>
      <c r="H446" s="9" t="s">
        <v>447</v>
      </c>
      <c r="I446" s="9" t="s">
        <v>252</v>
      </c>
      <c r="J446" s="9" t="s">
        <v>531</v>
      </c>
      <c r="K446" s="4" t="s">
        <v>21</v>
      </c>
      <c r="L446" s="10"/>
      <c r="M446" s="54">
        <v>0.0</v>
      </c>
      <c r="N446" s="12">
        <v>0.0</v>
      </c>
      <c r="O446" s="12">
        <v>1142.91</v>
      </c>
      <c r="P446" s="37">
        <f t="shared" si="11"/>
        <v>44771</v>
      </c>
      <c r="Q446" s="12"/>
      <c r="R446" s="14"/>
      <c r="S446" s="15">
        <v>44774.0</v>
      </c>
      <c r="T446" s="4" t="b">
        <v>1</v>
      </c>
    </row>
    <row r="447" hidden="1">
      <c r="A447" s="16" t="s">
        <v>532</v>
      </c>
      <c r="B447" s="17">
        <v>1300.0</v>
      </c>
      <c r="C447" s="16" t="s">
        <v>18</v>
      </c>
      <c r="D447" s="18">
        <v>5279.0</v>
      </c>
      <c r="E447" s="19">
        <v>44788.0</v>
      </c>
      <c r="F447" s="17">
        <v>40.44</v>
      </c>
      <c r="G447" s="20">
        <v>2022.08</v>
      </c>
      <c r="H447" s="21" t="s">
        <v>27</v>
      </c>
      <c r="I447" s="21" t="s">
        <v>252</v>
      </c>
      <c r="J447" s="21" t="s">
        <v>533</v>
      </c>
      <c r="K447" s="16" t="s">
        <v>21</v>
      </c>
      <c r="L447" s="22">
        <v>0.0</v>
      </c>
      <c r="M447" s="55">
        <v>0.0</v>
      </c>
      <c r="N447" s="23">
        <v>0.0</v>
      </c>
      <c r="O447" s="23">
        <v>1259.56</v>
      </c>
      <c r="P447" s="48">
        <f t="shared" si="11"/>
        <v>44788</v>
      </c>
      <c r="Q447" s="23"/>
      <c r="R447" s="25"/>
      <c r="S447" s="26">
        <v>44805.0</v>
      </c>
      <c r="T447" s="16" t="b">
        <v>1</v>
      </c>
    </row>
    <row r="448" hidden="1">
      <c r="A448" s="4" t="s">
        <v>534</v>
      </c>
      <c r="B448" s="5">
        <f>600*1.17056666667</f>
        <v>702.34</v>
      </c>
      <c r="C448" s="4" t="s">
        <v>18</v>
      </c>
      <c r="D448" s="6" t="s">
        <v>535</v>
      </c>
      <c r="E448" s="7">
        <v>44771.0</v>
      </c>
      <c r="F448" s="5">
        <v>0.0</v>
      </c>
      <c r="G448" s="8">
        <v>2022.0</v>
      </c>
      <c r="H448" s="9" t="s">
        <v>447</v>
      </c>
      <c r="I448" s="9" t="s">
        <v>252</v>
      </c>
      <c r="J448" s="65" t="s">
        <v>536</v>
      </c>
      <c r="K448" s="4" t="s">
        <v>9</v>
      </c>
      <c r="L448" s="10">
        <v>30.0</v>
      </c>
      <c r="M448" s="54">
        <v>0.0</v>
      </c>
      <c r="N448" s="12">
        <v>0.0</v>
      </c>
      <c r="O448" s="12">
        <v>702.340000002</v>
      </c>
      <c r="P448" s="37">
        <f t="shared" si="11"/>
        <v>44801</v>
      </c>
      <c r="Q448" s="12"/>
      <c r="R448" s="14"/>
      <c r="S448" s="15">
        <v>44774.0</v>
      </c>
      <c r="T448" s="4" t="b">
        <v>1</v>
      </c>
    </row>
    <row r="449" hidden="1">
      <c r="A449" s="16" t="s">
        <v>223</v>
      </c>
      <c r="B449" s="17">
        <v>800.0</v>
      </c>
      <c r="C449" s="16" t="s">
        <v>18</v>
      </c>
      <c r="D449" s="18">
        <v>5249.0</v>
      </c>
      <c r="E449" s="19">
        <v>44771.0</v>
      </c>
      <c r="F449" s="17">
        <v>24.89</v>
      </c>
      <c r="G449" s="20">
        <v>2022.07</v>
      </c>
      <c r="H449" s="21" t="s">
        <v>51</v>
      </c>
      <c r="I449" s="21" t="s">
        <v>52</v>
      </c>
      <c r="J449" s="21" t="s">
        <v>247</v>
      </c>
      <c r="K449" s="16" t="s">
        <v>21</v>
      </c>
      <c r="L449" s="22">
        <v>30.0</v>
      </c>
      <c r="M449" s="55">
        <v>0.0</v>
      </c>
      <c r="N449" s="23">
        <v>0.0</v>
      </c>
      <c r="O449" s="23">
        <v>775.11</v>
      </c>
      <c r="P449" s="48">
        <f t="shared" si="11"/>
        <v>44801</v>
      </c>
      <c r="Q449" s="23">
        <v>800.0</v>
      </c>
      <c r="R449" s="25"/>
      <c r="S449" s="26">
        <v>44774.0</v>
      </c>
      <c r="T449" s="16" t="b">
        <v>1</v>
      </c>
    </row>
    <row r="450" hidden="1">
      <c r="A450" s="4" t="s">
        <v>54</v>
      </c>
      <c r="B450" s="5">
        <v>750.0</v>
      </c>
      <c r="C450" s="4" t="s">
        <v>18</v>
      </c>
      <c r="D450" s="6">
        <v>5250.0</v>
      </c>
      <c r="E450" s="7">
        <v>44771.0</v>
      </c>
      <c r="F450" s="5">
        <v>23.33</v>
      </c>
      <c r="G450" s="8">
        <v>2022.07</v>
      </c>
      <c r="H450" s="9" t="s">
        <v>51</v>
      </c>
      <c r="I450" s="9" t="s">
        <v>52</v>
      </c>
      <c r="J450" s="9" t="s">
        <v>55</v>
      </c>
      <c r="K450" s="4" t="s">
        <v>21</v>
      </c>
      <c r="L450" s="10">
        <v>30.0</v>
      </c>
      <c r="M450" s="54">
        <v>0.0</v>
      </c>
      <c r="N450" s="12">
        <v>0.0</v>
      </c>
      <c r="O450" s="12">
        <v>726.67</v>
      </c>
      <c r="P450" s="37">
        <f t="shared" si="11"/>
        <v>44801</v>
      </c>
      <c r="Q450" s="12">
        <v>750.0</v>
      </c>
      <c r="R450" s="14"/>
      <c r="S450" s="15">
        <v>44774.0</v>
      </c>
      <c r="T450" s="4" t="b">
        <v>1</v>
      </c>
    </row>
    <row r="451" hidden="1">
      <c r="A451" s="16" t="s">
        <v>147</v>
      </c>
      <c r="B451" s="17">
        <v>900.0</v>
      </c>
      <c r="C451" s="16" t="s">
        <v>18</v>
      </c>
      <c r="D451" s="18">
        <v>5251.0</v>
      </c>
      <c r="E451" s="19">
        <v>44771.0</v>
      </c>
      <c r="F451" s="17">
        <v>0.0</v>
      </c>
      <c r="G451" s="20">
        <v>2022.07</v>
      </c>
      <c r="H451" s="21" t="s">
        <v>51</v>
      </c>
      <c r="I451" s="21" t="s">
        <v>52</v>
      </c>
      <c r="J451" s="21" t="s">
        <v>537</v>
      </c>
      <c r="K451" s="16" t="s">
        <v>21</v>
      </c>
      <c r="L451" s="22">
        <v>30.0</v>
      </c>
      <c r="M451" s="55">
        <v>0.0</v>
      </c>
      <c r="N451" s="23">
        <v>0.0</v>
      </c>
      <c r="O451" s="23">
        <v>900.0</v>
      </c>
      <c r="P451" s="48">
        <f t="shared" si="11"/>
        <v>44801</v>
      </c>
      <c r="Q451" s="23">
        <v>900.0</v>
      </c>
      <c r="R451" s="25"/>
      <c r="S451" s="26">
        <v>44774.0</v>
      </c>
      <c r="T451" s="16" t="b">
        <v>1</v>
      </c>
    </row>
    <row r="452" hidden="1">
      <c r="A452" s="4" t="s">
        <v>58</v>
      </c>
      <c r="B452" s="5">
        <v>1550.0</v>
      </c>
      <c r="C452" s="4" t="s">
        <v>18</v>
      </c>
      <c r="D452" s="6">
        <v>5252.0</v>
      </c>
      <c r="E452" s="7">
        <v>44771.0</v>
      </c>
      <c r="F452" s="5">
        <v>48.22</v>
      </c>
      <c r="G452" s="8">
        <v>2022.07</v>
      </c>
      <c r="H452" s="9" t="s">
        <v>51</v>
      </c>
      <c r="I452" s="9" t="s">
        <v>52</v>
      </c>
      <c r="J452" s="9" t="s">
        <v>59</v>
      </c>
      <c r="K452" s="4" t="s">
        <v>21</v>
      </c>
      <c r="L452" s="10">
        <v>30.0</v>
      </c>
      <c r="M452" s="54">
        <v>0.0</v>
      </c>
      <c r="N452" s="12">
        <v>0.0</v>
      </c>
      <c r="O452" s="12">
        <v>1501.78</v>
      </c>
      <c r="P452" s="37">
        <f t="shared" si="11"/>
        <v>44801</v>
      </c>
      <c r="Q452" s="12">
        <v>1550.0</v>
      </c>
      <c r="R452" s="14"/>
      <c r="S452" s="15">
        <v>44774.0</v>
      </c>
      <c r="T452" s="4" t="b">
        <v>1</v>
      </c>
    </row>
    <row r="453" hidden="1">
      <c r="A453" s="16" t="s">
        <v>84</v>
      </c>
      <c r="B453" s="17">
        <v>1000.0</v>
      </c>
      <c r="C453" s="16" t="s">
        <v>18</v>
      </c>
      <c r="D453" s="18">
        <v>5253.0</v>
      </c>
      <c r="E453" s="19">
        <v>44771.0</v>
      </c>
      <c r="F453" s="17">
        <v>0.0</v>
      </c>
      <c r="G453" s="20">
        <v>2022.07</v>
      </c>
      <c r="H453" s="21" t="s">
        <v>51</v>
      </c>
      <c r="I453" s="21" t="s">
        <v>52</v>
      </c>
      <c r="J453" s="21" t="s">
        <v>85</v>
      </c>
      <c r="K453" s="16" t="s">
        <v>21</v>
      </c>
      <c r="L453" s="22">
        <v>30.0</v>
      </c>
      <c r="M453" s="55">
        <v>0.0</v>
      </c>
      <c r="N453" s="23">
        <v>0.0</v>
      </c>
      <c r="O453" s="23">
        <v>1000.0</v>
      </c>
      <c r="P453" s="48">
        <f t="shared" si="11"/>
        <v>44801</v>
      </c>
      <c r="Q453" s="23">
        <v>1000.0</v>
      </c>
      <c r="R453" s="25"/>
      <c r="S453" s="26">
        <v>44774.0</v>
      </c>
      <c r="T453" s="16" t="b">
        <v>1</v>
      </c>
    </row>
    <row r="454" hidden="1">
      <c r="A454" s="4" t="s">
        <v>86</v>
      </c>
      <c r="B454" s="5">
        <v>412.5</v>
      </c>
      <c r="C454" s="4" t="s">
        <v>18</v>
      </c>
      <c r="D454" s="6">
        <v>5276.0</v>
      </c>
      <c r="E454" s="7">
        <v>44771.0</v>
      </c>
      <c r="F454" s="5">
        <v>16.33</v>
      </c>
      <c r="G454" s="8">
        <v>2022.07</v>
      </c>
      <c r="H454" s="9" t="s">
        <v>51</v>
      </c>
      <c r="I454" s="9" t="s">
        <v>52</v>
      </c>
      <c r="J454" s="9" t="s">
        <v>87</v>
      </c>
      <c r="K454" s="4" t="s">
        <v>21</v>
      </c>
      <c r="L454" s="10">
        <v>30.0</v>
      </c>
      <c r="M454" s="54">
        <v>0.0</v>
      </c>
      <c r="N454" s="12">
        <v>0.0</v>
      </c>
      <c r="O454" s="12">
        <v>396.17</v>
      </c>
      <c r="P454" s="37">
        <f t="shared" si="11"/>
        <v>44801</v>
      </c>
      <c r="Q454" s="12">
        <v>550.0</v>
      </c>
      <c r="R454" s="14"/>
      <c r="S454" s="15">
        <v>44774.0</v>
      </c>
      <c r="T454" s="4" t="b">
        <v>1</v>
      </c>
    </row>
    <row r="455" hidden="1">
      <c r="A455" s="16" t="s">
        <v>42</v>
      </c>
      <c r="B455" s="17">
        <v>1500.0</v>
      </c>
      <c r="C455" s="16" t="s">
        <v>18</v>
      </c>
      <c r="D455" s="18">
        <v>5254.0</v>
      </c>
      <c r="E455" s="19">
        <v>44771.0</v>
      </c>
      <c r="F455" s="17">
        <v>46.67</v>
      </c>
      <c r="G455" s="20">
        <v>2022.07</v>
      </c>
      <c r="H455" s="21" t="s">
        <v>51</v>
      </c>
      <c r="I455" s="21" t="s">
        <v>52</v>
      </c>
      <c r="J455" s="21" t="s">
        <v>43</v>
      </c>
      <c r="K455" s="16" t="s">
        <v>21</v>
      </c>
      <c r="L455" s="22">
        <v>30.0</v>
      </c>
      <c r="M455" s="55">
        <v>0.15</v>
      </c>
      <c r="N455" s="23">
        <v>217.99949999999998</v>
      </c>
      <c r="O455" s="23">
        <v>1235.3305</v>
      </c>
      <c r="P455" s="48">
        <f t="shared" si="11"/>
        <v>44801</v>
      </c>
      <c r="Q455" s="23">
        <v>1500.0</v>
      </c>
      <c r="R455" s="25"/>
      <c r="S455" s="26">
        <v>44774.0</v>
      </c>
      <c r="T455" s="16" t="b">
        <v>1</v>
      </c>
    </row>
    <row r="456" hidden="1">
      <c r="A456" s="4" t="s">
        <v>82</v>
      </c>
      <c r="B456" s="5">
        <v>800.0</v>
      </c>
      <c r="C456" s="4" t="s">
        <v>18</v>
      </c>
      <c r="D456" s="6">
        <v>5255.0</v>
      </c>
      <c r="E456" s="7">
        <v>44771.0</v>
      </c>
      <c r="F456" s="5">
        <v>0.0</v>
      </c>
      <c r="G456" s="8">
        <v>2022.07</v>
      </c>
      <c r="H456" s="9" t="s">
        <v>51</v>
      </c>
      <c r="I456" s="9" t="s">
        <v>52</v>
      </c>
      <c r="J456" s="9" t="s">
        <v>83</v>
      </c>
      <c r="K456" s="4" t="s">
        <v>21</v>
      </c>
      <c r="L456" s="10">
        <v>30.0</v>
      </c>
      <c r="M456" s="54">
        <v>0.0</v>
      </c>
      <c r="N456" s="12">
        <v>0.0</v>
      </c>
      <c r="O456" s="12">
        <v>800.0</v>
      </c>
      <c r="P456" s="37">
        <f t="shared" si="11"/>
        <v>44801</v>
      </c>
      <c r="Q456" s="12">
        <v>800.0</v>
      </c>
      <c r="R456" s="14"/>
      <c r="S456" s="15">
        <v>44774.0</v>
      </c>
      <c r="T456" s="4" t="b">
        <v>1</v>
      </c>
    </row>
    <row r="457" hidden="1">
      <c r="A457" s="16" t="s">
        <v>88</v>
      </c>
      <c r="B457" s="17">
        <v>500.0</v>
      </c>
      <c r="C457" s="16" t="s">
        <v>18</v>
      </c>
      <c r="D457" s="18">
        <v>5256.0</v>
      </c>
      <c r="E457" s="19">
        <v>44771.0</v>
      </c>
      <c r="F457" s="17">
        <v>15.53</v>
      </c>
      <c r="G457" s="20">
        <v>2022.07</v>
      </c>
      <c r="H457" s="21" t="s">
        <v>51</v>
      </c>
      <c r="I457" s="21" t="s">
        <v>52</v>
      </c>
      <c r="J457" s="21" t="s">
        <v>89</v>
      </c>
      <c r="K457" s="16" t="s">
        <v>21</v>
      </c>
      <c r="L457" s="22">
        <v>30.0</v>
      </c>
      <c r="M457" s="55">
        <v>0.0</v>
      </c>
      <c r="N457" s="23">
        <v>0.0</v>
      </c>
      <c r="O457" s="23">
        <v>484.47</v>
      </c>
      <c r="P457" s="48">
        <f t="shared" si="11"/>
        <v>44801</v>
      </c>
      <c r="Q457" s="23">
        <v>500.0</v>
      </c>
      <c r="R457" s="25"/>
      <c r="S457" s="26">
        <v>44774.0</v>
      </c>
      <c r="T457" s="16" t="b">
        <v>1</v>
      </c>
    </row>
    <row r="458" hidden="1">
      <c r="A458" s="4" t="s">
        <v>50</v>
      </c>
      <c r="B458" s="5">
        <v>375.0</v>
      </c>
      <c r="C458" s="4" t="s">
        <v>18</v>
      </c>
      <c r="D458" s="6">
        <v>5257.0</v>
      </c>
      <c r="E458" s="7">
        <v>44771.0</v>
      </c>
      <c r="F458" s="5">
        <v>0.0</v>
      </c>
      <c r="G458" s="8">
        <v>2022.07</v>
      </c>
      <c r="H458" s="9" t="s">
        <v>51</v>
      </c>
      <c r="I458" s="9" t="s">
        <v>52</v>
      </c>
      <c r="J458" s="9" t="s">
        <v>400</v>
      </c>
      <c r="K458" s="4" t="s">
        <v>21</v>
      </c>
      <c r="L458" s="10">
        <v>30.0</v>
      </c>
      <c r="M458" s="54">
        <v>0.0</v>
      </c>
      <c r="N458" s="12">
        <v>0.0</v>
      </c>
      <c r="O458" s="12">
        <v>375.0</v>
      </c>
      <c r="P458" s="37">
        <f t="shared" si="11"/>
        <v>44801</v>
      </c>
      <c r="Q458" s="12">
        <v>375.0</v>
      </c>
      <c r="R458" s="14"/>
      <c r="S458" s="15">
        <v>44774.0</v>
      </c>
      <c r="T458" s="4" t="b">
        <v>1</v>
      </c>
    </row>
    <row r="459" hidden="1">
      <c r="A459" s="16" t="s">
        <v>75</v>
      </c>
      <c r="B459" s="17">
        <v>500.0</v>
      </c>
      <c r="C459" s="16" t="s">
        <v>18</v>
      </c>
      <c r="D459" s="18">
        <v>5258.0</v>
      </c>
      <c r="E459" s="19">
        <v>44771.0</v>
      </c>
      <c r="F459" s="17">
        <v>0.0</v>
      </c>
      <c r="G459" s="20">
        <v>2022.07</v>
      </c>
      <c r="H459" s="21" t="s">
        <v>51</v>
      </c>
      <c r="I459" s="21" t="s">
        <v>52</v>
      </c>
      <c r="J459" s="21" t="s">
        <v>76</v>
      </c>
      <c r="K459" s="16" t="s">
        <v>21</v>
      </c>
      <c r="L459" s="22">
        <v>30.0</v>
      </c>
      <c r="M459" s="55">
        <v>0.0</v>
      </c>
      <c r="N459" s="23">
        <v>0.0</v>
      </c>
      <c r="O459" s="23">
        <v>500.0</v>
      </c>
      <c r="P459" s="48">
        <f t="shared" si="11"/>
        <v>44801</v>
      </c>
      <c r="Q459" s="23">
        <v>500.0</v>
      </c>
      <c r="R459" s="25"/>
      <c r="S459" s="26">
        <v>44774.0</v>
      </c>
      <c r="T459" s="16" t="b">
        <v>1</v>
      </c>
    </row>
    <row r="460" hidden="1">
      <c r="A460" s="4" t="s">
        <v>105</v>
      </c>
      <c r="B460" s="5">
        <f>300*1.240824</f>
        <v>372.2472</v>
      </c>
      <c r="C460" s="4" t="s">
        <v>18</v>
      </c>
      <c r="D460" s="6" t="s">
        <v>538</v>
      </c>
      <c r="E460" s="7">
        <v>44771.0</v>
      </c>
      <c r="F460" s="34">
        <f>11.4*1.240824</f>
        <v>14.1453936</v>
      </c>
      <c r="G460" s="8">
        <v>2022.07</v>
      </c>
      <c r="H460" s="9" t="s">
        <v>51</v>
      </c>
      <c r="I460" s="9" t="s">
        <v>52</v>
      </c>
      <c r="J460" s="9" t="s">
        <v>154</v>
      </c>
      <c r="K460" s="4" t="s">
        <v>9</v>
      </c>
      <c r="L460" s="10">
        <v>30.0</v>
      </c>
      <c r="M460" s="54">
        <v>0.0</v>
      </c>
      <c r="N460" s="12">
        <v>0.0</v>
      </c>
      <c r="O460" s="12">
        <v>358.1018064</v>
      </c>
      <c r="P460" s="37">
        <f t="shared" si="11"/>
        <v>44801</v>
      </c>
      <c r="Q460" s="12">
        <v>300.0</v>
      </c>
      <c r="R460" s="14"/>
      <c r="S460" s="15">
        <v>44774.0</v>
      </c>
      <c r="T460" s="4" t="b">
        <v>1</v>
      </c>
    </row>
    <row r="461" hidden="1">
      <c r="A461" s="16" t="s">
        <v>90</v>
      </c>
      <c r="B461" s="17">
        <v>1150.0</v>
      </c>
      <c r="C461" s="16" t="s">
        <v>18</v>
      </c>
      <c r="D461" s="18">
        <v>5259.0</v>
      </c>
      <c r="E461" s="19">
        <v>44771.0</v>
      </c>
      <c r="F461" s="17">
        <v>0.0</v>
      </c>
      <c r="G461" s="20">
        <v>2022.07</v>
      </c>
      <c r="H461" s="21" t="s">
        <v>51</v>
      </c>
      <c r="I461" s="21" t="s">
        <v>52</v>
      </c>
      <c r="J461" s="21" t="s">
        <v>215</v>
      </c>
      <c r="K461" s="16" t="s">
        <v>21</v>
      </c>
      <c r="L461" s="22">
        <v>30.0</v>
      </c>
      <c r="M461" s="55">
        <v>0.0</v>
      </c>
      <c r="N461" s="23">
        <v>0.0</v>
      </c>
      <c r="O461" s="23">
        <v>1150.0</v>
      </c>
      <c r="P461" s="48">
        <f t="shared" si="11"/>
        <v>44801</v>
      </c>
      <c r="Q461" s="23">
        <v>1150.0</v>
      </c>
      <c r="R461" s="25"/>
      <c r="S461" s="26">
        <v>44774.0</v>
      </c>
      <c r="T461" s="16" t="b">
        <v>1</v>
      </c>
    </row>
    <row r="462" hidden="1">
      <c r="A462" s="4" t="s">
        <v>97</v>
      </c>
      <c r="B462" s="5">
        <v>300.0</v>
      </c>
      <c r="C462" s="4" t="s">
        <v>18</v>
      </c>
      <c r="D462" s="6">
        <v>5260.0</v>
      </c>
      <c r="E462" s="7">
        <v>44771.0</v>
      </c>
      <c r="F462" s="5">
        <v>9.33</v>
      </c>
      <c r="G462" s="8">
        <v>2022.07</v>
      </c>
      <c r="H462" s="9" t="s">
        <v>51</v>
      </c>
      <c r="I462" s="9" t="s">
        <v>52</v>
      </c>
      <c r="J462" s="9" t="s">
        <v>98</v>
      </c>
      <c r="K462" s="4" t="s">
        <v>21</v>
      </c>
      <c r="L462" s="10">
        <v>30.0</v>
      </c>
      <c r="M462" s="54">
        <v>0.0</v>
      </c>
      <c r="N462" s="12">
        <v>0.0</v>
      </c>
      <c r="O462" s="12">
        <v>290.67</v>
      </c>
      <c r="P462" s="37">
        <f t="shared" si="11"/>
        <v>44801</v>
      </c>
      <c r="Q462" s="12">
        <v>300.0</v>
      </c>
      <c r="R462" s="14"/>
      <c r="S462" s="15">
        <v>44774.0</v>
      </c>
      <c r="T462" s="4" t="b">
        <v>1</v>
      </c>
    </row>
    <row r="463" hidden="1">
      <c r="A463" s="16" t="s">
        <v>92</v>
      </c>
      <c r="B463" s="17">
        <v>2500.0</v>
      </c>
      <c r="C463" s="16" t="s">
        <v>18</v>
      </c>
      <c r="D463" s="18">
        <v>5261.0</v>
      </c>
      <c r="E463" s="19">
        <v>44771.0</v>
      </c>
      <c r="F463" s="17">
        <v>77.78</v>
      </c>
      <c r="G463" s="20">
        <v>2022.07</v>
      </c>
      <c r="H463" s="21" t="s">
        <v>51</v>
      </c>
      <c r="I463" s="21" t="s">
        <v>52</v>
      </c>
      <c r="J463" s="21" t="s">
        <v>93</v>
      </c>
      <c r="K463" s="16" t="s">
        <v>21</v>
      </c>
      <c r="L463" s="22">
        <v>30.0</v>
      </c>
      <c r="M463" s="55">
        <v>0.0</v>
      </c>
      <c r="N463" s="23">
        <v>0.0</v>
      </c>
      <c r="O463" s="23">
        <v>2422.22</v>
      </c>
      <c r="P463" s="48">
        <f t="shared" si="11"/>
        <v>44801</v>
      </c>
      <c r="Q463" s="23">
        <v>2500.0</v>
      </c>
      <c r="R463" s="25"/>
      <c r="S463" s="26">
        <v>44774.0</v>
      </c>
      <c r="T463" s="16" t="b">
        <v>1</v>
      </c>
    </row>
    <row r="464" hidden="1">
      <c r="A464" s="31" t="s">
        <v>539</v>
      </c>
      <c r="B464" s="5">
        <f>1098*1.270118</f>
        <v>1394.589564</v>
      </c>
      <c r="C464" s="4" t="s">
        <v>18</v>
      </c>
      <c r="D464" s="6" t="s">
        <v>540</v>
      </c>
      <c r="E464" s="7">
        <v>44771.0</v>
      </c>
      <c r="F464" s="34">
        <f>40.93*1.270118</f>
        <v>51.98592974</v>
      </c>
      <c r="G464" s="8">
        <v>2022.07</v>
      </c>
      <c r="H464" s="9" t="s">
        <v>51</v>
      </c>
      <c r="I464" s="9" t="s">
        <v>52</v>
      </c>
      <c r="J464" s="9" t="s">
        <v>114</v>
      </c>
      <c r="K464" s="4" t="s">
        <v>9</v>
      </c>
      <c r="L464" s="10">
        <v>30.0</v>
      </c>
      <c r="M464" s="54">
        <v>0.0</v>
      </c>
      <c r="N464" s="12">
        <v>0.0</v>
      </c>
      <c r="O464" s="12">
        <v>1342.60363426</v>
      </c>
      <c r="P464" s="37">
        <f t="shared" si="11"/>
        <v>44801</v>
      </c>
      <c r="Q464" s="12">
        <v>350.0</v>
      </c>
      <c r="R464" s="14"/>
      <c r="S464" s="15">
        <v>44774.0</v>
      </c>
      <c r="T464" s="4" t="b">
        <v>1</v>
      </c>
    </row>
    <row r="465" hidden="1">
      <c r="A465" s="16" t="s">
        <v>123</v>
      </c>
      <c r="B465" s="17">
        <f>4500*1.27164</f>
        <v>5722.38</v>
      </c>
      <c r="C465" s="16" t="s">
        <v>18</v>
      </c>
      <c r="D465" s="18" t="s">
        <v>541</v>
      </c>
      <c r="E465" s="19">
        <v>44771.0</v>
      </c>
      <c r="F465" s="35">
        <f>166.8*1.271864</f>
        <v>212.1469152</v>
      </c>
      <c r="G465" s="20">
        <v>2022.07</v>
      </c>
      <c r="H465" s="21" t="s">
        <v>51</v>
      </c>
      <c r="I465" s="21" t="s">
        <v>52</v>
      </c>
      <c r="J465" s="21" t="s">
        <v>542</v>
      </c>
      <c r="K465" s="16" t="s">
        <v>9</v>
      </c>
      <c r="L465" s="22">
        <v>30.0</v>
      </c>
      <c r="M465" s="55">
        <v>0.2</v>
      </c>
      <c r="N465" s="23">
        <v>1102.0466169600002</v>
      </c>
      <c r="O465" s="23">
        <v>4408.18646784</v>
      </c>
      <c r="P465" s="48">
        <f t="shared" si="11"/>
        <v>44801</v>
      </c>
      <c r="Q465" s="23">
        <v>4500.0</v>
      </c>
      <c r="R465" s="25"/>
      <c r="S465" s="26">
        <v>44774.0</v>
      </c>
      <c r="T465" s="16" t="b">
        <v>1</v>
      </c>
    </row>
    <row r="466" hidden="1">
      <c r="A466" s="4" t="s">
        <v>115</v>
      </c>
      <c r="B466" s="5">
        <f t="shared" ref="B466:B467" si="12">2000*1.2596125</f>
        <v>2519.225</v>
      </c>
      <c r="C466" s="4" t="s">
        <v>18</v>
      </c>
      <c r="D466" s="6" t="s">
        <v>543</v>
      </c>
      <c r="E466" s="7">
        <v>44771.0</v>
      </c>
      <c r="F466" s="5">
        <v>0.0</v>
      </c>
      <c r="G466" s="8">
        <v>2022.07</v>
      </c>
      <c r="H466" s="9" t="s">
        <v>51</v>
      </c>
      <c r="I466" s="9" t="s">
        <v>52</v>
      </c>
      <c r="J466" s="9" t="s">
        <v>117</v>
      </c>
      <c r="K466" s="4" t="s">
        <v>9</v>
      </c>
      <c r="L466" s="10">
        <v>30.0</v>
      </c>
      <c r="M466" s="54">
        <v>0.0</v>
      </c>
      <c r="N466" s="12">
        <v>0.0</v>
      </c>
      <c r="O466" s="12">
        <v>2519.225</v>
      </c>
      <c r="P466" s="37">
        <f t="shared" si="11"/>
        <v>44801</v>
      </c>
      <c r="Q466" s="12">
        <v>2000.0</v>
      </c>
      <c r="R466" s="14"/>
      <c r="S466" s="15">
        <v>44774.0</v>
      </c>
      <c r="T466" s="4" t="b">
        <v>1</v>
      </c>
    </row>
    <row r="467" hidden="1">
      <c r="A467" s="16" t="s">
        <v>118</v>
      </c>
      <c r="B467" s="17">
        <f t="shared" si="12"/>
        <v>2519.225</v>
      </c>
      <c r="C467" s="16" t="s">
        <v>18</v>
      </c>
      <c r="D467" s="18" t="s">
        <v>544</v>
      </c>
      <c r="E467" s="19">
        <v>44771.0</v>
      </c>
      <c r="F467" s="17">
        <v>0.0</v>
      </c>
      <c r="G467" s="20">
        <v>2022.07</v>
      </c>
      <c r="H467" s="21" t="s">
        <v>51</v>
      </c>
      <c r="I467" s="21" t="s">
        <v>52</v>
      </c>
      <c r="J467" s="21" t="s">
        <v>117</v>
      </c>
      <c r="K467" s="16" t="s">
        <v>9</v>
      </c>
      <c r="L467" s="22">
        <v>30.0</v>
      </c>
      <c r="M467" s="55">
        <v>0.0</v>
      </c>
      <c r="N467" s="23">
        <v>0.0</v>
      </c>
      <c r="O467" s="23">
        <v>2519.225</v>
      </c>
      <c r="P467" s="48">
        <f t="shared" si="11"/>
        <v>44801</v>
      </c>
      <c r="Q467" s="23">
        <v>2000.0</v>
      </c>
      <c r="R467" s="25"/>
      <c r="S467" s="26">
        <v>44774.0</v>
      </c>
      <c r="T467" s="16" t="b">
        <v>1</v>
      </c>
    </row>
    <row r="468" hidden="1">
      <c r="A468" s="4" t="s">
        <v>73</v>
      </c>
      <c r="B468" s="5">
        <v>700.0</v>
      </c>
      <c r="C468" s="4" t="s">
        <v>18</v>
      </c>
      <c r="D468" s="6">
        <v>5262.0</v>
      </c>
      <c r="E468" s="7">
        <v>44771.0</v>
      </c>
      <c r="F468" s="5">
        <v>0.0</v>
      </c>
      <c r="G468" s="8">
        <v>2022.07</v>
      </c>
      <c r="H468" s="9" t="s">
        <v>51</v>
      </c>
      <c r="I468" s="9" t="s">
        <v>52</v>
      </c>
      <c r="J468" s="9" t="s">
        <v>74</v>
      </c>
      <c r="K468" s="4" t="s">
        <v>21</v>
      </c>
      <c r="L468" s="10">
        <v>30.0</v>
      </c>
      <c r="M468" s="54">
        <v>0.0</v>
      </c>
      <c r="N468" s="12">
        <v>0.0</v>
      </c>
      <c r="O468" s="12">
        <v>700.0</v>
      </c>
      <c r="P468" s="37">
        <f t="shared" si="11"/>
        <v>44801</v>
      </c>
      <c r="Q468" s="12">
        <v>700.0</v>
      </c>
      <c r="R468" s="14"/>
      <c r="S468" s="15">
        <v>44805.0</v>
      </c>
      <c r="T468" s="4" t="b">
        <v>1</v>
      </c>
    </row>
    <row r="469" hidden="1">
      <c r="A469" s="16" t="s">
        <v>499</v>
      </c>
      <c r="B469" s="17">
        <v>1450.0</v>
      </c>
      <c r="C469" s="16" t="s">
        <v>18</v>
      </c>
      <c r="D469" s="18">
        <v>5263.0</v>
      </c>
      <c r="E469" s="19">
        <v>44771.0</v>
      </c>
      <c r="F469" s="17">
        <v>48.55</v>
      </c>
      <c r="G469" s="20">
        <v>2022.07</v>
      </c>
      <c r="H469" s="21" t="s">
        <v>51</v>
      </c>
      <c r="I469" s="21" t="s">
        <v>52</v>
      </c>
      <c r="J469" s="21" t="s">
        <v>500</v>
      </c>
      <c r="K469" s="16" t="s">
        <v>21</v>
      </c>
      <c r="L469" s="22">
        <v>30.0</v>
      </c>
      <c r="M469" s="55">
        <v>0.0</v>
      </c>
      <c r="N469" s="23">
        <v>0.0</v>
      </c>
      <c r="O469" s="23">
        <v>1401.45</v>
      </c>
      <c r="P469" s="48">
        <f t="shared" si="11"/>
        <v>44801</v>
      </c>
      <c r="Q469" s="23">
        <v>1450.0</v>
      </c>
      <c r="R469" s="25"/>
      <c r="S469" s="26">
        <v>44774.0</v>
      </c>
      <c r="T469" s="16" t="b">
        <v>1</v>
      </c>
    </row>
    <row r="470" hidden="1">
      <c r="A470" s="4" t="s">
        <v>68</v>
      </c>
      <c r="B470" s="5">
        <v>650.0</v>
      </c>
      <c r="C470" s="4" t="s">
        <v>18</v>
      </c>
      <c r="D470" s="6">
        <v>5280.0</v>
      </c>
      <c r="E470" s="7">
        <v>44788.0</v>
      </c>
      <c r="F470" s="5">
        <v>20.09</v>
      </c>
      <c r="G470" s="8">
        <v>2022.08</v>
      </c>
      <c r="H470" s="9" t="s">
        <v>27</v>
      </c>
      <c r="I470" s="9" t="s">
        <v>52</v>
      </c>
      <c r="J470" s="9" t="s">
        <v>69</v>
      </c>
      <c r="K470" s="4" t="s">
        <v>21</v>
      </c>
      <c r="L470" s="10">
        <v>30.0</v>
      </c>
      <c r="M470" s="54">
        <v>0.0</v>
      </c>
      <c r="N470" s="12">
        <v>0.0</v>
      </c>
      <c r="O470" s="12">
        <v>629.91</v>
      </c>
      <c r="P470" s="37">
        <f t="shared" si="11"/>
        <v>44818</v>
      </c>
      <c r="Q470" s="12">
        <v>650.0</v>
      </c>
      <c r="R470" s="14"/>
      <c r="S470" s="15">
        <v>44805.0</v>
      </c>
      <c r="T470" s="4" t="b">
        <v>1</v>
      </c>
    </row>
    <row r="471" hidden="1">
      <c r="A471" s="16" t="s">
        <v>99</v>
      </c>
      <c r="B471" s="17">
        <f>1300*1.238496</f>
        <v>1610.0448</v>
      </c>
      <c r="C471" s="16" t="s">
        <v>18</v>
      </c>
      <c r="D471" s="18" t="s">
        <v>545</v>
      </c>
      <c r="E471" s="19">
        <v>44788.0</v>
      </c>
      <c r="F471" s="35">
        <f>48.4*1.238496</f>
        <v>59.9432064</v>
      </c>
      <c r="G471" s="20">
        <v>2022.08</v>
      </c>
      <c r="H471" s="21" t="s">
        <v>27</v>
      </c>
      <c r="I471" s="21" t="s">
        <v>52</v>
      </c>
      <c r="J471" s="21" t="s">
        <v>101</v>
      </c>
      <c r="K471" s="16" t="s">
        <v>9</v>
      </c>
      <c r="L471" s="22">
        <v>30.0</v>
      </c>
      <c r="M471" s="55">
        <v>0.2</v>
      </c>
      <c r="N471" s="23">
        <v>310.02031872000003</v>
      </c>
      <c r="O471" s="23">
        <v>1240.0812748800001</v>
      </c>
      <c r="P471" s="48">
        <f t="shared" si="11"/>
        <v>44818</v>
      </c>
      <c r="Q471" s="23">
        <v>1300.0</v>
      </c>
      <c r="R471" s="25"/>
      <c r="S471" s="26">
        <v>44805.0</v>
      </c>
      <c r="T471" s="16" t="b">
        <v>1</v>
      </c>
    </row>
    <row r="472" hidden="1">
      <c r="A472" s="4" t="s">
        <v>225</v>
      </c>
      <c r="B472" s="5">
        <v>5000.0</v>
      </c>
      <c r="C472" s="4" t="s">
        <v>18</v>
      </c>
      <c r="D472" s="6">
        <v>5281.0</v>
      </c>
      <c r="E472" s="7">
        <v>44788.0</v>
      </c>
      <c r="F472" s="5">
        <v>0.0</v>
      </c>
      <c r="G472" s="8">
        <v>2022.08</v>
      </c>
      <c r="H472" s="9" t="s">
        <v>27</v>
      </c>
      <c r="I472" s="9" t="s">
        <v>52</v>
      </c>
      <c r="J472" s="9" t="s">
        <v>546</v>
      </c>
      <c r="K472" s="4" t="s">
        <v>21</v>
      </c>
      <c r="L472" s="10">
        <v>30.0</v>
      </c>
      <c r="M472" s="54">
        <v>0.0</v>
      </c>
      <c r="N472" s="12">
        <v>0.0</v>
      </c>
      <c r="O472" s="12">
        <v>5000.0</v>
      </c>
      <c r="P472" s="37">
        <f t="shared" si="11"/>
        <v>44818</v>
      </c>
      <c r="Q472" s="12">
        <v>5000.0</v>
      </c>
      <c r="R472" s="14"/>
      <c r="S472" s="15">
        <v>44805.0</v>
      </c>
      <c r="T472" s="4" t="b">
        <v>1</v>
      </c>
    </row>
    <row r="473" hidden="1">
      <c r="A473" s="16" t="s">
        <v>102</v>
      </c>
      <c r="B473" s="17">
        <f>350*1.271864</f>
        <v>445.1524</v>
      </c>
      <c r="C473" s="16" t="s">
        <v>18</v>
      </c>
      <c r="D473" s="18" t="s">
        <v>547</v>
      </c>
      <c r="E473" s="19">
        <v>44788.0</v>
      </c>
      <c r="F473" s="35">
        <f>13.25*1.271864</f>
        <v>16.852198</v>
      </c>
      <c r="G473" s="20">
        <v>2022.08</v>
      </c>
      <c r="H473" s="21" t="s">
        <v>27</v>
      </c>
      <c r="I473" s="21" t="s">
        <v>52</v>
      </c>
      <c r="J473" s="21" t="s">
        <v>104</v>
      </c>
      <c r="K473" s="16" t="s">
        <v>9</v>
      </c>
      <c r="L473" s="22">
        <v>30.0</v>
      </c>
      <c r="M473" s="55">
        <v>0.0</v>
      </c>
      <c r="N473" s="23">
        <v>0.0</v>
      </c>
      <c r="O473" s="23">
        <v>428.30020200000007</v>
      </c>
      <c r="P473" s="48">
        <f t="shared" si="11"/>
        <v>44818</v>
      </c>
      <c r="Q473" s="23">
        <v>350.0</v>
      </c>
      <c r="R473" s="25"/>
      <c r="S473" s="26">
        <v>44805.0</v>
      </c>
      <c r="T473" s="16" t="b">
        <v>1</v>
      </c>
    </row>
    <row r="474" hidden="1">
      <c r="A474" s="4" t="s">
        <v>62</v>
      </c>
      <c r="B474" s="5">
        <v>1600.0</v>
      </c>
      <c r="C474" s="4" t="s">
        <v>18</v>
      </c>
      <c r="D474" s="6">
        <v>5282.0</v>
      </c>
      <c r="E474" s="7">
        <v>44788.0</v>
      </c>
      <c r="F474" s="5">
        <v>49.78</v>
      </c>
      <c r="G474" s="8">
        <v>2022.08</v>
      </c>
      <c r="H474" s="9" t="s">
        <v>27</v>
      </c>
      <c r="I474" s="9" t="s">
        <v>52</v>
      </c>
      <c r="J474" s="9" t="s">
        <v>63</v>
      </c>
      <c r="K474" s="4" t="s">
        <v>21</v>
      </c>
      <c r="L474" s="10">
        <v>30.0</v>
      </c>
      <c r="M474" s="54">
        <v>0.0</v>
      </c>
      <c r="N474" s="12">
        <v>0.0</v>
      </c>
      <c r="O474" s="12">
        <v>1550.22</v>
      </c>
      <c r="P474" s="37">
        <f t="shared" si="11"/>
        <v>44818</v>
      </c>
      <c r="Q474" s="12">
        <v>1600.0</v>
      </c>
      <c r="R474" s="14"/>
      <c r="S474" s="15">
        <v>44805.0</v>
      </c>
      <c r="T474" s="4" t="b">
        <v>1</v>
      </c>
    </row>
    <row r="475" hidden="1">
      <c r="A475" s="16" t="s">
        <v>66</v>
      </c>
      <c r="B475" s="17">
        <v>900.0</v>
      </c>
      <c r="C475" s="16" t="s">
        <v>18</v>
      </c>
      <c r="D475" s="18">
        <v>5283.0</v>
      </c>
      <c r="E475" s="19">
        <v>44788.0</v>
      </c>
      <c r="F475" s="17">
        <v>0.0</v>
      </c>
      <c r="G475" s="20">
        <v>2022.08</v>
      </c>
      <c r="H475" s="21" t="s">
        <v>27</v>
      </c>
      <c r="I475" s="21" t="s">
        <v>52</v>
      </c>
      <c r="J475" s="21" t="s">
        <v>294</v>
      </c>
      <c r="K475" s="16" t="s">
        <v>21</v>
      </c>
      <c r="L475" s="22">
        <v>30.0</v>
      </c>
      <c r="M475" s="55">
        <v>0.0</v>
      </c>
      <c r="N475" s="23">
        <v>0.0</v>
      </c>
      <c r="O475" s="23">
        <v>900.0</v>
      </c>
      <c r="P475" s="48">
        <f t="shared" si="11"/>
        <v>44818</v>
      </c>
      <c r="Q475" s="23">
        <v>900.0</v>
      </c>
      <c r="R475" s="25"/>
      <c r="S475" s="26">
        <v>44805.0</v>
      </c>
      <c r="T475" s="16" t="b">
        <v>1</v>
      </c>
    </row>
    <row r="476" hidden="1">
      <c r="A476" s="4" t="s">
        <v>465</v>
      </c>
      <c r="B476" s="5">
        <v>500.0</v>
      </c>
      <c r="C476" s="4" t="s">
        <v>18</v>
      </c>
      <c r="D476" s="6">
        <v>5284.0</v>
      </c>
      <c r="E476" s="7">
        <v>44788.0</v>
      </c>
      <c r="F476" s="5">
        <v>15.56</v>
      </c>
      <c r="G476" s="8">
        <v>2022.08</v>
      </c>
      <c r="H476" s="9" t="s">
        <v>27</v>
      </c>
      <c r="I476" s="9" t="s">
        <v>52</v>
      </c>
      <c r="J476" s="9" t="s">
        <v>466</v>
      </c>
      <c r="K476" s="4" t="s">
        <v>21</v>
      </c>
      <c r="L476" s="10">
        <v>15.0</v>
      </c>
      <c r="M476" s="54">
        <v>0.0</v>
      </c>
      <c r="N476" s="12">
        <v>0.0</v>
      </c>
      <c r="O476" s="12">
        <v>484.44</v>
      </c>
      <c r="P476" s="37">
        <f t="shared" si="11"/>
        <v>44803</v>
      </c>
      <c r="Q476" s="12">
        <v>500.0</v>
      </c>
      <c r="R476" s="14"/>
      <c r="S476" s="15">
        <v>44805.0</v>
      </c>
      <c r="T476" s="4" t="b">
        <v>1</v>
      </c>
    </row>
    <row r="477" hidden="1">
      <c r="A477" s="16" t="s">
        <v>467</v>
      </c>
      <c r="B477" s="17">
        <f>280*1.295532</f>
        <v>362.74896</v>
      </c>
      <c r="C477" s="16" t="s">
        <v>18</v>
      </c>
      <c r="D477" s="18" t="s">
        <v>548</v>
      </c>
      <c r="E477" s="19">
        <v>44788.0</v>
      </c>
      <c r="F477" s="35">
        <f>10.66*1.295532</f>
        <v>13.81037112</v>
      </c>
      <c r="G477" s="20">
        <v>2022.08</v>
      </c>
      <c r="H477" s="21" t="s">
        <v>27</v>
      </c>
      <c r="I477" s="21" t="s">
        <v>52</v>
      </c>
      <c r="J477" s="21" t="s">
        <v>469</v>
      </c>
      <c r="K477" s="16" t="s">
        <v>9</v>
      </c>
      <c r="L477" s="22">
        <v>0.0</v>
      </c>
      <c r="M477" s="55">
        <v>0.2</v>
      </c>
      <c r="N477" s="23">
        <v>69.787717776</v>
      </c>
      <c r="O477" s="23">
        <v>279.150871104</v>
      </c>
      <c r="P477" s="48">
        <f t="shared" si="11"/>
        <v>44788</v>
      </c>
      <c r="Q477" s="23">
        <v>280.0</v>
      </c>
      <c r="R477" s="25"/>
      <c r="S477" s="26">
        <v>44805.0</v>
      </c>
      <c r="T477" s="16" t="b">
        <v>1</v>
      </c>
    </row>
    <row r="478" hidden="1">
      <c r="A478" s="4" t="s">
        <v>549</v>
      </c>
      <c r="B478" s="5">
        <f>600*1.249166</f>
        <v>749.4996</v>
      </c>
      <c r="C478" s="4" t="s">
        <v>18</v>
      </c>
      <c r="D478" s="6" t="s">
        <v>550</v>
      </c>
      <c r="E478" s="7">
        <v>44788.0</v>
      </c>
      <c r="F478" s="34">
        <f>22.5*1.249166</f>
        <v>28.106235</v>
      </c>
      <c r="G478" s="8">
        <v>2022.08</v>
      </c>
      <c r="H478" s="9" t="s">
        <v>27</v>
      </c>
      <c r="I478" s="9" t="s">
        <v>52</v>
      </c>
      <c r="J478" s="9" t="s">
        <v>551</v>
      </c>
      <c r="K478" s="4" t="s">
        <v>9</v>
      </c>
      <c r="L478" s="10">
        <v>0.0</v>
      </c>
      <c r="M478" s="54">
        <v>0.0</v>
      </c>
      <c r="N478" s="12">
        <v>0.0</v>
      </c>
      <c r="O478" s="12">
        <v>721.393365</v>
      </c>
      <c r="P478" s="37">
        <f t="shared" si="11"/>
        <v>44788</v>
      </c>
      <c r="Q478" s="12">
        <v>600.0</v>
      </c>
      <c r="R478" s="14"/>
      <c r="S478" s="15">
        <v>44805.0</v>
      </c>
      <c r="T478" s="4" t="b">
        <v>1</v>
      </c>
    </row>
    <row r="479" hidden="1">
      <c r="A479" s="16" t="s">
        <v>552</v>
      </c>
      <c r="B479" s="17">
        <v>450.0</v>
      </c>
      <c r="C479" s="16" t="s">
        <v>18</v>
      </c>
      <c r="D479" s="18">
        <v>5285.0</v>
      </c>
      <c r="E479" s="19">
        <v>44788.0</v>
      </c>
      <c r="F479" s="17">
        <v>14.0</v>
      </c>
      <c r="G479" s="20">
        <v>2022.08</v>
      </c>
      <c r="H479" s="21" t="s">
        <v>27</v>
      </c>
      <c r="I479" s="21" t="s">
        <v>252</v>
      </c>
      <c r="J479" s="21" t="s">
        <v>553</v>
      </c>
      <c r="K479" s="16" t="s">
        <v>21</v>
      </c>
      <c r="L479" s="22">
        <v>15.0</v>
      </c>
      <c r="M479" s="55">
        <v>0.0</v>
      </c>
      <c r="N479" s="23">
        <v>0.0</v>
      </c>
      <c r="O479" s="23">
        <v>436.0</v>
      </c>
      <c r="P479" s="48">
        <f t="shared" si="11"/>
        <v>44803</v>
      </c>
      <c r="Q479" s="23">
        <v>450.0</v>
      </c>
      <c r="R479" s="25"/>
      <c r="S479" s="26">
        <v>44805.0</v>
      </c>
      <c r="T479" s="16" t="b">
        <v>1</v>
      </c>
    </row>
    <row r="480" hidden="1">
      <c r="A480" s="4" t="s">
        <v>223</v>
      </c>
      <c r="B480" s="5">
        <v>800.0</v>
      </c>
      <c r="C480" s="4" t="s">
        <v>18</v>
      </c>
      <c r="D480" s="6">
        <v>5288.0</v>
      </c>
      <c r="E480" s="7">
        <v>44804.0</v>
      </c>
      <c r="F480" s="5">
        <v>24.89</v>
      </c>
      <c r="G480" s="8">
        <v>2022.08</v>
      </c>
      <c r="H480" s="9" t="s">
        <v>51</v>
      </c>
      <c r="I480" s="9" t="s">
        <v>52</v>
      </c>
      <c r="J480" s="9" t="s">
        <v>247</v>
      </c>
      <c r="K480" s="4" t="s">
        <v>21</v>
      </c>
      <c r="L480" s="10">
        <v>30.0</v>
      </c>
      <c r="M480" s="54">
        <v>0.0</v>
      </c>
      <c r="N480" s="12">
        <v>0.0</v>
      </c>
      <c r="O480" s="12">
        <v>775.11</v>
      </c>
      <c r="P480" s="37">
        <f t="shared" si="11"/>
        <v>44834</v>
      </c>
      <c r="Q480" s="12">
        <v>800.0</v>
      </c>
      <c r="R480" s="14"/>
      <c r="S480" s="15">
        <v>44805.0</v>
      </c>
      <c r="T480" s="4" t="b">
        <v>1</v>
      </c>
    </row>
    <row r="481" hidden="1">
      <c r="A481" s="16" t="s">
        <v>54</v>
      </c>
      <c r="B481" s="17">
        <v>750.0</v>
      </c>
      <c r="C481" s="16" t="s">
        <v>18</v>
      </c>
      <c r="D481" s="18">
        <v>5302.0</v>
      </c>
      <c r="E481" s="19">
        <v>44804.0</v>
      </c>
      <c r="F481" s="17">
        <v>23.33</v>
      </c>
      <c r="G481" s="20">
        <v>2022.08</v>
      </c>
      <c r="H481" s="21" t="s">
        <v>51</v>
      </c>
      <c r="I481" s="21" t="s">
        <v>52</v>
      </c>
      <c r="J481" s="21" t="s">
        <v>55</v>
      </c>
      <c r="K481" s="16" t="s">
        <v>21</v>
      </c>
      <c r="L481" s="22">
        <v>30.0</v>
      </c>
      <c r="M481" s="55">
        <v>0.0</v>
      </c>
      <c r="N481" s="23">
        <v>0.0</v>
      </c>
      <c r="O481" s="23">
        <v>726.67</v>
      </c>
      <c r="P481" s="48">
        <f t="shared" si="11"/>
        <v>44834</v>
      </c>
      <c r="Q481" s="23">
        <v>750.0</v>
      </c>
      <c r="R481" s="25"/>
      <c r="S481" s="26">
        <v>44805.0</v>
      </c>
      <c r="T481" s="16" t="b">
        <v>1</v>
      </c>
    </row>
    <row r="482" hidden="1">
      <c r="A482" s="4" t="s">
        <v>147</v>
      </c>
      <c r="B482" s="5">
        <v>900.0</v>
      </c>
      <c r="C482" s="4" t="s">
        <v>18</v>
      </c>
      <c r="D482" s="6">
        <v>5289.0</v>
      </c>
      <c r="E482" s="7">
        <v>44804.0</v>
      </c>
      <c r="F482" s="5">
        <v>0.0</v>
      </c>
      <c r="G482" s="8">
        <v>2022.08</v>
      </c>
      <c r="H482" s="9" t="s">
        <v>51</v>
      </c>
      <c r="I482" s="9" t="s">
        <v>52</v>
      </c>
      <c r="J482" s="9" t="s">
        <v>554</v>
      </c>
      <c r="K482" s="4" t="s">
        <v>21</v>
      </c>
      <c r="L482" s="10">
        <v>30.0</v>
      </c>
      <c r="M482" s="54">
        <v>0.0</v>
      </c>
      <c r="N482" s="12">
        <v>0.0</v>
      </c>
      <c r="O482" s="12">
        <v>900.0</v>
      </c>
      <c r="P482" s="37">
        <f t="shared" si="11"/>
        <v>44834</v>
      </c>
      <c r="Q482" s="12">
        <v>900.0</v>
      </c>
      <c r="R482" s="14"/>
      <c r="S482" s="15">
        <v>44805.0</v>
      </c>
      <c r="T482" s="4" t="b">
        <v>1</v>
      </c>
    </row>
    <row r="483" hidden="1">
      <c r="A483" s="16" t="s">
        <v>58</v>
      </c>
      <c r="B483" s="17">
        <v>1550.0</v>
      </c>
      <c r="C483" s="16" t="s">
        <v>18</v>
      </c>
      <c r="D483" s="18">
        <v>5290.0</v>
      </c>
      <c r="E483" s="19">
        <v>44804.0</v>
      </c>
      <c r="F483" s="17">
        <v>48.22</v>
      </c>
      <c r="G483" s="20">
        <v>2022.08</v>
      </c>
      <c r="H483" s="21" t="s">
        <v>51</v>
      </c>
      <c r="I483" s="21" t="s">
        <v>52</v>
      </c>
      <c r="J483" s="21" t="s">
        <v>59</v>
      </c>
      <c r="K483" s="16" t="s">
        <v>21</v>
      </c>
      <c r="L483" s="22">
        <v>30.0</v>
      </c>
      <c r="M483" s="55">
        <v>0.0</v>
      </c>
      <c r="N483" s="23">
        <v>0.0</v>
      </c>
      <c r="O483" s="23">
        <v>1501.78</v>
      </c>
      <c r="P483" s="48">
        <f t="shared" si="11"/>
        <v>44834</v>
      </c>
      <c r="Q483" s="23">
        <v>1550.0</v>
      </c>
      <c r="R483" s="25"/>
      <c r="S483" s="26">
        <v>44805.0</v>
      </c>
      <c r="T483" s="16" t="b">
        <v>1</v>
      </c>
    </row>
    <row r="484" hidden="1">
      <c r="A484" s="4" t="s">
        <v>84</v>
      </c>
      <c r="B484" s="5">
        <v>1000.0</v>
      </c>
      <c r="C484" s="4" t="s">
        <v>18</v>
      </c>
      <c r="D484" s="6">
        <v>5291.0</v>
      </c>
      <c r="E484" s="7">
        <v>44804.0</v>
      </c>
      <c r="F484" s="5">
        <v>0.0</v>
      </c>
      <c r="G484" s="8">
        <v>2022.08</v>
      </c>
      <c r="H484" s="9" t="s">
        <v>51</v>
      </c>
      <c r="I484" s="9" t="s">
        <v>52</v>
      </c>
      <c r="J484" s="9" t="s">
        <v>85</v>
      </c>
      <c r="K484" s="4" t="s">
        <v>21</v>
      </c>
      <c r="L484" s="10">
        <v>30.0</v>
      </c>
      <c r="M484" s="54">
        <v>0.0</v>
      </c>
      <c r="N484" s="12">
        <v>0.0</v>
      </c>
      <c r="O484" s="12">
        <v>1000.0</v>
      </c>
      <c r="P484" s="37">
        <f t="shared" si="11"/>
        <v>44834</v>
      </c>
      <c r="Q484" s="12">
        <v>1000.0</v>
      </c>
      <c r="R484" s="14"/>
      <c r="S484" s="15">
        <v>44805.0</v>
      </c>
      <c r="T484" s="4" t="b">
        <v>1</v>
      </c>
    </row>
    <row r="485" hidden="1">
      <c r="A485" s="16" t="s">
        <v>42</v>
      </c>
      <c r="B485" s="17">
        <v>1500.0</v>
      </c>
      <c r="C485" s="16" t="s">
        <v>18</v>
      </c>
      <c r="D485" s="18">
        <v>5292.0</v>
      </c>
      <c r="E485" s="19">
        <v>44804.0</v>
      </c>
      <c r="F485" s="17">
        <v>46.67</v>
      </c>
      <c r="G485" s="20">
        <v>2022.08</v>
      </c>
      <c r="H485" s="21" t="s">
        <v>51</v>
      </c>
      <c r="I485" s="21" t="s">
        <v>52</v>
      </c>
      <c r="J485" s="21" t="s">
        <v>43</v>
      </c>
      <c r="K485" s="16" t="s">
        <v>21</v>
      </c>
      <c r="L485" s="22">
        <v>30.0</v>
      </c>
      <c r="M485" s="55">
        <v>0.15</v>
      </c>
      <c r="N485" s="23">
        <v>217.99949999999998</v>
      </c>
      <c r="O485" s="23">
        <v>1235.3305</v>
      </c>
      <c r="P485" s="48">
        <f t="shared" si="11"/>
        <v>44834</v>
      </c>
      <c r="Q485" s="23">
        <v>1500.0</v>
      </c>
      <c r="R485" s="25"/>
      <c r="S485" s="26">
        <v>44805.0</v>
      </c>
      <c r="T485" s="16" t="b">
        <v>1</v>
      </c>
    </row>
    <row r="486" hidden="1">
      <c r="A486" s="4" t="s">
        <v>82</v>
      </c>
      <c r="B486" s="5">
        <v>800.0</v>
      </c>
      <c r="C486" s="4" t="s">
        <v>18</v>
      </c>
      <c r="D486" s="6">
        <v>5293.0</v>
      </c>
      <c r="E486" s="7">
        <v>44804.0</v>
      </c>
      <c r="F486" s="5">
        <v>0.0</v>
      </c>
      <c r="G486" s="8">
        <v>2022.08</v>
      </c>
      <c r="H486" s="9" t="s">
        <v>51</v>
      </c>
      <c r="I486" s="9" t="s">
        <v>52</v>
      </c>
      <c r="J486" s="9" t="s">
        <v>83</v>
      </c>
      <c r="K486" s="4" t="s">
        <v>21</v>
      </c>
      <c r="L486" s="10">
        <v>30.0</v>
      </c>
      <c r="M486" s="54">
        <v>0.0</v>
      </c>
      <c r="N486" s="12">
        <v>0.0</v>
      </c>
      <c r="O486" s="12">
        <v>800.0</v>
      </c>
      <c r="P486" s="37">
        <f t="shared" si="11"/>
        <v>44834</v>
      </c>
      <c r="Q486" s="12">
        <v>800.0</v>
      </c>
      <c r="R486" s="14"/>
      <c r="S486" s="15">
        <v>44805.0</v>
      </c>
      <c r="T486" s="4" t="b">
        <v>1</v>
      </c>
    </row>
    <row r="487" hidden="1">
      <c r="A487" s="16" t="s">
        <v>88</v>
      </c>
      <c r="B487" s="17">
        <v>500.0</v>
      </c>
      <c r="C487" s="16" t="s">
        <v>18</v>
      </c>
      <c r="D487" s="18">
        <v>5294.0</v>
      </c>
      <c r="E487" s="19">
        <v>44804.0</v>
      </c>
      <c r="F487" s="17">
        <v>15.53</v>
      </c>
      <c r="G487" s="20">
        <v>2022.08</v>
      </c>
      <c r="H487" s="21" t="s">
        <v>51</v>
      </c>
      <c r="I487" s="21" t="s">
        <v>52</v>
      </c>
      <c r="J487" s="21" t="s">
        <v>89</v>
      </c>
      <c r="K487" s="16" t="s">
        <v>21</v>
      </c>
      <c r="L487" s="22">
        <v>30.0</v>
      </c>
      <c r="M487" s="55">
        <v>0.0</v>
      </c>
      <c r="N487" s="23">
        <v>0.0</v>
      </c>
      <c r="O487" s="23">
        <v>484.47</v>
      </c>
      <c r="P487" s="48">
        <f t="shared" si="11"/>
        <v>44834</v>
      </c>
      <c r="Q487" s="23">
        <v>500.0</v>
      </c>
      <c r="R487" s="25"/>
      <c r="S487" s="26">
        <v>44805.0</v>
      </c>
      <c r="T487" s="16" t="b">
        <v>1</v>
      </c>
    </row>
    <row r="488" hidden="1">
      <c r="A488" s="4" t="s">
        <v>50</v>
      </c>
      <c r="B488" s="5">
        <v>375.0</v>
      </c>
      <c r="C488" s="4" t="s">
        <v>18</v>
      </c>
      <c r="D488" s="6">
        <v>5295.0</v>
      </c>
      <c r="E488" s="7">
        <v>44804.0</v>
      </c>
      <c r="F488" s="5">
        <v>0.0</v>
      </c>
      <c r="G488" s="8">
        <v>2022.08</v>
      </c>
      <c r="H488" s="9" t="s">
        <v>51</v>
      </c>
      <c r="I488" s="9" t="s">
        <v>52</v>
      </c>
      <c r="J488" s="9" t="s">
        <v>400</v>
      </c>
      <c r="K488" s="4" t="s">
        <v>21</v>
      </c>
      <c r="L488" s="10">
        <v>30.0</v>
      </c>
      <c r="M488" s="54">
        <v>0.0</v>
      </c>
      <c r="N488" s="12">
        <v>0.0</v>
      </c>
      <c r="O488" s="12">
        <v>375.0</v>
      </c>
      <c r="P488" s="37">
        <f t="shared" si="11"/>
        <v>44834</v>
      </c>
      <c r="Q488" s="12">
        <v>375.0</v>
      </c>
      <c r="R488" s="14"/>
      <c r="S488" s="15">
        <v>44805.0</v>
      </c>
      <c r="T488" s="4" t="b">
        <v>1</v>
      </c>
    </row>
    <row r="489" hidden="1">
      <c r="A489" s="16" t="s">
        <v>75</v>
      </c>
      <c r="B489" s="17">
        <v>500.0</v>
      </c>
      <c r="C489" s="16" t="s">
        <v>18</v>
      </c>
      <c r="D489" s="18">
        <v>5296.0</v>
      </c>
      <c r="E489" s="19">
        <v>44804.0</v>
      </c>
      <c r="F489" s="17">
        <v>0.0</v>
      </c>
      <c r="G489" s="20">
        <v>2022.08</v>
      </c>
      <c r="H489" s="21" t="s">
        <v>51</v>
      </c>
      <c r="I489" s="21" t="s">
        <v>52</v>
      </c>
      <c r="J489" s="21" t="s">
        <v>76</v>
      </c>
      <c r="K489" s="16" t="s">
        <v>21</v>
      </c>
      <c r="L489" s="22">
        <v>30.0</v>
      </c>
      <c r="M489" s="55">
        <v>0.0</v>
      </c>
      <c r="N489" s="23">
        <v>0.0</v>
      </c>
      <c r="O489" s="23">
        <v>500.0</v>
      </c>
      <c r="P489" s="48">
        <f t="shared" si="11"/>
        <v>44834</v>
      </c>
      <c r="Q489" s="23">
        <v>500.0</v>
      </c>
      <c r="R489" s="25"/>
      <c r="S489" s="26">
        <v>44805.0</v>
      </c>
      <c r="T489" s="16" t="b">
        <v>1</v>
      </c>
    </row>
    <row r="490" hidden="1">
      <c r="A490" s="4" t="s">
        <v>105</v>
      </c>
      <c r="B490" s="5">
        <f>300*1.271864</f>
        <v>381.5592</v>
      </c>
      <c r="C490" s="4" t="s">
        <v>18</v>
      </c>
      <c r="D490" s="6" t="s">
        <v>555</v>
      </c>
      <c r="E490" s="7">
        <v>44804.0</v>
      </c>
      <c r="F490" s="34">
        <f>11.4*1.271864</f>
        <v>14.4992496</v>
      </c>
      <c r="G490" s="8">
        <v>2022.08</v>
      </c>
      <c r="H490" s="9" t="s">
        <v>51</v>
      </c>
      <c r="I490" s="9" t="s">
        <v>52</v>
      </c>
      <c r="J490" s="9" t="s">
        <v>154</v>
      </c>
      <c r="K490" s="4" t="s">
        <v>9</v>
      </c>
      <c r="L490" s="10">
        <v>30.0</v>
      </c>
      <c r="M490" s="54">
        <v>0.0</v>
      </c>
      <c r="N490" s="12">
        <v>0.0</v>
      </c>
      <c r="O490" s="12">
        <v>367.05995040000005</v>
      </c>
      <c r="P490" s="37">
        <f t="shared" si="11"/>
        <v>44834</v>
      </c>
      <c r="Q490" s="12">
        <v>300.0</v>
      </c>
      <c r="R490" s="14"/>
      <c r="S490" s="15">
        <v>44805.0</v>
      </c>
      <c r="T490" s="4" t="b">
        <v>1</v>
      </c>
    </row>
    <row r="491" hidden="1">
      <c r="A491" s="16" t="s">
        <v>90</v>
      </c>
      <c r="B491" s="17">
        <v>1150.0</v>
      </c>
      <c r="C491" s="16" t="s">
        <v>18</v>
      </c>
      <c r="D491" s="18">
        <v>5297.0</v>
      </c>
      <c r="E491" s="19">
        <v>44804.0</v>
      </c>
      <c r="F491" s="17">
        <v>0.0</v>
      </c>
      <c r="G491" s="20">
        <v>2022.08</v>
      </c>
      <c r="H491" s="21" t="s">
        <v>51</v>
      </c>
      <c r="I491" s="21" t="s">
        <v>52</v>
      </c>
      <c r="J491" s="21" t="s">
        <v>215</v>
      </c>
      <c r="K491" s="16" t="s">
        <v>21</v>
      </c>
      <c r="L491" s="22">
        <v>30.0</v>
      </c>
      <c r="M491" s="55">
        <v>0.0</v>
      </c>
      <c r="N491" s="23">
        <v>0.0</v>
      </c>
      <c r="O491" s="23">
        <v>1150.0</v>
      </c>
      <c r="P491" s="48">
        <f t="shared" si="11"/>
        <v>44834</v>
      </c>
      <c r="Q491" s="23">
        <v>1150.0</v>
      </c>
      <c r="R491" s="25"/>
      <c r="S491" s="26">
        <v>44805.0</v>
      </c>
      <c r="T491" s="16" t="b">
        <v>1</v>
      </c>
    </row>
    <row r="492" hidden="1">
      <c r="A492" s="4" t="s">
        <v>97</v>
      </c>
      <c r="B492" s="5">
        <v>300.0</v>
      </c>
      <c r="C492" s="4" t="s">
        <v>18</v>
      </c>
      <c r="D492" s="6">
        <v>5298.0</v>
      </c>
      <c r="E492" s="7">
        <v>44804.0</v>
      </c>
      <c r="F492" s="5">
        <v>9.33</v>
      </c>
      <c r="G492" s="8">
        <v>2022.08</v>
      </c>
      <c r="H492" s="9" t="s">
        <v>51</v>
      </c>
      <c r="I492" s="9" t="s">
        <v>52</v>
      </c>
      <c r="J492" s="9" t="s">
        <v>98</v>
      </c>
      <c r="K492" s="4" t="s">
        <v>21</v>
      </c>
      <c r="L492" s="10">
        <v>30.0</v>
      </c>
      <c r="M492" s="54">
        <v>0.0</v>
      </c>
      <c r="N492" s="12">
        <v>0.0</v>
      </c>
      <c r="O492" s="12">
        <v>290.67</v>
      </c>
      <c r="P492" s="37">
        <f t="shared" si="11"/>
        <v>44834</v>
      </c>
      <c r="Q492" s="12">
        <v>300.0</v>
      </c>
      <c r="R492" s="14"/>
      <c r="S492" s="15">
        <v>44805.0</v>
      </c>
      <c r="T492" s="4" t="b">
        <v>1</v>
      </c>
    </row>
    <row r="493" hidden="1">
      <c r="A493" s="16" t="s">
        <v>92</v>
      </c>
      <c r="B493" s="17">
        <v>2500.0</v>
      </c>
      <c r="C493" s="16" t="s">
        <v>18</v>
      </c>
      <c r="D493" s="18">
        <v>5299.0</v>
      </c>
      <c r="E493" s="19">
        <v>44804.0</v>
      </c>
      <c r="F493" s="17">
        <v>77.78</v>
      </c>
      <c r="G493" s="20">
        <v>2022.08</v>
      </c>
      <c r="H493" s="21" t="s">
        <v>51</v>
      </c>
      <c r="I493" s="21" t="s">
        <v>52</v>
      </c>
      <c r="J493" s="21" t="s">
        <v>93</v>
      </c>
      <c r="K493" s="16" t="s">
        <v>21</v>
      </c>
      <c r="L493" s="22">
        <v>30.0</v>
      </c>
      <c r="M493" s="55">
        <v>0.0</v>
      </c>
      <c r="N493" s="23">
        <v>0.0</v>
      </c>
      <c r="O493" s="23">
        <v>2422.22</v>
      </c>
      <c r="P493" s="48">
        <f t="shared" si="11"/>
        <v>44834</v>
      </c>
      <c r="Q493" s="23">
        <v>2500.0</v>
      </c>
      <c r="R493" s="25"/>
      <c r="S493" s="26">
        <v>44805.0</v>
      </c>
      <c r="T493" s="16" t="b">
        <v>1</v>
      </c>
    </row>
    <row r="494" hidden="1">
      <c r="A494" s="4" t="s">
        <v>123</v>
      </c>
      <c r="B494" s="5">
        <f>4500*1.336175</f>
        <v>6012.7875</v>
      </c>
      <c r="C494" s="4" t="s">
        <v>18</v>
      </c>
      <c r="D494" s="6" t="s">
        <v>556</v>
      </c>
      <c r="E494" s="7">
        <v>44804.0</v>
      </c>
      <c r="F494" s="34">
        <f>166.8*1.336175</f>
        <v>222.87399</v>
      </c>
      <c r="G494" s="8">
        <v>2022.08</v>
      </c>
      <c r="H494" s="9" t="s">
        <v>51</v>
      </c>
      <c r="I494" s="9" t="s">
        <v>52</v>
      </c>
      <c r="J494" s="9" t="s">
        <v>557</v>
      </c>
      <c r="K494" s="4" t="s">
        <v>9</v>
      </c>
      <c r="L494" s="10">
        <v>30.0</v>
      </c>
      <c r="M494" s="54">
        <v>0.2</v>
      </c>
      <c r="N494" s="12">
        <v>1157.982702</v>
      </c>
      <c r="O494" s="12">
        <v>4631.930807999999</v>
      </c>
      <c r="P494" s="37">
        <f t="shared" si="11"/>
        <v>44834</v>
      </c>
      <c r="Q494" s="12">
        <v>4500.0</v>
      </c>
      <c r="R494" s="14"/>
      <c r="S494" s="15">
        <v>44805.0</v>
      </c>
      <c r="T494" s="4" t="b">
        <v>1</v>
      </c>
    </row>
    <row r="495" hidden="1">
      <c r="A495" s="16" t="s">
        <v>115</v>
      </c>
      <c r="B495" s="17">
        <f t="shared" ref="B495:B496" si="13">2000*1.2596125</f>
        <v>2519.225</v>
      </c>
      <c r="C495" s="16" t="s">
        <v>18</v>
      </c>
      <c r="D495" s="18" t="s">
        <v>558</v>
      </c>
      <c r="E495" s="19">
        <v>44804.0</v>
      </c>
      <c r="F495" s="17">
        <v>0.0</v>
      </c>
      <c r="G495" s="20">
        <v>2022.08</v>
      </c>
      <c r="H495" s="21" t="s">
        <v>51</v>
      </c>
      <c r="I495" s="21" t="s">
        <v>52</v>
      </c>
      <c r="J495" s="21" t="s">
        <v>117</v>
      </c>
      <c r="K495" s="16" t="s">
        <v>9</v>
      </c>
      <c r="L495" s="22">
        <v>30.0</v>
      </c>
      <c r="M495" s="55">
        <v>0.0</v>
      </c>
      <c r="N495" s="23">
        <v>0.0</v>
      </c>
      <c r="O495" s="23">
        <v>2519.225</v>
      </c>
      <c r="P495" s="48">
        <f t="shared" si="11"/>
        <v>44834</v>
      </c>
      <c r="Q495" s="23">
        <v>2000.0</v>
      </c>
      <c r="R495" s="25"/>
      <c r="S495" s="26">
        <v>44805.0</v>
      </c>
      <c r="T495" s="16" t="b">
        <v>1</v>
      </c>
    </row>
    <row r="496" hidden="1">
      <c r="A496" s="4" t="s">
        <v>118</v>
      </c>
      <c r="B496" s="5">
        <f t="shared" si="13"/>
        <v>2519.225</v>
      </c>
      <c r="C496" s="4" t="s">
        <v>18</v>
      </c>
      <c r="D496" s="6" t="s">
        <v>559</v>
      </c>
      <c r="E496" s="7">
        <v>44804.0</v>
      </c>
      <c r="F496" s="5">
        <v>0.0</v>
      </c>
      <c r="G496" s="8">
        <v>2022.08</v>
      </c>
      <c r="H496" s="9" t="s">
        <v>51</v>
      </c>
      <c r="I496" s="9" t="s">
        <v>52</v>
      </c>
      <c r="J496" s="9" t="s">
        <v>117</v>
      </c>
      <c r="K496" s="4" t="s">
        <v>9</v>
      </c>
      <c r="L496" s="10">
        <v>30.0</v>
      </c>
      <c r="M496" s="54">
        <v>0.0</v>
      </c>
      <c r="N496" s="12">
        <v>0.0</v>
      </c>
      <c r="O496" s="12">
        <v>2519.225</v>
      </c>
      <c r="P496" s="37">
        <f t="shared" si="11"/>
        <v>44834</v>
      </c>
      <c r="Q496" s="12">
        <v>2000.0</v>
      </c>
      <c r="R496" s="14"/>
      <c r="S496" s="15">
        <v>44805.0</v>
      </c>
      <c r="T496" s="4" t="b">
        <v>1</v>
      </c>
    </row>
    <row r="497" hidden="1">
      <c r="A497" s="16" t="s">
        <v>73</v>
      </c>
      <c r="B497" s="17">
        <v>700.0</v>
      </c>
      <c r="C497" s="16" t="s">
        <v>18</v>
      </c>
      <c r="D497" s="18">
        <v>5300.0</v>
      </c>
      <c r="E497" s="19">
        <v>44804.0</v>
      </c>
      <c r="F497" s="17">
        <v>0.0</v>
      </c>
      <c r="G497" s="20">
        <v>2022.08</v>
      </c>
      <c r="H497" s="21" t="s">
        <v>51</v>
      </c>
      <c r="I497" s="21" t="s">
        <v>52</v>
      </c>
      <c r="J497" s="21" t="s">
        <v>74</v>
      </c>
      <c r="K497" s="16" t="s">
        <v>21</v>
      </c>
      <c r="L497" s="22">
        <v>30.0</v>
      </c>
      <c r="M497" s="55">
        <v>0.0</v>
      </c>
      <c r="N497" s="23">
        <v>0.0</v>
      </c>
      <c r="O497" s="23">
        <v>700.0</v>
      </c>
      <c r="P497" s="24"/>
      <c r="Q497" s="23">
        <v>700.0</v>
      </c>
      <c r="R497" s="25"/>
      <c r="S497" s="26">
        <v>44835.0</v>
      </c>
      <c r="T497" s="16" t="b">
        <v>1</v>
      </c>
    </row>
    <row r="498" hidden="1">
      <c r="A498" s="4" t="s">
        <v>499</v>
      </c>
      <c r="B498" s="5">
        <v>1450.0</v>
      </c>
      <c r="C498" s="4" t="s">
        <v>18</v>
      </c>
      <c r="D498" s="6">
        <v>5301.0</v>
      </c>
      <c r="E498" s="7">
        <v>44804.0</v>
      </c>
      <c r="F498" s="5">
        <v>48.55</v>
      </c>
      <c r="G498" s="8">
        <v>2022.08</v>
      </c>
      <c r="H498" s="9" t="s">
        <v>51</v>
      </c>
      <c r="I498" s="9" t="s">
        <v>52</v>
      </c>
      <c r="J498" s="9" t="s">
        <v>500</v>
      </c>
      <c r="K498" s="4" t="s">
        <v>21</v>
      </c>
      <c r="L498" s="10">
        <v>30.0</v>
      </c>
      <c r="M498" s="54">
        <v>0.0</v>
      </c>
      <c r="N498" s="12">
        <v>0.0</v>
      </c>
      <c r="O498" s="12">
        <v>1401.45</v>
      </c>
      <c r="P498" s="37">
        <f t="shared" ref="P498:P502" si="14">if(E498="","", E498+L498)</f>
        <v>44834</v>
      </c>
      <c r="Q498" s="12">
        <v>1450.0</v>
      </c>
      <c r="R498" s="14"/>
      <c r="S498" s="15">
        <v>44835.0</v>
      </c>
      <c r="T498" s="4" t="b">
        <v>1</v>
      </c>
    </row>
    <row r="499" hidden="1">
      <c r="A499" s="16" t="s">
        <v>560</v>
      </c>
      <c r="B499" s="17">
        <f>2900*1.25003448275862</f>
        <v>3625.1</v>
      </c>
      <c r="C499" s="16" t="s">
        <v>18</v>
      </c>
      <c r="D499" s="18" t="s">
        <v>561</v>
      </c>
      <c r="E499" s="19">
        <v>44796.0</v>
      </c>
      <c r="F499" s="17">
        <v>0.0</v>
      </c>
      <c r="G499" s="20">
        <v>2022.0</v>
      </c>
      <c r="H499" s="21" t="s">
        <v>447</v>
      </c>
      <c r="I499" s="21" t="s">
        <v>252</v>
      </c>
      <c r="J499" s="21" t="s">
        <v>562</v>
      </c>
      <c r="K499" s="16" t="s">
        <v>9</v>
      </c>
      <c r="L499" s="22"/>
      <c r="M499" s="55">
        <v>0.0</v>
      </c>
      <c r="N499" s="23">
        <v>0.0</v>
      </c>
      <c r="O499" s="23">
        <v>3625.099999999998</v>
      </c>
      <c r="P499" s="48">
        <f t="shared" si="14"/>
        <v>44796</v>
      </c>
      <c r="Q499" s="23">
        <v>5800.0</v>
      </c>
      <c r="R499" s="25"/>
      <c r="S499" s="26">
        <v>44805.0</v>
      </c>
      <c r="T499" s="16" t="b">
        <v>1</v>
      </c>
    </row>
    <row r="500" hidden="1">
      <c r="A500" s="4" t="s">
        <v>560</v>
      </c>
      <c r="B500" s="5">
        <f>2900*1.35244</f>
        <v>3922.076</v>
      </c>
      <c r="C500" s="4" t="s">
        <v>18</v>
      </c>
      <c r="D500" s="6" t="s">
        <v>563</v>
      </c>
      <c r="E500" s="7">
        <v>44849.0</v>
      </c>
      <c r="F500" s="5">
        <v>125.02</v>
      </c>
      <c r="G500" s="8">
        <v>2022.0</v>
      </c>
      <c r="H500" s="9" t="s">
        <v>447</v>
      </c>
      <c r="I500" s="9" t="s">
        <v>252</v>
      </c>
      <c r="J500" s="9" t="s">
        <v>564</v>
      </c>
      <c r="K500" s="4" t="s">
        <v>9</v>
      </c>
      <c r="L500" s="10"/>
      <c r="M500" s="54">
        <v>0.0</v>
      </c>
      <c r="N500" s="12">
        <v>0.0</v>
      </c>
      <c r="O500" s="12">
        <v>3797.0560000000005</v>
      </c>
      <c r="P500" s="37">
        <f t="shared" si="14"/>
        <v>44849</v>
      </c>
      <c r="Q500" s="12">
        <v>5800.0</v>
      </c>
      <c r="R500" s="14"/>
      <c r="S500" s="15">
        <v>44866.0</v>
      </c>
      <c r="T500" s="4" t="b">
        <v>1</v>
      </c>
    </row>
    <row r="501" hidden="1">
      <c r="A501" s="16" t="s">
        <v>565</v>
      </c>
      <c r="B501" s="17">
        <f>1400*1.318946272284</f>
        <v>1846.524781</v>
      </c>
      <c r="C501" s="16" t="s">
        <v>18</v>
      </c>
      <c r="D501" s="18" t="s">
        <v>566</v>
      </c>
      <c r="E501" s="19">
        <v>44813.0</v>
      </c>
      <c r="F501" s="17">
        <v>0.0</v>
      </c>
      <c r="G501" s="20">
        <v>2022.0</v>
      </c>
      <c r="H501" s="21" t="s">
        <v>447</v>
      </c>
      <c r="I501" s="21" t="s">
        <v>252</v>
      </c>
      <c r="J501" s="21" t="s">
        <v>567</v>
      </c>
      <c r="K501" s="16" t="s">
        <v>9</v>
      </c>
      <c r="L501" s="22">
        <v>15.0</v>
      </c>
      <c r="M501" s="55">
        <v>0.0</v>
      </c>
      <c r="N501" s="23">
        <v>0.0</v>
      </c>
      <c r="O501" s="23">
        <v>1846.5247811975999</v>
      </c>
      <c r="P501" s="48">
        <f t="shared" si="14"/>
        <v>44828</v>
      </c>
      <c r="Q501" s="23">
        <v>2800.0</v>
      </c>
      <c r="R501" s="25"/>
      <c r="S501" s="26">
        <v>44835.0</v>
      </c>
      <c r="T501" s="16" t="b">
        <v>1</v>
      </c>
    </row>
    <row r="502" hidden="1">
      <c r="A502" s="4" t="s">
        <v>565</v>
      </c>
      <c r="B502" s="5">
        <f>1400*1.301442857142</f>
        <v>1822.02</v>
      </c>
      <c r="C502" s="4" t="s">
        <v>18</v>
      </c>
      <c r="D502" s="6" t="s">
        <v>568</v>
      </c>
      <c r="E502" s="7">
        <v>44833.0</v>
      </c>
      <c r="F502" s="5">
        <v>0.0</v>
      </c>
      <c r="G502" s="8">
        <v>2022.0</v>
      </c>
      <c r="H502" s="9" t="s">
        <v>447</v>
      </c>
      <c r="I502" s="9" t="s">
        <v>252</v>
      </c>
      <c r="J502" s="9" t="s">
        <v>569</v>
      </c>
      <c r="K502" s="4" t="s">
        <v>9</v>
      </c>
      <c r="L502" s="10">
        <v>15.0</v>
      </c>
      <c r="M502" s="54">
        <v>0.0</v>
      </c>
      <c r="N502" s="12">
        <v>0.0</v>
      </c>
      <c r="O502" s="12">
        <v>1822.0199999988001</v>
      </c>
      <c r="P502" s="37">
        <f t="shared" si="14"/>
        <v>44848</v>
      </c>
      <c r="Q502" s="12">
        <v>2800.0</v>
      </c>
      <c r="R502" s="14"/>
      <c r="S502" s="15">
        <v>44835.0</v>
      </c>
      <c r="T502" s="4" t="b">
        <v>1</v>
      </c>
    </row>
    <row r="503" hidden="1">
      <c r="A503" s="16" t="s">
        <v>570</v>
      </c>
      <c r="B503" s="17">
        <f>533*1.318946272284</f>
        <v>702.9983631</v>
      </c>
      <c r="C503" s="16" t="s">
        <v>18</v>
      </c>
      <c r="D503" s="18" t="s">
        <v>566</v>
      </c>
      <c r="E503" s="19">
        <v>44813.0</v>
      </c>
      <c r="F503" s="17">
        <v>0.0</v>
      </c>
      <c r="G503" s="20">
        <v>2022.0</v>
      </c>
      <c r="H503" s="21" t="s">
        <v>447</v>
      </c>
      <c r="I503" s="21" t="s">
        <v>252</v>
      </c>
      <c r="J503" s="21" t="s">
        <v>571</v>
      </c>
      <c r="K503" s="16" t="s">
        <v>9</v>
      </c>
      <c r="L503" s="22">
        <v>15.0</v>
      </c>
      <c r="M503" s="55">
        <v>0.0</v>
      </c>
      <c r="N503" s="23">
        <v>0.0</v>
      </c>
      <c r="O503" s="23">
        <v>702.9983631273719</v>
      </c>
      <c r="P503" s="24"/>
      <c r="Q503" s="23">
        <v>1066.0</v>
      </c>
      <c r="R503" s="25"/>
      <c r="S503" s="26">
        <v>44835.0</v>
      </c>
      <c r="T503" s="16" t="b">
        <v>1</v>
      </c>
    </row>
    <row r="504">
      <c r="A504" s="4" t="s">
        <v>570</v>
      </c>
      <c r="B504" s="5">
        <v>533.0</v>
      </c>
      <c r="C504" s="4" t="s">
        <v>572</v>
      </c>
      <c r="D504" s="39"/>
      <c r="E504" s="7" t="s">
        <v>573</v>
      </c>
      <c r="F504" s="34"/>
      <c r="G504" s="8" t="s">
        <v>200</v>
      </c>
      <c r="H504" s="9" t="s">
        <v>447</v>
      </c>
      <c r="I504" s="9" t="s">
        <v>252</v>
      </c>
      <c r="J504" s="9" t="s">
        <v>574</v>
      </c>
      <c r="K504" s="4" t="s">
        <v>9</v>
      </c>
      <c r="L504" s="10">
        <v>15.0</v>
      </c>
      <c r="M504" s="54">
        <v>0.0</v>
      </c>
      <c r="N504" s="12">
        <v>0.0</v>
      </c>
      <c r="O504" s="12">
        <v>533.0</v>
      </c>
      <c r="P504" s="13"/>
      <c r="Q504" s="12">
        <v>1066.0</v>
      </c>
      <c r="R504" s="9" t="s">
        <v>575</v>
      </c>
      <c r="S504" s="15"/>
      <c r="T504" s="4" t="b">
        <v>0</v>
      </c>
    </row>
    <row r="505" hidden="1">
      <c r="A505" s="16" t="s">
        <v>576</v>
      </c>
      <c r="B505" s="17">
        <f>(490.44*1.3504)+(42.56*1.3257)</f>
        <v>718.711968</v>
      </c>
      <c r="C505" s="16" t="s">
        <v>18</v>
      </c>
      <c r="D505" s="18" t="s">
        <v>577</v>
      </c>
      <c r="E505" s="19">
        <v>44813.0</v>
      </c>
      <c r="F505" s="17">
        <v>0.0</v>
      </c>
      <c r="G505" s="20">
        <v>2022.0</v>
      </c>
      <c r="H505" s="21" t="s">
        <v>447</v>
      </c>
      <c r="I505" s="21" t="s">
        <v>252</v>
      </c>
      <c r="J505" s="53" t="s">
        <v>578</v>
      </c>
      <c r="K505" s="16" t="s">
        <v>9</v>
      </c>
      <c r="L505" s="22">
        <v>15.0</v>
      </c>
      <c r="M505" s="55">
        <v>0.0</v>
      </c>
      <c r="N505" s="23">
        <v>0.0</v>
      </c>
      <c r="O505" s="23">
        <v>718.711968</v>
      </c>
      <c r="P505" s="24"/>
      <c r="Q505" s="23">
        <v>1066.0</v>
      </c>
      <c r="R505" s="25"/>
      <c r="S505" s="26">
        <v>44835.0</v>
      </c>
      <c r="T505" s="16" t="b">
        <v>0</v>
      </c>
    </row>
    <row r="506">
      <c r="A506" s="4" t="s">
        <v>576</v>
      </c>
      <c r="B506" s="5">
        <v>1066.0</v>
      </c>
      <c r="C506" s="4" t="s">
        <v>572</v>
      </c>
      <c r="D506" s="39"/>
      <c r="E506" s="7" t="s">
        <v>573</v>
      </c>
      <c r="F506" s="34"/>
      <c r="G506" s="8" t="s">
        <v>200</v>
      </c>
      <c r="H506" s="9" t="s">
        <v>447</v>
      </c>
      <c r="I506" s="9" t="s">
        <v>252</v>
      </c>
      <c r="J506" s="79" t="s">
        <v>579</v>
      </c>
      <c r="K506" s="4" t="s">
        <v>9</v>
      </c>
      <c r="L506" s="10">
        <v>15.0</v>
      </c>
      <c r="M506" s="54">
        <v>0.0</v>
      </c>
      <c r="N506" s="12">
        <v>0.0</v>
      </c>
      <c r="O506" s="12">
        <v>1066.0</v>
      </c>
      <c r="P506" s="13"/>
      <c r="Q506" s="12">
        <v>1066.0</v>
      </c>
      <c r="R506" s="9" t="s">
        <v>575</v>
      </c>
      <c r="S506" s="15"/>
      <c r="T506" s="4" t="b">
        <v>0</v>
      </c>
    </row>
    <row r="507" hidden="1">
      <c r="A507" s="16" t="s">
        <v>580</v>
      </c>
      <c r="B507" s="17">
        <f>(490.44*1.3251)+(42.56*1.3389)</f>
        <v>706.865628</v>
      </c>
      <c r="C507" s="16" t="s">
        <v>18</v>
      </c>
      <c r="D507" s="18" t="s">
        <v>581</v>
      </c>
      <c r="E507" s="19">
        <v>44813.0</v>
      </c>
      <c r="F507" s="17">
        <v>0.0</v>
      </c>
      <c r="G507" s="20">
        <v>2022.0</v>
      </c>
      <c r="H507" s="21" t="s">
        <v>447</v>
      </c>
      <c r="I507" s="21" t="s">
        <v>252</v>
      </c>
      <c r="J507" s="53" t="s">
        <v>582</v>
      </c>
      <c r="K507" s="16" t="s">
        <v>9</v>
      </c>
      <c r="L507" s="22">
        <v>15.0</v>
      </c>
      <c r="M507" s="55">
        <v>0.0</v>
      </c>
      <c r="N507" s="23">
        <v>0.0</v>
      </c>
      <c r="O507" s="23">
        <v>706.8656279999999</v>
      </c>
      <c r="P507" s="24"/>
      <c r="Q507" s="23">
        <v>1066.0</v>
      </c>
      <c r="R507" s="25"/>
      <c r="S507" s="26">
        <v>44835.0</v>
      </c>
      <c r="T507" s="16" t="b">
        <v>0</v>
      </c>
    </row>
    <row r="508">
      <c r="A508" s="4" t="s">
        <v>580</v>
      </c>
      <c r="B508" s="5">
        <v>1066.0</v>
      </c>
      <c r="C508" s="4" t="s">
        <v>572</v>
      </c>
      <c r="D508" s="39"/>
      <c r="E508" s="7" t="s">
        <v>573</v>
      </c>
      <c r="F508" s="34"/>
      <c r="G508" s="8" t="s">
        <v>200</v>
      </c>
      <c r="H508" s="9" t="s">
        <v>447</v>
      </c>
      <c r="I508" s="9" t="s">
        <v>252</v>
      </c>
      <c r="J508" s="79" t="s">
        <v>583</v>
      </c>
      <c r="K508" s="4" t="s">
        <v>9</v>
      </c>
      <c r="L508" s="10">
        <v>15.0</v>
      </c>
      <c r="M508" s="54">
        <v>0.0</v>
      </c>
      <c r="N508" s="12">
        <v>0.0</v>
      </c>
      <c r="O508" s="12">
        <v>1066.0</v>
      </c>
      <c r="P508" s="13"/>
      <c r="Q508" s="12">
        <v>1066.0</v>
      </c>
      <c r="R508" s="9" t="s">
        <v>575</v>
      </c>
      <c r="S508" s="15"/>
      <c r="T508" s="4" t="b">
        <v>0</v>
      </c>
    </row>
    <row r="509" hidden="1">
      <c r="A509" s="16" t="s">
        <v>584</v>
      </c>
      <c r="B509" s="17">
        <f>331.67*1.318946272284</f>
        <v>437.4549101</v>
      </c>
      <c r="C509" s="16" t="s">
        <v>18</v>
      </c>
      <c r="D509" s="18" t="s">
        <v>566</v>
      </c>
      <c r="E509" s="19">
        <v>44813.0</v>
      </c>
      <c r="F509" s="17">
        <v>0.0</v>
      </c>
      <c r="G509" s="20">
        <v>2022.0</v>
      </c>
      <c r="H509" s="21" t="s">
        <v>447</v>
      </c>
      <c r="I509" s="21" t="s">
        <v>252</v>
      </c>
      <c r="J509" s="21" t="s">
        <v>585</v>
      </c>
      <c r="K509" s="16" t="s">
        <v>9</v>
      </c>
      <c r="L509" s="22">
        <v>15.0</v>
      </c>
      <c r="M509" s="55">
        <v>0.0</v>
      </c>
      <c r="N509" s="23">
        <v>0.0</v>
      </c>
      <c r="O509" s="23">
        <v>437.4549101284343</v>
      </c>
      <c r="P509" s="48">
        <f>if(E509="","", E509+L509)</f>
        <v>44828</v>
      </c>
      <c r="Q509" s="23">
        <v>331.67</v>
      </c>
      <c r="R509" s="25"/>
      <c r="S509" s="26">
        <v>44835.0</v>
      </c>
      <c r="T509" s="16" t="b">
        <v>1</v>
      </c>
    </row>
    <row r="510" hidden="1">
      <c r="A510" s="4" t="s">
        <v>586</v>
      </c>
      <c r="B510" s="5">
        <f>331.66*1.3257</f>
        <v>439.681662</v>
      </c>
      <c r="C510" s="4" t="s">
        <v>18</v>
      </c>
      <c r="D510" s="6" t="s">
        <v>577</v>
      </c>
      <c r="E510" s="7">
        <v>44813.0</v>
      </c>
      <c r="F510" s="5">
        <v>0.0</v>
      </c>
      <c r="G510" s="8">
        <v>2022.0</v>
      </c>
      <c r="H510" s="9" t="s">
        <v>447</v>
      </c>
      <c r="I510" s="9" t="s">
        <v>252</v>
      </c>
      <c r="J510" s="9" t="s">
        <v>585</v>
      </c>
      <c r="K510" s="4" t="s">
        <v>9</v>
      </c>
      <c r="L510" s="10">
        <v>15.0</v>
      </c>
      <c r="M510" s="54">
        <v>0.0</v>
      </c>
      <c r="N510" s="12">
        <v>0.0</v>
      </c>
      <c r="O510" s="12">
        <v>439.6816620000001</v>
      </c>
      <c r="P510" s="13"/>
      <c r="Q510" s="12">
        <v>331.66</v>
      </c>
      <c r="R510" s="14"/>
      <c r="S510" s="15">
        <v>44835.0</v>
      </c>
      <c r="T510" s="4" t="b">
        <v>1</v>
      </c>
    </row>
    <row r="511" hidden="1">
      <c r="A511" s="16" t="s">
        <v>587</v>
      </c>
      <c r="B511" s="17">
        <f>331.66*1.3389</f>
        <v>444.059574</v>
      </c>
      <c r="C511" s="16" t="s">
        <v>18</v>
      </c>
      <c r="D511" s="18" t="s">
        <v>581</v>
      </c>
      <c r="E511" s="19">
        <v>44813.0</v>
      </c>
      <c r="F511" s="17">
        <v>0.0</v>
      </c>
      <c r="G511" s="20">
        <v>2022.0</v>
      </c>
      <c r="H511" s="21" t="s">
        <v>447</v>
      </c>
      <c r="I511" s="21" t="s">
        <v>252</v>
      </c>
      <c r="J511" s="21" t="s">
        <v>585</v>
      </c>
      <c r="K511" s="16" t="s">
        <v>9</v>
      </c>
      <c r="L511" s="22">
        <v>15.0</v>
      </c>
      <c r="M511" s="55">
        <v>0.0</v>
      </c>
      <c r="N511" s="23">
        <v>0.0</v>
      </c>
      <c r="O511" s="23">
        <v>444.05957400000005</v>
      </c>
      <c r="P511" s="24"/>
      <c r="Q511" s="23">
        <v>331.66</v>
      </c>
      <c r="R511" s="25"/>
      <c r="S511" s="26">
        <v>44835.0</v>
      </c>
      <c r="T511" s="16" t="b">
        <v>1</v>
      </c>
    </row>
    <row r="512" hidden="1">
      <c r="A512" s="4" t="s">
        <v>588</v>
      </c>
      <c r="B512" s="5">
        <f>233.34*1.318946272284</f>
        <v>307.7629232</v>
      </c>
      <c r="C512" s="4" t="s">
        <v>18</v>
      </c>
      <c r="D512" s="6" t="s">
        <v>566</v>
      </c>
      <c r="E512" s="7">
        <v>44813.0</v>
      </c>
      <c r="F512" s="5">
        <v>0.0</v>
      </c>
      <c r="G512" s="8">
        <v>2022.0</v>
      </c>
      <c r="H512" s="9" t="s">
        <v>447</v>
      </c>
      <c r="I512" s="9" t="s">
        <v>252</v>
      </c>
      <c r="J512" s="9" t="s">
        <v>589</v>
      </c>
      <c r="K512" s="4" t="s">
        <v>9</v>
      </c>
      <c r="L512" s="10">
        <v>15.0</v>
      </c>
      <c r="M512" s="54">
        <v>0.0</v>
      </c>
      <c r="N512" s="12">
        <v>0.0</v>
      </c>
      <c r="O512" s="12">
        <v>307.76292317474855</v>
      </c>
      <c r="P512" s="37">
        <f>if(E512="","", E512+L512)</f>
        <v>44828</v>
      </c>
      <c r="Q512" s="12">
        <v>233.34</v>
      </c>
      <c r="R512" s="14"/>
      <c r="S512" s="15">
        <v>44835.0</v>
      </c>
      <c r="T512" s="4" t="b">
        <v>1</v>
      </c>
    </row>
    <row r="513" hidden="1">
      <c r="A513" s="16" t="s">
        <v>590</v>
      </c>
      <c r="B513" s="17">
        <f>233.33*1.3257</f>
        <v>309.325581</v>
      </c>
      <c r="C513" s="16" t="s">
        <v>18</v>
      </c>
      <c r="D513" s="18" t="s">
        <v>577</v>
      </c>
      <c r="E513" s="19">
        <v>44813.0</v>
      </c>
      <c r="F513" s="17">
        <v>0.0</v>
      </c>
      <c r="G513" s="20">
        <v>2022.0</v>
      </c>
      <c r="H513" s="21" t="s">
        <v>447</v>
      </c>
      <c r="I513" s="21" t="s">
        <v>252</v>
      </c>
      <c r="J513" s="21" t="s">
        <v>589</v>
      </c>
      <c r="K513" s="16" t="s">
        <v>9</v>
      </c>
      <c r="L513" s="22">
        <v>15.0</v>
      </c>
      <c r="M513" s="55">
        <v>0.0</v>
      </c>
      <c r="N513" s="23">
        <v>0.0</v>
      </c>
      <c r="O513" s="23">
        <v>309.32558100000006</v>
      </c>
      <c r="P513" s="24"/>
      <c r="Q513" s="23">
        <v>233.33</v>
      </c>
      <c r="R513" s="25"/>
      <c r="S513" s="26">
        <v>44835.0</v>
      </c>
      <c r="T513" s="16" t="b">
        <v>1</v>
      </c>
    </row>
    <row r="514" hidden="1">
      <c r="A514" s="4" t="s">
        <v>591</v>
      </c>
      <c r="B514" s="5">
        <f>233.33*1.3389</f>
        <v>312.405537</v>
      </c>
      <c r="C514" s="4" t="s">
        <v>18</v>
      </c>
      <c r="D514" s="6" t="s">
        <v>581</v>
      </c>
      <c r="E514" s="7">
        <v>44813.0</v>
      </c>
      <c r="F514" s="5">
        <v>0.0</v>
      </c>
      <c r="G514" s="8">
        <v>2022.0</v>
      </c>
      <c r="H514" s="9" t="s">
        <v>447</v>
      </c>
      <c r="I514" s="9" t="s">
        <v>252</v>
      </c>
      <c r="J514" s="9" t="s">
        <v>589</v>
      </c>
      <c r="K514" s="4" t="s">
        <v>9</v>
      </c>
      <c r="L514" s="10">
        <v>15.0</v>
      </c>
      <c r="M514" s="54">
        <v>0.0</v>
      </c>
      <c r="N514" s="12">
        <v>0.0</v>
      </c>
      <c r="O514" s="12">
        <v>312.40553700000004</v>
      </c>
      <c r="P514" s="13"/>
      <c r="Q514" s="12">
        <v>233.33</v>
      </c>
      <c r="R514" s="14"/>
      <c r="S514" s="15">
        <v>44835.0</v>
      </c>
      <c r="T514" s="4" t="b">
        <v>1</v>
      </c>
    </row>
    <row r="515" hidden="1">
      <c r="A515" s="16" t="s">
        <v>592</v>
      </c>
      <c r="B515" s="17">
        <f>373.32*1.318946272284</f>
        <v>492.3890224</v>
      </c>
      <c r="C515" s="16" t="s">
        <v>18</v>
      </c>
      <c r="D515" s="18" t="s">
        <v>566</v>
      </c>
      <c r="E515" s="19">
        <v>44813.0</v>
      </c>
      <c r="F515" s="17">
        <v>0.0</v>
      </c>
      <c r="G515" s="20">
        <v>2022.0</v>
      </c>
      <c r="H515" s="21" t="s">
        <v>447</v>
      </c>
      <c r="I515" s="21" t="s">
        <v>459</v>
      </c>
      <c r="J515" s="21" t="s">
        <v>593</v>
      </c>
      <c r="K515" s="16" t="s">
        <v>9</v>
      </c>
      <c r="L515" s="22">
        <v>15.0</v>
      </c>
      <c r="M515" s="55">
        <v>0.0</v>
      </c>
      <c r="N515" s="23">
        <v>0.0</v>
      </c>
      <c r="O515" s="23">
        <v>492.38902236906284</v>
      </c>
      <c r="P515" s="24"/>
      <c r="Q515" s="23">
        <v>373.32</v>
      </c>
      <c r="R515" s="25"/>
      <c r="S515" s="26">
        <v>44835.0</v>
      </c>
      <c r="T515" s="16" t="b">
        <v>1</v>
      </c>
    </row>
    <row r="516" hidden="1">
      <c r="A516" s="4" t="s">
        <v>594</v>
      </c>
      <c r="B516" s="5">
        <f>373.32*1.3257</f>
        <v>494.910324</v>
      </c>
      <c r="C516" s="4" t="s">
        <v>18</v>
      </c>
      <c r="D516" s="6" t="s">
        <v>577</v>
      </c>
      <c r="E516" s="7">
        <v>44813.0</v>
      </c>
      <c r="F516" s="5">
        <v>0.0</v>
      </c>
      <c r="G516" s="8">
        <v>2022.0</v>
      </c>
      <c r="H516" s="9" t="s">
        <v>447</v>
      </c>
      <c r="I516" s="9" t="s">
        <v>459</v>
      </c>
      <c r="J516" s="9" t="s">
        <v>593</v>
      </c>
      <c r="K516" s="4" t="s">
        <v>9</v>
      </c>
      <c r="L516" s="10">
        <v>15.0</v>
      </c>
      <c r="M516" s="54">
        <v>0.0</v>
      </c>
      <c r="N516" s="12">
        <v>0.0</v>
      </c>
      <c r="O516" s="12">
        <v>494.910324</v>
      </c>
      <c r="P516" s="13"/>
      <c r="Q516" s="12">
        <v>373.32</v>
      </c>
      <c r="R516" s="14"/>
      <c r="S516" s="15">
        <v>44835.0</v>
      </c>
      <c r="T516" s="4" t="b">
        <v>1</v>
      </c>
    </row>
    <row r="517" hidden="1">
      <c r="A517" s="16" t="s">
        <v>595</v>
      </c>
      <c r="B517" s="17">
        <f>373.32*1.3389</f>
        <v>499.838148</v>
      </c>
      <c r="C517" s="16" t="s">
        <v>18</v>
      </c>
      <c r="D517" s="18" t="s">
        <v>581</v>
      </c>
      <c r="E517" s="19">
        <v>44813.0</v>
      </c>
      <c r="F517" s="17">
        <v>0.0</v>
      </c>
      <c r="G517" s="20">
        <v>2022.0</v>
      </c>
      <c r="H517" s="21" t="s">
        <v>447</v>
      </c>
      <c r="I517" s="21" t="s">
        <v>459</v>
      </c>
      <c r="J517" s="21" t="s">
        <v>593</v>
      </c>
      <c r="K517" s="16" t="s">
        <v>9</v>
      </c>
      <c r="L517" s="22">
        <v>15.0</v>
      </c>
      <c r="M517" s="55">
        <v>0.0</v>
      </c>
      <c r="N517" s="23">
        <v>0.0</v>
      </c>
      <c r="O517" s="23">
        <v>499.838148</v>
      </c>
      <c r="P517" s="24"/>
      <c r="Q517" s="23">
        <v>373.32</v>
      </c>
      <c r="R517" s="25"/>
      <c r="S517" s="26">
        <v>44835.0</v>
      </c>
      <c r="T517" s="16" t="b">
        <v>1</v>
      </c>
    </row>
    <row r="518" hidden="1">
      <c r="A518" s="4" t="s">
        <v>596</v>
      </c>
      <c r="B518" s="5">
        <f>(1119.96-(40*12))*1.3296</f>
        <v>850.890816</v>
      </c>
      <c r="C518" s="4" t="s">
        <v>18</v>
      </c>
      <c r="D518" s="6" t="s">
        <v>597</v>
      </c>
      <c r="E518" s="7">
        <v>44910.0</v>
      </c>
      <c r="F518" s="5">
        <v>0.0</v>
      </c>
      <c r="G518" s="8">
        <v>2022.0</v>
      </c>
      <c r="H518" s="9" t="s">
        <v>447</v>
      </c>
      <c r="I518" s="9" t="s">
        <v>459</v>
      </c>
      <c r="J518" s="9" t="s">
        <v>598</v>
      </c>
      <c r="K518" s="4" t="s">
        <v>9</v>
      </c>
      <c r="L518" s="10">
        <v>15.0</v>
      </c>
      <c r="M518" s="54">
        <v>0.0</v>
      </c>
      <c r="N518" s="12">
        <v>0.0</v>
      </c>
      <c r="O518" s="12">
        <v>850.890816</v>
      </c>
      <c r="P518" s="13"/>
      <c r="Q518" s="12">
        <v>1119.96</v>
      </c>
      <c r="R518" s="14"/>
      <c r="S518" s="15">
        <v>44927.0</v>
      </c>
      <c r="T518" s="4" t="b">
        <v>1</v>
      </c>
    </row>
    <row r="519" hidden="1">
      <c r="A519" s="16" t="s">
        <v>599</v>
      </c>
      <c r="B519" s="17">
        <f>1119.96*1.309542</f>
        <v>1466.634658</v>
      </c>
      <c r="C519" s="16" t="s">
        <v>18</v>
      </c>
      <c r="D519" s="18" t="s">
        <v>600</v>
      </c>
      <c r="E519" s="19">
        <v>44910.0</v>
      </c>
      <c r="F519" s="17">
        <v>0.0</v>
      </c>
      <c r="G519" s="20">
        <v>2022.0</v>
      </c>
      <c r="H519" s="21" t="s">
        <v>447</v>
      </c>
      <c r="I519" s="21" t="s">
        <v>459</v>
      </c>
      <c r="J519" s="21" t="s">
        <v>601</v>
      </c>
      <c r="K519" s="16" t="s">
        <v>9</v>
      </c>
      <c r="L519" s="22">
        <v>15.0</v>
      </c>
      <c r="M519" s="55">
        <v>0.0</v>
      </c>
      <c r="N519" s="23">
        <v>0.0</v>
      </c>
      <c r="O519" s="23">
        <v>1466.63465832</v>
      </c>
      <c r="P519" s="24"/>
      <c r="Q519" s="23">
        <v>1119.96</v>
      </c>
      <c r="R519" s="25"/>
      <c r="S519" s="26">
        <v>44927.0</v>
      </c>
      <c r="T519" s="16" t="b">
        <v>1</v>
      </c>
    </row>
    <row r="520" hidden="1">
      <c r="A520" s="4" t="s">
        <v>602</v>
      </c>
      <c r="B520" s="5">
        <f>1119.96*1.3069</f>
        <v>1463.675724</v>
      </c>
      <c r="C520" s="4" t="s">
        <v>18</v>
      </c>
      <c r="D520" s="6" t="s">
        <v>603</v>
      </c>
      <c r="E520" s="7">
        <v>44910.0</v>
      </c>
      <c r="F520" s="5">
        <v>0.0</v>
      </c>
      <c r="G520" s="8">
        <v>2022.0</v>
      </c>
      <c r="H520" s="9" t="s">
        <v>447</v>
      </c>
      <c r="I520" s="9" t="s">
        <v>459</v>
      </c>
      <c r="J520" s="9" t="s">
        <v>604</v>
      </c>
      <c r="K520" s="4" t="s">
        <v>9</v>
      </c>
      <c r="L520" s="10">
        <v>15.0</v>
      </c>
      <c r="M520" s="54">
        <v>0.0</v>
      </c>
      <c r="N520" s="12">
        <v>0.0</v>
      </c>
      <c r="O520" s="12">
        <v>1463.675724</v>
      </c>
      <c r="P520" s="13"/>
      <c r="Q520" s="12">
        <v>1119.96</v>
      </c>
      <c r="R520" s="14"/>
      <c r="S520" s="15">
        <v>44927.0</v>
      </c>
      <c r="T520" s="4" t="b">
        <v>1</v>
      </c>
    </row>
    <row r="521" hidden="1">
      <c r="A521" s="16" t="s">
        <v>476</v>
      </c>
      <c r="B521" s="17">
        <v>500.0</v>
      </c>
      <c r="C521" s="16" t="s">
        <v>18</v>
      </c>
      <c r="D521" s="18">
        <v>5303.0</v>
      </c>
      <c r="E521" s="19">
        <v>44813.0</v>
      </c>
      <c r="F521" s="17">
        <v>15.56</v>
      </c>
      <c r="G521" s="20">
        <v>2022.0</v>
      </c>
      <c r="H521" s="21" t="s">
        <v>447</v>
      </c>
      <c r="I521" s="21" t="s">
        <v>252</v>
      </c>
      <c r="J521" s="21" t="s">
        <v>605</v>
      </c>
      <c r="K521" s="16" t="s">
        <v>21</v>
      </c>
      <c r="L521" s="22">
        <v>30.0</v>
      </c>
      <c r="M521" s="55">
        <v>0.0</v>
      </c>
      <c r="N521" s="23">
        <v>0.0</v>
      </c>
      <c r="O521" s="23">
        <v>484.44</v>
      </c>
      <c r="P521" s="48">
        <f t="shared" ref="P521:P673" si="15">if(E521="","", E521+L521)</f>
        <v>44843</v>
      </c>
      <c r="Q521" s="23">
        <v>1500.0</v>
      </c>
      <c r="R521" s="25"/>
      <c r="S521" s="26">
        <v>44835.0</v>
      </c>
      <c r="T521" s="16" t="b">
        <v>1</v>
      </c>
    </row>
    <row r="522" hidden="1">
      <c r="A522" s="4" t="s">
        <v>606</v>
      </c>
      <c r="B522" s="5">
        <v>599.0</v>
      </c>
      <c r="C522" s="4" t="s">
        <v>18</v>
      </c>
      <c r="D522" s="6">
        <v>5304.0</v>
      </c>
      <c r="E522" s="7">
        <v>44813.0</v>
      </c>
      <c r="F522" s="5">
        <v>18.64</v>
      </c>
      <c r="G522" s="8">
        <v>2022.0</v>
      </c>
      <c r="H522" s="9" t="s">
        <v>447</v>
      </c>
      <c r="I522" s="9" t="s">
        <v>252</v>
      </c>
      <c r="J522" s="9" t="s">
        <v>434</v>
      </c>
      <c r="K522" s="4" t="s">
        <v>21</v>
      </c>
      <c r="L522" s="10">
        <v>30.0</v>
      </c>
      <c r="M522" s="54">
        <v>0.0</v>
      </c>
      <c r="N522" s="12">
        <v>0.0</v>
      </c>
      <c r="O522" s="12">
        <v>580.36</v>
      </c>
      <c r="P522" s="37">
        <f t="shared" si="15"/>
        <v>44843</v>
      </c>
      <c r="Q522" s="12">
        <v>599.0</v>
      </c>
      <c r="R522" s="14"/>
      <c r="S522" s="15">
        <v>44835.0</v>
      </c>
      <c r="T522" s="4" t="b">
        <v>1</v>
      </c>
    </row>
    <row r="523" hidden="1">
      <c r="A523" s="16" t="s">
        <v>528</v>
      </c>
      <c r="B523" s="17">
        <v>550.0</v>
      </c>
      <c r="C523" s="16" t="s">
        <v>18</v>
      </c>
      <c r="D523" s="18">
        <v>5378.0</v>
      </c>
      <c r="E523" s="19">
        <v>44895.0</v>
      </c>
      <c r="F523" s="17">
        <v>17.11</v>
      </c>
      <c r="G523" s="20">
        <v>2022.0</v>
      </c>
      <c r="H523" s="21" t="s">
        <v>447</v>
      </c>
      <c r="I523" s="21" t="s">
        <v>252</v>
      </c>
      <c r="J523" s="21" t="s">
        <v>607</v>
      </c>
      <c r="K523" s="16" t="s">
        <v>21</v>
      </c>
      <c r="L523" s="22">
        <v>0.0</v>
      </c>
      <c r="M523" s="55">
        <v>0.0</v>
      </c>
      <c r="N523" s="23">
        <v>0.0</v>
      </c>
      <c r="O523" s="23">
        <v>532.89</v>
      </c>
      <c r="P523" s="48">
        <f t="shared" si="15"/>
        <v>44895</v>
      </c>
      <c r="Q523" s="23"/>
      <c r="R523" s="25"/>
      <c r="S523" s="26">
        <v>44896.0</v>
      </c>
      <c r="T523" s="16" t="b">
        <v>1</v>
      </c>
    </row>
    <row r="524" hidden="1">
      <c r="A524" s="4" t="s">
        <v>141</v>
      </c>
      <c r="B524" s="5">
        <v>600.0</v>
      </c>
      <c r="C524" s="4" t="s">
        <v>18</v>
      </c>
      <c r="D524" s="6">
        <v>5311.0</v>
      </c>
      <c r="E524" s="7">
        <v>44819.0</v>
      </c>
      <c r="F524" s="5">
        <v>0.0</v>
      </c>
      <c r="G524" s="8">
        <v>2022.0</v>
      </c>
      <c r="H524" s="9" t="s">
        <v>209</v>
      </c>
      <c r="I524" s="9" t="s">
        <v>459</v>
      </c>
      <c r="J524" s="9" t="s">
        <v>143</v>
      </c>
      <c r="K524" s="4" t="s">
        <v>21</v>
      </c>
      <c r="L524" s="10">
        <v>30.0</v>
      </c>
      <c r="M524" s="54">
        <v>0.0</v>
      </c>
      <c r="N524" s="12">
        <v>0.0</v>
      </c>
      <c r="O524" s="12">
        <v>600.0</v>
      </c>
      <c r="P524" s="37">
        <f t="shared" si="15"/>
        <v>44849</v>
      </c>
      <c r="Q524" s="12">
        <v>600.0</v>
      </c>
      <c r="R524" s="14"/>
      <c r="S524" s="15">
        <v>44835.0</v>
      </c>
      <c r="T524" s="4" t="b">
        <v>1</v>
      </c>
    </row>
    <row r="525" hidden="1">
      <c r="A525" s="16" t="s">
        <v>608</v>
      </c>
      <c r="B525" s="17">
        <f>850*1.336175</f>
        <v>1135.74875</v>
      </c>
      <c r="C525" s="16" t="s">
        <v>18</v>
      </c>
      <c r="D525" s="18" t="s">
        <v>609</v>
      </c>
      <c r="E525" s="19">
        <v>44819.0</v>
      </c>
      <c r="F525" s="35">
        <f>33.45*1.336175</f>
        <v>44.69505375</v>
      </c>
      <c r="G525" s="20">
        <v>2022.0</v>
      </c>
      <c r="H525" s="21" t="s">
        <v>447</v>
      </c>
      <c r="I525" s="21" t="s">
        <v>252</v>
      </c>
      <c r="J525" s="21" t="s">
        <v>610</v>
      </c>
      <c r="K525" s="16" t="s">
        <v>9</v>
      </c>
      <c r="L525" s="22"/>
      <c r="M525" s="55">
        <v>0.0</v>
      </c>
      <c r="N525" s="23">
        <v>0.0</v>
      </c>
      <c r="O525" s="23">
        <v>1091.05369625</v>
      </c>
      <c r="P525" s="48">
        <f t="shared" si="15"/>
        <v>44819</v>
      </c>
      <c r="Q525" s="23"/>
      <c r="R525" s="25"/>
      <c r="S525" s="26">
        <v>44835.0</v>
      </c>
      <c r="T525" s="16" t="b">
        <v>1</v>
      </c>
    </row>
    <row r="526" hidden="1">
      <c r="A526" s="4" t="s">
        <v>611</v>
      </c>
      <c r="B526" s="5">
        <f>(2500*1.316256)+(50*1.28406451)</f>
        <v>3354.843226</v>
      </c>
      <c r="C526" s="4" t="s">
        <v>18</v>
      </c>
      <c r="D526" s="6" t="s">
        <v>612</v>
      </c>
      <c r="E526" s="7">
        <v>44819.0</v>
      </c>
      <c r="F526" s="5">
        <v>0.0</v>
      </c>
      <c r="G526" s="8">
        <v>2022.0</v>
      </c>
      <c r="H526" s="9" t="s">
        <v>447</v>
      </c>
      <c r="I526" s="9" t="s">
        <v>52</v>
      </c>
      <c r="J526" s="9" t="s">
        <v>613</v>
      </c>
      <c r="K526" s="4" t="s">
        <v>9</v>
      </c>
      <c r="L526" s="10">
        <v>30.0</v>
      </c>
      <c r="M526" s="54">
        <v>0.0</v>
      </c>
      <c r="N526" s="12">
        <v>0.0</v>
      </c>
      <c r="O526" s="12">
        <v>3354.8432255000002</v>
      </c>
      <c r="P526" s="37">
        <f t="shared" si="15"/>
        <v>44849</v>
      </c>
      <c r="Q526" s="12">
        <v>1500.0</v>
      </c>
      <c r="R526" s="14"/>
      <c r="S526" s="15">
        <v>44835.0</v>
      </c>
      <c r="T526" s="4" t="b">
        <v>1</v>
      </c>
    </row>
    <row r="527" hidden="1">
      <c r="A527" s="16" t="s">
        <v>611</v>
      </c>
      <c r="B527" s="17">
        <f>1500*1.284046451</f>
        <v>1926.069677</v>
      </c>
      <c r="C527" s="16" t="s">
        <v>18</v>
      </c>
      <c r="D527" s="18" t="s">
        <v>614</v>
      </c>
      <c r="E527" s="19">
        <v>44849.0</v>
      </c>
      <c r="F527" s="17">
        <v>0.0</v>
      </c>
      <c r="G527" s="20">
        <v>2022.0</v>
      </c>
      <c r="H527" s="21" t="s">
        <v>447</v>
      </c>
      <c r="I527" s="21" t="s">
        <v>52</v>
      </c>
      <c r="J527" s="21" t="s">
        <v>615</v>
      </c>
      <c r="K527" s="16" t="s">
        <v>9</v>
      </c>
      <c r="L527" s="22">
        <v>30.0</v>
      </c>
      <c r="M527" s="55">
        <v>0.0</v>
      </c>
      <c r="N527" s="23">
        <v>0.0</v>
      </c>
      <c r="O527" s="23">
        <v>1926.0696765</v>
      </c>
      <c r="P527" s="48">
        <f t="shared" si="15"/>
        <v>44879</v>
      </c>
      <c r="Q527" s="23">
        <v>1500.0</v>
      </c>
      <c r="R527" s="25"/>
      <c r="S527" s="26">
        <v>44866.0</v>
      </c>
      <c r="T527" s="16" t="b">
        <v>1</v>
      </c>
    </row>
    <row r="528" hidden="1">
      <c r="A528" s="4" t="s">
        <v>611</v>
      </c>
      <c r="B528" s="5">
        <f>1500*1.28846</f>
        <v>1932.69</v>
      </c>
      <c r="C528" s="4" t="s">
        <v>18</v>
      </c>
      <c r="D528" s="6" t="s">
        <v>616</v>
      </c>
      <c r="E528" s="7">
        <v>44880.0</v>
      </c>
      <c r="F528" s="5">
        <v>0.0</v>
      </c>
      <c r="G528" s="8">
        <v>2022.0</v>
      </c>
      <c r="H528" s="9" t="s">
        <v>447</v>
      </c>
      <c r="I528" s="9" t="s">
        <v>52</v>
      </c>
      <c r="J528" s="9" t="s">
        <v>615</v>
      </c>
      <c r="K528" s="4" t="s">
        <v>9</v>
      </c>
      <c r="L528" s="10">
        <v>30.0</v>
      </c>
      <c r="M528" s="54">
        <v>0.0</v>
      </c>
      <c r="N528" s="12">
        <v>0.0</v>
      </c>
      <c r="O528" s="12">
        <v>1932.6899999999998</v>
      </c>
      <c r="P528" s="37">
        <f t="shared" si="15"/>
        <v>44910</v>
      </c>
      <c r="Q528" s="12">
        <v>1500.0</v>
      </c>
      <c r="R528" s="14"/>
      <c r="S528" s="15">
        <v>44896.0</v>
      </c>
      <c r="T528" s="4" t="b">
        <v>1</v>
      </c>
    </row>
    <row r="529">
      <c r="A529" s="16" t="s">
        <v>611</v>
      </c>
      <c r="B529" s="17">
        <v>1500.0</v>
      </c>
      <c r="C529" s="16" t="s">
        <v>47</v>
      </c>
      <c r="D529" s="44"/>
      <c r="E529" s="19" t="s">
        <v>617</v>
      </c>
      <c r="F529" s="35"/>
      <c r="G529" s="20" t="s">
        <v>200</v>
      </c>
      <c r="H529" s="21" t="s">
        <v>447</v>
      </c>
      <c r="I529" s="21" t="s">
        <v>52</v>
      </c>
      <c r="J529" s="21" t="s">
        <v>615</v>
      </c>
      <c r="K529" s="16" t="s">
        <v>9</v>
      </c>
      <c r="L529" s="22">
        <v>30.0</v>
      </c>
      <c r="M529" s="55">
        <v>0.0</v>
      </c>
      <c r="N529" s="23">
        <v>0.0</v>
      </c>
      <c r="O529" s="23">
        <v>1500.0</v>
      </c>
      <c r="P529" s="24" t="str">
        <f t="shared" si="15"/>
        <v>#VALUE!</v>
      </c>
      <c r="Q529" s="23">
        <v>1500.0</v>
      </c>
      <c r="R529" s="25"/>
      <c r="S529" s="26"/>
      <c r="T529" s="16" t="b">
        <v>1</v>
      </c>
    </row>
    <row r="530">
      <c r="A530" s="4" t="s">
        <v>618</v>
      </c>
      <c r="B530" s="5">
        <v>850.0</v>
      </c>
      <c r="C530" s="4" t="s">
        <v>47</v>
      </c>
      <c r="D530" s="39"/>
      <c r="E530" s="7" t="s">
        <v>619</v>
      </c>
      <c r="F530" s="34"/>
      <c r="G530" s="8" t="s">
        <v>200</v>
      </c>
      <c r="H530" s="9" t="s">
        <v>447</v>
      </c>
      <c r="I530" s="9" t="s">
        <v>252</v>
      </c>
      <c r="J530" s="9" t="s">
        <v>620</v>
      </c>
      <c r="K530" s="4" t="s">
        <v>9</v>
      </c>
      <c r="L530" s="10">
        <v>30.0</v>
      </c>
      <c r="M530" s="54">
        <v>0.0</v>
      </c>
      <c r="N530" s="12">
        <v>0.0</v>
      </c>
      <c r="O530" s="12">
        <v>850.0</v>
      </c>
      <c r="P530" s="13" t="str">
        <f t="shared" si="15"/>
        <v>#VALUE!</v>
      </c>
      <c r="Q530" s="12">
        <v>850.0</v>
      </c>
      <c r="R530" s="14"/>
      <c r="S530" s="15"/>
      <c r="T530" s="4" t="b">
        <v>1</v>
      </c>
    </row>
    <row r="531" hidden="1">
      <c r="A531" s="16" t="s">
        <v>621</v>
      </c>
      <c r="B531" s="17">
        <f>500*1.3504</f>
        <v>675.2</v>
      </c>
      <c r="C531" s="16" t="s">
        <v>18</v>
      </c>
      <c r="D531" s="18" t="s">
        <v>622</v>
      </c>
      <c r="E531" s="19">
        <v>44819.0</v>
      </c>
      <c r="F531" s="17">
        <v>0.0</v>
      </c>
      <c r="G531" s="20">
        <v>2022.0</v>
      </c>
      <c r="H531" s="21" t="s">
        <v>447</v>
      </c>
      <c r="I531" s="21" t="s">
        <v>252</v>
      </c>
      <c r="J531" s="21" t="s">
        <v>623</v>
      </c>
      <c r="K531" s="16" t="s">
        <v>9</v>
      </c>
      <c r="L531" s="22">
        <v>15.0</v>
      </c>
      <c r="M531" s="55">
        <v>0.0</v>
      </c>
      <c r="N531" s="23">
        <v>0.0</v>
      </c>
      <c r="O531" s="23">
        <v>675.2</v>
      </c>
      <c r="P531" s="48">
        <f t="shared" si="15"/>
        <v>44834</v>
      </c>
      <c r="Q531" s="23"/>
      <c r="R531" s="25"/>
      <c r="S531" s="26">
        <v>44835.0</v>
      </c>
      <c r="T531" s="16" t="b">
        <v>1</v>
      </c>
    </row>
    <row r="532" hidden="1">
      <c r="A532" s="4" t="s">
        <v>68</v>
      </c>
      <c r="B532" s="5">
        <v>650.0</v>
      </c>
      <c r="C532" s="4" t="s">
        <v>18</v>
      </c>
      <c r="D532" s="6">
        <v>5305.0</v>
      </c>
      <c r="E532" s="7">
        <v>44819.0</v>
      </c>
      <c r="F532" s="5">
        <v>20.09</v>
      </c>
      <c r="G532" s="8">
        <v>2022.09</v>
      </c>
      <c r="H532" s="9" t="s">
        <v>27</v>
      </c>
      <c r="I532" s="9" t="s">
        <v>52</v>
      </c>
      <c r="J532" s="9" t="s">
        <v>69</v>
      </c>
      <c r="K532" s="4" t="s">
        <v>21</v>
      </c>
      <c r="L532" s="10">
        <v>30.0</v>
      </c>
      <c r="M532" s="54">
        <v>0.0</v>
      </c>
      <c r="N532" s="12">
        <v>0.0</v>
      </c>
      <c r="O532" s="12">
        <v>629.91</v>
      </c>
      <c r="P532" s="37">
        <f t="shared" si="15"/>
        <v>44849</v>
      </c>
      <c r="Q532" s="12">
        <v>650.0</v>
      </c>
      <c r="R532" s="14"/>
      <c r="S532" s="15">
        <v>44835.0</v>
      </c>
      <c r="T532" s="4" t="b">
        <v>1</v>
      </c>
    </row>
    <row r="533" hidden="1">
      <c r="A533" s="16" t="s">
        <v>99</v>
      </c>
      <c r="B533" s="17">
        <f>1300*1.275744</f>
        <v>1658.4672</v>
      </c>
      <c r="C533" s="16" t="s">
        <v>18</v>
      </c>
      <c r="D533" s="18" t="s">
        <v>624</v>
      </c>
      <c r="E533" s="19">
        <v>44819.0</v>
      </c>
      <c r="F533" s="35">
        <f>48.4*1.275744</f>
        <v>61.7460096</v>
      </c>
      <c r="G533" s="20">
        <v>2022.09</v>
      </c>
      <c r="H533" s="21" t="s">
        <v>27</v>
      </c>
      <c r="I533" s="21" t="s">
        <v>52</v>
      </c>
      <c r="J533" s="21" t="s">
        <v>101</v>
      </c>
      <c r="K533" s="16" t="s">
        <v>9</v>
      </c>
      <c r="L533" s="22">
        <v>30.0</v>
      </c>
      <c r="M533" s="55">
        <v>0.2</v>
      </c>
      <c r="N533" s="23">
        <v>319.34423808</v>
      </c>
      <c r="O533" s="23">
        <v>1277.37695232</v>
      </c>
      <c r="P533" s="48">
        <f t="shared" si="15"/>
        <v>44849</v>
      </c>
      <c r="Q533" s="23">
        <v>1300.0</v>
      </c>
      <c r="R533" s="25"/>
      <c r="S533" s="26">
        <v>44835.0</v>
      </c>
      <c r="T533" s="16" t="b">
        <v>1</v>
      </c>
    </row>
    <row r="534" hidden="1">
      <c r="A534" s="4" t="s">
        <v>225</v>
      </c>
      <c r="B534" s="5">
        <v>5000.0</v>
      </c>
      <c r="C534" s="4" t="s">
        <v>18</v>
      </c>
      <c r="D534" s="6">
        <v>5306.0</v>
      </c>
      <c r="E534" s="7">
        <v>44819.0</v>
      </c>
      <c r="F534" s="5">
        <v>0.0</v>
      </c>
      <c r="G534" s="8">
        <v>2022.09</v>
      </c>
      <c r="H534" s="9" t="s">
        <v>27</v>
      </c>
      <c r="I534" s="9" t="s">
        <v>52</v>
      </c>
      <c r="J534" s="9" t="s">
        <v>625</v>
      </c>
      <c r="K534" s="4" t="s">
        <v>21</v>
      </c>
      <c r="L534" s="10">
        <v>30.0</v>
      </c>
      <c r="M534" s="54">
        <v>0.0</v>
      </c>
      <c r="N534" s="12">
        <v>0.0</v>
      </c>
      <c r="O534" s="12">
        <v>5000.0</v>
      </c>
      <c r="P534" s="37">
        <f t="shared" si="15"/>
        <v>44849</v>
      </c>
      <c r="Q534" s="12">
        <v>5000.0</v>
      </c>
      <c r="R534" s="14"/>
      <c r="S534" s="15">
        <v>44835.0</v>
      </c>
      <c r="T534" s="4" t="b">
        <v>1</v>
      </c>
    </row>
    <row r="535" hidden="1">
      <c r="A535" s="16" t="s">
        <v>102</v>
      </c>
      <c r="B535" s="17">
        <f>350*1.336175</f>
        <v>467.66125</v>
      </c>
      <c r="C535" s="16" t="s">
        <v>18</v>
      </c>
      <c r="D535" s="18" t="s">
        <v>626</v>
      </c>
      <c r="E535" s="19">
        <v>44819.0</v>
      </c>
      <c r="F535" s="35">
        <f>13.25*1.336175</f>
        <v>17.70431875</v>
      </c>
      <c r="G535" s="20">
        <v>2022.09</v>
      </c>
      <c r="H535" s="21" t="s">
        <v>27</v>
      </c>
      <c r="I535" s="21" t="s">
        <v>52</v>
      </c>
      <c r="J535" s="21" t="s">
        <v>104</v>
      </c>
      <c r="K535" s="16" t="s">
        <v>9</v>
      </c>
      <c r="L535" s="22">
        <v>30.0</v>
      </c>
      <c r="M535" s="55">
        <v>0.0</v>
      </c>
      <c r="N535" s="23">
        <v>0.0</v>
      </c>
      <c r="O535" s="23">
        <v>449.9569312499999</v>
      </c>
      <c r="P535" s="48">
        <f t="shared" si="15"/>
        <v>44849</v>
      </c>
      <c r="Q535" s="23">
        <v>350.0</v>
      </c>
      <c r="R535" s="25"/>
      <c r="S535" s="26">
        <v>44835.0</v>
      </c>
      <c r="T535" s="16" t="b">
        <v>1</v>
      </c>
    </row>
    <row r="536" hidden="1">
      <c r="A536" s="4" t="s">
        <v>62</v>
      </c>
      <c r="B536" s="5">
        <v>1600.0</v>
      </c>
      <c r="C536" s="4" t="s">
        <v>18</v>
      </c>
      <c r="D536" s="6">
        <v>5307.0</v>
      </c>
      <c r="E536" s="7">
        <v>44819.0</v>
      </c>
      <c r="F536" s="5">
        <v>49.78</v>
      </c>
      <c r="G536" s="8">
        <v>2022.09</v>
      </c>
      <c r="H536" s="9" t="s">
        <v>27</v>
      </c>
      <c r="I536" s="9" t="s">
        <v>52</v>
      </c>
      <c r="J536" s="9" t="s">
        <v>63</v>
      </c>
      <c r="K536" s="4" t="s">
        <v>21</v>
      </c>
      <c r="L536" s="10">
        <v>30.0</v>
      </c>
      <c r="M536" s="54">
        <v>0.0</v>
      </c>
      <c r="N536" s="12">
        <v>0.0</v>
      </c>
      <c r="O536" s="12">
        <v>1550.22</v>
      </c>
      <c r="P536" s="37">
        <f t="shared" si="15"/>
        <v>44849</v>
      </c>
      <c r="Q536" s="12">
        <v>1600.0</v>
      </c>
      <c r="R536" s="14"/>
      <c r="S536" s="15">
        <v>44835.0</v>
      </c>
      <c r="T536" s="4" t="b">
        <v>1</v>
      </c>
    </row>
    <row r="537" hidden="1">
      <c r="A537" s="16" t="s">
        <v>66</v>
      </c>
      <c r="B537" s="17">
        <v>900.0</v>
      </c>
      <c r="C537" s="16" t="s">
        <v>18</v>
      </c>
      <c r="D537" s="18">
        <v>5308.0</v>
      </c>
      <c r="E537" s="19">
        <v>44819.0</v>
      </c>
      <c r="F537" s="17">
        <v>0.0</v>
      </c>
      <c r="G537" s="20">
        <v>2022.09</v>
      </c>
      <c r="H537" s="21" t="s">
        <v>27</v>
      </c>
      <c r="I537" s="21" t="s">
        <v>52</v>
      </c>
      <c r="J537" s="21" t="s">
        <v>294</v>
      </c>
      <c r="K537" s="16" t="s">
        <v>21</v>
      </c>
      <c r="L537" s="22">
        <v>30.0</v>
      </c>
      <c r="M537" s="55">
        <v>0.0</v>
      </c>
      <c r="N537" s="23">
        <v>0.0</v>
      </c>
      <c r="O537" s="23">
        <v>900.0</v>
      </c>
      <c r="P537" s="48">
        <f t="shared" si="15"/>
        <v>44849</v>
      </c>
      <c r="Q537" s="23">
        <v>900.0</v>
      </c>
      <c r="R537" s="25"/>
      <c r="S537" s="26">
        <v>44835.0</v>
      </c>
      <c r="T537" s="16" t="b">
        <v>1</v>
      </c>
    </row>
    <row r="538" hidden="1">
      <c r="A538" s="4" t="s">
        <v>523</v>
      </c>
      <c r="B538" s="5">
        <v>500.0</v>
      </c>
      <c r="C538" s="4" t="s">
        <v>18</v>
      </c>
      <c r="D538" s="6">
        <v>5309.0</v>
      </c>
      <c r="E538" s="7">
        <v>44819.0</v>
      </c>
      <c r="F538" s="5">
        <v>0.0</v>
      </c>
      <c r="G538" s="8">
        <v>2022.09</v>
      </c>
      <c r="H538" s="9" t="s">
        <v>27</v>
      </c>
      <c r="I538" s="9" t="s">
        <v>52</v>
      </c>
      <c r="J538" s="9" t="s">
        <v>466</v>
      </c>
      <c r="K538" s="4" t="s">
        <v>21</v>
      </c>
      <c r="L538" s="10">
        <v>15.0</v>
      </c>
      <c r="M538" s="54">
        <v>0.0</v>
      </c>
      <c r="N538" s="12">
        <v>0.0</v>
      </c>
      <c r="O538" s="12">
        <v>500.0</v>
      </c>
      <c r="P538" s="37">
        <f t="shared" si="15"/>
        <v>44834</v>
      </c>
      <c r="Q538" s="12">
        <v>500.0</v>
      </c>
      <c r="R538" s="14"/>
      <c r="S538" s="15">
        <v>44835.0</v>
      </c>
      <c r="T538" s="4" t="b">
        <v>1</v>
      </c>
    </row>
    <row r="539" hidden="1">
      <c r="A539" s="16" t="s">
        <v>467</v>
      </c>
      <c r="B539" s="17">
        <f>280*1.330549</f>
        <v>372.55372</v>
      </c>
      <c r="C539" s="16" t="s">
        <v>18</v>
      </c>
      <c r="D539" s="18" t="s">
        <v>627</v>
      </c>
      <c r="E539" s="19">
        <v>44819.0</v>
      </c>
      <c r="F539" s="35">
        <f>10.66*1.330549</f>
        <v>14.18365234</v>
      </c>
      <c r="G539" s="20">
        <v>2022.09</v>
      </c>
      <c r="H539" s="21" t="s">
        <v>27</v>
      </c>
      <c r="I539" s="21" t="s">
        <v>52</v>
      </c>
      <c r="J539" s="21" t="s">
        <v>469</v>
      </c>
      <c r="K539" s="16" t="s">
        <v>9</v>
      </c>
      <c r="L539" s="22">
        <v>0.0</v>
      </c>
      <c r="M539" s="55">
        <v>0.2</v>
      </c>
      <c r="N539" s="23">
        <v>71.674013532</v>
      </c>
      <c r="O539" s="23">
        <v>286.696054128</v>
      </c>
      <c r="P539" s="48">
        <f t="shared" si="15"/>
        <v>44819</v>
      </c>
      <c r="Q539" s="23">
        <v>280.0</v>
      </c>
      <c r="R539" s="25"/>
      <c r="S539" s="26">
        <v>44835.0</v>
      </c>
      <c r="T539" s="16" t="b">
        <v>1</v>
      </c>
    </row>
    <row r="540" hidden="1">
      <c r="A540" s="4" t="s">
        <v>549</v>
      </c>
      <c r="B540" s="5">
        <f>600*1.295532</f>
        <v>777.3192</v>
      </c>
      <c r="C540" s="4" t="s">
        <v>18</v>
      </c>
      <c r="D540" s="6" t="s">
        <v>628</v>
      </c>
      <c r="E540" s="7">
        <v>44819.0</v>
      </c>
      <c r="F540" s="34">
        <f>22.5*1.295532</f>
        <v>29.14947</v>
      </c>
      <c r="G540" s="8">
        <v>2022.09</v>
      </c>
      <c r="H540" s="9" t="s">
        <v>27</v>
      </c>
      <c r="I540" s="9" t="s">
        <v>52</v>
      </c>
      <c r="J540" s="9" t="s">
        <v>551</v>
      </c>
      <c r="K540" s="4" t="s">
        <v>9</v>
      </c>
      <c r="L540" s="10">
        <v>0.0</v>
      </c>
      <c r="M540" s="54">
        <v>0.0</v>
      </c>
      <c r="N540" s="12">
        <v>0.0</v>
      </c>
      <c r="O540" s="12">
        <v>748.16973</v>
      </c>
      <c r="P540" s="37">
        <f t="shared" si="15"/>
        <v>44819</v>
      </c>
      <c r="Q540" s="12">
        <v>600.0</v>
      </c>
      <c r="R540" s="14"/>
      <c r="S540" s="15">
        <v>44835.0</v>
      </c>
      <c r="T540" s="4" t="b">
        <v>1</v>
      </c>
    </row>
    <row r="541" hidden="1">
      <c r="A541" s="16" t="s">
        <v>629</v>
      </c>
      <c r="B541" s="17">
        <f>280*1.35244</f>
        <v>378.6832</v>
      </c>
      <c r="C541" s="16" t="s">
        <v>18</v>
      </c>
      <c r="D541" s="18" t="s">
        <v>563</v>
      </c>
      <c r="E541" s="19">
        <v>44849.0</v>
      </c>
      <c r="F541" s="17">
        <v>0.0</v>
      </c>
      <c r="G541" s="20">
        <v>2022.1</v>
      </c>
      <c r="H541" s="21" t="s">
        <v>27</v>
      </c>
      <c r="I541" s="21" t="s">
        <v>52</v>
      </c>
      <c r="J541" s="21" t="s">
        <v>469</v>
      </c>
      <c r="K541" s="16" t="s">
        <v>9</v>
      </c>
      <c r="L541" s="22"/>
      <c r="M541" s="55">
        <v>0.0</v>
      </c>
      <c r="N541" s="23">
        <v>0.0</v>
      </c>
      <c r="O541" s="23">
        <v>378.6832</v>
      </c>
      <c r="P541" s="48">
        <f t="shared" si="15"/>
        <v>44849</v>
      </c>
      <c r="Q541" s="23">
        <v>280.0</v>
      </c>
      <c r="R541" s="25"/>
      <c r="S541" s="26">
        <v>44866.0</v>
      </c>
      <c r="T541" s="16" t="b">
        <v>1</v>
      </c>
    </row>
    <row r="542" hidden="1">
      <c r="A542" s="4" t="s">
        <v>630</v>
      </c>
      <c r="B542" s="5">
        <v>280.0</v>
      </c>
      <c r="C542" s="4" t="s">
        <v>18</v>
      </c>
      <c r="D542" s="6">
        <v>5310.0</v>
      </c>
      <c r="E542" s="7">
        <v>44819.0</v>
      </c>
      <c r="F542" s="5">
        <v>8.71</v>
      </c>
      <c r="G542" s="8">
        <v>2022.09</v>
      </c>
      <c r="H542" s="9" t="s">
        <v>27</v>
      </c>
      <c r="I542" s="9" t="s">
        <v>52</v>
      </c>
      <c r="J542" s="9" t="s">
        <v>631</v>
      </c>
      <c r="K542" s="4" t="s">
        <v>21</v>
      </c>
      <c r="L542" s="10">
        <v>0.0</v>
      </c>
      <c r="M542" s="54">
        <v>0.0</v>
      </c>
      <c r="N542" s="12">
        <v>0.0</v>
      </c>
      <c r="O542" s="12">
        <v>271.29</v>
      </c>
      <c r="P542" s="37">
        <f t="shared" si="15"/>
        <v>44819</v>
      </c>
      <c r="Q542" s="12">
        <v>280.0</v>
      </c>
      <c r="R542" s="14"/>
      <c r="S542" s="15">
        <v>44835.0</v>
      </c>
      <c r="T542" s="4" t="b">
        <v>1</v>
      </c>
    </row>
    <row r="543" hidden="1">
      <c r="A543" s="16" t="s">
        <v>632</v>
      </c>
      <c r="B543" s="17">
        <f>4600*1.282825</f>
        <v>5900.995</v>
      </c>
      <c r="C543" s="16" t="s">
        <v>18</v>
      </c>
      <c r="D543" s="18" t="s">
        <v>633</v>
      </c>
      <c r="E543" s="19">
        <v>44819.0</v>
      </c>
      <c r="F543" s="35">
        <f>170.5*1.282825</f>
        <v>218.7216625</v>
      </c>
      <c r="G543" s="20">
        <v>2022.0</v>
      </c>
      <c r="H543" s="21" t="s">
        <v>447</v>
      </c>
      <c r="I543" s="21" t="s">
        <v>252</v>
      </c>
      <c r="J543" s="21" t="s">
        <v>634</v>
      </c>
      <c r="K543" s="16" t="s">
        <v>9</v>
      </c>
      <c r="L543" s="22">
        <v>15.0</v>
      </c>
      <c r="M543" s="55">
        <v>0.2</v>
      </c>
      <c r="N543" s="23">
        <v>1136.4546675000001</v>
      </c>
      <c r="O543" s="23">
        <v>4545.818670000001</v>
      </c>
      <c r="P543" s="48">
        <f t="shared" si="15"/>
        <v>44834</v>
      </c>
      <c r="Q543" s="23">
        <v>9200.0</v>
      </c>
      <c r="R543" s="25"/>
      <c r="S543" s="26">
        <v>44835.0</v>
      </c>
      <c r="T543" s="16" t="b">
        <v>1</v>
      </c>
    </row>
    <row r="544" hidden="1">
      <c r="A544" s="4" t="s">
        <v>632</v>
      </c>
      <c r="B544" s="5">
        <f>4600*1.313089</f>
        <v>6040.2094</v>
      </c>
      <c r="C544" s="4" t="s">
        <v>18</v>
      </c>
      <c r="D544" s="6" t="s">
        <v>635</v>
      </c>
      <c r="E544" s="7">
        <v>44888.0</v>
      </c>
      <c r="F544" s="34">
        <f>170.5*1.313089</f>
        <v>223.8816745</v>
      </c>
      <c r="G544" s="8">
        <v>2022.0</v>
      </c>
      <c r="H544" s="9" t="s">
        <v>447</v>
      </c>
      <c r="I544" s="9" t="s">
        <v>252</v>
      </c>
      <c r="J544" s="9" t="s">
        <v>636</v>
      </c>
      <c r="K544" s="4" t="s">
        <v>9</v>
      </c>
      <c r="L544" s="10">
        <v>15.0</v>
      </c>
      <c r="M544" s="54">
        <v>0.2</v>
      </c>
      <c r="N544" s="12">
        <v>1163.2655450999998</v>
      </c>
      <c r="O544" s="12">
        <v>4653.062180399999</v>
      </c>
      <c r="P544" s="37">
        <f t="shared" si="15"/>
        <v>44903</v>
      </c>
      <c r="Q544" s="12">
        <v>9200.0</v>
      </c>
      <c r="R544" s="14"/>
      <c r="S544" s="15">
        <v>44896.0</v>
      </c>
      <c r="T544" s="4" t="b">
        <v>1</v>
      </c>
    </row>
    <row r="545" hidden="1">
      <c r="A545" s="16" t="s">
        <v>637</v>
      </c>
      <c r="B545" s="17">
        <f>650*1.34357</f>
        <v>873.3205</v>
      </c>
      <c r="C545" s="16" t="s">
        <v>18</v>
      </c>
      <c r="D545" s="18" t="s">
        <v>638</v>
      </c>
      <c r="E545" s="19">
        <v>44833.0</v>
      </c>
      <c r="F545" s="17">
        <v>25.63</v>
      </c>
      <c r="G545" s="20">
        <v>2022.0</v>
      </c>
      <c r="H545" s="21" t="s">
        <v>447</v>
      </c>
      <c r="I545" s="21" t="s">
        <v>252</v>
      </c>
      <c r="J545" s="21" t="s">
        <v>639</v>
      </c>
      <c r="K545" s="16" t="s">
        <v>9</v>
      </c>
      <c r="L545" s="16">
        <v>15.0</v>
      </c>
      <c r="M545" s="55">
        <v>0.0</v>
      </c>
      <c r="N545" s="23">
        <v>0.0</v>
      </c>
      <c r="O545" s="23">
        <v>847.6904999999999</v>
      </c>
      <c r="P545" s="48">
        <f t="shared" si="15"/>
        <v>44848</v>
      </c>
      <c r="Q545" s="23">
        <v>650.0</v>
      </c>
      <c r="R545" s="25"/>
      <c r="S545" s="26">
        <v>44835.0</v>
      </c>
      <c r="T545" s="16" t="b">
        <v>1</v>
      </c>
    </row>
    <row r="546" hidden="1">
      <c r="A546" s="4" t="s">
        <v>223</v>
      </c>
      <c r="B546" s="5">
        <v>800.0</v>
      </c>
      <c r="C546" s="4" t="s">
        <v>18</v>
      </c>
      <c r="D546" s="6">
        <v>5312.0</v>
      </c>
      <c r="E546" s="7">
        <v>44833.0</v>
      </c>
      <c r="F546" s="5">
        <v>24.89</v>
      </c>
      <c r="G546" s="8">
        <v>2022.09</v>
      </c>
      <c r="H546" s="9" t="s">
        <v>51</v>
      </c>
      <c r="I546" s="9" t="s">
        <v>52</v>
      </c>
      <c r="J546" s="9" t="s">
        <v>247</v>
      </c>
      <c r="K546" s="4" t="s">
        <v>21</v>
      </c>
      <c r="L546" s="10">
        <v>30.0</v>
      </c>
      <c r="M546" s="54">
        <v>0.0</v>
      </c>
      <c r="N546" s="12">
        <v>0.0</v>
      </c>
      <c r="O546" s="12">
        <v>775.11</v>
      </c>
      <c r="P546" s="37">
        <f t="shared" si="15"/>
        <v>44863</v>
      </c>
      <c r="Q546" s="12">
        <v>800.0</v>
      </c>
      <c r="R546" s="14"/>
      <c r="S546" s="15">
        <v>44835.0</v>
      </c>
      <c r="T546" s="4" t="b">
        <v>1</v>
      </c>
    </row>
    <row r="547" hidden="1">
      <c r="A547" s="16" t="s">
        <v>54</v>
      </c>
      <c r="B547" s="17">
        <v>750.0</v>
      </c>
      <c r="C547" s="16" t="s">
        <v>18</v>
      </c>
      <c r="D547" s="18">
        <v>5325.0</v>
      </c>
      <c r="E547" s="19">
        <v>44834.0</v>
      </c>
      <c r="F547" s="17">
        <v>23.33</v>
      </c>
      <c r="G547" s="20">
        <v>2022.09</v>
      </c>
      <c r="H547" s="21" t="s">
        <v>51</v>
      </c>
      <c r="I547" s="21" t="s">
        <v>52</v>
      </c>
      <c r="J547" s="21" t="s">
        <v>55</v>
      </c>
      <c r="K547" s="16" t="s">
        <v>21</v>
      </c>
      <c r="L547" s="22">
        <v>30.0</v>
      </c>
      <c r="M547" s="55">
        <v>0.0</v>
      </c>
      <c r="N547" s="23">
        <v>0.0</v>
      </c>
      <c r="O547" s="23">
        <v>726.67</v>
      </c>
      <c r="P547" s="48">
        <f t="shared" si="15"/>
        <v>44864</v>
      </c>
      <c r="Q547" s="23">
        <v>750.0</v>
      </c>
      <c r="R547" s="25"/>
      <c r="S547" s="26">
        <v>44835.0</v>
      </c>
      <c r="T547" s="16" t="b">
        <v>1</v>
      </c>
    </row>
    <row r="548" hidden="1">
      <c r="A548" s="4" t="s">
        <v>58</v>
      </c>
      <c r="B548" s="5">
        <v>1550.0</v>
      </c>
      <c r="C548" s="4" t="s">
        <v>18</v>
      </c>
      <c r="D548" s="6">
        <v>5313.0</v>
      </c>
      <c r="E548" s="7">
        <v>44833.0</v>
      </c>
      <c r="F548" s="5">
        <v>48.22</v>
      </c>
      <c r="G548" s="8">
        <v>2022.09</v>
      </c>
      <c r="H548" s="9" t="s">
        <v>51</v>
      </c>
      <c r="I548" s="9" t="s">
        <v>52</v>
      </c>
      <c r="J548" s="9" t="s">
        <v>59</v>
      </c>
      <c r="K548" s="4" t="s">
        <v>21</v>
      </c>
      <c r="L548" s="10">
        <v>30.0</v>
      </c>
      <c r="M548" s="54">
        <v>0.0</v>
      </c>
      <c r="N548" s="12">
        <v>0.0</v>
      </c>
      <c r="O548" s="12">
        <v>1501.78</v>
      </c>
      <c r="P548" s="37">
        <f t="shared" si="15"/>
        <v>44863</v>
      </c>
      <c r="Q548" s="12">
        <v>1550.0</v>
      </c>
      <c r="R548" s="14"/>
      <c r="S548" s="15">
        <v>44835.0</v>
      </c>
      <c r="T548" s="4" t="b">
        <v>1</v>
      </c>
    </row>
    <row r="549" hidden="1">
      <c r="A549" s="16" t="s">
        <v>84</v>
      </c>
      <c r="B549" s="17">
        <v>1000.0</v>
      </c>
      <c r="C549" s="16" t="s">
        <v>18</v>
      </c>
      <c r="D549" s="18">
        <v>5314.0</v>
      </c>
      <c r="E549" s="19">
        <v>44833.0</v>
      </c>
      <c r="F549" s="17">
        <v>0.0</v>
      </c>
      <c r="G549" s="20">
        <v>2022.09</v>
      </c>
      <c r="H549" s="21" t="s">
        <v>51</v>
      </c>
      <c r="I549" s="21" t="s">
        <v>52</v>
      </c>
      <c r="J549" s="21" t="s">
        <v>85</v>
      </c>
      <c r="K549" s="16" t="s">
        <v>21</v>
      </c>
      <c r="L549" s="22">
        <v>30.0</v>
      </c>
      <c r="M549" s="55">
        <v>0.0</v>
      </c>
      <c r="N549" s="23">
        <v>0.0</v>
      </c>
      <c r="O549" s="23">
        <v>1000.0</v>
      </c>
      <c r="P549" s="48">
        <f t="shared" si="15"/>
        <v>44863</v>
      </c>
      <c r="Q549" s="23">
        <v>1000.0</v>
      </c>
      <c r="R549" s="25"/>
      <c r="S549" s="26">
        <v>44835.0</v>
      </c>
      <c r="T549" s="16" t="b">
        <v>1</v>
      </c>
    </row>
    <row r="550" hidden="1">
      <c r="A550" s="4" t="s">
        <v>42</v>
      </c>
      <c r="B550" s="5">
        <v>1500.0</v>
      </c>
      <c r="C550" s="4" t="s">
        <v>18</v>
      </c>
      <c r="D550" s="6">
        <v>5315.0</v>
      </c>
      <c r="E550" s="7">
        <v>44833.0</v>
      </c>
      <c r="F550" s="5">
        <v>46.67</v>
      </c>
      <c r="G550" s="8">
        <v>2022.09</v>
      </c>
      <c r="H550" s="9" t="s">
        <v>51</v>
      </c>
      <c r="I550" s="9" t="s">
        <v>52</v>
      </c>
      <c r="J550" s="9" t="s">
        <v>43</v>
      </c>
      <c r="K550" s="4" t="s">
        <v>21</v>
      </c>
      <c r="L550" s="10">
        <v>30.0</v>
      </c>
      <c r="M550" s="54">
        <v>0.15</v>
      </c>
      <c r="N550" s="12">
        <v>217.99949999999998</v>
      </c>
      <c r="O550" s="12">
        <v>1235.3305</v>
      </c>
      <c r="P550" s="37">
        <f t="shared" si="15"/>
        <v>44863</v>
      </c>
      <c r="Q550" s="12">
        <v>1500.0</v>
      </c>
      <c r="R550" s="14"/>
      <c r="S550" s="15">
        <v>44835.0</v>
      </c>
      <c r="T550" s="4" t="b">
        <v>1</v>
      </c>
    </row>
    <row r="551" hidden="1">
      <c r="A551" s="16" t="s">
        <v>82</v>
      </c>
      <c r="B551" s="17">
        <v>800.0</v>
      </c>
      <c r="C551" s="16" t="s">
        <v>18</v>
      </c>
      <c r="D551" s="18">
        <v>5316.0</v>
      </c>
      <c r="E551" s="19">
        <v>44833.0</v>
      </c>
      <c r="F551" s="17">
        <v>0.0</v>
      </c>
      <c r="G551" s="20">
        <v>2022.09</v>
      </c>
      <c r="H551" s="21" t="s">
        <v>51</v>
      </c>
      <c r="I551" s="21" t="s">
        <v>52</v>
      </c>
      <c r="J551" s="21" t="s">
        <v>83</v>
      </c>
      <c r="K551" s="16" t="s">
        <v>21</v>
      </c>
      <c r="L551" s="22">
        <v>30.0</v>
      </c>
      <c r="M551" s="55">
        <v>0.0</v>
      </c>
      <c r="N551" s="23">
        <v>0.0</v>
      </c>
      <c r="O551" s="23">
        <v>800.0</v>
      </c>
      <c r="P551" s="48">
        <f t="shared" si="15"/>
        <v>44863</v>
      </c>
      <c r="Q551" s="23">
        <v>800.0</v>
      </c>
      <c r="R551" s="25"/>
      <c r="S551" s="26">
        <v>44835.0</v>
      </c>
      <c r="T551" s="16" t="b">
        <v>1</v>
      </c>
    </row>
    <row r="552" hidden="1">
      <c r="A552" s="4" t="s">
        <v>88</v>
      </c>
      <c r="B552" s="5">
        <v>500.0</v>
      </c>
      <c r="C552" s="4" t="s">
        <v>18</v>
      </c>
      <c r="D552" s="6">
        <v>5326.0</v>
      </c>
      <c r="E552" s="7">
        <v>44834.0</v>
      </c>
      <c r="F552" s="5">
        <v>15.53</v>
      </c>
      <c r="G552" s="8">
        <v>2022.09</v>
      </c>
      <c r="H552" s="9" t="s">
        <v>51</v>
      </c>
      <c r="I552" s="9" t="s">
        <v>52</v>
      </c>
      <c r="J552" s="9" t="s">
        <v>89</v>
      </c>
      <c r="K552" s="4" t="s">
        <v>21</v>
      </c>
      <c r="L552" s="10">
        <v>30.0</v>
      </c>
      <c r="M552" s="54">
        <v>0.0</v>
      </c>
      <c r="N552" s="12">
        <v>0.0</v>
      </c>
      <c r="O552" s="12">
        <v>484.47</v>
      </c>
      <c r="P552" s="37">
        <f t="shared" si="15"/>
        <v>44864</v>
      </c>
      <c r="Q552" s="12">
        <v>500.0</v>
      </c>
      <c r="R552" s="14"/>
      <c r="S552" s="15">
        <v>44835.0</v>
      </c>
      <c r="T552" s="4" t="b">
        <v>1</v>
      </c>
    </row>
    <row r="553" hidden="1">
      <c r="A553" s="16" t="s">
        <v>50</v>
      </c>
      <c r="B553" s="17">
        <v>375.0</v>
      </c>
      <c r="C553" s="16" t="s">
        <v>18</v>
      </c>
      <c r="D553" s="18">
        <v>5317.0</v>
      </c>
      <c r="E553" s="19">
        <v>44833.0</v>
      </c>
      <c r="F553" s="17">
        <v>0.0</v>
      </c>
      <c r="G553" s="20">
        <v>2022.09</v>
      </c>
      <c r="H553" s="21" t="s">
        <v>51</v>
      </c>
      <c r="I553" s="21" t="s">
        <v>52</v>
      </c>
      <c r="J553" s="21" t="s">
        <v>400</v>
      </c>
      <c r="K553" s="16" t="s">
        <v>21</v>
      </c>
      <c r="L553" s="22">
        <v>30.0</v>
      </c>
      <c r="M553" s="55">
        <v>0.0</v>
      </c>
      <c r="N553" s="23">
        <v>0.0</v>
      </c>
      <c r="O553" s="23">
        <v>375.0</v>
      </c>
      <c r="P553" s="48">
        <f t="shared" si="15"/>
        <v>44863</v>
      </c>
      <c r="Q553" s="23">
        <v>375.0</v>
      </c>
      <c r="R553" s="25"/>
      <c r="S553" s="26">
        <v>44835.0</v>
      </c>
      <c r="T553" s="16" t="b">
        <v>1</v>
      </c>
    </row>
    <row r="554" hidden="1">
      <c r="A554" s="4" t="s">
        <v>75</v>
      </c>
      <c r="B554" s="5">
        <v>500.0</v>
      </c>
      <c r="C554" s="4" t="s">
        <v>18</v>
      </c>
      <c r="D554" s="6">
        <v>5318.0</v>
      </c>
      <c r="E554" s="7">
        <v>44833.0</v>
      </c>
      <c r="F554" s="5">
        <v>0.0</v>
      </c>
      <c r="G554" s="8">
        <v>2022.09</v>
      </c>
      <c r="H554" s="9" t="s">
        <v>51</v>
      </c>
      <c r="I554" s="9" t="s">
        <v>52</v>
      </c>
      <c r="J554" s="9" t="s">
        <v>76</v>
      </c>
      <c r="K554" s="4" t="s">
        <v>21</v>
      </c>
      <c r="L554" s="10">
        <v>30.0</v>
      </c>
      <c r="M554" s="54">
        <v>0.0</v>
      </c>
      <c r="N554" s="12">
        <v>0.0</v>
      </c>
      <c r="O554" s="12">
        <v>500.0</v>
      </c>
      <c r="P554" s="37">
        <f t="shared" si="15"/>
        <v>44863</v>
      </c>
      <c r="Q554" s="12">
        <v>500.0</v>
      </c>
      <c r="R554" s="14"/>
      <c r="S554" s="15">
        <v>44835.0</v>
      </c>
      <c r="T554" s="4" t="b">
        <v>1</v>
      </c>
    </row>
    <row r="555" hidden="1">
      <c r="A555" s="16" t="s">
        <v>105</v>
      </c>
      <c r="B555" s="17">
        <f>300*1.336175</f>
        <v>400.8525</v>
      </c>
      <c r="C555" s="16" t="s">
        <v>18</v>
      </c>
      <c r="D555" s="18" t="s">
        <v>640</v>
      </c>
      <c r="E555" s="19">
        <v>44833.0</v>
      </c>
      <c r="F555" s="35">
        <f>11.4*1.336175</f>
        <v>15.232395</v>
      </c>
      <c r="G555" s="20">
        <v>2022.09</v>
      </c>
      <c r="H555" s="21" t="s">
        <v>51</v>
      </c>
      <c r="I555" s="21" t="s">
        <v>52</v>
      </c>
      <c r="J555" s="21" t="s">
        <v>154</v>
      </c>
      <c r="K555" s="16" t="s">
        <v>9</v>
      </c>
      <c r="L555" s="22">
        <v>30.0</v>
      </c>
      <c r="M555" s="55">
        <v>0.0</v>
      </c>
      <c r="N555" s="23">
        <v>0.0</v>
      </c>
      <c r="O555" s="23">
        <v>385.62010499999997</v>
      </c>
      <c r="P555" s="48">
        <f t="shared" si="15"/>
        <v>44863</v>
      </c>
      <c r="Q555" s="23">
        <v>300.0</v>
      </c>
      <c r="R555" s="25"/>
      <c r="S555" s="26">
        <v>44835.0</v>
      </c>
      <c r="T555" s="16" t="b">
        <v>1</v>
      </c>
    </row>
    <row r="556" hidden="1">
      <c r="A556" s="4" t="s">
        <v>90</v>
      </c>
      <c r="B556" s="5">
        <v>1150.0</v>
      </c>
      <c r="C556" s="4" t="s">
        <v>18</v>
      </c>
      <c r="D556" s="6">
        <v>5319.0</v>
      </c>
      <c r="E556" s="7">
        <v>44833.0</v>
      </c>
      <c r="F556" s="5">
        <v>0.0</v>
      </c>
      <c r="G556" s="8">
        <v>2022.09</v>
      </c>
      <c r="H556" s="9" t="s">
        <v>51</v>
      </c>
      <c r="I556" s="9" t="s">
        <v>52</v>
      </c>
      <c r="J556" s="9" t="s">
        <v>215</v>
      </c>
      <c r="K556" s="4" t="s">
        <v>21</v>
      </c>
      <c r="L556" s="10">
        <v>30.0</v>
      </c>
      <c r="M556" s="54">
        <v>0.0</v>
      </c>
      <c r="N556" s="12">
        <v>0.0</v>
      </c>
      <c r="O556" s="12">
        <v>1150.0</v>
      </c>
      <c r="P556" s="37">
        <f t="shared" si="15"/>
        <v>44863</v>
      </c>
      <c r="Q556" s="12">
        <v>1150.0</v>
      </c>
      <c r="R556" s="14"/>
      <c r="S556" s="15">
        <v>44835.0</v>
      </c>
      <c r="T556" s="4" t="b">
        <v>1</v>
      </c>
    </row>
    <row r="557" hidden="1">
      <c r="A557" s="16" t="s">
        <v>97</v>
      </c>
      <c r="B557" s="17">
        <v>300.0</v>
      </c>
      <c r="C557" s="16" t="s">
        <v>18</v>
      </c>
      <c r="D557" s="18">
        <v>5320.0</v>
      </c>
      <c r="E557" s="19">
        <v>44833.0</v>
      </c>
      <c r="F557" s="17">
        <v>9.33</v>
      </c>
      <c r="G557" s="20">
        <v>2022.09</v>
      </c>
      <c r="H557" s="21" t="s">
        <v>51</v>
      </c>
      <c r="I557" s="21" t="s">
        <v>52</v>
      </c>
      <c r="J557" s="21" t="s">
        <v>98</v>
      </c>
      <c r="K557" s="16" t="s">
        <v>21</v>
      </c>
      <c r="L557" s="22">
        <v>30.0</v>
      </c>
      <c r="M557" s="55">
        <v>0.0</v>
      </c>
      <c r="N557" s="23">
        <v>0.0</v>
      </c>
      <c r="O557" s="23">
        <v>290.67</v>
      </c>
      <c r="P557" s="48">
        <f t="shared" si="15"/>
        <v>44863</v>
      </c>
      <c r="Q557" s="23">
        <v>300.0</v>
      </c>
      <c r="R557" s="25"/>
      <c r="S557" s="26">
        <v>44835.0</v>
      </c>
      <c r="T557" s="16" t="b">
        <v>1</v>
      </c>
    </row>
    <row r="558" hidden="1">
      <c r="A558" s="4" t="s">
        <v>92</v>
      </c>
      <c r="B558" s="5">
        <v>2500.0</v>
      </c>
      <c r="C558" s="4" t="s">
        <v>18</v>
      </c>
      <c r="D558" s="6">
        <v>5321.0</v>
      </c>
      <c r="E558" s="7">
        <v>44833.0</v>
      </c>
      <c r="F558" s="5">
        <v>77.78</v>
      </c>
      <c r="G558" s="8">
        <v>2022.09</v>
      </c>
      <c r="H558" s="9" t="s">
        <v>51</v>
      </c>
      <c r="I558" s="9" t="s">
        <v>52</v>
      </c>
      <c r="J558" s="9" t="s">
        <v>93</v>
      </c>
      <c r="K558" s="4" t="s">
        <v>21</v>
      </c>
      <c r="L558" s="10">
        <v>30.0</v>
      </c>
      <c r="M558" s="54">
        <v>0.0</v>
      </c>
      <c r="N558" s="12">
        <v>0.0</v>
      </c>
      <c r="O558" s="12">
        <v>2422.22</v>
      </c>
      <c r="P558" s="37">
        <f t="shared" si="15"/>
        <v>44863</v>
      </c>
      <c r="Q558" s="12">
        <v>2500.0</v>
      </c>
      <c r="R558" s="14"/>
      <c r="S558" s="15">
        <v>44835.0</v>
      </c>
      <c r="T558" s="4" t="b">
        <v>1</v>
      </c>
    </row>
    <row r="559" hidden="1">
      <c r="A559" s="16" t="s">
        <v>123</v>
      </c>
      <c r="B559" s="17">
        <f>4500*1.291458</f>
        <v>5811.561</v>
      </c>
      <c r="C559" s="16" t="s">
        <v>18</v>
      </c>
      <c r="D559" s="18" t="s">
        <v>641</v>
      </c>
      <c r="E559" s="19">
        <v>44833.0</v>
      </c>
      <c r="F559" s="35">
        <f>166.8*1.291458</f>
        <v>215.4151944</v>
      </c>
      <c r="G559" s="20">
        <v>2022.09</v>
      </c>
      <c r="H559" s="21" t="s">
        <v>51</v>
      </c>
      <c r="I559" s="21" t="s">
        <v>52</v>
      </c>
      <c r="J559" s="21" t="s">
        <v>642</v>
      </c>
      <c r="K559" s="16" t="s">
        <v>9</v>
      </c>
      <c r="L559" s="22">
        <v>30.0</v>
      </c>
      <c r="M559" s="55">
        <v>0.2</v>
      </c>
      <c r="N559" s="23">
        <v>1119.2291611199998</v>
      </c>
      <c r="O559" s="23">
        <v>4476.916644479999</v>
      </c>
      <c r="P559" s="48">
        <f t="shared" si="15"/>
        <v>44863</v>
      </c>
      <c r="Q559" s="23">
        <v>4500.0</v>
      </c>
      <c r="R559" s="25"/>
      <c r="S559" s="26">
        <v>44835.0</v>
      </c>
      <c r="T559" s="16" t="b">
        <v>1</v>
      </c>
    </row>
    <row r="560" hidden="1">
      <c r="A560" s="4" t="s">
        <v>115</v>
      </c>
      <c r="B560" s="5">
        <f t="shared" ref="B560:B561" si="16">2000*1.2924125</f>
        <v>2584.825</v>
      </c>
      <c r="C560" s="4" t="s">
        <v>18</v>
      </c>
      <c r="D560" s="6" t="s">
        <v>643</v>
      </c>
      <c r="E560" s="7">
        <v>44833.0</v>
      </c>
      <c r="F560" s="5">
        <v>0.0</v>
      </c>
      <c r="G560" s="8">
        <v>2022.09</v>
      </c>
      <c r="H560" s="9" t="s">
        <v>51</v>
      </c>
      <c r="I560" s="9" t="s">
        <v>52</v>
      </c>
      <c r="J560" s="9" t="s">
        <v>117</v>
      </c>
      <c r="K560" s="4" t="s">
        <v>9</v>
      </c>
      <c r="L560" s="10">
        <v>30.0</v>
      </c>
      <c r="M560" s="54">
        <v>0.0</v>
      </c>
      <c r="N560" s="12">
        <v>0.0</v>
      </c>
      <c r="O560" s="12">
        <v>2584.825</v>
      </c>
      <c r="P560" s="37">
        <f t="shared" si="15"/>
        <v>44863</v>
      </c>
      <c r="Q560" s="12">
        <v>2000.0</v>
      </c>
      <c r="R560" s="14"/>
      <c r="S560" s="15">
        <v>44835.0</v>
      </c>
      <c r="T560" s="4" t="b">
        <v>1</v>
      </c>
    </row>
    <row r="561" hidden="1">
      <c r="A561" s="16" t="s">
        <v>118</v>
      </c>
      <c r="B561" s="17">
        <f t="shared" si="16"/>
        <v>2584.825</v>
      </c>
      <c r="C561" s="16" t="s">
        <v>18</v>
      </c>
      <c r="D561" s="18" t="s">
        <v>644</v>
      </c>
      <c r="E561" s="19">
        <v>44833.0</v>
      </c>
      <c r="F561" s="17">
        <v>0.0</v>
      </c>
      <c r="G561" s="20">
        <v>2022.09</v>
      </c>
      <c r="H561" s="21" t="s">
        <v>51</v>
      </c>
      <c r="I561" s="21" t="s">
        <v>52</v>
      </c>
      <c r="J561" s="21" t="s">
        <v>117</v>
      </c>
      <c r="K561" s="16" t="s">
        <v>9</v>
      </c>
      <c r="L561" s="22">
        <v>30.0</v>
      </c>
      <c r="M561" s="55">
        <v>0.0</v>
      </c>
      <c r="N561" s="23">
        <v>0.0</v>
      </c>
      <c r="O561" s="23">
        <v>2584.825</v>
      </c>
      <c r="P561" s="48">
        <f t="shared" si="15"/>
        <v>44863</v>
      </c>
      <c r="Q561" s="23">
        <v>2000.0</v>
      </c>
      <c r="R561" s="25"/>
      <c r="S561" s="26">
        <v>44835.0</v>
      </c>
      <c r="T561" s="16" t="b">
        <v>1</v>
      </c>
    </row>
    <row r="562" hidden="1">
      <c r="A562" s="4" t="s">
        <v>73</v>
      </c>
      <c r="B562" s="5">
        <v>700.0</v>
      </c>
      <c r="C562" s="4" t="s">
        <v>18</v>
      </c>
      <c r="D562" s="6">
        <v>5322.0</v>
      </c>
      <c r="E562" s="7">
        <v>44833.0</v>
      </c>
      <c r="F562" s="5">
        <v>0.0</v>
      </c>
      <c r="G562" s="8">
        <v>2022.09</v>
      </c>
      <c r="H562" s="9" t="s">
        <v>51</v>
      </c>
      <c r="I562" s="9" t="s">
        <v>52</v>
      </c>
      <c r="J562" s="9" t="s">
        <v>74</v>
      </c>
      <c r="K562" s="4" t="s">
        <v>21</v>
      </c>
      <c r="L562" s="10">
        <v>30.0</v>
      </c>
      <c r="M562" s="54">
        <v>0.0</v>
      </c>
      <c r="N562" s="12">
        <v>0.0</v>
      </c>
      <c r="O562" s="12">
        <v>700.0</v>
      </c>
      <c r="P562" s="37">
        <f t="shared" si="15"/>
        <v>44863</v>
      </c>
      <c r="Q562" s="12">
        <v>700.0</v>
      </c>
      <c r="R562" s="14"/>
      <c r="S562" s="15">
        <v>44835.0</v>
      </c>
      <c r="T562" s="4" t="b">
        <v>1</v>
      </c>
    </row>
    <row r="563" hidden="1">
      <c r="A563" s="16" t="s">
        <v>499</v>
      </c>
      <c r="B563" s="17">
        <v>1450.0</v>
      </c>
      <c r="C563" s="16" t="s">
        <v>18</v>
      </c>
      <c r="D563" s="18">
        <v>5323.0</v>
      </c>
      <c r="E563" s="19">
        <v>44833.0</v>
      </c>
      <c r="F563" s="17">
        <v>48.55</v>
      </c>
      <c r="G563" s="20">
        <v>2022.09</v>
      </c>
      <c r="H563" s="21" t="s">
        <v>51</v>
      </c>
      <c r="I563" s="21" t="s">
        <v>52</v>
      </c>
      <c r="J563" s="21" t="s">
        <v>500</v>
      </c>
      <c r="K563" s="16" t="s">
        <v>21</v>
      </c>
      <c r="L563" s="22">
        <v>30.0</v>
      </c>
      <c r="M563" s="55">
        <v>0.0</v>
      </c>
      <c r="N563" s="23">
        <v>0.0</v>
      </c>
      <c r="O563" s="23">
        <v>1401.45</v>
      </c>
      <c r="P563" s="48">
        <f t="shared" si="15"/>
        <v>44863</v>
      </c>
      <c r="Q563" s="23">
        <v>1450.0</v>
      </c>
      <c r="R563" s="25"/>
      <c r="S563" s="26">
        <v>44835.0</v>
      </c>
      <c r="T563" s="16" t="b">
        <v>1</v>
      </c>
    </row>
    <row r="564" hidden="1">
      <c r="A564" s="4" t="s">
        <v>645</v>
      </c>
      <c r="B564" s="5">
        <f t="shared" ref="B564:B565" si="17">3700/2</f>
        <v>1850</v>
      </c>
      <c r="C564" s="4" t="s">
        <v>18</v>
      </c>
      <c r="D564" s="6">
        <v>5324.0</v>
      </c>
      <c r="E564" s="7">
        <v>44833.0</v>
      </c>
      <c r="F564" s="5">
        <v>57.56</v>
      </c>
      <c r="G564" s="8">
        <v>2022.0</v>
      </c>
      <c r="H564" s="9" t="s">
        <v>447</v>
      </c>
      <c r="I564" s="9" t="s">
        <v>252</v>
      </c>
      <c r="J564" s="9" t="s">
        <v>646</v>
      </c>
      <c r="K564" s="4" t="s">
        <v>21</v>
      </c>
      <c r="L564" s="10">
        <v>30.0</v>
      </c>
      <c r="M564" s="54">
        <v>0.0</v>
      </c>
      <c r="N564" s="12">
        <v>0.0</v>
      </c>
      <c r="O564" s="12">
        <v>1792.44</v>
      </c>
      <c r="P564" s="37">
        <f t="shared" si="15"/>
        <v>44863</v>
      </c>
      <c r="Q564" s="12">
        <v>3700.0</v>
      </c>
      <c r="R564" s="14"/>
      <c r="S564" s="15">
        <v>44835.0</v>
      </c>
      <c r="T564" s="4" t="b">
        <v>1</v>
      </c>
    </row>
    <row r="565" hidden="1">
      <c r="A565" s="16" t="s">
        <v>645</v>
      </c>
      <c r="B565" s="17">
        <f t="shared" si="17"/>
        <v>1850</v>
      </c>
      <c r="C565" s="16" t="s">
        <v>18</v>
      </c>
      <c r="D565" s="18">
        <v>5353.0</v>
      </c>
      <c r="E565" s="19">
        <v>44880.0</v>
      </c>
      <c r="F565" s="17">
        <v>57.56</v>
      </c>
      <c r="G565" s="20">
        <v>2022.0</v>
      </c>
      <c r="H565" s="21" t="s">
        <v>447</v>
      </c>
      <c r="I565" s="21" t="s">
        <v>252</v>
      </c>
      <c r="J565" s="21" t="s">
        <v>647</v>
      </c>
      <c r="K565" s="16" t="s">
        <v>21</v>
      </c>
      <c r="L565" s="22">
        <v>30.0</v>
      </c>
      <c r="M565" s="55">
        <v>0.0</v>
      </c>
      <c r="N565" s="23">
        <v>0.0</v>
      </c>
      <c r="O565" s="23">
        <v>1792.44</v>
      </c>
      <c r="P565" s="48">
        <f t="shared" si="15"/>
        <v>44910</v>
      </c>
      <c r="Q565" s="23">
        <v>3700.0</v>
      </c>
      <c r="R565" s="25"/>
      <c r="S565" s="26">
        <v>44896.0</v>
      </c>
      <c r="T565" s="16" t="b">
        <v>1</v>
      </c>
    </row>
    <row r="566" hidden="1">
      <c r="A566" s="4" t="s">
        <v>99</v>
      </c>
      <c r="B566" s="5">
        <f>1300*1.330549</f>
        <v>1729.7137</v>
      </c>
      <c r="C566" s="4" t="s">
        <v>18</v>
      </c>
      <c r="D566" s="6" t="s">
        <v>648</v>
      </c>
      <c r="E566" s="7">
        <v>44849.0</v>
      </c>
      <c r="F566" s="34">
        <f>48.4*1.330549</f>
        <v>64.3985716</v>
      </c>
      <c r="G566" s="8">
        <v>2022.1</v>
      </c>
      <c r="H566" s="9" t="s">
        <v>27</v>
      </c>
      <c r="I566" s="9" t="s">
        <v>52</v>
      </c>
      <c r="J566" s="9" t="s">
        <v>101</v>
      </c>
      <c r="K566" s="4" t="s">
        <v>9</v>
      </c>
      <c r="L566" s="10">
        <v>30.0</v>
      </c>
      <c r="M566" s="54">
        <v>0.2</v>
      </c>
      <c r="N566" s="12">
        <v>333.06302568</v>
      </c>
      <c r="O566" s="12">
        <v>1332.25210272</v>
      </c>
      <c r="P566" s="37">
        <f t="shared" si="15"/>
        <v>44879</v>
      </c>
      <c r="Q566" s="12">
        <v>1300.0</v>
      </c>
      <c r="R566" s="14"/>
      <c r="S566" s="15">
        <v>44866.0</v>
      </c>
      <c r="T566" s="4" t="b">
        <v>1</v>
      </c>
    </row>
    <row r="567" hidden="1">
      <c r="A567" s="16" t="s">
        <v>225</v>
      </c>
      <c r="B567" s="17">
        <v>5000.0</v>
      </c>
      <c r="C567" s="16" t="s">
        <v>18</v>
      </c>
      <c r="D567" s="18">
        <v>5327.0</v>
      </c>
      <c r="E567" s="19">
        <v>44849.0</v>
      </c>
      <c r="F567" s="17">
        <v>0.0</v>
      </c>
      <c r="G567" s="20">
        <v>2022.1</v>
      </c>
      <c r="H567" s="21" t="s">
        <v>27</v>
      </c>
      <c r="I567" s="21" t="s">
        <v>52</v>
      </c>
      <c r="J567" s="21" t="s">
        <v>649</v>
      </c>
      <c r="K567" s="16" t="s">
        <v>21</v>
      </c>
      <c r="L567" s="22">
        <v>30.0</v>
      </c>
      <c r="M567" s="55">
        <v>0.0</v>
      </c>
      <c r="N567" s="23">
        <v>0.0</v>
      </c>
      <c r="O567" s="23">
        <v>5000.0</v>
      </c>
      <c r="P567" s="48">
        <f t="shared" si="15"/>
        <v>44879</v>
      </c>
      <c r="Q567" s="23">
        <v>5000.0</v>
      </c>
      <c r="R567" s="25"/>
      <c r="S567" s="26">
        <v>44866.0</v>
      </c>
      <c r="T567" s="16" t="b">
        <v>1</v>
      </c>
    </row>
    <row r="568" hidden="1">
      <c r="A568" s="4" t="s">
        <v>102</v>
      </c>
      <c r="B568" s="5">
        <f>350*1.2914</f>
        <v>451.99</v>
      </c>
      <c r="C568" s="4" t="s">
        <v>18</v>
      </c>
      <c r="D568" s="6" t="s">
        <v>650</v>
      </c>
      <c r="E568" s="7">
        <v>44849.0</v>
      </c>
      <c r="F568" s="34">
        <f>13.25*1.2914</f>
        <v>17.11105</v>
      </c>
      <c r="G568" s="8">
        <v>2022.1</v>
      </c>
      <c r="H568" s="9" t="s">
        <v>27</v>
      </c>
      <c r="I568" s="9" t="s">
        <v>52</v>
      </c>
      <c r="J568" s="9" t="s">
        <v>104</v>
      </c>
      <c r="K568" s="4" t="s">
        <v>9</v>
      </c>
      <c r="L568" s="10">
        <v>30.0</v>
      </c>
      <c r="M568" s="54">
        <v>0.0</v>
      </c>
      <c r="N568" s="12">
        <v>0.0</v>
      </c>
      <c r="O568" s="12">
        <v>434.87895000000003</v>
      </c>
      <c r="P568" s="37">
        <f t="shared" si="15"/>
        <v>44879</v>
      </c>
      <c r="Q568" s="12">
        <v>350.0</v>
      </c>
      <c r="R568" s="14"/>
      <c r="S568" s="15">
        <v>44866.0</v>
      </c>
      <c r="T568" s="4" t="b">
        <v>1</v>
      </c>
    </row>
    <row r="569" hidden="1">
      <c r="A569" s="16" t="s">
        <v>62</v>
      </c>
      <c r="B569" s="17">
        <v>1600.0</v>
      </c>
      <c r="C569" s="16" t="s">
        <v>18</v>
      </c>
      <c r="D569" s="18">
        <v>5328.0</v>
      </c>
      <c r="E569" s="19">
        <v>44849.0</v>
      </c>
      <c r="F569" s="17">
        <v>49.78</v>
      </c>
      <c r="G569" s="20">
        <v>2022.1</v>
      </c>
      <c r="H569" s="21" t="s">
        <v>27</v>
      </c>
      <c r="I569" s="21" t="s">
        <v>52</v>
      </c>
      <c r="J569" s="21" t="s">
        <v>63</v>
      </c>
      <c r="K569" s="16" t="s">
        <v>21</v>
      </c>
      <c r="L569" s="22">
        <v>30.0</v>
      </c>
      <c r="M569" s="55">
        <v>0.0</v>
      </c>
      <c r="N569" s="23">
        <v>0.0</v>
      </c>
      <c r="O569" s="23">
        <v>1550.22</v>
      </c>
      <c r="P569" s="48">
        <f t="shared" si="15"/>
        <v>44879</v>
      </c>
      <c r="Q569" s="23">
        <v>1600.0</v>
      </c>
      <c r="R569" s="25"/>
      <c r="S569" s="26">
        <v>44866.0</v>
      </c>
      <c r="T569" s="16" t="b">
        <v>1</v>
      </c>
    </row>
    <row r="570" hidden="1">
      <c r="A570" s="4" t="s">
        <v>66</v>
      </c>
      <c r="B570" s="5">
        <v>900.0</v>
      </c>
      <c r="C570" s="4" t="s">
        <v>18</v>
      </c>
      <c r="D570" s="6">
        <v>5329.0</v>
      </c>
      <c r="E570" s="7">
        <v>44849.0</v>
      </c>
      <c r="F570" s="5">
        <v>0.0</v>
      </c>
      <c r="G570" s="8">
        <v>2022.1</v>
      </c>
      <c r="H570" s="9" t="s">
        <v>27</v>
      </c>
      <c r="I570" s="9" t="s">
        <v>52</v>
      </c>
      <c r="J570" s="9" t="s">
        <v>294</v>
      </c>
      <c r="K570" s="4" t="s">
        <v>21</v>
      </c>
      <c r="L570" s="10">
        <v>30.0</v>
      </c>
      <c r="M570" s="54">
        <v>0.0</v>
      </c>
      <c r="N570" s="12">
        <v>0.0</v>
      </c>
      <c r="O570" s="12">
        <v>900.0</v>
      </c>
      <c r="P570" s="37">
        <f t="shared" si="15"/>
        <v>44879</v>
      </c>
      <c r="Q570" s="12">
        <v>900.0</v>
      </c>
      <c r="R570" s="14"/>
      <c r="S570" s="15">
        <v>44866.0</v>
      </c>
      <c r="T570" s="4" t="b">
        <v>1</v>
      </c>
    </row>
    <row r="571" hidden="1">
      <c r="A571" s="16" t="s">
        <v>523</v>
      </c>
      <c r="B571" s="17">
        <v>500.0</v>
      </c>
      <c r="C571" s="16" t="s">
        <v>18</v>
      </c>
      <c r="D571" s="18">
        <v>5330.0</v>
      </c>
      <c r="E571" s="19">
        <v>44849.0</v>
      </c>
      <c r="F571" s="17">
        <v>0.0</v>
      </c>
      <c r="G571" s="20">
        <v>2022.1</v>
      </c>
      <c r="H571" s="21" t="s">
        <v>27</v>
      </c>
      <c r="I571" s="21" t="s">
        <v>52</v>
      </c>
      <c r="J571" s="21" t="s">
        <v>466</v>
      </c>
      <c r="K571" s="16" t="s">
        <v>21</v>
      </c>
      <c r="L571" s="22">
        <v>15.0</v>
      </c>
      <c r="M571" s="55">
        <v>0.0</v>
      </c>
      <c r="N571" s="23">
        <v>0.0</v>
      </c>
      <c r="O571" s="23">
        <v>500.0</v>
      </c>
      <c r="P571" s="48">
        <f t="shared" si="15"/>
        <v>44864</v>
      </c>
      <c r="Q571" s="23">
        <v>500.0</v>
      </c>
      <c r="R571" s="25"/>
      <c r="S571" s="26">
        <v>44866.0</v>
      </c>
      <c r="T571" s="16" t="b">
        <v>1</v>
      </c>
    </row>
    <row r="572" hidden="1">
      <c r="A572" s="4" t="s">
        <v>467</v>
      </c>
      <c r="B572" s="5">
        <f>280*1.300576</f>
        <v>364.16128</v>
      </c>
      <c r="C572" s="4" t="s">
        <v>18</v>
      </c>
      <c r="D572" s="6" t="s">
        <v>651</v>
      </c>
      <c r="E572" s="7">
        <v>44849.0</v>
      </c>
      <c r="F572" s="34">
        <f>10.51*1.300576</f>
        <v>13.66905376</v>
      </c>
      <c r="G572" s="8">
        <v>2022.1</v>
      </c>
      <c r="H572" s="9" t="s">
        <v>27</v>
      </c>
      <c r="I572" s="9" t="s">
        <v>52</v>
      </c>
      <c r="J572" s="9" t="s">
        <v>469</v>
      </c>
      <c r="K572" s="4" t="s">
        <v>9</v>
      </c>
      <c r="L572" s="10">
        <v>0.0</v>
      </c>
      <c r="M572" s="54">
        <v>0.2</v>
      </c>
      <c r="N572" s="12">
        <v>70.098445248</v>
      </c>
      <c r="O572" s="12">
        <v>280.39378099199996</v>
      </c>
      <c r="P572" s="37">
        <f t="shared" si="15"/>
        <v>44849</v>
      </c>
      <c r="Q572" s="12">
        <v>280.0</v>
      </c>
      <c r="R572" s="14"/>
      <c r="S572" s="15">
        <v>44866.0</v>
      </c>
      <c r="T572" s="4" t="b">
        <v>1</v>
      </c>
    </row>
    <row r="573" hidden="1">
      <c r="A573" s="16" t="s">
        <v>549</v>
      </c>
      <c r="B573" s="17">
        <f>600*1.289906</f>
        <v>773.9436</v>
      </c>
      <c r="C573" s="16" t="s">
        <v>18</v>
      </c>
      <c r="D573" s="18" t="s">
        <v>652</v>
      </c>
      <c r="E573" s="19">
        <v>44849.0</v>
      </c>
      <c r="F573" s="35">
        <f>22.5*1.289906</f>
        <v>29.022885</v>
      </c>
      <c r="G573" s="20">
        <v>2022.1</v>
      </c>
      <c r="H573" s="21" t="s">
        <v>27</v>
      </c>
      <c r="I573" s="21" t="s">
        <v>52</v>
      </c>
      <c r="J573" s="21" t="s">
        <v>551</v>
      </c>
      <c r="K573" s="16" t="s">
        <v>9</v>
      </c>
      <c r="L573" s="22">
        <v>0.0</v>
      </c>
      <c r="M573" s="55">
        <v>0.0</v>
      </c>
      <c r="N573" s="23">
        <v>0.0</v>
      </c>
      <c r="O573" s="23">
        <v>744.920715</v>
      </c>
      <c r="P573" s="48">
        <f t="shared" si="15"/>
        <v>44849</v>
      </c>
      <c r="Q573" s="23">
        <v>600.0</v>
      </c>
      <c r="R573" s="25"/>
      <c r="S573" s="26">
        <v>44866.0</v>
      </c>
      <c r="T573" s="16" t="b">
        <v>1</v>
      </c>
    </row>
    <row r="574" hidden="1">
      <c r="A574" s="4" t="s">
        <v>630</v>
      </c>
      <c r="B574" s="5">
        <v>280.0</v>
      </c>
      <c r="C574" s="4" t="s">
        <v>18</v>
      </c>
      <c r="D574" s="6">
        <v>5331.0</v>
      </c>
      <c r="E574" s="7">
        <v>44849.0</v>
      </c>
      <c r="F574" s="5">
        <v>8.71</v>
      </c>
      <c r="G574" s="8">
        <v>2022.1</v>
      </c>
      <c r="H574" s="9" t="s">
        <v>27</v>
      </c>
      <c r="I574" s="9" t="s">
        <v>52</v>
      </c>
      <c r="J574" s="9" t="s">
        <v>631</v>
      </c>
      <c r="K574" s="4" t="s">
        <v>21</v>
      </c>
      <c r="L574" s="10">
        <v>0.0</v>
      </c>
      <c r="M574" s="54">
        <v>0.0</v>
      </c>
      <c r="N574" s="12">
        <v>0.0</v>
      </c>
      <c r="O574" s="12">
        <v>271.29</v>
      </c>
      <c r="P574" s="37">
        <f t="shared" si="15"/>
        <v>44849</v>
      </c>
      <c r="Q574" s="12">
        <v>280.0</v>
      </c>
      <c r="R574" s="14"/>
      <c r="S574" s="15">
        <v>44866.0</v>
      </c>
      <c r="T574" s="4" t="b">
        <v>1</v>
      </c>
    </row>
    <row r="575" hidden="1">
      <c r="A575" s="16" t="s">
        <v>653</v>
      </c>
      <c r="B575" s="17">
        <v>1233.33</v>
      </c>
      <c r="C575" s="16" t="s">
        <v>18</v>
      </c>
      <c r="D575" s="18">
        <v>5332.0</v>
      </c>
      <c r="E575" s="19">
        <v>44849.0</v>
      </c>
      <c r="F575" s="17">
        <v>38.37</v>
      </c>
      <c r="G575" s="20">
        <v>2022.0</v>
      </c>
      <c r="H575" s="21" t="s">
        <v>447</v>
      </c>
      <c r="I575" s="21" t="s">
        <v>654</v>
      </c>
      <c r="J575" s="21" t="s">
        <v>655</v>
      </c>
      <c r="K575" s="16" t="s">
        <v>21</v>
      </c>
      <c r="L575" s="22">
        <v>15.0</v>
      </c>
      <c r="M575" s="55">
        <v>0.0</v>
      </c>
      <c r="N575" s="23">
        <v>0.0</v>
      </c>
      <c r="O575" s="23">
        <v>1194.96</v>
      </c>
      <c r="P575" s="48">
        <f t="shared" si="15"/>
        <v>44864</v>
      </c>
      <c r="Q575" s="23">
        <v>3700.0</v>
      </c>
      <c r="R575" s="25"/>
      <c r="S575" s="26">
        <v>44866.0</v>
      </c>
      <c r="T575" s="16" t="b">
        <v>0</v>
      </c>
    </row>
    <row r="576" hidden="1">
      <c r="A576" s="4" t="s">
        <v>653</v>
      </c>
      <c r="B576" s="5">
        <v>1233.33</v>
      </c>
      <c r="C576" s="4" t="s">
        <v>18</v>
      </c>
      <c r="D576" s="6">
        <v>5359.0</v>
      </c>
      <c r="E576" s="7">
        <v>44880.0</v>
      </c>
      <c r="F576" s="5">
        <v>38.37</v>
      </c>
      <c r="G576" s="8">
        <v>2022.0</v>
      </c>
      <c r="H576" s="9" t="s">
        <v>447</v>
      </c>
      <c r="I576" s="9" t="s">
        <v>654</v>
      </c>
      <c r="J576" s="9" t="s">
        <v>656</v>
      </c>
      <c r="K576" s="4" t="s">
        <v>21</v>
      </c>
      <c r="L576" s="10">
        <v>15.0</v>
      </c>
      <c r="M576" s="54">
        <v>0.0</v>
      </c>
      <c r="N576" s="12">
        <v>0.0</v>
      </c>
      <c r="O576" s="12">
        <v>1194.96</v>
      </c>
      <c r="P576" s="37">
        <f t="shared" si="15"/>
        <v>44895</v>
      </c>
      <c r="Q576" s="12">
        <v>3700.0</v>
      </c>
      <c r="R576" s="14"/>
      <c r="S576" s="15">
        <v>44896.0</v>
      </c>
      <c r="T576" s="4" t="b">
        <v>0</v>
      </c>
    </row>
    <row r="577">
      <c r="A577" s="16" t="s">
        <v>653</v>
      </c>
      <c r="B577" s="17">
        <v>1233.34</v>
      </c>
      <c r="C577" s="16" t="s">
        <v>47</v>
      </c>
      <c r="D577" s="44"/>
      <c r="E577" s="19">
        <v>44910.0</v>
      </c>
      <c r="F577" s="35"/>
      <c r="G577" s="20">
        <v>2022.0</v>
      </c>
      <c r="H577" s="21" t="s">
        <v>447</v>
      </c>
      <c r="I577" s="21" t="s">
        <v>654</v>
      </c>
      <c r="J577" s="21" t="s">
        <v>657</v>
      </c>
      <c r="K577" s="16" t="s">
        <v>21</v>
      </c>
      <c r="L577" s="22">
        <v>15.0</v>
      </c>
      <c r="M577" s="55">
        <v>0.0</v>
      </c>
      <c r="N577" s="23">
        <v>0.0</v>
      </c>
      <c r="O577" s="23">
        <v>1233.34</v>
      </c>
      <c r="P577" s="48">
        <f t="shared" si="15"/>
        <v>44925</v>
      </c>
      <c r="Q577" s="23">
        <v>3700.0</v>
      </c>
      <c r="R577" s="21" t="s">
        <v>658</v>
      </c>
      <c r="S577" s="26"/>
      <c r="T577" s="16" t="b">
        <v>0</v>
      </c>
    </row>
    <row r="578" hidden="1">
      <c r="A578" s="4" t="s">
        <v>659</v>
      </c>
      <c r="B578" s="5">
        <v>507.5</v>
      </c>
      <c r="C578" s="4" t="s">
        <v>18</v>
      </c>
      <c r="D578" s="6">
        <v>5333.0</v>
      </c>
      <c r="E578" s="7">
        <v>44849.0</v>
      </c>
      <c r="F578" s="5">
        <v>0.0</v>
      </c>
      <c r="G578" s="8">
        <v>2022.0</v>
      </c>
      <c r="H578" s="9" t="s">
        <v>447</v>
      </c>
      <c r="I578" s="9" t="s">
        <v>459</v>
      </c>
      <c r="J578" s="9" t="s">
        <v>660</v>
      </c>
      <c r="K578" s="4" t="s">
        <v>21</v>
      </c>
      <c r="L578" s="10">
        <v>15.0</v>
      </c>
      <c r="M578" s="54">
        <v>0.0</v>
      </c>
      <c r="N578" s="12">
        <v>0.0</v>
      </c>
      <c r="O578" s="12">
        <v>507.5</v>
      </c>
      <c r="P578" s="37">
        <f t="shared" si="15"/>
        <v>44864</v>
      </c>
      <c r="Q578" s="12">
        <v>1015.0</v>
      </c>
      <c r="R578" s="14"/>
      <c r="S578" s="15">
        <v>44866.0</v>
      </c>
      <c r="T578" s="4" t="b">
        <v>1</v>
      </c>
    </row>
    <row r="579" hidden="1">
      <c r="A579" s="16" t="s">
        <v>659</v>
      </c>
      <c r="B579" s="17">
        <v>767.5</v>
      </c>
      <c r="C579" s="16" t="s">
        <v>18</v>
      </c>
      <c r="D579" s="18">
        <v>5379.0</v>
      </c>
      <c r="E579" s="19">
        <v>44895.0</v>
      </c>
      <c r="F579" s="80">
        <v>23.88</v>
      </c>
      <c r="G579" s="20">
        <v>2022.0</v>
      </c>
      <c r="H579" s="21" t="s">
        <v>447</v>
      </c>
      <c r="I579" s="21" t="s">
        <v>459</v>
      </c>
      <c r="J579" s="21" t="s">
        <v>661</v>
      </c>
      <c r="K579" s="16" t="s">
        <v>21</v>
      </c>
      <c r="L579" s="22">
        <v>15.0</v>
      </c>
      <c r="M579" s="55">
        <v>0.0</v>
      </c>
      <c r="N579" s="23">
        <v>0.0</v>
      </c>
      <c r="O579" s="23">
        <v>743.62</v>
      </c>
      <c r="P579" s="48">
        <f t="shared" si="15"/>
        <v>44910</v>
      </c>
      <c r="Q579" s="23">
        <v>1015.0</v>
      </c>
      <c r="R579" s="25"/>
      <c r="S579" s="26">
        <v>44896.0</v>
      </c>
      <c r="T579" s="16" t="b">
        <v>1</v>
      </c>
    </row>
    <row r="580" hidden="1">
      <c r="A580" s="4" t="s">
        <v>662</v>
      </c>
      <c r="B580" s="5">
        <v>1250.0</v>
      </c>
      <c r="C580" s="4" t="s">
        <v>18</v>
      </c>
      <c r="D580" s="6">
        <v>5334.0</v>
      </c>
      <c r="E580" s="7">
        <v>44849.0</v>
      </c>
      <c r="F580" s="5">
        <v>38.89</v>
      </c>
      <c r="G580" s="8">
        <v>2022.1</v>
      </c>
      <c r="H580" s="9" t="s">
        <v>27</v>
      </c>
      <c r="I580" s="9" t="s">
        <v>459</v>
      </c>
      <c r="J580" s="9" t="s">
        <v>663</v>
      </c>
      <c r="K580" s="4" t="s">
        <v>21</v>
      </c>
      <c r="L580" s="10">
        <v>15.0</v>
      </c>
      <c r="M580" s="54">
        <v>0.0</v>
      </c>
      <c r="N580" s="12">
        <v>0.0</v>
      </c>
      <c r="O580" s="12">
        <v>1211.11</v>
      </c>
      <c r="P580" s="37">
        <f t="shared" si="15"/>
        <v>44864</v>
      </c>
      <c r="Q580" s="12">
        <v>2500.0</v>
      </c>
      <c r="R580" s="14"/>
      <c r="S580" s="15">
        <v>44866.0</v>
      </c>
      <c r="T580" s="4" t="b">
        <v>1</v>
      </c>
    </row>
    <row r="581" hidden="1">
      <c r="A581" s="16" t="s">
        <v>662</v>
      </c>
      <c r="B581" s="17">
        <v>1250.0</v>
      </c>
      <c r="C581" s="16" t="s">
        <v>18</v>
      </c>
      <c r="D581" s="18">
        <v>5380.0</v>
      </c>
      <c r="E581" s="19">
        <v>44895.0</v>
      </c>
      <c r="F581" s="17">
        <v>38.89</v>
      </c>
      <c r="G581" s="20">
        <v>2022.11</v>
      </c>
      <c r="H581" s="21" t="s">
        <v>51</v>
      </c>
      <c r="I581" s="21" t="s">
        <v>459</v>
      </c>
      <c r="J581" s="21" t="s">
        <v>664</v>
      </c>
      <c r="K581" s="16" t="s">
        <v>21</v>
      </c>
      <c r="L581" s="22">
        <v>15.0</v>
      </c>
      <c r="M581" s="55">
        <v>0.0</v>
      </c>
      <c r="N581" s="23">
        <v>0.0</v>
      </c>
      <c r="O581" s="23">
        <v>1211.11</v>
      </c>
      <c r="P581" s="48">
        <f t="shared" si="15"/>
        <v>44910</v>
      </c>
      <c r="Q581" s="23">
        <v>2500.0</v>
      </c>
      <c r="R581" s="25"/>
      <c r="S581" s="26">
        <v>44896.0</v>
      </c>
      <c r="T581" s="16" t="b">
        <v>1</v>
      </c>
    </row>
    <row r="582" hidden="1">
      <c r="A582" s="4" t="s">
        <v>665</v>
      </c>
      <c r="B582" s="5">
        <v>400.0</v>
      </c>
      <c r="C582" s="4" t="s">
        <v>18</v>
      </c>
      <c r="D582" s="6">
        <v>5336.0</v>
      </c>
      <c r="E582" s="7">
        <v>44865.0</v>
      </c>
      <c r="F582" s="5">
        <v>12.44</v>
      </c>
      <c r="G582" s="8">
        <v>2022.0</v>
      </c>
      <c r="H582" s="9" t="s">
        <v>447</v>
      </c>
      <c r="I582" s="9" t="s">
        <v>257</v>
      </c>
      <c r="J582" s="9" t="s">
        <v>666</v>
      </c>
      <c r="K582" s="4" t="s">
        <v>21</v>
      </c>
      <c r="L582" s="10">
        <v>15.0</v>
      </c>
      <c r="M582" s="54">
        <v>0.0</v>
      </c>
      <c r="N582" s="12">
        <v>0.0</v>
      </c>
      <c r="O582" s="12">
        <v>387.56</v>
      </c>
      <c r="P582" s="37">
        <f t="shared" si="15"/>
        <v>44880</v>
      </c>
      <c r="Q582" s="12">
        <v>400.0</v>
      </c>
      <c r="R582" s="14"/>
      <c r="S582" s="15">
        <v>44866.0</v>
      </c>
      <c r="T582" s="4" t="b">
        <v>1</v>
      </c>
    </row>
    <row r="583" hidden="1">
      <c r="A583" s="16" t="s">
        <v>667</v>
      </c>
      <c r="B583" s="17">
        <v>599.0</v>
      </c>
      <c r="C583" s="16" t="s">
        <v>18</v>
      </c>
      <c r="D583" s="18">
        <v>5335.0</v>
      </c>
      <c r="E583" s="19">
        <v>44861.0</v>
      </c>
      <c r="F583" s="17">
        <v>0.0</v>
      </c>
      <c r="G583" s="20">
        <v>2022.0</v>
      </c>
      <c r="H583" s="21" t="s">
        <v>447</v>
      </c>
      <c r="I583" s="21" t="s">
        <v>252</v>
      </c>
      <c r="J583" s="21" t="s">
        <v>434</v>
      </c>
      <c r="K583" s="16" t="s">
        <v>21</v>
      </c>
      <c r="L583" s="22"/>
      <c r="M583" s="55">
        <v>0.0</v>
      </c>
      <c r="N583" s="23">
        <v>0.0</v>
      </c>
      <c r="O583" s="23">
        <v>599.0</v>
      </c>
      <c r="P583" s="48">
        <f t="shared" si="15"/>
        <v>44861</v>
      </c>
      <c r="Q583" s="23">
        <v>599.0</v>
      </c>
      <c r="R583" s="25"/>
      <c r="S583" s="26">
        <v>44866.0</v>
      </c>
      <c r="T583" s="16" t="b">
        <v>1</v>
      </c>
    </row>
    <row r="584" hidden="1">
      <c r="A584" s="4" t="s">
        <v>668</v>
      </c>
      <c r="B584" s="5">
        <f>6200*1.30041613</f>
        <v>8062.580006</v>
      </c>
      <c r="C584" s="4" t="s">
        <v>18</v>
      </c>
      <c r="D584" s="6" t="s">
        <v>669</v>
      </c>
      <c r="E584" s="7">
        <v>44861.0</v>
      </c>
      <c r="F584" s="34">
        <f>180*1.3666667</f>
        <v>246.000006</v>
      </c>
      <c r="G584" s="8">
        <v>2022.0</v>
      </c>
      <c r="H584" s="9" t="s">
        <v>447</v>
      </c>
      <c r="I584" s="9" t="s">
        <v>252</v>
      </c>
      <c r="J584" s="9" t="s">
        <v>670</v>
      </c>
      <c r="K584" s="4" t="s">
        <v>9</v>
      </c>
      <c r="L584" s="10">
        <v>15.0</v>
      </c>
      <c r="M584" s="54">
        <v>0.2</v>
      </c>
      <c r="N584" s="12">
        <v>1563.3159999999998</v>
      </c>
      <c r="O584" s="12">
        <v>6253.263999999999</v>
      </c>
      <c r="P584" s="37">
        <f t="shared" si="15"/>
        <v>44876</v>
      </c>
      <c r="Q584" s="12">
        <v>6200.0</v>
      </c>
      <c r="R584" s="14"/>
      <c r="S584" s="15">
        <v>44866.0</v>
      </c>
      <c r="T584" s="4" t="b">
        <v>1</v>
      </c>
    </row>
    <row r="585" hidden="1">
      <c r="A585" s="16" t="s">
        <v>223</v>
      </c>
      <c r="B585" s="17">
        <v>800.0</v>
      </c>
      <c r="C585" s="16" t="s">
        <v>18</v>
      </c>
      <c r="D585" s="18">
        <v>5339.0</v>
      </c>
      <c r="E585" s="19">
        <v>44865.0</v>
      </c>
      <c r="F585" s="17">
        <v>24.89</v>
      </c>
      <c r="G585" s="20">
        <v>2022.1</v>
      </c>
      <c r="H585" s="21" t="s">
        <v>51</v>
      </c>
      <c r="I585" s="21" t="s">
        <v>52</v>
      </c>
      <c r="J585" s="21" t="s">
        <v>247</v>
      </c>
      <c r="K585" s="16" t="s">
        <v>21</v>
      </c>
      <c r="L585" s="22">
        <v>30.0</v>
      </c>
      <c r="M585" s="55">
        <v>0.0</v>
      </c>
      <c r="N585" s="23">
        <v>0.0</v>
      </c>
      <c r="O585" s="23">
        <v>775.11</v>
      </c>
      <c r="P585" s="48">
        <f t="shared" si="15"/>
        <v>44895</v>
      </c>
      <c r="Q585" s="23">
        <v>800.0</v>
      </c>
      <c r="R585" s="25"/>
      <c r="S585" s="26">
        <v>44866.0</v>
      </c>
      <c r="T585" s="16" t="b">
        <v>1</v>
      </c>
    </row>
    <row r="586" hidden="1">
      <c r="A586" s="4" t="s">
        <v>54</v>
      </c>
      <c r="B586" s="5">
        <v>750.0</v>
      </c>
      <c r="C586" s="4" t="s">
        <v>18</v>
      </c>
      <c r="D586" s="6">
        <v>5337.0</v>
      </c>
      <c r="E586" s="7">
        <v>44865.0</v>
      </c>
      <c r="F586" s="5">
        <v>23.33</v>
      </c>
      <c r="G586" s="8">
        <v>2022.1</v>
      </c>
      <c r="H586" s="9" t="s">
        <v>51</v>
      </c>
      <c r="I586" s="9" t="s">
        <v>52</v>
      </c>
      <c r="J586" s="9" t="s">
        <v>55</v>
      </c>
      <c r="K586" s="4" t="s">
        <v>21</v>
      </c>
      <c r="L586" s="10">
        <v>30.0</v>
      </c>
      <c r="M586" s="54">
        <v>0.0</v>
      </c>
      <c r="N586" s="12">
        <v>0.0</v>
      </c>
      <c r="O586" s="12">
        <v>726.67</v>
      </c>
      <c r="P586" s="37">
        <f t="shared" si="15"/>
        <v>44895</v>
      </c>
      <c r="Q586" s="12">
        <v>750.0</v>
      </c>
      <c r="R586" s="14"/>
      <c r="S586" s="15">
        <v>44866.0</v>
      </c>
      <c r="T586" s="4" t="b">
        <v>1</v>
      </c>
    </row>
    <row r="587" hidden="1">
      <c r="A587" s="16" t="s">
        <v>58</v>
      </c>
      <c r="B587" s="17">
        <v>1550.0</v>
      </c>
      <c r="C587" s="16" t="s">
        <v>18</v>
      </c>
      <c r="D587" s="18">
        <v>5340.0</v>
      </c>
      <c r="E587" s="19">
        <v>44865.0</v>
      </c>
      <c r="F587" s="17">
        <v>48.22</v>
      </c>
      <c r="G587" s="20">
        <v>2022.1</v>
      </c>
      <c r="H587" s="21" t="s">
        <v>51</v>
      </c>
      <c r="I587" s="21" t="s">
        <v>52</v>
      </c>
      <c r="J587" s="21" t="s">
        <v>59</v>
      </c>
      <c r="K587" s="16" t="s">
        <v>21</v>
      </c>
      <c r="L587" s="22">
        <v>30.0</v>
      </c>
      <c r="M587" s="55">
        <v>0.0</v>
      </c>
      <c r="N587" s="23">
        <v>0.0</v>
      </c>
      <c r="O587" s="23">
        <v>1501.78</v>
      </c>
      <c r="P587" s="48">
        <f t="shared" si="15"/>
        <v>44895</v>
      </c>
      <c r="Q587" s="23">
        <v>1550.0</v>
      </c>
      <c r="R587" s="25"/>
      <c r="S587" s="26">
        <v>44866.0</v>
      </c>
      <c r="T587" s="16" t="b">
        <v>1</v>
      </c>
    </row>
    <row r="588" hidden="1">
      <c r="A588" s="4" t="s">
        <v>84</v>
      </c>
      <c r="B588" s="5">
        <v>1000.0</v>
      </c>
      <c r="C588" s="4" t="s">
        <v>18</v>
      </c>
      <c r="D588" s="6">
        <v>5341.0</v>
      </c>
      <c r="E588" s="7">
        <v>44865.0</v>
      </c>
      <c r="F588" s="5">
        <v>0.0</v>
      </c>
      <c r="G588" s="8">
        <v>2022.1</v>
      </c>
      <c r="H588" s="9" t="s">
        <v>51</v>
      </c>
      <c r="I588" s="9" t="s">
        <v>52</v>
      </c>
      <c r="J588" s="9" t="s">
        <v>85</v>
      </c>
      <c r="K588" s="4" t="s">
        <v>21</v>
      </c>
      <c r="L588" s="10">
        <v>30.0</v>
      </c>
      <c r="M588" s="54">
        <v>0.0</v>
      </c>
      <c r="N588" s="12">
        <v>0.0</v>
      </c>
      <c r="O588" s="12">
        <v>1000.0</v>
      </c>
      <c r="P588" s="37">
        <f t="shared" si="15"/>
        <v>44895</v>
      </c>
      <c r="Q588" s="12">
        <v>1000.0</v>
      </c>
      <c r="R588" s="14"/>
      <c r="S588" s="15">
        <v>44866.0</v>
      </c>
      <c r="T588" s="4" t="b">
        <v>1</v>
      </c>
    </row>
    <row r="589" hidden="1">
      <c r="A589" s="16" t="s">
        <v>42</v>
      </c>
      <c r="B589" s="17">
        <v>1500.0</v>
      </c>
      <c r="C589" s="16" t="s">
        <v>18</v>
      </c>
      <c r="D589" s="18">
        <v>5342.0</v>
      </c>
      <c r="E589" s="19">
        <v>44865.0</v>
      </c>
      <c r="F589" s="17">
        <v>46.67</v>
      </c>
      <c r="G589" s="20">
        <v>2022.1</v>
      </c>
      <c r="H589" s="21" t="s">
        <v>51</v>
      </c>
      <c r="I589" s="21" t="s">
        <v>52</v>
      </c>
      <c r="J589" s="21" t="s">
        <v>43</v>
      </c>
      <c r="K589" s="16" t="s">
        <v>21</v>
      </c>
      <c r="L589" s="22">
        <v>30.0</v>
      </c>
      <c r="M589" s="55">
        <v>0.15</v>
      </c>
      <c r="N589" s="23">
        <v>217.99949999999998</v>
      </c>
      <c r="O589" s="23">
        <v>1235.3305</v>
      </c>
      <c r="P589" s="48">
        <f t="shared" si="15"/>
        <v>44895</v>
      </c>
      <c r="Q589" s="23">
        <v>1500.0</v>
      </c>
      <c r="R589" s="25"/>
      <c r="S589" s="26">
        <v>44866.0</v>
      </c>
      <c r="T589" s="16" t="b">
        <v>1</v>
      </c>
    </row>
    <row r="590" hidden="1">
      <c r="A590" s="4" t="s">
        <v>82</v>
      </c>
      <c r="B590" s="5">
        <v>800.0</v>
      </c>
      <c r="C590" s="4" t="s">
        <v>18</v>
      </c>
      <c r="D590" s="6">
        <v>5343.0</v>
      </c>
      <c r="E590" s="7">
        <v>44865.0</v>
      </c>
      <c r="F590" s="5">
        <v>0.0</v>
      </c>
      <c r="G590" s="8">
        <v>2022.1</v>
      </c>
      <c r="H590" s="9" t="s">
        <v>51</v>
      </c>
      <c r="I590" s="9" t="s">
        <v>52</v>
      </c>
      <c r="J590" s="9" t="s">
        <v>83</v>
      </c>
      <c r="K590" s="4" t="s">
        <v>21</v>
      </c>
      <c r="L590" s="10">
        <v>30.0</v>
      </c>
      <c r="M590" s="54">
        <v>0.0</v>
      </c>
      <c r="N590" s="12">
        <v>0.0</v>
      </c>
      <c r="O590" s="12">
        <v>800.0</v>
      </c>
      <c r="P590" s="37">
        <f t="shared" si="15"/>
        <v>44895</v>
      </c>
      <c r="Q590" s="12">
        <v>800.0</v>
      </c>
      <c r="R590" s="14"/>
      <c r="S590" s="15">
        <v>44866.0</v>
      </c>
      <c r="T590" s="4" t="b">
        <v>1</v>
      </c>
    </row>
    <row r="591" hidden="1">
      <c r="A591" s="16" t="s">
        <v>88</v>
      </c>
      <c r="B591" s="17">
        <v>500.0</v>
      </c>
      <c r="C591" s="16" t="s">
        <v>18</v>
      </c>
      <c r="D591" s="18">
        <v>5338.0</v>
      </c>
      <c r="E591" s="19">
        <v>44865.0</v>
      </c>
      <c r="F591" s="17">
        <v>15.56</v>
      </c>
      <c r="G591" s="20">
        <v>2022.1</v>
      </c>
      <c r="H591" s="21" t="s">
        <v>51</v>
      </c>
      <c r="I591" s="21" t="s">
        <v>52</v>
      </c>
      <c r="J591" s="21" t="s">
        <v>89</v>
      </c>
      <c r="K591" s="16" t="s">
        <v>21</v>
      </c>
      <c r="L591" s="22">
        <v>30.0</v>
      </c>
      <c r="M591" s="55">
        <v>0.0</v>
      </c>
      <c r="N591" s="23">
        <v>0.0</v>
      </c>
      <c r="O591" s="23">
        <v>484.44</v>
      </c>
      <c r="P591" s="48">
        <f t="shared" si="15"/>
        <v>44895</v>
      </c>
      <c r="Q591" s="23">
        <v>500.0</v>
      </c>
      <c r="R591" s="25"/>
      <c r="S591" s="26">
        <v>44866.0</v>
      </c>
      <c r="T591" s="16" t="b">
        <v>1</v>
      </c>
    </row>
    <row r="592" hidden="1">
      <c r="A592" s="4" t="s">
        <v>50</v>
      </c>
      <c r="B592" s="5">
        <v>375.0</v>
      </c>
      <c r="C592" s="4" t="s">
        <v>18</v>
      </c>
      <c r="D592" s="6">
        <v>5344.0</v>
      </c>
      <c r="E592" s="7">
        <v>44865.0</v>
      </c>
      <c r="F592" s="5">
        <v>0.0</v>
      </c>
      <c r="G592" s="8">
        <v>2022.1</v>
      </c>
      <c r="H592" s="9" t="s">
        <v>51</v>
      </c>
      <c r="I592" s="9" t="s">
        <v>52</v>
      </c>
      <c r="J592" s="9" t="s">
        <v>400</v>
      </c>
      <c r="K592" s="4" t="s">
        <v>21</v>
      </c>
      <c r="L592" s="10">
        <v>30.0</v>
      </c>
      <c r="M592" s="54">
        <v>0.0</v>
      </c>
      <c r="N592" s="12">
        <v>0.0</v>
      </c>
      <c r="O592" s="12">
        <v>375.0</v>
      </c>
      <c r="P592" s="37">
        <f t="shared" si="15"/>
        <v>44895</v>
      </c>
      <c r="Q592" s="12">
        <v>375.0</v>
      </c>
      <c r="R592" s="14"/>
      <c r="S592" s="15">
        <v>44866.0</v>
      </c>
      <c r="T592" s="4" t="b">
        <v>1</v>
      </c>
    </row>
    <row r="593" hidden="1">
      <c r="A593" s="16" t="s">
        <v>105</v>
      </c>
      <c r="B593" s="17">
        <f>300*1.311634</f>
        <v>393.4902</v>
      </c>
      <c r="C593" s="16" t="s">
        <v>18</v>
      </c>
      <c r="D593" s="18" t="s">
        <v>671</v>
      </c>
      <c r="E593" s="19">
        <v>44865.0</v>
      </c>
      <c r="F593" s="35">
        <f>11.4*1.311634</f>
        <v>14.9526276</v>
      </c>
      <c r="G593" s="20">
        <v>2022.1</v>
      </c>
      <c r="H593" s="21" t="s">
        <v>51</v>
      </c>
      <c r="I593" s="21" t="s">
        <v>52</v>
      </c>
      <c r="J593" s="21" t="s">
        <v>154</v>
      </c>
      <c r="K593" s="16" t="s">
        <v>9</v>
      </c>
      <c r="L593" s="22">
        <v>30.0</v>
      </c>
      <c r="M593" s="55">
        <v>0.0</v>
      </c>
      <c r="N593" s="23">
        <v>0.0</v>
      </c>
      <c r="O593" s="23">
        <v>378.53757240000004</v>
      </c>
      <c r="P593" s="48">
        <f t="shared" si="15"/>
        <v>44895</v>
      </c>
      <c r="Q593" s="23">
        <v>300.0</v>
      </c>
      <c r="R593" s="25"/>
      <c r="S593" s="26">
        <v>44866.0</v>
      </c>
      <c r="T593" s="16" t="b">
        <v>1</v>
      </c>
    </row>
    <row r="594" hidden="1">
      <c r="A594" s="4" t="s">
        <v>90</v>
      </c>
      <c r="B594" s="5">
        <v>1150.0</v>
      </c>
      <c r="C594" s="4" t="s">
        <v>18</v>
      </c>
      <c r="D594" s="6">
        <v>5345.0</v>
      </c>
      <c r="E594" s="7">
        <v>44865.0</v>
      </c>
      <c r="F594" s="5">
        <v>0.0</v>
      </c>
      <c r="G594" s="8">
        <v>2022.1</v>
      </c>
      <c r="H594" s="9" t="s">
        <v>51</v>
      </c>
      <c r="I594" s="9" t="s">
        <v>52</v>
      </c>
      <c r="J594" s="9" t="s">
        <v>215</v>
      </c>
      <c r="K594" s="4" t="s">
        <v>21</v>
      </c>
      <c r="L594" s="10">
        <v>30.0</v>
      </c>
      <c r="M594" s="54">
        <v>0.0</v>
      </c>
      <c r="N594" s="12">
        <v>0.0</v>
      </c>
      <c r="O594" s="12">
        <v>1150.0</v>
      </c>
      <c r="P594" s="37">
        <f t="shared" si="15"/>
        <v>44895</v>
      </c>
      <c r="Q594" s="12">
        <v>1150.0</v>
      </c>
      <c r="R594" s="14"/>
      <c r="S594" s="15">
        <v>44866.0</v>
      </c>
      <c r="T594" s="4" t="b">
        <v>1</v>
      </c>
    </row>
    <row r="595" hidden="1">
      <c r="A595" s="16" t="s">
        <v>97</v>
      </c>
      <c r="B595" s="17">
        <v>300.0</v>
      </c>
      <c r="C595" s="16" t="s">
        <v>18</v>
      </c>
      <c r="D595" s="18">
        <v>5346.0</v>
      </c>
      <c r="E595" s="19">
        <v>44865.0</v>
      </c>
      <c r="F595" s="17">
        <v>9.33</v>
      </c>
      <c r="G595" s="20">
        <v>2022.1</v>
      </c>
      <c r="H595" s="21" t="s">
        <v>51</v>
      </c>
      <c r="I595" s="21" t="s">
        <v>52</v>
      </c>
      <c r="J595" s="21" t="s">
        <v>98</v>
      </c>
      <c r="K595" s="16" t="s">
        <v>21</v>
      </c>
      <c r="L595" s="22">
        <v>30.0</v>
      </c>
      <c r="M595" s="55">
        <v>0.0</v>
      </c>
      <c r="N595" s="23">
        <v>0.0</v>
      </c>
      <c r="O595" s="23">
        <v>290.67</v>
      </c>
      <c r="P595" s="48">
        <f t="shared" si="15"/>
        <v>44895</v>
      </c>
      <c r="Q595" s="23">
        <v>300.0</v>
      </c>
      <c r="R595" s="25"/>
      <c r="S595" s="26">
        <v>44866.0</v>
      </c>
      <c r="T595" s="16" t="b">
        <v>1</v>
      </c>
    </row>
    <row r="596" hidden="1">
      <c r="A596" s="4" t="s">
        <v>92</v>
      </c>
      <c r="B596" s="5">
        <v>2500.0</v>
      </c>
      <c r="C596" s="4" t="s">
        <v>18</v>
      </c>
      <c r="D596" s="6">
        <v>5347.0</v>
      </c>
      <c r="E596" s="7">
        <v>44865.0</v>
      </c>
      <c r="F596" s="5">
        <v>77.78</v>
      </c>
      <c r="G596" s="8">
        <v>2022.1</v>
      </c>
      <c r="H596" s="9" t="s">
        <v>51</v>
      </c>
      <c r="I596" s="9" t="s">
        <v>52</v>
      </c>
      <c r="J596" s="9" t="s">
        <v>93</v>
      </c>
      <c r="K596" s="4" t="s">
        <v>21</v>
      </c>
      <c r="L596" s="10">
        <v>30.0</v>
      </c>
      <c r="M596" s="54">
        <v>0.0</v>
      </c>
      <c r="N596" s="12">
        <v>0.0</v>
      </c>
      <c r="O596" s="12">
        <v>2422.22</v>
      </c>
      <c r="P596" s="37">
        <f t="shared" si="15"/>
        <v>44895</v>
      </c>
      <c r="Q596" s="12">
        <v>2500.0</v>
      </c>
      <c r="R596" s="14"/>
      <c r="S596" s="15">
        <v>44866.0</v>
      </c>
      <c r="T596" s="4" t="b">
        <v>1</v>
      </c>
    </row>
    <row r="597" hidden="1">
      <c r="A597" s="16" t="s">
        <v>123</v>
      </c>
      <c r="B597" s="17">
        <f>4500*1.291458</f>
        <v>5811.561</v>
      </c>
      <c r="C597" s="16" t="s">
        <v>18</v>
      </c>
      <c r="D597" s="18" t="s">
        <v>672</v>
      </c>
      <c r="E597" s="19">
        <v>44865.0</v>
      </c>
      <c r="F597" s="35">
        <f>166.8*1.291458</f>
        <v>215.4151944</v>
      </c>
      <c r="G597" s="20">
        <v>2022.1</v>
      </c>
      <c r="H597" s="21" t="s">
        <v>51</v>
      </c>
      <c r="I597" s="21" t="s">
        <v>52</v>
      </c>
      <c r="J597" s="21" t="s">
        <v>673</v>
      </c>
      <c r="K597" s="16" t="s">
        <v>9</v>
      </c>
      <c r="L597" s="22">
        <v>30.0</v>
      </c>
      <c r="M597" s="55">
        <v>0.2</v>
      </c>
      <c r="N597" s="23">
        <v>1119.2291611199998</v>
      </c>
      <c r="O597" s="23">
        <v>4476.916644479999</v>
      </c>
      <c r="P597" s="48">
        <f t="shared" si="15"/>
        <v>44895</v>
      </c>
      <c r="Q597" s="23">
        <v>4500.0</v>
      </c>
      <c r="R597" s="25"/>
      <c r="S597" s="26">
        <v>44866.0</v>
      </c>
      <c r="T597" s="16" t="b">
        <v>1</v>
      </c>
    </row>
    <row r="598" hidden="1">
      <c r="A598" s="4" t="s">
        <v>115</v>
      </c>
      <c r="B598" s="5">
        <f t="shared" ref="B598:B599" si="18">2000*1.2924125</f>
        <v>2584.825</v>
      </c>
      <c r="C598" s="4" t="s">
        <v>18</v>
      </c>
      <c r="D598" s="6" t="s">
        <v>674</v>
      </c>
      <c r="E598" s="7">
        <v>44865.0</v>
      </c>
      <c r="F598" s="5">
        <v>0.0</v>
      </c>
      <c r="G598" s="8">
        <v>2022.1</v>
      </c>
      <c r="H598" s="9" t="s">
        <v>51</v>
      </c>
      <c r="I598" s="9" t="s">
        <v>52</v>
      </c>
      <c r="J598" s="9" t="s">
        <v>117</v>
      </c>
      <c r="K598" s="4" t="s">
        <v>9</v>
      </c>
      <c r="L598" s="10">
        <v>30.0</v>
      </c>
      <c r="M598" s="54">
        <v>0.0</v>
      </c>
      <c r="N598" s="12">
        <v>0.0</v>
      </c>
      <c r="O598" s="12">
        <v>2584.825</v>
      </c>
      <c r="P598" s="37">
        <f t="shared" si="15"/>
        <v>44895</v>
      </c>
      <c r="Q598" s="12">
        <v>2000.0</v>
      </c>
      <c r="R598" s="14"/>
      <c r="S598" s="15">
        <v>44866.0</v>
      </c>
      <c r="T598" s="4" t="b">
        <v>1</v>
      </c>
    </row>
    <row r="599" hidden="1">
      <c r="A599" s="16" t="s">
        <v>118</v>
      </c>
      <c r="B599" s="17">
        <f t="shared" si="18"/>
        <v>2584.825</v>
      </c>
      <c r="C599" s="16" t="s">
        <v>18</v>
      </c>
      <c r="D599" s="18" t="s">
        <v>675</v>
      </c>
      <c r="E599" s="19">
        <v>44865.0</v>
      </c>
      <c r="F599" s="17">
        <v>0.0</v>
      </c>
      <c r="G599" s="20">
        <v>2022.1</v>
      </c>
      <c r="H599" s="21" t="s">
        <v>51</v>
      </c>
      <c r="I599" s="21" t="s">
        <v>52</v>
      </c>
      <c r="J599" s="21" t="s">
        <v>117</v>
      </c>
      <c r="K599" s="16" t="s">
        <v>9</v>
      </c>
      <c r="L599" s="22">
        <v>30.0</v>
      </c>
      <c r="M599" s="55">
        <v>0.0</v>
      </c>
      <c r="N599" s="23">
        <v>0.0</v>
      </c>
      <c r="O599" s="23">
        <v>2584.825</v>
      </c>
      <c r="P599" s="48">
        <f t="shared" si="15"/>
        <v>44895</v>
      </c>
      <c r="Q599" s="23">
        <v>2000.0</v>
      </c>
      <c r="R599" s="25"/>
      <c r="S599" s="26">
        <v>44866.0</v>
      </c>
      <c r="T599" s="16" t="b">
        <v>1</v>
      </c>
    </row>
    <row r="600" hidden="1">
      <c r="A600" s="4" t="s">
        <v>73</v>
      </c>
      <c r="B600" s="5">
        <v>700.0</v>
      </c>
      <c r="C600" s="4" t="s">
        <v>18</v>
      </c>
      <c r="D600" s="6">
        <v>5348.0</v>
      </c>
      <c r="E600" s="7">
        <v>44865.0</v>
      </c>
      <c r="F600" s="5">
        <v>0.0</v>
      </c>
      <c r="G600" s="8">
        <v>2022.1</v>
      </c>
      <c r="H600" s="9" t="s">
        <v>51</v>
      </c>
      <c r="I600" s="9" t="s">
        <v>52</v>
      </c>
      <c r="J600" s="9" t="s">
        <v>74</v>
      </c>
      <c r="K600" s="4" t="s">
        <v>21</v>
      </c>
      <c r="L600" s="10">
        <v>30.0</v>
      </c>
      <c r="M600" s="54">
        <v>0.0</v>
      </c>
      <c r="N600" s="12">
        <v>0.0</v>
      </c>
      <c r="O600" s="12">
        <v>700.0</v>
      </c>
      <c r="P600" s="37">
        <f t="shared" si="15"/>
        <v>44895</v>
      </c>
      <c r="Q600" s="12">
        <v>700.0</v>
      </c>
      <c r="R600" s="14"/>
      <c r="S600" s="15">
        <v>44866.0</v>
      </c>
      <c r="T600" s="4" t="b">
        <v>1</v>
      </c>
    </row>
    <row r="601" hidden="1">
      <c r="A601" s="16" t="s">
        <v>499</v>
      </c>
      <c r="B601" s="17">
        <v>1450.0</v>
      </c>
      <c r="C601" s="16" t="s">
        <v>18</v>
      </c>
      <c r="D601" s="18">
        <v>5349.0</v>
      </c>
      <c r="E601" s="19">
        <v>44865.0</v>
      </c>
      <c r="F601" s="17">
        <v>48.55</v>
      </c>
      <c r="G601" s="20">
        <v>2022.1</v>
      </c>
      <c r="H601" s="21" t="s">
        <v>51</v>
      </c>
      <c r="I601" s="21" t="s">
        <v>52</v>
      </c>
      <c r="J601" s="21" t="s">
        <v>500</v>
      </c>
      <c r="K601" s="16" t="s">
        <v>21</v>
      </c>
      <c r="L601" s="22">
        <v>30.0</v>
      </c>
      <c r="M601" s="55">
        <v>0.0</v>
      </c>
      <c r="N601" s="23">
        <v>0.0</v>
      </c>
      <c r="O601" s="23">
        <v>1401.45</v>
      </c>
      <c r="P601" s="48">
        <f t="shared" si="15"/>
        <v>44895</v>
      </c>
      <c r="Q601" s="23">
        <v>1450.0</v>
      </c>
      <c r="R601" s="25"/>
      <c r="S601" s="26">
        <v>44866.0</v>
      </c>
      <c r="T601" s="16" t="b">
        <v>1</v>
      </c>
    </row>
    <row r="602" hidden="1">
      <c r="A602" s="4" t="s">
        <v>676</v>
      </c>
      <c r="B602" s="5">
        <v>975.0</v>
      </c>
      <c r="C602" s="4" t="s">
        <v>18</v>
      </c>
      <c r="D602" s="6">
        <v>5350.0</v>
      </c>
      <c r="E602" s="7">
        <v>44865.0</v>
      </c>
      <c r="F602" s="5">
        <v>30.33</v>
      </c>
      <c r="G602" s="8">
        <v>2022.0</v>
      </c>
      <c r="H602" s="9" t="s">
        <v>447</v>
      </c>
      <c r="I602" s="9" t="s">
        <v>19</v>
      </c>
      <c r="J602" s="9" t="s">
        <v>677</v>
      </c>
      <c r="K602" s="4" t="s">
        <v>21</v>
      </c>
      <c r="L602" s="10">
        <v>15.0</v>
      </c>
      <c r="M602" s="54">
        <v>0.0</v>
      </c>
      <c r="N602" s="12">
        <v>0.0</v>
      </c>
      <c r="O602" s="12">
        <v>944.67</v>
      </c>
      <c r="P602" s="37">
        <f t="shared" si="15"/>
        <v>44880</v>
      </c>
      <c r="Q602" s="12">
        <v>1950.0</v>
      </c>
      <c r="R602" s="14"/>
      <c r="S602" s="15">
        <v>44866.0</v>
      </c>
      <c r="T602" s="4" t="b">
        <v>1</v>
      </c>
    </row>
    <row r="603" hidden="1">
      <c r="A603" s="16" t="s">
        <v>676</v>
      </c>
      <c r="B603" s="17">
        <v>975.0</v>
      </c>
      <c r="C603" s="16" t="s">
        <v>18</v>
      </c>
      <c r="D603" s="18">
        <v>5381.0</v>
      </c>
      <c r="E603" s="19">
        <v>44895.0</v>
      </c>
      <c r="F603" s="80">
        <v>30.33</v>
      </c>
      <c r="G603" s="20">
        <v>2022.0</v>
      </c>
      <c r="H603" s="21" t="s">
        <v>447</v>
      </c>
      <c r="I603" s="21" t="s">
        <v>19</v>
      </c>
      <c r="J603" s="21" t="s">
        <v>678</v>
      </c>
      <c r="K603" s="16" t="s">
        <v>21</v>
      </c>
      <c r="L603" s="22">
        <v>15.0</v>
      </c>
      <c r="M603" s="55">
        <v>0.0</v>
      </c>
      <c r="N603" s="23">
        <v>0.0</v>
      </c>
      <c r="O603" s="23">
        <v>944.67</v>
      </c>
      <c r="P603" s="48">
        <f t="shared" si="15"/>
        <v>44910</v>
      </c>
      <c r="Q603" s="23">
        <v>1950.0</v>
      </c>
      <c r="R603" s="25"/>
      <c r="S603" s="26">
        <v>44896.0</v>
      </c>
      <c r="T603" s="16" t="b">
        <v>1</v>
      </c>
    </row>
    <row r="604" hidden="1">
      <c r="A604" s="4" t="s">
        <v>189</v>
      </c>
      <c r="B604" s="5">
        <f>850*1.3296</f>
        <v>1130.16</v>
      </c>
      <c r="C604" s="4" t="s">
        <v>18</v>
      </c>
      <c r="D604" s="6" t="s">
        <v>679</v>
      </c>
      <c r="E604" s="7">
        <v>44865.0</v>
      </c>
      <c r="F604" s="5">
        <v>0.0</v>
      </c>
      <c r="G604" s="8">
        <v>2022.0</v>
      </c>
      <c r="H604" s="9" t="s">
        <v>209</v>
      </c>
      <c r="I604" s="9" t="s">
        <v>459</v>
      </c>
      <c r="J604" s="9" t="s">
        <v>680</v>
      </c>
      <c r="K604" s="4" t="s">
        <v>9</v>
      </c>
      <c r="L604" s="10">
        <v>30.0</v>
      </c>
      <c r="M604" s="54">
        <v>0.0</v>
      </c>
      <c r="N604" s="12">
        <v>0.0</v>
      </c>
      <c r="O604" s="12">
        <v>1130.1599999999999</v>
      </c>
      <c r="P604" s="37">
        <f t="shared" si="15"/>
        <v>44895</v>
      </c>
      <c r="Q604" s="12">
        <v>950.0</v>
      </c>
      <c r="R604" s="14"/>
      <c r="S604" s="15">
        <v>44896.0</v>
      </c>
      <c r="T604" s="4" t="b">
        <v>1</v>
      </c>
    </row>
    <row r="605" hidden="1">
      <c r="A605" s="16" t="s">
        <v>681</v>
      </c>
      <c r="B605" s="17">
        <v>1200.0</v>
      </c>
      <c r="C605" s="16" t="s">
        <v>18</v>
      </c>
      <c r="D605" s="18">
        <v>5351.0</v>
      </c>
      <c r="E605" s="19">
        <v>44865.0</v>
      </c>
      <c r="F605" s="17">
        <v>0.0</v>
      </c>
      <c r="G605" s="20">
        <v>2022.0</v>
      </c>
      <c r="H605" s="21" t="s">
        <v>447</v>
      </c>
      <c r="I605" s="21" t="s">
        <v>19</v>
      </c>
      <c r="J605" s="21" t="s">
        <v>682</v>
      </c>
      <c r="K605" s="16" t="s">
        <v>21</v>
      </c>
      <c r="L605" s="22"/>
      <c r="M605" s="55">
        <v>0.0</v>
      </c>
      <c r="N605" s="23">
        <v>0.0</v>
      </c>
      <c r="O605" s="23">
        <v>1200.0</v>
      </c>
      <c r="P605" s="48">
        <f t="shared" si="15"/>
        <v>44865</v>
      </c>
      <c r="Q605" s="23">
        <v>2400.0</v>
      </c>
      <c r="R605" s="25"/>
      <c r="S605" s="26">
        <v>44866.0</v>
      </c>
      <c r="T605" s="16" t="b">
        <v>0</v>
      </c>
    </row>
    <row r="606" hidden="1">
      <c r="A606" s="4" t="s">
        <v>681</v>
      </c>
      <c r="B606" s="5">
        <v>1200.0</v>
      </c>
      <c r="C606" s="4" t="s">
        <v>18</v>
      </c>
      <c r="D606" s="6">
        <v>5434.0</v>
      </c>
      <c r="E606" s="7">
        <v>44949.0</v>
      </c>
      <c r="F606" s="5">
        <v>37.33</v>
      </c>
      <c r="G606" s="8">
        <v>2023.0</v>
      </c>
      <c r="H606" s="9" t="s">
        <v>447</v>
      </c>
      <c r="I606" s="9" t="s">
        <v>19</v>
      </c>
      <c r="J606" s="9" t="s">
        <v>683</v>
      </c>
      <c r="K606" s="4" t="s">
        <v>21</v>
      </c>
      <c r="L606" s="4">
        <v>15.0</v>
      </c>
      <c r="M606" s="54">
        <v>0.0</v>
      </c>
      <c r="N606" s="12">
        <v>0.0</v>
      </c>
      <c r="O606" s="12">
        <v>1162.67</v>
      </c>
      <c r="P606" s="37">
        <f t="shared" si="15"/>
        <v>44964</v>
      </c>
      <c r="Q606" s="12">
        <v>2400.0</v>
      </c>
      <c r="R606" s="14"/>
      <c r="S606" s="15">
        <v>44927.0</v>
      </c>
      <c r="T606" s="4" t="b">
        <v>0</v>
      </c>
    </row>
    <row r="607" hidden="1">
      <c r="A607" s="16" t="s">
        <v>394</v>
      </c>
      <c r="B607" s="17">
        <f>150*1.3432</f>
        <v>201.48</v>
      </c>
      <c r="C607" s="16" t="s">
        <v>18</v>
      </c>
      <c r="D607" s="18" t="s">
        <v>684</v>
      </c>
      <c r="E607" s="19">
        <v>44957.0</v>
      </c>
      <c r="F607" s="17">
        <v>0.0</v>
      </c>
      <c r="G607" s="20">
        <v>2023.0</v>
      </c>
      <c r="H607" s="21" t="s">
        <v>447</v>
      </c>
      <c r="I607" s="21" t="s">
        <v>257</v>
      </c>
      <c r="J607" s="21" t="s">
        <v>685</v>
      </c>
      <c r="K607" s="16" t="s">
        <v>9</v>
      </c>
      <c r="L607" s="22">
        <v>30.0</v>
      </c>
      <c r="M607" s="55">
        <v>0.0</v>
      </c>
      <c r="N607" s="23">
        <v>0.0</v>
      </c>
      <c r="O607" s="23">
        <v>201.48</v>
      </c>
      <c r="P607" s="48">
        <f t="shared" si="15"/>
        <v>44987</v>
      </c>
      <c r="Q607" s="23">
        <v>150.0</v>
      </c>
      <c r="R607" s="25"/>
      <c r="S607" s="26">
        <v>44958.0</v>
      </c>
      <c r="T607" s="16" t="b">
        <v>0</v>
      </c>
    </row>
    <row r="608" hidden="1">
      <c r="A608" s="4" t="s">
        <v>686</v>
      </c>
      <c r="B608" s="5">
        <v>1129.33</v>
      </c>
      <c r="C608" s="4" t="s">
        <v>18</v>
      </c>
      <c r="D608" s="6">
        <v>5352.0</v>
      </c>
      <c r="E608" s="7">
        <v>44872.0</v>
      </c>
      <c r="F608" s="5">
        <v>35.14</v>
      </c>
      <c r="G608" s="8">
        <v>2022.0</v>
      </c>
      <c r="H608" s="9" t="s">
        <v>687</v>
      </c>
      <c r="I608" s="9" t="s">
        <v>688</v>
      </c>
      <c r="J608" s="9" t="s">
        <v>689</v>
      </c>
      <c r="K608" s="4" t="s">
        <v>21</v>
      </c>
      <c r="L608" s="10">
        <v>15.0</v>
      </c>
      <c r="M608" s="54">
        <v>0.0</v>
      </c>
      <c r="N608" s="12">
        <v>0.0</v>
      </c>
      <c r="O608" s="12">
        <v>1094.1899999999998</v>
      </c>
      <c r="P608" s="37">
        <f t="shared" si="15"/>
        <v>44887</v>
      </c>
      <c r="Q608" s="12">
        <v>3388.0</v>
      </c>
      <c r="R608" s="14"/>
      <c r="S608" s="15">
        <v>44896.0</v>
      </c>
      <c r="T608" s="4" t="b">
        <v>0</v>
      </c>
    </row>
    <row r="609" hidden="1">
      <c r="A609" s="16" t="s">
        <v>686</v>
      </c>
      <c r="B609" s="17">
        <v>1129.33</v>
      </c>
      <c r="C609" s="16" t="s">
        <v>18</v>
      </c>
      <c r="D609" s="18">
        <v>5382.0</v>
      </c>
      <c r="E609" s="19">
        <v>44895.0</v>
      </c>
      <c r="F609" s="17">
        <v>35.14</v>
      </c>
      <c r="G609" s="20">
        <v>2022.0</v>
      </c>
      <c r="H609" s="21" t="s">
        <v>687</v>
      </c>
      <c r="I609" s="21" t="s">
        <v>688</v>
      </c>
      <c r="J609" s="21" t="s">
        <v>690</v>
      </c>
      <c r="K609" s="16" t="s">
        <v>21</v>
      </c>
      <c r="L609" s="22">
        <v>15.0</v>
      </c>
      <c r="M609" s="55">
        <v>0.0</v>
      </c>
      <c r="N609" s="23">
        <v>0.0</v>
      </c>
      <c r="O609" s="23">
        <v>1094.1899999999998</v>
      </c>
      <c r="P609" s="48">
        <f t="shared" si="15"/>
        <v>44910</v>
      </c>
      <c r="Q609" s="23">
        <v>3388.0</v>
      </c>
      <c r="R609" s="25"/>
      <c r="S609" s="26">
        <v>44896.0</v>
      </c>
      <c r="T609" s="16" t="b">
        <v>0</v>
      </c>
    </row>
    <row r="610" hidden="1">
      <c r="A610" s="4" t="s">
        <v>686</v>
      </c>
      <c r="B610" s="5">
        <v>1129.34</v>
      </c>
      <c r="C610" s="4" t="s">
        <v>18</v>
      </c>
      <c r="D610" s="6">
        <v>5409.0</v>
      </c>
      <c r="E610" s="7">
        <v>44925.0</v>
      </c>
      <c r="F610" s="5">
        <v>35.14</v>
      </c>
      <c r="G610" s="8">
        <v>2022.0</v>
      </c>
      <c r="H610" s="9" t="s">
        <v>687</v>
      </c>
      <c r="I610" s="9" t="s">
        <v>688</v>
      </c>
      <c r="J610" s="9" t="s">
        <v>691</v>
      </c>
      <c r="K610" s="4" t="s">
        <v>21</v>
      </c>
      <c r="L610" s="10">
        <v>15.0</v>
      </c>
      <c r="M610" s="54">
        <v>0.0</v>
      </c>
      <c r="N610" s="12">
        <v>0.0</v>
      </c>
      <c r="O610" s="12">
        <v>1094.1999999999998</v>
      </c>
      <c r="P610" s="37">
        <f t="shared" si="15"/>
        <v>44940</v>
      </c>
      <c r="Q610" s="12">
        <v>3388.0</v>
      </c>
      <c r="R610" s="14"/>
      <c r="S610" s="15">
        <v>44927.0</v>
      </c>
      <c r="T610" s="4" t="b">
        <v>0</v>
      </c>
    </row>
    <row r="611" hidden="1">
      <c r="A611" s="16" t="s">
        <v>692</v>
      </c>
      <c r="B611" s="17">
        <v>2400.0</v>
      </c>
      <c r="C611" s="16" t="s">
        <v>18</v>
      </c>
      <c r="D611" s="18">
        <v>5354.0</v>
      </c>
      <c r="E611" s="19">
        <v>44880.0</v>
      </c>
      <c r="F611" s="17">
        <v>74.67</v>
      </c>
      <c r="G611" s="20">
        <v>2022.0</v>
      </c>
      <c r="H611" s="21" t="s">
        <v>693</v>
      </c>
      <c r="I611" s="21" t="s">
        <v>252</v>
      </c>
      <c r="J611" s="21" t="s">
        <v>694</v>
      </c>
      <c r="K611" s="16" t="s">
        <v>21</v>
      </c>
      <c r="L611" s="22">
        <v>30.0</v>
      </c>
      <c r="M611" s="55">
        <v>0.0</v>
      </c>
      <c r="N611" s="23">
        <v>0.0</v>
      </c>
      <c r="O611" s="23">
        <v>2325.33</v>
      </c>
      <c r="P611" s="48">
        <f t="shared" si="15"/>
        <v>44910</v>
      </c>
      <c r="Q611" s="23">
        <v>2400.0</v>
      </c>
      <c r="R611" s="25"/>
      <c r="S611" s="26">
        <v>44896.0</v>
      </c>
      <c r="T611" s="16" t="b">
        <v>1</v>
      </c>
    </row>
    <row r="612" hidden="1">
      <c r="A612" s="4" t="s">
        <v>695</v>
      </c>
      <c r="B612" s="5">
        <v>600.0</v>
      </c>
      <c r="C612" s="4" t="s">
        <v>18</v>
      </c>
      <c r="D612" s="6">
        <v>5383.0</v>
      </c>
      <c r="E612" s="7">
        <v>44895.0</v>
      </c>
      <c r="F612" s="5">
        <v>18.67</v>
      </c>
      <c r="G612" s="8">
        <v>2022.11</v>
      </c>
      <c r="H612" s="9" t="s">
        <v>51</v>
      </c>
      <c r="I612" s="9" t="s">
        <v>52</v>
      </c>
      <c r="J612" s="9" t="s">
        <v>696</v>
      </c>
      <c r="K612" s="4" t="s">
        <v>21</v>
      </c>
      <c r="L612" s="10">
        <v>30.0</v>
      </c>
      <c r="M612" s="54">
        <v>0.0</v>
      </c>
      <c r="N612" s="12">
        <v>0.0</v>
      </c>
      <c r="O612" s="12">
        <v>581.33</v>
      </c>
      <c r="P612" s="37">
        <f t="shared" si="15"/>
        <v>44925</v>
      </c>
      <c r="Q612" s="12">
        <v>600.0</v>
      </c>
      <c r="R612" s="14"/>
      <c r="S612" s="15">
        <v>44896.0</v>
      </c>
      <c r="T612" s="4" t="b">
        <v>1</v>
      </c>
    </row>
    <row r="613" hidden="1">
      <c r="A613" s="16" t="s">
        <v>99</v>
      </c>
      <c r="B613" s="17">
        <f>1300*1.282825</f>
        <v>1667.6725</v>
      </c>
      <c r="C613" s="16" t="s">
        <v>18</v>
      </c>
      <c r="D613" s="18" t="s">
        <v>697</v>
      </c>
      <c r="E613" s="19">
        <v>44880.0</v>
      </c>
      <c r="F613" s="35">
        <f>48.4*1.282825</f>
        <v>62.08873</v>
      </c>
      <c r="G613" s="20">
        <v>2022.11</v>
      </c>
      <c r="H613" s="21" t="s">
        <v>27</v>
      </c>
      <c r="I613" s="21" t="s">
        <v>52</v>
      </c>
      <c r="J613" s="21" t="s">
        <v>101</v>
      </c>
      <c r="K613" s="16" t="s">
        <v>9</v>
      </c>
      <c r="L613" s="22">
        <v>30.0</v>
      </c>
      <c r="M613" s="55">
        <v>0.2</v>
      </c>
      <c r="N613" s="23">
        <v>321.11675400000007</v>
      </c>
      <c r="O613" s="23">
        <v>1284.467016</v>
      </c>
      <c r="P613" s="48">
        <f t="shared" si="15"/>
        <v>44910</v>
      </c>
      <c r="Q613" s="23">
        <v>1300.0</v>
      </c>
      <c r="R613" s="25"/>
      <c r="S613" s="26">
        <v>44896.0</v>
      </c>
      <c r="T613" s="16" t="b">
        <v>1</v>
      </c>
    </row>
    <row r="614" hidden="1">
      <c r="A614" s="4" t="s">
        <v>225</v>
      </c>
      <c r="B614" s="5">
        <v>5000.0</v>
      </c>
      <c r="C614" s="4" t="s">
        <v>18</v>
      </c>
      <c r="D614" s="6">
        <v>5355.0</v>
      </c>
      <c r="E614" s="7">
        <v>44880.0</v>
      </c>
      <c r="F614" s="5">
        <v>0.0</v>
      </c>
      <c r="G614" s="8">
        <v>2022.11</v>
      </c>
      <c r="H614" s="9" t="s">
        <v>27</v>
      </c>
      <c r="I614" s="9" t="s">
        <v>52</v>
      </c>
      <c r="J614" s="9" t="s">
        <v>649</v>
      </c>
      <c r="K614" s="4" t="s">
        <v>21</v>
      </c>
      <c r="L614" s="10">
        <v>30.0</v>
      </c>
      <c r="M614" s="54">
        <v>0.0</v>
      </c>
      <c r="N614" s="12">
        <v>0.0</v>
      </c>
      <c r="O614" s="12">
        <v>5000.0</v>
      </c>
      <c r="P614" s="37">
        <f t="shared" si="15"/>
        <v>44910</v>
      </c>
      <c r="Q614" s="12">
        <v>5000.0</v>
      </c>
      <c r="R614" s="14"/>
      <c r="S614" s="15">
        <v>44896.0</v>
      </c>
      <c r="T614" s="4" t="b">
        <v>1</v>
      </c>
    </row>
    <row r="615" hidden="1">
      <c r="A615" s="16" t="s">
        <v>102</v>
      </c>
      <c r="B615" s="17">
        <f>350*1.35223</f>
        <v>473.2805</v>
      </c>
      <c r="C615" s="16" t="s">
        <v>18</v>
      </c>
      <c r="D615" s="18" t="s">
        <v>698</v>
      </c>
      <c r="E615" s="19">
        <v>44880.0</v>
      </c>
      <c r="F615" s="35">
        <f>13.25*1.35223</f>
        <v>17.9170475</v>
      </c>
      <c r="G615" s="20">
        <v>2022.11</v>
      </c>
      <c r="H615" s="21" t="s">
        <v>27</v>
      </c>
      <c r="I615" s="21" t="s">
        <v>52</v>
      </c>
      <c r="J615" s="21" t="s">
        <v>104</v>
      </c>
      <c r="K615" s="16" t="s">
        <v>9</v>
      </c>
      <c r="L615" s="22">
        <v>30.0</v>
      </c>
      <c r="M615" s="55">
        <v>0.0</v>
      </c>
      <c r="N615" s="23">
        <v>0.0</v>
      </c>
      <c r="O615" s="23">
        <v>455.3634525</v>
      </c>
      <c r="P615" s="48">
        <f t="shared" si="15"/>
        <v>44910</v>
      </c>
      <c r="Q615" s="23">
        <v>350.0</v>
      </c>
      <c r="R615" s="25"/>
      <c r="S615" s="26">
        <v>44896.0</v>
      </c>
      <c r="T615" s="16" t="b">
        <v>1</v>
      </c>
    </row>
    <row r="616" hidden="1">
      <c r="A616" s="4" t="s">
        <v>62</v>
      </c>
      <c r="B616" s="5">
        <v>1600.0</v>
      </c>
      <c r="C616" s="4" t="s">
        <v>18</v>
      </c>
      <c r="D616" s="6">
        <v>5356.0</v>
      </c>
      <c r="E616" s="7">
        <v>44880.0</v>
      </c>
      <c r="F616" s="5">
        <v>49.78</v>
      </c>
      <c r="G616" s="8">
        <v>2022.11</v>
      </c>
      <c r="H616" s="9" t="s">
        <v>27</v>
      </c>
      <c r="I616" s="9" t="s">
        <v>52</v>
      </c>
      <c r="J616" s="9" t="s">
        <v>63</v>
      </c>
      <c r="K616" s="4" t="s">
        <v>21</v>
      </c>
      <c r="L616" s="10">
        <v>30.0</v>
      </c>
      <c r="M616" s="54">
        <v>0.0</v>
      </c>
      <c r="N616" s="12">
        <v>0.0</v>
      </c>
      <c r="O616" s="12">
        <v>1550.22</v>
      </c>
      <c r="P616" s="37">
        <f t="shared" si="15"/>
        <v>44910</v>
      </c>
      <c r="Q616" s="12">
        <v>1600.0</v>
      </c>
      <c r="R616" s="14"/>
      <c r="S616" s="15">
        <v>44896.0</v>
      </c>
      <c r="T616" s="4" t="b">
        <v>1</v>
      </c>
    </row>
    <row r="617" hidden="1">
      <c r="A617" s="16" t="s">
        <v>66</v>
      </c>
      <c r="B617" s="17">
        <v>900.0</v>
      </c>
      <c r="C617" s="16" t="s">
        <v>18</v>
      </c>
      <c r="D617" s="18">
        <v>5357.0</v>
      </c>
      <c r="E617" s="19">
        <v>44880.0</v>
      </c>
      <c r="F617" s="17">
        <v>0.0</v>
      </c>
      <c r="G617" s="20">
        <v>2022.11</v>
      </c>
      <c r="H617" s="21" t="s">
        <v>27</v>
      </c>
      <c r="I617" s="21" t="s">
        <v>52</v>
      </c>
      <c r="J617" s="21" t="s">
        <v>294</v>
      </c>
      <c r="K617" s="16" t="s">
        <v>21</v>
      </c>
      <c r="L617" s="22">
        <v>30.0</v>
      </c>
      <c r="M617" s="55">
        <v>0.0</v>
      </c>
      <c r="N617" s="23">
        <v>0.0</v>
      </c>
      <c r="O617" s="23">
        <v>900.0</v>
      </c>
      <c r="P617" s="48">
        <f t="shared" si="15"/>
        <v>44910</v>
      </c>
      <c r="Q617" s="23">
        <v>900.0</v>
      </c>
      <c r="R617" s="25"/>
      <c r="S617" s="26">
        <v>44896.0</v>
      </c>
      <c r="T617" s="16" t="b">
        <v>1</v>
      </c>
    </row>
    <row r="618" hidden="1">
      <c r="A618" s="4" t="s">
        <v>467</v>
      </c>
      <c r="B618" s="5">
        <f>280*1.300576</f>
        <v>364.16128</v>
      </c>
      <c r="C618" s="4" t="s">
        <v>18</v>
      </c>
      <c r="D618" s="6" t="s">
        <v>699</v>
      </c>
      <c r="E618" s="7">
        <v>44880.0</v>
      </c>
      <c r="F618" s="34">
        <f>10.51*1.300576</f>
        <v>13.66905376</v>
      </c>
      <c r="G618" s="8">
        <v>2022.11</v>
      </c>
      <c r="H618" s="9" t="s">
        <v>27</v>
      </c>
      <c r="I618" s="9" t="s">
        <v>52</v>
      </c>
      <c r="J618" s="9" t="s">
        <v>469</v>
      </c>
      <c r="K618" s="4" t="s">
        <v>9</v>
      </c>
      <c r="L618" s="10">
        <v>0.0</v>
      </c>
      <c r="M618" s="54">
        <v>0.2</v>
      </c>
      <c r="N618" s="12">
        <v>70.098445248</v>
      </c>
      <c r="O618" s="12">
        <v>280.39378099199996</v>
      </c>
      <c r="P618" s="37">
        <f t="shared" si="15"/>
        <v>44880</v>
      </c>
      <c r="Q618" s="12">
        <v>280.0</v>
      </c>
      <c r="R618" s="14"/>
      <c r="S618" s="15">
        <v>44896.0</v>
      </c>
      <c r="T618" s="4" t="b">
        <v>1</v>
      </c>
    </row>
    <row r="619" hidden="1">
      <c r="A619" s="16" t="s">
        <v>629</v>
      </c>
      <c r="B619" s="17">
        <f>280*1.33559</f>
        <v>373.9652</v>
      </c>
      <c r="C619" s="16" t="s">
        <v>18</v>
      </c>
      <c r="D619" s="18" t="s">
        <v>700</v>
      </c>
      <c r="E619" s="19">
        <v>44880.0</v>
      </c>
      <c r="F619" s="17">
        <v>11.15</v>
      </c>
      <c r="G619" s="20">
        <v>2022.11</v>
      </c>
      <c r="H619" s="21" t="s">
        <v>27</v>
      </c>
      <c r="I619" s="21" t="s">
        <v>52</v>
      </c>
      <c r="J619" s="21" t="s">
        <v>469</v>
      </c>
      <c r="K619" s="16" t="s">
        <v>9</v>
      </c>
      <c r="L619" s="22"/>
      <c r="M619" s="55">
        <v>0.0</v>
      </c>
      <c r="N619" s="23">
        <v>0.0</v>
      </c>
      <c r="O619" s="23">
        <v>362.81520000000006</v>
      </c>
      <c r="P619" s="48">
        <f t="shared" si="15"/>
        <v>44880</v>
      </c>
      <c r="Q619" s="23">
        <v>280.0</v>
      </c>
      <c r="R619" s="25"/>
      <c r="S619" s="26">
        <v>44896.0</v>
      </c>
      <c r="T619" s="16" t="b">
        <v>1</v>
      </c>
    </row>
    <row r="620" hidden="1">
      <c r="A620" s="4" t="s">
        <v>630</v>
      </c>
      <c r="B620" s="5">
        <v>280.0</v>
      </c>
      <c r="C620" s="4" t="s">
        <v>18</v>
      </c>
      <c r="D620" s="6">
        <v>5358.0</v>
      </c>
      <c r="E620" s="7">
        <v>44880.0</v>
      </c>
      <c r="F620" s="5">
        <v>8.71</v>
      </c>
      <c r="G620" s="8">
        <v>2022.11</v>
      </c>
      <c r="H620" s="9" t="s">
        <v>27</v>
      </c>
      <c r="I620" s="9" t="s">
        <v>52</v>
      </c>
      <c r="J620" s="9" t="s">
        <v>701</v>
      </c>
      <c r="K620" s="4" t="s">
        <v>21</v>
      </c>
      <c r="L620" s="10">
        <v>0.0</v>
      </c>
      <c r="M620" s="54">
        <v>0.0</v>
      </c>
      <c r="N620" s="12">
        <v>0.0</v>
      </c>
      <c r="O620" s="12">
        <v>271.29</v>
      </c>
      <c r="P620" s="37">
        <f t="shared" si="15"/>
        <v>44880</v>
      </c>
      <c r="Q620" s="12">
        <v>280.0</v>
      </c>
      <c r="R620" s="14"/>
      <c r="S620" s="15">
        <v>44896.0</v>
      </c>
      <c r="T620" s="4" t="b">
        <v>1</v>
      </c>
    </row>
    <row r="621" hidden="1">
      <c r="A621" s="16" t="s">
        <v>58</v>
      </c>
      <c r="B621" s="17">
        <v>500.0</v>
      </c>
      <c r="C621" s="16" t="s">
        <v>18</v>
      </c>
      <c r="D621" s="18">
        <v>5360.0</v>
      </c>
      <c r="E621" s="19">
        <v>44883.0</v>
      </c>
      <c r="F621" s="17">
        <v>15.56</v>
      </c>
      <c r="G621" s="20">
        <v>2022.11</v>
      </c>
      <c r="H621" s="21" t="s">
        <v>51</v>
      </c>
      <c r="I621" s="21" t="s">
        <v>52</v>
      </c>
      <c r="J621" s="21" t="s">
        <v>702</v>
      </c>
      <c r="K621" s="16" t="s">
        <v>21</v>
      </c>
      <c r="L621" s="22">
        <v>30.0</v>
      </c>
      <c r="M621" s="55">
        <v>0.0</v>
      </c>
      <c r="N621" s="23">
        <v>0.0</v>
      </c>
      <c r="O621" s="23">
        <v>484.44</v>
      </c>
      <c r="P621" s="48">
        <f t="shared" si="15"/>
        <v>44913</v>
      </c>
      <c r="Q621" s="23">
        <v>1550.0</v>
      </c>
      <c r="R621" s="25"/>
      <c r="S621" s="26">
        <v>44896.0</v>
      </c>
      <c r="T621" s="16" t="b">
        <v>1</v>
      </c>
    </row>
    <row r="622" hidden="1">
      <c r="A622" s="4" t="s">
        <v>584</v>
      </c>
      <c r="B622" s="5">
        <f>995*1.309542</f>
        <v>1302.99429</v>
      </c>
      <c r="C622" s="4" t="s">
        <v>18</v>
      </c>
      <c r="D622" s="6" t="s">
        <v>600</v>
      </c>
      <c r="E622" s="7">
        <v>44910.0</v>
      </c>
      <c r="F622" s="5">
        <v>0.0</v>
      </c>
      <c r="G622" s="8">
        <v>2022.0</v>
      </c>
      <c r="H622" s="9" t="s">
        <v>447</v>
      </c>
      <c r="I622" s="9" t="s">
        <v>252</v>
      </c>
      <c r="J622" s="9" t="s">
        <v>703</v>
      </c>
      <c r="K622" s="4" t="s">
        <v>9</v>
      </c>
      <c r="L622" s="10">
        <v>15.0</v>
      </c>
      <c r="M622" s="54">
        <v>0.0</v>
      </c>
      <c r="N622" s="12">
        <v>0.0</v>
      </c>
      <c r="O622" s="12">
        <v>1302.99429</v>
      </c>
      <c r="P622" s="37">
        <f t="shared" si="15"/>
        <v>44925</v>
      </c>
      <c r="Q622" s="12">
        <v>331.67</v>
      </c>
      <c r="R622" s="14"/>
      <c r="S622" s="15">
        <v>44927.0</v>
      </c>
      <c r="T622" s="4" t="b">
        <v>0</v>
      </c>
    </row>
    <row r="623" hidden="1">
      <c r="A623" s="16" t="s">
        <v>587</v>
      </c>
      <c r="B623" s="17">
        <f>995*1.3069</f>
        <v>1300.3655</v>
      </c>
      <c r="C623" s="16" t="s">
        <v>18</v>
      </c>
      <c r="D623" s="18" t="s">
        <v>603</v>
      </c>
      <c r="E623" s="19">
        <v>44910.0</v>
      </c>
      <c r="F623" s="17">
        <v>0.0</v>
      </c>
      <c r="G623" s="20">
        <v>2022.0</v>
      </c>
      <c r="H623" s="21" t="s">
        <v>447</v>
      </c>
      <c r="I623" s="21" t="s">
        <v>252</v>
      </c>
      <c r="J623" s="21" t="s">
        <v>704</v>
      </c>
      <c r="K623" s="16" t="s">
        <v>9</v>
      </c>
      <c r="L623" s="22">
        <v>15.0</v>
      </c>
      <c r="M623" s="55">
        <v>0.0</v>
      </c>
      <c r="N623" s="23">
        <v>0.0</v>
      </c>
      <c r="O623" s="23">
        <v>1300.3654999999999</v>
      </c>
      <c r="P623" s="48">
        <f t="shared" si="15"/>
        <v>44925</v>
      </c>
      <c r="Q623" s="23">
        <v>331.66</v>
      </c>
      <c r="R623" s="25"/>
      <c r="S623" s="26">
        <v>44927.0</v>
      </c>
      <c r="T623" s="16" t="b">
        <v>0</v>
      </c>
    </row>
    <row r="624" hidden="1">
      <c r="A624" s="4" t="s">
        <v>586</v>
      </c>
      <c r="B624" s="5">
        <f>995*1.3735879</f>
        <v>1366.719961</v>
      </c>
      <c r="C624" s="4" t="s">
        <v>18</v>
      </c>
      <c r="D624" s="6" t="s">
        <v>705</v>
      </c>
      <c r="E624" s="7">
        <v>44939.0</v>
      </c>
      <c r="F624" s="5">
        <v>0.0</v>
      </c>
      <c r="G624" s="8">
        <v>2023.0</v>
      </c>
      <c r="H624" s="9" t="s">
        <v>447</v>
      </c>
      <c r="I624" s="9" t="s">
        <v>252</v>
      </c>
      <c r="J624" s="9" t="s">
        <v>706</v>
      </c>
      <c r="K624" s="4" t="s">
        <v>9</v>
      </c>
      <c r="L624" s="10">
        <v>15.0</v>
      </c>
      <c r="M624" s="54">
        <v>0.0</v>
      </c>
      <c r="N624" s="12">
        <v>0.0</v>
      </c>
      <c r="O624" s="12">
        <v>1366.7199605</v>
      </c>
      <c r="P624" s="37">
        <f t="shared" si="15"/>
        <v>44954</v>
      </c>
      <c r="Q624" s="12">
        <v>331.66</v>
      </c>
      <c r="R624" s="14"/>
      <c r="S624" s="15">
        <v>44927.0</v>
      </c>
      <c r="T624" s="4" t="b">
        <v>0</v>
      </c>
    </row>
    <row r="625" hidden="1">
      <c r="A625" s="16" t="s">
        <v>707</v>
      </c>
      <c r="B625" s="17">
        <v>600.0</v>
      </c>
      <c r="C625" s="16" t="s">
        <v>18</v>
      </c>
      <c r="D625" s="18">
        <v>5361.0</v>
      </c>
      <c r="E625" s="19">
        <v>44888.0</v>
      </c>
      <c r="F625" s="17">
        <v>18.67</v>
      </c>
      <c r="G625" s="20">
        <v>2022.0</v>
      </c>
      <c r="H625" s="21" t="s">
        <v>693</v>
      </c>
      <c r="I625" s="21" t="s">
        <v>252</v>
      </c>
      <c r="J625" s="21" t="s">
        <v>708</v>
      </c>
      <c r="K625" s="16" t="s">
        <v>21</v>
      </c>
      <c r="L625" s="22">
        <v>30.0</v>
      </c>
      <c r="M625" s="55">
        <v>0.0</v>
      </c>
      <c r="N625" s="23">
        <v>0.0</v>
      </c>
      <c r="O625" s="23">
        <v>581.33</v>
      </c>
      <c r="P625" s="48">
        <f t="shared" si="15"/>
        <v>44918</v>
      </c>
      <c r="Q625" s="23">
        <v>1200.0</v>
      </c>
      <c r="R625" s="25"/>
      <c r="S625" s="26">
        <v>44927.0</v>
      </c>
      <c r="T625" s="16" t="b">
        <v>1</v>
      </c>
    </row>
    <row r="626" hidden="1">
      <c r="A626" s="4" t="s">
        <v>707</v>
      </c>
      <c r="B626" s="5">
        <v>600.0</v>
      </c>
      <c r="C626" s="4" t="s">
        <v>18</v>
      </c>
      <c r="D626" s="6">
        <v>5411.0</v>
      </c>
      <c r="E626" s="7">
        <v>44925.0</v>
      </c>
      <c r="F626" s="5">
        <v>18.67</v>
      </c>
      <c r="G626" s="8">
        <v>2022.0</v>
      </c>
      <c r="H626" s="9" t="s">
        <v>693</v>
      </c>
      <c r="I626" s="9" t="s">
        <v>252</v>
      </c>
      <c r="J626" s="9" t="s">
        <v>709</v>
      </c>
      <c r="K626" s="4" t="s">
        <v>21</v>
      </c>
      <c r="L626" s="10">
        <v>30.0</v>
      </c>
      <c r="M626" s="54">
        <v>0.0</v>
      </c>
      <c r="N626" s="12">
        <v>0.0</v>
      </c>
      <c r="O626" s="12">
        <v>581.33</v>
      </c>
      <c r="P626" s="37">
        <f t="shared" si="15"/>
        <v>44955</v>
      </c>
      <c r="Q626" s="12">
        <v>1200.0</v>
      </c>
      <c r="R626" s="14"/>
      <c r="S626" s="15">
        <v>44927.0</v>
      </c>
      <c r="T626" s="4" t="b">
        <v>1</v>
      </c>
    </row>
    <row r="627" hidden="1">
      <c r="A627" s="16" t="s">
        <v>710</v>
      </c>
      <c r="B627" s="17">
        <f>700*1.300479</f>
        <v>910.3353</v>
      </c>
      <c r="C627" s="16" t="s">
        <v>18</v>
      </c>
      <c r="D627" s="18" t="s">
        <v>711</v>
      </c>
      <c r="E627" s="19">
        <v>44888.0</v>
      </c>
      <c r="F627" s="35">
        <f>26.2*1.300479</f>
        <v>34.0725498</v>
      </c>
      <c r="G627" s="20">
        <v>2022.0</v>
      </c>
      <c r="H627" s="21" t="s">
        <v>693</v>
      </c>
      <c r="I627" s="21" t="s">
        <v>252</v>
      </c>
      <c r="J627" s="21" t="s">
        <v>712</v>
      </c>
      <c r="K627" s="16" t="s">
        <v>9</v>
      </c>
      <c r="L627" s="16">
        <v>0.0</v>
      </c>
      <c r="M627" s="55">
        <v>0.0</v>
      </c>
      <c r="N627" s="23">
        <v>0.0</v>
      </c>
      <c r="O627" s="23">
        <v>876.2627501999999</v>
      </c>
      <c r="P627" s="48">
        <f t="shared" si="15"/>
        <v>44888</v>
      </c>
      <c r="Q627" s="23">
        <v>700.0</v>
      </c>
      <c r="R627" s="25"/>
      <c r="S627" s="26">
        <v>44896.0</v>
      </c>
      <c r="T627" s="16" t="b">
        <v>1</v>
      </c>
    </row>
    <row r="628" hidden="1">
      <c r="A628" s="4" t="s">
        <v>713</v>
      </c>
      <c r="B628" s="5">
        <v>850.0</v>
      </c>
      <c r="C628" s="4" t="s">
        <v>18</v>
      </c>
      <c r="D628" s="6">
        <v>5384.0</v>
      </c>
      <c r="E628" s="7">
        <v>44895.0</v>
      </c>
      <c r="F628" s="5">
        <v>26.44</v>
      </c>
      <c r="G628" s="8">
        <v>2022.0</v>
      </c>
      <c r="H628" s="9" t="s">
        <v>693</v>
      </c>
      <c r="I628" s="9" t="s">
        <v>252</v>
      </c>
      <c r="J628" s="9" t="s">
        <v>714</v>
      </c>
      <c r="K628" s="4" t="s">
        <v>21</v>
      </c>
      <c r="L628" s="10">
        <v>30.0</v>
      </c>
      <c r="M628" s="54">
        <v>0.0</v>
      </c>
      <c r="N628" s="12">
        <v>0.0</v>
      </c>
      <c r="O628" s="12">
        <v>823.56</v>
      </c>
      <c r="P628" s="37">
        <f t="shared" si="15"/>
        <v>44925</v>
      </c>
      <c r="Q628" s="12">
        <v>0.0</v>
      </c>
      <c r="R628" s="14"/>
      <c r="S628" s="15">
        <v>44896.0</v>
      </c>
      <c r="T628" s="4" t="b">
        <v>1</v>
      </c>
    </row>
    <row r="629" hidden="1">
      <c r="A629" s="16" t="s">
        <v>180</v>
      </c>
      <c r="B629" s="17">
        <f>120*1.2934</f>
        <v>155.208</v>
      </c>
      <c r="C629" s="16" t="s">
        <v>18</v>
      </c>
      <c r="D629" s="18" t="s">
        <v>715</v>
      </c>
      <c r="E629" s="19">
        <v>44910.0</v>
      </c>
      <c r="F629" s="17">
        <v>0.0</v>
      </c>
      <c r="G629" s="20">
        <v>2022.12</v>
      </c>
      <c r="H629" s="21" t="s">
        <v>27</v>
      </c>
      <c r="I629" s="21" t="s">
        <v>716</v>
      </c>
      <c r="J629" s="21" t="s">
        <v>717</v>
      </c>
      <c r="K629" s="16" t="s">
        <v>9</v>
      </c>
      <c r="L629" s="22">
        <v>30.0</v>
      </c>
      <c r="M629" s="55">
        <v>0.0</v>
      </c>
      <c r="N629" s="23">
        <v>0.0</v>
      </c>
      <c r="O629" s="23">
        <v>155.20800000000003</v>
      </c>
      <c r="P629" s="48">
        <f t="shared" si="15"/>
        <v>44940</v>
      </c>
      <c r="Q629" s="23">
        <v>120.0</v>
      </c>
      <c r="R629" s="25"/>
      <c r="S629" s="26">
        <v>44927.0</v>
      </c>
      <c r="T629" s="16" t="b">
        <v>0</v>
      </c>
    </row>
    <row r="630" hidden="1">
      <c r="A630" s="4" t="s">
        <v>223</v>
      </c>
      <c r="B630" s="5">
        <v>800.0</v>
      </c>
      <c r="C630" s="4" t="s">
        <v>18</v>
      </c>
      <c r="D630" s="6">
        <v>5385.0</v>
      </c>
      <c r="E630" s="7">
        <v>44895.0</v>
      </c>
      <c r="F630" s="5">
        <v>24.89</v>
      </c>
      <c r="G630" s="8">
        <v>2022.11</v>
      </c>
      <c r="H630" s="9" t="s">
        <v>51</v>
      </c>
      <c r="I630" s="9" t="s">
        <v>52</v>
      </c>
      <c r="J630" s="9" t="s">
        <v>247</v>
      </c>
      <c r="K630" s="4" t="s">
        <v>21</v>
      </c>
      <c r="L630" s="10">
        <v>30.0</v>
      </c>
      <c r="M630" s="54">
        <v>0.0</v>
      </c>
      <c r="N630" s="12">
        <v>0.0</v>
      </c>
      <c r="O630" s="12">
        <v>775.11</v>
      </c>
      <c r="P630" s="37">
        <f t="shared" si="15"/>
        <v>44925</v>
      </c>
      <c r="Q630" s="12">
        <v>800.0</v>
      </c>
      <c r="R630" s="14"/>
      <c r="S630" s="15">
        <v>44896.0</v>
      </c>
      <c r="T630" s="4" t="b">
        <v>1</v>
      </c>
    </row>
    <row r="631" hidden="1">
      <c r="A631" s="16" t="s">
        <v>54</v>
      </c>
      <c r="B631" s="17">
        <v>750.0</v>
      </c>
      <c r="C631" s="16" t="s">
        <v>18</v>
      </c>
      <c r="D631" s="18">
        <v>5362.0</v>
      </c>
      <c r="E631" s="19">
        <v>44895.0</v>
      </c>
      <c r="F631" s="17">
        <v>23.33</v>
      </c>
      <c r="G631" s="20">
        <v>2022.11</v>
      </c>
      <c r="H631" s="21" t="s">
        <v>51</v>
      </c>
      <c r="I631" s="21" t="s">
        <v>52</v>
      </c>
      <c r="J631" s="21" t="s">
        <v>55</v>
      </c>
      <c r="K631" s="16" t="s">
        <v>21</v>
      </c>
      <c r="L631" s="22">
        <v>30.0</v>
      </c>
      <c r="M631" s="55">
        <v>0.0</v>
      </c>
      <c r="N631" s="23">
        <v>0.0</v>
      </c>
      <c r="O631" s="23">
        <v>726.67</v>
      </c>
      <c r="P631" s="48">
        <f t="shared" si="15"/>
        <v>44925</v>
      </c>
      <c r="Q631" s="23">
        <v>750.0</v>
      </c>
      <c r="R631" s="25"/>
      <c r="S631" s="26">
        <v>44896.0</v>
      </c>
      <c r="T631" s="16" t="b">
        <v>1</v>
      </c>
    </row>
    <row r="632" hidden="1">
      <c r="A632" s="4" t="s">
        <v>84</v>
      </c>
      <c r="B632" s="5">
        <v>1000.0</v>
      </c>
      <c r="C632" s="4" t="s">
        <v>18</v>
      </c>
      <c r="D632" s="6">
        <v>5386.0</v>
      </c>
      <c r="E632" s="7">
        <v>44895.0</v>
      </c>
      <c r="F632" s="5">
        <v>0.0</v>
      </c>
      <c r="G632" s="8">
        <v>2022.11</v>
      </c>
      <c r="H632" s="9" t="s">
        <v>51</v>
      </c>
      <c r="I632" s="9" t="s">
        <v>52</v>
      </c>
      <c r="J632" s="9" t="s">
        <v>85</v>
      </c>
      <c r="K632" s="4" t="s">
        <v>21</v>
      </c>
      <c r="L632" s="10">
        <v>30.0</v>
      </c>
      <c r="M632" s="54">
        <v>0.0</v>
      </c>
      <c r="N632" s="12">
        <v>0.0</v>
      </c>
      <c r="O632" s="12">
        <v>1000.0</v>
      </c>
      <c r="P632" s="37">
        <f t="shared" si="15"/>
        <v>44925</v>
      </c>
      <c r="Q632" s="12">
        <v>1000.0</v>
      </c>
      <c r="R632" s="14"/>
      <c r="S632" s="15">
        <v>44896.0</v>
      </c>
      <c r="T632" s="4" t="b">
        <v>1</v>
      </c>
    </row>
    <row r="633" hidden="1">
      <c r="A633" s="16" t="s">
        <v>42</v>
      </c>
      <c r="B633" s="17">
        <v>1500.0</v>
      </c>
      <c r="C633" s="16" t="s">
        <v>18</v>
      </c>
      <c r="D633" s="18">
        <v>5387.0</v>
      </c>
      <c r="E633" s="19">
        <v>44895.0</v>
      </c>
      <c r="F633" s="17">
        <v>46.67</v>
      </c>
      <c r="G633" s="20">
        <v>2022.11</v>
      </c>
      <c r="H633" s="21" t="s">
        <v>51</v>
      </c>
      <c r="I633" s="21" t="s">
        <v>52</v>
      </c>
      <c r="J633" s="21" t="s">
        <v>43</v>
      </c>
      <c r="K633" s="16" t="s">
        <v>21</v>
      </c>
      <c r="L633" s="22">
        <v>30.0</v>
      </c>
      <c r="M633" s="55">
        <v>0.15</v>
      </c>
      <c r="N633" s="23">
        <v>217.99949999999998</v>
      </c>
      <c r="O633" s="23">
        <v>1235.3305</v>
      </c>
      <c r="P633" s="48">
        <f t="shared" si="15"/>
        <v>44925</v>
      </c>
      <c r="Q633" s="23">
        <v>1500.0</v>
      </c>
      <c r="R633" s="25"/>
      <c r="S633" s="26">
        <v>44896.0</v>
      </c>
      <c r="T633" s="16" t="b">
        <v>1</v>
      </c>
    </row>
    <row r="634" hidden="1">
      <c r="A634" s="4" t="s">
        <v>82</v>
      </c>
      <c r="B634" s="5">
        <v>800.0</v>
      </c>
      <c r="C634" s="4" t="s">
        <v>18</v>
      </c>
      <c r="D634" s="6">
        <v>5388.0</v>
      </c>
      <c r="E634" s="7">
        <v>44895.0</v>
      </c>
      <c r="F634" s="5">
        <v>0.0</v>
      </c>
      <c r="G634" s="8">
        <v>2022.11</v>
      </c>
      <c r="H634" s="9" t="s">
        <v>51</v>
      </c>
      <c r="I634" s="9" t="s">
        <v>52</v>
      </c>
      <c r="J634" s="9" t="s">
        <v>83</v>
      </c>
      <c r="K634" s="4" t="s">
        <v>21</v>
      </c>
      <c r="L634" s="10">
        <v>30.0</v>
      </c>
      <c r="M634" s="54">
        <v>0.0</v>
      </c>
      <c r="N634" s="12">
        <v>0.0</v>
      </c>
      <c r="O634" s="12">
        <v>800.0</v>
      </c>
      <c r="P634" s="37">
        <f t="shared" si="15"/>
        <v>44925</v>
      </c>
      <c r="Q634" s="12">
        <v>800.0</v>
      </c>
      <c r="R634" s="14"/>
      <c r="S634" s="15">
        <v>44896.0</v>
      </c>
      <c r="T634" s="4" t="b">
        <v>1</v>
      </c>
    </row>
    <row r="635" hidden="1">
      <c r="A635" s="16" t="s">
        <v>88</v>
      </c>
      <c r="B635" s="17">
        <v>500.0</v>
      </c>
      <c r="C635" s="16" t="s">
        <v>18</v>
      </c>
      <c r="D635" s="18">
        <v>5363.0</v>
      </c>
      <c r="E635" s="19">
        <v>44895.0</v>
      </c>
      <c r="F635" s="17">
        <v>15.56</v>
      </c>
      <c r="G635" s="20">
        <v>2022.11</v>
      </c>
      <c r="H635" s="21" t="s">
        <v>51</v>
      </c>
      <c r="I635" s="21" t="s">
        <v>52</v>
      </c>
      <c r="J635" s="21" t="s">
        <v>89</v>
      </c>
      <c r="K635" s="16" t="s">
        <v>21</v>
      </c>
      <c r="L635" s="22">
        <v>30.0</v>
      </c>
      <c r="M635" s="55">
        <v>0.0</v>
      </c>
      <c r="N635" s="23">
        <v>0.0</v>
      </c>
      <c r="O635" s="23">
        <v>484.44</v>
      </c>
      <c r="P635" s="48">
        <f t="shared" si="15"/>
        <v>44925</v>
      </c>
      <c r="Q635" s="23">
        <v>500.0</v>
      </c>
      <c r="R635" s="25"/>
      <c r="S635" s="26">
        <v>44896.0</v>
      </c>
      <c r="T635" s="16" t="b">
        <v>1</v>
      </c>
    </row>
    <row r="636" hidden="1">
      <c r="A636" s="4" t="s">
        <v>50</v>
      </c>
      <c r="B636" s="5">
        <v>375.0</v>
      </c>
      <c r="C636" s="4" t="s">
        <v>18</v>
      </c>
      <c r="D636" s="6">
        <v>5389.0</v>
      </c>
      <c r="E636" s="7">
        <v>44895.0</v>
      </c>
      <c r="F636" s="5">
        <v>0.0</v>
      </c>
      <c r="G636" s="8">
        <v>2022.11</v>
      </c>
      <c r="H636" s="9" t="s">
        <v>51</v>
      </c>
      <c r="I636" s="9" t="s">
        <v>52</v>
      </c>
      <c r="J636" s="9" t="s">
        <v>400</v>
      </c>
      <c r="K636" s="4" t="s">
        <v>21</v>
      </c>
      <c r="L636" s="10">
        <v>30.0</v>
      </c>
      <c r="M636" s="54">
        <v>0.0</v>
      </c>
      <c r="N636" s="12">
        <v>0.0</v>
      </c>
      <c r="O636" s="12">
        <v>375.0</v>
      </c>
      <c r="P636" s="37">
        <f t="shared" si="15"/>
        <v>44925</v>
      </c>
      <c r="Q636" s="12">
        <v>375.0</v>
      </c>
      <c r="R636" s="14"/>
      <c r="S636" s="15">
        <v>44896.0</v>
      </c>
      <c r="T636" s="4" t="b">
        <v>0</v>
      </c>
    </row>
    <row r="637" hidden="1">
      <c r="A637" s="16" t="s">
        <v>105</v>
      </c>
      <c r="B637" s="17">
        <f>300*1.300576</f>
        <v>390.1728</v>
      </c>
      <c r="C637" s="16" t="s">
        <v>18</v>
      </c>
      <c r="D637" s="18" t="s">
        <v>718</v>
      </c>
      <c r="E637" s="19">
        <v>44895.0</v>
      </c>
      <c r="F637" s="35">
        <f>11.4*1.300576</f>
        <v>14.8265664</v>
      </c>
      <c r="G637" s="20">
        <v>2022.11</v>
      </c>
      <c r="H637" s="21" t="s">
        <v>51</v>
      </c>
      <c r="I637" s="21" t="s">
        <v>52</v>
      </c>
      <c r="J637" s="21" t="s">
        <v>154</v>
      </c>
      <c r="K637" s="16" t="s">
        <v>9</v>
      </c>
      <c r="L637" s="22">
        <v>30.0</v>
      </c>
      <c r="M637" s="55">
        <v>0.0</v>
      </c>
      <c r="N637" s="23">
        <v>0.0</v>
      </c>
      <c r="O637" s="23">
        <v>375.3462336</v>
      </c>
      <c r="P637" s="48">
        <f t="shared" si="15"/>
        <v>44925</v>
      </c>
      <c r="Q637" s="23">
        <v>300.0</v>
      </c>
      <c r="R637" s="25"/>
      <c r="S637" s="26">
        <v>44896.0</v>
      </c>
      <c r="T637" s="16" t="b">
        <v>1</v>
      </c>
    </row>
    <row r="638" hidden="1">
      <c r="A638" s="4" t="s">
        <v>90</v>
      </c>
      <c r="B638" s="5">
        <v>1150.0</v>
      </c>
      <c r="C638" s="4" t="s">
        <v>18</v>
      </c>
      <c r="D638" s="6">
        <v>5390.0</v>
      </c>
      <c r="E638" s="7">
        <v>44895.0</v>
      </c>
      <c r="F638" s="5">
        <v>0.0</v>
      </c>
      <c r="G638" s="8">
        <v>2022.11</v>
      </c>
      <c r="H638" s="9" t="s">
        <v>51</v>
      </c>
      <c r="I638" s="9" t="s">
        <v>52</v>
      </c>
      <c r="J638" s="9" t="s">
        <v>215</v>
      </c>
      <c r="K638" s="4" t="s">
        <v>21</v>
      </c>
      <c r="L638" s="10">
        <v>30.0</v>
      </c>
      <c r="M638" s="54">
        <v>0.0</v>
      </c>
      <c r="N638" s="12">
        <v>0.0</v>
      </c>
      <c r="O638" s="12">
        <v>1150.0</v>
      </c>
      <c r="P638" s="37">
        <f t="shared" si="15"/>
        <v>44925</v>
      </c>
      <c r="Q638" s="12">
        <v>1150.0</v>
      </c>
      <c r="R638" s="14"/>
      <c r="S638" s="15">
        <v>44896.0</v>
      </c>
      <c r="T638" s="4" t="b">
        <v>1</v>
      </c>
    </row>
    <row r="639" hidden="1">
      <c r="A639" s="16" t="s">
        <v>97</v>
      </c>
      <c r="B639" s="17">
        <v>300.0</v>
      </c>
      <c r="C639" s="16" t="s">
        <v>18</v>
      </c>
      <c r="D639" s="18">
        <v>5391.0</v>
      </c>
      <c r="E639" s="19">
        <v>44895.0</v>
      </c>
      <c r="F639" s="17">
        <v>9.33</v>
      </c>
      <c r="G639" s="20">
        <v>2022.11</v>
      </c>
      <c r="H639" s="21" t="s">
        <v>51</v>
      </c>
      <c r="I639" s="21" t="s">
        <v>52</v>
      </c>
      <c r="J639" s="21" t="s">
        <v>98</v>
      </c>
      <c r="K639" s="16" t="s">
        <v>21</v>
      </c>
      <c r="L639" s="22">
        <v>30.0</v>
      </c>
      <c r="M639" s="55">
        <v>0.0</v>
      </c>
      <c r="N639" s="23">
        <v>0.0</v>
      </c>
      <c r="O639" s="23">
        <v>290.67</v>
      </c>
      <c r="P639" s="48">
        <f t="shared" si="15"/>
        <v>44925</v>
      </c>
      <c r="Q639" s="23">
        <v>300.0</v>
      </c>
      <c r="R639" s="25"/>
      <c r="S639" s="26">
        <v>44896.0</v>
      </c>
      <c r="T639" s="16" t="b">
        <v>1</v>
      </c>
    </row>
    <row r="640" hidden="1">
      <c r="A640" s="4" t="s">
        <v>92</v>
      </c>
      <c r="B640" s="5">
        <v>2500.0</v>
      </c>
      <c r="C640" s="4" t="s">
        <v>18</v>
      </c>
      <c r="D640" s="6">
        <v>5392.0</v>
      </c>
      <c r="E640" s="7">
        <v>44895.0</v>
      </c>
      <c r="F640" s="5">
        <v>77.78</v>
      </c>
      <c r="G640" s="8">
        <v>2022.11</v>
      </c>
      <c r="H640" s="9" t="s">
        <v>51</v>
      </c>
      <c r="I640" s="9" t="s">
        <v>52</v>
      </c>
      <c r="J640" s="9" t="s">
        <v>93</v>
      </c>
      <c r="K640" s="4" t="s">
        <v>21</v>
      </c>
      <c r="L640" s="10">
        <v>30.0</v>
      </c>
      <c r="M640" s="54">
        <v>0.0</v>
      </c>
      <c r="N640" s="12">
        <v>0.0</v>
      </c>
      <c r="O640" s="12">
        <v>2422.22</v>
      </c>
      <c r="P640" s="37">
        <f t="shared" si="15"/>
        <v>44925</v>
      </c>
      <c r="Q640" s="12">
        <v>2500.0</v>
      </c>
      <c r="R640" s="14"/>
      <c r="S640" s="15">
        <v>44896.0</v>
      </c>
      <c r="T640" s="4" t="b">
        <v>1</v>
      </c>
    </row>
    <row r="641" hidden="1">
      <c r="A641" s="16" t="s">
        <v>227</v>
      </c>
      <c r="B641" s="17">
        <f>840*1.300479</f>
        <v>1092.40236</v>
      </c>
      <c r="C641" s="16" t="s">
        <v>18</v>
      </c>
      <c r="D641" s="18" t="s">
        <v>719</v>
      </c>
      <c r="E641" s="19">
        <v>44895.0</v>
      </c>
      <c r="F641" s="35">
        <f>31.38*1.300479</f>
        <v>40.80903102</v>
      </c>
      <c r="G641" s="20">
        <v>2022.11</v>
      </c>
      <c r="H641" s="21" t="s">
        <v>51</v>
      </c>
      <c r="I641" s="21" t="s">
        <v>716</v>
      </c>
      <c r="J641" s="21" t="s">
        <v>720</v>
      </c>
      <c r="K641" s="16" t="s">
        <v>9</v>
      </c>
      <c r="L641" s="22">
        <v>30.0</v>
      </c>
      <c r="M641" s="55">
        <v>0.0</v>
      </c>
      <c r="N641" s="23">
        <v>0.0</v>
      </c>
      <c r="O641" s="23">
        <v>1051.59332898</v>
      </c>
      <c r="P641" s="48">
        <f t="shared" si="15"/>
        <v>44925</v>
      </c>
      <c r="Q641" s="23">
        <v>840.0</v>
      </c>
      <c r="R641" s="25"/>
      <c r="S641" s="26">
        <v>44896.0</v>
      </c>
      <c r="T641" s="16" t="b">
        <v>1</v>
      </c>
    </row>
    <row r="642" hidden="1">
      <c r="A642" s="4" t="s">
        <v>123</v>
      </c>
      <c r="B642" s="5">
        <f>4500*1.296502</f>
        <v>5834.259</v>
      </c>
      <c r="C642" s="4" t="s">
        <v>18</v>
      </c>
      <c r="D642" s="6" t="s">
        <v>721</v>
      </c>
      <c r="E642" s="7">
        <v>44895.0</v>
      </c>
      <c r="F642" s="34">
        <f>166.8*1.296502</f>
        <v>216.2565336</v>
      </c>
      <c r="G642" s="8">
        <v>2022.11</v>
      </c>
      <c r="H642" s="9" t="s">
        <v>51</v>
      </c>
      <c r="I642" s="9" t="s">
        <v>52</v>
      </c>
      <c r="J642" s="9" t="s">
        <v>722</v>
      </c>
      <c r="K642" s="4" t="s">
        <v>9</v>
      </c>
      <c r="L642" s="10">
        <v>30.0</v>
      </c>
      <c r="M642" s="54">
        <v>0.2</v>
      </c>
      <c r="N642" s="12">
        <v>1123.6004932800001</v>
      </c>
      <c r="O642" s="12">
        <v>4494.401973120001</v>
      </c>
      <c r="P642" s="37">
        <f t="shared" si="15"/>
        <v>44925</v>
      </c>
      <c r="Q642" s="12">
        <v>4500.0</v>
      </c>
      <c r="R642" s="14"/>
      <c r="S642" s="15">
        <v>44896.0</v>
      </c>
      <c r="T642" s="4" t="b">
        <v>1</v>
      </c>
    </row>
    <row r="643" hidden="1">
      <c r="A643" s="16" t="s">
        <v>115</v>
      </c>
      <c r="B643" s="17">
        <f t="shared" ref="B643:B644" si="19">2000*1.321925</f>
        <v>2643.85</v>
      </c>
      <c r="C643" s="16" t="s">
        <v>18</v>
      </c>
      <c r="D643" s="18" t="s">
        <v>723</v>
      </c>
      <c r="E643" s="19">
        <v>44895.0</v>
      </c>
      <c r="F643" s="17">
        <v>0.0</v>
      </c>
      <c r="G643" s="20">
        <v>2022.11</v>
      </c>
      <c r="H643" s="21" t="s">
        <v>51</v>
      </c>
      <c r="I643" s="21" t="s">
        <v>52</v>
      </c>
      <c r="J643" s="21" t="s">
        <v>117</v>
      </c>
      <c r="K643" s="16" t="s">
        <v>9</v>
      </c>
      <c r="L643" s="22">
        <v>30.0</v>
      </c>
      <c r="M643" s="55">
        <v>0.0</v>
      </c>
      <c r="N643" s="23">
        <v>0.0</v>
      </c>
      <c r="O643" s="23">
        <v>2643.85</v>
      </c>
      <c r="P643" s="48">
        <f t="shared" si="15"/>
        <v>44925</v>
      </c>
      <c r="Q643" s="23">
        <v>2000.0</v>
      </c>
      <c r="R643" s="25"/>
      <c r="S643" s="26">
        <v>44896.0</v>
      </c>
      <c r="T643" s="16" t="b">
        <v>1</v>
      </c>
    </row>
    <row r="644" hidden="1">
      <c r="A644" s="4" t="s">
        <v>118</v>
      </c>
      <c r="B644" s="5">
        <f t="shared" si="19"/>
        <v>2643.85</v>
      </c>
      <c r="C644" s="4" t="s">
        <v>18</v>
      </c>
      <c r="D644" s="6" t="s">
        <v>724</v>
      </c>
      <c r="E644" s="7">
        <v>44895.0</v>
      </c>
      <c r="F644" s="5">
        <v>0.0</v>
      </c>
      <c r="G644" s="8">
        <v>2022.11</v>
      </c>
      <c r="H644" s="9" t="s">
        <v>51</v>
      </c>
      <c r="I644" s="9" t="s">
        <v>52</v>
      </c>
      <c r="J644" s="9" t="s">
        <v>117</v>
      </c>
      <c r="K644" s="4" t="s">
        <v>9</v>
      </c>
      <c r="L644" s="10">
        <v>30.0</v>
      </c>
      <c r="M644" s="54">
        <v>0.0</v>
      </c>
      <c r="N644" s="12">
        <v>0.0</v>
      </c>
      <c r="O644" s="12">
        <v>2643.85</v>
      </c>
      <c r="P644" s="37">
        <f t="shared" si="15"/>
        <v>44925</v>
      </c>
      <c r="Q644" s="12">
        <v>2000.0</v>
      </c>
      <c r="R644" s="14"/>
      <c r="S644" s="15">
        <v>44896.0</v>
      </c>
      <c r="T644" s="4" t="b">
        <v>1</v>
      </c>
    </row>
    <row r="645" hidden="1">
      <c r="A645" s="16" t="s">
        <v>73</v>
      </c>
      <c r="B645" s="17">
        <v>700.0</v>
      </c>
      <c r="C645" s="16" t="s">
        <v>18</v>
      </c>
      <c r="D645" s="18">
        <v>5393.0</v>
      </c>
      <c r="E645" s="19">
        <v>44895.0</v>
      </c>
      <c r="F645" s="17">
        <v>0.0</v>
      </c>
      <c r="G645" s="20">
        <v>2022.11</v>
      </c>
      <c r="H645" s="21" t="s">
        <v>51</v>
      </c>
      <c r="I645" s="21" t="s">
        <v>52</v>
      </c>
      <c r="J645" s="21" t="s">
        <v>74</v>
      </c>
      <c r="K645" s="16" t="s">
        <v>21</v>
      </c>
      <c r="L645" s="22">
        <v>30.0</v>
      </c>
      <c r="M645" s="55">
        <v>0.0</v>
      </c>
      <c r="N645" s="23">
        <v>0.0</v>
      </c>
      <c r="O645" s="23">
        <v>700.0</v>
      </c>
      <c r="P645" s="48">
        <f t="shared" si="15"/>
        <v>44925</v>
      </c>
      <c r="Q645" s="23">
        <v>700.0</v>
      </c>
      <c r="R645" s="25"/>
      <c r="S645" s="26">
        <v>44896.0</v>
      </c>
      <c r="T645" s="16" t="b">
        <v>1</v>
      </c>
    </row>
    <row r="646" hidden="1">
      <c r="A646" s="4" t="s">
        <v>499</v>
      </c>
      <c r="B646" s="5">
        <v>1450.0</v>
      </c>
      <c r="C646" s="4" t="s">
        <v>18</v>
      </c>
      <c r="D646" s="6">
        <v>5394.0</v>
      </c>
      <c r="E646" s="7">
        <v>44895.0</v>
      </c>
      <c r="F646" s="5">
        <v>48.55</v>
      </c>
      <c r="G646" s="8">
        <v>2022.11</v>
      </c>
      <c r="H646" s="9" t="s">
        <v>51</v>
      </c>
      <c r="I646" s="9" t="s">
        <v>52</v>
      </c>
      <c r="J646" s="9" t="s">
        <v>500</v>
      </c>
      <c r="K646" s="4" t="s">
        <v>21</v>
      </c>
      <c r="L646" s="10">
        <v>30.0</v>
      </c>
      <c r="M646" s="54">
        <v>0.0</v>
      </c>
      <c r="N646" s="12">
        <v>0.0</v>
      </c>
      <c r="O646" s="12">
        <v>1401.45</v>
      </c>
      <c r="P646" s="37">
        <f t="shared" si="15"/>
        <v>44925</v>
      </c>
      <c r="Q646" s="12">
        <v>1450.0</v>
      </c>
      <c r="R646" s="14"/>
      <c r="S646" s="15">
        <v>44896.0</v>
      </c>
      <c r="T646" s="4" t="b">
        <v>1</v>
      </c>
    </row>
    <row r="647" hidden="1">
      <c r="A647" s="16" t="s">
        <v>725</v>
      </c>
      <c r="B647" s="17">
        <v>240.0</v>
      </c>
      <c r="C647" s="16" t="s">
        <v>18</v>
      </c>
      <c r="D647" s="18">
        <v>5391.0</v>
      </c>
      <c r="E647" s="19">
        <v>44895.0</v>
      </c>
      <c r="F647" s="17">
        <v>7.47</v>
      </c>
      <c r="G647" s="20">
        <v>2022.0</v>
      </c>
      <c r="H647" s="21" t="s">
        <v>726</v>
      </c>
      <c r="I647" s="21" t="s">
        <v>727</v>
      </c>
      <c r="J647" s="21" t="s">
        <v>728</v>
      </c>
      <c r="K647" s="16" t="s">
        <v>21</v>
      </c>
      <c r="L647" s="22">
        <v>30.0</v>
      </c>
      <c r="M647" s="55">
        <v>0.0</v>
      </c>
      <c r="N647" s="23">
        <v>0.0</v>
      </c>
      <c r="O647" s="23">
        <v>232.53</v>
      </c>
      <c r="P647" s="48">
        <f t="shared" si="15"/>
        <v>44925</v>
      </c>
      <c r="Q647" s="23">
        <v>240.0</v>
      </c>
      <c r="R647" s="25"/>
      <c r="S647" s="26">
        <v>44896.0</v>
      </c>
      <c r="T647" s="16" t="b">
        <v>1</v>
      </c>
    </row>
    <row r="648" hidden="1">
      <c r="A648" s="4" t="s">
        <v>729</v>
      </c>
      <c r="B648" s="5">
        <f>360*1.294853</f>
        <v>466.14708</v>
      </c>
      <c r="C648" s="4" t="s">
        <v>18</v>
      </c>
      <c r="D648" s="6" t="s">
        <v>730</v>
      </c>
      <c r="E648" s="7">
        <v>44895.0</v>
      </c>
      <c r="F648" s="34">
        <f>13.62*1.294853</f>
        <v>17.63589786</v>
      </c>
      <c r="G648" s="8">
        <v>2022.0</v>
      </c>
      <c r="H648" s="9" t="s">
        <v>726</v>
      </c>
      <c r="I648" s="9" t="s">
        <v>727</v>
      </c>
      <c r="J648" s="9" t="s">
        <v>728</v>
      </c>
      <c r="K648" s="4" t="s">
        <v>9</v>
      </c>
      <c r="L648" s="10">
        <v>30.0</v>
      </c>
      <c r="M648" s="54">
        <v>0.0</v>
      </c>
      <c r="N648" s="12">
        <v>0.0</v>
      </c>
      <c r="O648" s="12">
        <v>448.51118214</v>
      </c>
      <c r="P648" s="37">
        <f t="shared" si="15"/>
        <v>44925</v>
      </c>
      <c r="Q648" s="12">
        <v>360.0</v>
      </c>
      <c r="R648" s="14"/>
      <c r="S648" s="15">
        <v>44896.0</v>
      </c>
      <c r="T648" s="4" t="b">
        <v>1</v>
      </c>
    </row>
    <row r="649" hidden="1">
      <c r="A649" s="16" t="s">
        <v>731</v>
      </c>
      <c r="B649" s="17">
        <v>599.0</v>
      </c>
      <c r="C649" s="16" t="s">
        <v>18</v>
      </c>
      <c r="D649" s="18">
        <v>5395.0</v>
      </c>
      <c r="E649" s="19">
        <v>44895.0</v>
      </c>
      <c r="F649" s="17">
        <v>18.64</v>
      </c>
      <c r="G649" s="20">
        <v>2022.0</v>
      </c>
      <c r="H649" s="21" t="s">
        <v>693</v>
      </c>
      <c r="I649" s="21" t="s">
        <v>252</v>
      </c>
      <c r="J649" s="21" t="s">
        <v>143</v>
      </c>
      <c r="K649" s="16" t="s">
        <v>21</v>
      </c>
      <c r="L649" s="22">
        <v>30.0</v>
      </c>
      <c r="M649" s="55">
        <v>0.0</v>
      </c>
      <c r="N649" s="23">
        <v>0.0</v>
      </c>
      <c r="O649" s="23">
        <v>580.36</v>
      </c>
      <c r="P649" s="48">
        <f t="shared" si="15"/>
        <v>44925</v>
      </c>
      <c r="Q649" s="23">
        <v>599.0</v>
      </c>
      <c r="R649" s="25"/>
      <c r="S649" s="26">
        <v>44896.0</v>
      </c>
      <c r="T649" s="16" t="b">
        <v>1</v>
      </c>
    </row>
    <row r="650" hidden="1">
      <c r="A650" s="4" t="s">
        <v>732</v>
      </c>
      <c r="B650" s="5">
        <f>490+600</f>
        <v>1090</v>
      </c>
      <c r="C650" s="4" t="s">
        <v>18</v>
      </c>
      <c r="D650" s="6">
        <v>5395.0</v>
      </c>
      <c r="E650" s="7">
        <v>44895.0</v>
      </c>
      <c r="F650" s="5">
        <v>33.91</v>
      </c>
      <c r="G650" s="8">
        <v>2022.0</v>
      </c>
      <c r="H650" s="9" t="s">
        <v>693</v>
      </c>
      <c r="I650" s="9" t="s">
        <v>252</v>
      </c>
      <c r="J650" s="9" t="s">
        <v>733</v>
      </c>
      <c r="K650" s="4" t="s">
        <v>21</v>
      </c>
      <c r="L650" s="10">
        <v>30.0</v>
      </c>
      <c r="M650" s="54">
        <v>0.0</v>
      </c>
      <c r="N650" s="12">
        <v>0.0</v>
      </c>
      <c r="O650" s="12">
        <v>1056.09</v>
      </c>
      <c r="P650" s="37">
        <f t="shared" si="15"/>
        <v>44925</v>
      </c>
      <c r="Q650" s="12"/>
      <c r="R650" s="14"/>
      <c r="S650" s="15">
        <v>44896.0</v>
      </c>
      <c r="T650" s="4" t="b">
        <v>1</v>
      </c>
    </row>
    <row r="651" hidden="1">
      <c r="A651" s="16" t="s">
        <v>734</v>
      </c>
      <c r="B651" s="17">
        <f>350*1.210857</f>
        <v>423.79995</v>
      </c>
      <c r="C651" s="16" t="s">
        <v>18</v>
      </c>
      <c r="D651" s="18" t="s">
        <v>735</v>
      </c>
      <c r="E651" s="19">
        <v>44925.0</v>
      </c>
      <c r="F651" s="17">
        <v>0.0</v>
      </c>
      <c r="G651" s="20">
        <v>2022.0</v>
      </c>
      <c r="H651" s="21" t="s">
        <v>693</v>
      </c>
      <c r="I651" s="21" t="s">
        <v>252</v>
      </c>
      <c r="J651" s="21" t="s">
        <v>736</v>
      </c>
      <c r="K651" s="16" t="s">
        <v>9</v>
      </c>
      <c r="L651" s="22">
        <v>15.0</v>
      </c>
      <c r="M651" s="55">
        <v>0.0</v>
      </c>
      <c r="N651" s="23">
        <v>0.0</v>
      </c>
      <c r="O651" s="23">
        <v>423.79995</v>
      </c>
      <c r="P651" s="48">
        <f t="shared" si="15"/>
        <v>44940</v>
      </c>
      <c r="Q651" s="23">
        <v>175.0</v>
      </c>
      <c r="R651" s="25"/>
      <c r="S651" s="26">
        <v>44927.0</v>
      </c>
      <c r="T651" s="16" t="b">
        <v>0</v>
      </c>
    </row>
    <row r="652" hidden="1">
      <c r="A652" s="4" t="s">
        <v>737</v>
      </c>
      <c r="B652" s="5">
        <v>687.5</v>
      </c>
      <c r="C652" s="4" t="s">
        <v>18</v>
      </c>
      <c r="D652" s="6">
        <v>5398.0</v>
      </c>
      <c r="E652" s="7">
        <v>44896.0</v>
      </c>
      <c r="F652" s="5">
        <v>0.0</v>
      </c>
      <c r="G652" s="8">
        <v>2022.0</v>
      </c>
      <c r="H652" s="9" t="s">
        <v>687</v>
      </c>
      <c r="I652" s="9" t="s">
        <v>252</v>
      </c>
      <c r="J652" s="9" t="s">
        <v>738</v>
      </c>
      <c r="K652" s="4" t="s">
        <v>21</v>
      </c>
      <c r="L652" s="10">
        <v>15.0</v>
      </c>
      <c r="M652" s="54">
        <v>0.0</v>
      </c>
      <c r="N652" s="12">
        <v>0.0</v>
      </c>
      <c r="O652" s="12">
        <v>687.5</v>
      </c>
      <c r="P652" s="37">
        <f t="shared" si="15"/>
        <v>44911</v>
      </c>
      <c r="Q652" s="12">
        <v>1375.0</v>
      </c>
      <c r="R652" s="14"/>
      <c r="S652" s="15">
        <v>44927.0</v>
      </c>
      <c r="T652" s="4" t="b">
        <v>0</v>
      </c>
    </row>
    <row r="653" hidden="1">
      <c r="A653" s="16" t="s">
        <v>737</v>
      </c>
      <c r="B653" s="17">
        <v>687.5</v>
      </c>
      <c r="C653" s="16" t="s">
        <v>18</v>
      </c>
      <c r="D653" s="18">
        <v>5427.0</v>
      </c>
      <c r="E653" s="19">
        <v>44939.0</v>
      </c>
      <c r="F653" s="17">
        <v>21.39</v>
      </c>
      <c r="G653" s="20">
        <v>2023.0</v>
      </c>
      <c r="H653" s="21" t="s">
        <v>687</v>
      </c>
      <c r="I653" s="21" t="s">
        <v>252</v>
      </c>
      <c r="J653" s="21" t="s">
        <v>739</v>
      </c>
      <c r="K653" s="16" t="s">
        <v>21</v>
      </c>
      <c r="L653" s="22">
        <v>15.0</v>
      </c>
      <c r="M653" s="55">
        <v>0.0</v>
      </c>
      <c r="N653" s="23">
        <v>0.0</v>
      </c>
      <c r="O653" s="23">
        <v>666.11</v>
      </c>
      <c r="P653" s="48">
        <f t="shared" si="15"/>
        <v>44954</v>
      </c>
      <c r="Q653" s="23">
        <v>1375.0</v>
      </c>
      <c r="R653" s="25"/>
      <c r="S653" s="26">
        <v>44927.0</v>
      </c>
      <c r="T653" s="16" t="b">
        <v>0</v>
      </c>
    </row>
    <row r="654" hidden="1">
      <c r="A654" s="4" t="s">
        <v>740</v>
      </c>
      <c r="B654" s="5">
        <f>1966.66*1.320752</f>
        <v>2597.470128</v>
      </c>
      <c r="C654" s="4" t="s">
        <v>18</v>
      </c>
      <c r="D654" s="6" t="s">
        <v>741</v>
      </c>
      <c r="E654" s="7">
        <v>44897.0</v>
      </c>
      <c r="F654" s="34">
        <f>73.07*1.320752</f>
        <v>96.50734864</v>
      </c>
      <c r="G654" s="8">
        <v>2022.0</v>
      </c>
      <c r="H654" s="9" t="s">
        <v>693</v>
      </c>
      <c r="I654" s="9" t="s">
        <v>688</v>
      </c>
      <c r="J654" s="9" t="s">
        <v>742</v>
      </c>
      <c r="K654" s="4" t="s">
        <v>9</v>
      </c>
      <c r="L654" s="10">
        <v>15.0</v>
      </c>
      <c r="M654" s="81">
        <v>0.11864</v>
      </c>
      <c r="N654" s="12">
        <v>296.7142241812352</v>
      </c>
      <c r="O654" s="12">
        <v>2204.2485554987647</v>
      </c>
      <c r="P654" s="37">
        <f t="shared" si="15"/>
        <v>44912</v>
      </c>
      <c r="Q654" s="12">
        <v>5900.0</v>
      </c>
      <c r="R654" s="14"/>
      <c r="S654" s="15">
        <v>44927.0</v>
      </c>
      <c r="T654" s="4" t="b">
        <v>0</v>
      </c>
    </row>
    <row r="655" hidden="1">
      <c r="A655" s="16" t="s">
        <v>740</v>
      </c>
      <c r="B655" s="17">
        <f>1966.66*1.298733</f>
        <v>2554.166242</v>
      </c>
      <c r="C655" s="16" t="s">
        <v>18</v>
      </c>
      <c r="D655" s="18" t="s">
        <v>743</v>
      </c>
      <c r="E655" s="19">
        <v>44957.0</v>
      </c>
      <c r="F655" s="35">
        <f>73.07*1.298733</f>
        <v>94.89842031</v>
      </c>
      <c r="G655" s="20">
        <v>2023.0</v>
      </c>
      <c r="H655" s="21" t="s">
        <v>693</v>
      </c>
      <c r="I655" s="21" t="s">
        <v>688</v>
      </c>
      <c r="J655" s="21" t="s">
        <v>744</v>
      </c>
      <c r="K655" s="16" t="s">
        <v>9</v>
      </c>
      <c r="L655" s="22">
        <v>15.0</v>
      </c>
      <c r="M655" s="81">
        <v>0.11864</v>
      </c>
      <c r="N655" s="23">
        <v>291.7675343392008</v>
      </c>
      <c r="O655" s="23">
        <v>2167.5002871307993</v>
      </c>
      <c r="P655" s="48">
        <f t="shared" si="15"/>
        <v>44972</v>
      </c>
      <c r="Q655" s="23">
        <v>5900.0</v>
      </c>
      <c r="R655" s="25"/>
      <c r="S655" s="26">
        <v>44927.0</v>
      </c>
      <c r="T655" s="16" t="b">
        <v>0</v>
      </c>
    </row>
    <row r="656" hidden="1">
      <c r="A656" s="4" t="s">
        <v>740</v>
      </c>
      <c r="B656" s="5">
        <f>1966.67*1.296017</f>
        <v>2548.837753</v>
      </c>
      <c r="C656" s="4" t="s">
        <v>18</v>
      </c>
      <c r="D656" s="6" t="s">
        <v>745</v>
      </c>
      <c r="E656" s="7">
        <v>45000.0</v>
      </c>
      <c r="F656" s="34">
        <f>(1966.67*0.0371349597404158)*1.296017</f>
        <v>94.65098736</v>
      </c>
      <c r="G656" s="8">
        <v>2023.0</v>
      </c>
      <c r="H656" s="9" t="s">
        <v>693</v>
      </c>
      <c r="I656" s="9" t="s">
        <v>688</v>
      </c>
      <c r="J656" s="9" t="s">
        <v>746</v>
      </c>
      <c r="K656" s="4" t="s">
        <v>9</v>
      </c>
      <c r="L656" s="10">
        <v>15.0</v>
      </c>
      <c r="M656" s="81">
        <v>0.11864</v>
      </c>
      <c r="N656" s="12">
        <v>291.1647179221564</v>
      </c>
      <c r="O656" s="12">
        <v>2163.0220481108545</v>
      </c>
      <c r="P656" s="37">
        <f t="shared" si="15"/>
        <v>45015</v>
      </c>
      <c r="Q656" s="12">
        <v>5900.0</v>
      </c>
      <c r="R656" s="14"/>
      <c r="S656" s="15">
        <v>45047.0</v>
      </c>
      <c r="T656" s="4" t="b">
        <v>0</v>
      </c>
    </row>
    <row r="657" hidden="1">
      <c r="A657" s="16" t="s">
        <v>747</v>
      </c>
      <c r="B657" s="17">
        <f>760*1.33559</f>
        <v>1015.0484</v>
      </c>
      <c r="C657" s="16" t="s">
        <v>18</v>
      </c>
      <c r="D657" s="18" t="s">
        <v>748</v>
      </c>
      <c r="E657" s="19">
        <v>44910.0</v>
      </c>
      <c r="F657" s="17">
        <v>29.43</v>
      </c>
      <c r="G657" s="20">
        <v>2022.0</v>
      </c>
      <c r="H657" s="21" t="s">
        <v>693</v>
      </c>
      <c r="I657" s="21" t="s">
        <v>252</v>
      </c>
      <c r="J657" s="21" t="s">
        <v>749</v>
      </c>
      <c r="K657" s="16" t="s">
        <v>9</v>
      </c>
      <c r="L657" s="22">
        <v>30.0</v>
      </c>
      <c r="M657" s="55">
        <v>0.0</v>
      </c>
      <c r="N657" s="23">
        <v>0.0</v>
      </c>
      <c r="O657" s="23">
        <v>985.6184000000001</v>
      </c>
      <c r="P657" s="48">
        <f t="shared" si="15"/>
        <v>44940</v>
      </c>
      <c r="Q657" s="23"/>
      <c r="R657" s="25"/>
      <c r="S657" s="26">
        <v>44927.0</v>
      </c>
      <c r="T657" s="16" t="b">
        <v>0</v>
      </c>
    </row>
    <row r="658" hidden="1">
      <c r="A658" s="4" t="s">
        <v>120</v>
      </c>
      <c r="B658" s="5">
        <f t="shared" ref="B658:B660" si="20">1500*1.313089</f>
        <v>1969.6335</v>
      </c>
      <c r="C658" s="4" t="s">
        <v>18</v>
      </c>
      <c r="D658" s="6" t="s">
        <v>750</v>
      </c>
      <c r="E658" s="7">
        <v>44902.0</v>
      </c>
      <c r="F658" s="5">
        <f t="shared" ref="F658:F660" si="21">55.59*1.313089</f>
        <v>72.99461751</v>
      </c>
      <c r="G658" s="8">
        <v>2022.12</v>
      </c>
      <c r="H658" s="9" t="s">
        <v>51</v>
      </c>
      <c r="I658" s="9" t="s">
        <v>52</v>
      </c>
      <c r="J658" s="9" t="s">
        <v>751</v>
      </c>
      <c r="K658" s="4" t="s">
        <v>9</v>
      </c>
      <c r="L658" s="10">
        <v>30.0</v>
      </c>
      <c r="M658" s="54">
        <v>0.2</v>
      </c>
      <c r="N658" s="12">
        <v>379.32777649800005</v>
      </c>
      <c r="O658" s="12">
        <v>1517.311105992</v>
      </c>
      <c r="P658" s="37">
        <f t="shared" si="15"/>
        <v>44932</v>
      </c>
      <c r="Q658" s="12">
        <v>1500.0</v>
      </c>
      <c r="R658" s="14"/>
      <c r="S658" s="15">
        <v>44927.0</v>
      </c>
      <c r="T658" s="4" t="b">
        <v>0</v>
      </c>
    </row>
    <row r="659" hidden="1">
      <c r="A659" s="16" t="s">
        <v>120</v>
      </c>
      <c r="B659" s="17">
        <f t="shared" si="20"/>
        <v>1969.6335</v>
      </c>
      <c r="C659" s="16" t="s">
        <v>18</v>
      </c>
      <c r="D659" s="18" t="s">
        <v>750</v>
      </c>
      <c r="E659" s="19">
        <v>44902.0</v>
      </c>
      <c r="F659" s="17">
        <f t="shared" si="21"/>
        <v>72.99461751</v>
      </c>
      <c r="G659" s="20">
        <v>2022.12</v>
      </c>
      <c r="H659" s="21" t="s">
        <v>51</v>
      </c>
      <c r="I659" s="21" t="s">
        <v>52</v>
      </c>
      <c r="J659" s="21" t="s">
        <v>752</v>
      </c>
      <c r="K659" s="16" t="s">
        <v>9</v>
      </c>
      <c r="L659" s="22">
        <v>30.0</v>
      </c>
      <c r="M659" s="55">
        <v>0.2</v>
      </c>
      <c r="N659" s="23">
        <v>379.32777649800005</v>
      </c>
      <c r="O659" s="23">
        <v>1517.311105992</v>
      </c>
      <c r="P659" s="48">
        <f t="shared" si="15"/>
        <v>44932</v>
      </c>
      <c r="Q659" s="23">
        <v>1500.0</v>
      </c>
      <c r="R659" s="25"/>
      <c r="S659" s="26">
        <v>44927.0</v>
      </c>
      <c r="T659" s="16" t="b">
        <v>0</v>
      </c>
    </row>
    <row r="660" hidden="1">
      <c r="A660" s="4" t="s">
        <v>120</v>
      </c>
      <c r="B660" s="5">
        <f t="shared" si="20"/>
        <v>1969.6335</v>
      </c>
      <c r="C660" s="4" t="s">
        <v>18</v>
      </c>
      <c r="D660" s="6" t="s">
        <v>750</v>
      </c>
      <c r="E660" s="7">
        <v>44902.0</v>
      </c>
      <c r="F660" s="5">
        <f t="shared" si="21"/>
        <v>72.99461751</v>
      </c>
      <c r="G660" s="8">
        <v>2022.12</v>
      </c>
      <c r="H660" s="9" t="s">
        <v>51</v>
      </c>
      <c r="I660" s="9" t="s">
        <v>52</v>
      </c>
      <c r="J660" s="9" t="s">
        <v>753</v>
      </c>
      <c r="K660" s="4" t="s">
        <v>9</v>
      </c>
      <c r="L660" s="10">
        <v>30.0</v>
      </c>
      <c r="M660" s="54">
        <v>0.2</v>
      </c>
      <c r="N660" s="12">
        <v>379.32777649800005</v>
      </c>
      <c r="O660" s="12">
        <v>1517.311105992</v>
      </c>
      <c r="P660" s="37">
        <f t="shared" si="15"/>
        <v>44932</v>
      </c>
      <c r="Q660" s="12">
        <v>1500.0</v>
      </c>
      <c r="R660" s="14"/>
      <c r="S660" s="15">
        <v>44927.0</v>
      </c>
      <c r="T660" s="4" t="b">
        <v>0</v>
      </c>
    </row>
    <row r="661" hidden="1">
      <c r="A661" s="16" t="s">
        <v>754</v>
      </c>
      <c r="B661" s="17">
        <f>300*1.313089</f>
        <v>393.9267</v>
      </c>
      <c r="C661" s="16" t="s">
        <v>18</v>
      </c>
      <c r="D661" s="18" t="s">
        <v>750</v>
      </c>
      <c r="E661" s="19">
        <v>44902.0</v>
      </c>
      <c r="F661" s="17">
        <f>11.13*1.313089</f>
        <v>14.61468057</v>
      </c>
      <c r="G661" s="20">
        <v>2022.0</v>
      </c>
      <c r="H661" s="21" t="s">
        <v>693</v>
      </c>
      <c r="I661" s="21" t="s">
        <v>727</v>
      </c>
      <c r="J661" s="21" t="s">
        <v>728</v>
      </c>
      <c r="K661" s="16" t="s">
        <v>9</v>
      </c>
      <c r="L661" s="22">
        <v>30.0</v>
      </c>
      <c r="M661" s="55">
        <v>0.0</v>
      </c>
      <c r="N661" s="23">
        <v>0.0</v>
      </c>
      <c r="O661" s="23">
        <v>379.31201942999996</v>
      </c>
      <c r="P661" s="48">
        <f t="shared" si="15"/>
        <v>44932</v>
      </c>
      <c r="Q661" s="23">
        <v>300.0</v>
      </c>
      <c r="R661" s="25"/>
      <c r="S661" s="26">
        <v>44927.0</v>
      </c>
      <c r="T661" s="16" t="b">
        <v>0</v>
      </c>
    </row>
    <row r="662" hidden="1">
      <c r="A662" s="4" t="s">
        <v>755</v>
      </c>
      <c r="B662" s="5">
        <f>300*1.30271</f>
        <v>390.813</v>
      </c>
      <c r="C662" s="4" t="s">
        <v>18</v>
      </c>
      <c r="D662" s="6" t="s">
        <v>756</v>
      </c>
      <c r="E662" s="7">
        <v>44910.0</v>
      </c>
      <c r="F662" s="5">
        <v>11.38</v>
      </c>
      <c r="G662" s="8">
        <v>2022.0</v>
      </c>
      <c r="H662" s="9" t="s">
        <v>693</v>
      </c>
      <c r="I662" s="9" t="s">
        <v>727</v>
      </c>
      <c r="J662" s="9" t="s">
        <v>728</v>
      </c>
      <c r="K662" s="4" t="s">
        <v>9</v>
      </c>
      <c r="L662" s="10">
        <v>30.0</v>
      </c>
      <c r="M662" s="54">
        <v>0.0</v>
      </c>
      <c r="N662" s="12">
        <v>0.0</v>
      </c>
      <c r="O662" s="12">
        <v>379.433</v>
      </c>
      <c r="P662" s="37">
        <f t="shared" si="15"/>
        <v>44940</v>
      </c>
      <c r="Q662" s="12">
        <v>300.0</v>
      </c>
      <c r="R662" s="14"/>
      <c r="S662" s="15">
        <v>44927.0</v>
      </c>
      <c r="T662" s="4" t="b">
        <v>0</v>
      </c>
    </row>
    <row r="663" hidden="1">
      <c r="A663" s="16" t="s">
        <v>757</v>
      </c>
      <c r="B663" s="17">
        <v>420.0</v>
      </c>
      <c r="C663" s="16" t="s">
        <v>18</v>
      </c>
      <c r="D663" s="18">
        <v>5412.0</v>
      </c>
      <c r="E663" s="19">
        <v>44925.0</v>
      </c>
      <c r="F663" s="17">
        <v>13.07</v>
      </c>
      <c r="G663" s="20">
        <v>2022.0</v>
      </c>
      <c r="H663" s="21" t="s">
        <v>693</v>
      </c>
      <c r="I663" s="21" t="s">
        <v>727</v>
      </c>
      <c r="J663" s="21" t="s">
        <v>728</v>
      </c>
      <c r="K663" s="16" t="s">
        <v>21</v>
      </c>
      <c r="L663" s="22">
        <v>30.0</v>
      </c>
      <c r="M663" s="55">
        <v>0.0</v>
      </c>
      <c r="N663" s="23">
        <v>0.0</v>
      </c>
      <c r="O663" s="23">
        <v>406.93</v>
      </c>
      <c r="P663" s="48">
        <f t="shared" si="15"/>
        <v>44955</v>
      </c>
      <c r="Q663" s="23">
        <v>420.0</v>
      </c>
      <c r="R663" s="25"/>
      <c r="S663" s="26">
        <v>45047.0</v>
      </c>
      <c r="T663" s="16" t="b">
        <v>0</v>
      </c>
    </row>
    <row r="664" hidden="1">
      <c r="A664" s="4" t="s">
        <v>99</v>
      </c>
      <c r="B664" s="5">
        <f>1300*1.320752</f>
        <v>1716.9776</v>
      </c>
      <c r="C664" s="4" t="s">
        <v>18</v>
      </c>
      <c r="D664" s="6" t="s">
        <v>758</v>
      </c>
      <c r="E664" s="7">
        <v>44910.0</v>
      </c>
      <c r="F664" s="34">
        <f>48.4*1.320752</f>
        <v>63.9243968</v>
      </c>
      <c r="G664" s="8">
        <v>2022.12</v>
      </c>
      <c r="H664" s="9" t="s">
        <v>27</v>
      </c>
      <c r="I664" s="9" t="s">
        <v>52</v>
      </c>
      <c r="J664" s="9" t="s">
        <v>101</v>
      </c>
      <c r="K664" s="4" t="s">
        <v>9</v>
      </c>
      <c r="L664" s="10">
        <v>30.0</v>
      </c>
      <c r="M664" s="54">
        <v>0.2</v>
      </c>
      <c r="N664" s="12">
        <v>330.61064064</v>
      </c>
      <c r="O664" s="12">
        <v>1322.44256256</v>
      </c>
      <c r="P664" s="37">
        <f t="shared" si="15"/>
        <v>44940</v>
      </c>
      <c r="Q664" s="12">
        <v>1300.0</v>
      </c>
      <c r="R664" s="14"/>
      <c r="S664" s="15">
        <v>44927.0</v>
      </c>
      <c r="T664" s="4" t="b">
        <v>0</v>
      </c>
    </row>
    <row r="665" hidden="1">
      <c r="A665" s="16" t="s">
        <v>225</v>
      </c>
      <c r="B665" s="17">
        <v>5000.0</v>
      </c>
      <c r="C665" s="16" t="s">
        <v>18</v>
      </c>
      <c r="D665" s="18">
        <v>5402.0</v>
      </c>
      <c r="E665" s="19">
        <v>44910.0</v>
      </c>
      <c r="F665" s="17">
        <v>0.0</v>
      </c>
      <c r="G665" s="20">
        <v>2022.12</v>
      </c>
      <c r="H665" s="21" t="s">
        <v>27</v>
      </c>
      <c r="I665" s="21" t="s">
        <v>52</v>
      </c>
      <c r="J665" s="21" t="s">
        <v>759</v>
      </c>
      <c r="K665" s="16" t="s">
        <v>21</v>
      </c>
      <c r="L665" s="22">
        <v>30.0</v>
      </c>
      <c r="M665" s="55">
        <v>0.0</v>
      </c>
      <c r="N665" s="23">
        <v>0.0</v>
      </c>
      <c r="O665" s="23">
        <v>5000.0</v>
      </c>
      <c r="P665" s="48">
        <f t="shared" si="15"/>
        <v>44940</v>
      </c>
      <c r="Q665" s="23">
        <v>5000.0</v>
      </c>
      <c r="R665" s="25"/>
      <c r="S665" s="26">
        <v>44927.0</v>
      </c>
      <c r="T665" s="16" t="b">
        <v>0</v>
      </c>
    </row>
    <row r="666" hidden="1">
      <c r="A666" s="4" t="s">
        <v>102</v>
      </c>
      <c r="B666" s="5">
        <f>350*1.30271</f>
        <v>455.9485</v>
      </c>
      <c r="C666" s="4" t="s">
        <v>18</v>
      </c>
      <c r="D666" s="6" t="s">
        <v>756</v>
      </c>
      <c r="E666" s="7">
        <v>44910.0</v>
      </c>
      <c r="F666" s="5">
        <f>13.27*1.30271</f>
        <v>17.2869617</v>
      </c>
      <c r="G666" s="8">
        <v>2022.12</v>
      </c>
      <c r="H666" s="9" t="s">
        <v>27</v>
      </c>
      <c r="I666" s="9" t="s">
        <v>52</v>
      </c>
      <c r="J666" s="9" t="s">
        <v>104</v>
      </c>
      <c r="K666" s="4" t="s">
        <v>9</v>
      </c>
      <c r="L666" s="10">
        <v>30.0</v>
      </c>
      <c r="M666" s="54">
        <v>0.0</v>
      </c>
      <c r="N666" s="12">
        <v>0.0</v>
      </c>
      <c r="O666" s="12">
        <v>438.6615383</v>
      </c>
      <c r="P666" s="37">
        <f t="shared" si="15"/>
        <v>44940</v>
      </c>
      <c r="Q666" s="12">
        <v>350.0</v>
      </c>
      <c r="R666" s="14"/>
      <c r="S666" s="15">
        <v>44927.0</v>
      </c>
      <c r="T666" s="4" t="b">
        <v>0</v>
      </c>
    </row>
    <row r="667" hidden="1">
      <c r="A667" s="16" t="s">
        <v>62</v>
      </c>
      <c r="B667" s="17">
        <v>1600.0</v>
      </c>
      <c r="C667" s="16" t="s">
        <v>18</v>
      </c>
      <c r="D667" s="18">
        <v>5403.0</v>
      </c>
      <c r="E667" s="19">
        <v>44910.0</v>
      </c>
      <c r="F667" s="17">
        <v>49.78</v>
      </c>
      <c r="G667" s="20">
        <v>2022.12</v>
      </c>
      <c r="H667" s="21" t="s">
        <v>27</v>
      </c>
      <c r="I667" s="21" t="s">
        <v>52</v>
      </c>
      <c r="J667" s="21" t="s">
        <v>63</v>
      </c>
      <c r="K667" s="16" t="s">
        <v>21</v>
      </c>
      <c r="L667" s="22">
        <v>30.0</v>
      </c>
      <c r="M667" s="55">
        <v>0.0</v>
      </c>
      <c r="N667" s="23">
        <v>0.0</v>
      </c>
      <c r="O667" s="23">
        <v>1550.22</v>
      </c>
      <c r="P667" s="48">
        <f t="shared" si="15"/>
        <v>44940</v>
      </c>
      <c r="Q667" s="23">
        <v>1600.0</v>
      </c>
      <c r="R667" s="25"/>
      <c r="S667" s="26">
        <v>44927.0</v>
      </c>
      <c r="T667" s="16" t="b">
        <v>0</v>
      </c>
    </row>
    <row r="668" hidden="1">
      <c r="A668" s="4" t="s">
        <v>66</v>
      </c>
      <c r="B668" s="5">
        <v>900.0</v>
      </c>
      <c r="C668" s="4" t="s">
        <v>18</v>
      </c>
      <c r="D668" s="6">
        <v>5404.0</v>
      </c>
      <c r="E668" s="7">
        <v>44910.0</v>
      </c>
      <c r="F668" s="5">
        <v>0.0</v>
      </c>
      <c r="G668" s="8">
        <v>2022.12</v>
      </c>
      <c r="H668" s="9" t="s">
        <v>27</v>
      </c>
      <c r="I668" s="9" t="s">
        <v>52</v>
      </c>
      <c r="J668" s="9" t="s">
        <v>294</v>
      </c>
      <c r="K668" s="4" t="s">
        <v>21</v>
      </c>
      <c r="L668" s="10">
        <v>30.0</v>
      </c>
      <c r="M668" s="54">
        <v>0.0</v>
      </c>
      <c r="N668" s="12">
        <v>0.0</v>
      </c>
      <c r="O668" s="12">
        <v>900.0</v>
      </c>
      <c r="P668" s="37">
        <f t="shared" si="15"/>
        <v>44940</v>
      </c>
      <c r="Q668" s="12">
        <v>900.0</v>
      </c>
      <c r="R668" s="14"/>
      <c r="S668" s="15">
        <v>44927.0</v>
      </c>
      <c r="T668" s="4" t="b">
        <v>0</v>
      </c>
    </row>
    <row r="669" hidden="1">
      <c r="A669" s="16" t="s">
        <v>467</v>
      </c>
      <c r="B669" s="17">
        <f>280*1.294271</f>
        <v>362.39588</v>
      </c>
      <c r="C669" s="16" t="s">
        <v>18</v>
      </c>
      <c r="D669" s="18" t="s">
        <v>760</v>
      </c>
      <c r="E669" s="19">
        <v>44910.0</v>
      </c>
      <c r="F669" s="35">
        <f>10.66*1.294271</f>
        <v>13.79692886</v>
      </c>
      <c r="G669" s="20">
        <v>2022.12</v>
      </c>
      <c r="H669" s="21" t="s">
        <v>27</v>
      </c>
      <c r="I669" s="21" t="s">
        <v>52</v>
      </c>
      <c r="J669" s="21" t="s">
        <v>469</v>
      </c>
      <c r="K669" s="16" t="s">
        <v>9</v>
      </c>
      <c r="L669" s="22">
        <v>0.0</v>
      </c>
      <c r="M669" s="55">
        <v>0.2</v>
      </c>
      <c r="N669" s="23">
        <v>69.71979022800001</v>
      </c>
      <c r="O669" s="23">
        <v>278.879160912</v>
      </c>
      <c r="P669" s="48">
        <f t="shared" si="15"/>
        <v>44910</v>
      </c>
      <c r="Q669" s="23">
        <v>280.0</v>
      </c>
      <c r="R669" s="25"/>
      <c r="S669" s="26">
        <v>44927.0</v>
      </c>
      <c r="T669" s="16" t="b">
        <v>0</v>
      </c>
    </row>
    <row r="670" hidden="1">
      <c r="A670" s="4" t="s">
        <v>629</v>
      </c>
      <c r="B670" s="5">
        <f>280*1.33559</f>
        <v>373.9652</v>
      </c>
      <c r="C670" s="4" t="s">
        <v>18</v>
      </c>
      <c r="D670" s="6" t="s">
        <v>761</v>
      </c>
      <c r="E670" s="7">
        <v>44910.0</v>
      </c>
      <c r="F670" s="5">
        <v>11.15</v>
      </c>
      <c r="G670" s="8">
        <v>2022.12</v>
      </c>
      <c r="H670" s="9" t="s">
        <v>27</v>
      </c>
      <c r="I670" s="9" t="s">
        <v>52</v>
      </c>
      <c r="J670" s="9" t="s">
        <v>469</v>
      </c>
      <c r="K670" s="4" t="s">
        <v>9</v>
      </c>
      <c r="L670" s="10"/>
      <c r="M670" s="54">
        <v>0.0</v>
      </c>
      <c r="N670" s="12">
        <v>0.0</v>
      </c>
      <c r="O670" s="12">
        <v>362.81520000000006</v>
      </c>
      <c r="P670" s="37">
        <f t="shared" si="15"/>
        <v>44910</v>
      </c>
      <c r="Q670" s="12">
        <v>280.0</v>
      </c>
      <c r="R670" s="14"/>
      <c r="S670" s="15">
        <v>44927.0</v>
      </c>
      <c r="T670" s="4" t="b">
        <v>0</v>
      </c>
    </row>
    <row r="671" hidden="1">
      <c r="A671" s="16" t="s">
        <v>630</v>
      </c>
      <c r="B671" s="17">
        <v>280.0</v>
      </c>
      <c r="C671" s="16" t="s">
        <v>18</v>
      </c>
      <c r="D671" s="18">
        <v>5405.0</v>
      </c>
      <c r="E671" s="19">
        <v>44910.0</v>
      </c>
      <c r="F671" s="17">
        <v>8.71</v>
      </c>
      <c r="G671" s="20">
        <v>2022.12</v>
      </c>
      <c r="H671" s="21" t="s">
        <v>27</v>
      </c>
      <c r="I671" s="21" t="s">
        <v>52</v>
      </c>
      <c r="J671" s="21" t="s">
        <v>701</v>
      </c>
      <c r="K671" s="16" t="s">
        <v>21</v>
      </c>
      <c r="L671" s="22">
        <v>0.0</v>
      </c>
      <c r="M671" s="55">
        <v>0.0</v>
      </c>
      <c r="N671" s="23">
        <v>0.0</v>
      </c>
      <c r="O671" s="23">
        <v>271.29</v>
      </c>
      <c r="P671" s="48">
        <f t="shared" si="15"/>
        <v>44910</v>
      </c>
      <c r="Q671" s="23">
        <v>280.0</v>
      </c>
      <c r="R671" s="25"/>
      <c r="S671" s="26">
        <v>44927.0</v>
      </c>
      <c r="T671" s="16" t="b">
        <v>0</v>
      </c>
    </row>
    <row r="672" hidden="1">
      <c r="A672" s="4" t="s">
        <v>762</v>
      </c>
      <c r="B672" s="5">
        <v>500.0</v>
      </c>
      <c r="C672" s="4" t="s">
        <v>18</v>
      </c>
      <c r="D672" s="6">
        <v>5406.0</v>
      </c>
      <c r="E672" s="7">
        <v>44910.0</v>
      </c>
      <c r="F672" s="5">
        <v>15.56</v>
      </c>
      <c r="G672" s="8">
        <v>2022.12</v>
      </c>
      <c r="H672" s="9" t="s">
        <v>27</v>
      </c>
      <c r="I672" s="9" t="s">
        <v>52</v>
      </c>
      <c r="J672" s="9" t="s">
        <v>763</v>
      </c>
      <c r="K672" s="4" t="s">
        <v>21</v>
      </c>
      <c r="L672" s="10">
        <v>15.0</v>
      </c>
      <c r="M672" s="54">
        <v>0.0</v>
      </c>
      <c r="N672" s="12">
        <v>0.0</v>
      </c>
      <c r="O672" s="12">
        <v>484.44</v>
      </c>
      <c r="P672" s="37">
        <f t="shared" si="15"/>
        <v>44925</v>
      </c>
      <c r="Q672" s="12">
        <v>500.0</v>
      </c>
      <c r="R672" s="14"/>
      <c r="S672" s="15">
        <v>44927.0</v>
      </c>
      <c r="T672" s="4" t="b">
        <v>0</v>
      </c>
    </row>
    <row r="673" hidden="1">
      <c r="A673" s="16" t="s">
        <v>662</v>
      </c>
      <c r="B673" s="17">
        <v>2500.0</v>
      </c>
      <c r="C673" s="16" t="s">
        <v>18</v>
      </c>
      <c r="D673" s="18">
        <v>5407.0</v>
      </c>
      <c r="E673" s="19">
        <v>44910.0</v>
      </c>
      <c r="F673" s="17">
        <v>0.0</v>
      </c>
      <c r="G673" s="20">
        <v>2022.12</v>
      </c>
      <c r="H673" s="21" t="s">
        <v>27</v>
      </c>
      <c r="I673" s="21" t="s">
        <v>52</v>
      </c>
      <c r="J673" s="21" t="s">
        <v>764</v>
      </c>
      <c r="K673" s="16" t="s">
        <v>21</v>
      </c>
      <c r="L673" s="22">
        <v>15.0</v>
      </c>
      <c r="M673" s="55">
        <v>0.0</v>
      </c>
      <c r="N673" s="23">
        <v>0.0</v>
      </c>
      <c r="O673" s="23">
        <v>2500.0</v>
      </c>
      <c r="P673" s="48">
        <f t="shared" si="15"/>
        <v>44925</v>
      </c>
      <c r="Q673" s="23">
        <v>2500.0</v>
      </c>
      <c r="R673" s="25"/>
      <c r="S673" s="26">
        <v>44927.0</v>
      </c>
      <c r="T673" s="16" t="b">
        <v>0</v>
      </c>
    </row>
    <row r="674" hidden="1">
      <c r="A674" s="4" t="s">
        <v>765</v>
      </c>
      <c r="B674" s="5">
        <v>300.0</v>
      </c>
      <c r="C674" s="4" t="s">
        <v>18</v>
      </c>
      <c r="D674" s="6">
        <v>5413.0</v>
      </c>
      <c r="E674" s="7">
        <v>44925.0</v>
      </c>
      <c r="F674" s="5">
        <v>9.33</v>
      </c>
      <c r="G674" s="8">
        <v>2022.0</v>
      </c>
      <c r="H674" s="9" t="s">
        <v>766</v>
      </c>
      <c r="I674" s="9" t="s">
        <v>252</v>
      </c>
      <c r="J674" s="9" t="s">
        <v>767</v>
      </c>
      <c r="K674" s="4" t="s">
        <v>21</v>
      </c>
      <c r="L674" s="10">
        <v>30.0</v>
      </c>
      <c r="M674" s="54">
        <v>0.0</v>
      </c>
      <c r="N674" s="12">
        <v>0.0</v>
      </c>
      <c r="O674" s="12">
        <v>290.67</v>
      </c>
      <c r="P674" s="13"/>
      <c r="Q674" s="12">
        <v>300.0</v>
      </c>
      <c r="R674" s="14"/>
      <c r="S674" s="15">
        <v>44927.0</v>
      </c>
      <c r="T674" s="4" t="b">
        <v>0</v>
      </c>
    </row>
    <row r="675" hidden="1">
      <c r="A675" s="16" t="s">
        <v>768</v>
      </c>
      <c r="B675" s="17">
        <f>2000*1.30271</f>
        <v>2605.42</v>
      </c>
      <c r="C675" s="16" t="s">
        <v>18</v>
      </c>
      <c r="D675" s="18" t="s">
        <v>769</v>
      </c>
      <c r="E675" s="19">
        <v>44911.0</v>
      </c>
      <c r="F675" s="35">
        <f>74.3*1.30271</f>
        <v>96.791353</v>
      </c>
      <c r="G675" s="20">
        <v>2022.0</v>
      </c>
      <c r="H675" s="21" t="s">
        <v>766</v>
      </c>
      <c r="I675" s="21" t="s">
        <v>252</v>
      </c>
      <c r="J675" s="21" t="s">
        <v>770</v>
      </c>
      <c r="K675" s="16" t="s">
        <v>9</v>
      </c>
      <c r="L675" s="22">
        <v>15.0</v>
      </c>
      <c r="M675" s="55">
        <v>0.2</v>
      </c>
      <c r="N675" s="23">
        <v>501.72572940000003</v>
      </c>
      <c r="O675" s="23">
        <v>2006.9029176</v>
      </c>
      <c r="P675" s="48">
        <f t="shared" ref="P675:P697" si="22">if(E675="","", E675+L675)</f>
        <v>44926</v>
      </c>
      <c r="Q675" s="23"/>
      <c r="R675" s="25"/>
      <c r="S675" s="26">
        <v>44927.0</v>
      </c>
      <c r="T675" s="16" t="b">
        <v>0</v>
      </c>
    </row>
    <row r="676" hidden="1">
      <c r="A676" s="4" t="s">
        <v>768</v>
      </c>
      <c r="B676" s="5">
        <f>2000*1.276132</f>
        <v>2552.264</v>
      </c>
      <c r="C676" s="4" t="s">
        <v>18</v>
      </c>
      <c r="D676" s="6" t="s">
        <v>771</v>
      </c>
      <c r="E676" s="7">
        <v>45030.0</v>
      </c>
      <c r="F676" s="34">
        <f>74.3*1.276132</f>
        <v>94.8166076</v>
      </c>
      <c r="G676" s="8">
        <v>2023.0</v>
      </c>
      <c r="H676" s="9" t="s">
        <v>766</v>
      </c>
      <c r="I676" s="9" t="s">
        <v>252</v>
      </c>
      <c r="J676" s="9" t="s">
        <v>772</v>
      </c>
      <c r="K676" s="4" t="s">
        <v>9</v>
      </c>
      <c r="L676" s="10">
        <v>15.0</v>
      </c>
      <c r="M676" s="54">
        <v>0.2</v>
      </c>
      <c r="N676" s="12">
        <v>491.4894784800001</v>
      </c>
      <c r="O676" s="12">
        <v>1965.9579139200002</v>
      </c>
      <c r="P676" s="37">
        <f t="shared" si="22"/>
        <v>45045</v>
      </c>
      <c r="Q676" s="12"/>
      <c r="R676" s="14"/>
      <c r="S676" s="15">
        <v>45047.0</v>
      </c>
      <c r="T676" s="4" t="b">
        <v>0</v>
      </c>
    </row>
    <row r="677" hidden="1">
      <c r="A677" s="16" t="s">
        <v>773</v>
      </c>
      <c r="B677" s="17">
        <v>600.0</v>
      </c>
      <c r="C677" s="16" t="s">
        <v>18</v>
      </c>
      <c r="D677" s="18">
        <v>5408.0</v>
      </c>
      <c r="E677" s="19">
        <v>44925.0</v>
      </c>
      <c r="F677" s="17">
        <v>18.67</v>
      </c>
      <c r="G677" s="20">
        <v>2022.0</v>
      </c>
      <c r="H677" s="21" t="s">
        <v>766</v>
      </c>
      <c r="I677" s="21" t="s">
        <v>252</v>
      </c>
      <c r="J677" s="21" t="s">
        <v>143</v>
      </c>
      <c r="K677" s="16" t="s">
        <v>21</v>
      </c>
      <c r="L677" s="22">
        <v>30.0</v>
      </c>
      <c r="M677" s="55">
        <v>0.0</v>
      </c>
      <c r="N677" s="23">
        <v>0.0</v>
      </c>
      <c r="O677" s="23">
        <v>581.33</v>
      </c>
      <c r="P677" s="48">
        <f t="shared" si="22"/>
        <v>44955</v>
      </c>
      <c r="Q677" s="23"/>
      <c r="R677" s="25"/>
      <c r="S677" s="26">
        <v>44927.0</v>
      </c>
      <c r="T677" s="16" t="b">
        <v>0</v>
      </c>
    </row>
    <row r="678" hidden="1">
      <c r="A678" s="4" t="s">
        <v>120</v>
      </c>
      <c r="B678" s="5">
        <f>2199.5*1.296502</f>
        <v>2851.656149</v>
      </c>
      <c r="C678" s="4" t="s">
        <v>18</v>
      </c>
      <c r="D678" s="6" t="s">
        <v>774</v>
      </c>
      <c r="E678" s="7">
        <v>44925.0</v>
      </c>
      <c r="F678" s="34">
        <f>81.68*1.296502</f>
        <v>105.8982834</v>
      </c>
      <c r="G678" s="8">
        <v>2022.12</v>
      </c>
      <c r="H678" s="9" t="s">
        <v>51</v>
      </c>
      <c r="I678" s="9" t="s">
        <v>52</v>
      </c>
      <c r="J678" s="9" t="s">
        <v>775</v>
      </c>
      <c r="K678" s="4" t="s">
        <v>9</v>
      </c>
      <c r="L678" s="10">
        <v>30.0</v>
      </c>
      <c r="M678" s="54">
        <v>0.2</v>
      </c>
      <c r="N678" s="12">
        <v>549.151573128</v>
      </c>
      <c r="O678" s="12">
        <v>2196.606292512</v>
      </c>
      <c r="P678" s="37">
        <f t="shared" si="22"/>
        <v>44955</v>
      </c>
      <c r="Q678" s="12">
        <v>1500.0</v>
      </c>
      <c r="R678" s="14"/>
      <c r="S678" s="15">
        <v>44927.0</v>
      </c>
      <c r="T678" s="4" t="b">
        <v>0</v>
      </c>
    </row>
    <row r="679" hidden="1">
      <c r="A679" s="16" t="s">
        <v>223</v>
      </c>
      <c r="B679" s="17">
        <v>800.0</v>
      </c>
      <c r="C679" s="16" t="s">
        <v>18</v>
      </c>
      <c r="D679" s="18">
        <v>5410.0</v>
      </c>
      <c r="E679" s="19">
        <v>44925.0</v>
      </c>
      <c r="F679" s="17">
        <v>24.89</v>
      </c>
      <c r="G679" s="20">
        <v>2022.12</v>
      </c>
      <c r="H679" s="21" t="s">
        <v>51</v>
      </c>
      <c r="I679" s="21" t="s">
        <v>52</v>
      </c>
      <c r="J679" s="21" t="s">
        <v>247</v>
      </c>
      <c r="K679" s="16" t="s">
        <v>21</v>
      </c>
      <c r="L679" s="22">
        <v>30.0</v>
      </c>
      <c r="M679" s="55">
        <v>0.0</v>
      </c>
      <c r="N679" s="23">
        <v>0.0</v>
      </c>
      <c r="O679" s="23">
        <v>775.11</v>
      </c>
      <c r="P679" s="48">
        <f t="shared" si="22"/>
        <v>44955</v>
      </c>
      <c r="Q679" s="23">
        <v>800.0</v>
      </c>
      <c r="R679" s="25"/>
      <c r="S679" s="26">
        <v>44927.0</v>
      </c>
      <c r="T679" s="16" t="b">
        <v>0</v>
      </c>
    </row>
    <row r="680" hidden="1">
      <c r="A680" s="4" t="s">
        <v>54</v>
      </c>
      <c r="B680" s="5">
        <v>750.0</v>
      </c>
      <c r="C680" s="4" t="s">
        <v>18</v>
      </c>
      <c r="D680" s="6">
        <v>5424.0</v>
      </c>
      <c r="E680" s="7">
        <v>44926.0</v>
      </c>
      <c r="F680" s="5">
        <v>23.33</v>
      </c>
      <c r="G680" s="8">
        <v>2022.12</v>
      </c>
      <c r="H680" s="9" t="s">
        <v>51</v>
      </c>
      <c r="I680" s="9" t="s">
        <v>52</v>
      </c>
      <c r="J680" s="9" t="s">
        <v>55</v>
      </c>
      <c r="K680" s="4" t="s">
        <v>21</v>
      </c>
      <c r="L680" s="10">
        <v>30.0</v>
      </c>
      <c r="M680" s="54">
        <v>0.0</v>
      </c>
      <c r="N680" s="12">
        <v>0.0</v>
      </c>
      <c r="O680" s="12">
        <v>726.67</v>
      </c>
      <c r="P680" s="37">
        <f t="shared" si="22"/>
        <v>44956</v>
      </c>
      <c r="Q680" s="12">
        <v>750.0</v>
      </c>
      <c r="R680" s="14"/>
      <c r="S680" s="15">
        <v>44927.0</v>
      </c>
      <c r="T680" s="4" t="b">
        <v>0</v>
      </c>
    </row>
    <row r="681" hidden="1">
      <c r="A681" s="16" t="s">
        <v>84</v>
      </c>
      <c r="B681" s="17">
        <v>1000.0</v>
      </c>
      <c r="C681" s="16" t="s">
        <v>18</v>
      </c>
      <c r="D681" s="18">
        <v>5414.0</v>
      </c>
      <c r="E681" s="19">
        <v>44925.0</v>
      </c>
      <c r="F681" s="17">
        <v>0.0</v>
      </c>
      <c r="G681" s="20">
        <v>2022.12</v>
      </c>
      <c r="H681" s="21" t="s">
        <v>51</v>
      </c>
      <c r="I681" s="21" t="s">
        <v>52</v>
      </c>
      <c r="J681" s="21" t="s">
        <v>85</v>
      </c>
      <c r="K681" s="16" t="s">
        <v>21</v>
      </c>
      <c r="L681" s="22">
        <v>30.0</v>
      </c>
      <c r="M681" s="55">
        <v>0.0</v>
      </c>
      <c r="N681" s="23">
        <v>0.0</v>
      </c>
      <c r="O681" s="23">
        <v>1000.0</v>
      </c>
      <c r="P681" s="48">
        <f t="shared" si="22"/>
        <v>44955</v>
      </c>
      <c r="Q681" s="23">
        <v>1000.0</v>
      </c>
      <c r="R681" s="25"/>
      <c r="S681" s="26">
        <v>44927.0</v>
      </c>
      <c r="T681" s="16" t="b">
        <v>0</v>
      </c>
    </row>
    <row r="682" hidden="1">
      <c r="A682" s="4" t="s">
        <v>42</v>
      </c>
      <c r="B682" s="5">
        <v>1500.0</v>
      </c>
      <c r="C682" s="4" t="s">
        <v>18</v>
      </c>
      <c r="D682" s="6">
        <v>5415.0</v>
      </c>
      <c r="E682" s="7">
        <v>44925.0</v>
      </c>
      <c r="F682" s="5">
        <v>46.67</v>
      </c>
      <c r="G682" s="8">
        <v>2022.12</v>
      </c>
      <c r="H682" s="9" t="s">
        <v>51</v>
      </c>
      <c r="I682" s="9" t="s">
        <v>52</v>
      </c>
      <c r="J682" s="9" t="s">
        <v>43</v>
      </c>
      <c r="K682" s="4" t="s">
        <v>21</v>
      </c>
      <c r="L682" s="10">
        <v>30.0</v>
      </c>
      <c r="M682" s="54">
        <v>0.15</v>
      </c>
      <c r="N682" s="12">
        <v>217.99949999999998</v>
      </c>
      <c r="O682" s="12">
        <v>1235.3305</v>
      </c>
      <c r="P682" s="37">
        <f t="shared" si="22"/>
        <v>44955</v>
      </c>
      <c r="Q682" s="12">
        <v>1500.0</v>
      </c>
      <c r="R682" s="14"/>
      <c r="S682" s="15">
        <v>44927.0</v>
      </c>
      <c r="T682" s="4" t="b">
        <v>0</v>
      </c>
    </row>
    <row r="683" hidden="1">
      <c r="A683" s="16" t="s">
        <v>82</v>
      </c>
      <c r="B683" s="17">
        <v>800.0</v>
      </c>
      <c r="C683" s="16" t="s">
        <v>18</v>
      </c>
      <c r="D683" s="18">
        <v>5416.0</v>
      </c>
      <c r="E683" s="19">
        <v>44925.0</v>
      </c>
      <c r="F683" s="17">
        <v>0.0</v>
      </c>
      <c r="G683" s="20">
        <v>2022.12</v>
      </c>
      <c r="H683" s="21" t="s">
        <v>51</v>
      </c>
      <c r="I683" s="21" t="s">
        <v>52</v>
      </c>
      <c r="J683" s="21" t="s">
        <v>83</v>
      </c>
      <c r="K683" s="16" t="s">
        <v>21</v>
      </c>
      <c r="L683" s="22">
        <v>30.0</v>
      </c>
      <c r="M683" s="55">
        <v>0.0</v>
      </c>
      <c r="N683" s="23">
        <v>0.0</v>
      </c>
      <c r="O683" s="23">
        <v>800.0</v>
      </c>
      <c r="P683" s="48">
        <f t="shared" si="22"/>
        <v>44955</v>
      </c>
      <c r="Q683" s="23">
        <v>800.0</v>
      </c>
      <c r="R683" s="25"/>
      <c r="S683" s="26">
        <v>44927.0</v>
      </c>
      <c r="T683" s="16" t="b">
        <v>0</v>
      </c>
    </row>
    <row r="684" hidden="1">
      <c r="A684" s="4" t="s">
        <v>88</v>
      </c>
      <c r="B684" s="5">
        <v>500.0</v>
      </c>
      <c r="C684" s="4" t="s">
        <v>18</v>
      </c>
      <c r="D684" s="6">
        <v>5425.0</v>
      </c>
      <c r="E684" s="7">
        <v>44926.0</v>
      </c>
      <c r="F684" s="5">
        <v>15.56</v>
      </c>
      <c r="G684" s="8">
        <v>2022.12</v>
      </c>
      <c r="H684" s="9" t="s">
        <v>51</v>
      </c>
      <c r="I684" s="9" t="s">
        <v>52</v>
      </c>
      <c r="J684" s="9" t="s">
        <v>89</v>
      </c>
      <c r="K684" s="4" t="s">
        <v>21</v>
      </c>
      <c r="L684" s="10">
        <v>30.0</v>
      </c>
      <c r="M684" s="54">
        <v>0.0</v>
      </c>
      <c r="N684" s="12">
        <v>0.0</v>
      </c>
      <c r="O684" s="12">
        <v>484.44</v>
      </c>
      <c r="P684" s="37">
        <f t="shared" si="22"/>
        <v>44956</v>
      </c>
      <c r="Q684" s="12">
        <v>500.0</v>
      </c>
      <c r="R684" s="14"/>
      <c r="S684" s="15">
        <v>44927.0</v>
      </c>
      <c r="T684" s="4" t="b">
        <v>0</v>
      </c>
    </row>
    <row r="685" hidden="1">
      <c r="A685" s="16" t="s">
        <v>50</v>
      </c>
      <c r="B685" s="17">
        <v>375.0</v>
      </c>
      <c r="C685" s="16" t="s">
        <v>18</v>
      </c>
      <c r="D685" s="18">
        <v>5417.0</v>
      </c>
      <c r="E685" s="19">
        <v>44925.0</v>
      </c>
      <c r="F685" s="17">
        <v>0.0</v>
      </c>
      <c r="G685" s="20">
        <v>2022.12</v>
      </c>
      <c r="H685" s="21" t="s">
        <v>51</v>
      </c>
      <c r="I685" s="21" t="s">
        <v>52</v>
      </c>
      <c r="J685" s="21" t="s">
        <v>400</v>
      </c>
      <c r="K685" s="16" t="s">
        <v>21</v>
      </c>
      <c r="L685" s="22">
        <v>30.0</v>
      </c>
      <c r="M685" s="55">
        <v>0.0</v>
      </c>
      <c r="N685" s="23">
        <v>0.0</v>
      </c>
      <c r="O685" s="23">
        <v>375.0</v>
      </c>
      <c r="P685" s="48">
        <f t="shared" si="22"/>
        <v>44955</v>
      </c>
      <c r="Q685" s="23">
        <v>375.0</v>
      </c>
      <c r="R685" s="25"/>
      <c r="S685" s="26">
        <v>44927.0</v>
      </c>
      <c r="T685" s="16" t="b">
        <v>0</v>
      </c>
    </row>
    <row r="686" hidden="1">
      <c r="A686" s="4" t="s">
        <v>105</v>
      </c>
      <c r="B686" s="5">
        <f>300*1.312895</f>
        <v>393.8685</v>
      </c>
      <c r="C686" s="4" t="s">
        <v>18</v>
      </c>
      <c r="D686" s="6" t="s">
        <v>776</v>
      </c>
      <c r="E686" s="7">
        <v>44925.0</v>
      </c>
      <c r="F686" s="34">
        <f>11.4*1.312895</f>
        <v>14.967003</v>
      </c>
      <c r="G686" s="8">
        <v>2022.12</v>
      </c>
      <c r="H686" s="9" t="s">
        <v>51</v>
      </c>
      <c r="I686" s="9" t="s">
        <v>52</v>
      </c>
      <c r="J686" s="9" t="s">
        <v>154</v>
      </c>
      <c r="K686" s="4" t="s">
        <v>9</v>
      </c>
      <c r="L686" s="10">
        <v>30.0</v>
      </c>
      <c r="M686" s="54">
        <v>0.0</v>
      </c>
      <c r="N686" s="12">
        <v>0.0</v>
      </c>
      <c r="O686" s="12">
        <v>378.901497</v>
      </c>
      <c r="P686" s="37">
        <f t="shared" si="22"/>
        <v>44955</v>
      </c>
      <c r="Q686" s="12">
        <v>300.0</v>
      </c>
      <c r="R686" s="14"/>
      <c r="S686" s="15">
        <v>44927.0</v>
      </c>
      <c r="T686" s="4" t="b">
        <v>0</v>
      </c>
    </row>
    <row r="687" hidden="1">
      <c r="A687" s="16" t="s">
        <v>90</v>
      </c>
      <c r="B687" s="17">
        <v>1150.0</v>
      </c>
      <c r="C687" s="16" t="s">
        <v>18</v>
      </c>
      <c r="D687" s="18">
        <v>5418.0</v>
      </c>
      <c r="E687" s="19">
        <v>44925.0</v>
      </c>
      <c r="F687" s="17">
        <v>0.0</v>
      </c>
      <c r="G687" s="20">
        <v>2022.12</v>
      </c>
      <c r="H687" s="21" t="s">
        <v>51</v>
      </c>
      <c r="I687" s="21" t="s">
        <v>52</v>
      </c>
      <c r="J687" s="21" t="s">
        <v>215</v>
      </c>
      <c r="K687" s="16" t="s">
        <v>21</v>
      </c>
      <c r="L687" s="22">
        <v>30.0</v>
      </c>
      <c r="M687" s="55">
        <v>0.0</v>
      </c>
      <c r="N687" s="23">
        <v>0.0</v>
      </c>
      <c r="O687" s="23">
        <v>1150.0</v>
      </c>
      <c r="P687" s="48">
        <f t="shared" si="22"/>
        <v>44955</v>
      </c>
      <c r="Q687" s="23">
        <v>1150.0</v>
      </c>
      <c r="R687" s="25"/>
      <c r="S687" s="26">
        <v>44927.0</v>
      </c>
      <c r="T687" s="16" t="b">
        <v>0</v>
      </c>
    </row>
    <row r="688" hidden="1">
      <c r="A688" s="4" t="s">
        <v>97</v>
      </c>
      <c r="B688" s="5">
        <v>300.0</v>
      </c>
      <c r="C688" s="4" t="s">
        <v>18</v>
      </c>
      <c r="D688" s="6">
        <v>5419.0</v>
      </c>
      <c r="E688" s="7">
        <v>44925.0</v>
      </c>
      <c r="F688" s="5">
        <v>9.33</v>
      </c>
      <c r="G688" s="8">
        <v>2022.12</v>
      </c>
      <c r="H688" s="9" t="s">
        <v>51</v>
      </c>
      <c r="I688" s="9" t="s">
        <v>52</v>
      </c>
      <c r="J688" s="9" t="s">
        <v>98</v>
      </c>
      <c r="K688" s="4" t="s">
        <v>21</v>
      </c>
      <c r="L688" s="10">
        <v>30.0</v>
      </c>
      <c r="M688" s="54">
        <v>0.0</v>
      </c>
      <c r="N688" s="12">
        <v>0.0</v>
      </c>
      <c r="O688" s="12">
        <v>290.67</v>
      </c>
      <c r="P688" s="37">
        <f t="shared" si="22"/>
        <v>44955</v>
      </c>
      <c r="Q688" s="12">
        <v>300.0</v>
      </c>
      <c r="R688" s="14"/>
      <c r="S688" s="15">
        <v>44927.0</v>
      </c>
      <c r="T688" s="4" t="b">
        <v>0</v>
      </c>
    </row>
    <row r="689" hidden="1">
      <c r="A689" s="16" t="s">
        <v>92</v>
      </c>
      <c r="B689" s="17">
        <v>2500.0</v>
      </c>
      <c r="C689" s="16" t="s">
        <v>18</v>
      </c>
      <c r="D689" s="18">
        <v>5412.0</v>
      </c>
      <c r="E689" s="19">
        <v>44925.0</v>
      </c>
      <c r="F689" s="17">
        <v>77.78</v>
      </c>
      <c r="G689" s="20">
        <v>2022.12</v>
      </c>
      <c r="H689" s="21" t="s">
        <v>51</v>
      </c>
      <c r="I689" s="21" t="s">
        <v>52</v>
      </c>
      <c r="J689" s="21" t="s">
        <v>93</v>
      </c>
      <c r="K689" s="16" t="s">
        <v>21</v>
      </c>
      <c r="L689" s="22">
        <v>30.0</v>
      </c>
      <c r="M689" s="55">
        <v>0.0</v>
      </c>
      <c r="N689" s="23">
        <v>0.0</v>
      </c>
      <c r="O689" s="23">
        <v>2422.22</v>
      </c>
      <c r="P689" s="48">
        <f t="shared" si="22"/>
        <v>44955</v>
      </c>
      <c r="Q689" s="23">
        <v>2500.0</v>
      </c>
      <c r="R689" s="25"/>
      <c r="S689" s="26">
        <v>44927.0</v>
      </c>
      <c r="T689" s="16" t="b">
        <v>0</v>
      </c>
    </row>
    <row r="690" hidden="1">
      <c r="A690" s="4" t="s">
        <v>123</v>
      </c>
      <c r="B690" s="5">
        <f>4500*1.30368</f>
        <v>5866.56</v>
      </c>
      <c r="C690" s="4" t="s">
        <v>18</v>
      </c>
      <c r="D690" s="6" t="s">
        <v>777</v>
      </c>
      <c r="E690" s="7">
        <v>44925.0</v>
      </c>
      <c r="F690" s="34">
        <f>166.8*1.30368</f>
        <v>217.453824</v>
      </c>
      <c r="G690" s="8">
        <v>2022.12</v>
      </c>
      <c r="H690" s="9" t="s">
        <v>51</v>
      </c>
      <c r="I690" s="9" t="s">
        <v>52</v>
      </c>
      <c r="J690" s="9" t="s">
        <v>673</v>
      </c>
      <c r="K690" s="4" t="s">
        <v>9</v>
      </c>
      <c r="L690" s="10">
        <v>30.0</v>
      </c>
      <c r="M690" s="54">
        <v>0.2</v>
      </c>
      <c r="N690" s="12">
        <v>1129.8212351999998</v>
      </c>
      <c r="O690" s="12">
        <v>4519.284940799999</v>
      </c>
      <c r="P690" s="37">
        <f t="shared" si="22"/>
        <v>44955</v>
      </c>
      <c r="Q690" s="12">
        <v>4500.0</v>
      </c>
      <c r="R690" s="14"/>
      <c r="S690" s="15">
        <v>44927.0</v>
      </c>
      <c r="T690" s="4" t="b">
        <v>0</v>
      </c>
    </row>
    <row r="691" hidden="1">
      <c r="A691" s="16" t="s">
        <v>115</v>
      </c>
      <c r="B691" s="17">
        <f t="shared" ref="B691:B692" si="23">2000*1.3039125</f>
        <v>2607.825</v>
      </c>
      <c r="C691" s="16" t="s">
        <v>18</v>
      </c>
      <c r="D691" s="18" t="s">
        <v>778</v>
      </c>
      <c r="E691" s="19">
        <v>44925.0</v>
      </c>
      <c r="F691" s="17">
        <v>0.0</v>
      </c>
      <c r="G691" s="20">
        <v>2022.12</v>
      </c>
      <c r="H691" s="21" t="s">
        <v>51</v>
      </c>
      <c r="I691" s="21" t="s">
        <v>52</v>
      </c>
      <c r="J691" s="21" t="s">
        <v>117</v>
      </c>
      <c r="K691" s="16" t="s">
        <v>9</v>
      </c>
      <c r="L691" s="22">
        <v>30.0</v>
      </c>
      <c r="M691" s="55">
        <v>0.0</v>
      </c>
      <c r="N691" s="23">
        <v>0.0</v>
      </c>
      <c r="O691" s="23">
        <v>2607.8250000000003</v>
      </c>
      <c r="P691" s="48">
        <f t="shared" si="22"/>
        <v>44955</v>
      </c>
      <c r="Q691" s="23">
        <v>2000.0</v>
      </c>
      <c r="R691" s="25"/>
      <c r="S691" s="26">
        <v>44927.0</v>
      </c>
      <c r="T691" s="16" t="b">
        <v>0</v>
      </c>
    </row>
    <row r="692" hidden="1">
      <c r="A692" s="4" t="s">
        <v>118</v>
      </c>
      <c r="B692" s="5">
        <f t="shared" si="23"/>
        <v>2607.825</v>
      </c>
      <c r="C692" s="4" t="s">
        <v>18</v>
      </c>
      <c r="D692" s="6" t="s">
        <v>779</v>
      </c>
      <c r="E692" s="7">
        <v>44925.0</v>
      </c>
      <c r="F692" s="5">
        <v>0.0</v>
      </c>
      <c r="G692" s="8">
        <v>2022.12</v>
      </c>
      <c r="H692" s="9" t="s">
        <v>51</v>
      </c>
      <c r="I692" s="9" t="s">
        <v>52</v>
      </c>
      <c r="J692" s="9" t="s">
        <v>117</v>
      </c>
      <c r="K692" s="4" t="s">
        <v>9</v>
      </c>
      <c r="L692" s="10">
        <v>30.0</v>
      </c>
      <c r="M692" s="54">
        <v>0.0</v>
      </c>
      <c r="N692" s="12">
        <v>0.0</v>
      </c>
      <c r="O692" s="12">
        <v>2607.8250000000003</v>
      </c>
      <c r="P692" s="37">
        <f t="shared" si="22"/>
        <v>44955</v>
      </c>
      <c r="Q692" s="12">
        <v>2000.0</v>
      </c>
      <c r="R692" s="14"/>
      <c r="S692" s="15">
        <v>44927.0</v>
      </c>
      <c r="T692" s="4" t="b">
        <v>0</v>
      </c>
    </row>
    <row r="693" hidden="1">
      <c r="A693" s="16" t="s">
        <v>73</v>
      </c>
      <c r="B693" s="17">
        <v>700.0</v>
      </c>
      <c r="C693" s="16" t="s">
        <v>18</v>
      </c>
      <c r="D693" s="18">
        <v>5420.0</v>
      </c>
      <c r="E693" s="19">
        <v>44925.0</v>
      </c>
      <c r="F693" s="17">
        <v>0.0</v>
      </c>
      <c r="G693" s="20">
        <v>2022.12</v>
      </c>
      <c r="H693" s="21" t="s">
        <v>51</v>
      </c>
      <c r="I693" s="21" t="s">
        <v>52</v>
      </c>
      <c r="J693" s="21" t="s">
        <v>74</v>
      </c>
      <c r="K693" s="16" t="s">
        <v>21</v>
      </c>
      <c r="L693" s="22">
        <v>30.0</v>
      </c>
      <c r="M693" s="55">
        <v>0.0</v>
      </c>
      <c r="N693" s="23">
        <v>0.0</v>
      </c>
      <c r="O693" s="23">
        <v>700.0</v>
      </c>
      <c r="P693" s="48">
        <f t="shared" si="22"/>
        <v>44955</v>
      </c>
      <c r="Q693" s="23">
        <v>700.0</v>
      </c>
      <c r="R693" s="25"/>
      <c r="S693" s="26">
        <v>44927.0</v>
      </c>
      <c r="T693" s="16" t="b">
        <v>0</v>
      </c>
    </row>
    <row r="694" hidden="1">
      <c r="A694" s="4" t="s">
        <v>499</v>
      </c>
      <c r="B694" s="5">
        <v>1450.0</v>
      </c>
      <c r="C694" s="4" t="s">
        <v>18</v>
      </c>
      <c r="D694" s="6">
        <v>5421.0</v>
      </c>
      <c r="E694" s="7">
        <v>44925.0</v>
      </c>
      <c r="F694" s="5">
        <v>48.55</v>
      </c>
      <c r="G694" s="8">
        <v>2022.12</v>
      </c>
      <c r="H694" s="9" t="s">
        <v>51</v>
      </c>
      <c r="I694" s="9" t="s">
        <v>52</v>
      </c>
      <c r="J694" s="9" t="s">
        <v>500</v>
      </c>
      <c r="K694" s="4" t="s">
        <v>21</v>
      </c>
      <c r="L694" s="10">
        <v>30.0</v>
      </c>
      <c r="M694" s="54">
        <v>0.0</v>
      </c>
      <c r="N694" s="12">
        <v>0.0</v>
      </c>
      <c r="O694" s="12">
        <v>1401.45</v>
      </c>
      <c r="P694" s="37">
        <f t="shared" si="22"/>
        <v>44955</v>
      </c>
      <c r="Q694" s="12">
        <v>1450.0</v>
      </c>
      <c r="R694" s="14"/>
      <c r="S694" s="15">
        <v>44927.0</v>
      </c>
      <c r="T694" s="4" t="b">
        <v>0</v>
      </c>
    </row>
    <row r="695" hidden="1">
      <c r="A695" s="16" t="s">
        <v>695</v>
      </c>
      <c r="B695" s="17">
        <v>600.0</v>
      </c>
      <c r="C695" s="16" t="s">
        <v>18</v>
      </c>
      <c r="D695" s="18">
        <v>5422.0</v>
      </c>
      <c r="E695" s="19">
        <v>44925.0</v>
      </c>
      <c r="F695" s="17">
        <v>18.67</v>
      </c>
      <c r="G695" s="20">
        <v>2022.12</v>
      </c>
      <c r="H695" s="21" t="s">
        <v>51</v>
      </c>
      <c r="I695" s="21" t="s">
        <v>52</v>
      </c>
      <c r="J695" s="21" t="s">
        <v>696</v>
      </c>
      <c r="K695" s="16" t="s">
        <v>21</v>
      </c>
      <c r="L695" s="22">
        <v>30.0</v>
      </c>
      <c r="M695" s="55">
        <v>0.0</v>
      </c>
      <c r="N695" s="23">
        <v>0.0</v>
      </c>
      <c r="O695" s="23">
        <v>581.33</v>
      </c>
      <c r="P695" s="48">
        <f t="shared" si="22"/>
        <v>44955</v>
      </c>
      <c r="Q695" s="23">
        <v>600.0</v>
      </c>
      <c r="R695" s="25"/>
      <c r="S695" s="26">
        <v>44927.0</v>
      </c>
      <c r="T695" s="16" t="b">
        <v>0</v>
      </c>
    </row>
    <row r="696" hidden="1">
      <c r="A696" s="4" t="s">
        <v>734</v>
      </c>
      <c r="B696" s="5">
        <f>100*1.293</f>
        <v>129.3</v>
      </c>
      <c r="C696" s="4" t="s">
        <v>18</v>
      </c>
      <c r="D696" s="6" t="s">
        <v>780</v>
      </c>
      <c r="E696" s="7">
        <v>44939.0</v>
      </c>
      <c r="F696" s="5">
        <v>0.0</v>
      </c>
      <c r="G696" s="8">
        <v>2023.0</v>
      </c>
      <c r="H696" s="9" t="s">
        <v>693</v>
      </c>
      <c r="I696" s="9" t="s">
        <v>252</v>
      </c>
      <c r="J696" s="9" t="s">
        <v>781</v>
      </c>
      <c r="K696" s="4" t="s">
        <v>9</v>
      </c>
      <c r="L696" s="10">
        <v>15.0</v>
      </c>
      <c r="M696" s="54">
        <v>0.0</v>
      </c>
      <c r="N696" s="12">
        <v>0.0</v>
      </c>
      <c r="O696" s="12">
        <v>129.29999999999998</v>
      </c>
      <c r="P696" s="37">
        <f t="shared" si="22"/>
        <v>44954</v>
      </c>
      <c r="Q696" s="12">
        <v>175.0</v>
      </c>
      <c r="R696" s="14"/>
      <c r="S696" s="15">
        <v>44958.0</v>
      </c>
      <c r="T696" s="4" t="b">
        <v>0</v>
      </c>
    </row>
    <row r="697" hidden="1">
      <c r="A697" s="16" t="s">
        <v>782</v>
      </c>
      <c r="B697" s="17">
        <f>100*1.3069</f>
        <v>130.69</v>
      </c>
      <c r="C697" s="16" t="s">
        <v>18</v>
      </c>
      <c r="D697" s="18" t="s">
        <v>783</v>
      </c>
      <c r="E697" s="19">
        <v>44939.0</v>
      </c>
      <c r="F697" s="17">
        <v>0.0</v>
      </c>
      <c r="G697" s="20">
        <v>2023.0</v>
      </c>
      <c r="H697" s="21" t="s">
        <v>693</v>
      </c>
      <c r="I697" s="21" t="s">
        <v>252</v>
      </c>
      <c r="J697" s="21" t="s">
        <v>784</v>
      </c>
      <c r="K697" s="16" t="s">
        <v>9</v>
      </c>
      <c r="L697" s="22">
        <v>15.0</v>
      </c>
      <c r="M697" s="55">
        <v>0.0</v>
      </c>
      <c r="N697" s="23">
        <v>0.0</v>
      </c>
      <c r="O697" s="23">
        <v>130.69</v>
      </c>
      <c r="P697" s="48">
        <f t="shared" si="22"/>
        <v>44954</v>
      </c>
      <c r="Q697" s="23">
        <v>175.0</v>
      </c>
      <c r="R697" s="25"/>
      <c r="S697" s="26">
        <v>44958.0</v>
      </c>
      <c r="T697" s="16" t="b">
        <v>0</v>
      </c>
    </row>
    <row r="698" hidden="1">
      <c r="A698" s="4" t="s">
        <v>785</v>
      </c>
      <c r="B698" s="5">
        <f>599*1.311537</f>
        <v>785.610663</v>
      </c>
      <c r="C698" s="4" t="s">
        <v>18</v>
      </c>
      <c r="D698" s="6" t="s">
        <v>786</v>
      </c>
      <c r="E698" s="7">
        <v>44929.0</v>
      </c>
      <c r="F698" s="34">
        <f>22.46*1.311537</f>
        <v>29.45712102</v>
      </c>
      <c r="G698" s="8">
        <v>2023.0</v>
      </c>
      <c r="H698" s="9" t="s">
        <v>766</v>
      </c>
      <c r="I698" s="9" t="s">
        <v>252</v>
      </c>
      <c r="J698" s="9" t="s">
        <v>787</v>
      </c>
      <c r="K698" s="4" t="s">
        <v>9</v>
      </c>
      <c r="L698" s="10">
        <v>0.0</v>
      </c>
      <c r="M698" s="54">
        <v>0.0</v>
      </c>
      <c r="N698" s="12">
        <v>0.0</v>
      </c>
      <c r="O698" s="12">
        <v>756.1535419799999</v>
      </c>
      <c r="P698" s="13"/>
      <c r="Q698" s="12">
        <v>600.0</v>
      </c>
      <c r="R698" s="14"/>
      <c r="S698" s="15">
        <v>44958.0</v>
      </c>
      <c r="T698" s="4" t="b">
        <v>0</v>
      </c>
    </row>
    <row r="699" hidden="1">
      <c r="A699" s="16" t="s">
        <v>788</v>
      </c>
      <c r="B699" s="17">
        <v>3000.0</v>
      </c>
      <c r="C699" s="16" t="s">
        <v>18</v>
      </c>
      <c r="D699" s="18">
        <v>5426.0</v>
      </c>
      <c r="E699" s="19">
        <v>44931.0</v>
      </c>
      <c r="F699" s="17">
        <v>0.0</v>
      </c>
      <c r="G699" s="20">
        <v>2023.01</v>
      </c>
      <c r="H699" s="21" t="s">
        <v>27</v>
      </c>
      <c r="I699" s="21" t="s">
        <v>52</v>
      </c>
      <c r="J699" s="21" t="s">
        <v>789</v>
      </c>
      <c r="K699" s="16" t="s">
        <v>21</v>
      </c>
      <c r="L699" s="22">
        <v>15.0</v>
      </c>
      <c r="M699" s="55">
        <v>0.0</v>
      </c>
      <c r="N699" s="23">
        <v>0.0</v>
      </c>
      <c r="O699" s="23">
        <v>3000.0</v>
      </c>
      <c r="P699" s="24"/>
      <c r="Q699" s="23">
        <v>3000.0</v>
      </c>
      <c r="R699" s="25"/>
      <c r="S699" s="26">
        <v>44958.0</v>
      </c>
      <c r="T699" s="16" t="b">
        <v>0</v>
      </c>
    </row>
    <row r="700" hidden="1">
      <c r="A700" s="4" t="s">
        <v>630</v>
      </c>
      <c r="B700" s="5">
        <v>280.0</v>
      </c>
      <c r="C700" s="4" t="s">
        <v>18</v>
      </c>
      <c r="D700" s="6">
        <v>5428.0</v>
      </c>
      <c r="E700" s="7">
        <v>44939.0</v>
      </c>
      <c r="F700" s="5">
        <v>8.71</v>
      </c>
      <c r="G700" s="8">
        <v>2023.01</v>
      </c>
      <c r="H700" s="9" t="s">
        <v>27</v>
      </c>
      <c r="I700" s="9" t="s">
        <v>52</v>
      </c>
      <c r="J700" s="9" t="s">
        <v>701</v>
      </c>
      <c r="K700" s="4" t="s">
        <v>21</v>
      </c>
      <c r="L700" s="10">
        <v>0.0</v>
      </c>
      <c r="M700" s="54">
        <v>0.0</v>
      </c>
      <c r="N700" s="12">
        <v>0.0</v>
      </c>
      <c r="O700" s="12">
        <v>271.29</v>
      </c>
      <c r="P700" s="37">
        <f t="shared" ref="P700:P802" si="24">if(E700="","", E700+L700)</f>
        <v>44939</v>
      </c>
      <c r="Q700" s="12">
        <v>280.0</v>
      </c>
      <c r="R700" s="9" t="s">
        <v>790</v>
      </c>
      <c r="S700" s="15">
        <v>44958.0</v>
      </c>
      <c r="T700" s="4" t="b">
        <v>0</v>
      </c>
    </row>
    <row r="701" hidden="1">
      <c r="A701" s="16" t="s">
        <v>99</v>
      </c>
      <c r="B701" s="17">
        <f>1300*1.295047</f>
        <v>1683.5611</v>
      </c>
      <c r="C701" s="16" t="s">
        <v>18</v>
      </c>
      <c r="D701" s="18" t="s">
        <v>791</v>
      </c>
      <c r="E701" s="19">
        <v>44939.0</v>
      </c>
      <c r="F701" s="35">
        <f>48.4*1.295047</f>
        <v>62.6802748</v>
      </c>
      <c r="G701" s="20">
        <v>2023.01</v>
      </c>
      <c r="H701" s="21" t="s">
        <v>27</v>
      </c>
      <c r="I701" s="21" t="s">
        <v>52</v>
      </c>
      <c r="J701" s="21" t="s">
        <v>101</v>
      </c>
      <c r="K701" s="16" t="s">
        <v>9</v>
      </c>
      <c r="L701" s="22">
        <v>30.0</v>
      </c>
      <c r="M701" s="55">
        <v>0.2</v>
      </c>
      <c r="N701" s="23">
        <v>324.17616504000006</v>
      </c>
      <c r="O701" s="23">
        <v>1296.70466016</v>
      </c>
      <c r="P701" s="48">
        <f t="shared" si="24"/>
        <v>44969</v>
      </c>
      <c r="Q701" s="23">
        <v>1300.0</v>
      </c>
      <c r="R701" s="25"/>
      <c r="S701" s="26">
        <v>44958.0</v>
      </c>
      <c r="T701" s="16" t="b">
        <v>0</v>
      </c>
    </row>
    <row r="702" hidden="1">
      <c r="A702" s="4" t="s">
        <v>225</v>
      </c>
      <c r="B702" s="5">
        <v>5000.0</v>
      </c>
      <c r="C702" s="4" t="s">
        <v>18</v>
      </c>
      <c r="D702" s="6">
        <v>5429.0</v>
      </c>
      <c r="E702" s="7">
        <v>44939.0</v>
      </c>
      <c r="F702" s="5">
        <v>0.0</v>
      </c>
      <c r="G702" s="8">
        <v>2023.01</v>
      </c>
      <c r="H702" s="9" t="s">
        <v>27</v>
      </c>
      <c r="I702" s="9" t="s">
        <v>52</v>
      </c>
      <c r="J702" s="9" t="s">
        <v>649</v>
      </c>
      <c r="K702" s="4" t="s">
        <v>21</v>
      </c>
      <c r="L702" s="10">
        <v>30.0</v>
      </c>
      <c r="M702" s="54">
        <v>0.0</v>
      </c>
      <c r="N702" s="12">
        <v>0.0</v>
      </c>
      <c r="O702" s="12">
        <v>5000.0</v>
      </c>
      <c r="P702" s="37">
        <f t="shared" si="24"/>
        <v>44969</v>
      </c>
      <c r="Q702" s="12">
        <v>5000.0</v>
      </c>
      <c r="R702" s="14"/>
      <c r="S702" s="15">
        <v>44958.0</v>
      </c>
      <c r="T702" s="4" t="b">
        <v>0</v>
      </c>
    </row>
    <row r="703" hidden="1">
      <c r="A703" s="16" t="s">
        <v>102</v>
      </c>
      <c r="B703" s="17">
        <f>350*1.292331</f>
        <v>452.31585</v>
      </c>
      <c r="C703" s="16" t="s">
        <v>18</v>
      </c>
      <c r="D703" s="18" t="s">
        <v>792</v>
      </c>
      <c r="E703" s="19">
        <v>44939.0</v>
      </c>
      <c r="F703" s="35">
        <f>13.25*1.292331</f>
        <v>17.12338575</v>
      </c>
      <c r="G703" s="20">
        <v>2023.01</v>
      </c>
      <c r="H703" s="21" t="s">
        <v>27</v>
      </c>
      <c r="I703" s="21" t="s">
        <v>52</v>
      </c>
      <c r="J703" s="21" t="s">
        <v>104</v>
      </c>
      <c r="K703" s="16" t="s">
        <v>9</v>
      </c>
      <c r="L703" s="22">
        <v>30.0</v>
      </c>
      <c r="M703" s="55">
        <v>0.0</v>
      </c>
      <c r="N703" s="23">
        <v>0.0</v>
      </c>
      <c r="O703" s="23">
        <v>435.19246424999994</v>
      </c>
      <c r="P703" s="48">
        <f t="shared" si="24"/>
        <v>44969</v>
      </c>
      <c r="Q703" s="23">
        <v>350.0</v>
      </c>
      <c r="R703" s="25"/>
      <c r="S703" s="26">
        <v>44958.0</v>
      </c>
      <c r="T703" s="16" t="b">
        <v>0</v>
      </c>
    </row>
    <row r="704" hidden="1">
      <c r="A704" s="4" t="s">
        <v>62</v>
      </c>
      <c r="B704" s="5">
        <v>1600.0</v>
      </c>
      <c r="C704" s="4" t="s">
        <v>18</v>
      </c>
      <c r="D704" s="6">
        <v>5430.0</v>
      </c>
      <c r="E704" s="7">
        <v>44939.0</v>
      </c>
      <c r="F704" s="5">
        <v>49.78</v>
      </c>
      <c r="G704" s="8">
        <v>2023.01</v>
      </c>
      <c r="H704" s="9" t="s">
        <v>27</v>
      </c>
      <c r="I704" s="9" t="s">
        <v>52</v>
      </c>
      <c r="J704" s="9" t="s">
        <v>63</v>
      </c>
      <c r="K704" s="4" t="s">
        <v>21</v>
      </c>
      <c r="L704" s="10">
        <v>30.0</v>
      </c>
      <c r="M704" s="54">
        <v>0.0</v>
      </c>
      <c r="N704" s="12">
        <v>0.0</v>
      </c>
      <c r="O704" s="12">
        <v>1550.22</v>
      </c>
      <c r="P704" s="37">
        <f t="shared" si="24"/>
        <v>44969</v>
      </c>
      <c r="Q704" s="12">
        <v>1600.0</v>
      </c>
      <c r="R704" s="14"/>
      <c r="S704" s="15">
        <v>44958.0</v>
      </c>
      <c r="T704" s="4" t="b">
        <v>0</v>
      </c>
    </row>
    <row r="705" hidden="1">
      <c r="A705" s="16" t="s">
        <v>66</v>
      </c>
      <c r="B705" s="17">
        <v>900.0</v>
      </c>
      <c r="C705" s="16" t="s">
        <v>18</v>
      </c>
      <c r="D705" s="18">
        <v>5431.0</v>
      </c>
      <c r="E705" s="19">
        <v>44939.0</v>
      </c>
      <c r="F705" s="17">
        <v>0.0</v>
      </c>
      <c r="G705" s="20">
        <v>2023.01</v>
      </c>
      <c r="H705" s="21" t="s">
        <v>27</v>
      </c>
      <c r="I705" s="21" t="s">
        <v>52</v>
      </c>
      <c r="J705" s="21" t="s">
        <v>294</v>
      </c>
      <c r="K705" s="16" t="s">
        <v>21</v>
      </c>
      <c r="L705" s="22">
        <v>30.0</v>
      </c>
      <c r="M705" s="55">
        <v>0.0</v>
      </c>
      <c r="N705" s="23">
        <v>0.0</v>
      </c>
      <c r="O705" s="23">
        <v>900.0</v>
      </c>
      <c r="P705" s="48">
        <f t="shared" si="24"/>
        <v>44969</v>
      </c>
      <c r="Q705" s="23">
        <v>900.0</v>
      </c>
      <c r="R705" s="25"/>
      <c r="S705" s="26">
        <v>44958.0</v>
      </c>
      <c r="T705" s="16" t="b">
        <v>0</v>
      </c>
    </row>
    <row r="706" hidden="1">
      <c r="A706" s="4" t="s">
        <v>467</v>
      </c>
      <c r="B706" s="5">
        <f>280*1.311925</f>
        <v>367.339</v>
      </c>
      <c r="C706" s="4" t="s">
        <v>18</v>
      </c>
      <c r="D706" s="6" t="s">
        <v>793</v>
      </c>
      <c r="E706" s="7">
        <v>44939.0</v>
      </c>
      <c r="F706" s="34">
        <f>10.66*1.31195</f>
        <v>13.985387</v>
      </c>
      <c r="G706" s="8">
        <v>2023.01</v>
      </c>
      <c r="H706" s="9" t="s">
        <v>27</v>
      </c>
      <c r="I706" s="9" t="s">
        <v>52</v>
      </c>
      <c r="J706" s="9" t="s">
        <v>469</v>
      </c>
      <c r="K706" s="4" t="s">
        <v>9</v>
      </c>
      <c r="L706" s="10">
        <v>0.0</v>
      </c>
      <c r="M706" s="54">
        <v>0.2</v>
      </c>
      <c r="N706" s="12">
        <v>70.6707226</v>
      </c>
      <c r="O706" s="12">
        <v>282.6828904</v>
      </c>
      <c r="P706" s="37">
        <f t="shared" si="24"/>
        <v>44939</v>
      </c>
      <c r="Q706" s="12">
        <v>280.0</v>
      </c>
      <c r="R706" s="14"/>
      <c r="S706" s="15">
        <v>44958.0</v>
      </c>
      <c r="T706" s="4" t="b">
        <v>0</v>
      </c>
    </row>
    <row r="707" hidden="1">
      <c r="A707" s="16" t="s">
        <v>629</v>
      </c>
      <c r="B707" s="17">
        <f>280*1.31256</f>
        <v>367.5168</v>
      </c>
      <c r="C707" s="16" t="s">
        <v>18</v>
      </c>
      <c r="D707" s="18" t="s">
        <v>794</v>
      </c>
      <c r="E707" s="19">
        <v>44939.0</v>
      </c>
      <c r="F707" s="17">
        <v>10.96</v>
      </c>
      <c r="G707" s="20">
        <v>2023.01</v>
      </c>
      <c r="H707" s="21" t="s">
        <v>27</v>
      </c>
      <c r="I707" s="21" t="s">
        <v>52</v>
      </c>
      <c r="J707" s="21" t="s">
        <v>469</v>
      </c>
      <c r="K707" s="16" t="s">
        <v>9</v>
      </c>
      <c r="L707" s="22"/>
      <c r="M707" s="55">
        <v>0.0</v>
      </c>
      <c r="N707" s="23">
        <v>0.0</v>
      </c>
      <c r="O707" s="23">
        <v>356.5568</v>
      </c>
      <c r="P707" s="48">
        <f t="shared" si="24"/>
        <v>44939</v>
      </c>
      <c r="Q707" s="23">
        <v>280.0</v>
      </c>
      <c r="R707" s="25"/>
      <c r="S707" s="26">
        <v>44958.0</v>
      </c>
      <c r="T707" s="16" t="b">
        <v>0</v>
      </c>
    </row>
    <row r="708" hidden="1">
      <c r="A708" s="4" t="s">
        <v>762</v>
      </c>
      <c r="B708" s="5">
        <v>500.0</v>
      </c>
      <c r="C708" s="4" t="s">
        <v>18</v>
      </c>
      <c r="D708" s="6">
        <v>5432.0</v>
      </c>
      <c r="E708" s="7">
        <v>44939.0</v>
      </c>
      <c r="F708" s="5">
        <v>0.0</v>
      </c>
      <c r="G708" s="8">
        <v>2023.01</v>
      </c>
      <c r="H708" s="9" t="s">
        <v>27</v>
      </c>
      <c r="I708" s="9" t="s">
        <v>52</v>
      </c>
      <c r="J708" s="9" t="s">
        <v>763</v>
      </c>
      <c r="K708" s="4" t="s">
        <v>21</v>
      </c>
      <c r="L708" s="10">
        <v>15.0</v>
      </c>
      <c r="M708" s="54">
        <v>0.0</v>
      </c>
      <c r="N708" s="12">
        <v>0.0</v>
      </c>
      <c r="O708" s="12">
        <v>500.0</v>
      </c>
      <c r="P708" s="37">
        <f t="shared" si="24"/>
        <v>44954</v>
      </c>
      <c r="Q708" s="12">
        <v>500.0</v>
      </c>
      <c r="R708" s="14"/>
      <c r="S708" s="15">
        <v>44958.0</v>
      </c>
      <c r="T708" s="4" t="b">
        <v>0</v>
      </c>
    </row>
    <row r="709" hidden="1">
      <c r="A709" s="16" t="s">
        <v>662</v>
      </c>
      <c r="B709" s="17">
        <v>2500.0</v>
      </c>
      <c r="C709" s="16" t="s">
        <v>18</v>
      </c>
      <c r="D709" s="18">
        <v>5433.0</v>
      </c>
      <c r="E709" s="19">
        <v>44939.0</v>
      </c>
      <c r="F709" s="17">
        <v>0.0</v>
      </c>
      <c r="G709" s="20">
        <v>2023.01</v>
      </c>
      <c r="H709" s="21" t="s">
        <v>27</v>
      </c>
      <c r="I709" s="21" t="s">
        <v>52</v>
      </c>
      <c r="J709" s="21" t="s">
        <v>764</v>
      </c>
      <c r="K709" s="16" t="s">
        <v>21</v>
      </c>
      <c r="L709" s="22">
        <v>15.0</v>
      </c>
      <c r="M709" s="55">
        <v>0.0</v>
      </c>
      <c r="N709" s="23">
        <v>0.0</v>
      </c>
      <c r="O709" s="23">
        <v>2500.0</v>
      </c>
      <c r="P709" s="48">
        <f t="shared" si="24"/>
        <v>44954</v>
      </c>
      <c r="Q709" s="23">
        <v>2500.0</v>
      </c>
      <c r="R709" s="25"/>
      <c r="S709" s="26">
        <v>44958.0</v>
      </c>
      <c r="T709" s="16" t="b">
        <v>0</v>
      </c>
    </row>
    <row r="710" hidden="1">
      <c r="A710" s="4" t="s">
        <v>773</v>
      </c>
      <c r="B710" s="5">
        <v>600.0</v>
      </c>
      <c r="C710" s="4" t="s">
        <v>18</v>
      </c>
      <c r="D710" s="6">
        <v>5430.0</v>
      </c>
      <c r="E710" s="7">
        <v>44939.0</v>
      </c>
      <c r="F710" s="34">
        <f>630*0.02963</f>
        <v>18.6669</v>
      </c>
      <c r="G710" s="8">
        <v>2023.0</v>
      </c>
      <c r="H710" s="9" t="s">
        <v>766</v>
      </c>
      <c r="I710" s="9" t="s">
        <v>252</v>
      </c>
      <c r="J710" s="9" t="s">
        <v>143</v>
      </c>
      <c r="K710" s="4" t="s">
        <v>21</v>
      </c>
      <c r="L710" s="10">
        <v>30.0</v>
      </c>
      <c r="M710" s="54">
        <v>0.0</v>
      </c>
      <c r="N710" s="12">
        <v>0.0</v>
      </c>
      <c r="O710" s="12">
        <v>581.3331</v>
      </c>
      <c r="P710" s="37">
        <f t="shared" si="24"/>
        <v>44969</v>
      </c>
      <c r="Q710" s="12">
        <v>600.0</v>
      </c>
      <c r="R710" s="14"/>
      <c r="S710" s="15">
        <v>44958.0</v>
      </c>
      <c r="T710" s="4" t="b">
        <v>0</v>
      </c>
    </row>
    <row r="711" hidden="1">
      <c r="A711" s="16" t="s">
        <v>795</v>
      </c>
      <c r="B711" s="17">
        <v>2000.0</v>
      </c>
      <c r="C711" s="16" t="s">
        <v>18</v>
      </c>
      <c r="D711" s="18">
        <v>5453.0</v>
      </c>
      <c r="E711" s="19">
        <v>44972.0</v>
      </c>
      <c r="F711" s="17">
        <v>0.0</v>
      </c>
      <c r="G711" s="20">
        <v>2023.02</v>
      </c>
      <c r="H711" s="21" t="s">
        <v>27</v>
      </c>
      <c r="I711" s="21" t="s">
        <v>52</v>
      </c>
      <c r="J711" s="21" t="s">
        <v>796</v>
      </c>
      <c r="K711" s="16" t="s">
        <v>21</v>
      </c>
      <c r="L711" s="22">
        <v>0.0</v>
      </c>
      <c r="M711" s="55">
        <v>0.0</v>
      </c>
      <c r="N711" s="23">
        <v>0.0</v>
      </c>
      <c r="O711" s="23">
        <v>2000.0</v>
      </c>
      <c r="P711" s="48">
        <f t="shared" si="24"/>
        <v>44972</v>
      </c>
      <c r="Q711" s="23">
        <v>2000.0</v>
      </c>
      <c r="R711" s="25"/>
      <c r="S711" s="26">
        <v>44958.0</v>
      </c>
      <c r="T711" s="16" t="b">
        <v>0</v>
      </c>
    </row>
    <row r="712" hidden="1">
      <c r="A712" s="4" t="s">
        <v>584</v>
      </c>
      <c r="B712" s="5">
        <f>267.54*1.1774688</f>
        <v>315.0200028</v>
      </c>
      <c r="C712" s="4" t="s">
        <v>18</v>
      </c>
      <c r="D712" s="6" t="s">
        <v>797</v>
      </c>
      <c r="E712" s="7">
        <v>44957.0</v>
      </c>
      <c r="F712" s="5">
        <v>0.0</v>
      </c>
      <c r="G712" s="8">
        <v>2023.0</v>
      </c>
      <c r="H712" s="9" t="s">
        <v>447</v>
      </c>
      <c r="I712" s="9" t="s">
        <v>252</v>
      </c>
      <c r="J712" s="9" t="s">
        <v>798</v>
      </c>
      <c r="K712" s="4" t="s">
        <v>9</v>
      </c>
      <c r="L712" s="10">
        <v>15.0</v>
      </c>
      <c r="M712" s="54">
        <v>0.0</v>
      </c>
      <c r="N712" s="12">
        <v>0.0</v>
      </c>
      <c r="O712" s="12">
        <v>315.02000275200004</v>
      </c>
      <c r="P712" s="37">
        <f t="shared" si="24"/>
        <v>44972</v>
      </c>
      <c r="Q712" s="12">
        <v>995.0</v>
      </c>
      <c r="R712" s="9" t="s">
        <v>799</v>
      </c>
      <c r="S712" s="15">
        <v>44958.0</v>
      </c>
      <c r="T712" s="4" t="b">
        <v>0</v>
      </c>
    </row>
    <row r="713" hidden="1">
      <c r="A713" s="16" t="s">
        <v>586</v>
      </c>
      <c r="B713" s="17">
        <f>98.22*1.3237</f>
        <v>130.013814</v>
      </c>
      <c r="C713" s="16" t="s">
        <v>18</v>
      </c>
      <c r="D713" s="18" t="s">
        <v>800</v>
      </c>
      <c r="E713" s="19">
        <v>44957.0</v>
      </c>
      <c r="F713" s="17">
        <v>0.0</v>
      </c>
      <c r="G713" s="20">
        <v>2023.0</v>
      </c>
      <c r="H713" s="21" t="s">
        <v>447</v>
      </c>
      <c r="I713" s="21" t="s">
        <v>252</v>
      </c>
      <c r="J713" s="21" t="s">
        <v>798</v>
      </c>
      <c r="K713" s="16" t="s">
        <v>9</v>
      </c>
      <c r="L713" s="22">
        <v>15.0</v>
      </c>
      <c r="M713" s="55">
        <v>0.0</v>
      </c>
      <c r="N713" s="23">
        <v>0.0</v>
      </c>
      <c r="O713" s="23">
        <v>130.013814</v>
      </c>
      <c r="P713" s="48">
        <f t="shared" si="24"/>
        <v>44972</v>
      </c>
      <c r="Q713" s="23">
        <v>995.0</v>
      </c>
      <c r="R713" s="21" t="s">
        <v>799</v>
      </c>
      <c r="S713" s="26">
        <v>44958.0</v>
      </c>
      <c r="T713" s="16" t="b">
        <v>0</v>
      </c>
    </row>
    <row r="714" hidden="1">
      <c r="A714" s="4" t="s">
        <v>223</v>
      </c>
      <c r="B714" s="5">
        <v>800.0</v>
      </c>
      <c r="C714" s="4" t="s">
        <v>18</v>
      </c>
      <c r="D714" s="6">
        <v>5437.0</v>
      </c>
      <c r="E714" s="7">
        <v>44957.0</v>
      </c>
      <c r="F714" s="5">
        <v>24.89</v>
      </c>
      <c r="G714" s="8">
        <v>2023.01</v>
      </c>
      <c r="H714" s="9" t="s">
        <v>51</v>
      </c>
      <c r="I714" s="9" t="s">
        <v>52</v>
      </c>
      <c r="J714" s="9" t="s">
        <v>247</v>
      </c>
      <c r="K714" s="4" t="s">
        <v>21</v>
      </c>
      <c r="L714" s="10">
        <v>30.0</v>
      </c>
      <c r="M714" s="54">
        <v>0.0</v>
      </c>
      <c r="N714" s="12">
        <v>0.0</v>
      </c>
      <c r="O714" s="12">
        <v>775.11</v>
      </c>
      <c r="P714" s="37">
        <f t="shared" si="24"/>
        <v>44987</v>
      </c>
      <c r="Q714" s="12">
        <v>800.0</v>
      </c>
      <c r="R714" s="14"/>
      <c r="S714" s="15">
        <v>44958.0</v>
      </c>
      <c r="T714" s="4" t="b">
        <v>0</v>
      </c>
    </row>
    <row r="715" hidden="1">
      <c r="A715" s="16" t="s">
        <v>54</v>
      </c>
      <c r="B715" s="17">
        <v>750.0</v>
      </c>
      <c r="C715" s="16" t="s">
        <v>18</v>
      </c>
      <c r="D715" s="18">
        <v>5435.0</v>
      </c>
      <c r="E715" s="19">
        <v>44957.0</v>
      </c>
      <c r="F715" s="17">
        <v>23.33</v>
      </c>
      <c r="G715" s="20">
        <v>2023.01</v>
      </c>
      <c r="H715" s="21" t="s">
        <v>51</v>
      </c>
      <c r="I715" s="21" t="s">
        <v>52</v>
      </c>
      <c r="J715" s="21" t="s">
        <v>55</v>
      </c>
      <c r="K715" s="16" t="s">
        <v>21</v>
      </c>
      <c r="L715" s="22">
        <v>30.0</v>
      </c>
      <c r="M715" s="55">
        <v>0.0</v>
      </c>
      <c r="N715" s="23">
        <v>0.0</v>
      </c>
      <c r="O715" s="23">
        <v>726.67</v>
      </c>
      <c r="P715" s="48">
        <f t="shared" si="24"/>
        <v>44987</v>
      </c>
      <c r="Q715" s="23">
        <v>750.0</v>
      </c>
      <c r="R715" s="25"/>
      <c r="S715" s="26">
        <v>44958.0</v>
      </c>
      <c r="T715" s="16" t="b">
        <v>0</v>
      </c>
    </row>
    <row r="716" hidden="1">
      <c r="A716" s="4" t="s">
        <v>120</v>
      </c>
      <c r="B716" s="5">
        <f>1500*1.290973</f>
        <v>1936.4595</v>
      </c>
      <c r="C716" s="4" t="s">
        <v>18</v>
      </c>
      <c r="D716" s="6" t="s">
        <v>801</v>
      </c>
      <c r="E716" s="7">
        <v>44957.0</v>
      </c>
      <c r="F716" s="34">
        <f>55.8*1.290973</f>
        <v>72.0362934</v>
      </c>
      <c r="G716" s="8">
        <v>2023.01</v>
      </c>
      <c r="H716" s="9" t="s">
        <v>51</v>
      </c>
      <c r="I716" s="9" t="s">
        <v>52</v>
      </c>
      <c r="J716" s="9" t="s">
        <v>364</v>
      </c>
      <c r="K716" s="4" t="s">
        <v>9</v>
      </c>
      <c r="L716" s="10">
        <v>30.0</v>
      </c>
      <c r="M716" s="54">
        <v>0.2</v>
      </c>
      <c r="N716" s="12">
        <v>372.88464132</v>
      </c>
      <c r="O716" s="12">
        <v>1491.53856528</v>
      </c>
      <c r="P716" s="37">
        <f t="shared" si="24"/>
        <v>44987</v>
      </c>
      <c r="Q716" s="12">
        <v>1500.0</v>
      </c>
      <c r="R716" s="9"/>
      <c r="S716" s="15">
        <v>44958.0</v>
      </c>
      <c r="T716" s="4" t="b">
        <v>0</v>
      </c>
    </row>
    <row r="717" hidden="1">
      <c r="A717" s="16" t="s">
        <v>84</v>
      </c>
      <c r="B717" s="17">
        <v>1000.0</v>
      </c>
      <c r="C717" s="16" t="s">
        <v>18</v>
      </c>
      <c r="D717" s="18">
        <v>5438.0</v>
      </c>
      <c r="E717" s="19">
        <v>44957.0</v>
      </c>
      <c r="F717" s="17">
        <v>0.0</v>
      </c>
      <c r="G717" s="20">
        <v>2023.01</v>
      </c>
      <c r="H717" s="21" t="s">
        <v>51</v>
      </c>
      <c r="I717" s="21" t="s">
        <v>52</v>
      </c>
      <c r="J717" s="21" t="s">
        <v>85</v>
      </c>
      <c r="K717" s="16" t="s">
        <v>21</v>
      </c>
      <c r="L717" s="22">
        <v>30.0</v>
      </c>
      <c r="M717" s="55">
        <v>0.0</v>
      </c>
      <c r="N717" s="23">
        <v>0.0</v>
      </c>
      <c r="O717" s="23">
        <v>1000.0</v>
      </c>
      <c r="P717" s="48">
        <f t="shared" si="24"/>
        <v>44987</v>
      </c>
      <c r="Q717" s="23">
        <v>1000.0</v>
      </c>
      <c r="R717" s="25"/>
      <c r="S717" s="26">
        <v>44958.0</v>
      </c>
      <c r="T717" s="16" t="b">
        <v>0</v>
      </c>
    </row>
    <row r="718" hidden="1">
      <c r="A718" s="4" t="s">
        <v>42</v>
      </c>
      <c r="B718" s="5">
        <v>1500.0</v>
      </c>
      <c r="C718" s="4" t="s">
        <v>18</v>
      </c>
      <c r="D718" s="6">
        <v>5439.0</v>
      </c>
      <c r="E718" s="7">
        <v>44957.0</v>
      </c>
      <c r="F718" s="5">
        <v>46.67</v>
      </c>
      <c r="G718" s="8">
        <v>2023.01</v>
      </c>
      <c r="H718" s="9" t="s">
        <v>51</v>
      </c>
      <c r="I718" s="9" t="s">
        <v>52</v>
      </c>
      <c r="J718" s="9" t="s">
        <v>43</v>
      </c>
      <c r="K718" s="4" t="s">
        <v>21</v>
      </c>
      <c r="L718" s="10">
        <v>30.0</v>
      </c>
      <c r="M718" s="54">
        <v>0.15</v>
      </c>
      <c r="N718" s="12">
        <v>217.99949999999998</v>
      </c>
      <c r="O718" s="12">
        <v>1235.3305</v>
      </c>
      <c r="P718" s="37">
        <f t="shared" si="24"/>
        <v>44987</v>
      </c>
      <c r="Q718" s="12">
        <v>1500.0</v>
      </c>
      <c r="R718" s="14"/>
      <c r="S718" s="15">
        <v>44958.0</v>
      </c>
      <c r="T718" s="4" t="b">
        <v>0</v>
      </c>
    </row>
    <row r="719" hidden="1">
      <c r="A719" s="16" t="s">
        <v>82</v>
      </c>
      <c r="B719" s="17">
        <v>800.0</v>
      </c>
      <c r="C719" s="16" t="s">
        <v>18</v>
      </c>
      <c r="D719" s="18">
        <v>5440.0</v>
      </c>
      <c r="E719" s="19">
        <v>44957.0</v>
      </c>
      <c r="F719" s="17">
        <v>0.0</v>
      </c>
      <c r="G719" s="20">
        <v>2023.01</v>
      </c>
      <c r="H719" s="21" t="s">
        <v>51</v>
      </c>
      <c r="I719" s="21" t="s">
        <v>52</v>
      </c>
      <c r="J719" s="21" t="s">
        <v>83</v>
      </c>
      <c r="K719" s="16" t="s">
        <v>21</v>
      </c>
      <c r="L719" s="22">
        <v>30.0</v>
      </c>
      <c r="M719" s="55">
        <v>0.0</v>
      </c>
      <c r="N719" s="23">
        <v>0.0</v>
      </c>
      <c r="O719" s="23">
        <v>800.0</v>
      </c>
      <c r="P719" s="48">
        <f t="shared" si="24"/>
        <v>44987</v>
      </c>
      <c r="Q719" s="23">
        <v>800.0</v>
      </c>
      <c r="R719" s="25"/>
      <c r="S719" s="26">
        <v>44958.0</v>
      </c>
      <c r="T719" s="16" t="b">
        <v>0</v>
      </c>
    </row>
    <row r="720" hidden="1">
      <c r="A720" s="4" t="s">
        <v>88</v>
      </c>
      <c r="B720" s="5">
        <v>500.0</v>
      </c>
      <c r="C720" s="4" t="s">
        <v>18</v>
      </c>
      <c r="D720" s="6">
        <v>5436.0</v>
      </c>
      <c r="E720" s="7">
        <v>44957.0</v>
      </c>
      <c r="F720" s="5">
        <v>15.56</v>
      </c>
      <c r="G720" s="8">
        <v>2023.01</v>
      </c>
      <c r="H720" s="9" t="s">
        <v>51</v>
      </c>
      <c r="I720" s="9" t="s">
        <v>52</v>
      </c>
      <c r="J720" s="9" t="s">
        <v>89</v>
      </c>
      <c r="K720" s="4" t="s">
        <v>21</v>
      </c>
      <c r="L720" s="10">
        <v>30.0</v>
      </c>
      <c r="M720" s="54">
        <v>0.0</v>
      </c>
      <c r="N720" s="12">
        <v>0.0</v>
      </c>
      <c r="O720" s="12">
        <v>484.44</v>
      </c>
      <c r="P720" s="37">
        <f t="shared" si="24"/>
        <v>44987</v>
      </c>
      <c r="Q720" s="12">
        <v>500.0</v>
      </c>
      <c r="R720" s="14"/>
      <c r="S720" s="15">
        <v>44958.0</v>
      </c>
      <c r="T720" s="4" t="b">
        <v>0</v>
      </c>
    </row>
    <row r="721" hidden="1">
      <c r="A721" s="16" t="s">
        <v>50</v>
      </c>
      <c r="B721" s="17">
        <v>375.0</v>
      </c>
      <c r="C721" s="16" t="s">
        <v>18</v>
      </c>
      <c r="D721" s="18">
        <v>5441.0</v>
      </c>
      <c r="E721" s="19">
        <v>44957.0</v>
      </c>
      <c r="F721" s="17">
        <v>0.0</v>
      </c>
      <c r="G721" s="20">
        <v>2023.01</v>
      </c>
      <c r="H721" s="21" t="s">
        <v>51</v>
      </c>
      <c r="I721" s="21" t="s">
        <v>52</v>
      </c>
      <c r="J721" s="21" t="s">
        <v>400</v>
      </c>
      <c r="K721" s="16" t="s">
        <v>21</v>
      </c>
      <c r="L721" s="22">
        <v>30.0</v>
      </c>
      <c r="M721" s="55">
        <v>0.0</v>
      </c>
      <c r="N721" s="23">
        <v>0.0</v>
      </c>
      <c r="O721" s="23">
        <v>375.0</v>
      </c>
      <c r="P721" s="48">
        <f t="shared" si="24"/>
        <v>44987</v>
      </c>
      <c r="Q721" s="23">
        <v>375.0</v>
      </c>
      <c r="R721" s="25"/>
      <c r="S721" s="26">
        <v>44958.0</v>
      </c>
      <c r="T721" s="16" t="b">
        <v>0</v>
      </c>
    </row>
    <row r="722" hidden="1">
      <c r="A722" s="4" t="s">
        <v>105</v>
      </c>
      <c r="B722" s="5">
        <f>300*1.289712</f>
        <v>386.9136</v>
      </c>
      <c r="C722" s="4" t="s">
        <v>18</v>
      </c>
      <c r="D722" s="6" t="s">
        <v>802</v>
      </c>
      <c r="E722" s="7">
        <v>44957.0</v>
      </c>
      <c r="F722" s="34">
        <f>11.4*1.289712</f>
        <v>14.7027168</v>
      </c>
      <c r="G722" s="8">
        <v>2023.01</v>
      </c>
      <c r="H722" s="9" t="s">
        <v>51</v>
      </c>
      <c r="I722" s="9" t="s">
        <v>52</v>
      </c>
      <c r="J722" s="9" t="s">
        <v>154</v>
      </c>
      <c r="K722" s="4" t="s">
        <v>9</v>
      </c>
      <c r="L722" s="10">
        <v>30.0</v>
      </c>
      <c r="M722" s="54">
        <v>0.0</v>
      </c>
      <c r="N722" s="12">
        <v>0.0</v>
      </c>
      <c r="O722" s="12">
        <v>372.21088319999996</v>
      </c>
      <c r="P722" s="37">
        <f t="shared" si="24"/>
        <v>44987</v>
      </c>
      <c r="Q722" s="12">
        <v>300.0</v>
      </c>
      <c r="R722" s="14"/>
      <c r="S722" s="15">
        <v>44958.0</v>
      </c>
      <c r="T722" s="4" t="b">
        <v>0</v>
      </c>
    </row>
    <row r="723" hidden="1">
      <c r="A723" s="16" t="s">
        <v>90</v>
      </c>
      <c r="B723" s="17">
        <v>1150.0</v>
      </c>
      <c r="C723" s="16" t="s">
        <v>18</v>
      </c>
      <c r="D723" s="18">
        <v>5442.0</v>
      </c>
      <c r="E723" s="19">
        <v>44957.0</v>
      </c>
      <c r="F723" s="17">
        <v>0.0</v>
      </c>
      <c r="G723" s="20">
        <v>2023.01</v>
      </c>
      <c r="H723" s="21" t="s">
        <v>51</v>
      </c>
      <c r="I723" s="21" t="s">
        <v>52</v>
      </c>
      <c r="J723" s="21" t="s">
        <v>215</v>
      </c>
      <c r="K723" s="16" t="s">
        <v>21</v>
      </c>
      <c r="L723" s="22">
        <v>30.0</v>
      </c>
      <c r="M723" s="55">
        <v>0.0</v>
      </c>
      <c r="N723" s="23">
        <v>0.0</v>
      </c>
      <c r="O723" s="23">
        <v>1150.0</v>
      </c>
      <c r="P723" s="48">
        <f t="shared" si="24"/>
        <v>44987</v>
      </c>
      <c r="Q723" s="23">
        <v>1150.0</v>
      </c>
      <c r="R723" s="25"/>
      <c r="S723" s="26">
        <v>44958.0</v>
      </c>
      <c r="T723" s="16" t="b">
        <v>0</v>
      </c>
    </row>
    <row r="724" hidden="1">
      <c r="A724" s="4" t="s">
        <v>97</v>
      </c>
      <c r="B724" s="5">
        <v>300.0</v>
      </c>
      <c r="C724" s="4" t="s">
        <v>18</v>
      </c>
      <c r="D724" s="6">
        <v>5443.0</v>
      </c>
      <c r="E724" s="7">
        <v>44957.0</v>
      </c>
      <c r="F724" s="5">
        <v>9.33</v>
      </c>
      <c r="G724" s="8">
        <v>2023.01</v>
      </c>
      <c r="H724" s="9" t="s">
        <v>51</v>
      </c>
      <c r="I724" s="9" t="s">
        <v>52</v>
      </c>
      <c r="J724" s="9" t="s">
        <v>98</v>
      </c>
      <c r="K724" s="4" t="s">
        <v>21</v>
      </c>
      <c r="L724" s="10">
        <v>30.0</v>
      </c>
      <c r="M724" s="54">
        <v>0.0</v>
      </c>
      <c r="N724" s="12">
        <v>0.0</v>
      </c>
      <c r="O724" s="12">
        <v>290.67</v>
      </c>
      <c r="P724" s="37">
        <f t="shared" si="24"/>
        <v>44987</v>
      </c>
      <c r="Q724" s="12">
        <v>300.0</v>
      </c>
      <c r="R724" s="14"/>
      <c r="S724" s="15">
        <v>44958.0</v>
      </c>
      <c r="T724" s="4" t="b">
        <v>0</v>
      </c>
    </row>
    <row r="725" hidden="1">
      <c r="A725" s="16" t="s">
        <v>92</v>
      </c>
      <c r="B725" s="17">
        <v>2500.0</v>
      </c>
      <c r="C725" s="16" t="s">
        <v>18</v>
      </c>
      <c r="D725" s="18">
        <v>5444.0</v>
      </c>
      <c r="E725" s="19">
        <v>44957.0</v>
      </c>
      <c r="F725" s="17">
        <v>77.78</v>
      </c>
      <c r="G725" s="20">
        <v>2023.01</v>
      </c>
      <c r="H725" s="21" t="s">
        <v>51</v>
      </c>
      <c r="I725" s="21" t="s">
        <v>52</v>
      </c>
      <c r="J725" s="21" t="s">
        <v>93</v>
      </c>
      <c r="K725" s="16" t="s">
        <v>21</v>
      </c>
      <c r="L725" s="22">
        <v>30.0</v>
      </c>
      <c r="M725" s="55">
        <v>0.0</v>
      </c>
      <c r="N725" s="23">
        <v>0.0</v>
      </c>
      <c r="O725" s="23">
        <v>2422.22</v>
      </c>
      <c r="P725" s="48">
        <f t="shared" si="24"/>
        <v>44987</v>
      </c>
      <c r="Q725" s="23">
        <v>2500.0</v>
      </c>
      <c r="R725" s="25"/>
      <c r="S725" s="26">
        <v>44958.0</v>
      </c>
      <c r="T725" s="16" t="b">
        <v>0</v>
      </c>
    </row>
    <row r="726" hidden="1">
      <c r="A726" s="4" t="s">
        <v>123</v>
      </c>
      <c r="B726" s="5">
        <f>4500*1.32405</f>
        <v>5958.225</v>
      </c>
      <c r="C726" s="4" t="s">
        <v>18</v>
      </c>
      <c r="D726" s="6" t="s">
        <v>803</v>
      </c>
      <c r="E726" s="7">
        <v>44957.0</v>
      </c>
      <c r="F726" s="34">
        <f>166.8*1.32405</f>
        <v>220.85154</v>
      </c>
      <c r="G726" s="8">
        <v>2023.01</v>
      </c>
      <c r="H726" s="9" t="s">
        <v>51</v>
      </c>
      <c r="I726" s="9" t="s">
        <v>52</v>
      </c>
      <c r="J726" s="9" t="s">
        <v>673</v>
      </c>
      <c r="K726" s="4" t="s">
        <v>9</v>
      </c>
      <c r="L726" s="10">
        <v>30.0</v>
      </c>
      <c r="M726" s="54">
        <v>0.2</v>
      </c>
      <c r="N726" s="12">
        <v>1147.474692</v>
      </c>
      <c r="O726" s="12">
        <v>4589.898768</v>
      </c>
      <c r="P726" s="37">
        <f t="shared" si="24"/>
        <v>44987</v>
      </c>
      <c r="Q726" s="12">
        <v>4500.0</v>
      </c>
      <c r="R726" s="14"/>
      <c r="S726" s="15">
        <v>44986.0</v>
      </c>
      <c r="T726" s="4" t="b">
        <v>0</v>
      </c>
    </row>
    <row r="727" hidden="1">
      <c r="A727" s="16" t="s">
        <v>115</v>
      </c>
      <c r="B727" s="17">
        <f t="shared" ref="B727:B728" si="25">2000*1.3039125</f>
        <v>2607.825</v>
      </c>
      <c r="C727" s="16" t="s">
        <v>18</v>
      </c>
      <c r="D727" s="18" t="s">
        <v>804</v>
      </c>
      <c r="E727" s="19">
        <v>44957.0</v>
      </c>
      <c r="F727" s="17">
        <v>0.0</v>
      </c>
      <c r="G727" s="20">
        <v>2023.01</v>
      </c>
      <c r="H727" s="21" t="s">
        <v>51</v>
      </c>
      <c r="I727" s="21" t="s">
        <v>52</v>
      </c>
      <c r="J727" s="21" t="s">
        <v>117</v>
      </c>
      <c r="K727" s="16" t="s">
        <v>9</v>
      </c>
      <c r="L727" s="22">
        <v>30.0</v>
      </c>
      <c r="M727" s="55">
        <v>0.0</v>
      </c>
      <c r="N727" s="23">
        <v>0.0</v>
      </c>
      <c r="O727" s="23">
        <v>2607.8250000000003</v>
      </c>
      <c r="P727" s="48">
        <f t="shared" si="24"/>
        <v>44987</v>
      </c>
      <c r="Q727" s="23">
        <v>2000.0</v>
      </c>
      <c r="R727" s="25"/>
      <c r="S727" s="26">
        <v>44958.0</v>
      </c>
      <c r="T727" s="16" t="b">
        <v>0</v>
      </c>
    </row>
    <row r="728" hidden="1">
      <c r="A728" s="4" t="s">
        <v>118</v>
      </c>
      <c r="B728" s="5">
        <f t="shared" si="25"/>
        <v>2607.825</v>
      </c>
      <c r="C728" s="4" t="s">
        <v>18</v>
      </c>
      <c r="D728" s="6" t="s">
        <v>805</v>
      </c>
      <c r="E728" s="7">
        <v>44957.0</v>
      </c>
      <c r="F728" s="5">
        <v>0.0</v>
      </c>
      <c r="G728" s="8">
        <v>2023.01</v>
      </c>
      <c r="H728" s="9" t="s">
        <v>51</v>
      </c>
      <c r="I728" s="9" t="s">
        <v>52</v>
      </c>
      <c r="J728" s="9" t="s">
        <v>117</v>
      </c>
      <c r="K728" s="4" t="s">
        <v>9</v>
      </c>
      <c r="L728" s="10">
        <v>30.0</v>
      </c>
      <c r="M728" s="54">
        <v>0.0</v>
      </c>
      <c r="N728" s="12">
        <v>0.0</v>
      </c>
      <c r="O728" s="12">
        <v>2607.8250000000003</v>
      </c>
      <c r="P728" s="37">
        <f t="shared" si="24"/>
        <v>44987</v>
      </c>
      <c r="Q728" s="12">
        <v>2000.0</v>
      </c>
      <c r="R728" s="14"/>
      <c r="S728" s="15">
        <v>44958.0</v>
      </c>
      <c r="T728" s="4" t="b">
        <v>0</v>
      </c>
    </row>
    <row r="729" hidden="1">
      <c r="A729" s="16" t="s">
        <v>73</v>
      </c>
      <c r="B729" s="17">
        <v>700.0</v>
      </c>
      <c r="C729" s="16" t="s">
        <v>18</v>
      </c>
      <c r="D729" s="18">
        <v>5445.0</v>
      </c>
      <c r="E729" s="19">
        <v>44957.0</v>
      </c>
      <c r="F729" s="17">
        <v>0.0</v>
      </c>
      <c r="G729" s="20">
        <v>2023.01</v>
      </c>
      <c r="H729" s="21" t="s">
        <v>51</v>
      </c>
      <c r="I729" s="21" t="s">
        <v>52</v>
      </c>
      <c r="J729" s="21" t="s">
        <v>74</v>
      </c>
      <c r="K729" s="16" t="s">
        <v>21</v>
      </c>
      <c r="L729" s="22">
        <v>30.0</v>
      </c>
      <c r="M729" s="55">
        <v>0.0</v>
      </c>
      <c r="N729" s="23">
        <v>0.0</v>
      </c>
      <c r="O729" s="23">
        <v>700.0</v>
      </c>
      <c r="P729" s="48">
        <f t="shared" si="24"/>
        <v>44987</v>
      </c>
      <c r="Q729" s="23">
        <v>700.0</v>
      </c>
      <c r="R729" s="25"/>
      <c r="S729" s="26">
        <v>44958.0</v>
      </c>
      <c r="T729" s="16" t="b">
        <v>0</v>
      </c>
    </row>
    <row r="730" hidden="1">
      <c r="A730" s="4" t="s">
        <v>499</v>
      </c>
      <c r="B730" s="5">
        <v>1650.0</v>
      </c>
      <c r="C730" s="4" t="s">
        <v>18</v>
      </c>
      <c r="D730" s="6">
        <v>5446.0</v>
      </c>
      <c r="E730" s="7">
        <v>44957.0</v>
      </c>
      <c r="F730" s="34">
        <f>1864.5*0.02963</f>
        <v>55.245135</v>
      </c>
      <c r="G730" s="8">
        <v>2023.01</v>
      </c>
      <c r="H730" s="9" t="s">
        <v>51</v>
      </c>
      <c r="I730" s="9" t="s">
        <v>52</v>
      </c>
      <c r="J730" s="9" t="s">
        <v>500</v>
      </c>
      <c r="K730" s="4" t="s">
        <v>21</v>
      </c>
      <c r="L730" s="10">
        <v>30.0</v>
      </c>
      <c r="M730" s="54">
        <v>0.0</v>
      </c>
      <c r="N730" s="12">
        <v>0.0</v>
      </c>
      <c r="O730" s="12">
        <v>1594.754865</v>
      </c>
      <c r="P730" s="37">
        <f t="shared" si="24"/>
        <v>44987</v>
      </c>
      <c r="Q730" s="12">
        <v>1650.0</v>
      </c>
      <c r="R730" s="14"/>
      <c r="S730" s="15">
        <v>44958.0</v>
      </c>
      <c r="T730" s="4" t="b">
        <v>0</v>
      </c>
    </row>
    <row r="731" hidden="1">
      <c r="A731" s="16" t="s">
        <v>806</v>
      </c>
      <c r="B731" s="17">
        <v>400.0</v>
      </c>
      <c r="C731" s="16" t="s">
        <v>18</v>
      </c>
      <c r="D731" s="18">
        <v>5447.0</v>
      </c>
      <c r="E731" s="19">
        <v>44957.0</v>
      </c>
      <c r="F731" s="17">
        <v>12.44</v>
      </c>
      <c r="G731" s="20">
        <v>2023.01</v>
      </c>
      <c r="H731" s="21" t="s">
        <v>51</v>
      </c>
      <c r="I731" s="21" t="s">
        <v>52</v>
      </c>
      <c r="J731" s="21" t="s">
        <v>807</v>
      </c>
      <c r="K731" s="16" t="s">
        <v>21</v>
      </c>
      <c r="L731" s="22">
        <v>15.0</v>
      </c>
      <c r="M731" s="55">
        <v>0.0</v>
      </c>
      <c r="N731" s="23">
        <v>0.0</v>
      </c>
      <c r="O731" s="23">
        <v>387.56</v>
      </c>
      <c r="P731" s="48">
        <f t="shared" si="24"/>
        <v>44972</v>
      </c>
      <c r="Q731" s="23">
        <v>400.0</v>
      </c>
      <c r="R731" s="25"/>
      <c r="S731" s="26">
        <v>44958.0</v>
      </c>
      <c r="T731" s="16" t="b">
        <v>0</v>
      </c>
    </row>
    <row r="732" hidden="1">
      <c r="A732" s="4" t="s">
        <v>695</v>
      </c>
      <c r="B732" s="5">
        <v>600.0</v>
      </c>
      <c r="C732" s="4" t="s">
        <v>18</v>
      </c>
      <c r="D732" s="6">
        <v>5448.0</v>
      </c>
      <c r="E732" s="7">
        <v>44957.0</v>
      </c>
      <c r="F732" s="5">
        <v>18.67</v>
      </c>
      <c r="G732" s="8">
        <v>2023.01</v>
      </c>
      <c r="H732" s="9" t="s">
        <v>51</v>
      </c>
      <c r="I732" s="9" t="s">
        <v>52</v>
      </c>
      <c r="J732" s="9" t="s">
        <v>696</v>
      </c>
      <c r="K732" s="4" t="s">
        <v>21</v>
      </c>
      <c r="L732" s="10">
        <v>30.0</v>
      </c>
      <c r="M732" s="54">
        <v>0.0</v>
      </c>
      <c r="N732" s="12">
        <v>0.0</v>
      </c>
      <c r="O732" s="12">
        <v>581.33</v>
      </c>
      <c r="P732" s="37">
        <f t="shared" si="24"/>
        <v>44987</v>
      </c>
      <c r="Q732" s="12">
        <v>600.0</v>
      </c>
      <c r="R732" s="14"/>
      <c r="S732" s="15">
        <v>44958.0</v>
      </c>
      <c r="T732" s="4" t="b">
        <v>0</v>
      </c>
    </row>
    <row r="733" hidden="1">
      <c r="A733" s="16" t="s">
        <v>808</v>
      </c>
      <c r="B733" s="17">
        <v>900.0</v>
      </c>
      <c r="C733" s="16" t="s">
        <v>18</v>
      </c>
      <c r="D733" s="18">
        <v>5449.0</v>
      </c>
      <c r="E733" s="19">
        <v>44957.0</v>
      </c>
      <c r="F733" s="17">
        <v>0.0</v>
      </c>
      <c r="G733" s="20">
        <v>2023.0</v>
      </c>
      <c r="H733" s="21" t="s">
        <v>766</v>
      </c>
      <c r="I733" s="21" t="s">
        <v>252</v>
      </c>
      <c r="J733" s="21" t="s">
        <v>809</v>
      </c>
      <c r="K733" s="16" t="s">
        <v>21</v>
      </c>
      <c r="L733" s="22">
        <v>0.0</v>
      </c>
      <c r="M733" s="55">
        <v>0.0</v>
      </c>
      <c r="N733" s="23">
        <v>0.0</v>
      </c>
      <c r="O733" s="23">
        <v>900.0</v>
      </c>
      <c r="P733" s="48">
        <f t="shared" si="24"/>
        <v>44957</v>
      </c>
      <c r="Q733" s="23">
        <v>900.0</v>
      </c>
      <c r="R733" s="25"/>
      <c r="S733" s="26">
        <v>44958.0</v>
      </c>
      <c r="T733" s="16" t="b">
        <v>0</v>
      </c>
    </row>
    <row r="734" hidden="1">
      <c r="A734" s="4" t="s">
        <v>810</v>
      </c>
      <c r="B734" s="5">
        <f>800*1.289809</f>
        <v>1031.8472</v>
      </c>
      <c r="C734" s="4" t="s">
        <v>18</v>
      </c>
      <c r="D734" s="6" t="s">
        <v>811</v>
      </c>
      <c r="E734" s="7">
        <v>44957.0</v>
      </c>
      <c r="F734" s="34">
        <f>118.7*1.289809</f>
        <v>153.1003283</v>
      </c>
      <c r="G734" s="8">
        <v>2023.01</v>
      </c>
      <c r="H734" s="9" t="s">
        <v>51</v>
      </c>
      <c r="I734" s="9" t="s">
        <v>52</v>
      </c>
      <c r="J734" s="9" t="s">
        <v>812</v>
      </c>
      <c r="K734" s="4" t="s">
        <v>9</v>
      </c>
      <c r="L734" s="10">
        <v>0.0</v>
      </c>
      <c r="M734" s="54">
        <v>0.0</v>
      </c>
      <c r="N734" s="12">
        <v>0.0</v>
      </c>
      <c r="O734" s="12">
        <v>878.7468716999999</v>
      </c>
      <c r="P734" s="37">
        <f t="shared" si="24"/>
        <v>44957</v>
      </c>
      <c r="Q734" s="12">
        <v>880.0</v>
      </c>
      <c r="R734" s="14"/>
      <c r="S734" s="15">
        <v>44958.0</v>
      </c>
      <c r="T734" s="4" t="b">
        <v>0</v>
      </c>
    </row>
    <row r="735" hidden="1">
      <c r="A735" s="16" t="s">
        <v>810</v>
      </c>
      <c r="B735" s="17">
        <f>3200*1.289809</f>
        <v>4127.3888</v>
      </c>
      <c r="C735" s="16" t="s">
        <v>18</v>
      </c>
      <c r="D735" s="18" t="s">
        <v>813</v>
      </c>
      <c r="E735" s="19">
        <v>44957.0</v>
      </c>
      <c r="F735" s="35">
        <f>29.9*1.289809</f>
        <v>38.5652891</v>
      </c>
      <c r="G735" s="20">
        <v>2023.01</v>
      </c>
      <c r="H735" s="21" t="s">
        <v>51</v>
      </c>
      <c r="I735" s="21" t="s">
        <v>52</v>
      </c>
      <c r="J735" s="21" t="s">
        <v>814</v>
      </c>
      <c r="K735" s="16" t="s">
        <v>9</v>
      </c>
      <c r="L735" s="22">
        <v>0.0</v>
      </c>
      <c r="M735" s="55">
        <v>0.0</v>
      </c>
      <c r="N735" s="23">
        <v>0.0</v>
      </c>
      <c r="O735" s="23">
        <v>4088.8235108999997</v>
      </c>
      <c r="P735" s="48">
        <f t="shared" si="24"/>
        <v>44957</v>
      </c>
      <c r="Q735" s="23">
        <v>880.0</v>
      </c>
      <c r="R735" s="25"/>
      <c r="S735" s="26">
        <v>44958.0</v>
      </c>
      <c r="T735" s="16" t="b">
        <v>0</v>
      </c>
    </row>
    <row r="736" hidden="1">
      <c r="A736" s="4" t="s">
        <v>394</v>
      </c>
      <c r="B736" s="5">
        <f>150*1.2982</f>
        <v>194.73</v>
      </c>
      <c r="C736" s="4" t="s">
        <v>18</v>
      </c>
      <c r="D736" s="6" t="s">
        <v>815</v>
      </c>
      <c r="E736" s="7">
        <v>45044.0</v>
      </c>
      <c r="F736" s="5">
        <v>0.0</v>
      </c>
      <c r="G736" s="8">
        <v>2023.0</v>
      </c>
      <c r="H736" s="9" t="s">
        <v>447</v>
      </c>
      <c r="I736" s="9" t="s">
        <v>257</v>
      </c>
      <c r="J736" s="9" t="s">
        <v>816</v>
      </c>
      <c r="K736" s="4" t="s">
        <v>9</v>
      </c>
      <c r="L736" s="10">
        <v>30.0</v>
      </c>
      <c r="M736" s="54">
        <v>0.0</v>
      </c>
      <c r="N736" s="12">
        <v>0.0</v>
      </c>
      <c r="O736" s="12">
        <v>194.73</v>
      </c>
      <c r="P736" s="37">
        <f t="shared" si="24"/>
        <v>45074</v>
      </c>
      <c r="Q736" s="12">
        <v>150.0</v>
      </c>
      <c r="R736" s="14"/>
      <c r="S736" s="15">
        <v>45047.0</v>
      </c>
      <c r="T736" s="4" t="b">
        <v>0</v>
      </c>
    </row>
    <row r="737" hidden="1">
      <c r="A737" s="16" t="s">
        <v>817</v>
      </c>
      <c r="B737" s="17">
        <v>7500.0</v>
      </c>
      <c r="C737" s="16" t="s">
        <v>18</v>
      </c>
      <c r="D737" s="18">
        <v>5451.0</v>
      </c>
      <c r="E737" s="19">
        <v>44959.0</v>
      </c>
      <c r="F737" s="35">
        <f>7875*0.02963</f>
        <v>233.33625</v>
      </c>
      <c r="G737" s="20">
        <v>2023.02</v>
      </c>
      <c r="H737" s="21" t="s">
        <v>27</v>
      </c>
      <c r="I737" s="21" t="s">
        <v>52</v>
      </c>
      <c r="J737" s="21" t="s">
        <v>818</v>
      </c>
      <c r="K737" s="16" t="s">
        <v>21</v>
      </c>
      <c r="L737" s="22">
        <v>30.0</v>
      </c>
      <c r="M737" s="55">
        <v>0.0</v>
      </c>
      <c r="N737" s="23">
        <v>0.0</v>
      </c>
      <c r="O737" s="23">
        <v>7266.66375</v>
      </c>
      <c r="P737" s="48">
        <f t="shared" si="24"/>
        <v>44989</v>
      </c>
      <c r="Q737" s="23">
        <v>7500.0</v>
      </c>
      <c r="R737" s="25"/>
      <c r="S737" s="26">
        <v>44986.0</v>
      </c>
      <c r="T737" s="16" t="b">
        <v>0</v>
      </c>
    </row>
    <row r="738" hidden="1">
      <c r="A738" s="4" t="s">
        <v>676</v>
      </c>
      <c r="B738" s="5">
        <v>1000.0</v>
      </c>
      <c r="C738" s="4" t="s">
        <v>18</v>
      </c>
      <c r="D738" s="6">
        <v>5450.0</v>
      </c>
      <c r="E738" s="7">
        <v>44959.0</v>
      </c>
      <c r="F738" s="5">
        <v>0.0</v>
      </c>
      <c r="G738" s="8">
        <v>2023.0</v>
      </c>
      <c r="H738" s="9" t="s">
        <v>447</v>
      </c>
      <c r="I738" s="9" t="s">
        <v>819</v>
      </c>
      <c r="J738" s="9" t="s">
        <v>820</v>
      </c>
      <c r="K738" s="4" t="s">
        <v>21</v>
      </c>
      <c r="L738" s="10">
        <v>15.0</v>
      </c>
      <c r="M738" s="54">
        <v>0.0</v>
      </c>
      <c r="N738" s="12">
        <v>0.0</v>
      </c>
      <c r="O738" s="12">
        <v>1000.0</v>
      </c>
      <c r="P738" s="37">
        <f t="shared" si="24"/>
        <v>44974</v>
      </c>
      <c r="Q738" s="12">
        <v>1950.0</v>
      </c>
      <c r="R738" s="14"/>
      <c r="S738" s="15">
        <v>44986.0</v>
      </c>
      <c r="T738" s="4" t="b">
        <v>0</v>
      </c>
    </row>
    <row r="739" hidden="1">
      <c r="A739" s="16" t="s">
        <v>821</v>
      </c>
      <c r="B739" s="17">
        <v>750.0</v>
      </c>
      <c r="C739" s="16" t="s">
        <v>18</v>
      </c>
      <c r="D739" s="18">
        <v>5452.0</v>
      </c>
      <c r="E739" s="19">
        <v>44970.0</v>
      </c>
      <c r="F739" s="17">
        <v>23.33</v>
      </c>
      <c r="G739" s="20">
        <v>2023.0</v>
      </c>
      <c r="H739" s="21" t="s">
        <v>693</v>
      </c>
      <c r="I739" s="21" t="s">
        <v>822</v>
      </c>
      <c r="J739" s="21" t="s">
        <v>823</v>
      </c>
      <c r="K739" s="16" t="s">
        <v>21</v>
      </c>
      <c r="L739" s="22">
        <v>15.0</v>
      </c>
      <c r="M739" s="55">
        <v>0.0</v>
      </c>
      <c r="N739" s="23">
        <v>0.0</v>
      </c>
      <c r="O739" s="23">
        <v>726.67</v>
      </c>
      <c r="P739" s="48">
        <f t="shared" si="24"/>
        <v>44985</v>
      </c>
      <c r="Q739" s="23">
        <v>1500.0</v>
      </c>
      <c r="R739" s="25"/>
      <c r="S739" s="26">
        <v>44986.0</v>
      </c>
      <c r="T739" s="16" t="b">
        <v>0</v>
      </c>
    </row>
    <row r="740" hidden="1">
      <c r="A740" s="4" t="s">
        <v>821</v>
      </c>
      <c r="B740" s="5">
        <v>750.0</v>
      </c>
      <c r="C740" s="4" t="s">
        <v>18</v>
      </c>
      <c r="D740" s="6">
        <v>5478.0</v>
      </c>
      <c r="E740" s="7">
        <v>45000.0</v>
      </c>
      <c r="F740" s="5">
        <v>23.33</v>
      </c>
      <c r="G740" s="8">
        <v>2023.0</v>
      </c>
      <c r="H740" s="9" t="s">
        <v>693</v>
      </c>
      <c r="I740" s="9" t="s">
        <v>824</v>
      </c>
      <c r="J740" s="9" t="s">
        <v>825</v>
      </c>
      <c r="K740" s="4" t="s">
        <v>21</v>
      </c>
      <c r="L740" s="10">
        <v>15.0</v>
      </c>
      <c r="M740" s="54">
        <v>0.0</v>
      </c>
      <c r="N740" s="12">
        <v>0.0</v>
      </c>
      <c r="O740" s="12">
        <v>726.67</v>
      </c>
      <c r="P740" s="37">
        <f t="shared" si="24"/>
        <v>45015</v>
      </c>
      <c r="Q740" s="12">
        <v>1500.0</v>
      </c>
      <c r="R740" s="14"/>
      <c r="S740" s="15">
        <v>44986.0</v>
      </c>
      <c r="T740" s="4" t="b">
        <v>0</v>
      </c>
    </row>
    <row r="741" hidden="1">
      <c r="A741" s="16" t="s">
        <v>99</v>
      </c>
      <c r="B741" s="17">
        <f>1430*1.293107</f>
        <v>1849.14301</v>
      </c>
      <c r="C741" s="16" t="s">
        <v>18</v>
      </c>
      <c r="D741" s="18" t="s">
        <v>826</v>
      </c>
      <c r="E741" s="19">
        <v>44972.0</v>
      </c>
      <c r="F741" s="35">
        <f>53.21*1.293107</f>
        <v>68.80622347</v>
      </c>
      <c r="G741" s="20">
        <v>2023.02</v>
      </c>
      <c r="H741" s="21" t="s">
        <v>27</v>
      </c>
      <c r="I741" s="21" t="s">
        <v>52</v>
      </c>
      <c r="J741" s="21" t="s">
        <v>827</v>
      </c>
      <c r="K741" s="16" t="s">
        <v>9</v>
      </c>
      <c r="L741" s="22">
        <v>30.0</v>
      </c>
      <c r="M741" s="55">
        <v>0.2</v>
      </c>
      <c r="N741" s="23">
        <v>356.067357306</v>
      </c>
      <c r="O741" s="23">
        <v>1424.2694292239999</v>
      </c>
      <c r="P741" s="48">
        <f t="shared" si="24"/>
        <v>45002</v>
      </c>
      <c r="Q741" s="23">
        <v>1430.0</v>
      </c>
      <c r="R741" s="25"/>
      <c r="S741" s="26">
        <v>44986.0</v>
      </c>
      <c r="T741" s="16" t="b">
        <v>0</v>
      </c>
    </row>
    <row r="742" hidden="1">
      <c r="A742" s="4" t="s">
        <v>225</v>
      </c>
      <c r="B742" s="5">
        <v>5000.0</v>
      </c>
      <c r="C742" s="4" t="s">
        <v>18</v>
      </c>
      <c r="D742" s="6">
        <v>5454.0</v>
      </c>
      <c r="E742" s="7">
        <v>44972.0</v>
      </c>
      <c r="F742" s="5">
        <v>0.0</v>
      </c>
      <c r="G742" s="8">
        <v>2023.02</v>
      </c>
      <c r="H742" s="9" t="s">
        <v>27</v>
      </c>
      <c r="I742" s="9" t="s">
        <v>52</v>
      </c>
      <c r="J742" s="9" t="s">
        <v>828</v>
      </c>
      <c r="K742" s="4" t="s">
        <v>21</v>
      </c>
      <c r="L742" s="10">
        <v>30.0</v>
      </c>
      <c r="M742" s="54">
        <v>0.0</v>
      </c>
      <c r="N742" s="12">
        <v>0.0</v>
      </c>
      <c r="O742" s="12">
        <v>5000.0</v>
      </c>
      <c r="P742" s="37">
        <f t="shared" si="24"/>
        <v>45002</v>
      </c>
      <c r="Q742" s="12">
        <v>5000.0</v>
      </c>
      <c r="R742" s="14"/>
      <c r="S742" s="15">
        <v>44986.0</v>
      </c>
      <c r="T742" s="4" t="b">
        <v>0</v>
      </c>
    </row>
    <row r="743" hidden="1">
      <c r="A743" s="16" t="s">
        <v>102</v>
      </c>
      <c r="B743" s="17">
        <f>350*1.31726</f>
        <v>461.041</v>
      </c>
      <c r="C743" s="16" t="s">
        <v>18</v>
      </c>
      <c r="D743" s="18" t="s">
        <v>829</v>
      </c>
      <c r="E743" s="19">
        <v>44972.0</v>
      </c>
      <c r="F743" s="35">
        <f>13.25*1.31726</f>
        <v>17.453695</v>
      </c>
      <c r="G743" s="20">
        <v>2023.02</v>
      </c>
      <c r="H743" s="21" t="s">
        <v>27</v>
      </c>
      <c r="I743" s="21" t="s">
        <v>52</v>
      </c>
      <c r="J743" s="21" t="s">
        <v>104</v>
      </c>
      <c r="K743" s="16" t="s">
        <v>9</v>
      </c>
      <c r="L743" s="22">
        <v>30.0</v>
      </c>
      <c r="M743" s="55">
        <v>0.0</v>
      </c>
      <c r="N743" s="23">
        <v>0.0</v>
      </c>
      <c r="O743" s="23">
        <v>443.5873050000001</v>
      </c>
      <c r="P743" s="48">
        <f t="shared" si="24"/>
        <v>45002</v>
      </c>
      <c r="Q743" s="23">
        <v>350.0</v>
      </c>
      <c r="R743" s="25"/>
      <c r="S743" s="26">
        <v>44986.0</v>
      </c>
      <c r="T743" s="16" t="b">
        <v>0</v>
      </c>
    </row>
    <row r="744" hidden="1">
      <c r="A744" s="4" t="s">
        <v>62</v>
      </c>
      <c r="B744" s="5">
        <v>1600.0</v>
      </c>
      <c r="C744" s="4" t="s">
        <v>18</v>
      </c>
      <c r="D744" s="6">
        <v>5455.0</v>
      </c>
      <c r="E744" s="7">
        <v>44972.0</v>
      </c>
      <c r="F744" s="5">
        <v>49.78</v>
      </c>
      <c r="G744" s="8">
        <v>2023.02</v>
      </c>
      <c r="H744" s="9" t="s">
        <v>27</v>
      </c>
      <c r="I744" s="9" t="s">
        <v>52</v>
      </c>
      <c r="J744" s="9" t="s">
        <v>63</v>
      </c>
      <c r="K744" s="4" t="s">
        <v>21</v>
      </c>
      <c r="L744" s="10">
        <v>30.0</v>
      </c>
      <c r="M744" s="54">
        <v>0.0</v>
      </c>
      <c r="N744" s="12">
        <v>0.0</v>
      </c>
      <c r="O744" s="12">
        <v>1550.22</v>
      </c>
      <c r="P744" s="37">
        <f t="shared" si="24"/>
        <v>45002</v>
      </c>
      <c r="Q744" s="12">
        <v>1600.0</v>
      </c>
      <c r="R744" s="14"/>
      <c r="S744" s="15">
        <v>44986.0</v>
      </c>
      <c r="T744" s="4" t="b">
        <v>0</v>
      </c>
    </row>
    <row r="745" hidden="1">
      <c r="A745" s="16" t="s">
        <v>66</v>
      </c>
      <c r="B745" s="17">
        <v>990.0</v>
      </c>
      <c r="C745" s="16" t="s">
        <v>18</v>
      </c>
      <c r="D745" s="18">
        <v>5456.0</v>
      </c>
      <c r="E745" s="19">
        <v>44972.0</v>
      </c>
      <c r="F745" s="17">
        <v>0.0</v>
      </c>
      <c r="G745" s="20">
        <v>2023.02</v>
      </c>
      <c r="H745" s="21" t="s">
        <v>27</v>
      </c>
      <c r="I745" s="21" t="s">
        <v>52</v>
      </c>
      <c r="J745" s="21" t="s">
        <v>294</v>
      </c>
      <c r="K745" s="16" t="s">
        <v>21</v>
      </c>
      <c r="L745" s="22">
        <v>30.0</v>
      </c>
      <c r="M745" s="55">
        <v>0.0</v>
      </c>
      <c r="N745" s="23">
        <v>0.0</v>
      </c>
      <c r="O745" s="23">
        <v>990.0</v>
      </c>
      <c r="P745" s="48">
        <f t="shared" si="24"/>
        <v>45002</v>
      </c>
      <c r="Q745" s="23">
        <v>990.0</v>
      </c>
      <c r="R745" s="25"/>
      <c r="S745" s="26">
        <v>44986.0</v>
      </c>
      <c r="T745" s="16" t="b">
        <v>0</v>
      </c>
    </row>
    <row r="746" hidden="1">
      <c r="A746" s="4" t="s">
        <v>467</v>
      </c>
      <c r="B746" s="5">
        <f>280*1.310082</f>
        <v>366.82296</v>
      </c>
      <c r="C746" s="4" t="s">
        <v>18</v>
      </c>
      <c r="D746" s="6" t="s">
        <v>830</v>
      </c>
      <c r="E746" s="7">
        <v>44972.0</v>
      </c>
      <c r="F746" s="34">
        <f>10.66*1.310082</f>
        <v>13.96547412</v>
      </c>
      <c r="G746" s="8">
        <v>2023.02</v>
      </c>
      <c r="H746" s="9" t="s">
        <v>27</v>
      </c>
      <c r="I746" s="9" t="s">
        <v>52</v>
      </c>
      <c r="J746" s="9" t="s">
        <v>469</v>
      </c>
      <c r="K746" s="4" t="s">
        <v>9</v>
      </c>
      <c r="L746" s="10">
        <v>0.0</v>
      </c>
      <c r="M746" s="54">
        <v>0.2</v>
      </c>
      <c r="N746" s="12">
        <v>70.571497176</v>
      </c>
      <c r="O746" s="12">
        <v>282.285988704</v>
      </c>
      <c r="P746" s="37">
        <f t="shared" si="24"/>
        <v>44972</v>
      </c>
      <c r="Q746" s="12">
        <v>280.0</v>
      </c>
      <c r="R746" s="14"/>
      <c r="S746" s="15">
        <v>44986.0</v>
      </c>
      <c r="T746" s="4" t="b">
        <v>0</v>
      </c>
    </row>
    <row r="747" hidden="1">
      <c r="A747" s="16" t="s">
        <v>629</v>
      </c>
      <c r="B747" s="17">
        <f>280*1.31857</f>
        <v>369.1996</v>
      </c>
      <c r="C747" s="16" t="s">
        <v>18</v>
      </c>
      <c r="D747" s="18" t="s">
        <v>831</v>
      </c>
      <c r="E747" s="19">
        <v>44972.0</v>
      </c>
      <c r="F747" s="17">
        <v>11.01</v>
      </c>
      <c r="G747" s="20">
        <v>2023.02</v>
      </c>
      <c r="H747" s="21" t="s">
        <v>27</v>
      </c>
      <c r="I747" s="21" t="s">
        <v>52</v>
      </c>
      <c r="J747" s="21" t="s">
        <v>469</v>
      </c>
      <c r="K747" s="16" t="s">
        <v>9</v>
      </c>
      <c r="L747" s="22"/>
      <c r="M747" s="55">
        <v>0.0</v>
      </c>
      <c r="N747" s="23">
        <v>0.0</v>
      </c>
      <c r="O747" s="23">
        <v>358.18960000000004</v>
      </c>
      <c r="P747" s="48">
        <f t="shared" si="24"/>
        <v>44972</v>
      </c>
      <c r="Q747" s="23">
        <v>280.0</v>
      </c>
      <c r="R747" s="25"/>
      <c r="S747" s="26">
        <v>44986.0</v>
      </c>
      <c r="T747" s="16" t="b">
        <v>0</v>
      </c>
    </row>
    <row r="748" hidden="1">
      <c r="A748" s="4" t="s">
        <v>762</v>
      </c>
      <c r="B748" s="5">
        <v>500.0</v>
      </c>
      <c r="C748" s="4" t="s">
        <v>18</v>
      </c>
      <c r="D748" s="6">
        <v>5457.0</v>
      </c>
      <c r="E748" s="7">
        <v>44972.0</v>
      </c>
      <c r="F748" s="5">
        <v>0.0</v>
      </c>
      <c r="G748" s="8">
        <v>2023.02</v>
      </c>
      <c r="H748" s="9" t="s">
        <v>27</v>
      </c>
      <c r="I748" s="9" t="s">
        <v>52</v>
      </c>
      <c r="J748" s="9" t="s">
        <v>763</v>
      </c>
      <c r="K748" s="4" t="s">
        <v>21</v>
      </c>
      <c r="L748" s="10">
        <v>15.0</v>
      </c>
      <c r="M748" s="54">
        <v>0.0</v>
      </c>
      <c r="N748" s="12">
        <v>0.0</v>
      </c>
      <c r="O748" s="12">
        <v>500.0</v>
      </c>
      <c r="P748" s="37">
        <f t="shared" si="24"/>
        <v>44987</v>
      </c>
      <c r="Q748" s="12">
        <v>500.0</v>
      </c>
      <c r="R748" s="14"/>
      <c r="S748" s="15">
        <v>44986.0</v>
      </c>
      <c r="T748" s="4" t="b">
        <v>0</v>
      </c>
    </row>
    <row r="749" hidden="1">
      <c r="A749" s="16" t="s">
        <v>662</v>
      </c>
      <c r="B749" s="17">
        <v>2500.0</v>
      </c>
      <c r="C749" s="16" t="s">
        <v>18</v>
      </c>
      <c r="D749" s="18">
        <v>5458.0</v>
      </c>
      <c r="E749" s="19">
        <v>44972.0</v>
      </c>
      <c r="F749" s="17">
        <v>0.0</v>
      </c>
      <c r="G749" s="20">
        <v>2023.02</v>
      </c>
      <c r="H749" s="21" t="s">
        <v>27</v>
      </c>
      <c r="I749" s="21" t="s">
        <v>52</v>
      </c>
      <c r="J749" s="21" t="s">
        <v>832</v>
      </c>
      <c r="K749" s="16" t="s">
        <v>21</v>
      </c>
      <c r="L749" s="22">
        <v>15.0</v>
      </c>
      <c r="M749" s="55">
        <v>0.0</v>
      </c>
      <c r="N749" s="23">
        <v>0.0</v>
      </c>
      <c r="O749" s="23">
        <v>2500.0</v>
      </c>
      <c r="P749" s="48">
        <f t="shared" si="24"/>
        <v>44987</v>
      </c>
      <c r="Q749" s="23">
        <v>2500.0</v>
      </c>
      <c r="R749" s="25"/>
      <c r="S749" s="26">
        <v>44986.0</v>
      </c>
      <c r="T749" s="16" t="b">
        <v>0</v>
      </c>
    </row>
    <row r="750" hidden="1">
      <c r="A750" s="4" t="s">
        <v>788</v>
      </c>
      <c r="B750" s="5">
        <v>3000.0</v>
      </c>
      <c r="C750" s="4" t="s">
        <v>18</v>
      </c>
      <c r="D750" s="6">
        <v>5459.0</v>
      </c>
      <c r="E750" s="7">
        <v>44972.0</v>
      </c>
      <c r="F750" s="5">
        <v>0.0</v>
      </c>
      <c r="G750" s="8">
        <v>2023.02</v>
      </c>
      <c r="H750" s="9" t="s">
        <v>27</v>
      </c>
      <c r="I750" s="9" t="s">
        <v>52</v>
      </c>
      <c r="J750" s="9" t="s">
        <v>789</v>
      </c>
      <c r="K750" s="4" t="s">
        <v>21</v>
      </c>
      <c r="L750" s="10">
        <v>15.0</v>
      </c>
      <c r="M750" s="54">
        <v>0.0</v>
      </c>
      <c r="N750" s="12">
        <v>0.0</v>
      </c>
      <c r="O750" s="12">
        <v>3000.0</v>
      </c>
      <c r="P750" s="37">
        <f t="shared" si="24"/>
        <v>44987</v>
      </c>
      <c r="Q750" s="12">
        <v>3000.0</v>
      </c>
      <c r="R750" s="14"/>
      <c r="S750" s="15">
        <v>44986.0</v>
      </c>
      <c r="T750" s="4" t="b">
        <v>0</v>
      </c>
    </row>
    <row r="751" hidden="1">
      <c r="A751" s="16" t="s">
        <v>817</v>
      </c>
      <c r="B751" s="17">
        <v>7000.0</v>
      </c>
      <c r="C751" s="16" t="s">
        <v>18</v>
      </c>
      <c r="D751" s="18">
        <v>5479.0</v>
      </c>
      <c r="E751" s="19">
        <v>45000.0</v>
      </c>
      <c r="F751" s="17">
        <v>217.78</v>
      </c>
      <c r="G751" s="20">
        <v>2023.03</v>
      </c>
      <c r="H751" s="21" t="s">
        <v>27</v>
      </c>
      <c r="I751" s="21" t="s">
        <v>52</v>
      </c>
      <c r="J751" s="21" t="s">
        <v>833</v>
      </c>
      <c r="K751" s="16" t="s">
        <v>21</v>
      </c>
      <c r="L751" s="22">
        <v>30.0</v>
      </c>
      <c r="M751" s="55">
        <v>0.0</v>
      </c>
      <c r="N751" s="23">
        <v>0.0</v>
      </c>
      <c r="O751" s="23">
        <v>6782.22</v>
      </c>
      <c r="P751" s="48">
        <f t="shared" si="24"/>
        <v>45030</v>
      </c>
      <c r="Q751" s="23">
        <v>7500.0</v>
      </c>
      <c r="R751" s="21" t="s">
        <v>834</v>
      </c>
      <c r="S751" s="26">
        <v>44986.0</v>
      </c>
      <c r="T751" s="16" t="b">
        <v>0</v>
      </c>
    </row>
    <row r="752" hidden="1">
      <c r="A752" s="4" t="s">
        <v>835</v>
      </c>
      <c r="B752" s="5">
        <f t="shared" ref="B752:B753" si="26">9700/3</f>
        <v>3233.333333</v>
      </c>
      <c r="C752" s="4" t="s">
        <v>18</v>
      </c>
      <c r="D752" s="6">
        <v>5460.0</v>
      </c>
      <c r="E752" s="7">
        <v>44972.0</v>
      </c>
      <c r="F752" s="5">
        <v>100.59</v>
      </c>
      <c r="G752" s="8">
        <v>2023.0</v>
      </c>
      <c r="H752" s="9" t="s">
        <v>693</v>
      </c>
      <c r="I752" s="9" t="s">
        <v>688</v>
      </c>
      <c r="J752" s="9" t="s">
        <v>836</v>
      </c>
      <c r="K752" s="4" t="s">
        <v>21</v>
      </c>
      <c r="L752" s="10">
        <v>30.0</v>
      </c>
      <c r="M752" s="54">
        <v>0.0</v>
      </c>
      <c r="N752" s="12">
        <v>0.0</v>
      </c>
      <c r="O752" s="12">
        <v>3132.7433333333333</v>
      </c>
      <c r="P752" s="37">
        <f t="shared" si="24"/>
        <v>45002</v>
      </c>
      <c r="Q752" s="12">
        <v>9700.0</v>
      </c>
      <c r="R752" s="14"/>
      <c r="S752" s="15">
        <v>44986.0</v>
      </c>
      <c r="T752" s="4" t="b">
        <v>0</v>
      </c>
    </row>
    <row r="753" hidden="1">
      <c r="A753" s="16" t="s">
        <v>835</v>
      </c>
      <c r="B753" s="17">
        <f t="shared" si="26"/>
        <v>3233.333333</v>
      </c>
      <c r="C753" s="16" t="s">
        <v>18</v>
      </c>
      <c r="D753" s="18">
        <v>5491.0</v>
      </c>
      <c r="E753" s="19">
        <v>45016.0</v>
      </c>
      <c r="F753" s="17">
        <v>0.0</v>
      </c>
      <c r="G753" s="20">
        <v>2023.0</v>
      </c>
      <c r="H753" s="21" t="s">
        <v>693</v>
      </c>
      <c r="I753" s="21" t="s">
        <v>688</v>
      </c>
      <c r="J753" s="21" t="s">
        <v>837</v>
      </c>
      <c r="K753" s="16" t="s">
        <v>21</v>
      </c>
      <c r="L753" s="22">
        <v>30.0</v>
      </c>
      <c r="M753" s="55">
        <v>0.0</v>
      </c>
      <c r="N753" s="23">
        <v>0.0</v>
      </c>
      <c r="O753" s="23">
        <v>3233.3333333333335</v>
      </c>
      <c r="P753" s="48">
        <f t="shared" si="24"/>
        <v>45046</v>
      </c>
      <c r="Q753" s="23">
        <v>9700.0</v>
      </c>
      <c r="R753" s="21" t="s">
        <v>838</v>
      </c>
      <c r="S753" s="26">
        <v>44986.0</v>
      </c>
      <c r="T753" s="16" t="b">
        <v>0</v>
      </c>
    </row>
    <row r="754">
      <c r="A754" s="4" t="s">
        <v>835</v>
      </c>
      <c r="B754" s="5">
        <f>9700/3+0.01</f>
        <v>3233.343333</v>
      </c>
      <c r="C754" s="4" t="s">
        <v>18</v>
      </c>
      <c r="D754" s="6">
        <v>5567.0</v>
      </c>
      <c r="E754" s="7">
        <v>45107.0</v>
      </c>
      <c r="F754" s="5">
        <v>0.0</v>
      </c>
      <c r="G754" s="8">
        <v>2023.0</v>
      </c>
      <c r="H754" s="9" t="s">
        <v>693</v>
      </c>
      <c r="I754" s="9" t="s">
        <v>688</v>
      </c>
      <c r="J754" s="9" t="s">
        <v>839</v>
      </c>
      <c r="K754" s="4" t="s">
        <v>21</v>
      </c>
      <c r="L754" s="10">
        <v>30.0</v>
      </c>
      <c r="M754" s="54">
        <v>0.0</v>
      </c>
      <c r="N754" s="12">
        <v>0.0</v>
      </c>
      <c r="O754" s="12">
        <v>3233.3433333333337</v>
      </c>
      <c r="P754" s="37">
        <f t="shared" si="24"/>
        <v>45137</v>
      </c>
      <c r="Q754" s="12">
        <v>9700.0</v>
      </c>
      <c r="R754" s="14"/>
      <c r="S754" s="15">
        <v>45108.0</v>
      </c>
      <c r="T754" s="4" t="b">
        <v>0</v>
      </c>
    </row>
    <row r="755" hidden="1">
      <c r="A755" s="16" t="s">
        <v>840</v>
      </c>
      <c r="B755" s="17">
        <v>489.0</v>
      </c>
      <c r="C755" s="16" t="s">
        <v>18</v>
      </c>
      <c r="D755" s="18">
        <v>5461.0</v>
      </c>
      <c r="E755" s="19">
        <v>44984.0</v>
      </c>
      <c r="F755" s="17">
        <v>15.21</v>
      </c>
      <c r="G755" s="20">
        <v>2023.0</v>
      </c>
      <c r="H755" s="21" t="s">
        <v>693</v>
      </c>
      <c r="I755" s="21" t="s">
        <v>252</v>
      </c>
      <c r="J755" s="21" t="s">
        <v>841</v>
      </c>
      <c r="K755" s="16" t="s">
        <v>21</v>
      </c>
      <c r="L755" s="22">
        <v>30.0</v>
      </c>
      <c r="M755" s="55">
        <v>0.0</v>
      </c>
      <c r="N755" s="23">
        <v>0.0</v>
      </c>
      <c r="O755" s="23">
        <v>473.79</v>
      </c>
      <c r="P755" s="48">
        <f t="shared" si="24"/>
        <v>45014</v>
      </c>
      <c r="Q755" s="23">
        <v>489.0</v>
      </c>
      <c r="R755" s="25"/>
      <c r="S755" s="26">
        <v>44986.0</v>
      </c>
      <c r="T755" s="16" t="b">
        <v>0</v>
      </c>
    </row>
    <row r="756" hidden="1">
      <c r="A756" s="4" t="s">
        <v>842</v>
      </c>
      <c r="B756" s="5">
        <v>699.5</v>
      </c>
      <c r="C756" s="4" t="s">
        <v>18</v>
      </c>
      <c r="D756" s="6">
        <v>5462.0</v>
      </c>
      <c r="E756" s="7">
        <v>44985.0</v>
      </c>
      <c r="F756" s="5">
        <v>0.0</v>
      </c>
      <c r="G756" s="8">
        <v>2023.0</v>
      </c>
      <c r="H756" s="9" t="s">
        <v>693</v>
      </c>
      <c r="I756" s="9" t="s">
        <v>252</v>
      </c>
      <c r="J756" s="9" t="s">
        <v>843</v>
      </c>
      <c r="K756" s="4" t="s">
        <v>21</v>
      </c>
      <c r="L756" s="10">
        <v>30.0</v>
      </c>
      <c r="M756" s="54">
        <v>0.0</v>
      </c>
      <c r="N756" s="12">
        <v>0.0</v>
      </c>
      <c r="O756" s="12">
        <v>699.5</v>
      </c>
      <c r="P756" s="37">
        <f t="shared" si="24"/>
        <v>45015</v>
      </c>
      <c r="Q756" s="12">
        <v>699.5</v>
      </c>
      <c r="R756" s="14"/>
      <c r="S756" s="15">
        <v>44986.0</v>
      </c>
      <c r="T756" s="4" t="b">
        <v>0</v>
      </c>
    </row>
    <row r="757" hidden="1">
      <c r="A757" s="16" t="s">
        <v>223</v>
      </c>
      <c r="B757" s="17">
        <v>800.0</v>
      </c>
      <c r="C757" s="16" t="s">
        <v>18</v>
      </c>
      <c r="D757" s="18">
        <v>5463.0</v>
      </c>
      <c r="E757" s="19">
        <v>44985.0</v>
      </c>
      <c r="F757" s="17">
        <v>24.89</v>
      </c>
      <c r="G757" s="20">
        <v>2023.02</v>
      </c>
      <c r="H757" s="21" t="s">
        <v>51</v>
      </c>
      <c r="I757" s="21" t="s">
        <v>52</v>
      </c>
      <c r="J757" s="21" t="s">
        <v>247</v>
      </c>
      <c r="K757" s="16" t="s">
        <v>21</v>
      </c>
      <c r="L757" s="22">
        <v>30.0</v>
      </c>
      <c r="M757" s="55">
        <v>0.0</v>
      </c>
      <c r="N757" s="23">
        <v>0.0</v>
      </c>
      <c r="O757" s="23">
        <v>775.11</v>
      </c>
      <c r="P757" s="48">
        <f t="shared" si="24"/>
        <v>45015</v>
      </c>
      <c r="Q757" s="23">
        <v>800.0</v>
      </c>
      <c r="R757" s="25"/>
      <c r="S757" s="26">
        <v>44986.0</v>
      </c>
      <c r="T757" s="16" t="b">
        <v>0</v>
      </c>
    </row>
    <row r="758" hidden="1">
      <c r="A758" s="4" t="s">
        <v>54</v>
      </c>
      <c r="B758" s="5">
        <v>750.0</v>
      </c>
      <c r="C758" s="4" t="s">
        <v>18</v>
      </c>
      <c r="D758" s="6" t="s">
        <v>844</v>
      </c>
      <c r="E758" s="7">
        <v>44985.0</v>
      </c>
      <c r="F758" s="5">
        <v>23.33</v>
      </c>
      <c r="G758" s="8">
        <v>2023.02</v>
      </c>
      <c r="H758" s="9" t="s">
        <v>51</v>
      </c>
      <c r="I758" s="9" t="s">
        <v>52</v>
      </c>
      <c r="J758" s="9" t="s">
        <v>55</v>
      </c>
      <c r="K758" s="4" t="s">
        <v>21</v>
      </c>
      <c r="L758" s="10">
        <v>30.0</v>
      </c>
      <c r="M758" s="54">
        <v>0.0</v>
      </c>
      <c r="N758" s="12">
        <v>0.0</v>
      </c>
      <c r="O758" s="12">
        <v>726.67</v>
      </c>
      <c r="P758" s="37">
        <f t="shared" si="24"/>
        <v>45015</v>
      </c>
      <c r="Q758" s="12">
        <v>750.0</v>
      </c>
      <c r="R758" s="14"/>
      <c r="S758" s="15">
        <v>44986.0</v>
      </c>
      <c r="T758" s="4" t="b">
        <v>0</v>
      </c>
    </row>
    <row r="759" hidden="1">
      <c r="A759" s="16" t="s">
        <v>120</v>
      </c>
      <c r="B759" s="17">
        <f>1500*1.31726</f>
        <v>1975.89</v>
      </c>
      <c r="C759" s="16" t="s">
        <v>18</v>
      </c>
      <c r="D759" s="18" t="s">
        <v>845</v>
      </c>
      <c r="E759" s="19">
        <v>44985.0</v>
      </c>
      <c r="F759" s="35">
        <f>55.8*1.31726</f>
        <v>73.503108</v>
      </c>
      <c r="G759" s="20">
        <v>2023.02</v>
      </c>
      <c r="H759" s="21" t="s">
        <v>51</v>
      </c>
      <c r="I759" s="21" t="s">
        <v>52</v>
      </c>
      <c r="J759" s="21" t="s">
        <v>364</v>
      </c>
      <c r="K759" s="16" t="s">
        <v>9</v>
      </c>
      <c r="L759" s="22">
        <v>30.0</v>
      </c>
      <c r="M759" s="55">
        <v>0.2</v>
      </c>
      <c r="N759" s="23">
        <v>380.4773784</v>
      </c>
      <c r="O759" s="23">
        <v>1521.9095136</v>
      </c>
      <c r="P759" s="48">
        <f t="shared" si="24"/>
        <v>45015</v>
      </c>
      <c r="Q759" s="23">
        <v>1500.0</v>
      </c>
      <c r="R759" s="25"/>
      <c r="S759" s="26">
        <v>44986.0</v>
      </c>
      <c r="T759" s="16" t="b">
        <v>0</v>
      </c>
    </row>
    <row r="760" hidden="1">
      <c r="A760" s="4" t="s">
        <v>84</v>
      </c>
      <c r="B760" s="5">
        <v>1100.0</v>
      </c>
      <c r="C760" s="4" t="s">
        <v>18</v>
      </c>
      <c r="D760" s="6">
        <v>5464.0</v>
      </c>
      <c r="E760" s="7">
        <v>44985.0</v>
      </c>
      <c r="F760" s="5">
        <v>0.0</v>
      </c>
      <c r="G760" s="8">
        <v>2023.02</v>
      </c>
      <c r="H760" s="9" t="s">
        <v>51</v>
      </c>
      <c r="I760" s="9" t="s">
        <v>52</v>
      </c>
      <c r="J760" s="9" t="s">
        <v>85</v>
      </c>
      <c r="K760" s="4" t="s">
        <v>21</v>
      </c>
      <c r="L760" s="10">
        <v>30.0</v>
      </c>
      <c r="M760" s="54"/>
      <c r="N760" s="12">
        <v>0.0</v>
      </c>
      <c r="O760" s="12">
        <v>1100.0</v>
      </c>
      <c r="P760" s="37">
        <f t="shared" si="24"/>
        <v>45015</v>
      </c>
      <c r="Q760" s="12">
        <v>1000.0</v>
      </c>
      <c r="R760" s="9" t="s">
        <v>846</v>
      </c>
      <c r="S760" s="15">
        <v>44986.0</v>
      </c>
      <c r="T760" s="4" t="b">
        <v>0</v>
      </c>
    </row>
    <row r="761" hidden="1">
      <c r="A761" s="16" t="s">
        <v>42</v>
      </c>
      <c r="B761" s="17">
        <v>1500.0</v>
      </c>
      <c r="C761" s="16" t="s">
        <v>18</v>
      </c>
      <c r="D761" s="18">
        <v>5465.0</v>
      </c>
      <c r="E761" s="19">
        <v>44985.0</v>
      </c>
      <c r="F761" s="17">
        <v>46.67</v>
      </c>
      <c r="G761" s="20">
        <v>2023.02</v>
      </c>
      <c r="H761" s="21" t="s">
        <v>51</v>
      </c>
      <c r="I761" s="21" t="s">
        <v>52</v>
      </c>
      <c r="J761" s="21" t="s">
        <v>43</v>
      </c>
      <c r="K761" s="16" t="s">
        <v>21</v>
      </c>
      <c r="L761" s="22">
        <v>30.0</v>
      </c>
      <c r="M761" s="55">
        <v>0.15</v>
      </c>
      <c r="N761" s="23">
        <v>217.99949999999998</v>
      </c>
      <c r="O761" s="23">
        <v>1235.3305</v>
      </c>
      <c r="P761" s="48">
        <f t="shared" si="24"/>
        <v>45015</v>
      </c>
      <c r="Q761" s="23">
        <v>1500.0</v>
      </c>
      <c r="R761" s="25"/>
      <c r="S761" s="26">
        <v>44986.0</v>
      </c>
      <c r="T761" s="16" t="b">
        <v>0</v>
      </c>
    </row>
    <row r="762" hidden="1">
      <c r="A762" s="4" t="s">
        <v>82</v>
      </c>
      <c r="B762" s="5">
        <v>830.0</v>
      </c>
      <c r="C762" s="4" t="s">
        <v>18</v>
      </c>
      <c r="D762" s="6">
        <v>5466.0</v>
      </c>
      <c r="E762" s="7">
        <v>44985.0</v>
      </c>
      <c r="F762" s="5">
        <v>0.0</v>
      </c>
      <c r="G762" s="8">
        <v>2023.02</v>
      </c>
      <c r="H762" s="9" t="s">
        <v>51</v>
      </c>
      <c r="I762" s="9" t="s">
        <v>52</v>
      </c>
      <c r="J762" s="9" t="s">
        <v>83</v>
      </c>
      <c r="K762" s="4" t="s">
        <v>21</v>
      </c>
      <c r="L762" s="10">
        <v>30.0</v>
      </c>
      <c r="M762" s="54">
        <v>0.0</v>
      </c>
      <c r="N762" s="12">
        <v>0.0</v>
      </c>
      <c r="O762" s="12">
        <v>830.0</v>
      </c>
      <c r="P762" s="37">
        <f t="shared" si="24"/>
        <v>45015</v>
      </c>
      <c r="Q762" s="12">
        <v>830.0</v>
      </c>
      <c r="R762" s="14"/>
      <c r="S762" s="15">
        <v>44986.0</v>
      </c>
      <c r="T762" s="4" t="b">
        <v>0</v>
      </c>
    </row>
    <row r="763" hidden="1">
      <c r="A763" s="16" t="s">
        <v>88</v>
      </c>
      <c r="B763" s="17">
        <v>500.0</v>
      </c>
      <c r="C763" s="16" t="s">
        <v>18</v>
      </c>
      <c r="D763" s="18" t="s">
        <v>847</v>
      </c>
      <c r="E763" s="19">
        <v>44985.0</v>
      </c>
      <c r="F763" s="17">
        <v>15.56</v>
      </c>
      <c r="G763" s="20">
        <v>2023.02</v>
      </c>
      <c r="H763" s="21" t="s">
        <v>51</v>
      </c>
      <c r="I763" s="21" t="s">
        <v>52</v>
      </c>
      <c r="J763" s="21" t="s">
        <v>89</v>
      </c>
      <c r="K763" s="16" t="s">
        <v>21</v>
      </c>
      <c r="L763" s="22">
        <v>30.0</v>
      </c>
      <c r="M763" s="55">
        <v>0.0</v>
      </c>
      <c r="N763" s="23">
        <v>0.0</v>
      </c>
      <c r="O763" s="23">
        <v>484.44</v>
      </c>
      <c r="P763" s="48">
        <f t="shared" si="24"/>
        <v>45015</v>
      </c>
      <c r="Q763" s="23">
        <v>500.0</v>
      </c>
      <c r="R763" s="25"/>
      <c r="S763" s="26">
        <v>44986.0</v>
      </c>
      <c r="T763" s="16" t="b">
        <v>0</v>
      </c>
    </row>
    <row r="764" hidden="1">
      <c r="A764" s="4" t="s">
        <v>50</v>
      </c>
      <c r="B764" s="5">
        <v>412.5</v>
      </c>
      <c r="C764" s="4" t="s">
        <v>18</v>
      </c>
      <c r="D764" s="6">
        <v>5467.0</v>
      </c>
      <c r="E764" s="7">
        <v>44985.0</v>
      </c>
      <c r="F764" s="5">
        <v>0.0</v>
      </c>
      <c r="G764" s="8">
        <v>2023.02</v>
      </c>
      <c r="H764" s="9" t="s">
        <v>51</v>
      </c>
      <c r="I764" s="9" t="s">
        <v>52</v>
      </c>
      <c r="J764" s="9" t="s">
        <v>400</v>
      </c>
      <c r="K764" s="4" t="s">
        <v>21</v>
      </c>
      <c r="L764" s="10">
        <v>30.0</v>
      </c>
      <c r="M764" s="54">
        <v>0.0</v>
      </c>
      <c r="N764" s="12">
        <v>0.0</v>
      </c>
      <c r="O764" s="12">
        <v>412.5</v>
      </c>
      <c r="P764" s="37">
        <f t="shared" si="24"/>
        <v>45015</v>
      </c>
      <c r="Q764" s="12">
        <v>412.5</v>
      </c>
      <c r="R764" s="14"/>
      <c r="S764" s="15">
        <v>44986.0</v>
      </c>
      <c r="T764" s="4" t="b">
        <v>0</v>
      </c>
    </row>
    <row r="765" hidden="1">
      <c r="A765" s="16" t="s">
        <v>105</v>
      </c>
      <c r="B765" s="17">
        <f>300*1.315223</f>
        <v>394.5669</v>
      </c>
      <c r="C765" s="16" t="s">
        <v>18</v>
      </c>
      <c r="D765" s="18" t="s">
        <v>848</v>
      </c>
      <c r="E765" s="19">
        <v>44985.0</v>
      </c>
      <c r="F765" s="35">
        <f>11.4*1.315223</f>
        <v>14.9935422</v>
      </c>
      <c r="G765" s="20">
        <v>2023.02</v>
      </c>
      <c r="H765" s="21" t="s">
        <v>51</v>
      </c>
      <c r="I765" s="21" t="s">
        <v>52</v>
      </c>
      <c r="J765" s="21" t="s">
        <v>154</v>
      </c>
      <c r="K765" s="16" t="s">
        <v>9</v>
      </c>
      <c r="L765" s="22">
        <v>30.0</v>
      </c>
      <c r="M765" s="55">
        <v>0.0</v>
      </c>
      <c r="N765" s="23">
        <v>0.0</v>
      </c>
      <c r="O765" s="23">
        <v>379.57335780000005</v>
      </c>
      <c r="P765" s="48">
        <f t="shared" si="24"/>
        <v>45015</v>
      </c>
      <c r="Q765" s="23">
        <v>300.0</v>
      </c>
      <c r="R765" s="25"/>
      <c r="S765" s="26">
        <v>44986.0</v>
      </c>
      <c r="T765" s="16" t="b">
        <v>0</v>
      </c>
    </row>
    <row r="766" hidden="1">
      <c r="A766" s="4" t="s">
        <v>90</v>
      </c>
      <c r="B766" s="5">
        <v>1150.0</v>
      </c>
      <c r="C766" s="4" t="s">
        <v>18</v>
      </c>
      <c r="D766" s="6">
        <v>5468.0</v>
      </c>
      <c r="E766" s="7">
        <v>44985.0</v>
      </c>
      <c r="F766" s="5">
        <v>0.0</v>
      </c>
      <c r="G766" s="8">
        <v>2023.02</v>
      </c>
      <c r="H766" s="9" t="s">
        <v>51</v>
      </c>
      <c r="I766" s="9" t="s">
        <v>52</v>
      </c>
      <c r="J766" s="9" t="s">
        <v>215</v>
      </c>
      <c r="K766" s="4" t="s">
        <v>21</v>
      </c>
      <c r="L766" s="10">
        <v>30.0</v>
      </c>
      <c r="M766" s="54">
        <v>0.0</v>
      </c>
      <c r="N766" s="12">
        <v>0.0</v>
      </c>
      <c r="O766" s="12">
        <v>1150.0</v>
      </c>
      <c r="P766" s="37">
        <f t="shared" si="24"/>
        <v>45015</v>
      </c>
      <c r="Q766" s="12">
        <v>1150.0</v>
      </c>
      <c r="R766" s="14"/>
      <c r="S766" s="15">
        <v>44986.0</v>
      </c>
      <c r="T766" s="4" t="b">
        <v>0</v>
      </c>
    </row>
    <row r="767" hidden="1">
      <c r="A767" s="16" t="s">
        <v>97</v>
      </c>
      <c r="B767" s="17">
        <v>330.0</v>
      </c>
      <c r="C767" s="16" t="s">
        <v>18</v>
      </c>
      <c r="D767" s="18">
        <v>5469.0</v>
      </c>
      <c r="E767" s="19">
        <v>44985.0</v>
      </c>
      <c r="F767" s="17">
        <v>10.27</v>
      </c>
      <c r="G767" s="20">
        <v>2023.02</v>
      </c>
      <c r="H767" s="21" t="s">
        <v>51</v>
      </c>
      <c r="I767" s="21" t="s">
        <v>52</v>
      </c>
      <c r="J767" s="21" t="s">
        <v>98</v>
      </c>
      <c r="K767" s="16" t="s">
        <v>21</v>
      </c>
      <c r="L767" s="22">
        <v>30.0</v>
      </c>
      <c r="M767" s="55">
        <v>0.0</v>
      </c>
      <c r="N767" s="23">
        <v>0.0</v>
      </c>
      <c r="O767" s="23">
        <v>319.73</v>
      </c>
      <c r="P767" s="48">
        <f t="shared" si="24"/>
        <v>45015</v>
      </c>
      <c r="Q767" s="23">
        <v>330.0</v>
      </c>
      <c r="R767" s="25"/>
      <c r="S767" s="26">
        <v>44986.0</v>
      </c>
      <c r="T767" s="16" t="b">
        <v>0</v>
      </c>
    </row>
    <row r="768" hidden="1">
      <c r="A768" s="4" t="s">
        <v>92</v>
      </c>
      <c r="B768" s="5">
        <v>2500.0</v>
      </c>
      <c r="C768" s="4" t="s">
        <v>18</v>
      </c>
      <c r="D768" s="6">
        <v>5470.0</v>
      </c>
      <c r="E768" s="7">
        <v>44985.0</v>
      </c>
      <c r="F768" s="5">
        <v>77.78</v>
      </c>
      <c r="G768" s="8">
        <v>2023.02</v>
      </c>
      <c r="H768" s="9" t="s">
        <v>51</v>
      </c>
      <c r="I768" s="9" t="s">
        <v>52</v>
      </c>
      <c r="J768" s="9" t="s">
        <v>93</v>
      </c>
      <c r="K768" s="4" t="s">
        <v>21</v>
      </c>
      <c r="L768" s="10">
        <v>30.0</v>
      </c>
      <c r="M768" s="54">
        <v>0.0</v>
      </c>
      <c r="N768" s="12">
        <v>0.0</v>
      </c>
      <c r="O768" s="12">
        <v>2422.22</v>
      </c>
      <c r="P768" s="37">
        <f t="shared" si="24"/>
        <v>45015</v>
      </c>
      <c r="Q768" s="12">
        <v>2500.0</v>
      </c>
      <c r="R768" s="14"/>
      <c r="S768" s="15">
        <v>44986.0</v>
      </c>
      <c r="T768" s="4" t="b">
        <v>0</v>
      </c>
    </row>
    <row r="769" hidden="1">
      <c r="A769" s="16" t="s">
        <v>123</v>
      </c>
      <c r="B769" s="17">
        <f>4500*1.323274</f>
        <v>5954.733</v>
      </c>
      <c r="C769" s="16" t="s">
        <v>18</v>
      </c>
      <c r="D769" s="18" t="s">
        <v>849</v>
      </c>
      <c r="E769" s="19">
        <v>44985.0</v>
      </c>
      <c r="F769" s="35">
        <f>166.8*1.323274</f>
        <v>220.7221032</v>
      </c>
      <c r="G769" s="20">
        <v>2023.02</v>
      </c>
      <c r="H769" s="21" t="s">
        <v>51</v>
      </c>
      <c r="I769" s="21" t="s">
        <v>52</v>
      </c>
      <c r="J769" s="21" t="s">
        <v>850</v>
      </c>
      <c r="K769" s="16" t="s">
        <v>9</v>
      </c>
      <c r="L769" s="22">
        <v>30.0</v>
      </c>
      <c r="M769" s="55"/>
      <c r="N769" s="23">
        <v>0.0</v>
      </c>
      <c r="O769" s="23">
        <v>5734.0108968</v>
      </c>
      <c r="P769" s="48">
        <f t="shared" si="24"/>
        <v>45015</v>
      </c>
      <c r="Q769" s="23">
        <v>4500.0</v>
      </c>
      <c r="R769" s="25"/>
      <c r="S769" s="26">
        <v>44986.0</v>
      </c>
      <c r="T769" s="16" t="b">
        <v>0</v>
      </c>
    </row>
    <row r="770" hidden="1">
      <c r="A770" s="4" t="s">
        <v>115</v>
      </c>
      <c r="B770" s="5">
        <f t="shared" ref="B770:B771" si="27">2500*1.3156</f>
        <v>3289</v>
      </c>
      <c r="C770" s="4" t="s">
        <v>18</v>
      </c>
      <c r="D770" s="6" t="s">
        <v>851</v>
      </c>
      <c r="E770" s="7">
        <v>44985.0</v>
      </c>
      <c r="F770" s="5">
        <v>0.0</v>
      </c>
      <c r="G770" s="8">
        <v>2023.02</v>
      </c>
      <c r="H770" s="9" t="s">
        <v>51</v>
      </c>
      <c r="I770" s="9" t="s">
        <v>52</v>
      </c>
      <c r="J770" s="9" t="s">
        <v>117</v>
      </c>
      <c r="K770" s="4" t="s">
        <v>9</v>
      </c>
      <c r="L770" s="10">
        <v>30.0</v>
      </c>
      <c r="M770" s="54">
        <v>0.0</v>
      </c>
      <c r="N770" s="12">
        <v>0.0</v>
      </c>
      <c r="O770" s="12">
        <v>3289.0000000000005</v>
      </c>
      <c r="P770" s="37">
        <f t="shared" si="24"/>
        <v>45015</v>
      </c>
      <c r="Q770" s="12">
        <v>2500.0</v>
      </c>
      <c r="R770" s="14"/>
      <c r="S770" s="15">
        <v>44986.0</v>
      </c>
      <c r="T770" s="4" t="b">
        <v>0</v>
      </c>
    </row>
    <row r="771" hidden="1">
      <c r="A771" s="16" t="s">
        <v>118</v>
      </c>
      <c r="B771" s="17">
        <f t="shared" si="27"/>
        <v>3289</v>
      </c>
      <c r="C771" s="16" t="s">
        <v>18</v>
      </c>
      <c r="D771" s="18" t="s">
        <v>852</v>
      </c>
      <c r="E771" s="19">
        <v>44985.0</v>
      </c>
      <c r="F771" s="17">
        <v>0.0</v>
      </c>
      <c r="G771" s="20">
        <v>2023.02</v>
      </c>
      <c r="H771" s="21" t="s">
        <v>51</v>
      </c>
      <c r="I771" s="21" t="s">
        <v>52</v>
      </c>
      <c r="J771" s="21" t="s">
        <v>117</v>
      </c>
      <c r="K771" s="16" t="s">
        <v>9</v>
      </c>
      <c r="L771" s="22">
        <v>30.0</v>
      </c>
      <c r="M771" s="55"/>
      <c r="N771" s="23">
        <v>0.0</v>
      </c>
      <c r="O771" s="23">
        <v>3289.0000000000005</v>
      </c>
      <c r="P771" s="48">
        <f t="shared" si="24"/>
        <v>45015</v>
      </c>
      <c r="Q771" s="23">
        <v>2500.0</v>
      </c>
      <c r="R771" s="25"/>
      <c r="S771" s="26">
        <v>44986.0</v>
      </c>
      <c r="T771" s="16" t="b">
        <v>0</v>
      </c>
    </row>
    <row r="772" hidden="1">
      <c r="A772" s="4" t="s">
        <v>73</v>
      </c>
      <c r="B772" s="5">
        <v>770.0</v>
      </c>
      <c r="C772" s="4" t="s">
        <v>18</v>
      </c>
      <c r="D772" s="6">
        <v>5471.0</v>
      </c>
      <c r="E772" s="7">
        <v>44985.0</v>
      </c>
      <c r="F772" s="5">
        <v>0.0</v>
      </c>
      <c r="G772" s="8">
        <v>2023.02</v>
      </c>
      <c r="H772" s="9" t="s">
        <v>51</v>
      </c>
      <c r="I772" s="9" t="s">
        <v>52</v>
      </c>
      <c r="J772" s="9" t="s">
        <v>74</v>
      </c>
      <c r="K772" s="4" t="s">
        <v>21</v>
      </c>
      <c r="L772" s="10">
        <v>30.0</v>
      </c>
      <c r="M772" s="54">
        <v>0.0</v>
      </c>
      <c r="N772" s="12">
        <v>0.0</v>
      </c>
      <c r="O772" s="12">
        <v>770.0</v>
      </c>
      <c r="P772" s="37">
        <f t="shared" si="24"/>
        <v>45015</v>
      </c>
      <c r="Q772" s="12">
        <v>770.0</v>
      </c>
      <c r="R772" s="14"/>
      <c r="S772" s="15">
        <v>44986.0</v>
      </c>
      <c r="T772" s="4" t="b">
        <v>0</v>
      </c>
    </row>
    <row r="773" hidden="1">
      <c r="A773" s="16" t="s">
        <v>499</v>
      </c>
      <c r="B773" s="17">
        <v>1650.0</v>
      </c>
      <c r="C773" s="16" t="s">
        <v>18</v>
      </c>
      <c r="D773" s="18">
        <v>5472.0</v>
      </c>
      <c r="E773" s="19">
        <v>44985.0</v>
      </c>
      <c r="F773" s="17">
        <v>55.25</v>
      </c>
      <c r="G773" s="20">
        <v>2023.02</v>
      </c>
      <c r="H773" s="21" t="s">
        <v>51</v>
      </c>
      <c r="I773" s="21" t="s">
        <v>52</v>
      </c>
      <c r="J773" s="21" t="s">
        <v>500</v>
      </c>
      <c r="K773" s="16" t="s">
        <v>21</v>
      </c>
      <c r="L773" s="22">
        <v>30.0</v>
      </c>
      <c r="M773" s="55">
        <v>0.0</v>
      </c>
      <c r="N773" s="23">
        <v>0.0</v>
      </c>
      <c r="O773" s="23">
        <v>1594.75</v>
      </c>
      <c r="P773" s="48">
        <f t="shared" si="24"/>
        <v>45015</v>
      </c>
      <c r="Q773" s="23">
        <v>1650.0</v>
      </c>
      <c r="R773" s="25"/>
      <c r="S773" s="26">
        <v>44986.0</v>
      </c>
      <c r="T773" s="16" t="b">
        <v>0</v>
      </c>
    </row>
    <row r="774" hidden="1">
      <c r="A774" s="4" t="s">
        <v>695</v>
      </c>
      <c r="B774" s="5">
        <v>600.0</v>
      </c>
      <c r="C774" s="4" t="s">
        <v>18</v>
      </c>
      <c r="D774" s="6">
        <v>5473.0</v>
      </c>
      <c r="E774" s="7">
        <v>44985.0</v>
      </c>
      <c r="F774" s="5">
        <v>18.67</v>
      </c>
      <c r="G774" s="8">
        <v>2023.02</v>
      </c>
      <c r="H774" s="9" t="s">
        <v>51</v>
      </c>
      <c r="I774" s="9" t="s">
        <v>52</v>
      </c>
      <c r="J774" s="9" t="s">
        <v>696</v>
      </c>
      <c r="K774" s="4" t="s">
        <v>21</v>
      </c>
      <c r="L774" s="10">
        <v>30.0</v>
      </c>
      <c r="M774" s="54">
        <v>0.0</v>
      </c>
      <c r="N774" s="12">
        <v>0.0</v>
      </c>
      <c r="O774" s="12">
        <v>581.33</v>
      </c>
      <c r="P774" s="37">
        <f t="shared" si="24"/>
        <v>45015</v>
      </c>
      <c r="Q774" s="12">
        <v>600.0</v>
      </c>
      <c r="R774" s="14"/>
      <c r="S774" s="15">
        <v>45017.0</v>
      </c>
      <c r="T774" s="4" t="b">
        <v>0</v>
      </c>
    </row>
    <row r="775" hidden="1">
      <c r="A775" s="16" t="s">
        <v>810</v>
      </c>
      <c r="B775" s="17">
        <f>880*1.329288</f>
        <v>1169.77344</v>
      </c>
      <c r="C775" s="16" t="s">
        <v>18</v>
      </c>
      <c r="D775" s="18" t="s">
        <v>853</v>
      </c>
      <c r="E775" s="19">
        <v>44985.0</v>
      </c>
      <c r="F775" s="35">
        <f>32.86*1.329288</f>
        <v>43.68040368</v>
      </c>
      <c r="G775" s="20">
        <v>2023.02</v>
      </c>
      <c r="H775" s="21" t="s">
        <v>51</v>
      </c>
      <c r="I775" s="21" t="s">
        <v>52</v>
      </c>
      <c r="J775" s="21" t="s">
        <v>854</v>
      </c>
      <c r="K775" s="16" t="s">
        <v>9</v>
      </c>
      <c r="L775" s="22">
        <v>0.0</v>
      </c>
      <c r="M775" s="55">
        <v>0.0</v>
      </c>
      <c r="N775" s="23">
        <v>0.0</v>
      </c>
      <c r="O775" s="23">
        <v>1126.09303632</v>
      </c>
      <c r="P775" s="48">
        <f t="shared" si="24"/>
        <v>44985</v>
      </c>
      <c r="Q775" s="23">
        <v>880.0</v>
      </c>
      <c r="R775" s="25"/>
      <c r="S775" s="26">
        <v>44986.0</v>
      </c>
      <c r="T775" s="16" t="b">
        <v>0</v>
      </c>
    </row>
    <row r="776" hidden="1">
      <c r="A776" s="4" t="s">
        <v>855</v>
      </c>
      <c r="B776" s="5">
        <v>250.0</v>
      </c>
      <c r="C776" s="4" t="s">
        <v>18</v>
      </c>
      <c r="D776" s="6" t="s">
        <v>856</v>
      </c>
      <c r="E776" s="7">
        <v>44985.0</v>
      </c>
      <c r="F776" s="5">
        <v>7.78</v>
      </c>
      <c r="G776" s="8">
        <v>2023.02</v>
      </c>
      <c r="H776" s="9" t="s">
        <v>51</v>
      </c>
      <c r="I776" s="9" t="s">
        <v>52</v>
      </c>
      <c r="J776" s="9" t="s">
        <v>857</v>
      </c>
      <c r="K776" s="4" t="s">
        <v>21</v>
      </c>
      <c r="L776" s="10">
        <v>30.0</v>
      </c>
      <c r="M776" s="54">
        <v>0.0</v>
      </c>
      <c r="N776" s="12">
        <v>0.0</v>
      </c>
      <c r="O776" s="12">
        <v>242.22</v>
      </c>
      <c r="P776" s="37">
        <f t="shared" si="24"/>
        <v>45015</v>
      </c>
      <c r="Q776" s="12">
        <v>250.0</v>
      </c>
      <c r="R776" s="14"/>
      <c r="S776" s="15">
        <v>44986.0</v>
      </c>
      <c r="T776" s="4" t="b">
        <v>0</v>
      </c>
    </row>
    <row r="777" hidden="1">
      <c r="A777" s="16" t="s">
        <v>858</v>
      </c>
      <c r="B777" s="17">
        <f>2600*1.314641</f>
        <v>3418.0666</v>
      </c>
      <c r="C777" s="16" t="s">
        <v>18</v>
      </c>
      <c r="D777" s="18" t="s">
        <v>859</v>
      </c>
      <c r="E777" s="19">
        <v>44984.0</v>
      </c>
      <c r="F777" s="35">
        <f>96.5*1.314641</f>
        <v>126.8628565</v>
      </c>
      <c r="G777" s="20">
        <v>2023.0</v>
      </c>
      <c r="H777" s="21" t="s">
        <v>687</v>
      </c>
      <c r="I777" s="21" t="s">
        <v>252</v>
      </c>
      <c r="J777" s="21" t="s">
        <v>860</v>
      </c>
      <c r="K777" s="16" t="s">
        <v>9</v>
      </c>
      <c r="L777" s="16">
        <v>0.0</v>
      </c>
      <c r="M777" s="55">
        <v>0.2</v>
      </c>
      <c r="N777" s="23">
        <v>658.2407487</v>
      </c>
      <c r="O777" s="23">
        <v>2632.9629947999997</v>
      </c>
      <c r="P777" s="48">
        <f t="shared" si="24"/>
        <v>44984</v>
      </c>
      <c r="Q777" s="23">
        <v>2600.0</v>
      </c>
      <c r="R777" s="25"/>
      <c r="S777" s="26">
        <v>44986.0</v>
      </c>
      <c r="T777" s="16" t="b">
        <v>0</v>
      </c>
    </row>
    <row r="778" hidden="1">
      <c r="A778" s="4" t="s">
        <v>861</v>
      </c>
      <c r="B778" s="5">
        <f>3700*1.319006</f>
        <v>4880.3222</v>
      </c>
      <c r="C778" s="4" t="s">
        <v>18</v>
      </c>
      <c r="D778" s="6" t="s">
        <v>862</v>
      </c>
      <c r="E778" s="7">
        <v>44985.0</v>
      </c>
      <c r="F778" s="34">
        <f>137.2*1.319006</f>
        <v>180.9676232</v>
      </c>
      <c r="G778" s="8">
        <v>2023.02</v>
      </c>
      <c r="H778" s="9" t="s">
        <v>27</v>
      </c>
      <c r="I778" s="9" t="s">
        <v>459</v>
      </c>
      <c r="J778" s="9" t="s">
        <v>863</v>
      </c>
      <c r="K778" s="4" t="s">
        <v>9</v>
      </c>
      <c r="L778" s="10">
        <v>15.0</v>
      </c>
      <c r="M778" s="54">
        <v>0.2</v>
      </c>
      <c r="N778" s="12">
        <v>939.8709153599999</v>
      </c>
      <c r="O778" s="12">
        <v>3759.4836614399997</v>
      </c>
      <c r="P778" s="37">
        <f t="shared" si="24"/>
        <v>45000</v>
      </c>
      <c r="Q778" s="12">
        <v>3700.0</v>
      </c>
      <c r="R778" s="9" t="s">
        <v>864</v>
      </c>
      <c r="S778" s="15">
        <v>45017.0</v>
      </c>
      <c r="T778" s="4" t="b">
        <v>0</v>
      </c>
    </row>
    <row r="779" hidden="1">
      <c r="A779" s="16" t="s">
        <v>865</v>
      </c>
      <c r="B779" s="17">
        <v>900.0</v>
      </c>
      <c r="C779" s="16" t="s">
        <v>18</v>
      </c>
      <c r="D779" s="18">
        <v>5474.0</v>
      </c>
      <c r="E779" s="19">
        <v>44985.0</v>
      </c>
      <c r="F779" s="17">
        <v>28.0</v>
      </c>
      <c r="G779" s="20">
        <v>2023.0</v>
      </c>
      <c r="H779" s="21" t="s">
        <v>687</v>
      </c>
      <c r="I779" s="21" t="s">
        <v>459</v>
      </c>
      <c r="J779" s="21" t="s">
        <v>866</v>
      </c>
      <c r="K779" s="16" t="s">
        <v>21</v>
      </c>
      <c r="L779" s="22">
        <v>15.0</v>
      </c>
      <c r="M779" s="55">
        <v>0.1</v>
      </c>
      <c r="N779" s="23">
        <v>87.2</v>
      </c>
      <c r="O779" s="23">
        <v>784.8</v>
      </c>
      <c r="P779" s="48">
        <f t="shared" si="24"/>
        <v>45000</v>
      </c>
      <c r="Q779" s="23"/>
      <c r="R779" s="25"/>
      <c r="S779" s="26">
        <v>45017.0</v>
      </c>
      <c r="T779" s="16" t="b">
        <v>0</v>
      </c>
    </row>
    <row r="780" hidden="1">
      <c r="A780" s="4" t="s">
        <v>867</v>
      </c>
      <c r="B780" s="5">
        <v>600.0</v>
      </c>
      <c r="C780" s="4" t="s">
        <v>18</v>
      </c>
      <c r="D780" s="6">
        <v>5475.0</v>
      </c>
      <c r="E780" s="7">
        <v>44985.0</v>
      </c>
      <c r="F780" s="5">
        <v>18.67</v>
      </c>
      <c r="G780" s="8">
        <v>2023.0</v>
      </c>
      <c r="H780" s="9" t="s">
        <v>766</v>
      </c>
      <c r="I780" s="9" t="s">
        <v>459</v>
      </c>
      <c r="J780" s="9" t="s">
        <v>868</v>
      </c>
      <c r="K780" s="4" t="s">
        <v>21</v>
      </c>
      <c r="L780" s="10">
        <v>30.0</v>
      </c>
      <c r="M780" s="54">
        <v>0.0</v>
      </c>
      <c r="N780" s="12">
        <v>0.0</v>
      </c>
      <c r="O780" s="12">
        <v>581.33</v>
      </c>
      <c r="P780" s="37">
        <f t="shared" si="24"/>
        <v>45015</v>
      </c>
      <c r="Q780" s="12"/>
      <c r="R780" s="14"/>
      <c r="S780" s="15">
        <v>45017.0</v>
      </c>
      <c r="T780" s="4" t="b">
        <v>0</v>
      </c>
    </row>
    <row r="781" hidden="1">
      <c r="A781" s="16" t="s">
        <v>869</v>
      </c>
      <c r="B781" s="17">
        <v>250.0</v>
      </c>
      <c r="C781" s="16" t="s">
        <v>18</v>
      </c>
      <c r="D781" s="18">
        <v>5476.0</v>
      </c>
      <c r="E781" s="82">
        <v>44994.0</v>
      </c>
      <c r="F781" s="17">
        <v>7.78</v>
      </c>
      <c r="G781" s="20">
        <v>2023.0</v>
      </c>
      <c r="H781" s="21" t="s">
        <v>766</v>
      </c>
      <c r="I781" s="21" t="s">
        <v>459</v>
      </c>
      <c r="J781" s="21" t="s">
        <v>870</v>
      </c>
      <c r="K781" s="16" t="s">
        <v>21</v>
      </c>
      <c r="L781" s="22">
        <v>30.0</v>
      </c>
      <c r="M781" s="55">
        <v>0.0</v>
      </c>
      <c r="N781" s="23">
        <v>0.0</v>
      </c>
      <c r="O781" s="23">
        <v>242.22</v>
      </c>
      <c r="P781" s="83">
        <f t="shared" si="24"/>
        <v>45024</v>
      </c>
      <c r="Q781" s="23"/>
      <c r="R781" s="25"/>
      <c r="S781" s="26">
        <v>45017.0</v>
      </c>
      <c r="T781" s="16" t="b">
        <v>0</v>
      </c>
    </row>
    <row r="782" hidden="1">
      <c r="A782" s="4" t="s">
        <v>871</v>
      </c>
      <c r="B782" s="5">
        <f>400*1.33442</f>
        <v>533.768</v>
      </c>
      <c r="C782" s="4" t="s">
        <v>18</v>
      </c>
      <c r="D782" s="6" t="s">
        <v>872</v>
      </c>
      <c r="E782" s="84">
        <v>44992.0</v>
      </c>
      <c r="F782" s="34">
        <f>15.78+2.18</f>
        <v>17.96</v>
      </c>
      <c r="G782" s="8">
        <v>2023.0</v>
      </c>
      <c r="H782" s="9" t="s">
        <v>766</v>
      </c>
      <c r="I782" s="9" t="s">
        <v>459</v>
      </c>
      <c r="J782" s="9" t="s">
        <v>873</v>
      </c>
      <c r="K782" s="4" t="s">
        <v>9</v>
      </c>
      <c r="L782" s="10"/>
      <c r="M782" s="54">
        <v>0.0</v>
      </c>
      <c r="N782" s="12">
        <v>0.0</v>
      </c>
      <c r="O782" s="12">
        <v>515.808</v>
      </c>
      <c r="P782" s="85">
        <f t="shared" si="24"/>
        <v>44992</v>
      </c>
      <c r="Q782" s="12"/>
      <c r="R782" s="14"/>
      <c r="S782" s="15">
        <v>45017.0</v>
      </c>
      <c r="T782" s="4" t="b">
        <v>0</v>
      </c>
    </row>
    <row r="783" hidden="1">
      <c r="A783" s="16" t="s">
        <v>874</v>
      </c>
      <c r="B783" s="17">
        <v>1487.5</v>
      </c>
      <c r="C783" s="16" t="s">
        <v>18</v>
      </c>
      <c r="D783" s="18">
        <v>5477.0</v>
      </c>
      <c r="E783" s="19">
        <v>44998.0</v>
      </c>
      <c r="F783" s="17">
        <v>17.5</v>
      </c>
      <c r="G783" s="20">
        <v>2023.0</v>
      </c>
      <c r="H783" s="21" t="s">
        <v>766</v>
      </c>
      <c r="I783" s="21" t="s">
        <v>252</v>
      </c>
      <c r="J783" s="21" t="s">
        <v>875</v>
      </c>
      <c r="K783" s="16" t="s">
        <v>21</v>
      </c>
      <c r="L783" s="16">
        <v>0.0</v>
      </c>
      <c r="M783" s="55">
        <v>0.0</v>
      </c>
      <c r="N783" s="23">
        <v>0.0</v>
      </c>
      <c r="O783" s="23">
        <v>1470.0</v>
      </c>
      <c r="P783" s="48">
        <f t="shared" si="24"/>
        <v>44998</v>
      </c>
      <c r="Q783" s="23">
        <v>2975.0</v>
      </c>
      <c r="R783" s="25"/>
      <c r="S783" s="26">
        <v>45017.0</v>
      </c>
      <c r="T783" s="16" t="b">
        <v>0</v>
      </c>
    </row>
    <row r="784" hidden="1">
      <c r="A784" s="4" t="s">
        <v>874</v>
      </c>
      <c r="B784" s="5">
        <v>1487.5</v>
      </c>
      <c r="C784" s="4" t="s">
        <v>18</v>
      </c>
      <c r="D784" s="6">
        <v>5538.0</v>
      </c>
      <c r="E784" s="7">
        <v>45077.0</v>
      </c>
      <c r="F784" s="5">
        <v>0.0</v>
      </c>
      <c r="G784" s="8">
        <v>2023.0</v>
      </c>
      <c r="H784" s="9" t="s">
        <v>766</v>
      </c>
      <c r="I784" s="9" t="s">
        <v>252</v>
      </c>
      <c r="J784" s="9" t="s">
        <v>876</v>
      </c>
      <c r="K784" s="4" t="s">
        <v>21</v>
      </c>
      <c r="L784" s="4">
        <v>30.0</v>
      </c>
      <c r="M784" s="54">
        <v>0.0</v>
      </c>
      <c r="N784" s="12">
        <v>0.0</v>
      </c>
      <c r="O784" s="12">
        <v>1487.5</v>
      </c>
      <c r="P784" s="37">
        <f t="shared" si="24"/>
        <v>45107</v>
      </c>
      <c r="Q784" s="12">
        <v>2975.0</v>
      </c>
      <c r="R784" s="14"/>
      <c r="S784" s="15">
        <v>45078.0</v>
      </c>
      <c r="T784" s="4" t="b">
        <v>0</v>
      </c>
    </row>
    <row r="785" hidden="1">
      <c r="A785" s="16" t="s">
        <v>785</v>
      </c>
      <c r="B785" s="17">
        <f>300*1.304165</f>
        <v>391.2495</v>
      </c>
      <c r="C785" s="16" t="s">
        <v>18</v>
      </c>
      <c r="D785" s="18" t="s">
        <v>877</v>
      </c>
      <c r="E785" s="19">
        <v>45000.0</v>
      </c>
      <c r="F785" s="35">
        <f>11.4*1.304165</f>
        <v>14.867481</v>
      </c>
      <c r="G785" s="20">
        <v>2023.0</v>
      </c>
      <c r="H785" s="21" t="s">
        <v>766</v>
      </c>
      <c r="I785" s="21" t="s">
        <v>252</v>
      </c>
      <c r="J785" s="21" t="s">
        <v>878</v>
      </c>
      <c r="K785" s="16" t="s">
        <v>9</v>
      </c>
      <c r="L785" s="22">
        <v>0.0</v>
      </c>
      <c r="M785" s="55">
        <v>0.0</v>
      </c>
      <c r="N785" s="23">
        <v>0.0</v>
      </c>
      <c r="O785" s="23">
        <v>376.382019</v>
      </c>
      <c r="P785" s="48">
        <f t="shared" si="24"/>
        <v>45000</v>
      </c>
      <c r="Q785" s="23">
        <v>600.0</v>
      </c>
      <c r="R785" s="25"/>
      <c r="S785" s="26">
        <v>45017.0</v>
      </c>
      <c r="T785" s="16" t="b">
        <v>0</v>
      </c>
    </row>
    <row r="786" hidden="1">
      <c r="A786" s="4" t="s">
        <v>99</v>
      </c>
      <c r="B786" s="5">
        <f>1430*1.324826</f>
        <v>1894.50118</v>
      </c>
      <c r="C786" s="4" t="s">
        <v>18</v>
      </c>
      <c r="D786" s="6" t="s">
        <v>879</v>
      </c>
      <c r="E786" s="7">
        <v>45000.0</v>
      </c>
      <c r="F786" s="34">
        <f>53.21*1.324826</f>
        <v>70.49399146</v>
      </c>
      <c r="G786" s="8">
        <v>2023.03</v>
      </c>
      <c r="H786" s="9" t="s">
        <v>27</v>
      </c>
      <c r="I786" s="9" t="s">
        <v>52</v>
      </c>
      <c r="J786" s="9" t="s">
        <v>101</v>
      </c>
      <c r="K786" s="4" t="s">
        <v>9</v>
      </c>
      <c r="L786" s="10">
        <v>30.0</v>
      </c>
      <c r="M786" s="54">
        <v>0.2</v>
      </c>
      <c r="N786" s="12">
        <v>364.80143770800004</v>
      </c>
      <c r="O786" s="12">
        <v>1459.205750832</v>
      </c>
      <c r="P786" s="37">
        <f t="shared" si="24"/>
        <v>45030</v>
      </c>
      <c r="Q786" s="12">
        <v>1430.0</v>
      </c>
      <c r="R786" s="14"/>
      <c r="S786" s="15">
        <v>45017.0</v>
      </c>
      <c r="T786" s="4" t="b">
        <v>0</v>
      </c>
    </row>
    <row r="787" hidden="1">
      <c r="A787" s="16" t="s">
        <v>225</v>
      </c>
      <c r="B787" s="17">
        <v>5000.0</v>
      </c>
      <c r="C787" s="16" t="s">
        <v>18</v>
      </c>
      <c r="D787" s="18">
        <v>5480.0</v>
      </c>
      <c r="E787" s="19">
        <v>45000.0</v>
      </c>
      <c r="F787" s="17">
        <v>0.0</v>
      </c>
      <c r="G787" s="20">
        <v>2023.03</v>
      </c>
      <c r="H787" s="21" t="s">
        <v>27</v>
      </c>
      <c r="I787" s="21" t="s">
        <v>52</v>
      </c>
      <c r="J787" s="21" t="s">
        <v>880</v>
      </c>
      <c r="K787" s="16" t="s">
        <v>21</v>
      </c>
      <c r="L787" s="22">
        <v>30.0</v>
      </c>
      <c r="M787" s="55">
        <v>0.0</v>
      </c>
      <c r="N787" s="23">
        <v>0.0</v>
      </c>
      <c r="O787" s="23">
        <v>5000.0</v>
      </c>
      <c r="P787" s="48">
        <f t="shared" si="24"/>
        <v>45030</v>
      </c>
      <c r="Q787" s="23">
        <v>5000.0</v>
      </c>
      <c r="R787" s="25"/>
      <c r="S787" s="26">
        <v>45017.0</v>
      </c>
      <c r="T787" s="16" t="b">
        <v>0</v>
      </c>
    </row>
    <row r="788" hidden="1">
      <c r="A788" s="4" t="s">
        <v>102</v>
      </c>
      <c r="B788" s="5">
        <f>350*1.300382</f>
        <v>455.1337</v>
      </c>
      <c r="C788" s="4" t="s">
        <v>18</v>
      </c>
      <c r="D788" s="6" t="s">
        <v>881</v>
      </c>
      <c r="E788" s="7">
        <v>45000.0</v>
      </c>
      <c r="F788" s="34">
        <f>13.25*1.300382</f>
        <v>17.2300615</v>
      </c>
      <c r="G788" s="8">
        <v>2023.03</v>
      </c>
      <c r="H788" s="9" t="s">
        <v>27</v>
      </c>
      <c r="I788" s="9" t="s">
        <v>52</v>
      </c>
      <c r="J788" s="9" t="s">
        <v>104</v>
      </c>
      <c r="K788" s="4" t="s">
        <v>9</v>
      </c>
      <c r="L788" s="10">
        <v>30.0</v>
      </c>
      <c r="M788" s="54">
        <v>0.0</v>
      </c>
      <c r="N788" s="12">
        <v>0.0</v>
      </c>
      <c r="O788" s="12">
        <v>437.9036385</v>
      </c>
      <c r="P788" s="37">
        <f t="shared" si="24"/>
        <v>45030</v>
      </c>
      <c r="Q788" s="12">
        <v>350.0</v>
      </c>
      <c r="R788" s="14"/>
      <c r="S788" s="15">
        <v>45017.0</v>
      </c>
      <c r="T788" s="4" t="b">
        <v>0</v>
      </c>
    </row>
    <row r="789" hidden="1">
      <c r="A789" s="16" t="s">
        <v>62</v>
      </c>
      <c r="B789" s="17">
        <v>1600.0</v>
      </c>
      <c r="C789" s="16" t="s">
        <v>18</v>
      </c>
      <c r="D789" s="18">
        <v>5481.0</v>
      </c>
      <c r="E789" s="19">
        <v>45000.0</v>
      </c>
      <c r="F789" s="17">
        <v>49.78</v>
      </c>
      <c r="G789" s="20">
        <v>2023.03</v>
      </c>
      <c r="H789" s="21" t="s">
        <v>27</v>
      </c>
      <c r="I789" s="21" t="s">
        <v>52</v>
      </c>
      <c r="J789" s="21" t="s">
        <v>63</v>
      </c>
      <c r="K789" s="16" t="s">
        <v>21</v>
      </c>
      <c r="L789" s="22">
        <v>30.0</v>
      </c>
      <c r="M789" s="55">
        <v>0.0</v>
      </c>
      <c r="N789" s="23">
        <v>0.0</v>
      </c>
      <c r="O789" s="23">
        <v>1550.22</v>
      </c>
      <c r="P789" s="48">
        <f t="shared" si="24"/>
        <v>45030</v>
      </c>
      <c r="Q789" s="23">
        <v>1600.0</v>
      </c>
      <c r="R789" s="25"/>
      <c r="S789" s="26">
        <v>45017.0</v>
      </c>
      <c r="T789" s="16" t="b">
        <v>0</v>
      </c>
    </row>
    <row r="790" hidden="1">
      <c r="A790" s="4" t="s">
        <v>66</v>
      </c>
      <c r="B790" s="5">
        <v>990.0</v>
      </c>
      <c r="C790" s="4" t="s">
        <v>18</v>
      </c>
      <c r="D790" s="6">
        <v>5482.0</v>
      </c>
      <c r="E790" s="7">
        <v>45000.0</v>
      </c>
      <c r="F790" s="5">
        <v>0.0</v>
      </c>
      <c r="G790" s="8">
        <v>2023.03</v>
      </c>
      <c r="H790" s="9" t="s">
        <v>27</v>
      </c>
      <c r="I790" s="9" t="s">
        <v>52</v>
      </c>
      <c r="J790" s="9" t="s">
        <v>294</v>
      </c>
      <c r="K790" s="4" t="s">
        <v>21</v>
      </c>
      <c r="L790" s="10">
        <v>30.0</v>
      </c>
      <c r="M790" s="54">
        <v>0.0</v>
      </c>
      <c r="N790" s="12">
        <v>0.0</v>
      </c>
      <c r="O790" s="12">
        <v>990.0</v>
      </c>
      <c r="P790" s="37">
        <f t="shared" si="24"/>
        <v>45030</v>
      </c>
      <c r="Q790" s="12">
        <v>990.0</v>
      </c>
      <c r="R790" s="14"/>
      <c r="S790" s="15">
        <v>45017.0</v>
      </c>
      <c r="T790" s="4" t="b">
        <v>0</v>
      </c>
    </row>
    <row r="791" hidden="1">
      <c r="A791" s="16" t="s">
        <v>467</v>
      </c>
      <c r="B791" s="17">
        <f>280*1.296017</f>
        <v>362.88476</v>
      </c>
      <c r="C791" s="16" t="s">
        <v>18</v>
      </c>
      <c r="D791" s="18" t="s">
        <v>745</v>
      </c>
      <c r="E791" s="19">
        <v>45000.0</v>
      </c>
      <c r="F791" s="35">
        <f>(280*0.0371349597404158)*1.296017</f>
        <v>13.47571095</v>
      </c>
      <c r="G791" s="20">
        <v>2023.03</v>
      </c>
      <c r="H791" s="21" t="s">
        <v>27</v>
      </c>
      <c r="I791" s="21" t="s">
        <v>52</v>
      </c>
      <c r="J791" s="21" t="s">
        <v>469</v>
      </c>
      <c r="K791" s="16" t="s">
        <v>9</v>
      </c>
      <c r="L791" s="22">
        <v>0.0</v>
      </c>
      <c r="M791" s="55">
        <v>0.2</v>
      </c>
      <c r="N791" s="23">
        <v>69.88180980939791</v>
      </c>
      <c r="O791" s="23">
        <v>279.52723923759163</v>
      </c>
      <c r="P791" s="48">
        <f t="shared" si="24"/>
        <v>45000</v>
      </c>
      <c r="Q791" s="23">
        <v>280.0</v>
      </c>
      <c r="R791" s="25"/>
      <c r="S791" s="26">
        <v>45047.0</v>
      </c>
      <c r="T791" s="16" t="b">
        <v>0</v>
      </c>
    </row>
    <row r="792" hidden="1">
      <c r="A792" s="4" t="s">
        <v>629</v>
      </c>
      <c r="B792" s="5">
        <f>280*1.33833</f>
        <v>374.7324</v>
      </c>
      <c r="C792" s="4" t="s">
        <v>18</v>
      </c>
      <c r="D792" s="6" t="s">
        <v>882</v>
      </c>
      <c r="E792" s="7">
        <v>45000.0</v>
      </c>
      <c r="F792" s="5">
        <v>11.17</v>
      </c>
      <c r="G792" s="8">
        <v>2023.03</v>
      </c>
      <c r="H792" s="9" t="s">
        <v>27</v>
      </c>
      <c r="I792" s="9" t="s">
        <v>52</v>
      </c>
      <c r="J792" s="9" t="s">
        <v>469</v>
      </c>
      <c r="K792" s="4" t="s">
        <v>9</v>
      </c>
      <c r="L792" s="10"/>
      <c r="M792" s="54">
        <v>0.0</v>
      </c>
      <c r="N792" s="12">
        <v>0.0</v>
      </c>
      <c r="O792" s="12">
        <v>363.56239999999997</v>
      </c>
      <c r="P792" s="37">
        <f t="shared" si="24"/>
        <v>45000</v>
      </c>
      <c r="Q792" s="12">
        <v>280.0</v>
      </c>
      <c r="R792" s="14"/>
      <c r="S792" s="15">
        <v>45017.0</v>
      </c>
      <c r="T792" s="4" t="b">
        <v>0</v>
      </c>
    </row>
    <row r="793" hidden="1">
      <c r="A793" s="16" t="s">
        <v>762</v>
      </c>
      <c r="B793" s="17">
        <v>500.0</v>
      </c>
      <c r="C793" s="16" t="s">
        <v>18</v>
      </c>
      <c r="D793" s="18">
        <v>5483.0</v>
      </c>
      <c r="E793" s="19">
        <v>45000.0</v>
      </c>
      <c r="F793" s="17">
        <v>0.0</v>
      </c>
      <c r="G793" s="20">
        <v>2023.03</v>
      </c>
      <c r="H793" s="21" t="s">
        <v>27</v>
      </c>
      <c r="I793" s="21" t="s">
        <v>52</v>
      </c>
      <c r="J793" s="21" t="s">
        <v>763</v>
      </c>
      <c r="K793" s="16"/>
      <c r="L793" s="22">
        <v>15.0</v>
      </c>
      <c r="M793" s="55"/>
      <c r="N793" s="23">
        <v>0.0</v>
      </c>
      <c r="O793" s="23">
        <v>500.0</v>
      </c>
      <c r="P793" s="48">
        <f t="shared" si="24"/>
        <v>45015</v>
      </c>
      <c r="Q793" s="23">
        <v>500.0</v>
      </c>
      <c r="R793" s="25"/>
      <c r="S793" s="26">
        <v>45047.0</v>
      </c>
      <c r="T793" s="16" t="b">
        <v>0</v>
      </c>
    </row>
    <row r="794" hidden="1">
      <c r="A794" s="4" t="s">
        <v>662</v>
      </c>
      <c r="B794" s="5">
        <v>2500.0</v>
      </c>
      <c r="C794" s="4" t="s">
        <v>18</v>
      </c>
      <c r="D794" s="6">
        <v>5484.0</v>
      </c>
      <c r="E794" s="7">
        <v>45000.0</v>
      </c>
      <c r="F794" s="5">
        <v>77.78</v>
      </c>
      <c r="G794" s="8">
        <v>2023.03</v>
      </c>
      <c r="H794" s="9" t="s">
        <v>27</v>
      </c>
      <c r="I794" s="9" t="s">
        <v>52</v>
      </c>
      <c r="J794" s="9" t="s">
        <v>764</v>
      </c>
      <c r="K794" s="4" t="s">
        <v>21</v>
      </c>
      <c r="L794" s="10">
        <v>15.0</v>
      </c>
      <c r="M794" s="54"/>
      <c r="N794" s="12">
        <v>0.0</v>
      </c>
      <c r="O794" s="12">
        <v>2422.22</v>
      </c>
      <c r="P794" s="37">
        <f t="shared" si="24"/>
        <v>45015</v>
      </c>
      <c r="Q794" s="12">
        <v>2500.0</v>
      </c>
      <c r="R794" s="14"/>
      <c r="S794" s="15">
        <v>45017.0</v>
      </c>
      <c r="T794" s="4" t="b">
        <v>0</v>
      </c>
    </row>
    <row r="795" hidden="1">
      <c r="A795" s="16" t="s">
        <v>788</v>
      </c>
      <c r="B795" s="17">
        <v>3000.0</v>
      </c>
      <c r="C795" s="16" t="s">
        <v>18</v>
      </c>
      <c r="D795" s="18">
        <v>5485.0</v>
      </c>
      <c r="E795" s="19">
        <v>45000.0</v>
      </c>
      <c r="F795" s="17">
        <v>0.0</v>
      </c>
      <c r="G795" s="20">
        <v>2023.03</v>
      </c>
      <c r="H795" s="21" t="s">
        <v>27</v>
      </c>
      <c r="I795" s="21" t="s">
        <v>52</v>
      </c>
      <c r="J795" s="21" t="s">
        <v>883</v>
      </c>
      <c r="K795" s="16" t="s">
        <v>21</v>
      </c>
      <c r="L795" s="22">
        <v>15.0</v>
      </c>
      <c r="M795" s="55"/>
      <c r="N795" s="23">
        <v>0.0</v>
      </c>
      <c r="O795" s="23">
        <v>3000.0</v>
      </c>
      <c r="P795" s="48">
        <f t="shared" si="24"/>
        <v>45015</v>
      </c>
      <c r="Q795" s="23">
        <v>3000.0</v>
      </c>
      <c r="R795" s="25"/>
      <c r="S795" s="26">
        <v>45017.0</v>
      </c>
      <c r="T795" s="16" t="b">
        <v>0</v>
      </c>
    </row>
    <row r="796" hidden="1">
      <c r="A796" s="4" t="s">
        <v>795</v>
      </c>
      <c r="B796" s="5">
        <v>2000.0</v>
      </c>
      <c r="C796" s="4" t="s">
        <v>18</v>
      </c>
      <c r="D796" s="6">
        <v>5486.0</v>
      </c>
      <c r="E796" s="7">
        <v>45000.0</v>
      </c>
      <c r="F796" s="5">
        <v>0.0</v>
      </c>
      <c r="G796" s="8">
        <v>2023.03</v>
      </c>
      <c r="H796" s="9" t="s">
        <v>27</v>
      </c>
      <c r="I796" s="9" t="s">
        <v>52</v>
      </c>
      <c r="J796" s="9" t="s">
        <v>796</v>
      </c>
      <c r="K796" s="4" t="s">
        <v>21</v>
      </c>
      <c r="L796" s="10">
        <v>0.0</v>
      </c>
      <c r="M796" s="54">
        <v>0.0</v>
      </c>
      <c r="N796" s="12">
        <v>0.0</v>
      </c>
      <c r="O796" s="12">
        <v>2000.0</v>
      </c>
      <c r="P796" s="37">
        <f t="shared" si="24"/>
        <v>45000</v>
      </c>
      <c r="Q796" s="12">
        <v>2000.0</v>
      </c>
      <c r="R796" s="14"/>
      <c r="S796" s="15">
        <v>45017.0</v>
      </c>
      <c r="T796" s="4" t="b">
        <v>0</v>
      </c>
    </row>
    <row r="797" hidden="1">
      <c r="A797" s="16" t="s">
        <v>884</v>
      </c>
      <c r="B797" s="17">
        <f>250*1.34355</f>
        <v>335.8875</v>
      </c>
      <c r="C797" s="16" t="s">
        <v>18</v>
      </c>
      <c r="D797" s="18" t="s">
        <v>885</v>
      </c>
      <c r="E797" s="19">
        <v>45000.0</v>
      </c>
      <c r="F797" s="17">
        <v>10.04</v>
      </c>
      <c r="G797" s="20">
        <v>2023.03</v>
      </c>
      <c r="H797" s="21" t="s">
        <v>27</v>
      </c>
      <c r="I797" s="21" t="s">
        <v>52</v>
      </c>
      <c r="J797" s="21" t="s">
        <v>857</v>
      </c>
      <c r="K797" s="16" t="s">
        <v>9</v>
      </c>
      <c r="L797" s="22"/>
      <c r="M797" s="55">
        <v>0.2</v>
      </c>
      <c r="N797" s="23">
        <v>65.1695</v>
      </c>
      <c r="O797" s="23">
        <v>260.678</v>
      </c>
      <c r="P797" s="48">
        <f t="shared" si="24"/>
        <v>45000</v>
      </c>
      <c r="Q797" s="23">
        <v>250.0</v>
      </c>
      <c r="R797" s="21"/>
      <c r="S797" s="26">
        <v>45017.0</v>
      </c>
      <c r="T797" s="16" t="b">
        <v>0</v>
      </c>
    </row>
    <row r="798" hidden="1">
      <c r="A798" s="4" t="s">
        <v>886</v>
      </c>
      <c r="B798" s="5">
        <f>250*1.322</f>
        <v>330.5</v>
      </c>
      <c r="C798" s="4" t="s">
        <v>18</v>
      </c>
      <c r="D798" s="6" t="s">
        <v>887</v>
      </c>
      <c r="E798" s="7">
        <v>45016.0</v>
      </c>
      <c r="F798" s="5">
        <v>0.0</v>
      </c>
      <c r="G798" s="8">
        <v>2023.0</v>
      </c>
      <c r="H798" s="9" t="s">
        <v>447</v>
      </c>
      <c r="I798" s="9" t="s">
        <v>52</v>
      </c>
      <c r="J798" s="9" t="s">
        <v>888</v>
      </c>
      <c r="K798" s="4" t="s">
        <v>9</v>
      </c>
      <c r="L798" s="10">
        <v>30.0</v>
      </c>
      <c r="M798" s="54">
        <v>0.0</v>
      </c>
      <c r="N798" s="12">
        <v>0.0</v>
      </c>
      <c r="O798" s="12">
        <v>330.5</v>
      </c>
      <c r="P798" s="37">
        <f t="shared" si="24"/>
        <v>45046</v>
      </c>
      <c r="Q798" s="12">
        <v>700.0</v>
      </c>
      <c r="R798" s="9" t="s">
        <v>889</v>
      </c>
      <c r="S798" s="15">
        <v>45017.0</v>
      </c>
      <c r="T798" s="4" t="b">
        <v>0</v>
      </c>
    </row>
    <row r="799" hidden="1">
      <c r="A799" s="16" t="s">
        <v>890</v>
      </c>
      <c r="B799" s="17">
        <v>1700.0</v>
      </c>
      <c r="C799" s="16" t="s">
        <v>18</v>
      </c>
      <c r="D799" s="18">
        <v>5492.0</v>
      </c>
      <c r="E799" s="19">
        <v>45016.0</v>
      </c>
      <c r="F799" s="17">
        <v>52.89</v>
      </c>
      <c r="G799" s="20">
        <v>2023.03</v>
      </c>
      <c r="H799" s="21" t="s">
        <v>51</v>
      </c>
      <c r="I799" s="21" t="s">
        <v>52</v>
      </c>
      <c r="J799" s="21" t="s">
        <v>891</v>
      </c>
      <c r="K799" s="16" t="s">
        <v>21</v>
      </c>
      <c r="L799" s="22">
        <v>15.0</v>
      </c>
      <c r="M799" s="55">
        <v>0.0</v>
      </c>
      <c r="N799" s="23">
        <v>0.0</v>
      </c>
      <c r="O799" s="23">
        <v>1647.11</v>
      </c>
      <c r="P799" s="48">
        <f t="shared" si="24"/>
        <v>45031</v>
      </c>
      <c r="Q799" s="23">
        <v>1700.0</v>
      </c>
      <c r="R799" s="21" t="s">
        <v>892</v>
      </c>
      <c r="S799" s="26">
        <v>45017.0</v>
      </c>
      <c r="T799" s="16" t="b">
        <v>0</v>
      </c>
    </row>
    <row r="800" hidden="1">
      <c r="A800" s="4" t="s">
        <v>549</v>
      </c>
      <c r="B800" s="5">
        <f>300*1.30659</f>
        <v>391.977</v>
      </c>
      <c r="C800" s="4" t="s">
        <v>18</v>
      </c>
      <c r="D800" s="6" t="s">
        <v>893</v>
      </c>
      <c r="E800" s="7">
        <v>45016.0</v>
      </c>
      <c r="F800" s="34">
        <f>11.4*1.30659</f>
        <v>14.895126</v>
      </c>
      <c r="G800" s="8">
        <v>2023.03</v>
      </c>
      <c r="H800" s="9" t="s">
        <v>51</v>
      </c>
      <c r="I800" s="9" t="s">
        <v>52</v>
      </c>
      <c r="J800" s="9" t="s">
        <v>894</v>
      </c>
      <c r="K800" s="4" t="s">
        <v>9</v>
      </c>
      <c r="L800" s="10">
        <v>0.0</v>
      </c>
      <c r="M800" s="54">
        <v>0.0</v>
      </c>
      <c r="N800" s="12">
        <v>0.0</v>
      </c>
      <c r="O800" s="12">
        <v>377.08187399999997</v>
      </c>
      <c r="P800" s="37">
        <f t="shared" si="24"/>
        <v>45016</v>
      </c>
      <c r="Q800" s="12">
        <v>300.0</v>
      </c>
      <c r="R800" s="9" t="s">
        <v>895</v>
      </c>
      <c r="S800" s="15">
        <v>45017.0</v>
      </c>
      <c r="T800" s="4" t="b">
        <v>0</v>
      </c>
    </row>
    <row r="801" hidden="1">
      <c r="A801" s="16" t="s">
        <v>896</v>
      </c>
      <c r="B801" s="17">
        <f>1399+250</f>
        <v>1649</v>
      </c>
      <c r="C801" s="16" t="s">
        <v>18</v>
      </c>
      <c r="D801" s="18">
        <v>5493.0</v>
      </c>
      <c r="E801" s="19">
        <v>45016.0</v>
      </c>
      <c r="F801" s="17">
        <f>1863.37*0.02963</f>
        <v>55.2116531</v>
      </c>
      <c r="G801" s="20">
        <v>2023.0</v>
      </c>
      <c r="H801" s="21" t="s">
        <v>766</v>
      </c>
      <c r="I801" s="21" t="s">
        <v>252</v>
      </c>
      <c r="J801" s="53" t="s">
        <v>897</v>
      </c>
      <c r="K801" s="16" t="s">
        <v>21</v>
      </c>
      <c r="L801" s="22"/>
      <c r="M801" s="55">
        <v>0.0</v>
      </c>
      <c r="N801" s="23">
        <v>0.0</v>
      </c>
      <c r="O801" s="23">
        <v>1593.7883469</v>
      </c>
      <c r="P801" s="48">
        <f t="shared" si="24"/>
        <v>45016</v>
      </c>
      <c r="Q801" s="23">
        <v>1399.0</v>
      </c>
      <c r="R801" s="25"/>
      <c r="S801" s="26">
        <v>45017.0</v>
      </c>
      <c r="T801" s="16" t="b">
        <v>0</v>
      </c>
    </row>
    <row r="802" hidden="1">
      <c r="A802" s="4" t="s">
        <v>898</v>
      </c>
      <c r="B802" s="5">
        <v>1399.0</v>
      </c>
      <c r="C802" s="4" t="s">
        <v>18</v>
      </c>
      <c r="D802" s="6" t="s">
        <v>899</v>
      </c>
      <c r="E802" s="84">
        <v>45008.0</v>
      </c>
      <c r="F802" s="34">
        <f>55.8*1.302322</f>
        <v>72.6695676</v>
      </c>
      <c r="G802" s="8">
        <v>2023.0</v>
      </c>
      <c r="H802" s="9" t="s">
        <v>766</v>
      </c>
      <c r="I802" s="9" t="s">
        <v>19</v>
      </c>
      <c r="J802" s="9" t="s">
        <v>900</v>
      </c>
      <c r="K802" s="4" t="s">
        <v>9</v>
      </c>
      <c r="L802" s="10">
        <v>15.0</v>
      </c>
      <c r="M802" s="54">
        <v>0.0</v>
      </c>
      <c r="N802" s="12">
        <v>0.0</v>
      </c>
      <c r="O802" s="12">
        <v>1326.3304324</v>
      </c>
      <c r="P802" s="85">
        <f t="shared" si="24"/>
        <v>45023</v>
      </c>
      <c r="Q802" s="12">
        <v>3000.0</v>
      </c>
      <c r="R802" s="14"/>
      <c r="S802" s="15">
        <v>45017.0</v>
      </c>
      <c r="T802" s="4" t="b">
        <v>0</v>
      </c>
    </row>
    <row r="803" hidden="1">
      <c r="A803" s="16" t="s">
        <v>898</v>
      </c>
      <c r="B803" s="17">
        <v>554.48</v>
      </c>
      <c r="C803" s="16" t="s">
        <v>18</v>
      </c>
      <c r="D803" s="18" t="s">
        <v>899</v>
      </c>
      <c r="E803" s="82">
        <v>45008.0</v>
      </c>
      <c r="F803" s="17">
        <v>0.0</v>
      </c>
      <c r="G803" s="20">
        <v>2023.0</v>
      </c>
      <c r="H803" s="21" t="s">
        <v>766</v>
      </c>
      <c r="I803" s="21" t="s">
        <v>19</v>
      </c>
      <c r="J803" s="21" t="s">
        <v>901</v>
      </c>
      <c r="K803" s="16" t="s">
        <v>9</v>
      </c>
      <c r="L803" s="22">
        <v>15.0</v>
      </c>
      <c r="M803" s="55">
        <v>0.0</v>
      </c>
      <c r="N803" s="23">
        <v>0.0</v>
      </c>
      <c r="O803" s="23">
        <v>554.48</v>
      </c>
      <c r="P803" s="24"/>
      <c r="Q803" s="23">
        <v>3000.0</v>
      </c>
      <c r="R803" s="25"/>
      <c r="S803" s="26">
        <v>45047.0</v>
      </c>
      <c r="T803" s="16" t="b">
        <v>0</v>
      </c>
    </row>
    <row r="804" hidden="1">
      <c r="A804" s="4" t="s">
        <v>898</v>
      </c>
      <c r="B804" s="5">
        <f>1500*1.287093</f>
        <v>1930.6395</v>
      </c>
      <c r="C804" s="4" t="s">
        <v>18</v>
      </c>
      <c r="D804" s="6" t="s">
        <v>902</v>
      </c>
      <c r="E804" s="7">
        <v>45077.0</v>
      </c>
      <c r="F804" s="34">
        <f>55.8*1.287093</f>
        <v>71.8197894</v>
      </c>
      <c r="G804" s="8">
        <v>2023.0</v>
      </c>
      <c r="H804" s="9" t="s">
        <v>766</v>
      </c>
      <c r="I804" s="9" t="s">
        <v>19</v>
      </c>
      <c r="J804" s="51" t="s">
        <v>903</v>
      </c>
      <c r="K804" s="4" t="s">
        <v>9</v>
      </c>
      <c r="L804" s="10">
        <v>15.0</v>
      </c>
      <c r="M804" s="54">
        <v>0.0</v>
      </c>
      <c r="N804" s="12">
        <v>0.0</v>
      </c>
      <c r="O804" s="12">
        <v>1858.8197106</v>
      </c>
      <c r="P804" s="37">
        <f t="shared" ref="P804:P845" si="28">if(E804="","", E804+L804)</f>
        <v>45092</v>
      </c>
      <c r="Q804" s="12">
        <v>3000.0</v>
      </c>
      <c r="R804" s="14"/>
      <c r="S804" s="15">
        <v>45078.0</v>
      </c>
      <c r="T804" s="4" t="b">
        <v>0</v>
      </c>
    </row>
    <row r="805" hidden="1">
      <c r="A805" s="16" t="s">
        <v>223</v>
      </c>
      <c r="B805" s="17">
        <v>800.0</v>
      </c>
      <c r="C805" s="16" t="s">
        <v>18</v>
      </c>
      <c r="D805" s="18">
        <v>5487.0</v>
      </c>
      <c r="E805" s="19">
        <v>45016.0</v>
      </c>
      <c r="F805" s="17">
        <v>24.89</v>
      </c>
      <c r="G805" s="20">
        <v>2023.03</v>
      </c>
      <c r="H805" s="21" t="s">
        <v>51</v>
      </c>
      <c r="I805" s="21" t="s">
        <v>52</v>
      </c>
      <c r="J805" s="21" t="s">
        <v>247</v>
      </c>
      <c r="K805" s="16" t="s">
        <v>21</v>
      </c>
      <c r="L805" s="22">
        <v>30.0</v>
      </c>
      <c r="M805" s="55">
        <v>0.0</v>
      </c>
      <c r="N805" s="23">
        <v>0.0</v>
      </c>
      <c r="O805" s="23">
        <v>775.11</v>
      </c>
      <c r="P805" s="48">
        <f t="shared" si="28"/>
        <v>45046</v>
      </c>
      <c r="Q805" s="23">
        <v>800.0</v>
      </c>
      <c r="R805" s="25"/>
      <c r="S805" s="26">
        <v>45017.0</v>
      </c>
      <c r="T805" s="16" t="b">
        <v>0</v>
      </c>
    </row>
    <row r="806" hidden="1">
      <c r="A806" s="4" t="s">
        <v>54</v>
      </c>
      <c r="B806" s="5">
        <v>750.0</v>
      </c>
      <c r="C806" s="4" t="s">
        <v>18</v>
      </c>
      <c r="D806" s="6">
        <v>5489.0</v>
      </c>
      <c r="E806" s="7">
        <v>45016.0</v>
      </c>
      <c r="F806" s="5">
        <v>23.33</v>
      </c>
      <c r="G806" s="8">
        <v>2023.03</v>
      </c>
      <c r="H806" s="9" t="s">
        <v>51</v>
      </c>
      <c r="I806" s="9" t="s">
        <v>52</v>
      </c>
      <c r="J806" s="9" t="s">
        <v>55</v>
      </c>
      <c r="K806" s="4" t="s">
        <v>21</v>
      </c>
      <c r="L806" s="10">
        <v>30.0</v>
      </c>
      <c r="M806" s="54">
        <v>0.0</v>
      </c>
      <c r="N806" s="12">
        <v>0.0</v>
      </c>
      <c r="O806" s="12">
        <v>726.67</v>
      </c>
      <c r="P806" s="37">
        <f t="shared" si="28"/>
        <v>45046</v>
      </c>
      <c r="Q806" s="12">
        <v>750.0</v>
      </c>
      <c r="R806" s="14"/>
      <c r="S806" s="15">
        <v>45017.0</v>
      </c>
      <c r="T806" s="4" t="b">
        <v>0</v>
      </c>
    </row>
    <row r="807" hidden="1">
      <c r="A807" s="16" t="s">
        <v>120</v>
      </c>
      <c r="B807" s="17">
        <f>1500*1.300382</f>
        <v>1950.573</v>
      </c>
      <c r="C807" s="16" t="s">
        <v>18</v>
      </c>
      <c r="D807" s="18" t="s">
        <v>904</v>
      </c>
      <c r="E807" s="19">
        <v>45016.0</v>
      </c>
      <c r="F807" s="35">
        <f>55.8*1.300382</f>
        <v>72.5613156</v>
      </c>
      <c r="G807" s="20">
        <v>2023.03</v>
      </c>
      <c r="H807" s="21" t="s">
        <v>51</v>
      </c>
      <c r="I807" s="21" t="s">
        <v>52</v>
      </c>
      <c r="J807" s="21" t="s">
        <v>364</v>
      </c>
      <c r="K807" s="16" t="s">
        <v>9</v>
      </c>
      <c r="L807" s="22">
        <v>30.0</v>
      </c>
      <c r="M807" s="55">
        <v>0.2</v>
      </c>
      <c r="N807" s="23">
        <v>375.60233688</v>
      </c>
      <c r="O807" s="23">
        <v>1502.40934752</v>
      </c>
      <c r="P807" s="48">
        <f t="shared" si="28"/>
        <v>45046</v>
      </c>
      <c r="Q807" s="23">
        <v>1500.0</v>
      </c>
      <c r="R807" s="25"/>
      <c r="S807" s="26">
        <v>45017.0</v>
      </c>
      <c r="T807" s="16" t="b">
        <v>0</v>
      </c>
    </row>
    <row r="808" hidden="1">
      <c r="A808" s="4" t="s">
        <v>42</v>
      </c>
      <c r="B808" s="5">
        <v>1500.0</v>
      </c>
      <c r="C808" s="4" t="s">
        <v>18</v>
      </c>
      <c r="D808" s="6">
        <v>5494.0</v>
      </c>
      <c r="E808" s="7">
        <v>45016.0</v>
      </c>
      <c r="F808" s="5">
        <v>46.67</v>
      </c>
      <c r="G808" s="8">
        <v>2023.03</v>
      </c>
      <c r="H808" s="9" t="s">
        <v>51</v>
      </c>
      <c r="I808" s="9" t="s">
        <v>52</v>
      </c>
      <c r="J808" s="9" t="s">
        <v>43</v>
      </c>
      <c r="K808" s="4" t="s">
        <v>21</v>
      </c>
      <c r="L808" s="10">
        <v>30.0</v>
      </c>
      <c r="M808" s="54">
        <v>0.15</v>
      </c>
      <c r="N808" s="12">
        <v>217.99949999999998</v>
      </c>
      <c r="O808" s="12">
        <v>1235.3305</v>
      </c>
      <c r="P808" s="37">
        <f t="shared" si="28"/>
        <v>45046</v>
      </c>
      <c r="Q808" s="12">
        <v>1500.0</v>
      </c>
      <c r="R808" s="14"/>
      <c r="S808" s="15">
        <v>45017.0</v>
      </c>
      <c r="T808" s="4" t="b">
        <v>0</v>
      </c>
    </row>
    <row r="809" hidden="1">
      <c r="A809" s="16" t="s">
        <v>82</v>
      </c>
      <c r="B809" s="17">
        <v>830.0</v>
      </c>
      <c r="C809" s="16" t="s">
        <v>18</v>
      </c>
      <c r="D809" s="18">
        <v>5495.0</v>
      </c>
      <c r="E809" s="19">
        <v>45016.0</v>
      </c>
      <c r="F809" s="17">
        <v>0.0</v>
      </c>
      <c r="G809" s="20">
        <v>2023.03</v>
      </c>
      <c r="H809" s="21" t="s">
        <v>51</v>
      </c>
      <c r="I809" s="21" t="s">
        <v>52</v>
      </c>
      <c r="J809" s="21" t="s">
        <v>83</v>
      </c>
      <c r="K809" s="16" t="s">
        <v>21</v>
      </c>
      <c r="L809" s="22">
        <v>30.0</v>
      </c>
      <c r="M809" s="55">
        <v>0.0</v>
      </c>
      <c r="N809" s="23">
        <v>0.0</v>
      </c>
      <c r="O809" s="23">
        <v>830.0</v>
      </c>
      <c r="P809" s="48">
        <f t="shared" si="28"/>
        <v>45046</v>
      </c>
      <c r="Q809" s="23">
        <v>830.0</v>
      </c>
      <c r="R809" s="25"/>
      <c r="S809" s="26">
        <v>45017.0</v>
      </c>
      <c r="T809" s="16" t="b">
        <v>0</v>
      </c>
    </row>
    <row r="810" hidden="1">
      <c r="A810" s="4" t="s">
        <v>88</v>
      </c>
      <c r="B810" s="5">
        <v>500.0</v>
      </c>
      <c r="C810" s="4" t="s">
        <v>18</v>
      </c>
      <c r="D810" s="6">
        <v>5490.0</v>
      </c>
      <c r="E810" s="7">
        <v>45016.0</v>
      </c>
      <c r="F810" s="5">
        <v>15.56</v>
      </c>
      <c r="G810" s="8">
        <v>2023.03</v>
      </c>
      <c r="H810" s="9" t="s">
        <v>51</v>
      </c>
      <c r="I810" s="9" t="s">
        <v>52</v>
      </c>
      <c r="J810" s="9" t="s">
        <v>89</v>
      </c>
      <c r="K810" s="4" t="s">
        <v>21</v>
      </c>
      <c r="L810" s="10">
        <v>30.0</v>
      </c>
      <c r="M810" s="54">
        <v>0.0</v>
      </c>
      <c r="N810" s="12">
        <v>0.0</v>
      </c>
      <c r="O810" s="12">
        <v>484.44</v>
      </c>
      <c r="P810" s="37">
        <f t="shared" si="28"/>
        <v>45046</v>
      </c>
      <c r="Q810" s="12">
        <v>500.0</v>
      </c>
      <c r="R810" s="14"/>
      <c r="S810" s="15">
        <v>45017.0</v>
      </c>
      <c r="T810" s="4" t="b">
        <v>0</v>
      </c>
    </row>
    <row r="811" hidden="1">
      <c r="A811" s="16" t="s">
        <v>50</v>
      </c>
      <c r="B811" s="17">
        <v>412.5</v>
      </c>
      <c r="C811" s="16" t="s">
        <v>18</v>
      </c>
      <c r="D811" s="18">
        <v>5496.0</v>
      </c>
      <c r="E811" s="19">
        <v>45016.0</v>
      </c>
      <c r="F811" s="17">
        <v>0.0</v>
      </c>
      <c r="G811" s="20">
        <v>2023.03</v>
      </c>
      <c r="H811" s="21" t="s">
        <v>51</v>
      </c>
      <c r="I811" s="21" t="s">
        <v>52</v>
      </c>
      <c r="J811" s="21" t="s">
        <v>400</v>
      </c>
      <c r="K811" s="16" t="s">
        <v>21</v>
      </c>
      <c r="L811" s="22">
        <v>30.0</v>
      </c>
      <c r="M811" s="55">
        <v>0.0</v>
      </c>
      <c r="N811" s="23">
        <v>0.0</v>
      </c>
      <c r="O811" s="23">
        <v>412.5</v>
      </c>
      <c r="P811" s="48">
        <f t="shared" si="28"/>
        <v>45046</v>
      </c>
      <c r="Q811" s="23">
        <v>412.5</v>
      </c>
      <c r="R811" s="25"/>
      <c r="S811" s="26">
        <v>45017.0</v>
      </c>
      <c r="T811" s="16" t="b">
        <v>0</v>
      </c>
    </row>
    <row r="812">
      <c r="A812" s="4" t="s">
        <v>105</v>
      </c>
      <c r="B812" s="5">
        <v>0.0</v>
      </c>
      <c r="C812" s="4" t="s">
        <v>47</v>
      </c>
      <c r="D812" s="6" t="s">
        <v>905</v>
      </c>
      <c r="E812" s="7"/>
      <c r="F812" s="34"/>
      <c r="G812" s="8">
        <v>1899.0</v>
      </c>
      <c r="H812" s="9"/>
      <c r="I812" s="9" t="s">
        <v>52</v>
      </c>
      <c r="J812" s="9" t="s">
        <v>154</v>
      </c>
      <c r="K812" s="4" t="s">
        <v>9</v>
      </c>
      <c r="L812" s="10">
        <v>30.0</v>
      </c>
      <c r="M812" s="54">
        <v>0.0</v>
      </c>
      <c r="N812" s="12">
        <v>0.0</v>
      </c>
      <c r="O812" s="12">
        <v>0.0</v>
      </c>
      <c r="P812" s="13" t="str">
        <f t="shared" si="28"/>
        <v/>
      </c>
      <c r="Q812" s="12">
        <v>300.0</v>
      </c>
      <c r="R812" s="9" t="s">
        <v>906</v>
      </c>
      <c r="S812" s="15"/>
      <c r="T812" s="4" t="b">
        <v>0</v>
      </c>
    </row>
    <row r="813" hidden="1">
      <c r="A813" s="16" t="s">
        <v>97</v>
      </c>
      <c r="B813" s="17">
        <v>330.0</v>
      </c>
      <c r="C813" s="16" t="s">
        <v>18</v>
      </c>
      <c r="D813" s="18">
        <v>5497.0</v>
      </c>
      <c r="E813" s="19">
        <v>45016.0</v>
      </c>
      <c r="F813" s="17">
        <v>10.27</v>
      </c>
      <c r="G813" s="20">
        <v>2023.03</v>
      </c>
      <c r="H813" s="21" t="s">
        <v>51</v>
      </c>
      <c r="I813" s="21" t="s">
        <v>52</v>
      </c>
      <c r="J813" s="21" t="s">
        <v>98</v>
      </c>
      <c r="K813" s="16" t="s">
        <v>21</v>
      </c>
      <c r="L813" s="22">
        <v>30.0</v>
      </c>
      <c r="M813" s="55">
        <v>0.0</v>
      </c>
      <c r="N813" s="23">
        <v>0.0</v>
      </c>
      <c r="O813" s="23">
        <v>319.73</v>
      </c>
      <c r="P813" s="48">
        <f t="shared" si="28"/>
        <v>45046</v>
      </c>
      <c r="Q813" s="23">
        <v>330.0</v>
      </c>
      <c r="R813" s="25"/>
      <c r="S813" s="26">
        <v>45017.0</v>
      </c>
      <c r="T813" s="16" t="b">
        <v>0</v>
      </c>
    </row>
    <row r="814" hidden="1">
      <c r="A814" s="4" t="s">
        <v>92</v>
      </c>
      <c r="B814" s="5">
        <v>2500.0</v>
      </c>
      <c r="C814" s="4" t="s">
        <v>18</v>
      </c>
      <c r="D814" s="6">
        <v>5498.0</v>
      </c>
      <c r="E814" s="7">
        <v>45016.0</v>
      </c>
      <c r="F814" s="5">
        <v>77.78</v>
      </c>
      <c r="G814" s="8">
        <v>2023.03</v>
      </c>
      <c r="H814" s="9" t="s">
        <v>51</v>
      </c>
      <c r="I814" s="9" t="s">
        <v>52</v>
      </c>
      <c r="J814" s="9" t="s">
        <v>93</v>
      </c>
      <c r="K814" s="4" t="s">
        <v>21</v>
      </c>
      <c r="L814" s="10">
        <v>30.0</v>
      </c>
      <c r="M814" s="54">
        <v>0.0</v>
      </c>
      <c r="N814" s="12">
        <v>0.0</v>
      </c>
      <c r="O814" s="12">
        <v>2422.22</v>
      </c>
      <c r="P814" s="37">
        <f t="shared" si="28"/>
        <v>45046</v>
      </c>
      <c r="Q814" s="12">
        <v>2500.0</v>
      </c>
      <c r="R814" s="14"/>
      <c r="S814" s="15">
        <v>45017.0</v>
      </c>
      <c r="T814" s="4" t="b">
        <v>0</v>
      </c>
    </row>
    <row r="815" hidden="1">
      <c r="A815" s="16" t="s">
        <v>123</v>
      </c>
      <c r="B815" s="17">
        <f>3000*1.307851</f>
        <v>3923.553</v>
      </c>
      <c r="C815" s="16" t="s">
        <v>18</v>
      </c>
      <c r="D815" s="18" t="s">
        <v>907</v>
      </c>
      <c r="E815" s="19">
        <v>45016.0</v>
      </c>
      <c r="F815" s="35">
        <f>111.3*1.307851</f>
        <v>145.5638163</v>
      </c>
      <c r="G815" s="20">
        <v>2023.03</v>
      </c>
      <c r="H815" s="21" t="s">
        <v>51</v>
      </c>
      <c r="I815" s="21" t="s">
        <v>52</v>
      </c>
      <c r="J815" s="21" t="s">
        <v>908</v>
      </c>
      <c r="K815" s="16" t="s">
        <v>9</v>
      </c>
      <c r="L815" s="22">
        <v>30.0</v>
      </c>
      <c r="M815" s="55">
        <v>0.2</v>
      </c>
      <c r="N815" s="23">
        <v>755.5978367400002</v>
      </c>
      <c r="O815" s="23">
        <v>3022.39134696</v>
      </c>
      <c r="P815" s="48">
        <f t="shared" si="28"/>
        <v>45046</v>
      </c>
      <c r="Q815" s="23">
        <v>3000.0</v>
      </c>
      <c r="R815" s="25"/>
      <c r="S815" s="26">
        <v>45017.0</v>
      </c>
      <c r="T815" s="16" t="b">
        <v>0</v>
      </c>
    </row>
    <row r="816" hidden="1">
      <c r="A816" s="4" t="s">
        <v>115</v>
      </c>
      <c r="B816" s="5">
        <f t="shared" ref="B816:B817" si="29">2500*1.31105</f>
        <v>3277.625</v>
      </c>
      <c r="C816" s="4" t="s">
        <v>18</v>
      </c>
      <c r="D816" s="6" t="s">
        <v>909</v>
      </c>
      <c r="E816" s="7">
        <v>45016.0</v>
      </c>
      <c r="F816" s="5">
        <v>0.0</v>
      </c>
      <c r="G816" s="8">
        <v>2023.03</v>
      </c>
      <c r="H816" s="9" t="s">
        <v>51</v>
      </c>
      <c r="I816" s="9" t="s">
        <v>52</v>
      </c>
      <c r="J816" s="9" t="s">
        <v>117</v>
      </c>
      <c r="K816" s="4" t="s">
        <v>9</v>
      </c>
      <c r="L816" s="10">
        <v>30.0</v>
      </c>
      <c r="M816" s="54"/>
      <c r="N816" s="12">
        <v>0.0</v>
      </c>
      <c r="O816" s="12">
        <v>3277.625</v>
      </c>
      <c r="P816" s="37">
        <f t="shared" si="28"/>
        <v>45046</v>
      </c>
      <c r="Q816" s="12">
        <v>2500.0</v>
      </c>
      <c r="R816" s="14"/>
      <c r="S816" s="15">
        <v>45047.0</v>
      </c>
      <c r="T816" s="4" t="b">
        <v>0</v>
      </c>
    </row>
    <row r="817" hidden="1">
      <c r="A817" s="16" t="s">
        <v>118</v>
      </c>
      <c r="B817" s="17">
        <f t="shared" si="29"/>
        <v>3277.625</v>
      </c>
      <c r="C817" s="16" t="s">
        <v>18</v>
      </c>
      <c r="D817" s="18" t="s">
        <v>910</v>
      </c>
      <c r="E817" s="19">
        <v>45016.0</v>
      </c>
      <c r="F817" s="17">
        <v>0.0</v>
      </c>
      <c r="G817" s="20">
        <v>2023.03</v>
      </c>
      <c r="H817" s="21" t="s">
        <v>51</v>
      </c>
      <c r="I817" s="21" t="s">
        <v>52</v>
      </c>
      <c r="J817" s="21" t="s">
        <v>117</v>
      </c>
      <c r="K817" s="16" t="s">
        <v>9</v>
      </c>
      <c r="L817" s="22">
        <v>30.0</v>
      </c>
      <c r="M817" s="55"/>
      <c r="N817" s="23">
        <v>0.0</v>
      </c>
      <c r="O817" s="23">
        <v>3277.625</v>
      </c>
      <c r="P817" s="48">
        <f t="shared" si="28"/>
        <v>45046</v>
      </c>
      <c r="Q817" s="23">
        <v>2500.0</v>
      </c>
      <c r="R817" s="25"/>
      <c r="S817" s="26">
        <v>45047.0</v>
      </c>
      <c r="T817" s="16" t="b">
        <v>0</v>
      </c>
    </row>
    <row r="818" hidden="1">
      <c r="A818" s="4" t="s">
        <v>73</v>
      </c>
      <c r="B818" s="5">
        <v>770.0</v>
      </c>
      <c r="C818" s="4" t="s">
        <v>18</v>
      </c>
      <c r="D818" s="6">
        <v>5499.0</v>
      </c>
      <c r="E818" s="7">
        <v>45016.0</v>
      </c>
      <c r="F818" s="5">
        <v>0.0</v>
      </c>
      <c r="G818" s="8">
        <v>2023.03</v>
      </c>
      <c r="H818" s="9" t="s">
        <v>51</v>
      </c>
      <c r="I818" s="9" t="s">
        <v>52</v>
      </c>
      <c r="J818" s="9" t="s">
        <v>74</v>
      </c>
      <c r="K818" s="4" t="s">
        <v>21</v>
      </c>
      <c r="L818" s="10">
        <v>30.0</v>
      </c>
      <c r="M818" s="54"/>
      <c r="N818" s="12">
        <v>0.0</v>
      </c>
      <c r="O818" s="12">
        <v>770.0</v>
      </c>
      <c r="P818" s="37">
        <f t="shared" si="28"/>
        <v>45046</v>
      </c>
      <c r="Q818" s="12">
        <v>770.0</v>
      </c>
      <c r="R818" s="14"/>
      <c r="S818" s="15">
        <v>45017.0</v>
      </c>
      <c r="T818" s="4" t="b">
        <v>0</v>
      </c>
    </row>
    <row r="819" hidden="1">
      <c r="A819" s="16" t="s">
        <v>499</v>
      </c>
      <c r="B819" s="17">
        <v>1650.0</v>
      </c>
      <c r="C819" s="16" t="s">
        <v>18</v>
      </c>
      <c r="D819" s="18">
        <v>5500.0</v>
      </c>
      <c r="E819" s="19">
        <v>45016.0</v>
      </c>
      <c r="F819" s="17">
        <v>55.23</v>
      </c>
      <c r="G819" s="20">
        <v>2023.03</v>
      </c>
      <c r="H819" s="21" t="s">
        <v>51</v>
      </c>
      <c r="I819" s="21" t="s">
        <v>52</v>
      </c>
      <c r="J819" s="21" t="s">
        <v>911</v>
      </c>
      <c r="K819" s="16" t="s">
        <v>21</v>
      </c>
      <c r="L819" s="22">
        <v>30.0</v>
      </c>
      <c r="M819" s="55">
        <v>0.0</v>
      </c>
      <c r="N819" s="23">
        <v>0.0</v>
      </c>
      <c r="O819" s="23">
        <v>1594.77</v>
      </c>
      <c r="P819" s="48">
        <f t="shared" si="28"/>
        <v>45046</v>
      </c>
      <c r="Q819" s="23">
        <v>1650.0</v>
      </c>
      <c r="R819" s="25"/>
      <c r="S819" s="26">
        <v>45017.0</v>
      </c>
      <c r="T819" s="16" t="b">
        <v>0</v>
      </c>
    </row>
    <row r="820" hidden="1">
      <c r="A820" s="4" t="s">
        <v>806</v>
      </c>
      <c r="B820" s="5">
        <v>400.0</v>
      </c>
      <c r="C820" s="4" t="s">
        <v>18</v>
      </c>
      <c r="D820" s="6">
        <v>5501.0</v>
      </c>
      <c r="E820" s="7">
        <v>45016.0</v>
      </c>
      <c r="F820" s="5">
        <v>12.44</v>
      </c>
      <c r="G820" s="8">
        <v>2023.03</v>
      </c>
      <c r="H820" s="9" t="s">
        <v>51</v>
      </c>
      <c r="I820" s="9" t="s">
        <v>52</v>
      </c>
      <c r="J820" s="9" t="s">
        <v>807</v>
      </c>
      <c r="K820" s="4" t="s">
        <v>21</v>
      </c>
      <c r="L820" s="10">
        <v>15.0</v>
      </c>
      <c r="M820" s="54">
        <v>0.0</v>
      </c>
      <c r="N820" s="12">
        <v>0.0</v>
      </c>
      <c r="O820" s="12">
        <v>387.56</v>
      </c>
      <c r="P820" s="37">
        <f t="shared" si="28"/>
        <v>45031</v>
      </c>
      <c r="Q820" s="12">
        <v>400.0</v>
      </c>
      <c r="R820" s="14"/>
      <c r="S820" s="15">
        <v>45017.0</v>
      </c>
      <c r="T820" s="4" t="b">
        <v>0</v>
      </c>
    </row>
    <row r="821" hidden="1">
      <c r="A821" s="16" t="s">
        <v>695</v>
      </c>
      <c r="B821" s="17">
        <v>600.0</v>
      </c>
      <c r="C821" s="16" t="s">
        <v>18</v>
      </c>
      <c r="D821" s="18">
        <v>5502.0</v>
      </c>
      <c r="E821" s="19">
        <v>45016.0</v>
      </c>
      <c r="F821" s="17">
        <v>18.67</v>
      </c>
      <c r="G821" s="20">
        <v>2023.03</v>
      </c>
      <c r="H821" s="21" t="s">
        <v>51</v>
      </c>
      <c r="I821" s="21" t="s">
        <v>52</v>
      </c>
      <c r="J821" s="21" t="s">
        <v>696</v>
      </c>
      <c r="K821" s="16" t="s">
        <v>21</v>
      </c>
      <c r="L821" s="22">
        <v>30.0</v>
      </c>
      <c r="M821" s="55">
        <v>0.0</v>
      </c>
      <c r="N821" s="23">
        <v>0.0</v>
      </c>
      <c r="O821" s="23">
        <v>581.33</v>
      </c>
      <c r="P821" s="48">
        <f t="shared" si="28"/>
        <v>45046</v>
      </c>
      <c r="Q821" s="23">
        <v>600.0</v>
      </c>
      <c r="R821" s="25"/>
      <c r="S821" s="26">
        <v>45017.0</v>
      </c>
      <c r="T821" s="16" t="b">
        <v>0</v>
      </c>
    </row>
    <row r="822" hidden="1">
      <c r="A822" s="4" t="s">
        <v>810</v>
      </c>
      <c r="B822" s="5">
        <f>880*1.31144</f>
        <v>1154.0672</v>
      </c>
      <c r="C822" s="4" t="s">
        <v>18</v>
      </c>
      <c r="D822" s="6" t="s">
        <v>912</v>
      </c>
      <c r="E822" s="7">
        <v>45016.0</v>
      </c>
      <c r="F822" s="34">
        <f>32.86*1.31144</f>
        <v>43.0939184</v>
      </c>
      <c r="G822" s="8">
        <v>2023.03</v>
      </c>
      <c r="H822" s="9" t="s">
        <v>51</v>
      </c>
      <c r="I822" s="9" t="s">
        <v>52</v>
      </c>
      <c r="J822" s="9" t="s">
        <v>854</v>
      </c>
      <c r="K822" s="4" t="s">
        <v>9</v>
      </c>
      <c r="L822" s="10">
        <v>0.0</v>
      </c>
      <c r="M822" s="54">
        <v>0.0</v>
      </c>
      <c r="N822" s="12">
        <v>0.0</v>
      </c>
      <c r="O822" s="12">
        <v>1110.9732816</v>
      </c>
      <c r="P822" s="37">
        <f t="shared" si="28"/>
        <v>45016</v>
      </c>
      <c r="Q822" s="12">
        <v>880.0</v>
      </c>
      <c r="R822" s="14"/>
      <c r="S822" s="15">
        <v>45017.0</v>
      </c>
      <c r="T822" s="4" t="b">
        <v>0</v>
      </c>
    </row>
    <row r="823" hidden="1">
      <c r="A823" s="16" t="s">
        <v>855</v>
      </c>
      <c r="B823" s="17">
        <v>250.0</v>
      </c>
      <c r="C823" s="16" t="s">
        <v>18</v>
      </c>
      <c r="D823" s="18">
        <v>5488.0</v>
      </c>
      <c r="E823" s="19">
        <v>45016.0</v>
      </c>
      <c r="F823" s="17">
        <v>7.78</v>
      </c>
      <c r="G823" s="20">
        <v>2023.03</v>
      </c>
      <c r="H823" s="21" t="s">
        <v>51</v>
      </c>
      <c r="I823" s="21" t="s">
        <v>52</v>
      </c>
      <c r="J823" s="21" t="s">
        <v>857</v>
      </c>
      <c r="K823" s="16" t="s">
        <v>21</v>
      </c>
      <c r="L823" s="22">
        <v>30.0</v>
      </c>
      <c r="M823" s="55">
        <v>0.0</v>
      </c>
      <c r="N823" s="23">
        <v>0.0</v>
      </c>
      <c r="O823" s="23">
        <v>242.22</v>
      </c>
      <c r="P823" s="48">
        <f t="shared" si="28"/>
        <v>45046</v>
      </c>
      <c r="Q823" s="23">
        <v>250.0</v>
      </c>
      <c r="R823" s="25"/>
      <c r="S823" s="26">
        <v>45017.0</v>
      </c>
      <c r="T823" s="16" t="b">
        <v>0</v>
      </c>
    </row>
    <row r="824" hidden="1">
      <c r="A824" s="4" t="s">
        <v>913</v>
      </c>
      <c r="B824" s="5">
        <v>700.0</v>
      </c>
      <c r="C824" s="4" t="s">
        <v>18</v>
      </c>
      <c r="D824" s="6">
        <v>5503.0</v>
      </c>
      <c r="E824" s="7">
        <v>45016.0</v>
      </c>
      <c r="F824" s="5">
        <v>0.0</v>
      </c>
      <c r="G824" s="8">
        <v>2023.0</v>
      </c>
      <c r="H824" s="9" t="s">
        <v>766</v>
      </c>
      <c r="I824" s="9" t="s">
        <v>252</v>
      </c>
      <c r="J824" s="9" t="s">
        <v>914</v>
      </c>
      <c r="K824" s="4" t="s">
        <v>21</v>
      </c>
      <c r="L824" s="10">
        <v>15.0</v>
      </c>
      <c r="M824" s="54">
        <v>0.0</v>
      </c>
      <c r="N824" s="12">
        <v>0.0</v>
      </c>
      <c r="O824" s="12">
        <v>700.0</v>
      </c>
      <c r="P824" s="37">
        <f t="shared" si="28"/>
        <v>45031</v>
      </c>
      <c r="Q824" s="12">
        <v>700.0</v>
      </c>
      <c r="R824" s="14"/>
      <c r="S824" s="15">
        <v>45017.0</v>
      </c>
      <c r="T824" s="4" t="b">
        <v>0</v>
      </c>
    </row>
    <row r="825" hidden="1">
      <c r="A825" s="16" t="s">
        <v>915</v>
      </c>
      <c r="B825" s="17">
        <v>599.0</v>
      </c>
      <c r="C825" s="16" t="s">
        <v>18</v>
      </c>
      <c r="D825" s="18">
        <v>5504.0</v>
      </c>
      <c r="E825" s="19">
        <v>45016.0</v>
      </c>
      <c r="F825" s="17">
        <v>18.64</v>
      </c>
      <c r="G825" s="20">
        <v>2023.0</v>
      </c>
      <c r="H825" s="21" t="s">
        <v>766</v>
      </c>
      <c r="I825" s="21" t="s">
        <v>252</v>
      </c>
      <c r="J825" s="21" t="s">
        <v>916</v>
      </c>
      <c r="K825" s="16" t="s">
        <v>21</v>
      </c>
      <c r="L825" s="22">
        <v>0.0</v>
      </c>
      <c r="M825" s="55">
        <v>0.0</v>
      </c>
      <c r="N825" s="23">
        <v>0.0</v>
      </c>
      <c r="O825" s="23">
        <v>580.36</v>
      </c>
      <c r="P825" s="48">
        <f t="shared" si="28"/>
        <v>45016</v>
      </c>
      <c r="Q825" s="23">
        <v>599.0</v>
      </c>
      <c r="R825" s="25"/>
      <c r="S825" s="26">
        <v>45017.0</v>
      </c>
      <c r="T825" s="16" t="b">
        <v>0</v>
      </c>
    </row>
    <row r="826" hidden="1">
      <c r="A826" s="4" t="s">
        <v>788</v>
      </c>
      <c r="B826" s="5">
        <v>2650.0</v>
      </c>
      <c r="C826" s="4" t="s">
        <v>18</v>
      </c>
      <c r="D826" s="6">
        <v>5507.0</v>
      </c>
      <c r="E826" s="7">
        <v>45030.0</v>
      </c>
      <c r="F826" s="5">
        <v>0.0</v>
      </c>
      <c r="G826" s="8">
        <v>2023.04</v>
      </c>
      <c r="H826" s="9" t="s">
        <v>27</v>
      </c>
      <c r="I826" s="9" t="s">
        <v>52</v>
      </c>
      <c r="J826" s="9" t="s">
        <v>917</v>
      </c>
      <c r="K826" s="4" t="s">
        <v>21</v>
      </c>
      <c r="L826" s="10">
        <v>15.0</v>
      </c>
      <c r="M826" s="54">
        <v>0.0</v>
      </c>
      <c r="N826" s="12">
        <v>0.0</v>
      </c>
      <c r="O826" s="12">
        <v>2650.0</v>
      </c>
      <c r="P826" s="37">
        <f t="shared" si="28"/>
        <v>45045</v>
      </c>
      <c r="Q826" s="12">
        <v>3000.0</v>
      </c>
      <c r="R826" s="14"/>
      <c r="S826" s="15">
        <v>45047.0</v>
      </c>
      <c r="T826" s="4" t="b">
        <v>0</v>
      </c>
    </row>
    <row r="827" hidden="1">
      <c r="A827" s="16" t="s">
        <v>918</v>
      </c>
      <c r="B827" s="17">
        <v>1400.0</v>
      </c>
      <c r="C827" s="16" t="s">
        <v>18</v>
      </c>
      <c r="D827" s="18">
        <v>5505.0</v>
      </c>
      <c r="E827" s="19">
        <v>45016.0</v>
      </c>
      <c r="F827" s="17">
        <v>0.0</v>
      </c>
      <c r="G827" s="20">
        <v>2023.0</v>
      </c>
      <c r="H827" s="21" t="s">
        <v>766</v>
      </c>
      <c r="I827" s="21" t="s">
        <v>19</v>
      </c>
      <c r="J827" s="21" t="s">
        <v>919</v>
      </c>
      <c r="K827" s="16" t="s">
        <v>21</v>
      </c>
      <c r="L827" s="22">
        <v>0.0</v>
      </c>
      <c r="M827" s="55">
        <v>0.0</v>
      </c>
      <c r="N827" s="23">
        <v>0.0</v>
      </c>
      <c r="O827" s="23">
        <v>1400.0</v>
      </c>
      <c r="P827" s="48">
        <f t="shared" si="28"/>
        <v>45016</v>
      </c>
      <c r="Q827" s="23">
        <v>2800.0</v>
      </c>
      <c r="R827" s="25"/>
      <c r="S827" s="26">
        <v>45017.0</v>
      </c>
      <c r="T827" s="16" t="b">
        <v>0</v>
      </c>
    </row>
    <row r="828">
      <c r="A828" s="4" t="s">
        <v>918</v>
      </c>
      <c r="B828" s="5">
        <v>1400.0</v>
      </c>
      <c r="C828" s="4" t="s">
        <v>572</v>
      </c>
      <c r="D828" s="39"/>
      <c r="E828" s="7"/>
      <c r="F828" s="34"/>
      <c r="G828" s="8">
        <v>1899.0</v>
      </c>
      <c r="H828" s="9" t="s">
        <v>766</v>
      </c>
      <c r="I828" s="9" t="s">
        <v>19</v>
      </c>
      <c r="J828" s="9" t="s">
        <v>920</v>
      </c>
      <c r="K828" s="4" t="s">
        <v>21</v>
      </c>
      <c r="L828" s="10">
        <v>0.0</v>
      </c>
      <c r="M828" s="54">
        <v>0.0</v>
      </c>
      <c r="N828" s="12">
        <v>0.0</v>
      </c>
      <c r="O828" s="12">
        <v>1400.0</v>
      </c>
      <c r="P828" s="13" t="str">
        <f t="shared" si="28"/>
        <v/>
      </c>
      <c r="Q828" s="12">
        <v>2800.0</v>
      </c>
      <c r="R828" s="14"/>
      <c r="S828" s="15"/>
      <c r="T828" s="4" t="b">
        <v>0</v>
      </c>
    </row>
    <row r="829" hidden="1">
      <c r="A829" s="16" t="s">
        <v>66</v>
      </c>
      <c r="B829" s="17">
        <v>990.0</v>
      </c>
      <c r="C829" s="16" t="s">
        <v>18</v>
      </c>
      <c r="D829" s="18">
        <v>5506.0</v>
      </c>
      <c r="E829" s="19">
        <v>45022.0</v>
      </c>
      <c r="F829" s="17">
        <v>0.0</v>
      </c>
      <c r="G829" s="20">
        <v>2023.04</v>
      </c>
      <c r="H829" s="21" t="s">
        <v>27</v>
      </c>
      <c r="I829" s="21" t="s">
        <v>52</v>
      </c>
      <c r="J829" s="21" t="s">
        <v>294</v>
      </c>
      <c r="K829" s="16" t="s">
        <v>21</v>
      </c>
      <c r="L829" s="22">
        <v>30.0</v>
      </c>
      <c r="M829" s="55">
        <v>0.0</v>
      </c>
      <c r="N829" s="23">
        <v>0.0</v>
      </c>
      <c r="O829" s="23">
        <v>990.0</v>
      </c>
      <c r="P829" s="48">
        <f t="shared" si="28"/>
        <v>45052</v>
      </c>
      <c r="Q829" s="23">
        <v>990.0</v>
      </c>
      <c r="R829" s="25"/>
      <c r="S829" s="26">
        <v>45047.0</v>
      </c>
      <c r="T829" s="16" t="b">
        <v>0</v>
      </c>
    </row>
    <row r="830" hidden="1">
      <c r="A830" s="4" t="s">
        <v>99</v>
      </c>
      <c r="B830" s="5">
        <f>1430*1.2901</f>
        <v>1844.843</v>
      </c>
      <c r="C830" s="4" t="s">
        <v>18</v>
      </c>
      <c r="D830" s="6" t="s">
        <v>921</v>
      </c>
      <c r="E830" s="7">
        <v>45030.0</v>
      </c>
      <c r="F830" s="34">
        <f>53.21*1.2901</f>
        <v>68.646221</v>
      </c>
      <c r="G830" s="8">
        <v>2023.04</v>
      </c>
      <c r="H830" s="9" t="s">
        <v>27</v>
      </c>
      <c r="I830" s="9" t="s">
        <v>52</v>
      </c>
      <c r="J830" s="9" t="s">
        <v>101</v>
      </c>
      <c r="K830" s="4" t="s">
        <v>9</v>
      </c>
      <c r="L830" s="10">
        <v>30.0</v>
      </c>
      <c r="M830" s="54">
        <v>0.2</v>
      </c>
      <c r="N830" s="12">
        <v>355.23935580000006</v>
      </c>
      <c r="O830" s="12">
        <v>1420.9574232</v>
      </c>
      <c r="P830" s="37">
        <f t="shared" si="28"/>
        <v>45060</v>
      </c>
      <c r="Q830" s="12">
        <v>1430.0</v>
      </c>
      <c r="R830" s="14"/>
      <c r="S830" s="15">
        <v>45047.0</v>
      </c>
      <c r="T830" s="4" t="b">
        <v>0</v>
      </c>
    </row>
    <row r="831" hidden="1">
      <c r="A831" s="16" t="s">
        <v>225</v>
      </c>
      <c r="B831" s="17">
        <v>5000.0</v>
      </c>
      <c r="C831" s="16" t="s">
        <v>18</v>
      </c>
      <c r="D831" s="18">
        <v>5508.0</v>
      </c>
      <c r="E831" s="19">
        <v>45030.0</v>
      </c>
      <c r="F831" s="17">
        <v>0.0</v>
      </c>
      <c r="G831" s="20">
        <v>2023.04</v>
      </c>
      <c r="H831" s="21" t="s">
        <v>27</v>
      </c>
      <c r="I831" s="21" t="s">
        <v>52</v>
      </c>
      <c r="J831" s="21" t="s">
        <v>922</v>
      </c>
      <c r="K831" s="16" t="s">
        <v>21</v>
      </c>
      <c r="L831" s="22">
        <v>30.0</v>
      </c>
      <c r="M831" s="55"/>
      <c r="N831" s="23">
        <v>0.0</v>
      </c>
      <c r="O831" s="23">
        <v>5000.0</v>
      </c>
      <c r="P831" s="48">
        <f t="shared" si="28"/>
        <v>45060</v>
      </c>
      <c r="Q831" s="23">
        <v>5000.0</v>
      </c>
      <c r="R831" s="25"/>
      <c r="S831" s="26">
        <v>45047.0</v>
      </c>
      <c r="T831" s="16" t="b">
        <v>0</v>
      </c>
    </row>
    <row r="832" hidden="1">
      <c r="A832" s="4" t="s">
        <v>102</v>
      </c>
      <c r="B832" s="5">
        <f>350*1.311149</f>
        <v>458.90215</v>
      </c>
      <c r="C832" s="4" t="s">
        <v>18</v>
      </c>
      <c r="D832" s="6" t="s">
        <v>923</v>
      </c>
      <c r="E832" s="7">
        <v>45030.0</v>
      </c>
      <c r="F832" s="34">
        <f>13.25*1.311149</f>
        <v>17.37272425</v>
      </c>
      <c r="G832" s="8">
        <v>2023.04</v>
      </c>
      <c r="H832" s="9" t="s">
        <v>27</v>
      </c>
      <c r="I832" s="9" t="s">
        <v>52</v>
      </c>
      <c r="J832" s="9" t="s">
        <v>104</v>
      </c>
      <c r="K832" s="4" t="s">
        <v>9</v>
      </c>
      <c r="L832" s="10">
        <v>30.0</v>
      </c>
      <c r="M832" s="54">
        <v>0.0</v>
      </c>
      <c r="N832" s="12">
        <v>0.0</v>
      </c>
      <c r="O832" s="12">
        <v>441.52942575</v>
      </c>
      <c r="P832" s="37">
        <f t="shared" si="28"/>
        <v>45060</v>
      </c>
      <c r="Q832" s="12">
        <v>350.0</v>
      </c>
      <c r="R832" s="14"/>
      <c r="S832" s="15">
        <v>45047.0</v>
      </c>
      <c r="T832" s="4" t="b">
        <v>0</v>
      </c>
    </row>
    <row r="833" hidden="1">
      <c r="A833" s="16" t="s">
        <v>924</v>
      </c>
      <c r="B833" s="17">
        <f>60*1.29398</f>
        <v>77.6388</v>
      </c>
      <c r="C833" s="16" t="s">
        <v>18</v>
      </c>
      <c r="D833" s="18" t="s">
        <v>925</v>
      </c>
      <c r="E833" s="19">
        <v>45030.0</v>
      </c>
      <c r="F833" s="35">
        <f>2.52*1.29398</f>
        <v>3.2608296</v>
      </c>
      <c r="G833" s="20">
        <v>2023.0</v>
      </c>
      <c r="H833" s="21"/>
      <c r="I833" s="21"/>
      <c r="J833" s="21" t="s">
        <v>926</v>
      </c>
      <c r="K833" s="16" t="s">
        <v>9</v>
      </c>
      <c r="L833" s="22">
        <v>30.0</v>
      </c>
      <c r="M833" s="55">
        <v>0.0</v>
      </c>
      <c r="N833" s="23">
        <v>0.0</v>
      </c>
      <c r="O833" s="23">
        <v>74.3779704</v>
      </c>
      <c r="P833" s="48">
        <f t="shared" si="28"/>
        <v>45060</v>
      </c>
      <c r="Q833" s="23">
        <v>60.0</v>
      </c>
      <c r="R833" s="25"/>
      <c r="S833" s="26">
        <v>45047.0</v>
      </c>
      <c r="T833" s="16" t="b">
        <v>0</v>
      </c>
    </row>
    <row r="834" hidden="1">
      <c r="A834" s="4" t="s">
        <v>62</v>
      </c>
      <c r="B834" s="5">
        <v>1600.0</v>
      </c>
      <c r="C834" s="4" t="s">
        <v>18</v>
      </c>
      <c r="D834" s="6">
        <v>5509.0</v>
      </c>
      <c r="E834" s="7">
        <v>45030.0</v>
      </c>
      <c r="F834" s="5">
        <v>49.78</v>
      </c>
      <c r="G834" s="8">
        <v>2023.04</v>
      </c>
      <c r="H834" s="9" t="s">
        <v>27</v>
      </c>
      <c r="I834" s="9" t="s">
        <v>52</v>
      </c>
      <c r="J834" s="9" t="s">
        <v>63</v>
      </c>
      <c r="K834" s="4" t="s">
        <v>21</v>
      </c>
      <c r="L834" s="10">
        <v>30.0</v>
      </c>
      <c r="M834" s="54">
        <v>0.0</v>
      </c>
      <c r="N834" s="12">
        <v>0.0</v>
      </c>
      <c r="O834" s="12">
        <v>1550.22</v>
      </c>
      <c r="P834" s="37">
        <f t="shared" si="28"/>
        <v>45060</v>
      </c>
      <c r="Q834" s="12">
        <v>1600.0</v>
      </c>
      <c r="R834" s="14"/>
      <c r="S834" s="15">
        <v>45047.0</v>
      </c>
      <c r="T834" s="4" t="b">
        <v>0</v>
      </c>
    </row>
    <row r="835" hidden="1">
      <c r="A835" s="16" t="s">
        <v>467</v>
      </c>
      <c r="B835" s="17">
        <f>280*1.315805</f>
        <v>368.4254</v>
      </c>
      <c r="C835" s="16" t="s">
        <v>18</v>
      </c>
      <c r="D835" s="18" t="s">
        <v>927</v>
      </c>
      <c r="E835" s="19">
        <v>45030.0</v>
      </c>
      <c r="F835" s="35">
        <f>10.66*1.315805</f>
        <v>14.0264813</v>
      </c>
      <c r="G835" s="20">
        <v>2023.0</v>
      </c>
      <c r="H835" s="21"/>
      <c r="I835" s="21" t="s">
        <v>52</v>
      </c>
      <c r="J835" s="21" t="s">
        <v>469</v>
      </c>
      <c r="K835" s="16" t="s">
        <v>9</v>
      </c>
      <c r="L835" s="22">
        <v>0.0</v>
      </c>
      <c r="M835" s="55">
        <v>0.2</v>
      </c>
      <c r="N835" s="23">
        <v>70.87978374</v>
      </c>
      <c r="O835" s="23">
        <v>283.51913496</v>
      </c>
      <c r="P835" s="48">
        <f t="shared" si="28"/>
        <v>45030</v>
      </c>
      <c r="Q835" s="23">
        <v>280.0</v>
      </c>
      <c r="R835" s="25"/>
      <c r="S835" s="26">
        <v>45047.0</v>
      </c>
      <c r="T835" s="16" t="b">
        <v>0</v>
      </c>
    </row>
    <row r="836" hidden="1">
      <c r="A836" s="4" t="s">
        <v>629</v>
      </c>
      <c r="B836" s="5">
        <f>280*1.32627</f>
        <v>371.3556</v>
      </c>
      <c r="C836" s="4" t="s">
        <v>18</v>
      </c>
      <c r="D836" s="6" t="s">
        <v>928</v>
      </c>
      <c r="E836" s="7">
        <v>45030.0</v>
      </c>
      <c r="F836" s="5">
        <v>11.07</v>
      </c>
      <c r="G836" s="8">
        <v>2023.04</v>
      </c>
      <c r="H836" s="9" t="s">
        <v>27</v>
      </c>
      <c r="I836" s="9" t="s">
        <v>52</v>
      </c>
      <c r="J836" s="9" t="s">
        <v>469</v>
      </c>
      <c r="K836" s="4" t="s">
        <v>9</v>
      </c>
      <c r="L836" s="10"/>
      <c r="M836" s="54">
        <v>0.0</v>
      </c>
      <c r="N836" s="12">
        <v>0.0</v>
      </c>
      <c r="O836" s="12">
        <v>360.28560000000004</v>
      </c>
      <c r="P836" s="37">
        <f t="shared" si="28"/>
        <v>45030</v>
      </c>
      <c r="Q836" s="12">
        <v>280.0</v>
      </c>
      <c r="R836" s="14"/>
      <c r="S836" s="15">
        <v>45047.0</v>
      </c>
      <c r="T836" s="4" t="b">
        <v>0</v>
      </c>
    </row>
    <row r="837" hidden="1">
      <c r="A837" s="16" t="s">
        <v>762</v>
      </c>
      <c r="B837" s="17">
        <v>500.0</v>
      </c>
      <c r="C837" s="16" t="s">
        <v>18</v>
      </c>
      <c r="D837" s="18">
        <v>5510.0</v>
      </c>
      <c r="E837" s="19">
        <v>45030.0</v>
      </c>
      <c r="F837" s="17">
        <v>0.0</v>
      </c>
      <c r="G837" s="20">
        <v>2023.04</v>
      </c>
      <c r="H837" s="21" t="s">
        <v>27</v>
      </c>
      <c r="I837" s="21" t="s">
        <v>52</v>
      </c>
      <c r="J837" s="21" t="s">
        <v>763</v>
      </c>
      <c r="K837" s="16" t="s">
        <v>21</v>
      </c>
      <c r="L837" s="22">
        <v>15.0</v>
      </c>
      <c r="M837" s="55">
        <v>0.0</v>
      </c>
      <c r="N837" s="23">
        <v>0.0</v>
      </c>
      <c r="O837" s="23">
        <v>500.0</v>
      </c>
      <c r="P837" s="48">
        <f t="shared" si="28"/>
        <v>45045</v>
      </c>
      <c r="Q837" s="23">
        <v>500.0</v>
      </c>
      <c r="R837" s="25"/>
      <c r="S837" s="26">
        <v>45047.0</v>
      </c>
      <c r="T837" s="16" t="b">
        <v>0</v>
      </c>
    </row>
    <row r="838" hidden="1">
      <c r="A838" s="4" t="s">
        <v>662</v>
      </c>
      <c r="B838" s="5">
        <v>2500.0</v>
      </c>
      <c r="C838" s="4" t="s">
        <v>18</v>
      </c>
      <c r="D838" s="6">
        <v>5511.0</v>
      </c>
      <c r="E838" s="7">
        <v>45030.0</v>
      </c>
      <c r="F838" s="5">
        <v>0.0</v>
      </c>
      <c r="G838" s="8">
        <v>2023.04</v>
      </c>
      <c r="H838" s="9" t="s">
        <v>27</v>
      </c>
      <c r="I838" s="9" t="s">
        <v>52</v>
      </c>
      <c r="J838" s="9" t="s">
        <v>764</v>
      </c>
      <c r="K838" s="4" t="s">
        <v>21</v>
      </c>
      <c r="L838" s="10">
        <v>15.0</v>
      </c>
      <c r="M838" s="54"/>
      <c r="N838" s="12">
        <v>0.0</v>
      </c>
      <c r="O838" s="12">
        <v>2500.0</v>
      </c>
      <c r="P838" s="37">
        <f t="shared" si="28"/>
        <v>45045</v>
      </c>
      <c r="Q838" s="12">
        <v>2500.0</v>
      </c>
      <c r="R838" s="14"/>
      <c r="S838" s="15">
        <v>45078.0</v>
      </c>
      <c r="T838" s="4" t="b">
        <v>0</v>
      </c>
    </row>
    <row r="839" hidden="1">
      <c r="A839" s="16" t="s">
        <v>795</v>
      </c>
      <c r="B839" s="17">
        <v>2000.0</v>
      </c>
      <c r="C839" s="16" t="s">
        <v>18</v>
      </c>
      <c r="D839" s="18">
        <v>5512.0</v>
      </c>
      <c r="E839" s="19">
        <v>45030.0</v>
      </c>
      <c r="F839" s="35">
        <f>2100*0.02963</f>
        <v>62.223</v>
      </c>
      <c r="G839" s="20">
        <v>2023.04</v>
      </c>
      <c r="H839" s="21" t="s">
        <v>27</v>
      </c>
      <c r="I839" s="21" t="s">
        <v>52</v>
      </c>
      <c r="J839" s="21" t="s">
        <v>796</v>
      </c>
      <c r="K839" s="16" t="s">
        <v>21</v>
      </c>
      <c r="L839" s="22">
        <v>0.0</v>
      </c>
      <c r="M839" s="55"/>
      <c r="N839" s="23">
        <v>0.0</v>
      </c>
      <c r="O839" s="23">
        <v>1937.777</v>
      </c>
      <c r="P839" s="48">
        <f t="shared" si="28"/>
        <v>45030</v>
      </c>
      <c r="Q839" s="23">
        <v>2000.0</v>
      </c>
      <c r="R839" s="25"/>
      <c r="S839" s="26">
        <v>45047.0</v>
      </c>
      <c r="T839" s="16" t="b">
        <v>0</v>
      </c>
    </row>
    <row r="840">
      <c r="A840" s="4" t="s">
        <v>817</v>
      </c>
      <c r="B840" s="5">
        <v>7000.0</v>
      </c>
      <c r="C840" s="4" t="s">
        <v>47</v>
      </c>
      <c r="D840" s="39"/>
      <c r="E840" s="7"/>
      <c r="F840" s="34"/>
      <c r="G840" s="8">
        <v>1899.0</v>
      </c>
      <c r="H840" s="9"/>
      <c r="I840" s="9"/>
      <c r="J840" s="9" t="s">
        <v>833</v>
      </c>
      <c r="K840" s="4"/>
      <c r="L840" s="10">
        <v>30.0</v>
      </c>
      <c r="M840" s="54"/>
      <c r="N840" s="12">
        <v>0.0</v>
      </c>
      <c r="O840" s="12">
        <v>7000.0</v>
      </c>
      <c r="P840" s="13" t="str">
        <f t="shared" si="28"/>
        <v/>
      </c>
      <c r="Q840" s="12">
        <v>7000.0</v>
      </c>
      <c r="R840" s="14"/>
      <c r="S840" s="15"/>
      <c r="T840" s="4" t="b">
        <v>0</v>
      </c>
    </row>
    <row r="841" hidden="1">
      <c r="A841" s="16" t="s">
        <v>884</v>
      </c>
      <c r="B841" s="17">
        <f>250*1.293107</f>
        <v>323.27675</v>
      </c>
      <c r="C841" s="16" t="s">
        <v>18</v>
      </c>
      <c r="D841" s="18" t="s">
        <v>929</v>
      </c>
      <c r="E841" s="19">
        <v>45030.0</v>
      </c>
      <c r="F841" s="35">
        <f>9.55*1.293107</f>
        <v>12.34917185</v>
      </c>
      <c r="G841" s="20">
        <v>2023.04</v>
      </c>
      <c r="H841" s="21" t="s">
        <v>27</v>
      </c>
      <c r="I841" s="21" t="s">
        <v>52</v>
      </c>
      <c r="J841" s="21" t="s">
        <v>857</v>
      </c>
      <c r="K841" s="16" t="s">
        <v>9</v>
      </c>
      <c r="L841" s="22"/>
      <c r="M841" s="55">
        <v>0.2</v>
      </c>
      <c r="N841" s="23">
        <v>62.18551563</v>
      </c>
      <c r="O841" s="23">
        <v>248.74206252</v>
      </c>
      <c r="P841" s="48">
        <f t="shared" si="28"/>
        <v>45030</v>
      </c>
      <c r="Q841" s="23">
        <v>250.0</v>
      </c>
      <c r="R841" s="25"/>
      <c r="S841" s="26">
        <v>45047.0</v>
      </c>
      <c r="T841" s="16" t="b">
        <v>0</v>
      </c>
    </row>
    <row r="842" hidden="1">
      <c r="A842" s="4" t="s">
        <v>587</v>
      </c>
      <c r="B842" s="5">
        <f>995*1.3231</f>
        <v>1316.4845</v>
      </c>
      <c r="C842" s="4" t="s">
        <v>18</v>
      </c>
      <c r="D842" s="6" t="s">
        <v>930</v>
      </c>
      <c r="E842" s="7">
        <v>45030.0</v>
      </c>
      <c r="F842" s="5">
        <v>0.0</v>
      </c>
      <c r="G842" s="8">
        <v>2023.0</v>
      </c>
      <c r="H842" s="9" t="s">
        <v>447</v>
      </c>
      <c r="I842" s="9" t="s">
        <v>252</v>
      </c>
      <c r="J842" s="9" t="s">
        <v>931</v>
      </c>
      <c r="K842" s="4" t="s">
        <v>9</v>
      </c>
      <c r="L842" s="10">
        <v>15.0</v>
      </c>
      <c r="M842" s="54">
        <v>0.0</v>
      </c>
      <c r="N842" s="12">
        <v>0.0</v>
      </c>
      <c r="O842" s="12">
        <v>1316.4845</v>
      </c>
      <c r="P842" s="37">
        <f t="shared" si="28"/>
        <v>45045</v>
      </c>
      <c r="Q842" s="12">
        <v>995.0</v>
      </c>
      <c r="R842" s="14"/>
      <c r="S842" s="15">
        <v>45047.0</v>
      </c>
      <c r="T842" s="4" t="b">
        <v>0</v>
      </c>
    </row>
    <row r="843" hidden="1">
      <c r="A843" s="16" t="s">
        <v>932</v>
      </c>
      <c r="B843" s="17">
        <v>800.0</v>
      </c>
      <c r="C843" s="16" t="s">
        <v>18</v>
      </c>
      <c r="D843" s="18">
        <v>5513.0</v>
      </c>
      <c r="E843" s="19">
        <v>45030.0</v>
      </c>
      <c r="F843" s="17">
        <v>26.79</v>
      </c>
      <c r="G843" s="20">
        <v>2023.0</v>
      </c>
      <c r="H843" s="21" t="s">
        <v>766</v>
      </c>
      <c r="I843" s="21" t="s">
        <v>19</v>
      </c>
      <c r="J843" s="21" t="s">
        <v>933</v>
      </c>
      <c r="K843" s="16" t="s">
        <v>21</v>
      </c>
      <c r="L843" s="22">
        <v>15.0</v>
      </c>
      <c r="M843" s="55">
        <v>0.0</v>
      </c>
      <c r="N843" s="23">
        <v>0.0</v>
      </c>
      <c r="O843" s="23">
        <v>773.21</v>
      </c>
      <c r="P843" s="48">
        <f t="shared" si="28"/>
        <v>45045</v>
      </c>
      <c r="Q843" s="23">
        <v>1600.0</v>
      </c>
      <c r="R843" s="25"/>
      <c r="S843" s="26">
        <v>45047.0</v>
      </c>
      <c r="T843" s="16" t="b">
        <v>0</v>
      </c>
    </row>
    <row r="844" hidden="1">
      <c r="A844" s="4" t="s">
        <v>932</v>
      </c>
      <c r="B844" s="5">
        <v>800.0</v>
      </c>
      <c r="C844" s="4" t="s">
        <v>18</v>
      </c>
      <c r="D844" s="6">
        <v>5539.0</v>
      </c>
      <c r="E844" s="7">
        <v>45077.0</v>
      </c>
      <c r="F844" s="5">
        <v>26.79</v>
      </c>
      <c r="G844" s="8">
        <v>2023.0</v>
      </c>
      <c r="H844" s="9" t="s">
        <v>766</v>
      </c>
      <c r="I844" s="9" t="s">
        <v>19</v>
      </c>
      <c r="J844" s="9" t="s">
        <v>934</v>
      </c>
      <c r="K844" s="4" t="s">
        <v>21</v>
      </c>
      <c r="L844" s="10">
        <v>15.0</v>
      </c>
      <c r="M844" s="54">
        <v>0.0</v>
      </c>
      <c r="N844" s="12">
        <v>0.0</v>
      </c>
      <c r="O844" s="12">
        <v>773.21</v>
      </c>
      <c r="P844" s="37">
        <f t="shared" si="28"/>
        <v>45092</v>
      </c>
      <c r="Q844" s="12">
        <v>1600.0</v>
      </c>
      <c r="R844" s="14"/>
      <c r="S844" s="15">
        <v>45078.0</v>
      </c>
      <c r="T844" s="4" t="b">
        <v>0</v>
      </c>
    </row>
    <row r="845" hidden="1">
      <c r="A845" s="16" t="s">
        <v>935</v>
      </c>
      <c r="B845" s="17">
        <v>2400.0</v>
      </c>
      <c r="C845" s="16" t="s">
        <v>18</v>
      </c>
      <c r="D845" s="18">
        <v>5540.0</v>
      </c>
      <c r="E845" s="19">
        <v>45077.0</v>
      </c>
      <c r="F845" s="17">
        <v>0.0</v>
      </c>
      <c r="G845" s="20">
        <v>2023.0</v>
      </c>
      <c r="H845" s="21" t="s">
        <v>766</v>
      </c>
      <c r="I845" s="21" t="s">
        <v>252</v>
      </c>
      <c r="J845" s="21" t="s">
        <v>936</v>
      </c>
      <c r="K845" s="16" t="s">
        <v>21</v>
      </c>
      <c r="L845" s="22">
        <v>30.0</v>
      </c>
      <c r="M845" s="55">
        <v>0.0</v>
      </c>
      <c r="N845" s="23">
        <v>0.0</v>
      </c>
      <c r="O845" s="23">
        <v>2400.0</v>
      </c>
      <c r="P845" s="48">
        <f t="shared" si="28"/>
        <v>45107</v>
      </c>
      <c r="Q845" s="23">
        <v>2400.0</v>
      </c>
      <c r="R845" s="25"/>
      <c r="S845" s="26">
        <v>45078.0</v>
      </c>
      <c r="T845" s="16" t="b">
        <v>0</v>
      </c>
    </row>
    <row r="846" hidden="1">
      <c r="A846" s="4" t="s">
        <v>223</v>
      </c>
      <c r="B846" s="5">
        <f>800+(699/2)+1000</f>
        <v>2149.5</v>
      </c>
      <c r="C846" s="4" t="s">
        <v>18</v>
      </c>
      <c r="D846" s="6">
        <v>5514.0</v>
      </c>
      <c r="E846" s="7">
        <v>45044.0</v>
      </c>
      <c r="F846" s="5">
        <v>66.87</v>
      </c>
      <c r="G846" s="8">
        <v>2023.04</v>
      </c>
      <c r="H846" s="9" t="s">
        <v>51</v>
      </c>
      <c r="I846" s="9" t="s">
        <v>52</v>
      </c>
      <c r="J846" s="9" t="s">
        <v>937</v>
      </c>
      <c r="K846" s="4" t="s">
        <v>21</v>
      </c>
      <c r="L846" s="10">
        <v>30.0</v>
      </c>
      <c r="M846" s="54">
        <v>0.0</v>
      </c>
      <c r="N846" s="12">
        <v>0.0</v>
      </c>
      <c r="O846" s="12">
        <v>2082.63</v>
      </c>
      <c r="P846" s="13"/>
      <c r="Q846" s="12">
        <v>800.0</v>
      </c>
      <c r="R846" s="9" t="s">
        <v>938</v>
      </c>
      <c r="S846" s="15">
        <v>45047.0</v>
      </c>
      <c r="T846" s="4" t="b">
        <v>0</v>
      </c>
    </row>
    <row r="847" hidden="1">
      <c r="A847" s="16" t="s">
        <v>70</v>
      </c>
      <c r="B847" s="17">
        <f t="shared" ref="B847:B849" si="30">(5800+700+2400)/3</f>
        <v>2966.666667</v>
      </c>
      <c r="C847" s="16" t="s">
        <v>18</v>
      </c>
      <c r="D847" s="18">
        <v>5515.0</v>
      </c>
      <c r="E847" s="19">
        <v>45044.0</v>
      </c>
      <c r="F847" s="17">
        <v>0.0</v>
      </c>
      <c r="G847" s="20">
        <v>2023.0</v>
      </c>
      <c r="H847" s="21"/>
      <c r="I847" s="21" t="s">
        <v>939</v>
      </c>
      <c r="J847" s="21" t="s">
        <v>940</v>
      </c>
      <c r="K847" s="16" t="s">
        <v>21</v>
      </c>
      <c r="L847" s="22">
        <v>15.0</v>
      </c>
      <c r="M847" s="55">
        <v>0.0</v>
      </c>
      <c r="N847" s="23">
        <v>0.0</v>
      </c>
      <c r="O847" s="23">
        <v>2966.6666666666665</v>
      </c>
      <c r="P847" s="24"/>
      <c r="Q847" s="23">
        <v>5300.0</v>
      </c>
      <c r="R847" s="25"/>
      <c r="S847" s="26">
        <v>45047.0</v>
      </c>
      <c r="T847" s="16" t="b">
        <v>0</v>
      </c>
    </row>
    <row r="848" hidden="1">
      <c r="A848" s="4" t="s">
        <v>70</v>
      </c>
      <c r="B848" s="5">
        <f t="shared" si="30"/>
        <v>2966.666667</v>
      </c>
      <c r="C848" s="4" t="s">
        <v>18</v>
      </c>
      <c r="D848" s="6">
        <v>5541.0</v>
      </c>
      <c r="E848" s="7">
        <v>45077.0</v>
      </c>
      <c r="F848" s="5">
        <v>0.0</v>
      </c>
      <c r="G848" s="8">
        <v>2023.0</v>
      </c>
      <c r="H848" s="9"/>
      <c r="I848" s="9" t="s">
        <v>196</v>
      </c>
      <c r="J848" s="9" t="s">
        <v>941</v>
      </c>
      <c r="K848" s="4" t="s">
        <v>21</v>
      </c>
      <c r="L848" s="10">
        <v>15.0</v>
      </c>
      <c r="M848" s="54">
        <v>0.0</v>
      </c>
      <c r="N848" s="12">
        <v>0.0</v>
      </c>
      <c r="O848" s="12">
        <v>2966.6666666666665</v>
      </c>
      <c r="P848" s="13"/>
      <c r="Q848" s="12">
        <v>5300.0</v>
      </c>
      <c r="R848" s="14"/>
      <c r="S848" s="15">
        <v>45078.0</v>
      </c>
      <c r="T848" s="4" t="b">
        <v>0</v>
      </c>
    </row>
    <row r="849" hidden="1">
      <c r="A849" s="16" t="s">
        <v>70</v>
      </c>
      <c r="B849" s="17">
        <f t="shared" si="30"/>
        <v>2966.666667</v>
      </c>
      <c r="C849" s="16" t="s">
        <v>18</v>
      </c>
      <c r="D849" s="18">
        <v>5568.0</v>
      </c>
      <c r="E849" s="19">
        <v>45107.0</v>
      </c>
      <c r="F849" s="17">
        <v>0.0</v>
      </c>
      <c r="G849" s="20">
        <v>2023.0</v>
      </c>
      <c r="H849" s="21"/>
      <c r="I849" s="21" t="s">
        <v>196</v>
      </c>
      <c r="J849" s="21" t="s">
        <v>942</v>
      </c>
      <c r="K849" s="16" t="s">
        <v>21</v>
      </c>
      <c r="L849" s="22">
        <v>15.0</v>
      </c>
      <c r="M849" s="55">
        <v>0.0</v>
      </c>
      <c r="N849" s="23">
        <v>0.0</v>
      </c>
      <c r="O849" s="23">
        <v>2966.6666666666665</v>
      </c>
      <c r="P849" s="24"/>
      <c r="Q849" s="23">
        <v>5300.0</v>
      </c>
      <c r="R849" s="25"/>
      <c r="S849" s="26">
        <v>45078.0</v>
      </c>
      <c r="T849" s="16" t="b">
        <v>0</v>
      </c>
    </row>
    <row r="850" hidden="1">
      <c r="A850" s="4" t="s">
        <v>629</v>
      </c>
      <c r="B850" s="5">
        <f>350*1.32266</f>
        <v>462.931</v>
      </c>
      <c r="C850" s="4" t="s">
        <v>18</v>
      </c>
      <c r="D850" s="6" t="s">
        <v>943</v>
      </c>
      <c r="E850" s="7">
        <v>45061.0</v>
      </c>
      <c r="F850" s="5">
        <v>13.72</v>
      </c>
      <c r="G850" s="8">
        <v>2023.05</v>
      </c>
      <c r="H850" s="9" t="s">
        <v>27</v>
      </c>
      <c r="I850" s="9" t="s">
        <v>52</v>
      </c>
      <c r="J850" s="9" t="s">
        <v>944</v>
      </c>
      <c r="K850" s="4" t="s">
        <v>9</v>
      </c>
      <c r="L850" s="10"/>
      <c r="M850" s="54">
        <v>0.0</v>
      </c>
      <c r="N850" s="12">
        <v>0.0</v>
      </c>
      <c r="O850" s="12">
        <v>449.21099999999996</v>
      </c>
      <c r="P850" s="13"/>
      <c r="Q850" s="12">
        <v>280.0</v>
      </c>
      <c r="R850" s="14"/>
      <c r="S850" s="15">
        <v>45078.0</v>
      </c>
      <c r="T850" s="4" t="b">
        <v>0</v>
      </c>
    </row>
    <row r="851" hidden="1">
      <c r="A851" s="16" t="s">
        <v>840</v>
      </c>
      <c r="B851" s="17">
        <v>489.0</v>
      </c>
      <c r="C851" s="16" t="s">
        <v>18</v>
      </c>
      <c r="D851" s="18">
        <v>5516.0</v>
      </c>
      <c r="E851" s="19">
        <v>45044.0</v>
      </c>
      <c r="F851" s="17">
        <v>15.21</v>
      </c>
      <c r="G851" s="20">
        <v>2023.0</v>
      </c>
      <c r="H851" s="21" t="s">
        <v>693</v>
      </c>
      <c r="I851" s="21" t="s">
        <v>252</v>
      </c>
      <c r="J851" s="21" t="s">
        <v>945</v>
      </c>
      <c r="K851" s="16" t="s">
        <v>21</v>
      </c>
      <c r="L851" s="22">
        <v>30.0</v>
      </c>
      <c r="M851" s="55">
        <v>0.0</v>
      </c>
      <c r="N851" s="23">
        <v>0.0</v>
      </c>
      <c r="O851" s="23">
        <v>473.79</v>
      </c>
      <c r="P851" s="24"/>
      <c r="Q851" s="23">
        <v>489.0</v>
      </c>
      <c r="R851" s="25"/>
      <c r="S851" s="26">
        <v>45047.0</v>
      </c>
      <c r="T851" s="16" t="b">
        <v>0</v>
      </c>
    </row>
    <row r="852" hidden="1">
      <c r="A852" s="4" t="s">
        <v>54</v>
      </c>
      <c r="B852" s="5">
        <v>750.0</v>
      </c>
      <c r="C852" s="4" t="s">
        <v>18</v>
      </c>
      <c r="D852" s="6">
        <v>5527.0</v>
      </c>
      <c r="E852" s="7">
        <v>45046.0</v>
      </c>
      <c r="F852" s="5">
        <v>23.33</v>
      </c>
      <c r="G852" s="8">
        <v>2023.04</v>
      </c>
      <c r="H852" s="9" t="s">
        <v>51</v>
      </c>
      <c r="I852" s="9" t="s">
        <v>52</v>
      </c>
      <c r="J852" s="9" t="s">
        <v>55</v>
      </c>
      <c r="K852" s="4" t="s">
        <v>21</v>
      </c>
      <c r="L852" s="10">
        <v>30.0</v>
      </c>
      <c r="M852" s="54">
        <v>0.0</v>
      </c>
      <c r="N852" s="12">
        <v>0.0</v>
      </c>
      <c r="O852" s="12">
        <v>726.67</v>
      </c>
      <c r="P852" s="13"/>
      <c r="Q852" s="12">
        <v>750.0</v>
      </c>
      <c r="R852" s="14"/>
      <c r="S852" s="15">
        <v>45047.0</v>
      </c>
      <c r="T852" s="4" t="b">
        <v>0</v>
      </c>
    </row>
    <row r="853" hidden="1">
      <c r="A853" s="16" t="s">
        <v>120</v>
      </c>
      <c r="B853" s="17">
        <f>1000*1.298636</f>
        <v>1298.636</v>
      </c>
      <c r="C853" s="16" t="s">
        <v>18</v>
      </c>
      <c r="D853" s="18" t="s">
        <v>946</v>
      </c>
      <c r="E853" s="19">
        <v>45044.0</v>
      </c>
      <c r="F853" s="35">
        <f>29.6*1.298636</f>
        <v>38.4396256</v>
      </c>
      <c r="G853" s="20">
        <v>2023.04</v>
      </c>
      <c r="H853" s="21" t="s">
        <v>51</v>
      </c>
      <c r="I853" s="21" t="s">
        <v>52</v>
      </c>
      <c r="J853" s="21" t="s">
        <v>947</v>
      </c>
      <c r="K853" s="16" t="s">
        <v>9</v>
      </c>
      <c r="L853" s="22">
        <v>30.0</v>
      </c>
      <c r="M853" s="55">
        <v>0.2</v>
      </c>
      <c r="N853" s="23">
        <v>252.03927488</v>
      </c>
      <c r="O853" s="23">
        <v>1008.15709952</v>
      </c>
      <c r="P853" s="24"/>
      <c r="Q853" s="23">
        <v>1000.0</v>
      </c>
      <c r="R853" s="25"/>
      <c r="S853" s="26">
        <v>45047.0</v>
      </c>
      <c r="T853" s="16" t="b">
        <v>0</v>
      </c>
    </row>
    <row r="854" hidden="1">
      <c r="A854" s="4" t="s">
        <v>42</v>
      </c>
      <c r="B854" s="5">
        <v>1500.0</v>
      </c>
      <c r="C854" s="4" t="s">
        <v>18</v>
      </c>
      <c r="D854" s="6">
        <v>5517.0</v>
      </c>
      <c r="E854" s="7">
        <v>45044.0</v>
      </c>
      <c r="F854" s="5">
        <v>46.67</v>
      </c>
      <c r="G854" s="8">
        <v>2023.04</v>
      </c>
      <c r="H854" s="9" t="s">
        <v>51</v>
      </c>
      <c r="I854" s="9" t="s">
        <v>52</v>
      </c>
      <c r="J854" s="9" t="s">
        <v>43</v>
      </c>
      <c r="K854" s="4" t="s">
        <v>21</v>
      </c>
      <c r="L854" s="10">
        <v>30.0</v>
      </c>
      <c r="M854" s="54">
        <v>0.15</v>
      </c>
      <c r="N854" s="12">
        <v>217.99949999999998</v>
      </c>
      <c r="O854" s="12">
        <v>1235.3305</v>
      </c>
      <c r="P854" s="13"/>
      <c r="Q854" s="12">
        <v>1500.0</v>
      </c>
      <c r="R854" s="14"/>
      <c r="S854" s="15">
        <v>45047.0</v>
      </c>
      <c r="T854" s="4" t="b">
        <v>0</v>
      </c>
    </row>
    <row r="855" hidden="1">
      <c r="A855" s="16" t="s">
        <v>82</v>
      </c>
      <c r="B855" s="17">
        <v>860.0</v>
      </c>
      <c r="C855" s="16" t="s">
        <v>18</v>
      </c>
      <c r="D855" s="18">
        <v>5518.0</v>
      </c>
      <c r="E855" s="19">
        <v>45044.0</v>
      </c>
      <c r="F855" s="17">
        <v>0.0</v>
      </c>
      <c r="G855" s="20">
        <v>2023.04</v>
      </c>
      <c r="H855" s="21" t="s">
        <v>51</v>
      </c>
      <c r="I855" s="21" t="s">
        <v>52</v>
      </c>
      <c r="J855" s="21" t="s">
        <v>948</v>
      </c>
      <c r="K855" s="16" t="s">
        <v>21</v>
      </c>
      <c r="L855" s="22">
        <v>30.0</v>
      </c>
      <c r="M855" s="55">
        <v>0.0</v>
      </c>
      <c r="N855" s="23">
        <v>0.0</v>
      </c>
      <c r="O855" s="23">
        <v>860.0</v>
      </c>
      <c r="P855" s="24"/>
      <c r="Q855" s="23">
        <v>830.0</v>
      </c>
      <c r="R855" s="25"/>
      <c r="S855" s="26">
        <v>45047.0</v>
      </c>
      <c r="T855" s="16" t="b">
        <v>0</v>
      </c>
    </row>
    <row r="856" hidden="1">
      <c r="A856" s="4" t="s">
        <v>88</v>
      </c>
      <c r="B856" s="5">
        <v>500.0</v>
      </c>
      <c r="C856" s="4" t="s">
        <v>18</v>
      </c>
      <c r="D856" s="6">
        <v>5526.0</v>
      </c>
      <c r="E856" s="7">
        <v>45046.0</v>
      </c>
      <c r="F856" s="5">
        <v>15.56</v>
      </c>
      <c r="G856" s="8">
        <v>2023.04</v>
      </c>
      <c r="H856" s="9" t="s">
        <v>51</v>
      </c>
      <c r="I856" s="9" t="s">
        <v>52</v>
      </c>
      <c r="J856" s="9" t="s">
        <v>89</v>
      </c>
      <c r="K856" s="4" t="s">
        <v>21</v>
      </c>
      <c r="L856" s="10">
        <v>30.0</v>
      </c>
      <c r="M856" s="54"/>
      <c r="N856" s="12">
        <v>0.0</v>
      </c>
      <c r="O856" s="12">
        <v>484.44</v>
      </c>
      <c r="P856" s="13"/>
      <c r="Q856" s="12">
        <v>500.0</v>
      </c>
      <c r="R856" s="14"/>
      <c r="S856" s="15">
        <v>45047.0</v>
      </c>
      <c r="T856" s="4" t="b">
        <v>0</v>
      </c>
    </row>
    <row r="857" hidden="1">
      <c r="A857" s="16" t="s">
        <v>50</v>
      </c>
      <c r="B857" s="17">
        <v>412.5</v>
      </c>
      <c r="C857" s="16" t="s">
        <v>18</v>
      </c>
      <c r="D857" s="18">
        <v>5519.0</v>
      </c>
      <c r="E857" s="19">
        <v>45044.0</v>
      </c>
      <c r="F857" s="17">
        <v>0.0</v>
      </c>
      <c r="G857" s="20">
        <v>2023.04</v>
      </c>
      <c r="H857" s="21" t="s">
        <v>51</v>
      </c>
      <c r="I857" s="21" t="s">
        <v>52</v>
      </c>
      <c r="J857" s="21" t="s">
        <v>400</v>
      </c>
      <c r="K857" s="16" t="s">
        <v>21</v>
      </c>
      <c r="L857" s="22">
        <v>30.0</v>
      </c>
      <c r="M857" s="55"/>
      <c r="N857" s="23">
        <v>0.0</v>
      </c>
      <c r="O857" s="23">
        <v>412.5</v>
      </c>
      <c r="P857" s="24"/>
      <c r="Q857" s="23">
        <v>412.5</v>
      </c>
      <c r="R857" s="25"/>
      <c r="S857" s="26">
        <v>45047.0</v>
      </c>
      <c r="T857" s="16" t="b">
        <v>0</v>
      </c>
    </row>
    <row r="858" hidden="1">
      <c r="A858" s="4" t="s">
        <v>97</v>
      </c>
      <c r="B858" s="5">
        <v>330.0</v>
      </c>
      <c r="C858" s="4" t="s">
        <v>18</v>
      </c>
      <c r="D858" s="6">
        <v>5520.0</v>
      </c>
      <c r="E858" s="7">
        <v>45044.0</v>
      </c>
      <c r="F858" s="5">
        <v>10.27</v>
      </c>
      <c r="G858" s="8">
        <v>2023.04</v>
      </c>
      <c r="H858" s="9" t="s">
        <v>51</v>
      </c>
      <c r="I858" s="9" t="s">
        <v>52</v>
      </c>
      <c r="J858" s="9" t="s">
        <v>98</v>
      </c>
      <c r="K858" s="4" t="s">
        <v>21</v>
      </c>
      <c r="L858" s="10">
        <v>30.0</v>
      </c>
      <c r="M858" s="54"/>
      <c r="N858" s="12">
        <v>0.0</v>
      </c>
      <c r="O858" s="12">
        <v>319.73</v>
      </c>
      <c r="P858" s="13"/>
      <c r="Q858" s="12">
        <v>330.0</v>
      </c>
      <c r="R858" s="14"/>
      <c r="S858" s="15">
        <v>45047.0</v>
      </c>
      <c r="T858" s="4" t="b">
        <v>0</v>
      </c>
    </row>
    <row r="859" hidden="1">
      <c r="A859" s="16" t="s">
        <v>92</v>
      </c>
      <c r="B859" s="17">
        <v>2500.0</v>
      </c>
      <c r="C859" s="16" t="s">
        <v>18</v>
      </c>
      <c r="D859" s="18">
        <v>5521.0</v>
      </c>
      <c r="E859" s="19">
        <v>45044.0</v>
      </c>
      <c r="F859" s="17">
        <v>77.78</v>
      </c>
      <c r="G859" s="20">
        <v>2023.04</v>
      </c>
      <c r="H859" s="21" t="s">
        <v>51</v>
      </c>
      <c r="I859" s="21" t="s">
        <v>52</v>
      </c>
      <c r="J859" s="21" t="s">
        <v>93</v>
      </c>
      <c r="K859" s="16" t="s">
        <v>21</v>
      </c>
      <c r="L859" s="22">
        <v>30.0</v>
      </c>
      <c r="M859" s="55">
        <v>0.0</v>
      </c>
      <c r="N859" s="23">
        <v>0.0</v>
      </c>
      <c r="O859" s="23">
        <v>2422.22</v>
      </c>
      <c r="P859" s="24"/>
      <c r="Q859" s="23">
        <v>2500.0</v>
      </c>
      <c r="R859" s="25"/>
      <c r="S859" s="26">
        <v>45047.0</v>
      </c>
      <c r="T859" s="16" t="b">
        <v>0</v>
      </c>
    </row>
    <row r="860" hidden="1">
      <c r="A860" s="4" t="s">
        <v>123</v>
      </c>
      <c r="B860" s="5">
        <f>3000*1.315805</f>
        <v>3947.415</v>
      </c>
      <c r="C860" s="4" t="s">
        <v>18</v>
      </c>
      <c r="D860" s="6" t="s">
        <v>949</v>
      </c>
      <c r="E860" s="7">
        <v>45044.0</v>
      </c>
      <c r="F860" s="34">
        <f>111.3*1.315805</f>
        <v>146.4490965</v>
      </c>
      <c r="G860" s="8">
        <v>2023.04</v>
      </c>
      <c r="H860" s="9" t="s">
        <v>51</v>
      </c>
      <c r="I860" s="9" t="s">
        <v>52</v>
      </c>
      <c r="J860" s="86" t="s">
        <v>950</v>
      </c>
      <c r="K860" s="4" t="s">
        <v>9</v>
      </c>
      <c r="L860" s="10"/>
      <c r="M860" s="54"/>
      <c r="N860" s="12">
        <v>0.0</v>
      </c>
      <c r="O860" s="12">
        <v>3800.9659034999995</v>
      </c>
      <c r="P860" s="13"/>
      <c r="Q860" s="12">
        <v>3000.0</v>
      </c>
      <c r="R860" s="14"/>
      <c r="S860" s="15">
        <v>45047.0</v>
      </c>
      <c r="T860" s="4" t="b">
        <v>0</v>
      </c>
    </row>
    <row r="861" hidden="1">
      <c r="A861" s="16" t="s">
        <v>115</v>
      </c>
      <c r="B861" s="17">
        <f t="shared" ref="B861:B862" si="31">2500*1.31105</f>
        <v>3277.625</v>
      </c>
      <c r="C861" s="16" t="s">
        <v>18</v>
      </c>
      <c r="D861" s="18" t="s">
        <v>951</v>
      </c>
      <c r="E861" s="19">
        <v>45044.0</v>
      </c>
      <c r="F861" s="17">
        <v>0.0</v>
      </c>
      <c r="G861" s="20">
        <v>2023.04</v>
      </c>
      <c r="H861" s="21" t="s">
        <v>51</v>
      </c>
      <c r="I861" s="21" t="s">
        <v>52</v>
      </c>
      <c r="J861" s="21" t="s">
        <v>117</v>
      </c>
      <c r="K861" s="16" t="s">
        <v>9</v>
      </c>
      <c r="L861" s="22"/>
      <c r="M861" s="55"/>
      <c r="N861" s="23">
        <v>0.0</v>
      </c>
      <c r="O861" s="23">
        <v>3277.625</v>
      </c>
      <c r="P861" s="24"/>
      <c r="Q861" s="23">
        <v>2500.0</v>
      </c>
      <c r="R861" s="25"/>
      <c r="S861" s="26">
        <v>45078.0</v>
      </c>
      <c r="T861" s="16" t="b">
        <v>0</v>
      </c>
    </row>
    <row r="862" hidden="1">
      <c r="A862" s="4" t="s">
        <v>118</v>
      </c>
      <c r="B862" s="5">
        <f t="shared" si="31"/>
        <v>3277.625</v>
      </c>
      <c r="C862" s="4" t="s">
        <v>18</v>
      </c>
      <c r="D862" s="6" t="s">
        <v>952</v>
      </c>
      <c r="E862" s="7">
        <v>45044.0</v>
      </c>
      <c r="F862" s="5">
        <v>0.0</v>
      </c>
      <c r="G862" s="8">
        <v>2023.04</v>
      </c>
      <c r="H862" s="9" t="s">
        <v>51</v>
      </c>
      <c r="I862" s="9" t="s">
        <v>52</v>
      </c>
      <c r="J862" s="9" t="s">
        <v>117</v>
      </c>
      <c r="K862" s="4" t="s">
        <v>9</v>
      </c>
      <c r="L862" s="10">
        <v>30.0</v>
      </c>
      <c r="M862" s="54">
        <v>0.0</v>
      </c>
      <c r="N862" s="12">
        <v>0.0</v>
      </c>
      <c r="O862" s="12">
        <v>3277.625</v>
      </c>
      <c r="P862" s="13"/>
      <c r="Q862" s="12">
        <v>2500.0</v>
      </c>
      <c r="R862" s="14"/>
      <c r="S862" s="15">
        <v>45078.0</v>
      </c>
      <c r="T862" s="4" t="b">
        <v>0</v>
      </c>
    </row>
    <row r="863" hidden="1">
      <c r="A863" s="16" t="s">
        <v>73</v>
      </c>
      <c r="B863" s="17">
        <v>770.0</v>
      </c>
      <c r="C863" s="16" t="s">
        <v>18</v>
      </c>
      <c r="D863" s="18">
        <v>5522.0</v>
      </c>
      <c r="E863" s="19">
        <v>45044.0</v>
      </c>
      <c r="F863" s="17">
        <v>0.0</v>
      </c>
      <c r="G863" s="20">
        <v>2023.04</v>
      </c>
      <c r="H863" s="21" t="s">
        <v>51</v>
      </c>
      <c r="I863" s="21" t="s">
        <v>52</v>
      </c>
      <c r="J863" s="21" t="s">
        <v>74</v>
      </c>
      <c r="K863" s="16" t="s">
        <v>21</v>
      </c>
      <c r="L863" s="22">
        <v>30.0</v>
      </c>
      <c r="M863" s="55">
        <v>0.0</v>
      </c>
      <c r="N863" s="23">
        <v>0.0</v>
      </c>
      <c r="O863" s="23">
        <v>770.0</v>
      </c>
      <c r="P863" s="24"/>
      <c r="Q863" s="23">
        <v>770.0</v>
      </c>
      <c r="R863" s="25"/>
      <c r="S863" s="26">
        <v>45047.0</v>
      </c>
      <c r="T863" s="16" t="b">
        <v>0</v>
      </c>
    </row>
    <row r="864" hidden="1">
      <c r="A864" s="4" t="s">
        <v>499</v>
      </c>
      <c r="B864" s="5">
        <v>1650.0</v>
      </c>
      <c r="C864" s="4" t="s">
        <v>18</v>
      </c>
      <c r="D864" s="6">
        <v>5523.0</v>
      </c>
      <c r="E864" s="7">
        <v>45044.0</v>
      </c>
      <c r="F864" s="5">
        <v>55.23</v>
      </c>
      <c r="G864" s="8">
        <v>2023.04</v>
      </c>
      <c r="H864" s="9" t="s">
        <v>51</v>
      </c>
      <c r="I864" s="9" t="s">
        <v>52</v>
      </c>
      <c r="J864" s="9" t="s">
        <v>953</v>
      </c>
      <c r="K864" s="4" t="s">
        <v>21</v>
      </c>
      <c r="L864" s="10">
        <v>30.0</v>
      </c>
      <c r="M864" s="54">
        <v>0.0</v>
      </c>
      <c r="N864" s="12">
        <v>0.0</v>
      </c>
      <c r="O864" s="12">
        <v>1594.77</v>
      </c>
      <c r="P864" s="13"/>
      <c r="Q864" s="12">
        <v>1650.0</v>
      </c>
      <c r="R864" s="14"/>
      <c r="S864" s="15">
        <v>45047.0</v>
      </c>
      <c r="T864" s="4" t="b">
        <v>0</v>
      </c>
    </row>
    <row r="865" hidden="1">
      <c r="A865" s="16" t="s">
        <v>549</v>
      </c>
      <c r="B865" s="17">
        <f>600*1.312798</f>
        <v>787.6788</v>
      </c>
      <c r="C865" s="16" t="s">
        <v>18</v>
      </c>
      <c r="D865" s="18" t="s">
        <v>954</v>
      </c>
      <c r="E865" s="19">
        <v>45044.0</v>
      </c>
      <c r="F865" s="35">
        <f>22.5*1.312798</f>
        <v>29.537955</v>
      </c>
      <c r="G865" s="20">
        <v>2023.04</v>
      </c>
      <c r="H865" s="21" t="s">
        <v>51</v>
      </c>
      <c r="I865" s="21" t="s">
        <v>52</v>
      </c>
      <c r="J865" s="21" t="s">
        <v>551</v>
      </c>
      <c r="K865" s="16" t="s">
        <v>9</v>
      </c>
      <c r="L865" s="22">
        <v>0.0</v>
      </c>
      <c r="M865" s="55">
        <v>0.0</v>
      </c>
      <c r="N865" s="23">
        <v>0.0</v>
      </c>
      <c r="O865" s="23">
        <v>758.1408449999999</v>
      </c>
      <c r="P865" s="24"/>
      <c r="Q865" s="23">
        <v>600.0</v>
      </c>
      <c r="R865" s="25"/>
      <c r="S865" s="26">
        <v>45047.0</v>
      </c>
      <c r="T865" s="16" t="b">
        <v>0</v>
      </c>
    </row>
    <row r="866" hidden="1">
      <c r="A866" s="4" t="s">
        <v>695</v>
      </c>
      <c r="B866" s="5">
        <v>600.0</v>
      </c>
      <c r="C866" s="4" t="s">
        <v>18</v>
      </c>
      <c r="D866" s="6">
        <v>5516.0</v>
      </c>
      <c r="E866" s="7">
        <v>45044.0</v>
      </c>
      <c r="F866" s="5">
        <v>18.67</v>
      </c>
      <c r="G866" s="8">
        <v>2023.04</v>
      </c>
      <c r="H866" s="9" t="s">
        <v>51</v>
      </c>
      <c r="I866" s="9" t="s">
        <v>52</v>
      </c>
      <c r="J866" s="9" t="s">
        <v>696</v>
      </c>
      <c r="K866" s="4" t="s">
        <v>21</v>
      </c>
      <c r="L866" s="10">
        <v>30.0</v>
      </c>
      <c r="M866" s="54">
        <v>0.0</v>
      </c>
      <c r="N866" s="12">
        <v>0.0</v>
      </c>
      <c r="O866" s="12">
        <v>581.33</v>
      </c>
      <c r="P866" s="13"/>
      <c r="Q866" s="12">
        <v>600.0</v>
      </c>
      <c r="R866" s="14"/>
      <c r="S866" s="15">
        <v>45047.0</v>
      </c>
      <c r="T866" s="4" t="b">
        <v>0</v>
      </c>
    </row>
    <row r="867" hidden="1">
      <c r="A867" s="16" t="s">
        <v>810</v>
      </c>
      <c r="B867" s="17">
        <f>880*1.315805</f>
        <v>1157.9084</v>
      </c>
      <c r="C867" s="16" t="s">
        <v>18</v>
      </c>
      <c r="D867" s="18" t="s">
        <v>955</v>
      </c>
      <c r="E867" s="19">
        <v>45044.0</v>
      </c>
      <c r="F867" s="35">
        <f>32.86*1.315805</f>
        <v>43.2373523</v>
      </c>
      <c r="G867" s="20">
        <v>2023.04</v>
      </c>
      <c r="H867" s="21" t="s">
        <v>51</v>
      </c>
      <c r="I867" s="21" t="s">
        <v>52</v>
      </c>
      <c r="J867" s="21" t="s">
        <v>854</v>
      </c>
      <c r="K867" s="16" t="s">
        <v>9</v>
      </c>
      <c r="L867" s="22">
        <v>0.0</v>
      </c>
      <c r="M867" s="55">
        <v>0.0</v>
      </c>
      <c r="N867" s="23">
        <v>0.0</v>
      </c>
      <c r="O867" s="23">
        <v>1114.6710476999997</v>
      </c>
      <c r="P867" s="24"/>
      <c r="Q867" s="23">
        <v>880.0</v>
      </c>
      <c r="R867" s="25"/>
      <c r="S867" s="26">
        <v>45078.0</v>
      </c>
      <c r="T867" s="16" t="b">
        <v>0</v>
      </c>
    </row>
    <row r="868" hidden="1">
      <c r="A868" s="4" t="s">
        <v>855</v>
      </c>
      <c r="B868" s="5">
        <v>250.0</v>
      </c>
      <c r="C868" s="4" t="s">
        <v>18</v>
      </c>
      <c r="D868" s="6">
        <v>5525.0</v>
      </c>
      <c r="E868" s="7">
        <v>45046.0</v>
      </c>
      <c r="F868" s="5">
        <v>7.78</v>
      </c>
      <c r="G868" s="8">
        <v>2023.04</v>
      </c>
      <c r="H868" s="9" t="s">
        <v>51</v>
      </c>
      <c r="I868" s="9" t="s">
        <v>52</v>
      </c>
      <c r="J868" s="9" t="s">
        <v>857</v>
      </c>
      <c r="K868" s="4" t="s">
        <v>21</v>
      </c>
      <c r="L868" s="10">
        <v>30.0</v>
      </c>
      <c r="M868" s="54">
        <v>0.0</v>
      </c>
      <c r="N868" s="12">
        <v>0.0</v>
      </c>
      <c r="O868" s="12">
        <v>242.22</v>
      </c>
      <c r="P868" s="13"/>
      <c r="Q868" s="12">
        <v>250.0</v>
      </c>
      <c r="R868" s="14"/>
      <c r="S868" s="15">
        <v>45047.0</v>
      </c>
      <c r="T868" s="4" t="b">
        <v>0</v>
      </c>
    </row>
    <row r="869" hidden="1">
      <c r="A869" s="16" t="s">
        <v>890</v>
      </c>
      <c r="B869" s="17">
        <v>1700.0</v>
      </c>
      <c r="C869" s="16" t="s">
        <v>18</v>
      </c>
      <c r="D869" s="18">
        <v>5524.0</v>
      </c>
      <c r="E869" s="19">
        <v>45044.0</v>
      </c>
      <c r="F869" s="17">
        <v>52.89</v>
      </c>
      <c r="G869" s="20">
        <v>2023.04</v>
      </c>
      <c r="H869" s="21" t="s">
        <v>51</v>
      </c>
      <c r="I869" s="21" t="s">
        <v>52</v>
      </c>
      <c r="J869" s="21" t="s">
        <v>956</v>
      </c>
      <c r="K869" s="16" t="s">
        <v>21</v>
      </c>
      <c r="L869" s="22">
        <v>15.0</v>
      </c>
      <c r="M869" s="55">
        <v>0.0</v>
      </c>
      <c r="N869" s="23">
        <v>0.0</v>
      </c>
      <c r="O869" s="23">
        <v>1647.11</v>
      </c>
      <c r="P869" s="24"/>
      <c r="Q869" s="23">
        <v>1700.0</v>
      </c>
      <c r="R869" s="25"/>
      <c r="S869" s="26">
        <v>45047.0</v>
      </c>
      <c r="T869" s="16" t="b">
        <v>0</v>
      </c>
    </row>
    <row r="870">
      <c r="A870" s="4" t="s">
        <v>394</v>
      </c>
      <c r="B870" s="5">
        <f>150*1.3171</f>
        <v>197.565</v>
      </c>
      <c r="C870" s="4" t="s">
        <v>18</v>
      </c>
      <c r="D870" s="6" t="s">
        <v>957</v>
      </c>
      <c r="E870" s="7">
        <v>45138.0</v>
      </c>
      <c r="F870" s="5">
        <v>0.0</v>
      </c>
      <c r="G870" s="8">
        <v>2023.0</v>
      </c>
      <c r="H870" s="9" t="s">
        <v>447</v>
      </c>
      <c r="I870" s="9" t="s">
        <v>257</v>
      </c>
      <c r="J870" s="9" t="s">
        <v>958</v>
      </c>
      <c r="K870" s="4" t="s">
        <v>9</v>
      </c>
      <c r="L870" s="10">
        <v>30.0</v>
      </c>
      <c r="M870" s="54">
        <v>0.0</v>
      </c>
      <c r="N870" s="12">
        <v>0.0</v>
      </c>
      <c r="O870" s="12">
        <v>197.565</v>
      </c>
      <c r="P870" s="13"/>
      <c r="Q870" s="12">
        <v>150.0</v>
      </c>
      <c r="R870" s="14"/>
      <c r="S870" s="15">
        <v>45108.0</v>
      </c>
      <c r="T870" s="4" t="b">
        <v>0</v>
      </c>
    </row>
    <row r="871" hidden="1">
      <c r="A871" s="16" t="s">
        <v>886</v>
      </c>
      <c r="B871" s="17">
        <f>500*1.323</f>
        <v>661.5</v>
      </c>
      <c r="C871" s="16" t="s">
        <v>18</v>
      </c>
      <c r="D871" s="18" t="s">
        <v>959</v>
      </c>
      <c r="E871" s="19">
        <v>45044.0</v>
      </c>
      <c r="F871" s="17">
        <v>0.0</v>
      </c>
      <c r="G871" s="20">
        <v>2023.0</v>
      </c>
      <c r="H871" s="21" t="s">
        <v>447</v>
      </c>
      <c r="I871" s="21" t="s">
        <v>52</v>
      </c>
      <c r="J871" s="21" t="s">
        <v>960</v>
      </c>
      <c r="K871" s="16" t="s">
        <v>9</v>
      </c>
      <c r="L871" s="22">
        <v>30.0</v>
      </c>
      <c r="M871" s="55">
        <v>0.0</v>
      </c>
      <c r="N871" s="23">
        <v>0.0</v>
      </c>
      <c r="O871" s="23">
        <v>661.5</v>
      </c>
      <c r="P871" s="24"/>
      <c r="Q871" s="23">
        <v>500.0</v>
      </c>
      <c r="R871" s="25"/>
      <c r="S871" s="26">
        <v>45047.0</v>
      </c>
      <c r="T871" s="16" t="b">
        <v>0</v>
      </c>
    </row>
    <row r="872" hidden="1">
      <c r="A872" s="4" t="s">
        <v>861</v>
      </c>
      <c r="B872" s="5">
        <f>2590*1.298636</f>
        <v>3363.46724</v>
      </c>
      <c r="C872" s="4" t="s">
        <v>18</v>
      </c>
      <c r="D872" s="6" t="s">
        <v>961</v>
      </c>
      <c r="E872" s="7">
        <v>45049.0</v>
      </c>
      <c r="F872" s="34">
        <f>96.13*1.298636</f>
        <v>124.8378787</v>
      </c>
      <c r="G872" s="8">
        <v>2023.05</v>
      </c>
      <c r="H872" s="9" t="s">
        <v>51</v>
      </c>
      <c r="I872" s="9" t="s">
        <v>52</v>
      </c>
      <c r="J872" s="9" t="s">
        <v>962</v>
      </c>
      <c r="K872" s="4" t="s">
        <v>9</v>
      </c>
      <c r="L872" s="10">
        <v>15.0</v>
      </c>
      <c r="M872" s="54">
        <v>0.2</v>
      </c>
      <c r="N872" s="12">
        <v>647.725872264</v>
      </c>
      <c r="O872" s="12">
        <v>2590.903489056</v>
      </c>
      <c r="P872" s="13"/>
      <c r="Q872" s="12">
        <v>2590.0</v>
      </c>
      <c r="R872" s="14"/>
      <c r="S872" s="15">
        <v>45078.0</v>
      </c>
      <c r="T872" s="4" t="b">
        <v>0</v>
      </c>
    </row>
    <row r="873" hidden="1">
      <c r="A873" s="16" t="s">
        <v>963</v>
      </c>
      <c r="B873" s="17">
        <f>1110*1.315805</f>
        <v>1460.54355</v>
      </c>
      <c r="C873" s="16" t="s">
        <v>18</v>
      </c>
      <c r="D873" s="18" t="s">
        <v>964</v>
      </c>
      <c r="E873" s="19">
        <v>45049.0</v>
      </c>
      <c r="F873" s="35">
        <f>41.37*1.315805</f>
        <v>54.43485285</v>
      </c>
      <c r="G873" s="20">
        <v>2023.05</v>
      </c>
      <c r="H873" s="21" t="s">
        <v>51</v>
      </c>
      <c r="I873" s="21" t="s">
        <v>52</v>
      </c>
      <c r="J873" s="21" t="s">
        <v>965</v>
      </c>
      <c r="K873" s="16" t="s">
        <v>9</v>
      </c>
      <c r="L873" s="22">
        <v>15.0</v>
      </c>
      <c r="M873" s="55">
        <v>0.2</v>
      </c>
      <c r="N873" s="23">
        <v>281.22173943</v>
      </c>
      <c r="O873" s="23">
        <v>1124.8869577199998</v>
      </c>
      <c r="P873" s="24"/>
      <c r="Q873" s="23">
        <v>1110.0</v>
      </c>
      <c r="R873" s="25"/>
      <c r="S873" s="26">
        <v>45078.0</v>
      </c>
      <c r="T873" s="16" t="b">
        <v>0</v>
      </c>
    </row>
    <row r="874" hidden="1">
      <c r="A874" s="4" t="s">
        <v>966</v>
      </c>
      <c r="B874" s="5">
        <v>3700.0</v>
      </c>
      <c r="C874" s="4" t="s">
        <v>18</v>
      </c>
      <c r="D874" s="6">
        <v>5528.0</v>
      </c>
      <c r="E874" s="7">
        <v>45061.0</v>
      </c>
      <c r="F874" s="5">
        <v>115.11</v>
      </c>
      <c r="G874" s="8">
        <v>2023.05</v>
      </c>
      <c r="H874" s="9" t="s">
        <v>27</v>
      </c>
      <c r="I874" s="9" t="s">
        <v>52</v>
      </c>
      <c r="J874" s="9" t="s">
        <v>967</v>
      </c>
      <c r="K874" s="4" t="s">
        <v>21</v>
      </c>
      <c r="L874" s="4">
        <v>30.0</v>
      </c>
      <c r="M874" s="54">
        <v>0.1</v>
      </c>
      <c r="N874" s="12">
        <v>358.48900000000003</v>
      </c>
      <c r="O874" s="12">
        <v>3226.401</v>
      </c>
      <c r="P874" s="13"/>
      <c r="Q874" s="12">
        <v>1800.0</v>
      </c>
      <c r="R874" s="14"/>
      <c r="S874" s="15">
        <v>45078.0</v>
      </c>
      <c r="T874" s="4" t="b">
        <v>0</v>
      </c>
    </row>
    <row r="875" hidden="1">
      <c r="A875" s="16" t="s">
        <v>966</v>
      </c>
      <c r="B875" s="17">
        <v>1800.0</v>
      </c>
      <c r="C875" s="16" t="s">
        <v>18</v>
      </c>
      <c r="D875" s="18">
        <v>5554.0</v>
      </c>
      <c r="E875" s="19">
        <v>45092.0</v>
      </c>
      <c r="F875" s="17">
        <v>56.0</v>
      </c>
      <c r="G875" s="20">
        <v>2023.06</v>
      </c>
      <c r="H875" s="21" t="s">
        <v>27</v>
      </c>
      <c r="I875" s="21" t="s">
        <v>52</v>
      </c>
      <c r="J875" s="21" t="s">
        <v>968</v>
      </c>
      <c r="K875" s="16" t="s">
        <v>21</v>
      </c>
      <c r="L875" s="16">
        <v>15.0</v>
      </c>
      <c r="M875" s="55">
        <v>0.1</v>
      </c>
      <c r="N875" s="23">
        <v>174.4</v>
      </c>
      <c r="O875" s="23">
        <v>1569.6</v>
      </c>
      <c r="P875" s="24"/>
      <c r="Q875" s="23">
        <v>1800.0</v>
      </c>
      <c r="R875" s="25"/>
      <c r="S875" s="26">
        <v>45078.0</v>
      </c>
      <c r="T875" s="16" t="b">
        <v>0</v>
      </c>
    </row>
    <row r="876" hidden="1">
      <c r="A876" s="4" t="s">
        <v>62</v>
      </c>
      <c r="B876" s="5">
        <f>1600+700</f>
        <v>2300</v>
      </c>
      <c r="C876" s="4" t="s">
        <v>18</v>
      </c>
      <c r="D876" s="6">
        <v>5529.0</v>
      </c>
      <c r="E876" s="7">
        <v>45061.0</v>
      </c>
      <c r="F876" s="5">
        <v>71.56</v>
      </c>
      <c r="G876" s="8">
        <v>2023.05</v>
      </c>
      <c r="H876" s="9" t="s">
        <v>27</v>
      </c>
      <c r="I876" s="9" t="s">
        <v>52</v>
      </c>
      <c r="J876" s="9" t="s">
        <v>969</v>
      </c>
      <c r="K876" s="4" t="s">
        <v>21</v>
      </c>
      <c r="L876" s="10">
        <v>30.0</v>
      </c>
      <c r="M876" s="54">
        <v>0.0</v>
      </c>
      <c r="N876" s="12">
        <v>0.0</v>
      </c>
      <c r="O876" s="12">
        <v>2228.44</v>
      </c>
      <c r="P876" s="13"/>
      <c r="Q876" s="12">
        <v>1600.0</v>
      </c>
      <c r="R876" s="14"/>
      <c r="S876" s="15">
        <v>45078.0</v>
      </c>
      <c r="T876" s="4" t="b">
        <v>0</v>
      </c>
    </row>
    <row r="877" hidden="1">
      <c r="A877" s="16" t="s">
        <v>99</v>
      </c>
      <c r="B877" s="17">
        <f>2130*1.315805</f>
        <v>2802.66465</v>
      </c>
      <c r="C877" s="16" t="s">
        <v>18</v>
      </c>
      <c r="D877" s="18" t="s">
        <v>970</v>
      </c>
      <c r="E877" s="19">
        <v>45061.0</v>
      </c>
      <c r="F877" s="35">
        <f>79.11*1.315805</f>
        <v>104.0933336</v>
      </c>
      <c r="G877" s="20">
        <v>2023.05</v>
      </c>
      <c r="H877" s="21" t="s">
        <v>27</v>
      </c>
      <c r="I877" s="21" t="s">
        <v>52</v>
      </c>
      <c r="J877" s="21" t="s">
        <v>971</v>
      </c>
      <c r="K877" s="16" t="s">
        <v>9</v>
      </c>
      <c r="L877" s="16">
        <v>30.0</v>
      </c>
      <c r="M877" s="55">
        <v>0.2</v>
      </c>
      <c r="N877" s="23">
        <v>539.71426329</v>
      </c>
      <c r="O877" s="23">
        <v>2158.85705316</v>
      </c>
      <c r="P877" s="24"/>
      <c r="Q877" s="23"/>
      <c r="R877" s="25"/>
      <c r="S877" s="26">
        <v>45078.0</v>
      </c>
      <c r="T877" s="16" t="b">
        <v>0</v>
      </c>
    </row>
    <row r="878" hidden="1">
      <c r="A878" s="4" t="s">
        <v>225</v>
      </c>
      <c r="B878" s="5">
        <v>5000.0</v>
      </c>
      <c r="C878" s="4" t="s">
        <v>18</v>
      </c>
      <c r="D878" s="6">
        <v>5530.0</v>
      </c>
      <c r="E878" s="7">
        <v>45061.0</v>
      </c>
      <c r="F878" s="5">
        <v>0.0</v>
      </c>
      <c r="G878" s="8">
        <v>2023.05</v>
      </c>
      <c r="H878" s="9" t="s">
        <v>27</v>
      </c>
      <c r="I878" s="9" t="s">
        <v>52</v>
      </c>
      <c r="J878" s="9" t="s">
        <v>972</v>
      </c>
      <c r="K878" s="4" t="s">
        <v>21</v>
      </c>
      <c r="L878" s="10">
        <v>30.0</v>
      </c>
      <c r="M878" s="54">
        <v>0.0</v>
      </c>
      <c r="N878" s="12">
        <v>0.0</v>
      </c>
      <c r="O878" s="12">
        <v>5000.0</v>
      </c>
      <c r="P878" s="13"/>
      <c r="Q878" s="12">
        <v>5000.0</v>
      </c>
      <c r="R878" s="14"/>
      <c r="S878" s="15">
        <v>45078.0</v>
      </c>
      <c r="T878" s="4" t="b">
        <v>0</v>
      </c>
    </row>
    <row r="879" hidden="1">
      <c r="A879" s="16" t="s">
        <v>102</v>
      </c>
      <c r="B879" s="17">
        <f>350*1.298636</f>
        <v>454.5226</v>
      </c>
      <c r="C879" s="16" t="s">
        <v>18</v>
      </c>
      <c r="D879" s="18" t="s">
        <v>973</v>
      </c>
      <c r="E879" s="19">
        <v>45061.0</v>
      </c>
      <c r="F879" s="35">
        <f>13.25*1.298636</f>
        <v>17.206927</v>
      </c>
      <c r="G879" s="20">
        <v>2023.05</v>
      </c>
      <c r="H879" s="21" t="s">
        <v>27</v>
      </c>
      <c r="I879" s="21" t="s">
        <v>52</v>
      </c>
      <c r="J879" s="21" t="s">
        <v>104</v>
      </c>
      <c r="K879" s="16" t="s">
        <v>9</v>
      </c>
      <c r="L879" s="22">
        <v>30.0</v>
      </c>
      <c r="M879" s="55">
        <v>0.0</v>
      </c>
      <c r="N879" s="23">
        <v>0.0</v>
      </c>
      <c r="O879" s="23">
        <v>437.31567299999995</v>
      </c>
      <c r="P879" s="24"/>
      <c r="Q879" s="23">
        <v>350.0</v>
      </c>
      <c r="R879" s="25"/>
      <c r="S879" s="26">
        <v>45078.0</v>
      </c>
      <c r="T879" s="16" t="b">
        <v>0</v>
      </c>
    </row>
    <row r="880" hidden="1">
      <c r="A880" s="4" t="s">
        <v>924</v>
      </c>
      <c r="B880" s="5">
        <f>60*1.315805</f>
        <v>78.9483</v>
      </c>
      <c r="C880" s="4" t="s">
        <v>18</v>
      </c>
      <c r="D880" s="6" t="s">
        <v>974</v>
      </c>
      <c r="E880" s="7">
        <v>45061.0</v>
      </c>
      <c r="F880" s="34">
        <f>2.52*1.315805</f>
        <v>3.3158286</v>
      </c>
      <c r="G880" s="8">
        <v>2023.05</v>
      </c>
      <c r="H880" s="9" t="s">
        <v>27</v>
      </c>
      <c r="I880" s="9" t="s">
        <v>52</v>
      </c>
      <c r="J880" s="9" t="s">
        <v>926</v>
      </c>
      <c r="K880" s="4" t="s">
        <v>9</v>
      </c>
      <c r="L880" s="10">
        <v>30.0</v>
      </c>
      <c r="M880" s="54">
        <v>0.0</v>
      </c>
      <c r="N880" s="12">
        <v>0.0</v>
      </c>
      <c r="O880" s="12">
        <v>75.63247139999999</v>
      </c>
      <c r="P880" s="13"/>
      <c r="Q880" s="12">
        <v>60.0</v>
      </c>
      <c r="R880" s="14"/>
      <c r="S880" s="15">
        <v>45078.0</v>
      </c>
      <c r="T880" s="4" t="b">
        <v>0</v>
      </c>
    </row>
    <row r="881">
      <c r="A881" s="16" t="s">
        <v>467</v>
      </c>
      <c r="B881" s="17">
        <v>280.0</v>
      </c>
      <c r="C881" s="16" t="s">
        <v>975</v>
      </c>
      <c r="D881" s="18" t="s">
        <v>976</v>
      </c>
      <c r="E881" s="19">
        <v>45061.0</v>
      </c>
      <c r="F881" s="35"/>
      <c r="G881" s="20">
        <v>2023.05</v>
      </c>
      <c r="H881" s="21" t="s">
        <v>27</v>
      </c>
      <c r="I881" s="21" t="s">
        <v>52</v>
      </c>
      <c r="J881" s="21" t="s">
        <v>469</v>
      </c>
      <c r="K881" s="16" t="s">
        <v>9</v>
      </c>
      <c r="L881" s="22">
        <v>0.0</v>
      </c>
      <c r="M881" s="55">
        <v>0.2</v>
      </c>
      <c r="N881" s="23">
        <v>56.0</v>
      </c>
      <c r="O881" s="23">
        <v>224.0</v>
      </c>
      <c r="P881" s="24"/>
      <c r="Q881" s="23">
        <v>280.0</v>
      </c>
      <c r="R881" s="25"/>
      <c r="S881" s="26"/>
      <c r="T881" s="16" t="b">
        <v>0</v>
      </c>
    </row>
    <row r="882" hidden="1">
      <c r="A882" s="4" t="s">
        <v>762</v>
      </c>
      <c r="B882" s="5">
        <v>500.0</v>
      </c>
      <c r="C882" s="4" t="s">
        <v>18</v>
      </c>
      <c r="D882" s="6">
        <v>5531.0</v>
      </c>
      <c r="E882" s="7">
        <v>45061.0</v>
      </c>
      <c r="F882" s="5">
        <v>0.0</v>
      </c>
      <c r="G882" s="8">
        <v>2023.05</v>
      </c>
      <c r="H882" s="9" t="s">
        <v>27</v>
      </c>
      <c r="I882" s="9" t="s">
        <v>52</v>
      </c>
      <c r="J882" s="9" t="s">
        <v>763</v>
      </c>
      <c r="K882" s="4" t="s">
        <v>21</v>
      </c>
      <c r="L882" s="10">
        <v>15.0</v>
      </c>
      <c r="M882" s="54">
        <v>0.0</v>
      </c>
      <c r="N882" s="12">
        <v>0.0</v>
      </c>
      <c r="O882" s="12">
        <v>500.0</v>
      </c>
      <c r="P882" s="13"/>
      <c r="Q882" s="12">
        <v>500.0</v>
      </c>
      <c r="R882" s="14"/>
      <c r="S882" s="15">
        <v>45078.0</v>
      </c>
      <c r="T882" s="4" t="b">
        <v>0</v>
      </c>
    </row>
    <row r="883" hidden="1">
      <c r="A883" s="16" t="s">
        <v>662</v>
      </c>
      <c r="B883" s="17">
        <v>2500.0</v>
      </c>
      <c r="C883" s="16" t="s">
        <v>18</v>
      </c>
      <c r="D883" s="18">
        <v>5532.0</v>
      </c>
      <c r="E883" s="19">
        <v>45061.0</v>
      </c>
      <c r="F883" s="17">
        <v>0.0</v>
      </c>
      <c r="G883" s="20">
        <v>2023.05</v>
      </c>
      <c r="H883" s="21" t="s">
        <v>27</v>
      </c>
      <c r="I883" s="21" t="s">
        <v>52</v>
      </c>
      <c r="J883" s="21" t="s">
        <v>764</v>
      </c>
      <c r="K883" s="16" t="s">
        <v>21</v>
      </c>
      <c r="L883" s="22">
        <v>15.0</v>
      </c>
      <c r="M883" s="55">
        <v>0.0</v>
      </c>
      <c r="N883" s="23">
        <v>0.0</v>
      </c>
      <c r="O883" s="23">
        <v>2500.0</v>
      </c>
      <c r="P883" s="24"/>
      <c r="Q883" s="23">
        <v>2500.0</v>
      </c>
      <c r="R883" s="25"/>
      <c r="S883" s="26">
        <v>45078.0</v>
      </c>
      <c r="T883" s="16" t="b">
        <v>0</v>
      </c>
    </row>
    <row r="884" hidden="1">
      <c r="A884" s="4" t="s">
        <v>788</v>
      </c>
      <c r="B884" s="5">
        <v>2000.0</v>
      </c>
      <c r="C884" s="4" t="s">
        <v>18</v>
      </c>
      <c r="D884" s="6">
        <v>5533.0</v>
      </c>
      <c r="E884" s="7">
        <v>45061.0</v>
      </c>
      <c r="F884" s="5">
        <v>0.0</v>
      </c>
      <c r="G884" s="8">
        <v>2023.05</v>
      </c>
      <c r="H884" s="9" t="s">
        <v>27</v>
      </c>
      <c r="I884" s="9" t="s">
        <v>52</v>
      </c>
      <c r="J884" s="9" t="s">
        <v>789</v>
      </c>
      <c r="K884" s="4" t="s">
        <v>21</v>
      </c>
      <c r="L884" s="10">
        <v>15.0</v>
      </c>
      <c r="M884" s="54">
        <v>0.0</v>
      </c>
      <c r="N884" s="12">
        <v>0.0</v>
      </c>
      <c r="O884" s="12">
        <v>2000.0</v>
      </c>
      <c r="P884" s="13"/>
      <c r="Q884" s="12">
        <v>2000.0</v>
      </c>
      <c r="R884" s="14"/>
      <c r="S884" s="15">
        <v>45078.0</v>
      </c>
      <c r="T884" s="4" t="b">
        <v>0</v>
      </c>
    </row>
    <row r="885" hidden="1">
      <c r="A885" s="16" t="s">
        <v>795</v>
      </c>
      <c r="B885" s="17">
        <v>2000.0</v>
      </c>
      <c r="C885" s="16" t="s">
        <v>18</v>
      </c>
      <c r="D885" s="18">
        <v>5534.0</v>
      </c>
      <c r="E885" s="19">
        <v>45061.0</v>
      </c>
      <c r="F885" s="17">
        <v>62.22</v>
      </c>
      <c r="G885" s="20">
        <v>2023.05</v>
      </c>
      <c r="H885" s="21" t="s">
        <v>27</v>
      </c>
      <c r="I885" s="21" t="s">
        <v>52</v>
      </c>
      <c r="J885" s="21" t="s">
        <v>796</v>
      </c>
      <c r="K885" s="16" t="s">
        <v>21</v>
      </c>
      <c r="L885" s="22">
        <v>0.0</v>
      </c>
      <c r="M885" s="55">
        <v>0.0</v>
      </c>
      <c r="N885" s="23">
        <v>0.0</v>
      </c>
      <c r="O885" s="23">
        <v>1937.78</v>
      </c>
      <c r="P885" s="24"/>
      <c r="Q885" s="23">
        <v>2000.0</v>
      </c>
      <c r="R885" s="25"/>
      <c r="S885" s="26">
        <v>45078.0</v>
      </c>
      <c r="T885" s="16" t="b">
        <v>0</v>
      </c>
    </row>
    <row r="886">
      <c r="A886" s="4" t="s">
        <v>884</v>
      </c>
      <c r="B886" s="5">
        <v>250.0</v>
      </c>
      <c r="C886" s="4" t="s">
        <v>47</v>
      </c>
      <c r="D886" s="6" t="s">
        <v>977</v>
      </c>
      <c r="E886" s="7">
        <v>45061.0</v>
      </c>
      <c r="F886" s="34"/>
      <c r="G886" s="8">
        <v>2023.05</v>
      </c>
      <c r="H886" s="9" t="s">
        <v>27</v>
      </c>
      <c r="I886" s="9" t="s">
        <v>52</v>
      </c>
      <c r="J886" s="9" t="s">
        <v>857</v>
      </c>
      <c r="K886" s="4" t="s">
        <v>9</v>
      </c>
      <c r="L886" s="10"/>
      <c r="M886" s="54">
        <v>0.2</v>
      </c>
      <c r="N886" s="12">
        <v>50.0</v>
      </c>
      <c r="O886" s="12">
        <v>200.0</v>
      </c>
      <c r="P886" s="13"/>
      <c r="Q886" s="12">
        <v>250.0</v>
      </c>
      <c r="R886" s="9" t="s">
        <v>978</v>
      </c>
      <c r="S886" s="15"/>
      <c r="T886" s="4" t="b">
        <v>0</v>
      </c>
    </row>
    <row r="887" hidden="1">
      <c r="A887" s="16" t="s">
        <v>979</v>
      </c>
      <c r="B887" s="17">
        <f>1100*1.281079</f>
        <v>1409.1869</v>
      </c>
      <c r="C887" s="16" t="s">
        <v>18</v>
      </c>
      <c r="D887" s="18" t="s">
        <v>980</v>
      </c>
      <c r="E887" s="19">
        <v>45057.0</v>
      </c>
      <c r="F887" s="35">
        <f>41*1.281079</f>
        <v>52.524239</v>
      </c>
      <c r="G887" s="20">
        <v>2023.05</v>
      </c>
      <c r="H887" s="21" t="s">
        <v>27</v>
      </c>
      <c r="I887" s="21" t="s">
        <v>52</v>
      </c>
      <c r="J887" s="21" t="s">
        <v>981</v>
      </c>
      <c r="K887" s="16" t="s">
        <v>9</v>
      </c>
      <c r="L887" s="22">
        <v>0.0</v>
      </c>
      <c r="M887" s="55">
        <v>0.0</v>
      </c>
      <c r="N887" s="23">
        <v>0.0</v>
      </c>
      <c r="O887" s="23">
        <v>1356.662661</v>
      </c>
      <c r="P887" s="24"/>
      <c r="Q887" s="23">
        <v>3300.0</v>
      </c>
      <c r="R887" s="25"/>
      <c r="S887" s="26">
        <v>45078.0</v>
      </c>
      <c r="T887" s="16" t="b">
        <v>0</v>
      </c>
    </row>
    <row r="888" hidden="1">
      <c r="A888" s="4" t="s">
        <v>979</v>
      </c>
      <c r="B888" s="5">
        <f>1100*1.276423</f>
        <v>1404.0653</v>
      </c>
      <c r="C888" s="4" t="s">
        <v>18</v>
      </c>
      <c r="D888" s="6" t="s">
        <v>982</v>
      </c>
      <c r="E888" s="7">
        <v>45092.0</v>
      </c>
      <c r="F888" s="34">
        <f>41*1.276423</f>
        <v>52.333343</v>
      </c>
      <c r="G888" s="8">
        <v>2023.06</v>
      </c>
      <c r="H888" s="9" t="s">
        <v>27</v>
      </c>
      <c r="I888" s="9" t="s">
        <v>52</v>
      </c>
      <c r="J888" s="9" t="s">
        <v>983</v>
      </c>
      <c r="K888" s="4" t="s">
        <v>9</v>
      </c>
      <c r="L888" s="10">
        <v>0.0</v>
      </c>
      <c r="M888" s="54">
        <v>0.0</v>
      </c>
      <c r="N888" s="12">
        <v>0.0</v>
      </c>
      <c r="O888" s="12">
        <v>1351.7319570000002</v>
      </c>
      <c r="P888" s="13"/>
      <c r="Q888" s="12">
        <v>3300.0</v>
      </c>
      <c r="R888" s="14"/>
      <c r="S888" s="15">
        <v>45078.0</v>
      </c>
      <c r="T888" s="4" t="b">
        <v>0</v>
      </c>
    </row>
    <row r="889">
      <c r="A889" s="16" t="s">
        <v>979</v>
      </c>
      <c r="B889" s="17">
        <f>1100*1.310567</f>
        <v>1441.6237</v>
      </c>
      <c r="C889" s="16" t="s">
        <v>18</v>
      </c>
      <c r="D889" s="18" t="s">
        <v>984</v>
      </c>
      <c r="E889" s="19">
        <v>45122.0</v>
      </c>
      <c r="F889" s="35">
        <f>41*1.310567</f>
        <v>53.733247</v>
      </c>
      <c r="G889" s="20">
        <v>2023.07</v>
      </c>
      <c r="H889" s="21" t="s">
        <v>27</v>
      </c>
      <c r="I889" s="21" t="s">
        <v>52</v>
      </c>
      <c r="J889" s="21" t="s">
        <v>985</v>
      </c>
      <c r="K889" s="16" t="s">
        <v>9</v>
      </c>
      <c r="L889" s="22">
        <v>0.0</v>
      </c>
      <c r="M889" s="55">
        <v>0.0</v>
      </c>
      <c r="N889" s="23">
        <v>0.0</v>
      </c>
      <c r="O889" s="23">
        <v>1387.8904530000002</v>
      </c>
      <c r="P889" s="24"/>
      <c r="Q889" s="23">
        <v>3300.0</v>
      </c>
      <c r="R889" s="25"/>
      <c r="S889" s="26">
        <v>45108.0</v>
      </c>
      <c r="T889" s="16" t="b">
        <v>0</v>
      </c>
    </row>
    <row r="890" hidden="1">
      <c r="A890" s="4" t="s">
        <v>118</v>
      </c>
      <c r="B890" s="5">
        <f t="shared" ref="B890:B891" si="32">3200*1.28246563</f>
        <v>4103.890016</v>
      </c>
      <c r="C890" s="4" t="s">
        <v>18</v>
      </c>
      <c r="D890" s="6" t="s">
        <v>986</v>
      </c>
      <c r="E890" s="7">
        <v>45077.0</v>
      </c>
      <c r="F890" s="5">
        <v>0.0</v>
      </c>
      <c r="G890" s="8">
        <v>2023.05</v>
      </c>
      <c r="H890" s="9" t="s">
        <v>51</v>
      </c>
      <c r="I890" s="9" t="s">
        <v>52</v>
      </c>
      <c r="J890" s="9" t="s">
        <v>987</v>
      </c>
      <c r="K890" s="4" t="s">
        <v>9</v>
      </c>
      <c r="L890" s="10">
        <v>30.0</v>
      </c>
      <c r="M890" s="54">
        <v>0.0</v>
      </c>
      <c r="N890" s="12">
        <v>0.0</v>
      </c>
      <c r="O890" s="12">
        <v>4103.890015999999</v>
      </c>
      <c r="P890" s="13"/>
      <c r="Q890" s="12">
        <v>2500.0</v>
      </c>
      <c r="R890" s="14"/>
      <c r="S890" s="15">
        <v>45078.0</v>
      </c>
      <c r="T890" s="4" t="b">
        <v>0</v>
      </c>
    </row>
    <row r="891" hidden="1">
      <c r="A891" s="16" t="s">
        <v>115</v>
      </c>
      <c r="B891" s="17">
        <f t="shared" si="32"/>
        <v>4103.890016</v>
      </c>
      <c r="C891" s="16" t="s">
        <v>18</v>
      </c>
      <c r="D891" s="18" t="s">
        <v>988</v>
      </c>
      <c r="E891" s="19">
        <v>45077.0</v>
      </c>
      <c r="F891" s="17">
        <v>0.0</v>
      </c>
      <c r="G891" s="20">
        <v>2023.05</v>
      </c>
      <c r="H891" s="21" t="s">
        <v>51</v>
      </c>
      <c r="I891" s="21" t="s">
        <v>52</v>
      </c>
      <c r="J891" s="21" t="s">
        <v>987</v>
      </c>
      <c r="K891" s="16" t="s">
        <v>9</v>
      </c>
      <c r="L891" s="22">
        <v>30.0</v>
      </c>
      <c r="M891" s="55">
        <v>0.0</v>
      </c>
      <c r="N891" s="23">
        <v>0.0</v>
      </c>
      <c r="O891" s="23">
        <v>4103.890015999999</v>
      </c>
      <c r="P891" s="24"/>
      <c r="Q891" s="23">
        <v>2500.0</v>
      </c>
      <c r="R891" s="25"/>
      <c r="S891" s="26">
        <v>45078.0</v>
      </c>
      <c r="T891" s="16" t="b">
        <v>0</v>
      </c>
    </row>
    <row r="892" hidden="1">
      <c r="A892" s="4" t="s">
        <v>54</v>
      </c>
      <c r="B892" s="5">
        <v>350.0</v>
      </c>
      <c r="C892" s="4" t="s">
        <v>18</v>
      </c>
      <c r="D892" s="6">
        <v>5542.0</v>
      </c>
      <c r="E892" s="7">
        <v>45077.0</v>
      </c>
      <c r="F892" s="5">
        <v>10.89</v>
      </c>
      <c r="G892" s="8">
        <v>2023.05</v>
      </c>
      <c r="H892" s="9" t="s">
        <v>51</v>
      </c>
      <c r="I892" s="9" t="s">
        <v>52</v>
      </c>
      <c r="J892" s="9" t="s">
        <v>989</v>
      </c>
      <c r="K892" s="4" t="s">
        <v>21</v>
      </c>
      <c r="L892" s="10">
        <v>30.0</v>
      </c>
      <c r="M892" s="54">
        <v>0.0</v>
      </c>
      <c r="N892" s="12">
        <v>0.0</v>
      </c>
      <c r="O892" s="12">
        <v>339.11</v>
      </c>
      <c r="P892" s="13"/>
      <c r="Q892" s="12">
        <v>750.0</v>
      </c>
      <c r="R892" s="14"/>
      <c r="S892" s="15">
        <v>45078.0</v>
      </c>
      <c r="T892" s="4" t="b">
        <v>0</v>
      </c>
    </row>
    <row r="893" hidden="1">
      <c r="A893" s="16" t="s">
        <v>50</v>
      </c>
      <c r="B893" s="17">
        <f>412.5+350</f>
        <v>762.5</v>
      </c>
      <c r="C893" s="16" t="s">
        <v>18</v>
      </c>
      <c r="D893" s="18">
        <v>5543.0</v>
      </c>
      <c r="E893" s="19">
        <v>45077.0</v>
      </c>
      <c r="F893" s="17">
        <v>0.0</v>
      </c>
      <c r="G893" s="20">
        <v>2023.05</v>
      </c>
      <c r="H893" s="21" t="s">
        <v>51</v>
      </c>
      <c r="I893" s="21" t="s">
        <v>52</v>
      </c>
      <c r="J893" s="21" t="s">
        <v>990</v>
      </c>
      <c r="K893" s="16" t="s">
        <v>21</v>
      </c>
      <c r="L893" s="22">
        <v>30.0</v>
      </c>
      <c r="M893" s="55">
        <v>0.0</v>
      </c>
      <c r="N893" s="23">
        <v>0.0</v>
      </c>
      <c r="O893" s="23">
        <v>762.5</v>
      </c>
      <c r="P893" s="24"/>
      <c r="Q893" s="23">
        <v>412.5</v>
      </c>
      <c r="R893" s="25"/>
      <c r="S893" s="26">
        <v>45078.0</v>
      </c>
      <c r="T893" s="16" t="b">
        <v>0</v>
      </c>
    </row>
    <row r="894">
      <c r="A894" s="4" t="s">
        <v>806</v>
      </c>
      <c r="B894" s="5">
        <v>400.0</v>
      </c>
      <c r="C894" s="4" t="s">
        <v>18</v>
      </c>
      <c r="D894" s="6">
        <v>5544.0</v>
      </c>
      <c r="E894" s="7">
        <v>45077.0</v>
      </c>
      <c r="F894" s="5">
        <v>12.44</v>
      </c>
      <c r="G894" s="8">
        <v>2023.05</v>
      </c>
      <c r="H894" s="9" t="s">
        <v>51</v>
      </c>
      <c r="I894" s="9" t="s">
        <v>52</v>
      </c>
      <c r="J894" s="9" t="s">
        <v>991</v>
      </c>
      <c r="K894" s="4" t="s">
        <v>21</v>
      </c>
      <c r="L894" s="10">
        <v>15.0</v>
      </c>
      <c r="M894" s="54">
        <v>0.0</v>
      </c>
      <c r="N894" s="12">
        <v>0.0</v>
      </c>
      <c r="O894" s="12">
        <v>387.56</v>
      </c>
      <c r="P894" s="13"/>
      <c r="Q894" s="12">
        <v>400.0</v>
      </c>
      <c r="R894" s="14"/>
      <c r="S894" s="15">
        <v>45108.0</v>
      </c>
      <c r="T894" s="4" t="b">
        <v>0</v>
      </c>
    </row>
    <row r="895" hidden="1">
      <c r="A895" s="16" t="s">
        <v>584</v>
      </c>
      <c r="B895" s="17">
        <f>995*1.26338997</f>
        <v>1257.07302</v>
      </c>
      <c r="C895" s="16" t="s">
        <v>18</v>
      </c>
      <c r="D895" s="18" t="s">
        <v>992</v>
      </c>
      <c r="E895" s="19">
        <v>45077.0</v>
      </c>
      <c r="F895" s="17">
        <v>0.0</v>
      </c>
      <c r="G895" s="20">
        <v>2023.05</v>
      </c>
      <c r="H895" s="21" t="s">
        <v>51</v>
      </c>
      <c r="I895" s="21" t="s">
        <v>52</v>
      </c>
      <c r="J895" s="21" t="s">
        <v>993</v>
      </c>
      <c r="K895" s="16" t="s">
        <v>9</v>
      </c>
      <c r="L895" s="22">
        <v>15.0</v>
      </c>
      <c r="M895" s="55">
        <v>0.0</v>
      </c>
      <c r="N895" s="23">
        <v>0.0</v>
      </c>
      <c r="O895" s="23">
        <v>1257.07302015</v>
      </c>
      <c r="P895" s="24"/>
      <c r="Q895" s="23">
        <v>995.0</v>
      </c>
      <c r="R895" s="25"/>
      <c r="S895" s="26">
        <v>45078.0</v>
      </c>
      <c r="T895" s="16" t="b">
        <v>0</v>
      </c>
    </row>
    <row r="896" hidden="1">
      <c r="A896" s="4" t="s">
        <v>586</v>
      </c>
      <c r="B896" s="5">
        <f>995*1.267959799</f>
        <v>1261.62</v>
      </c>
      <c r="C896" s="4" t="s">
        <v>18</v>
      </c>
      <c r="D896" s="6" t="s">
        <v>994</v>
      </c>
      <c r="E896" s="7">
        <v>45077.0</v>
      </c>
      <c r="F896" s="5">
        <v>0.0</v>
      </c>
      <c r="G896" s="8">
        <v>2023.05</v>
      </c>
      <c r="H896" s="9" t="s">
        <v>51</v>
      </c>
      <c r="I896" s="9" t="s">
        <v>52</v>
      </c>
      <c r="J896" s="9" t="s">
        <v>995</v>
      </c>
      <c r="K896" s="4" t="s">
        <v>9</v>
      </c>
      <c r="L896" s="10">
        <v>15.0</v>
      </c>
      <c r="M896" s="54"/>
      <c r="N896" s="12">
        <v>0.0</v>
      </c>
      <c r="O896" s="12">
        <v>1261.620000005</v>
      </c>
      <c r="P896" s="13"/>
      <c r="Q896" s="12">
        <v>995.0</v>
      </c>
      <c r="R896" s="14"/>
      <c r="S896" s="15">
        <v>45078.0</v>
      </c>
      <c r="T896" s="4" t="b">
        <v>0</v>
      </c>
    </row>
    <row r="897" hidden="1">
      <c r="A897" s="16" t="s">
        <v>587</v>
      </c>
      <c r="B897" s="17">
        <f>995*1.2845</f>
        <v>1278.0775</v>
      </c>
      <c r="C897" s="16" t="s">
        <v>18</v>
      </c>
      <c r="D897" s="18" t="s">
        <v>996</v>
      </c>
      <c r="E897" s="19">
        <v>45077.0</v>
      </c>
      <c r="F897" s="17">
        <v>0.0</v>
      </c>
      <c r="G897" s="20">
        <v>2023.05</v>
      </c>
      <c r="H897" s="21" t="s">
        <v>51</v>
      </c>
      <c r="I897" s="21" t="s">
        <v>52</v>
      </c>
      <c r="J897" s="21" t="s">
        <v>997</v>
      </c>
      <c r="K897" s="16" t="s">
        <v>9</v>
      </c>
      <c r="L897" s="22">
        <v>15.0</v>
      </c>
      <c r="M897" s="55">
        <v>0.0</v>
      </c>
      <c r="N897" s="23">
        <v>0.0</v>
      </c>
      <c r="O897" s="23">
        <v>1278.0774999999999</v>
      </c>
      <c r="P897" s="24"/>
      <c r="Q897" s="23">
        <v>995.0</v>
      </c>
      <c r="R897" s="25"/>
      <c r="S897" s="26">
        <v>45078.0</v>
      </c>
      <c r="T897" s="16" t="b">
        <v>0</v>
      </c>
    </row>
    <row r="898" hidden="1">
      <c r="A898" s="4" t="s">
        <v>734</v>
      </c>
      <c r="B898" s="5">
        <f>300*1.26338997</f>
        <v>379.016991</v>
      </c>
      <c r="C898" s="4" t="s">
        <v>18</v>
      </c>
      <c r="D898" s="6" t="s">
        <v>992</v>
      </c>
      <c r="E898" s="7">
        <v>45077.0</v>
      </c>
      <c r="F898" s="5">
        <v>0.0</v>
      </c>
      <c r="G898" s="8">
        <v>2023.0</v>
      </c>
      <c r="H898" s="9" t="s">
        <v>693</v>
      </c>
      <c r="I898" s="9" t="s">
        <v>252</v>
      </c>
      <c r="J898" s="9" t="s">
        <v>998</v>
      </c>
      <c r="K898" s="4" t="s">
        <v>9</v>
      </c>
      <c r="L898" s="10">
        <v>15.0</v>
      </c>
      <c r="M898" s="54">
        <v>0.0</v>
      </c>
      <c r="N898" s="12">
        <v>0.0</v>
      </c>
      <c r="O898" s="12">
        <v>379.016991</v>
      </c>
      <c r="P898" s="13"/>
      <c r="Q898" s="12">
        <v>175.0</v>
      </c>
      <c r="R898" s="14"/>
      <c r="S898" s="15">
        <v>45078.0</v>
      </c>
      <c r="T898" s="4" t="b">
        <v>0</v>
      </c>
    </row>
    <row r="899" hidden="1">
      <c r="A899" s="16" t="s">
        <v>788</v>
      </c>
      <c r="B899" s="17">
        <v>2000.0</v>
      </c>
      <c r="C899" s="16" t="s">
        <v>18</v>
      </c>
      <c r="D899" s="18">
        <v>5555.0</v>
      </c>
      <c r="E899" s="19">
        <v>45092.0</v>
      </c>
      <c r="F899" s="17">
        <v>0.0</v>
      </c>
      <c r="G899" s="20">
        <v>2023.06</v>
      </c>
      <c r="H899" s="21" t="s">
        <v>27</v>
      </c>
      <c r="I899" s="21" t="s">
        <v>52</v>
      </c>
      <c r="J899" s="21" t="s">
        <v>789</v>
      </c>
      <c r="K899" s="16" t="s">
        <v>21</v>
      </c>
      <c r="L899" s="22">
        <v>15.0</v>
      </c>
      <c r="M899" s="55">
        <v>0.0</v>
      </c>
      <c r="N899" s="23">
        <v>0.0</v>
      </c>
      <c r="O899" s="23">
        <v>2000.0</v>
      </c>
      <c r="P899" s="24"/>
      <c r="Q899" s="23">
        <v>2000.0</v>
      </c>
      <c r="R899" s="25"/>
      <c r="S899" s="26">
        <v>45078.0</v>
      </c>
      <c r="T899" s="16" t="b">
        <v>0</v>
      </c>
    </row>
    <row r="900" hidden="1">
      <c r="A900" s="4" t="s">
        <v>549</v>
      </c>
      <c r="B900" s="5">
        <f>950*1.315999</f>
        <v>1250.19905</v>
      </c>
      <c r="C900" s="4" t="s">
        <v>18</v>
      </c>
      <c r="D900" s="6" t="s">
        <v>999</v>
      </c>
      <c r="E900" s="7">
        <v>45077.0</v>
      </c>
      <c r="F900" s="34">
        <f>35.45*1.315999</f>
        <v>46.65216455</v>
      </c>
      <c r="G900" s="8">
        <v>2023.05</v>
      </c>
      <c r="H900" s="9" t="s">
        <v>51</v>
      </c>
      <c r="I900" s="9" t="s">
        <v>52</v>
      </c>
      <c r="J900" s="9" t="s">
        <v>1000</v>
      </c>
      <c r="K900" s="4" t="s">
        <v>9</v>
      </c>
      <c r="L900" s="10">
        <v>0.0</v>
      </c>
      <c r="M900" s="54">
        <v>0.0</v>
      </c>
      <c r="N900" s="12">
        <v>0.0</v>
      </c>
      <c r="O900" s="12">
        <v>1203.54688545</v>
      </c>
      <c r="P900" s="13"/>
      <c r="Q900" s="12">
        <v>600.0</v>
      </c>
      <c r="R900" s="14"/>
      <c r="S900" s="15">
        <v>45078.0</v>
      </c>
      <c r="T900" s="4" t="b">
        <v>0</v>
      </c>
    </row>
    <row r="901" hidden="1">
      <c r="A901" s="16" t="s">
        <v>1001</v>
      </c>
      <c r="B901" s="17">
        <f>490*1.274677</f>
        <v>624.59173</v>
      </c>
      <c r="C901" s="16" t="s">
        <v>18</v>
      </c>
      <c r="D901" s="18" t="s">
        <v>1002</v>
      </c>
      <c r="E901" s="19">
        <v>45077.0</v>
      </c>
      <c r="F901" s="35">
        <f>18.43*1.274677</f>
        <v>23.49229711</v>
      </c>
      <c r="G901" s="20">
        <v>2023.05</v>
      </c>
      <c r="H901" s="21" t="s">
        <v>27</v>
      </c>
      <c r="I901" s="21" t="s">
        <v>52</v>
      </c>
      <c r="J901" s="21" t="s">
        <v>1003</v>
      </c>
      <c r="K901" s="16" t="s">
        <v>9</v>
      </c>
      <c r="L901" s="22">
        <v>30.0</v>
      </c>
      <c r="M901" s="55">
        <v>0.0</v>
      </c>
      <c r="N901" s="23">
        <v>0.0</v>
      </c>
      <c r="O901" s="23">
        <v>601.09943289</v>
      </c>
      <c r="P901" s="24"/>
      <c r="Q901" s="23">
        <v>490.0</v>
      </c>
      <c r="R901" s="25"/>
      <c r="S901" s="26">
        <v>45078.0</v>
      </c>
      <c r="T901" s="16" t="b">
        <v>0</v>
      </c>
    </row>
    <row r="902" hidden="1">
      <c r="A902" s="4" t="s">
        <v>120</v>
      </c>
      <c r="B902" s="5">
        <f>1800*1.280788</f>
        <v>2305.4184</v>
      </c>
      <c r="C902" s="4" t="s">
        <v>18</v>
      </c>
      <c r="D902" s="6" t="s">
        <v>1004</v>
      </c>
      <c r="E902" s="7">
        <v>45077.0</v>
      </c>
      <c r="F902" s="34">
        <f>66.9*1.280788</f>
        <v>85.6847172</v>
      </c>
      <c r="G902" s="8">
        <v>2023.05</v>
      </c>
      <c r="H902" s="9" t="s">
        <v>51</v>
      </c>
      <c r="I902" s="9" t="s">
        <v>52</v>
      </c>
      <c r="J902" s="9" t="s">
        <v>1005</v>
      </c>
      <c r="K902" s="4" t="s">
        <v>9</v>
      </c>
      <c r="L902" s="10">
        <v>30.0</v>
      </c>
      <c r="M902" s="54">
        <v>0.2</v>
      </c>
      <c r="N902" s="12">
        <v>443.9467365600001</v>
      </c>
      <c r="O902" s="12">
        <v>1775.7869462400001</v>
      </c>
      <c r="P902" s="13"/>
      <c r="Q902" s="12">
        <v>1000.0</v>
      </c>
      <c r="R902" s="14"/>
      <c r="S902" s="15">
        <v>45078.0</v>
      </c>
      <c r="T902" s="4" t="b">
        <v>0</v>
      </c>
    </row>
    <row r="903">
      <c r="A903" s="16" t="s">
        <v>1006</v>
      </c>
      <c r="B903" s="17">
        <v>1000.0</v>
      </c>
      <c r="C903" s="16" t="s">
        <v>18</v>
      </c>
      <c r="D903" s="18">
        <v>5569.0</v>
      </c>
      <c r="E903" s="19">
        <v>45107.0</v>
      </c>
      <c r="F903" s="17">
        <v>0.0</v>
      </c>
      <c r="G903" s="20">
        <v>2023.0</v>
      </c>
      <c r="H903" s="21" t="s">
        <v>766</v>
      </c>
      <c r="I903" s="21" t="s">
        <v>252</v>
      </c>
      <c r="J903" s="21" t="s">
        <v>1007</v>
      </c>
      <c r="K903" s="16" t="s">
        <v>21</v>
      </c>
      <c r="L903" s="22">
        <v>30.0</v>
      </c>
      <c r="M903" s="55">
        <v>0.0</v>
      </c>
      <c r="N903" s="23">
        <v>0.0</v>
      </c>
      <c r="O903" s="23">
        <v>1000.0</v>
      </c>
      <c r="P903" s="24"/>
      <c r="Q903" s="23">
        <v>1000.0</v>
      </c>
      <c r="R903" s="25"/>
      <c r="S903" s="26">
        <v>45108.0</v>
      </c>
      <c r="T903" s="16" t="b">
        <v>0</v>
      </c>
    </row>
    <row r="904" hidden="1">
      <c r="A904" s="4" t="s">
        <v>1008</v>
      </c>
      <c r="B904" s="5">
        <v>1200.0</v>
      </c>
      <c r="C904" s="4" t="s">
        <v>18</v>
      </c>
      <c r="D904" s="6">
        <v>5556.0</v>
      </c>
      <c r="E904" s="7">
        <v>45092.0</v>
      </c>
      <c r="F904" s="5">
        <v>37.33</v>
      </c>
      <c r="G904" s="8">
        <v>2023.0</v>
      </c>
      <c r="H904" s="9" t="s">
        <v>766</v>
      </c>
      <c r="I904" s="9" t="s">
        <v>252</v>
      </c>
      <c r="J904" s="9" t="s">
        <v>1009</v>
      </c>
      <c r="K904" s="4" t="s">
        <v>21</v>
      </c>
      <c r="L904" s="10"/>
      <c r="M904" s="54">
        <v>0.0</v>
      </c>
      <c r="N904" s="12">
        <v>0.0</v>
      </c>
      <c r="O904" s="12">
        <v>1162.67</v>
      </c>
      <c r="P904" s="13"/>
      <c r="Q904" s="12">
        <v>2400.0</v>
      </c>
      <c r="R904" s="14"/>
      <c r="S904" s="15">
        <v>45078.0</v>
      </c>
      <c r="T904" s="4" t="b">
        <v>0</v>
      </c>
    </row>
    <row r="905">
      <c r="A905" s="16" t="s">
        <v>1008</v>
      </c>
      <c r="B905" s="17">
        <v>1200.0</v>
      </c>
      <c r="C905" s="16" t="s">
        <v>18</v>
      </c>
      <c r="D905" s="18">
        <v>5606.0</v>
      </c>
      <c r="E905" s="19">
        <v>45138.0</v>
      </c>
      <c r="F905" s="17">
        <v>37.33</v>
      </c>
      <c r="G905" s="20">
        <v>2023.0</v>
      </c>
      <c r="H905" s="21" t="s">
        <v>766</v>
      </c>
      <c r="I905" s="21" t="s">
        <v>252</v>
      </c>
      <c r="J905" s="21" t="s">
        <v>1010</v>
      </c>
      <c r="K905" s="16" t="s">
        <v>21</v>
      </c>
      <c r="L905" s="22"/>
      <c r="M905" s="55">
        <v>0.0</v>
      </c>
      <c r="N905" s="23">
        <v>0.0</v>
      </c>
      <c r="O905" s="23">
        <v>1162.67</v>
      </c>
      <c r="P905" s="24"/>
      <c r="Q905" s="23">
        <v>2400.0</v>
      </c>
      <c r="R905" s="25"/>
      <c r="S905" s="26">
        <v>45108.0</v>
      </c>
      <c r="T905" s="16" t="b">
        <v>0</v>
      </c>
    </row>
    <row r="906">
      <c r="A906" s="4" t="s">
        <v>1011</v>
      </c>
      <c r="B906" s="5">
        <v>2200.0</v>
      </c>
      <c r="C906" s="4" t="s">
        <v>975</v>
      </c>
      <c r="D906" s="6" t="s">
        <v>1012</v>
      </c>
      <c r="E906" s="7">
        <v>45138.0</v>
      </c>
      <c r="F906" s="34"/>
      <c r="G906" s="8">
        <v>2023.0</v>
      </c>
      <c r="H906" s="9" t="s">
        <v>766</v>
      </c>
      <c r="I906" s="9" t="s">
        <v>252</v>
      </c>
      <c r="J906" s="9" t="s">
        <v>1013</v>
      </c>
      <c r="K906" s="4" t="s">
        <v>9</v>
      </c>
      <c r="L906" s="10">
        <v>15.0</v>
      </c>
      <c r="M906" s="54">
        <v>0.0</v>
      </c>
      <c r="N906" s="12">
        <v>0.0</v>
      </c>
      <c r="O906" s="12">
        <v>2200.0</v>
      </c>
      <c r="P906" s="13"/>
      <c r="Q906" s="12">
        <v>2200.0</v>
      </c>
      <c r="R906" s="14"/>
      <c r="S906" s="15"/>
      <c r="T906" s="4" t="b">
        <v>0</v>
      </c>
    </row>
    <row r="907">
      <c r="A907" s="16" t="s">
        <v>1014</v>
      </c>
      <c r="B907" s="17">
        <v>1200.0</v>
      </c>
      <c r="C907" s="16" t="s">
        <v>18</v>
      </c>
      <c r="D907" s="18">
        <v>5570.0</v>
      </c>
      <c r="E907" s="19">
        <v>45107.0</v>
      </c>
      <c r="F907" s="17">
        <v>37.33</v>
      </c>
      <c r="G907" s="20">
        <v>2023.0</v>
      </c>
      <c r="H907" s="21" t="s">
        <v>766</v>
      </c>
      <c r="I907" s="21" t="s">
        <v>472</v>
      </c>
      <c r="J907" s="21" t="s">
        <v>1015</v>
      </c>
      <c r="K907" s="16" t="s">
        <v>21</v>
      </c>
      <c r="L907" s="22">
        <v>30.0</v>
      </c>
      <c r="M907" s="55">
        <v>0.0</v>
      </c>
      <c r="N907" s="23">
        <v>0.0</v>
      </c>
      <c r="O907" s="23">
        <v>1162.67</v>
      </c>
      <c r="P907" s="24"/>
      <c r="Q907" s="23">
        <v>2400.0</v>
      </c>
      <c r="R907" s="25"/>
      <c r="S907" s="26">
        <v>45108.0</v>
      </c>
      <c r="T907" s="16" t="b">
        <v>0</v>
      </c>
    </row>
    <row r="908">
      <c r="A908" s="4" t="s">
        <v>1014</v>
      </c>
      <c r="B908" s="5">
        <v>1200.0</v>
      </c>
      <c r="C908" s="4" t="s">
        <v>18</v>
      </c>
      <c r="D908" s="6">
        <v>5582.0</v>
      </c>
      <c r="E908" s="7">
        <v>45122.0</v>
      </c>
      <c r="F908" s="5">
        <v>37.33</v>
      </c>
      <c r="G908" s="8">
        <v>2023.0</v>
      </c>
      <c r="H908" s="9" t="s">
        <v>766</v>
      </c>
      <c r="I908" s="9" t="s">
        <v>1016</v>
      </c>
      <c r="J908" s="9" t="s">
        <v>1017</v>
      </c>
      <c r="K908" s="4" t="s">
        <v>21</v>
      </c>
      <c r="L908" s="10">
        <v>30.0</v>
      </c>
      <c r="M908" s="54">
        <v>0.0</v>
      </c>
      <c r="N908" s="12">
        <v>0.0</v>
      </c>
      <c r="O908" s="12">
        <v>1162.67</v>
      </c>
      <c r="P908" s="13"/>
      <c r="Q908" s="12">
        <v>2400.0</v>
      </c>
      <c r="R908" s="14"/>
      <c r="S908" s="15">
        <v>45108.0</v>
      </c>
      <c r="T908" s="4" t="b">
        <v>0</v>
      </c>
    </row>
    <row r="909" hidden="1">
      <c r="A909" s="16" t="s">
        <v>1018</v>
      </c>
      <c r="B909" s="17">
        <f>850*1.303098</f>
        <v>1107.6333</v>
      </c>
      <c r="C909" s="16" t="s">
        <v>18</v>
      </c>
      <c r="D909" s="18" t="s">
        <v>1019</v>
      </c>
      <c r="E909" s="19">
        <v>45077.0</v>
      </c>
      <c r="F909" s="35">
        <f>31.75*1.303098</f>
        <v>41.3733615</v>
      </c>
      <c r="G909" s="20">
        <v>2023.0</v>
      </c>
      <c r="H909" s="21" t="s">
        <v>766</v>
      </c>
      <c r="I909" s="21" t="s">
        <v>472</v>
      </c>
      <c r="J909" s="21" t="s">
        <v>1020</v>
      </c>
      <c r="K909" s="16" t="s">
        <v>9</v>
      </c>
      <c r="L909" s="22"/>
      <c r="M909" s="55">
        <v>0.2</v>
      </c>
      <c r="N909" s="23">
        <v>213.25198769999997</v>
      </c>
      <c r="O909" s="23">
        <v>853.0079507999999</v>
      </c>
      <c r="P909" s="24"/>
      <c r="Q909" s="23">
        <v>1700.0</v>
      </c>
      <c r="R909" s="25"/>
      <c r="S909" s="26">
        <v>45078.0</v>
      </c>
      <c r="T909" s="16" t="b">
        <v>0</v>
      </c>
    </row>
    <row r="910" hidden="1">
      <c r="A910" s="4" t="s">
        <v>1018</v>
      </c>
      <c r="B910" s="5">
        <f>850*1.277005</f>
        <v>1085.45425</v>
      </c>
      <c r="C910" s="4" t="s">
        <v>18</v>
      </c>
      <c r="D910" s="6" t="s">
        <v>1021</v>
      </c>
      <c r="E910" s="7">
        <v>45107.0</v>
      </c>
      <c r="F910" s="34">
        <f>31.75*1.277005</f>
        <v>40.54490875</v>
      </c>
      <c r="G910" s="8">
        <v>2023.0</v>
      </c>
      <c r="H910" s="9" t="s">
        <v>766</v>
      </c>
      <c r="I910" s="9" t="s">
        <v>824</v>
      </c>
      <c r="J910" s="9" t="s">
        <v>1022</v>
      </c>
      <c r="K910" s="4" t="s">
        <v>9</v>
      </c>
      <c r="L910" s="10"/>
      <c r="M910" s="54">
        <v>0.2</v>
      </c>
      <c r="N910" s="12">
        <v>208.98186825</v>
      </c>
      <c r="O910" s="12">
        <v>835.927473</v>
      </c>
      <c r="P910" s="13"/>
      <c r="Q910" s="12">
        <v>1700.0</v>
      </c>
      <c r="R910" s="14"/>
      <c r="S910" s="15">
        <v>45078.0</v>
      </c>
      <c r="T910" s="4" t="b">
        <v>0</v>
      </c>
    </row>
    <row r="911" hidden="1">
      <c r="A911" s="16" t="s">
        <v>223</v>
      </c>
      <c r="B911" s="17">
        <v>800.0</v>
      </c>
      <c r="C911" s="16" t="s">
        <v>18</v>
      </c>
      <c r="D911" s="18">
        <v>5545.0</v>
      </c>
      <c r="E911" s="19">
        <v>45077.0</v>
      </c>
      <c r="F911" s="17">
        <v>24.89</v>
      </c>
      <c r="G911" s="20">
        <v>2023.05</v>
      </c>
      <c r="H911" s="21" t="s">
        <v>51</v>
      </c>
      <c r="I911" s="21" t="s">
        <v>52</v>
      </c>
      <c r="J911" s="21" t="s">
        <v>247</v>
      </c>
      <c r="K911" s="16" t="s">
        <v>21</v>
      </c>
      <c r="L911" s="22">
        <v>30.0</v>
      </c>
      <c r="M911" s="55">
        <v>0.0</v>
      </c>
      <c r="N911" s="23">
        <v>0.0</v>
      </c>
      <c r="O911" s="23">
        <v>775.11</v>
      </c>
      <c r="P911" s="24"/>
      <c r="Q911" s="23">
        <v>800.0</v>
      </c>
      <c r="R911" s="25"/>
      <c r="S911" s="26">
        <v>45078.0</v>
      </c>
      <c r="T911" s="16" t="b">
        <v>0</v>
      </c>
    </row>
    <row r="912" hidden="1">
      <c r="A912" s="4" t="s">
        <v>54</v>
      </c>
      <c r="B912" s="5">
        <v>750.0</v>
      </c>
      <c r="C912" s="4" t="s">
        <v>18</v>
      </c>
      <c r="D912" s="6">
        <v>5536.0</v>
      </c>
      <c r="E912" s="7">
        <v>45077.0</v>
      </c>
      <c r="F912" s="5">
        <v>23.33</v>
      </c>
      <c r="G912" s="8">
        <v>2023.05</v>
      </c>
      <c r="H912" s="9" t="s">
        <v>51</v>
      </c>
      <c r="I912" s="9" t="s">
        <v>52</v>
      </c>
      <c r="J912" s="9" t="s">
        <v>55</v>
      </c>
      <c r="K912" s="4" t="s">
        <v>21</v>
      </c>
      <c r="L912" s="10">
        <v>30.0</v>
      </c>
      <c r="M912" s="54">
        <v>0.0</v>
      </c>
      <c r="N912" s="12">
        <v>0.0</v>
      </c>
      <c r="O912" s="12">
        <v>726.67</v>
      </c>
      <c r="P912" s="13"/>
      <c r="Q912" s="12">
        <v>750.0</v>
      </c>
      <c r="R912" s="14"/>
      <c r="S912" s="15">
        <v>45078.0</v>
      </c>
      <c r="T912" s="4" t="b">
        <v>0</v>
      </c>
    </row>
    <row r="913" hidden="1">
      <c r="A913" s="16" t="s">
        <v>42</v>
      </c>
      <c r="B913" s="17">
        <v>1500.0</v>
      </c>
      <c r="C913" s="16" t="s">
        <v>18</v>
      </c>
      <c r="D913" s="18">
        <v>5546.0</v>
      </c>
      <c r="E913" s="19">
        <v>45077.0</v>
      </c>
      <c r="F913" s="17">
        <v>46.67</v>
      </c>
      <c r="G913" s="20">
        <v>2023.05</v>
      </c>
      <c r="H913" s="21" t="s">
        <v>51</v>
      </c>
      <c r="I913" s="21" t="s">
        <v>52</v>
      </c>
      <c r="J913" s="21" t="s">
        <v>43</v>
      </c>
      <c r="K913" s="16" t="s">
        <v>21</v>
      </c>
      <c r="L913" s="22">
        <v>30.0</v>
      </c>
      <c r="M913" s="55">
        <v>0.15</v>
      </c>
      <c r="N913" s="23">
        <v>217.99949999999998</v>
      </c>
      <c r="O913" s="23">
        <v>1235.3305</v>
      </c>
      <c r="P913" s="24"/>
      <c r="Q913" s="23">
        <v>1500.0</v>
      </c>
      <c r="R913" s="25"/>
      <c r="S913" s="26">
        <v>45078.0</v>
      </c>
      <c r="T913" s="16" t="b">
        <v>0</v>
      </c>
    </row>
    <row r="914">
      <c r="A914" s="4" t="s">
        <v>82</v>
      </c>
      <c r="B914" s="5">
        <v>860.0</v>
      </c>
      <c r="C914" s="4" t="s">
        <v>18</v>
      </c>
      <c r="D914" s="6">
        <v>5547.0</v>
      </c>
      <c r="E914" s="7">
        <v>45077.0</v>
      </c>
      <c r="F914" s="5">
        <v>0.0</v>
      </c>
      <c r="G914" s="8">
        <v>2023.05</v>
      </c>
      <c r="H914" s="9" t="s">
        <v>51</v>
      </c>
      <c r="I914" s="9" t="s">
        <v>52</v>
      </c>
      <c r="J914" s="9" t="s">
        <v>1023</v>
      </c>
      <c r="K914" s="4" t="s">
        <v>21</v>
      </c>
      <c r="L914" s="10">
        <v>30.0</v>
      </c>
      <c r="M914" s="54">
        <v>0.0</v>
      </c>
      <c r="N914" s="12">
        <v>0.0</v>
      </c>
      <c r="O914" s="12">
        <v>860.0</v>
      </c>
      <c r="P914" s="13"/>
      <c r="Q914" s="12">
        <v>860.0</v>
      </c>
      <c r="R914" s="14"/>
      <c r="S914" s="15">
        <v>45108.0</v>
      </c>
      <c r="T914" s="4" t="b">
        <v>0</v>
      </c>
    </row>
    <row r="915" hidden="1">
      <c r="A915" s="16" t="s">
        <v>88</v>
      </c>
      <c r="B915" s="17">
        <v>500.0</v>
      </c>
      <c r="C915" s="16" t="s">
        <v>18</v>
      </c>
      <c r="D915" s="18">
        <v>5537.0</v>
      </c>
      <c r="E915" s="19">
        <v>45077.0</v>
      </c>
      <c r="F915" s="17">
        <v>15.56</v>
      </c>
      <c r="G915" s="20">
        <v>2023.05</v>
      </c>
      <c r="H915" s="21" t="s">
        <v>51</v>
      </c>
      <c r="I915" s="21" t="s">
        <v>52</v>
      </c>
      <c r="J915" s="21" t="s">
        <v>89</v>
      </c>
      <c r="K915" s="16" t="s">
        <v>21</v>
      </c>
      <c r="L915" s="22">
        <v>30.0</v>
      </c>
      <c r="M915" s="55">
        <v>0.0</v>
      </c>
      <c r="N915" s="23">
        <v>0.0</v>
      </c>
      <c r="O915" s="23">
        <v>484.44</v>
      </c>
      <c r="P915" s="24"/>
      <c r="Q915" s="23">
        <v>500.0</v>
      </c>
      <c r="R915" s="25"/>
      <c r="S915" s="26">
        <v>45078.0</v>
      </c>
      <c r="T915" s="16" t="b">
        <v>0</v>
      </c>
    </row>
    <row r="916" hidden="1">
      <c r="A916" s="4" t="s">
        <v>97</v>
      </c>
      <c r="B916" s="5">
        <v>330.0</v>
      </c>
      <c r="C916" s="4" t="s">
        <v>18</v>
      </c>
      <c r="D916" s="6">
        <v>5548.0</v>
      </c>
      <c r="E916" s="7">
        <v>45077.0</v>
      </c>
      <c r="F916" s="5">
        <v>10.27</v>
      </c>
      <c r="G916" s="8">
        <v>2023.05</v>
      </c>
      <c r="H916" s="9" t="s">
        <v>51</v>
      </c>
      <c r="I916" s="9" t="s">
        <v>52</v>
      </c>
      <c r="J916" s="9" t="s">
        <v>98</v>
      </c>
      <c r="K916" s="4" t="s">
        <v>21</v>
      </c>
      <c r="L916" s="10">
        <v>30.0</v>
      </c>
      <c r="M916" s="54">
        <v>0.0</v>
      </c>
      <c r="N916" s="12">
        <v>0.0</v>
      </c>
      <c r="O916" s="12">
        <v>319.73</v>
      </c>
      <c r="P916" s="13"/>
      <c r="Q916" s="12">
        <v>330.0</v>
      </c>
      <c r="R916" s="14"/>
      <c r="S916" s="15">
        <v>45078.0</v>
      </c>
      <c r="T916" s="4" t="b">
        <v>0</v>
      </c>
    </row>
    <row r="917" hidden="1">
      <c r="A917" s="16" t="s">
        <v>92</v>
      </c>
      <c r="B917" s="17">
        <v>2500.0</v>
      </c>
      <c r="C917" s="16" t="s">
        <v>18</v>
      </c>
      <c r="D917" s="18">
        <v>5549.0</v>
      </c>
      <c r="E917" s="19">
        <v>45077.0</v>
      </c>
      <c r="F917" s="17">
        <v>77.78</v>
      </c>
      <c r="G917" s="20">
        <v>2023.05</v>
      </c>
      <c r="H917" s="21" t="s">
        <v>51</v>
      </c>
      <c r="I917" s="21" t="s">
        <v>52</v>
      </c>
      <c r="J917" s="21" t="s">
        <v>93</v>
      </c>
      <c r="K917" s="16" t="s">
        <v>21</v>
      </c>
      <c r="L917" s="22">
        <v>30.0</v>
      </c>
      <c r="M917" s="55">
        <v>0.0</v>
      </c>
      <c r="N917" s="23">
        <v>0.0</v>
      </c>
      <c r="O917" s="23">
        <v>2422.22</v>
      </c>
      <c r="P917" s="24"/>
      <c r="Q917" s="23">
        <v>2500.0</v>
      </c>
      <c r="R917" s="25"/>
      <c r="S917" s="26">
        <v>45078.0</v>
      </c>
      <c r="T917" s="16" t="b">
        <v>0</v>
      </c>
    </row>
    <row r="918" hidden="1">
      <c r="A918" s="4" t="s">
        <v>123</v>
      </c>
      <c r="B918" s="5">
        <f>3000*1.286899</f>
        <v>3860.697</v>
      </c>
      <c r="C918" s="4" t="s">
        <v>18</v>
      </c>
      <c r="D918" s="6" t="s">
        <v>1024</v>
      </c>
      <c r="E918" s="7">
        <v>45077.0</v>
      </c>
      <c r="F918" s="34">
        <f>111.3*1.286899</f>
        <v>143.2318587</v>
      </c>
      <c r="G918" s="8">
        <v>2023.05</v>
      </c>
      <c r="H918" s="9" t="s">
        <v>51</v>
      </c>
      <c r="I918" s="9" t="s">
        <v>52</v>
      </c>
      <c r="J918" s="9" t="s">
        <v>1025</v>
      </c>
      <c r="K918" s="4" t="s">
        <v>9</v>
      </c>
      <c r="L918" s="10">
        <v>30.0</v>
      </c>
      <c r="M918" s="54">
        <v>0.2</v>
      </c>
      <c r="N918" s="12">
        <v>743.4930282600001</v>
      </c>
      <c r="O918" s="12">
        <v>2973.9721130400003</v>
      </c>
      <c r="P918" s="13"/>
      <c r="Q918" s="12">
        <v>3000.0</v>
      </c>
      <c r="R918" s="14"/>
      <c r="S918" s="15">
        <v>45078.0</v>
      </c>
      <c r="T918" s="4" t="b">
        <v>0</v>
      </c>
    </row>
    <row r="919" hidden="1">
      <c r="A919" s="16" t="s">
        <v>73</v>
      </c>
      <c r="B919" s="17">
        <v>770.0</v>
      </c>
      <c r="C919" s="16" t="s">
        <v>18</v>
      </c>
      <c r="D919" s="18">
        <v>5550.0</v>
      </c>
      <c r="E919" s="19">
        <v>45077.0</v>
      </c>
      <c r="F919" s="17">
        <v>0.0</v>
      </c>
      <c r="G919" s="20">
        <v>2023.05</v>
      </c>
      <c r="H919" s="21" t="s">
        <v>51</v>
      </c>
      <c r="I919" s="21" t="s">
        <v>52</v>
      </c>
      <c r="J919" s="21" t="s">
        <v>74</v>
      </c>
      <c r="K919" s="16" t="s">
        <v>21</v>
      </c>
      <c r="L919" s="22">
        <v>30.0</v>
      </c>
      <c r="M919" s="55">
        <v>0.0</v>
      </c>
      <c r="N919" s="23">
        <v>0.0</v>
      </c>
      <c r="O919" s="23">
        <v>770.0</v>
      </c>
      <c r="P919" s="24"/>
      <c r="Q919" s="23">
        <v>770.0</v>
      </c>
      <c r="R919" s="25"/>
      <c r="S919" s="26">
        <v>45078.0</v>
      </c>
      <c r="T919" s="16" t="b">
        <v>0</v>
      </c>
    </row>
    <row r="920" hidden="1">
      <c r="A920" s="4" t="s">
        <v>499</v>
      </c>
      <c r="B920" s="5">
        <v>1650.0</v>
      </c>
      <c r="C920" s="4" t="s">
        <v>18</v>
      </c>
      <c r="D920" s="6">
        <v>5551.0</v>
      </c>
      <c r="E920" s="7">
        <v>45077.0</v>
      </c>
      <c r="F920" s="5">
        <v>55.23</v>
      </c>
      <c r="G920" s="8">
        <v>2023.05</v>
      </c>
      <c r="H920" s="9" t="s">
        <v>51</v>
      </c>
      <c r="I920" s="9" t="s">
        <v>52</v>
      </c>
      <c r="J920" s="9" t="s">
        <v>500</v>
      </c>
      <c r="K920" s="4" t="s">
        <v>21</v>
      </c>
      <c r="L920" s="10">
        <v>30.0</v>
      </c>
      <c r="M920" s="54">
        <v>0.0</v>
      </c>
      <c r="N920" s="12">
        <v>0.0</v>
      </c>
      <c r="O920" s="12">
        <v>1594.77</v>
      </c>
      <c r="P920" s="13"/>
      <c r="Q920" s="12">
        <v>1650.0</v>
      </c>
      <c r="R920" s="14"/>
      <c r="S920" s="15">
        <v>45078.0</v>
      </c>
      <c r="T920" s="4" t="b">
        <v>0</v>
      </c>
    </row>
    <row r="921" hidden="1">
      <c r="A921" s="16" t="s">
        <v>695</v>
      </c>
      <c r="B921" s="17">
        <v>600.0</v>
      </c>
      <c r="C921" s="16" t="s">
        <v>18</v>
      </c>
      <c r="D921" s="18">
        <v>5552.0</v>
      </c>
      <c r="E921" s="19">
        <v>45077.0</v>
      </c>
      <c r="F921" s="17">
        <v>18.67</v>
      </c>
      <c r="G921" s="20">
        <v>2023.05</v>
      </c>
      <c r="H921" s="21" t="s">
        <v>51</v>
      </c>
      <c r="I921" s="21" t="s">
        <v>52</v>
      </c>
      <c r="J921" s="21" t="s">
        <v>696</v>
      </c>
      <c r="K921" s="16" t="s">
        <v>21</v>
      </c>
      <c r="L921" s="22">
        <v>30.0</v>
      </c>
      <c r="M921" s="55">
        <v>0.0</v>
      </c>
      <c r="N921" s="23">
        <v>0.0</v>
      </c>
      <c r="O921" s="23">
        <v>581.33</v>
      </c>
      <c r="P921" s="24"/>
      <c r="Q921" s="23">
        <v>600.0</v>
      </c>
      <c r="R921" s="25"/>
      <c r="S921" s="26">
        <v>45078.0</v>
      </c>
      <c r="T921" s="16" t="b">
        <v>0</v>
      </c>
    </row>
    <row r="922" hidden="1">
      <c r="A922" s="4" t="s">
        <v>810</v>
      </c>
      <c r="B922" s="5">
        <f>880*1.274677</f>
        <v>1121.71576</v>
      </c>
      <c r="C922" s="4" t="s">
        <v>18</v>
      </c>
      <c r="D922" s="6" t="s">
        <v>1026</v>
      </c>
      <c r="E922" s="7">
        <v>45077.0</v>
      </c>
      <c r="F922" s="34">
        <f>32.86*1.274677</f>
        <v>41.88588622</v>
      </c>
      <c r="G922" s="8">
        <v>2023.05</v>
      </c>
      <c r="H922" s="9" t="s">
        <v>51</v>
      </c>
      <c r="I922" s="9" t="s">
        <v>52</v>
      </c>
      <c r="J922" s="9" t="s">
        <v>854</v>
      </c>
      <c r="K922" s="4" t="s">
        <v>9</v>
      </c>
      <c r="L922" s="10">
        <v>0.0</v>
      </c>
      <c r="M922" s="54">
        <v>0.0</v>
      </c>
      <c r="N922" s="12">
        <v>0.0</v>
      </c>
      <c r="O922" s="12">
        <v>1079.82987378</v>
      </c>
      <c r="P922" s="13"/>
      <c r="Q922" s="12">
        <v>880.0</v>
      </c>
      <c r="R922" s="14"/>
      <c r="S922" s="15">
        <v>45078.0</v>
      </c>
      <c r="T922" s="4" t="b">
        <v>0</v>
      </c>
    </row>
    <row r="923" hidden="1">
      <c r="A923" s="16" t="s">
        <v>855</v>
      </c>
      <c r="B923" s="17">
        <v>250.0</v>
      </c>
      <c r="C923" s="16" t="s">
        <v>18</v>
      </c>
      <c r="D923" s="18">
        <v>5535.0</v>
      </c>
      <c r="E923" s="19">
        <v>45077.0</v>
      </c>
      <c r="F923" s="17">
        <v>7.78</v>
      </c>
      <c r="G923" s="20">
        <v>2023.05</v>
      </c>
      <c r="H923" s="21" t="s">
        <v>51</v>
      </c>
      <c r="I923" s="21" t="s">
        <v>52</v>
      </c>
      <c r="J923" s="21" t="s">
        <v>857</v>
      </c>
      <c r="K923" s="16" t="s">
        <v>21</v>
      </c>
      <c r="L923" s="22">
        <v>30.0</v>
      </c>
      <c r="M923" s="55">
        <v>0.0</v>
      </c>
      <c r="N923" s="23">
        <v>0.0</v>
      </c>
      <c r="O923" s="23">
        <v>242.22</v>
      </c>
      <c r="P923" s="24"/>
      <c r="Q923" s="23">
        <v>250.0</v>
      </c>
      <c r="R923" s="25"/>
      <c r="S923" s="26">
        <v>45078.0</v>
      </c>
      <c r="T923" s="16" t="b">
        <v>0</v>
      </c>
    </row>
    <row r="924" hidden="1">
      <c r="A924" s="4" t="s">
        <v>861</v>
      </c>
      <c r="B924" s="5">
        <f>2590*1.282049</f>
        <v>3320.50691</v>
      </c>
      <c r="C924" s="4" t="s">
        <v>18</v>
      </c>
      <c r="D924" s="6" t="s">
        <v>1027</v>
      </c>
      <c r="E924" s="7">
        <v>45077.0</v>
      </c>
      <c r="F924" s="34">
        <f>96.13*1.282049</f>
        <v>123.2433704</v>
      </c>
      <c r="G924" s="8">
        <v>2023.05</v>
      </c>
      <c r="H924" s="9" t="s">
        <v>51</v>
      </c>
      <c r="I924" s="9" t="s">
        <v>52</v>
      </c>
      <c r="J924" s="9" t="s">
        <v>962</v>
      </c>
      <c r="K924" s="4" t="s">
        <v>9</v>
      </c>
      <c r="L924" s="10">
        <v>15.0</v>
      </c>
      <c r="M924" s="54">
        <v>0.2</v>
      </c>
      <c r="N924" s="12">
        <v>639.4527079260001</v>
      </c>
      <c r="O924" s="12">
        <v>2557.810831704</v>
      </c>
      <c r="P924" s="13"/>
      <c r="Q924" s="12">
        <v>2590.0</v>
      </c>
      <c r="R924" s="14"/>
      <c r="S924" s="15">
        <v>45078.0</v>
      </c>
      <c r="T924" s="4" t="b">
        <v>0</v>
      </c>
    </row>
    <row r="925" hidden="1">
      <c r="A925" s="16" t="s">
        <v>963</v>
      </c>
      <c r="B925" s="17">
        <f>1110*1.282049</f>
        <v>1423.07439</v>
      </c>
      <c r="C925" s="16" t="s">
        <v>18</v>
      </c>
      <c r="D925" s="18" t="s">
        <v>1028</v>
      </c>
      <c r="E925" s="19">
        <v>45077.0</v>
      </c>
      <c r="F925" s="35">
        <f>41.37*1.282049</f>
        <v>53.03836713</v>
      </c>
      <c r="G925" s="20">
        <v>2023.05</v>
      </c>
      <c r="H925" s="21" t="s">
        <v>51</v>
      </c>
      <c r="I925" s="21" t="s">
        <v>52</v>
      </c>
      <c r="J925" s="21" t="s">
        <v>1029</v>
      </c>
      <c r="K925" s="16" t="s">
        <v>9</v>
      </c>
      <c r="L925" s="22">
        <v>15.0</v>
      </c>
      <c r="M925" s="55">
        <v>0.2</v>
      </c>
      <c r="N925" s="23">
        <v>274.007204574</v>
      </c>
      <c r="O925" s="23">
        <v>1096.0288182959998</v>
      </c>
      <c r="P925" s="24"/>
      <c r="Q925" s="23">
        <v>1110.0</v>
      </c>
      <c r="R925" s="25"/>
      <c r="S925" s="26">
        <v>45078.0</v>
      </c>
      <c r="T925" s="16" t="b">
        <v>0</v>
      </c>
    </row>
    <row r="926">
      <c r="A926" s="4" t="s">
        <v>890</v>
      </c>
      <c r="B926" s="5">
        <v>1700.0</v>
      </c>
      <c r="C926" s="4" t="s">
        <v>18</v>
      </c>
      <c r="D926" s="6">
        <v>5553.0</v>
      </c>
      <c r="E926" s="7">
        <v>45077.0</v>
      </c>
      <c r="F926" s="5">
        <v>52.89</v>
      </c>
      <c r="G926" s="8">
        <v>2023.05</v>
      </c>
      <c r="H926" s="9" t="s">
        <v>51</v>
      </c>
      <c r="I926" s="9" t="s">
        <v>52</v>
      </c>
      <c r="J926" s="9" t="s">
        <v>1030</v>
      </c>
      <c r="K926" s="4" t="s">
        <v>21</v>
      </c>
      <c r="L926" s="10">
        <v>15.0</v>
      </c>
      <c r="M926" s="54">
        <v>0.0</v>
      </c>
      <c r="N926" s="12">
        <v>0.0</v>
      </c>
      <c r="O926" s="12">
        <v>1647.11</v>
      </c>
      <c r="P926" s="13"/>
      <c r="Q926" s="12">
        <v>1700.0</v>
      </c>
      <c r="R926" s="14"/>
      <c r="S926" s="15">
        <v>45108.0</v>
      </c>
      <c r="T926" s="4" t="b">
        <v>0</v>
      </c>
    </row>
    <row r="927">
      <c r="A927" s="16" t="s">
        <v>1031</v>
      </c>
      <c r="B927" s="17">
        <f>490*2</f>
        <v>980</v>
      </c>
      <c r="C927" s="16" t="s">
        <v>18</v>
      </c>
      <c r="D927" s="18">
        <v>5557.0</v>
      </c>
      <c r="E927" s="19">
        <v>45092.0</v>
      </c>
      <c r="F927" s="17">
        <v>30.49</v>
      </c>
      <c r="G927" s="20">
        <v>2023.0</v>
      </c>
      <c r="H927" s="21" t="s">
        <v>766</v>
      </c>
      <c r="I927" s="21" t="s">
        <v>252</v>
      </c>
      <c r="J927" s="21" t="s">
        <v>1032</v>
      </c>
      <c r="K927" s="16" t="s">
        <v>21</v>
      </c>
      <c r="L927" s="22">
        <v>30.0</v>
      </c>
      <c r="M927" s="55">
        <v>0.0</v>
      </c>
      <c r="N927" s="23">
        <v>0.0</v>
      </c>
      <c r="O927" s="23">
        <v>949.51</v>
      </c>
      <c r="P927" s="24"/>
      <c r="Q927" s="23">
        <v>490.0</v>
      </c>
      <c r="R927" s="25"/>
      <c r="S927" s="26">
        <v>45108.0</v>
      </c>
      <c r="T927" s="16" t="b">
        <v>0</v>
      </c>
    </row>
    <row r="928">
      <c r="A928" s="4" t="s">
        <v>99</v>
      </c>
      <c r="B928" s="5">
        <f>1430*1.281079</f>
        <v>1831.94297</v>
      </c>
      <c r="C928" s="4" t="s">
        <v>18</v>
      </c>
      <c r="D928" s="6" t="s">
        <v>1033</v>
      </c>
      <c r="E928" s="7">
        <v>45092.0</v>
      </c>
      <c r="F928" s="34">
        <f>53.21*1.281079</f>
        <v>68.16621359</v>
      </c>
      <c r="G928" s="8">
        <v>2023.06</v>
      </c>
      <c r="H928" s="9" t="s">
        <v>27</v>
      </c>
      <c r="I928" s="9" t="s">
        <v>52</v>
      </c>
      <c r="J928" s="9" t="s">
        <v>101</v>
      </c>
      <c r="K928" s="4" t="s">
        <v>9</v>
      </c>
      <c r="L928" s="10">
        <v>30.0</v>
      </c>
      <c r="M928" s="54">
        <v>0.2</v>
      </c>
      <c r="N928" s="12">
        <v>352.755351282</v>
      </c>
      <c r="O928" s="12">
        <v>1411.021405128</v>
      </c>
      <c r="P928" s="13"/>
      <c r="Q928" s="12">
        <v>1430.0</v>
      </c>
      <c r="R928" s="14"/>
      <c r="S928" s="15">
        <v>45108.0</v>
      </c>
      <c r="T928" s="4" t="b">
        <v>0</v>
      </c>
    </row>
    <row r="929">
      <c r="A929" s="16" t="s">
        <v>225</v>
      </c>
      <c r="B929" s="17">
        <v>5000.0</v>
      </c>
      <c r="C929" s="16" t="s">
        <v>18</v>
      </c>
      <c r="D929" s="18">
        <v>5558.0</v>
      </c>
      <c r="E929" s="19">
        <v>45092.0</v>
      </c>
      <c r="F929" s="17">
        <v>0.0</v>
      </c>
      <c r="G929" s="20">
        <v>2023.06</v>
      </c>
      <c r="H929" s="21" t="s">
        <v>27</v>
      </c>
      <c r="I929" s="21" t="s">
        <v>52</v>
      </c>
      <c r="J929" s="21" t="s">
        <v>1034</v>
      </c>
      <c r="K929" s="16" t="s">
        <v>21</v>
      </c>
      <c r="L929" s="22">
        <v>30.0</v>
      </c>
      <c r="M929" s="55">
        <v>0.0</v>
      </c>
      <c r="N929" s="23">
        <v>0.0</v>
      </c>
      <c r="O929" s="23">
        <v>5000.0</v>
      </c>
      <c r="P929" s="24"/>
      <c r="Q929" s="23">
        <v>5000.0</v>
      </c>
      <c r="R929" s="25"/>
      <c r="S929" s="26">
        <v>45108.0</v>
      </c>
      <c r="T929" s="16" t="b">
        <v>0</v>
      </c>
    </row>
    <row r="930">
      <c r="A930" s="4" t="s">
        <v>102</v>
      </c>
      <c r="B930" s="5">
        <f>350*1.274677</f>
        <v>446.13695</v>
      </c>
      <c r="C930" s="4" t="s">
        <v>18</v>
      </c>
      <c r="D930" s="6" t="s">
        <v>1035</v>
      </c>
      <c r="E930" s="7">
        <v>45092.0</v>
      </c>
      <c r="F930" s="34">
        <f>13.25*1.274677</f>
        <v>16.88947025</v>
      </c>
      <c r="G930" s="8">
        <v>2023.06</v>
      </c>
      <c r="H930" s="9" t="s">
        <v>27</v>
      </c>
      <c r="I930" s="9" t="s">
        <v>52</v>
      </c>
      <c r="J930" s="9" t="s">
        <v>104</v>
      </c>
      <c r="K930" s="4" t="s">
        <v>9</v>
      </c>
      <c r="L930" s="10"/>
      <c r="M930" s="54"/>
      <c r="N930" s="12">
        <v>0.0</v>
      </c>
      <c r="O930" s="12">
        <v>429.24747975</v>
      </c>
      <c r="P930" s="13"/>
      <c r="Q930" s="12">
        <v>350.0</v>
      </c>
      <c r="R930" s="14"/>
      <c r="S930" s="15">
        <v>45108.0</v>
      </c>
      <c r="T930" s="4" t="b">
        <v>0</v>
      </c>
    </row>
    <row r="931">
      <c r="A931" s="16" t="s">
        <v>924</v>
      </c>
      <c r="B931" s="17">
        <f>60*1.281079</f>
        <v>76.86474</v>
      </c>
      <c r="C931" s="16" t="s">
        <v>18</v>
      </c>
      <c r="D931" s="18" t="s">
        <v>1036</v>
      </c>
      <c r="E931" s="19">
        <v>45092.0</v>
      </c>
      <c r="F931" s="35">
        <f>2.52*1.281079</f>
        <v>3.22831908</v>
      </c>
      <c r="G931" s="20">
        <v>2023.06</v>
      </c>
      <c r="H931" s="21" t="s">
        <v>27</v>
      </c>
      <c r="I931" s="21" t="s">
        <v>52</v>
      </c>
      <c r="J931" s="21" t="s">
        <v>926</v>
      </c>
      <c r="K931" s="16" t="s">
        <v>9</v>
      </c>
      <c r="L931" s="22">
        <v>30.0</v>
      </c>
      <c r="M931" s="55">
        <v>0.0</v>
      </c>
      <c r="N931" s="23">
        <v>0.0</v>
      </c>
      <c r="O931" s="23">
        <v>73.63642092</v>
      </c>
      <c r="P931" s="24"/>
      <c r="Q931" s="23">
        <v>60.0</v>
      </c>
      <c r="R931" s="25"/>
      <c r="S931" s="26">
        <v>45108.0</v>
      </c>
      <c r="T931" s="16" t="b">
        <v>0</v>
      </c>
    </row>
    <row r="932">
      <c r="A932" s="4" t="s">
        <v>62</v>
      </c>
      <c r="B932" s="5">
        <v>1600.0</v>
      </c>
      <c r="C932" s="4" t="s">
        <v>18</v>
      </c>
      <c r="D932" s="6">
        <v>5559.0</v>
      </c>
      <c r="E932" s="7">
        <v>45092.0</v>
      </c>
      <c r="F932" s="5">
        <v>49.78</v>
      </c>
      <c r="G932" s="8">
        <v>2023.06</v>
      </c>
      <c r="H932" s="9" t="s">
        <v>27</v>
      </c>
      <c r="I932" s="9" t="s">
        <v>52</v>
      </c>
      <c r="J932" s="9" t="s">
        <v>63</v>
      </c>
      <c r="K932" s="4" t="s">
        <v>21</v>
      </c>
      <c r="L932" s="10">
        <v>30.0</v>
      </c>
      <c r="M932" s="54"/>
      <c r="N932" s="12">
        <v>0.0</v>
      </c>
      <c r="O932" s="12">
        <v>1550.22</v>
      </c>
      <c r="P932" s="13"/>
      <c r="Q932" s="12">
        <v>1600.0</v>
      </c>
      <c r="R932" s="14"/>
      <c r="S932" s="15">
        <v>45108.0</v>
      </c>
      <c r="T932" s="4" t="b">
        <v>0</v>
      </c>
    </row>
    <row r="933">
      <c r="A933" s="16" t="s">
        <v>467</v>
      </c>
      <c r="B933" s="17">
        <v>280.0</v>
      </c>
      <c r="C933" s="16" t="s">
        <v>975</v>
      </c>
      <c r="D933" s="18" t="s">
        <v>1037</v>
      </c>
      <c r="E933" s="19">
        <v>45092.0</v>
      </c>
      <c r="F933" s="35"/>
      <c r="G933" s="20">
        <v>2023.06</v>
      </c>
      <c r="H933" s="21" t="s">
        <v>27</v>
      </c>
      <c r="I933" s="21" t="s">
        <v>52</v>
      </c>
      <c r="J933" s="21" t="s">
        <v>469</v>
      </c>
      <c r="K933" s="16" t="s">
        <v>9</v>
      </c>
      <c r="L933" s="22">
        <v>0.0</v>
      </c>
      <c r="M933" s="55">
        <v>0.2</v>
      </c>
      <c r="N933" s="23">
        <v>56.0</v>
      </c>
      <c r="O933" s="23">
        <v>224.0</v>
      </c>
      <c r="P933" s="24"/>
      <c r="Q933" s="23">
        <v>280.0</v>
      </c>
      <c r="R933" s="25"/>
      <c r="S933" s="26"/>
      <c r="T933" s="16" t="b">
        <v>0</v>
      </c>
    </row>
    <row r="934">
      <c r="A934" s="4" t="s">
        <v>629</v>
      </c>
      <c r="B934" s="5">
        <f>280*1.29537</f>
        <v>362.7036</v>
      </c>
      <c r="C934" s="4" t="s">
        <v>18</v>
      </c>
      <c r="D934" s="6" t="s">
        <v>1038</v>
      </c>
      <c r="E934" s="7">
        <v>45092.0</v>
      </c>
      <c r="F934" s="34">
        <f>10.82</f>
        <v>10.82</v>
      </c>
      <c r="G934" s="8">
        <v>2023.06</v>
      </c>
      <c r="H934" s="9" t="s">
        <v>27</v>
      </c>
      <c r="I934" s="9" t="s">
        <v>52</v>
      </c>
      <c r="J934" s="9" t="s">
        <v>469</v>
      </c>
      <c r="K934" s="4" t="s">
        <v>9</v>
      </c>
      <c r="L934" s="10"/>
      <c r="M934" s="54">
        <v>0.0</v>
      </c>
      <c r="N934" s="12">
        <v>0.0</v>
      </c>
      <c r="O934" s="12">
        <v>351.8836</v>
      </c>
      <c r="P934" s="13"/>
      <c r="Q934" s="12">
        <v>280.0</v>
      </c>
      <c r="R934" s="14"/>
      <c r="S934" s="15">
        <v>45108.0</v>
      </c>
      <c r="T934" s="4" t="b">
        <v>0</v>
      </c>
    </row>
    <row r="935">
      <c r="A935" s="16" t="s">
        <v>762</v>
      </c>
      <c r="B935" s="17">
        <v>865.0</v>
      </c>
      <c r="C935" s="16" t="s">
        <v>18</v>
      </c>
      <c r="D935" s="18">
        <v>5560.0</v>
      </c>
      <c r="E935" s="19">
        <v>45092.0</v>
      </c>
      <c r="F935" s="17">
        <v>0.0</v>
      </c>
      <c r="G935" s="20">
        <v>2023.06</v>
      </c>
      <c r="H935" s="21" t="s">
        <v>27</v>
      </c>
      <c r="I935" s="21" t="s">
        <v>52</v>
      </c>
      <c r="J935" s="21" t="s">
        <v>763</v>
      </c>
      <c r="K935" s="16" t="s">
        <v>21</v>
      </c>
      <c r="L935" s="22">
        <v>15.0</v>
      </c>
      <c r="M935" s="55">
        <v>0.0</v>
      </c>
      <c r="N935" s="23">
        <v>0.0</v>
      </c>
      <c r="O935" s="23">
        <v>865.0</v>
      </c>
      <c r="P935" s="24"/>
      <c r="Q935" s="23">
        <v>865.0</v>
      </c>
      <c r="R935" s="25"/>
      <c r="S935" s="26">
        <v>45108.0</v>
      </c>
      <c r="T935" s="16" t="b">
        <v>0</v>
      </c>
    </row>
    <row r="936">
      <c r="A936" s="4" t="s">
        <v>662</v>
      </c>
      <c r="B936" s="5">
        <v>2500.0</v>
      </c>
      <c r="C936" s="4" t="s">
        <v>18</v>
      </c>
      <c r="D936" s="6">
        <v>5561.0</v>
      </c>
      <c r="E936" s="7">
        <v>45092.0</v>
      </c>
      <c r="F936" s="5">
        <v>0.0</v>
      </c>
      <c r="G936" s="8">
        <v>2023.06</v>
      </c>
      <c r="H936" s="9" t="s">
        <v>27</v>
      </c>
      <c r="I936" s="9" t="s">
        <v>52</v>
      </c>
      <c r="J936" s="9" t="s">
        <v>764</v>
      </c>
      <c r="K936" s="4" t="s">
        <v>21</v>
      </c>
      <c r="L936" s="10">
        <v>15.0</v>
      </c>
      <c r="M936" s="54">
        <v>0.0</v>
      </c>
      <c r="N936" s="12">
        <v>0.0</v>
      </c>
      <c r="O936" s="12">
        <v>2500.0</v>
      </c>
      <c r="P936" s="13"/>
      <c r="Q936" s="12">
        <v>2500.0</v>
      </c>
      <c r="R936" s="14"/>
      <c r="S936" s="15">
        <v>45108.0</v>
      </c>
      <c r="T936" s="4" t="b">
        <v>0</v>
      </c>
    </row>
    <row r="937">
      <c r="A937" s="16" t="s">
        <v>795</v>
      </c>
      <c r="B937" s="17">
        <v>2000.0</v>
      </c>
      <c r="C937" s="16" t="s">
        <v>18</v>
      </c>
      <c r="D937" s="18">
        <v>5562.0</v>
      </c>
      <c r="E937" s="19">
        <v>45092.0</v>
      </c>
      <c r="F937" s="17">
        <v>62.22</v>
      </c>
      <c r="G937" s="20">
        <v>2023.06</v>
      </c>
      <c r="H937" s="21" t="s">
        <v>27</v>
      </c>
      <c r="I937" s="21" t="s">
        <v>52</v>
      </c>
      <c r="J937" s="21" t="s">
        <v>796</v>
      </c>
      <c r="K937" s="16" t="s">
        <v>21</v>
      </c>
      <c r="L937" s="22">
        <v>0.0</v>
      </c>
      <c r="M937" s="55">
        <v>0.0</v>
      </c>
      <c r="N937" s="23">
        <v>0.0</v>
      </c>
      <c r="O937" s="23">
        <v>1937.78</v>
      </c>
      <c r="P937" s="24"/>
      <c r="Q937" s="23">
        <v>2000.0</v>
      </c>
      <c r="R937" s="25"/>
      <c r="S937" s="26">
        <v>45108.0</v>
      </c>
      <c r="T937" s="16" t="b">
        <v>0</v>
      </c>
    </row>
    <row r="938">
      <c r="A938" s="4" t="s">
        <v>884</v>
      </c>
      <c r="B938" s="5">
        <f>250*1.2835</f>
        <v>320.875</v>
      </c>
      <c r="C938" s="4" t="s">
        <v>18</v>
      </c>
      <c r="D938" s="6" t="s">
        <v>1039</v>
      </c>
      <c r="E938" s="7">
        <v>45092.0</v>
      </c>
      <c r="F938" s="5">
        <v>0.0</v>
      </c>
      <c r="G938" s="8">
        <v>2023.06</v>
      </c>
      <c r="H938" s="9" t="s">
        <v>27</v>
      </c>
      <c r="I938" s="9" t="s">
        <v>52</v>
      </c>
      <c r="J938" s="9" t="s">
        <v>857</v>
      </c>
      <c r="K938" s="4" t="s">
        <v>9</v>
      </c>
      <c r="L938" s="10"/>
      <c r="M938" s="54">
        <v>0.2</v>
      </c>
      <c r="N938" s="12">
        <v>64.175</v>
      </c>
      <c r="O938" s="12">
        <v>256.7</v>
      </c>
      <c r="P938" s="13"/>
      <c r="Q938" s="12">
        <v>250.0</v>
      </c>
      <c r="R938" s="14"/>
      <c r="S938" s="15">
        <v>45108.0</v>
      </c>
      <c r="T938" s="4" t="b">
        <v>0</v>
      </c>
    </row>
    <row r="939">
      <c r="A939" s="16" t="s">
        <v>1040</v>
      </c>
      <c r="B939" s="17">
        <v>700.0</v>
      </c>
      <c r="C939" s="16" t="s">
        <v>18</v>
      </c>
      <c r="D939" s="18">
        <v>5571.0</v>
      </c>
      <c r="E939" s="19">
        <v>45107.0</v>
      </c>
      <c r="F939" s="17">
        <v>21.78</v>
      </c>
      <c r="G939" s="20">
        <v>2023.0</v>
      </c>
      <c r="H939" s="21" t="s">
        <v>766</v>
      </c>
      <c r="I939" s="21" t="s">
        <v>252</v>
      </c>
      <c r="J939" s="21" t="s">
        <v>914</v>
      </c>
      <c r="K939" s="16" t="s">
        <v>21</v>
      </c>
      <c r="L939" s="22">
        <v>30.0</v>
      </c>
      <c r="M939" s="55">
        <v>0.0</v>
      </c>
      <c r="N939" s="23">
        <v>0.0</v>
      </c>
      <c r="O939" s="23">
        <v>678.22</v>
      </c>
      <c r="P939" s="24"/>
      <c r="Q939" s="23">
        <v>700.0</v>
      </c>
      <c r="R939" s="25"/>
      <c r="S939" s="26">
        <v>45108.0</v>
      </c>
      <c r="T939" s="16" t="b">
        <v>0</v>
      </c>
    </row>
    <row r="940">
      <c r="A940" s="4" t="s">
        <v>1041</v>
      </c>
      <c r="B940" s="5">
        <v>700.0</v>
      </c>
      <c r="C940" s="4" t="s">
        <v>18</v>
      </c>
      <c r="D940" s="6">
        <v>5572.0</v>
      </c>
      <c r="E940" s="7">
        <v>45107.0</v>
      </c>
      <c r="F940" s="5">
        <v>21.78</v>
      </c>
      <c r="G940" s="8">
        <v>2023.06</v>
      </c>
      <c r="H940" s="9" t="s">
        <v>51</v>
      </c>
      <c r="I940" s="9" t="s">
        <v>52</v>
      </c>
      <c r="J940" s="9" t="s">
        <v>1042</v>
      </c>
      <c r="K940" s="4" t="s">
        <v>21</v>
      </c>
      <c r="L940" s="10">
        <v>15.0</v>
      </c>
      <c r="M940" s="54">
        <v>0.0</v>
      </c>
      <c r="N940" s="12">
        <v>0.0</v>
      </c>
      <c r="O940" s="12">
        <v>678.22</v>
      </c>
      <c r="P940" s="13"/>
      <c r="Q940" s="12">
        <v>1000.0</v>
      </c>
      <c r="R940" s="9" t="s">
        <v>1043</v>
      </c>
      <c r="S940" s="15">
        <v>45108.0</v>
      </c>
      <c r="T940" s="4" t="b">
        <v>0</v>
      </c>
    </row>
    <row r="941">
      <c r="A941" s="16" t="s">
        <v>88</v>
      </c>
      <c r="B941" s="17">
        <v>350.0</v>
      </c>
      <c r="C941" s="16" t="s">
        <v>18</v>
      </c>
      <c r="D941" s="18">
        <v>5563.0</v>
      </c>
      <c r="E941" s="19">
        <v>45107.0</v>
      </c>
      <c r="F941" s="17">
        <v>10.89</v>
      </c>
      <c r="G941" s="20">
        <v>2023.06</v>
      </c>
      <c r="H941" s="21" t="s">
        <v>51</v>
      </c>
      <c r="I941" s="21" t="s">
        <v>52</v>
      </c>
      <c r="J941" s="21" t="s">
        <v>1044</v>
      </c>
      <c r="K941" s="16" t="s">
        <v>21</v>
      </c>
      <c r="L941" s="22">
        <v>30.0</v>
      </c>
      <c r="M941" s="55">
        <v>0.0</v>
      </c>
      <c r="N941" s="23">
        <v>0.0</v>
      </c>
      <c r="O941" s="23">
        <v>339.11</v>
      </c>
      <c r="P941" s="24"/>
      <c r="Q941" s="23">
        <v>500.0</v>
      </c>
      <c r="R941" s="25"/>
      <c r="S941" s="26">
        <v>45108.0</v>
      </c>
      <c r="T941" s="16" t="b">
        <v>0</v>
      </c>
    </row>
    <row r="942">
      <c r="A942" s="4" t="s">
        <v>88</v>
      </c>
      <c r="B942" s="5">
        <v>500.0</v>
      </c>
      <c r="C942" s="4" t="s">
        <v>18</v>
      </c>
      <c r="D942" s="6">
        <v>5566.0</v>
      </c>
      <c r="E942" s="7">
        <v>45107.0</v>
      </c>
      <c r="F942" s="5">
        <v>15.56</v>
      </c>
      <c r="G942" s="8">
        <v>2023.06</v>
      </c>
      <c r="H942" s="9" t="s">
        <v>51</v>
      </c>
      <c r="I942" s="9" t="s">
        <v>52</v>
      </c>
      <c r="J942" s="9" t="s">
        <v>89</v>
      </c>
      <c r="K942" s="4" t="s">
        <v>21</v>
      </c>
      <c r="L942" s="10">
        <v>30.0</v>
      </c>
      <c r="M942" s="54">
        <v>0.0</v>
      </c>
      <c r="N942" s="12">
        <v>0.0</v>
      </c>
      <c r="O942" s="12">
        <v>484.44</v>
      </c>
      <c r="P942" s="13"/>
      <c r="Q942" s="12">
        <v>500.0</v>
      </c>
      <c r="R942" s="14"/>
      <c r="S942" s="15">
        <v>45108.0</v>
      </c>
      <c r="T942" s="4" t="b">
        <v>0</v>
      </c>
    </row>
    <row r="943">
      <c r="A943" s="16" t="s">
        <v>223</v>
      </c>
      <c r="B943" s="17">
        <v>800.0</v>
      </c>
      <c r="C943" s="16" t="s">
        <v>18</v>
      </c>
      <c r="D943" s="18">
        <v>5573.0</v>
      </c>
      <c r="E943" s="19">
        <v>45107.0</v>
      </c>
      <c r="F943" s="17">
        <v>24.89</v>
      </c>
      <c r="G943" s="20">
        <v>2023.06</v>
      </c>
      <c r="H943" s="21" t="s">
        <v>51</v>
      </c>
      <c r="I943" s="21" t="s">
        <v>52</v>
      </c>
      <c r="J943" s="21" t="s">
        <v>247</v>
      </c>
      <c r="K943" s="16" t="s">
        <v>21</v>
      </c>
      <c r="L943" s="22">
        <v>30.0</v>
      </c>
      <c r="M943" s="55">
        <v>0.0</v>
      </c>
      <c r="N943" s="23">
        <v>0.0</v>
      </c>
      <c r="O943" s="23">
        <v>775.11</v>
      </c>
      <c r="P943" s="24"/>
      <c r="Q943" s="23">
        <v>800.0</v>
      </c>
      <c r="R943" s="25"/>
      <c r="S943" s="26">
        <v>45108.0</v>
      </c>
      <c r="T943" s="16" t="b">
        <v>0</v>
      </c>
    </row>
    <row r="944">
      <c r="A944" s="4" t="s">
        <v>54</v>
      </c>
      <c r="B944" s="5">
        <v>750.0</v>
      </c>
      <c r="C944" s="4" t="s">
        <v>18</v>
      </c>
      <c r="D944" s="6">
        <v>5565.0</v>
      </c>
      <c r="E944" s="7">
        <v>45107.0</v>
      </c>
      <c r="F944" s="5">
        <v>23.33</v>
      </c>
      <c r="G944" s="8">
        <v>2023.06</v>
      </c>
      <c r="H944" s="9" t="s">
        <v>51</v>
      </c>
      <c r="I944" s="9" t="s">
        <v>52</v>
      </c>
      <c r="J944" s="9" t="s">
        <v>55</v>
      </c>
      <c r="K944" s="4" t="s">
        <v>21</v>
      </c>
      <c r="L944" s="10">
        <v>30.0</v>
      </c>
      <c r="M944" s="54">
        <v>0.0</v>
      </c>
      <c r="N944" s="12">
        <v>0.0</v>
      </c>
      <c r="O944" s="12">
        <v>726.67</v>
      </c>
      <c r="P944" s="13"/>
      <c r="Q944" s="12">
        <v>750.0</v>
      </c>
      <c r="R944" s="14"/>
      <c r="S944" s="15">
        <v>45108.0</v>
      </c>
      <c r="T944" s="4" t="b">
        <v>0</v>
      </c>
    </row>
    <row r="945">
      <c r="A945" s="16" t="s">
        <v>120</v>
      </c>
      <c r="B945" s="17">
        <f>1000*1.308918</f>
        <v>1308.918</v>
      </c>
      <c r="C945" s="16" t="s">
        <v>18</v>
      </c>
      <c r="D945" s="18" t="s">
        <v>1045</v>
      </c>
      <c r="E945" s="19">
        <v>45107.0</v>
      </c>
      <c r="F945" s="35">
        <f>37.3*1.308918</f>
        <v>48.8226414</v>
      </c>
      <c r="G945" s="20">
        <v>2023.06</v>
      </c>
      <c r="H945" s="21" t="s">
        <v>51</v>
      </c>
      <c r="I945" s="21" t="s">
        <v>52</v>
      </c>
      <c r="J945" s="21" t="s">
        <v>947</v>
      </c>
      <c r="K945" s="16" t="s">
        <v>9</v>
      </c>
      <c r="L945" s="22">
        <v>30.0</v>
      </c>
      <c r="M945" s="55">
        <v>0.2</v>
      </c>
      <c r="N945" s="23">
        <v>252.01907172000003</v>
      </c>
      <c r="O945" s="23">
        <v>1008.07628688</v>
      </c>
      <c r="P945" s="24"/>
      <c r="Q945" s="23">
        <v>1000.0</v>
      </c>
      <c r="R945" s="25"/>
      <c r="S945" s="26">
        <v>45108.0</v>
      </c>
      <c r="T945" s="16" t="b">
        <v>0</v>
      </c>
    </row>
    <row r="946">
      <c r="A946" s="4" t="s">
        <v>42</v>
      </c>
      <c r="B946" s="5">
        <v>1500.0</v>
      </c>
      <c r="C946" s="4" t="s">
        <v>18</v>
      </c>
      <c r="D946" s="6">
        <v>5574.0</v>
      </c>
      <c r="E946" s="7">
        <v>45107.0</v>
      </c>
      <c r="F946" s="5">
        <v>46.67</v>
      </c>
      <c r="G946" s="8">
        <v>2023.06</v>
      </c>
      <c r="H946" s="9" t="s">
        <v>51</v>
      </c>
      <c r="I946" s="9" t="s">
        <v>52</v>
      </c>
      <c r="J946" s="9" t="s">
        <v>43</v>
      </c>
      <c r="K946" s="4" t="s">
        <v>21</v>
      </c>
      <c r="L946" s="10">
        <v>30.0</v>
      </c>
      <c r="M946" s="54">
        <v>0.15</v>
      </c>
      <c r="N946" s="12">
        <v>217.99949999999998</v>
      </c>
      <c r="O946" s="12">
        <v>1235.3305</v>
      </c>
      <c r="P946" s="13"/>
      <c r="Q946" s="12">
        <v>1500.0</v>
      </c>
      <c r="R946" s="14"/>
      <c r="S946" s="15">
        <v>45108.0</v>
      </c>
      <c r="T946" s="4" t="b">
        <v>0</v>
      </c>
    </row>
    <row r="947">
      <c r="A947" s="16" t="s">
        <v>82</v>
      </c>
      <c r="B947" s="17">
        <v>860.0</v>
      </c>
      <c r="C947" s="16" t="s">
        <v>18</v>
      </c>
      <c r="D947" s="18">
        <v>5575.0</v>
      </c>
      <c r="E947" s="19">
        <v>45107.0</v>
      </c>
      <c r="F947" s="17">
        <v>0.0</v>
      </c>
      <c r="G947" s="20">
        <v>2023.06</v>
      </c>
      <c r="H947" s="21" t="s">
        <v>51</v>
      </c>
      <c r="I947" s="21" t="s">
        <v>52</v>
      </c>
      <c r="J947" s="21" t="s">
        <v>1023</v>
      </c>
      <c r="K947" s="16"/>
      <c r="L947" s="22">
        <v>30.0</v>
      </c>
      <c r="M947" s="55"/>
      <c r="N947" s="23">
        <v>0.0</v>
      </c>
      <c r="O947" s="23">
        <v>860.0</v>
      </c>
      <c r="P947" s="24"/>
      <c r="Q947" s="23">
        <v>860.0</v>
      </c>
      <c r="R947" s="25"/>
      <c r="S947" s="26">
        <v>45108.0</v>
      </c>
      <c r="T947" s="16" t="b">
        <v>0</v>
      </c>
    </row>
    <row r="948">
      <c r="A948" s="4" t="s">
        <v>50</v>
      </c>
      <c r="B948" s="5">
        <v>412.5</v>
      </c>
      <c r="C948" s="4" t="s">
        <v>18</v>
      </c>
      <c r="D948" s="6">
        <v>5576.0</v>
      </c>
      <c r="E948" s="7">
        <v>45107.0</v>
      </c>
      <c r="F948" s="5">
        <v>0.0</v>
      </c>
      <c r="G948" s="8">
        <v>2023.06</v>
      </c>
      <c r="H948" s="9" t="s">
        <v>51</v>
      </c>
      <c r="I948" s="9" t="s">
        <v>52</v>
      </c>
      <c r="J948" s="9" t="s">
        <v>400</v>
      </c>
      <c r="K948" s="4" t="s">
        <v>21</v>
      </c>
      <c r="L948" s="10">
        <v>30.0</v>
      </c>
      <c r="M948" s="54">
        <v>0.0</v>
      </c>
      <c r="N948" s="12">
        <v>0.0</v>
      </c>
      <c r="O948" s="12">
        <v>412.5</v>
      </c>
      <c r="P948" s="13"/>
      <c r="Q948" s="12">
        <v>412.5</v>
      </c>
      <c r="R948" s="14"/>
      <c r="S948" s="15">
        <v>45108.0</v>
      </c>
      <c r="T948" s="4" t="b">
        <v>0</v>
      </c>
    </row>
    <row r="949">
      <c r="A949" s="16" t="s">
        <v>97</v>
      </c>
      <c r="B949" s="17">
        <v>330.0</v>
      </c>
      <c r="C949" s="16" t="s">
        <v>18</v>
      </c>
      <c r="D949" s="18">
        <v>5577.0</v>
      </c>
      <c r="E949" s="19">
        <v>45107.0</v>
      </c>
      <c r="F949" s="17">
        <v>10.27</v>
      </c>
      <c r="G949" s="20">
        <v>2023.06</v>
      </c>
      <c r="H949" s="21" t="s">
        <v>51</v>
      </c>
      <c r="I949" s="21" t="s">
        <v>52</v>
      </c>
      <c r="J949" s="21" t="s">
        <v>98</v>
      </c>
      <c r="K949" s="16" t="s">
        <v>21</v>
      </c>
      <c r="L949" s="22">
        <v>30.0</v>
      </c>
      <c r="M949" s="55">
        <v>0.0</v>
      </c>
      <c r="N949" s="23">
        <v>0.0</v>
      </c>
      <c r="O949" s="23">
        <v>319.73</v>
      </c>
      <c r="P949" s="24"/>
      <c r="Q949" s="23">
        <v>330.0</v>
      </c>
      <c r="R949" s="25"/>
      <c r="S949" s="26">
        <v>45108.0</v>
      </c>
      <c r="T949" s="16" t="b">
        <v>0</v>
      </c>
    </row>
    <row r="950">
      <c r="A950" s="4" t="s">
        <v>92</v>
      </c>
      <c r="B950" s="5">
        <v>2500.0</v>
      </c>
      <c r="C950" s="4" t="s">
        <v>18</v>
      </c>
      <c r="D950" s="6">
        <v>5571.0</v>
      </c>
      <c r="E950" s="7">
        <v>45107.0</v>
      </c>
      <c r="F950" s="5">
        <v>77.78</v>
      </c>
      <c r="G950" s="8">
        <v>2023.06</v>
      </c>
      <c r="H950" s="9" t="s">
        <v>51</v>
      </c>
      <c r="I950" s="9" t="s">
        <v>52</v>
      </c>
      <c r="J950" s="9" t="s">
        <v>93</v>
      </c>
      <c r="K950" s="4" t="s">
        <v>21</v>
      </c>
      <c r="L950" s="10">
        <v>30.0</v>
      </c>
      <c r="M950" s="54">
        <v>0.0</v>
      </c>
      <c r="N950" s="12">
        <v>0.0</v>
      </c>
      <c r="O950" s="12">
        <v>2422.22</v>
      </c>
      <c r="P950" s="13"/>
      <c r="Q950" s="12">
        <v>2500.0</v>
      </c>
      <c r="R950" s="14"/>
      <c r="S950" s="15">
        <v>45108.0</v>
      </c>
      <c r="T950" s="4" t="b">
        <v>0</v>
      </c>
    </row>
    <row r="951">
      <c r="A951" s="16" t="s">
        <v>123</v>
      </c>
      <c r="B951" s="17">
        <f>3000*1.275647</f>
        <v>3826.941</v>
      </c>
      <c r="C951" s="16" t="s">
        <v>18</v>
      </c>
      <c r="D951" s="18" t="s">
        <v>1046</v>
      </c>
      <c r="E951" s="19">
        <v>45107.0</v>
      </c>
      <c r="F951" s="35">
        <f>111.3*1.275647</f>
        <v>141.9795111</v>
      </c>
      <c r="G951" s="20">
        <v>2023.06</v>
      </c>
      <c r="H951" s="21" t="s">
        <v>51</v>
      </c>
      <c r="I951" s="21" t="s">
        <v>52</v>
      </c>
      <c r="J951" s="21" t="s">
        <v>1047</v>
      </c>
      <c r="K951" s="16" t="s">
        <v>9</v>
      </c>
      <c r="L951" s="22">
        <v>30.0</v>
      </c>
      <c r="M951" s="55">
        <v>0.2</v>
      </c>
      <c r="N951" s="23">
        <v>736.9922977800001</v>
      </c>
      <c r="O951" s="23">
        <v>2947.96919112</v>
      </c>
      <c r="P951" s="24"/>
      <c r="Q951" s="23">
        <v>3000.0</v>
      </c>
      <c r="R951" s="25"/>
      <c r="S951" s="26">
        <v>45108.0</v>
      </c>
      <c r="T951" s="16" t="b">
        <v>0</v>
      </c>
    </row>
    <row r="952">
      <c r="A952" s="4" t="s">
        <v>115</v>
      </c>
      <c r="B952" s="5">
        <f t="shared" ref="B952:B953" si="33">2500*1.30225</f>
        <v>3255.625</v>
      </c>
      <c r="C952" s="4" t="s">
        <v>18</v>
      </c>
      <c r="D952" s="6" t="s">
        <v>1048</v>
      </c>
      <c r="E952" s="7">
        <v>45107.0</v>
      </c>
      <c r="F952" s="5">
        <v>0.0</v>
      </c>
      <c r="G952" s="8">
        <v>2023.06</v>
      </c>
      <c r="H952" s="9" t="s">
        <v>51</v>
      </c>
      <c r="I952" s="9" t="s">
        <v>52</v>
      </c>
      <c r="J952" s="9" t="s">
        <v>117</v>
      </c>
      <c r="K952" s="4" t="s">
        <v>9</v>
      </c>
      <c r="L952" s="10">
        <v>30.0</v>
      </c>
      <c r="M952" s="54">
        <v>0.0</v>
      </c>
      <c r="N952" s="12">
        <v>0.0</v>
      </c>
      <c r="O952" s="12">
        <v>3255.6249999999995</v>
      </c>
      <c r="P952" s="13"/>
      <c r="Q952" s="12">
        <v>2500.0</v>
      </c>
      <c r="R952" s="14"/>
      <c r="S952" s="15">
        <v>45108.0</v>
      </c>
      <c r="T952" s="4" t="b">
        <v>0</v>
      </c>
    </row>
    <row r="953">
      <c r="A953" s="16" t="s">
        <v>118</v>
      </c>
      <c r="B953" s="17">
        <f t="shared" si="33"/>
        <v>3255.625</v>
      </c>
      <c r="C953" s="16" t="s">
        <v>18</v>
      </c>
      <c r="D953" s="18" t="s">
        <v>1049</v>
      </c>
      <c r="E953" s="19">
        <v>45107.0</v>
      </c>
      <c r="F953" s="17">
        <v>0.0</v>
      </c>
      <c r="G953" s="20">
        <v>2023.06</v>
      </c>
      <c r="H953" s="21" t="s">
        <v>51</v>
      </c>
      <c r="I953" s="21" t="s">
        <v>52</v>
      </c>
      <c r="J953" s="21" t="s">
        <v>117</v>
      </c>
      <c r="K953" s="16" t="s">
        <v>9</v>
      </c>
      <c r="L953" s="22">
        <v>30.0</v>
      </c>
      <c r="M953" s="55">
        <v>0.0</v>
      </c>
      <c r="N953" s="23">
        <v>0.0</v>
      </c>
      <c r="O953" s="23">
        <v>3255.6249999999995</v>
      </c>
      <c r="P953" s="24"/>
      <c r="Q953" s="23">
        <v>2500.0</v>
      </c>
      <c r="R953" s="25"/>
      <c r="S953" s="26">
        <v>45108.0</v>
      </c>
      <c r="T953" s="16" t="b">
        <v>0</v>
      </c>
    </row>
    <row r="954">
      <c r="A954" s="4" t="s">
        <v>73</v>
      </c>
      <c r="B954" s="5">
        <v>770.0</v>
      </c>
      <c r="C954" s="4" t="s">
        <v>18</v>
      </c>
      <c r="D954" s="6">
        <v>5578.0</v>
      </c>
      <c r="E954" s="7">
        <v>45107.0</v>
      </c>
      <c r="F954" s="5">
        <v>0.0</v>
      </c>
      <c r="G954" s="8">
        <v>2023.06</v>
      </c>
      <c r="H954" s="9" t="s">
        <v>51</v>
      </c>
      <c r="I954" s="9" t="s">
        <v>52</v>
      </c>
      <c r="J954" s="9" t="s">
        <v>74</v>
      </c>
      <c r="K954" s="4" t="s">
        <v>21</v>
      </c>
      <c r="L954" s="10">
        <v>30.0</v>
      </c>
      <c r="M954" s="54">
        <v>0.0</v>
      </c>
      <c r="N954" s="12">
        <v>0.0</v>
      </c>
      <c r="O954" s="12">
        <v>770.0</v>
      </c>
      <c r="P954" s="13"/>
      <c r="Q954" s="12">
        <v>770.0</v>
      </c>
      <c r="R954" s="14"/>
      <c r="S954" s="15">
        <v>45108.0</v>
      </c>
      <c r="T954" s="4" t="b">
        <v>0</v>
      </c>
    </row>
    <row r="955">
      <c r="A955" s="16" t="s">
        <v>499</v>
      </c>
      <c r="B955" s="17">
        <v>1650.0</v>
      </c>
      <c r="C955" s="16" t="s">
        <v>18</v>
      </c>
      <c r="D955" s="18">
        <v>5579.0</v>
      </c>
      <c r="E955" s="19">
        <v>45107.0</v>
      </c>
      <c r="F955" s="17">
        <v>55.23</v>
      </c>
      <c r="G955" s="20">
        <v>2023.06</v>
      </c>
      <c r="H955" s="21" t="s">
        <v>51</v>
      </c>
      <c r="I955" s="21" t="s">
        <v>52</v>
      </c>
      <c r="J955" s="21" t="s">
        <v>500</v>
      </c>
      <c r="K955" s="16" t="s">
        <v>21</v>
      </c>
      <c r="L955" s="22">
        <v>30.0</v>
      </c>
      <c r="M955" s="55">
        <v>0.0</v>
      </c>
      <c r="N955" s="23">
        <v>0.0</v>
      </c>
      <c r="O955" s="23">
        <v>1594.77</v>
      </c>
      <c r="P955" s="24"/>
      <c r="Q955" s="23">
        <v>1650.0</v>
      </c>
      <c r="R955" s="25"/>
      <c r="S955" s="26">
        <v>45108.0</v>
      </c>
      <c r="T955" s="16" t="b">
        <v>0</v>
      </c>
    </row>
    <row r="956">
      <c r="A956" s="4" t="s">
        <v>695</v>
      </c>
      <c r="B956" s="5">
        <v>600.0</v>
      </c>
      <c r="C956" s="4" t="s">
        <v>18</v>
      </c>
      <c r="D956" s="6">
        <v>5580.0</v>
      </c>
      <c r="E956" s="7">
        <v>45107.0</v>
      </c>
      <c r="F956" s="5">
        <v>18.67</v>
      </c>
      <c r="G956" s="8">
        <v>2023.06</v>
      </c>
      <c r="H956" s="9" t="s">
        <v>51</v>
      </c>
      <c r="I956" s="9" t="s">
        <v>52</v>
      </c>
      <c r="J956" s="9" t="s">
        <v>696</v>
      </c>
      <c r="K956" s="4" t="s">
        <v>21</v>
      </c>
      <c r="L956" s="10">
        <v>30.0</v>
      </c>
      <c r="M956" s="54">
        <v>0.0</v>
      </c>
      <c r="N956" s="12">
        <v>0.0</v>
      </c>
      <c r="O956" s="12">
        <v>581.33</v>
      </c>
      <c r="P956" s="13"/>
      <c r="Q956" s="12">
        <v>600.0</v>
      </c>
      <c r="R956" s="14"/>
      <c r="S956" s="15">
        <v>45108.0</v>
      </c>
      <c r="T956" s="4" t="b">
        <v>0</v>
      </c>
    </row>
    <row r="957">
      <c r="A957" s="16" t="s">
        <v>810</v>
      </c>
      <c r="B957" s="17">
        <f>880*1.275356</f>
        <v>1122.31328</v>
      </c>
      <c r="C957" s="16" t="s">
        <v>18</v>
      </c>
      <c r="D957" s="18" t="s">
        <v>1050</v>
      </c>
      <c r="E957" s="19">
        <v>45107.0</v>
      </c>
      <c r="F957" s="35">
        <f>32.86*1.275356</f>
        <v>41.90819816</v>
      </c>
      <c r="G957" s="20">
        <v>2023.06</v>
      </c>
      <c r="H957" s="21" t="s">
        <v>51</v>
      </c>
      <c r="I957" s="21" t="s">
        <v>52</v>
      </c>
      <c r="J957" s="21" t="s">
        <v>854</v>
      </c>
      <c r="K957" s="16" t="s">
        <v>9</v>
      </c>
      <c r="L957" s="22">
        <v>0.0</v>
      </c>
      <c r="M957" s="55">
        <v>0.0</v>
      </c>
      <c r="N957" s="23">
        <v>0.0</v>
      </c>
      <c r="O957" s="23">
        <v>1080.4050818399999</v>
      </c>
      <c r="P957" s="24"/>
      <c r="Q957" s="23">
        <v>880.0</v>
      </c>
      <c r="R957" s="25"/>
      <c r="S957" s="26">
        <v>45108.0</v>
      </c>
      <c r="T957" s="16" t="b">
        <v>0</v>
      </c>
    </row>
    <row r="958">
      <c r="A958" s="4" t="s">
        <v>855</v>
      </c>
      <c r="B958" s="5">
        <v>250.0</v>
      </c>
      <c r="C958" s="4" t="s">
        <v>18</v>
      </c>
      <c r="D958" s="6">
        <v>5564.0</v>
      </c>
      <c r="E958" s="7">
        <v>45107.0</v>
      </c>
      <c r="F958" s="5">
        <v>7.78</v>
      </c>
      <c r="G958" s="8">
        <v>2023.06</v>
      </c>
      <c r="H958" s="9" t="s">
        <v>51</v>
      </c>
      <c r="I958" s="9" t="s">
        <v>52</v>
      </c>
      <c r="J958" s="9" t="s">
        <v>857</v>
      </c>
      <c r="K958" s="4" t="s">
        <v>21</v>
      </c>
      <c r="L958" s="10">
        <v>30.0</v>
      </c>
      <c r="M958" s="54">
        <v>0.0</v>
      </c>
      <c r="N958" s="12">
        <v>0.0</v>
      </c>
      <c r="O958" s="12">
        <v>242.22</v>
      </c>
      <c r="P958" s="13"/>
      <c r="Q958" s="12">
        <v>250.0</v>
      </c>
      <c r="R958" s="14"/>
      <c r="S958" s="15">
        <v>45108.0</v>
      </c>
      <c r="T958" s="4" t="b">
        <v>0</v>
      </c>
    </row>
    <row r="959">
      <c r="A959" s="16" t="s">
        <v>861</v>
      </c>
      <c r="B959" s="17">
        <f>1750*1.278557</f>
        <v>2237.47475</v>
      </c>
      <c r="C959" s="16" t="s">
        <v>18</v>
      </c>
      <c r="D959" s="18" t="s">
        <v>1051</v>
      </c>
      <c r="E959" s="19">
        <v>45107.0</v>
      </c>
      <c r="F959" s="35">
        <f>65.05*1.278557</f>
        <v>83.17013285</v>
      </c>
      <c r="G959" s="20">
        <v>2023.06</v>
      </c>
      <c r="H959" s="21" t="s">
        <v>51</v>
      </c>
      <c r="I959" s="21" t="s">
        <v>52</v>
      </c>
      <c r="J959" s="21" t="s">
        <v>962</v>
      </c>
      <c r="K959" s="16" t="s">
        <v>9</v>
      </c>
      <c r="L959" s="22">
        <v>15.0</v>
      </c>
      <c r="M959" s="55">
        <v>0.2</v>
      </c>
      <c r="N959" s="23">
        <v>430.86092343</v>
      </c>
      <c r="O959" s="23">
        <v>1723.44369372</v>
      </c>
      <c r="P959" s="24"/>
      <c r="Q959" s="23">
        <v>2590.0</v>
      </c>
      <c r="R959" s="25"/>
      <c r="S959" s="26">
        <v>45108.0</v>
      </c>
      <c r="T959" s="16" t="b">
        <v>0</v>
      </c>
    </row>
    <row r="960">
      <c r="A960" s="4" t="s">
        <v>963</v>
      </c>
      <c r="B960" s="5">
        <f>750*1.278557</f>
        <v>958.91775</v>
      </c>
      <c r="C960" s="4" t="s">
        <v>18</v>
      </c>
      <c r="D960" s="6" t="s">
        <v>1052</v>
      </c>
      <c r="E960" s="7">
        <v>45107.0</v>
      </c>
      <c r="F960" s="34">
        <f>28.05*1.278557</f>
        <v>35.86352385</v>
      </c>
      <c r="G960" s="8">
        <v>2023.06</v>
      </c>
      <c r="H960" s="9" t="s">
        <v>51</v>
      </c>
      <c r="I960" s="9" t="s">
        <v>52</v>
      </c>
      <c r="J960" s="9" t="s">
        <v>965</v>
      </c>
      <c r="K960" s="4" t="s">
        <v>9</v>
      </c>
      <c r="L960" s="10">
        <v>15.0</v>
      </c>
      <c r="M960" s="54">
        <v>0.2</v>
      </c>
      <c r="N960" s="12">
        <v>184.61084523</v>
      </c>
      <c r="O960" s="12">
        <v>738.44338092</v>
      </c>
      <c r="P960" s="13"/>
      <c r="Q960" s="12">
        <v>1110.0</v>
      </c>
      <c r="R960" s="14"/>
      <c r="S960" s="15">
        <v>45108.0</v>
      </c>
      <c r="T960" s="4" t="b">
        <v>0</v>
      </c>
    </row>
    <row r="961">
      <c r="A961" s="16" t="s">
        <v>1053</v>
      </c>
      <c r="B961" s="17">
        <f>750*1.239747</f>
        <v>929.81025</v>
      </c>
      <c r="C961" s="16" t="s">
        <v>18</v>
      </c>
      <c r="D961" s="18" t="s">
        <v>1054</v>
      </c>
      <c r="E961" s="19">
        <v>45107.0</v>
      </c>
      <c r="F961" s="17">
        <v>0.0</v>
      </c>
      <c r="G961" s="20">
        <v>2023.0</v>
      </c>
      <c r="H961" s="21" t="s">
        <v>766</v>
      </c>
      <c r="I961" s="21" t="s">
        <v>252</v>
      </c>
      <c r="J961" s="21" t="s">
        <v>914</v>
      </c>
      <c r="K961" s="16" t="s">
        <v>9</v>
      </c>
      <c r="L961" s="22">
        <v>15.0</v>
      </c>
      <c r="M961" s="55">
        <v>0.0</v>
      </c>
      <c r="N961" s="23">
        <v>0.0</v>
      </c>
      <c r="O961" s="23">
        <v>929.81025</v>
      </c>
      <c r="P961" s="24"/>
      <c r="Q961" s="23">
        <v>750.0</v>
      </c>
      <c r="R961" s="25"/>
      <c r="S961" s="26">
        <v>45108.0</v>
      </c>
      <c r="T961" s="16" t="b">
        <v>0</v>
      </c>
    </row>
    <row r="962">
      <c r="A962" s="4" t="s">
        <v>1055</v>
      </c>
      <c r="B962" s="5">
        <f>750*1.239267</f>
        <v>929.45025</v>
      </c>
      <c r="C962" s="4" t="s">
        <v>18</v>
      </c>
      <c r="D962" s="6" t="s">
        <v>1056</v>
      </c>
      <c r="E962" s="7">
        <v>45107.0</v>
      </c>
      <c r="F962" s="5">
        <v>0.0</v>
      </c>
      <c r="G962" s="8">
        <v>2023.0</v>
      </c>
      <c r="H962" s="9" t="s">
        <v>766</v>
      </c>
      <c r="I962" s="9" t="s">
        <v>252</v>
      </c>
      <c r="J962" s="9" t="s">
        <v>914</v>
      </c>
      <c r="K962" s="4" t="s">
        <v>9</v>
      </c>
      <c r="L962" s="10">
        <v>15.0</v>
      </c>
      <c r="M962" s="54">
        <v>0.0</v>
      </c>
      <c r="N962" s="12">
        <v>0.0</v>
      </c>
      <c r="O962" s="12">
        <v>929.4502499999999</v>
      </c>
      <c r="P962" s="13"/>
      <c r="Q962" s="12">
        <v>750.0</v>
      </c>
      <c r="R962" s="14"/>
      <c r="S962" s="15">
        <v>45108.0</v>
      </c>
      <c r="T962" s="4" t="b">
        <v>0</v>
      </c>
    </row>
    <row r="963">
      <c r="A963" s="16" t="s">
        <v>788</v>
      </c>
      <c r="B963" s="17">
        <v>440.0</v>
      </c>
      <c r="C963" s="16" t="s">
        <v>18</v>
      </c>
      <c r="D963" s="18">
        <v>5607.0</v>
      </c>
      <c r="E963" s="19">
        <v>45138.0</v>
      </c>
      <c r="F963" s="17">
        <v>0.0</v>
      </c>
      <c r="G963" s="20">
        <v>2023.07</v>
      </c>
      <c r="H963" s="21" t="s">
        <v>27</v>
      </c>
      <c r="I963" s="21" t="s">
        <v>52</v>
      </c>
      <c r="J963" s="38" t="s">
        <v>1057</v>
      </c>
      <c r="K963" s="16" t="s">
        <v>21</v>
      </c>
      <c r="L963" s="22">
        <v>15.0</v>
      </c>
      <c r="M963" s="55">
        <v>0.0</v>
      </c>
      <c r="N963" s="23">
        <v>0.0</v>
      </c>
      <c r="O963" s="23">
        <v>440.0</v>
      </c>
      <c r="P963" s="24"/>
      <c r="Q963" s="23">
        <v>2000.0</v>
      </c>
      <c r="R963" s="25"/>
      <c r="S963" s="26"/>
      <c r="T963" s="16" t="b">
        <v>0</v>
      </c>
    </row>
    <row r="964">
      <c r="A964" s="4" t="s">
        <v>1058</v>
      </c>
      <c r="B964" s="5">
        <v>2400.0</v>
      </c>
      <c r="C964" s="4" t="s">
        <v>572</v>
      </c>
      <c r="D964" s="39"/>
      <c r="E964" s="7">
        <v>45138.0</v>
      </c>
      <c r="F964" s="34"/>
      <c r="G964" s="8">
        <v>2023.0</v>
      </c>
      <c r="H964" s="9" t="s">
        <v>766</v>
      </c>
      <c r="I964" s="9" t="s">
        <v>252</v>
      </c>
      <c r="J964" s="9" t="s">
        <v>1059</v>
      </c>
      <c r="K964" s="4" t="s">
        <v>21</v>
      </c>
      <c r="L964" s="10">
        <v>30.0</v>
      </c>
      <c r="M964" s="54">
        <v>0.0</v>
      </c>
      <c r="N964" s="12">
        <v>0.0</v>
      </c>
      <c r="O964" s="12">
        <v>2400.0</v>
      </c>
      <c r="P964" s="13"/>
      <c r="Q964" s="12">
        <v>2400.0</v>
      </c>
      <c r="R964" s="14"/>
      <c r="S964" s="15"/>
      <c r="T964" s="4" t="b">
        <v>0</v>
      </c>
    </row>
    <row r="965">
      <c r="A965" s="16" t="s">
        <v>1060</v>
      </c>
      <c r="B965" s="17">
        <f>1900*1.282049</f>
        <v>2435.8931</v>
      </c>
      <c r="C965" s="16" t="s">
        <v>18</v>
      </c>
      <c r="D965" s="18" t="s">
        <v>1061</v>
      </c>
      <c r="E965" s="19">
        <v>45107.0</v>
      </c>
      <c r="F965" s="35">
        <f>70.6*1.282049</f>
        <v>90.5126594</v>
      </c>
      <c r="G965" s="20">
        <v>2023.0</v>
      </c>
      <c r="H965" s="21" t="s">
        <v>766</v>
      </c>
      <c r="I965" s="21" t="s">
        <v>252</v>
      </c>
      <c r="J965" s="21" t="s">
        <v>1062</v>
      </c>
      <c r="K965" s="16" t="s">
        <v>9</v>
      </c>
      <c r="L965" s="22">
        <v>15.0</v>
      </c>
      <c r="M965" s="55">
        <v>0.2</v>
      </c>
      <c r="N965" s="23">
        <v>469.07608812</v>
      </c>
      <c r="O965" s="23">
        <v>1876.30435248</v>
      </c>
      <c r="P965" s="24"/>
      <c r="Q965" s="23">
        <v>3800.0</v>
      </c>
      <c r="R965" s="25"/>
      <c r="S965" s="26">
        <v>45108.0</v>
      </c>
      <c r="T965" s="16" t="b">
        <v>0</v>
      </c>
    </row>
    <row r="966">
      <c r="A966" s="4" t="s">
        <v>1060</v>
      </c>
      <c r="B966" s="5">
        <f>1900*1.308918</f>
        <v>2486.9442</v>
      </c>
      <c r="C966" s="4" t="s">
        <v>18</v>
      </c>
      <c r="D966" s="6" t="s">
        <v>1063</v>
      </c>
      <c r="E966" s="7">
        <v>45153.0</v>
      </c>
      <c r="F966" s="34">
        <f>126.1*1.308918</f>
        <v>165.0545598</v>
      </c>
      <c r="G966" s="8">
        <v>2023.0</v>
      </c>
      <c r="H966" s="9" t="s">
        <v>766</v>
      </c>
      <c r="I966" s="9" t="s">
        <v>252</v>
      </c>
      <c r="J966" s="9" t="s">
        <v>1064</v>
      </c>
      <c r="K966" s="4" t="s">
        <v>9</v>
      </c>
      <c r="L966" s="10">
        <v>15.0</v>
      </c>
      <c r="M966" s="54">
        <v>0.2</v>
      </c>
      <c r="N966" s="12">
        <v>464.37792804000003</v>
      </c>
      <c r="O966" s="12">
        <v>1857.5117121600001</v>
      </c>
      <c r="P966" s="13"/>
      <c r="Q966" s="12">
        <v>1900.0</v>
      </c>
      <c r="R966" s="9" t="s">
        <v>1065</v>
      </c>
      <c r="S966" s="15">
        <v>45108.0</v>
      </c>
      <c r="T966" s="4" t="b">
        <v>0</v>
      </c>
    </row>
    <row r="967">
      <c r="A967" s="16" t="s">
        <v>1066</v>
      </c>
      <c r="B967" s="17">
        <f>6100-2400-2400</f>
        <v>1300</v>
      </c>
      <c r="C967" s="16" t="s">
        <v>18</v>
      </c>
      <c r="D967" s="18">
        <v>5581.0</v>
      </c>
      <c r="E967" s="19">
        <v>45113.0</v>
      </c>
      <c r="F967" s="17">
        <v>40.44</v>
      </c>
      <c r="G967" s="20">
        <v>2023.0</v>
      </c>
      <c r="H967" s="21" t="s">
        <v>766</v>
      </c>
      <c r="I967" s="21" t="s">
        <v>688</v>
      </c>
      <c r="J967" s="21" t="s">
        <v>1067</v>
      </c>
      <c r="K967" s="16" t="s">
        <v>21</v>
      </c>
      <c r="L967" s="22">
        <v>30.0</v>
      </c>
      <c r="M967" s="55">
        <v>0.0</v>
      </c>
      <c r="N967" s="23">
        <v>0.0</v>
      </c>
      <c r="O967" s="23">
        <v>1259.56</v>
      </c>
      <c r="P967" s="24"/>
      <c r="Q967" s="23"/>
      <c r="R967" s="25"/>
      <c r="S967" s="26">
        <v>45108.0</v>
      </c>
      <c r="T967" s="16" t="b">
        <v>0</v>
      </c>
    </row>
    <row r="968">
      <c r="A968" s="4" t="s">
        <v>1066</v>
      </c>
      <c r="B968" s="5">
        <v>1100.0</v>
      </c>
      <c r="C968" s="4" t="s">
        <v>18</v>
      </c>
      <c r="D968" s="6">
        <v>5593.0</v>
      </c>
      <c r="E968" s="7">
        <v>45138.0</v>
      </c>
      <c r="F968" s="5">
        <v>34.22</v>
      </c>
      <c r="G968" s="8">
        <v>2023.0</v>
      </c>
      <c r="H968" s="9" t="s">
        <v>766</v>
      </c>
      <c r="I968" s="9" t="s">
        <v>688</v>
      </c>
      <c r="J968" s="9" t="s">
        <v>1068</v>
      </c>
      <c r="K968" s="4" t="s">
        <v>21</v>
      </c>
      <c r="L968" s="10">
        <v>30.0</v>
      </c>
      <c r="M968" s="54">
        <v>0.0</v>
      </c>
      <c r="N968" s="12">
        <v>0.0</v>
      </c>
      <c r="O968" s="12">
        <v>1065.78</v>
      </c>
      <c r="P968" s="13"/>
      <c r="Q968" s="12">
        <v>6100.0</v>
      </c>
      <c r="R968" s="14"/>
      <c r="S968" s="15">
        <v>45108.0</v>
      </c>
      <c r="T968" s="4" t="b">
        <v>0</v>
      </c>
    </row>
    <row r="969">
      <c r="A969" s="16" t="s">
        <v>1066</v>
      </c>
      <c r="B969" s="17">
        <v>3700.0</v>
      </c>
      <c r="C969" s="16" t="s">
        <v>18</v>
      </c>
      <c r="D969" s="18">
        <v>5594.0</v>
      </c>
      <c r="E969" s="19">
        <v>45138.0</v>
      </c>
      <c r="F969" s="17">
        <v>115.11</v>
      </c>
      <c r="G969" s="20">
        <v>2023.0</v>
      </c>
      <c r="H969" s="21" t="s">
        <v>766</v>
      </c>
      <c r="I969" s="21" t="s">
        <v>688</v>
      </c>
      <c r="J969" s="21" t="s">
        <v>1069</v>
      </c>
      <c r="K969" s="16" t="s">
        <v>21</v>
      </c>
      <c r="L969" s="22">
        <v>30.0</v>
      </c>
      <c r="M969" s="55">
        <v>0.0</v>
      </c>
      <c r="N969" s="23">
        <v>0.0</v>
      </c>
      <c r="O969" s="23">
        <v>3584.89</v>
      </c>
      <c r="P969" s="24"/>
      <c r="Q969" s="23">
        <v>6100.0</v>
      </c>
      <c r="R969" s="25"/>
      <c r="S969" s="26">
        <v>45108.0</v>
      </c>
      <c r="T969" s="16" t="b">
        <v>0</v>
      </c>
    </row>
    <row r="970">
      <c r="A970" s="4" t="s">
        <v>1070</v>
      </c>
      <c r="B970" s="5">
        <f>750*1.308821</f>
        <v>981.61575</v>
      </c>
      <c r="C970" s="4" t="s">
        <v>18</v>
      </c>
      <c r="D970" s="6" t="s">
        <v>1071</v>
      </c>
      <c r="E970" s="7">
        <v>45122.0</v>
      </c>
      <c r="F970" s="34">
        <f>28.05*1.308821</f>
        <v>36.71242905</v>
      </c>
      <c r="G970" s="8">
        <v>2023.07</v>
      </c>
      <c r="H970" s="9" t="s">
        <v>27</v>
      </c>
      <c r="I970" s="9" t="s">
        <v>52</v>
      </c>
      <c r="J970" s="9" t="s">
        <v>1072</v>
      </c>
      <c r="K970" s="4" t="s">
        <v>9</v>
      </c>
      <c r="L970" s="10">
        <v>15.0</v>
      </c>
      <c r="M970" s="54">
        <v>0.2</v>
      </c>
      <c r="N970" s="12">
        <v>188.98066419000003</v>
      </c>
      <c r="O970" s="12">
        <v>755.9226567600001</v>
      </c>
      <c r="P970" s="13"/>
      <c r="Q970" s="12">
        <v>750.0</v>
      </c>
      <c r="R970" s="14"/>
      <c r="S970" s="15">
        <v>45108.0</v>
      </c>
      <c r="T970" s="4" t="b">
        <v>0</v>
      </c>
    </row>
    <row r="971">
      <c r="A971" s="16" t="s">
        <v>99</v>
      </c>
      <c r="B971" s="17">
        <f>1430*1.276423</f>
        <v>1825.28489</v>
      </c>
      <c r="C971" s="16" t="s">
        <v>18</v>
      </c>
      <c r="D971" s="18" t="s">
        <v>1073</v>
      </c>
      <c r="E971" s="19">
        <v>45122.0</v>
      </c>
      <c r="F971" s="35">
        <f>53.21*1.276423</f>
        <v>67.91846783</v>
      </c>
      <c r="G971" s="20">
        <v>2023.07</v>
      </c>
      <c r="H971" s="21" t="s">
        <v>27</v>
      </c>
      <c r="I971" s="21" t="s">
        <v>52</v>
      </c>
      <c r="J971" s="21" t="s">
        <v>101</v>
      </c>
      <c r="K971" s="16" t="s">
        <v>9</v>
      </c>
      <c r="L971" s="22">
        <v>30.0</v>
      </c>
      <c r="M971" s="55">
        <v>0.2</v>
      </c>
      <c r="N971" s="23">
        <v>351.47328443400005</v>
      </c>
      <c r="O971" s="23">
        <v>1405.893137736</v>
      </c>
      <c r="P971" s="24"/>
      <c r="Q971" s="23">
        <v>1430.0</v>
      </c>
      <c r="R971" s="25"/>
      <c r="S971" s="26">
        <v>45108.0</v>
      </c>
      <c r="T971" s="16" t="b">
        <v>0</v>
      </c>
    </row>
    <row r="972">
      <c r="A972" s="4" t="s">
        <v>225</v>
      </c>
      <c r="B972" s="5">
        <v>5000.0</v>
      </c>
      <c r="C972" s="4" t="s">
        <v>18</v>
      </c>
      <c r="D972" s="6">
        <v>5583.0</v>
      </c>
      <c r="E972" s="7">
        <v>45122.0</v>
      </c>
      <c r="F972" s="5">
        <v>0.0</v>
      </c>
      <c r="G972" s="8">
        <v>2023.07</v>
      </c>
      <c r="H972" s="9" t="s">
        <v>27</v>
      </c>
      <c r="I972" s="9" t="s">
        <v>52</v>
      </c>
      <c r="J972" s="9" t="s">
        <v>1074</v>
      </c>
      <c r="K972" s="4" t="s">
        <v>21</v>
      </c>
      <c r="L972" s="10">
        <v>30.0</v>
      </c>
      <c r="M972" s="54">
        <v>0.0</v>
      </c>
      <c r="N972" s="12">
        <v>0.0</v>
      </c>
      <c r="O972" s="12">
        <v>5000.0</v>
      </c>
      <c r="P972" s="13"/>
      <c r="Q972" s="12">
        <v>5000.0</v>
      </c>
      <c r="R972" s="14"/>
      <c r="S972" s="15">
        <v>45108.0</v>
      </c>
      <c r="T972" s="4" t="b">
        <v>0</v>
      </c>
    </row>
    <row r="973">
      <c r="A973" s="16" t="s">
        <v>102</v>
      </c>
      <c r="B973" s="17">
        <f>350*1.292719</f>
        <v>452.45165</v>
      </c>
      <c r="C973" s="16" t="s">
        <v>18</v>
      </c>
      <c r="D973" s="18" t="s">
        <v>1075</v>
      </c>
      <c r="E973" s="19">
        <v>45122.0</v>
      </c>
      <c r="F973" s="35">
        <f>13.25*1.292719</f>
        <v>17.12852675</v>
      </c>
      <c r="G973" s="20">
        <v>2023.07</v>
      </c>
      <c r="H973" s="21" t="s">
        <v>27</v>
      </c>
      <c r="I973" s="21" t="s">
        <v>52</v>
      </c>
      <c r="J973" s="21" t="s">
        <v>104</v>
      </c>
      <c r="K973" s="16" t="s">
        <v>9</v>
      </c>
      <c r="L973" s="22">
        <v>30.0</v>
      </c>
      <c r="M973" s="55">
        <v>0.0</v>
      </c>
      <c r="N973" s="23">
        <v>0.0</v>
      </c>
      <c r="O973" s="23">
        <v>435.32312325</v>
      </c>
      <c r="P973" s="24"/>
      <c r="Q973" s="23">
        <v>350.0</v>
      </c>
      <c r="R973" s="25"/>
      <c r="S973" s="26">
        <v>45108.0</v>
      </c>
      <c r="T973" s="16" t="b">
        <v>0</v>
      </c>
    </row>
    <row r="974">
      <c r="A974" s="4" t="s">
        <v>924</v>
      </c>
      <c r="B974" s="5">
        <f>60*1.276423</f>
        <v>76.58538</v>
      </c>
      <c r="C974" s="4" t="s">
        <v>18</v>
      </c>
      <c r="D974" s="6" t="s">
        <v>1076</v>
      </c>
      <c r="E974" s="7">
        <v>45122.0</v>
      </c>
      <c r="F974" s="34">
        <f>2.52*1.276423</f>
        <v>3.21658596</v>
      </c>
      <c r="G974" s="8">
        <v>2023.07</v>
      </c>
      <c r="H974" s="9" t="s">
        <v>27</v>
      </c>
      <c r="I974" s="9" t="s">
        <v>52</v>
      </c>
      <c r="J974" s="9" t="s">
        <v>926</v>
      </c>
      <c r="K974" s="4" t="s">
        <v>9</v>
      </c>
      <c r="L974" s="10">
        <v>30.0</v>
      </c>
      <c r="M974" s="54">
        <v>0.0</v>
      </c>
      <c r="N974" s="12">
        <v>0.0</v>
      </c>
      <c r="O974" s="12">
        <v>73.36879404</v>
      </c>
      <c r="P974" s="13"/>
      <c r="Q974" s="12">
        <v>60.0</v>
      </c>
      <c r="R974" s="14"/>
      <c r="S974" s="15">
        <v>45108.0</v>
      </c>
      <c r="T974" s="4" t="b">
        <v>0</v>
      </c>
    </row>
    <row r="975">
      <c r="A975" s="16" t="s">
        <v>62</v>
      </c>
      <c r="B975" s="17">
        <v>1600.0</v>
      </c>
      <c r="C975" s="16" t="s">
        <v>18</v>
      </c>
      <c r="D975" s="18">
        <v>5584.0</v>
      </c>
      <c r="E975" s="19">
        <v>45122.0</v>
      </c>
      <c r="F975" s="17">
        <v>49.78</v>
      </c>
      <c r="G975" s="20">
        <v>2023.07</v>
      </c>
      <c r="H975" s="21" t="s">
        <v>27</v>
      </c>
      <c r="I975" s="21" t="s">
        <v>52</v>
      </c>
      <c r="J975" s="21" t="s">
        <v>63</v>
      </c>
      <c r="K975" s="16" t="s">
        <v>21</v>
      </c>
      <c r="L975" s="22">
        <v>30.0</v>
      </c>
      <c r="M975" s="55">
        <v>0.0</v>
      </c>
      <c r="N975" s="23">
        <v>0.0</v>
      </c>
      <c r="O975" s="23">
        <v>1550.22</v>
      </c>
      <c r="P975" s="24"/>
      <c r="Q975" s="23">
        <v>1600.0</v>
      </c>
      <c r="R975" s="25"/>
      <c r="S975" s="26">
        <v>45108.0</v>
      </c>
      <c r="T975" s="16" t="b">
        <v>0</v>
      </c>
    </row>
    <row r="976">
      <c r="A976" s="4" t="s">
        <v>467</v>
      </c>
      <c r="B976" s="5">
        <v>280.0</v>
      </c>
      <c r="C976" s="4" t="s">
        <v>975</v>
      </c>
      <c r="D976" s="6" t="s">
        <v>1077</v>
      </c>
      <c r="E976" s="7">
        <v>45122.0</v>
      </c>
      <c r="F976" s="34"/>
      <c r="G976" s="8">
        <v>2023.07</v>
      </c>
      <c r="H976" s="9" t="s">
        <v>27</v>
      </c>
      <c r="I976" s="9" t="s">
        <v>52</v>
      </c>
      <c r="J976" s="9" t="s">
        <v>469</v>
      </c>
      <c r="K976" s="4" t="s">
        <v>9</v>
      </c>
      <c r="L976" s="10">
        <v>0.0</v>
      </c>
      <c r="M976" s="54">
        <v>0.2</v>
      </c>
      <c r="N976" s="12">
        <v>56.0</v>
      </c>
      <c r="O976" s="12">
        <v>224.0</v>
      </c>
      <c r="P976" s="13"/>
      <c r="Q976" s="12">
        <v>280.0</v>
      </c>
      <c r="R976" s="14"/>
      <c r="S976" s="15"/>
      <c r="T976" s="4" t="b">
        <v>0</v>
      </c>
    </row>
    <row r="977">
      <c r="A977" s="16" t="s">
        <v>629</v>
      </c>
      <c r="B977" s="17">
        <f>280*1.2927</f>
        <v>361.956</v>
      </c>
      <c r="C977" s="16" t="s">
        <v>18</v>
      </c>
      <c r="D977" s="18" t="s">
        <v>1078</v>
      </c>
      <c r="E977" s="19">
        <v>45122.0</v>
      </c>
      <c r="F977" s="17">
        <v>10.8</v>
      </c>
      <c r="G977" s="20">
        <v>2023.07</v>
      </c>
      <c r="H977" s="21" t="s">
        <v>27</v>
      </c>
      <c r="I977" s="21" t="s">
        <v>52</v>
      </c>
      <c r="J977" s="21" t="s">
        <v>469</v>
      </c>
      <c r="K977" s="16" t="s">
        <v>9</v>
      </c>
      <c r="L977" s="22"/>
      <c r="M977" s="55">
        <v>0.0</v>
      </c>
      <c r="N977" s="23">
        <v>0.0</v>
      </c>
      <c r="O977" s="23">
        <v>351.156</v>
      </c>
      <c r="P977" s="24"/>
      <c r="Q977" s="23">
        <v>280.0</v>
      </c>
      <c r="R977" s="25"/>
      <c r="S977" s="26">
        <v>45108.0</v>
      </c>
      <c r="T977" s="16" t="b">
        <v>0</v>
      </c>
    </row>
    <row r="978">
      <c r="A978" s="4" t="s">
        <v>762</v>
      </c>
      <c r="B978" s="5">
        <v>865.0</v>
      </c>
      <c r="C978" s="4" t="s">
        <v>18</v>
      </c>
      <c r="D978" s="6">
        <v>5585.0</v>
      </c>
      <c r="E978" s="7">
        <v>45122.0</v>
      </c>
      <c r="F978" s="5">
        <v>0.0</v>
      </c>
      <c r="G978" s="8">
        <v>2023.07</v>
      </c>
      <c r="H978" s="9" t="s">
        <v>27</v>
      </c>
      <c r="I978" s="9" t="s">
        <v>52</v>
      </c>
      <c r="J978" s="9" t="s">
        <v>763</v>
      </c>
      <c r="K978" s="4" t="s">
        <v>21</v>
      </c>
      <c r="L978" s="10">
        <v>15.0</v>
      </c>
      <c r="M978" s="54">
        <v>0.0</v>
      </c>
      <c r="N978" s="12">
        <v>0.0</v>
      </c>
      <c r="O978" s="12">
        <v>865.0</v>
      </c>
      <c r="P978" s="13"/>
      <c r="Q978" s="12">
        <v>865.0</v>
      </c>
      <c r="R978" s="14"/>
      <c r="S978" s="15">
        <v>45108.0</v>
      </c>
      <c r="T978" s="4" t="b">
        <v>0</v>
      </c>
    </row>
    <row r="979">
      <c r="A979" s="16" t="s">
        <v>662</v>
      </c>
      <c r="B979" s="17">
        <v>2500.0</v>
      </c>
      <c r="C979" s="16" t="s">
        <v>18</v>
      </c>
      <c r="D979" s="18">
        <v>5586.0</v>
      </c>
      <c r="E979" s="19">
        <v>45122.0</v>
      </c>
      <c r="F979" s="17">
        <v>0.0</v>
      </c>
      <c r="G979" s="20">
        <v>2023.07</v>
      </c>
      <c r="H979" s="21" t="s">
        <v>27</v>
      </c>
      <c r="I979" s="21" t="s">
        <v>52</v>
      </c>
      <c r="J979" s="21" t="s">
        <v>764</v>
      </c>
      <c r="K979" s="16" t="s">
        <v>21</v>
      </c>
      <c r="L979" s="22">
        <v>15.0</v>
      </c>
      <c r="M979" s="55">
        <v>0.0</v>
      </c>
      <c r="N979" s="23">
        <v>0.0</v>
      </c>
      <c r="O979" s="23">
        <v>2500.0</v>
      </c>
      <c r="P979" s="24"/>
      <c r="Q979" s="23">
        <v>2500.0</v>
      </c>
      <c r="R979" s="25"/>
      <c r="S979" s="26"/>
      <c r="T979" s="16" t="b">
        <v>0</v>
      </c>
    </row>
    <row r="980">
      <c r="A980" s="4" t="s">
        <v>788</v>
      </c>
      <c r="B980" s="5">
        <v>2000.0</v>
      </c>
      <c r="C980" s="4" t="s">
        <v>18</v>
      </c>
      <c r="D980" s="6">
        <v>5587.0</v>
      </c>
      <c r="E980" s="7">
        <v>45122.0</v>
      </c>
      <c r="F980" s="5">
        <v>0.0</v>
      </c>
      <c r="G980" s="8">
        <v>2023.07</v>
      </c>
      <c r="H980" s="9" t="s">
        <v>27</v>
      </c>
      <c r="I980" s="9" t="s">
        <v>52</v>
      </c>
      <c r="J980" s="9" t="s">
        <v>789</v>
      </c>
      <c r="K980" s="4" t="s">
        <v>21</v>
      </c>
      <c r="L980" s="10">
        <v>15.0</v>
      </c>
      <c r="M980" s="54">
        <v>0.0</v>
      </c>
      <c r="N980" s="12">
        <v>0.0</v>
      </c>
      <c r="O980" s="12">
        <v>2000.0</v>
      </c>
      <c r="P980" s="13"/>
      <c r="Q980" s="12">
        <v>2000.0</v>
      </c>
      <c r="R980" s="14"/>
      <c r="S980" s="15">
        <v>45108.0</v>
      </c>
      <c r="T980" s="4" t="b">
        <v>0</v>
      </c>
    </row>
    <row r="981">
      <c r="A981" s="16" t="s">
        <v>795</v>
      </c>
      <c r="B981" s="17">
        <v>2000.0</v>
      </c>
      <c r="C981" s="16" t="s">
        <v>18</v>
      </c>
      <c r="D981" s="18">
        <v>5588.0</v>
      </c>
      <c r="E981" s="19">
        <v>45122.0</v>
      </c>
      <c r="F981" s="17">
        <v>62.22</v>
      </c>
      <c r="G981" s="20">
        <v>2023.07</v>
      </c>
      <c r="H981" s="21" t="s">
        <v>27</v>
      </c>
      <c r="I981" s="21" t="s">
        <v>52</v>
      </c>
      <c r="J981" s="21" t="s">
        <v>796</v>
      </c>
      <c r="K981" s="16" t="s">
        <v>21</v>
      </c>
      <c r="L981" s="22">
        <v>0.0</v>
      </c>
      <c r="M981" s="55">
        <v>0.0</v>
      </c>
      <c r="N981" s="23">
        <v>0.0</v>
      </c>
      <c r="O981" s="23">
        <v>1937.78</v>
      </c>
      <c r="P981" s="24"/>
      <c r="Q981" s="23">
        <v>2000.0</v>
      </c>
      <c r="R981" s="25"/>
      <c r="S981" s="26">
        <v>45108.0</v>
      </c>
      <c r="T981" s="16" t="b">
        <v>0</v>
      </c>
    </row>
    <row r="982">
      <c r="A982" s="4" t="s">
        <v>884</v>
      </c>
      <c r="B982" s="5">
        <f>250*1.3056</f>
        <v>326.4</v>
      </c>
      <c r="C982" s="4" t="s">
        <v>18</v>
      </c>
      <c r="D982" s="6" t="s">
        <v>1079</v>
      </c>
      <c r="E982" s="7">
        <v>45122.0</v>
      </c>
      <c r="F982" s="5">
        <v>0.0</v>
      </c>
      <c r="G982" s="8">
        <v>2023.07</v>
      </c>
      <c r="H982" s="9" t="s">
        <v>27</v>
      </c>
      <c r="I982" s="9" t="s">
        <v>52</v>
      </c>
      <c r="J982" s="9" t="s">
        <v>857</v>
      </c>
      <c r="K982" s="4" t="s">
        <v>9</v>
      </c>
      <c r="L982" s="4">
        <v>15.0</v>
      </c>
      <c r="M982" s="54">
        <v>0.2</v>
      </c>
      <c r="N982" s="12">
        <v>65.28000000000002</v>
      </c>
      <c r="O982" s="12">
        <v>261.12</v>
      </c>
      <c r="P982" s="13"/>
      <c r="Q982" s="12">
        <v>250.0</v>
      </c>
      <c r="R982" s="14"/>
      <c r="S982" s="15">
        <v>45108.0</v>
      </c>
      <c r="T982" s="4" t="b">
        <v>0</v>
      </c>
    </row>
    <row r="983">
      <c r="A983" s="16" t="s">
        <v>966</v>
      </c>
      <c r="B983" s="17">
        <v>1800.0</v>
      </c>
      <c r="C983" s="16" t="s">
        <v>18</v>
      </c>
      <c r="D983" s="18">
        <v>5589.0</v>
      </c>
      <c r="E983" s="19">
        <v>45122.0</v>
      </c>
      <c r="F983" s="17">
        <v>56.0</v>
      </c>
      <c r="G983" s="20">
        <v>2023.07</v>
      </c>
      <c r="H983" s="21" t="s">
        <v>27</v>
      </c>
      <c r="I983" s="21" t="s">
        <v>52</v>
      </c>
      <c r="J983" s="21" t="s">
        <v>1080</v>
      </c>
      <c r="K983" s="16" t="s">
        <v>21</v>
      </c>
      <c r="L983" s="22">
        <v>15.0</v>
      </c>
      <c r="M983" s="55">
        <v>0.1</v>
      </c>
      <c r="N983" s="23">
        <v>174.4</v>
      </c>
      <c r="O983" s="23">
        <v>1569.6</v>
      </c>
      <c r="P983" s="24"/>
      <c r="Q983" s="23">
        <v>1800.0</v>
      </c>
      <c r="R983" s="25"/>
      <c r="S983" s="26">
        <v>45108.0</v>
      </c>
      <c r="T983" s="16" t="b">
        <v>0</v>
      </c>
    </row>
    <row r="984">
      <c r="A984" s="4" t="s">
        <v>795</v>
      </c>
      <c r="B984" s="5">
        <v>600.0</v>
      </c>
      <c r="C984" s="4" t="s">
        <v>18</v>
      </c>
      <c r="D984" s="6">
        <v>5595.0</v>
      </c>
      <c r="E984" s="7">
        <v>45138.0</v>
      </c>
      <c r="F984" s="5">
        <v>18.67</v>
      </c>
      <c r="G984" s="8">
        <v>2023.07</v>
      </c>
      <c r="H984" s="9" t="s">
        <v>27</v>
      </c>
      <c r="I984" s="9" t="s">
        <v>52</v>
      </c>
      <c r="J984" s="9" t="s">
        <v>1081</v>
      </c>
      <c r="K984" s="4" t="s">
        <v>21</v>
      </c>
      <c r="L984" s="10">
        <v>0.0</v>
      </c>
      <c r="M984" s="54">
        <v>0.0</v>
      </c>
      <c r="N984" s="12">
        <v>0.0</v>
      </c>
      <c r="O984" s="12">
        <v>581.33</v>
      </c>
      <c r="P984" s="13"/>
      <c r="Q984" s="12">
        <v>2000.0</v>
      </c>
      <c r="R984" s="9" t="s">
        <v>1082</v>
      </c>
      <c r="S984" s="15"/>
      <c r="T984" s="4" t="b">
        <v>0</v>
      </c>
    </row>
    <row r="985">
      <c r="A985" s="16" t="s">
        <v>223</v>
      </c>
      <c r="B985" s="17">
        <v>800.0</v>
      </c>
      <c r="C985" s="16" t="s">
        <v>18</v>
      </c>
      <c r="D985" s="18">
        <v>5596.0</v>
      </c>
      <c r="E985" s="19">
        <v>45138.0</v>
      </c>
      <c r="F985" s="17">
        <v>24.89</v>
      </c>
      <c r="G985" s="20">
        <v>2023.07</v>
      </c>
      <c r="H985" s="21" t="s">
        <v>51</v>
      </c>
      <c r="I985" s="21" t="s">
        <v>52</v>
      </c>
      <c r="J985" s="21" t="s">
        <v>247</v>
      </c>
      <c r="K985" s="16" t="s">
        <v>21</v>
      </c>
      <c r="L985" s="22">
        <v>30.0</v>
      </c>
      <c r="M985" s="55">
        <v>0.0</v>
      </c>
      <c r="N985" s="23">
        <v>0.0</v>
      </c>
      <c r="O985" s="23">
        <v>775.11</v>
      </c>
      <c r="P985" s="24"/>
      <c r="Q985" s="23">
        <v>800.0</v>
      </c>
      <c r="R985" s="25"/>
      <c r="S985" s="26">
        <v>45108.0</v>
      </c>
      <c r="T985" s="16" t="b">
        <v>0</v>
      </c>
    </row>
    <row r="986">
      <c r="A986" s="4" t="s">
        <v>54</v>
      </c>
      <c r="B986" s="5">
        <v>750.0</v>
      </c>
      <c r="C986" s="4" t="s">
        <v>18</v>
      </c>
      <c r="D986" s="6">
        <v>5591.0</v>
      </c>
      <c r="E986" s="7">
        <v>45138.0</v>
      </c>
      <c r="F986" s="5">
        <v>23.33</v>
      </c>
      <c r="G986" s="8">
        <v>2023.07</v>
      </c>
      <c r="H986" s="9" t="s">
        <v>51</v>
      </c>
      <c r="I986" s="9" t="s">
        <v>52</v>
      </c>
      <c r="J986" s="9" t="s">
        <v>55</v>
      </c>
      <c r="K986" s="4" t="s">
        <v>21</v>
      </c>
      <c r="L986" s="10">
        <v>30.0</v>
      </c>
      <c r="M986" s="54">
        <v>0.0</v>
      </c>
      <c r="N986" s="12">
        <v>0.0</v>
      </c>
      <c r="O986" s="12">
        <v>726.67</v>
      </c>
      <c r="P986" s="13"/>
      <c r="Q986" s="12">
        <v>750.0</v>
      </c>
      <c r="R986" s="14"/>
      <c r="S986" s="15">
        <v>45108.0</v>
      </c>
      <c r="T986" s="4" t="b">
        <v>0</v>
      </c>
    </row>
    <row r="987">
      <c r="A987" s="16" t="s">
        <v>120</v>
      </c>
      <c r="B987" s="17">
        <f>1000*1.308918</f>
        <v>1308.918</v>
      </c>
      <c r="C987" s="16" t="s">
        <v>18</v>
      </c>
      <c r="D987" s="18" t="s">
        <v>1083</v>
      </c>
      <c r="E987" s="19">
        <v>45138.0</v>
      </c>
      <c r="F987" s="35">
        <f>37.3*1.308918</f>
        <v>48.8226414</v>
      </c>
      <c r="G987" s="20">
        <v>2023.07</v>
      </c>
      <c r="H987" s="21" t="s">
        <v>51</v>
      </c>
      <c r="I987" s="21" t="s">
        <v>52</v>
      </c>
      <c r="J987" s="21" t="s">
        <v>947</v>
      </c>
      <c r="K987" s="16" t="s">
        <v>9</v>
      </c>
      <c r="L987" s="22">
        <v>30.0</v>
      </c>
      <c r="M987" s="55">
        <v>0.2</v>
      </c>
      <c r="N987" s="23">
        <v>252.01907172000003</v>
      </c>
      <c r="O987" s="23">
        <v>1008.07628688</v>
      </c>
      <c r="P987" s="24"/>
      <c r="Q987" s="23">
        <v>1000.0</v>
      </c>
      <c r="R987" s="25"/>
      <c r="S987" s="26">
        <v>45108.0</v>
      </c>
      <c r="T987" s="16" t="b">
        <v>0</v>
      </c>
    </row>
    <row r="988">
      <c r="A988" s="4" t="s">
        <v>42</v>
      </c>
      <c r="B988" s="5">
        <v>1500.0</v>
      </c>
      <c r="C988" s="4" t="s">
        <v>975</v>
      </c>
      <c r="D988" s="6">
        <v>5597.0</v>
      </c>
      <c r="E988" s="7">
        <v>45138.0</v>
      </c>
      <c r="F988" s="34"/>
      <c r="G988" s="8">
        <v>2023.07</v>
      </c>
      <c r="H988" s="9" t="s">
        <v>51</v>
      </c>
      <c r="I988" s="9" t="s">
        <v>52</v>
      </c>
      <c r="J988" s="9" t="s">
        <v>43</v>
      </c>
      <c r="K988" s="4" t="s">
        <v>21</v>
      </c>
      <c r="L988" s="10">
        <v>30.0</v>
      </c>
      <c r="M988" s="54">
        <v>0.15</v>
      </c>
      <c r="N988" s="12">
        <v>225.0</v>
      </c>
      <c r="O988" s="12">
        <v>1275.0</v>
      </c>
      <c r="P988" s="13"/>
      <c r="Q988" s="12">
        <v>1500.0</v>
      </c>
      <c r="R988" s="14"/>
      <c r="S988" s="15"/>
      <c r="T988" s="4" t="b">
        <v>0</v>
      </c>
    </row>
    <row r="989">
      <c r="A989" s="16" t="s">
        <v>82</v>
      </c>
      <c r="B989" s="17">
        <v>860.0</v>
      </c>
      <c r="C989" s="16" t="s">
        <v>18</v>
      </c>
      <c r="D989" s="18">
        <v>5598.0</v>
      </c>
      <c r="E989" s="19">
        <v>45138.0</v>
      </c>
      <c r="F989" s="17">
        <v>0.0</v>
      </c>
      <c r="G989" s="20">
        <v>2023.07</v>
      </c>
      <c r="H989" s="21" t="s">
        <v>51</v>
      </c>
      <c r="I989" s="21" t="s">
        <v>52</v>
      </c>
      <c r="J989" s="21" t="s">
        <v>1023</v>
      </c>
      <c r="K989" s="16" t="s">
        <v>21</v>
      </c>
      <c r="L989" s="22">
        <v>30.0</v>
      </c>
      <c r="M989" s="55">
        <v>0.0</v>
      </c>
      <c r="N989" s="23">
        <v>0.0</v>
      </c>
      <c r="O989" s="23">
        <v>860.0</v>
      </c>
      <c r="P989" s="24"/>
      <c r="Q989" s="23">
        <v>860.0</v>
      </c>
      <c r="R989" s="25"/>
      <c r="S989" s="26">
        <v>45108.0</v>
      </c>
      <c r="T989" s="16" t="b">
        <v>0</v>
      </c>
    </row>
    <row r="990">
      <c r="A990" s="4" t="s">
        <v>88</v>
      </c>
      <c r="B990" s="5">
        <v>500.0</v>
      </c>
      <c r="C990" s="4" t="s">
        <v>18</v>
      </c>
      <c r="D990" s="6">
        <v>5592.0</v>
      </c>
      <c r="E990" s="7">
        <v>45138.0</v>
      </c>
      <c r="F990" s="5">
        <v>15.56</v>
      </c>
      <c r="G990" s="8">
        <v>2023.07</v>
      </c>
      <c r="H990" s="9" t="s">
        <v>51</v>
      </c>
      <c r="I990" s="9" t="s">
        <v>52</v>
      </c>
      <c r="J990" s="9" t="s">
        <v>89</v>
      </c>
      <c r="K990" s="4" t="s">
        <v>21</v>
      </c>
      <c r="L990" s="10">
        <v>30.0</v>
      </c>
      <c r="M990" s="54">
        <v>0.0</v>
      </c>
      <c r="N990" s="12">
        <v>0.0</v>
      </c>
      <c r="O990" s="12">
        <v>484.44</v>
      </c>
      <c r="P990" s="13"/>
      <c r="Q990" s="12">
        <v>500.0</v>
      </c>
      <c r="R990" s="14"/>
      <c r="S990" s="15">
        <v>45108.0</v>
      </c>
      <c r="T990" s="4" t="b">
        <v>0</v>
      </c>
    </row>
    <row r="991">
      <c r="A991" s="16" t="s">
        <v>50</v>
      </c>
      <c r="B991" s="17">
        <v>412.5</v>
      </c>
      <c r="C991" s="16" t="s">
        <v>18</v>
      </c>
      <c r="D991" s="18">
        <v>5599.0</v>
      </c>
      <c r="E991" s="19">
        <v>45138.0</v>
      </c>
      <c r="F991" s="17">
        <v>0.0</v>
      </c>
      <c r="G991" s="20">
        <v>2023.07</v>
      </c>
      <c r="H991" s="21" t="s">
        <v>51</v>
      </c>
      <c r="I991" s="21" t="s">
        <v>52</v>
      </c>
      <c r="J991" s="21" t="s">
        <v>400</v>
      </c>
      <c r="K991" s="16" t="s">
        <v>21</v>
      </c>
      <c r="L991" s="22">
        <v>30.0</v>
      </c>
      <c r="M991" s="55">
        <v>0.0</v>
      </c>
      <c r="N991" s="23">
        <v>0.0</v>
      </c>
      <c r="O991" s="23">
        <v>412.5</v>
      </c>
      <c r="P991" s="24"/>
      <c r="Q991" s="23">
        <v>412.5</v>
      </c>
      <c r="R991" s="25"/>
      <c r="S991" s="26">
        <v>45108.0</v>
      </c>
      <c r="T991" s="16" t="b">
        <v>0</v>
      </c>
    </row>
    <row r="992">
      <c r="A992" s="4" t="s">
        <v>97</v>
      </c>
      <c r="B992" s="5">
        <v>330.0</v>
      </c>
      <c r="C992" s="4" t="s">
        <v>18</v>
      </c>
      <c r="D992" s="6">
        <v>5600.0</v>
      </c>
      <c r="E992" s="7">
        <v>45138.0</v>
      </c>
      <c r="F992" s="5">
        <v>10.27</v>
      </c>
      <c r="G992" s="8">
        <v>2023.07</v>
      </c>
      <c r="H992" s="9" t="s">
        <v>51</v>
      </c>
      <c r="I992" s="9" t="s">
        <v>52</v>
      </c>
      <c r="J992" s="9" t="s">
        <v>98</v>
      </c>
      <c r="K992" s="4" t="s">
        <v>21</v>
      </c>
      <c r="L992" s="10">
        <v>30.0</v>
      </c>
      <c r="M992" s="54">
        <v>0.0</v>
      </c>
      <c r="N992" s="12">
        <v>0.0</v>
      </c>
      <c r="O992" s="12">
        <v>319.73</v>
      </c>
      <c r="P992" s="13"/>
      <c r="Q992" s="12">
        <v>330.0</v>
      </c>
      <c r="R992" s="14"/>
      <c r="S992" s="15"/>
      <c r="T992" s="4" t="b">
        <v>0</v>
      </c>
    </row>
    <row r="993">
      <c r="A993" s="16" t="s">
        <v>92</v>
      </c>
      <c r="B993" s="17">
        <v>2500.0</v>
      </c>
      <c r="C993" s="16" t="s">
        <v>18</v>
      </c>
      <c r="D993" s="18">
        <v>5601.0</v>
      </c>
      <c r="E993" s="19">
        <v>45138.0</v>
      </c>
      <c r="F993" s="17">
        <v>77.78</v>
      </c>
      <c r="G993" s="20">
        <v>2023.07</v>
      </c>
      <c r="H993" s="21" t="s">
        <v>51</v>
      </c>
      <c r="I993" s="21" t="s">
        <v>52</v>
      </c>
      <c r="J993" s="21" t="s">
        <v>93</v>
      </c>
      <c r="K993" s="16" t="s">
        <v>21</v>
      </c>
      <c r="L993" s="22">
        <v>30.0</v>
      </c>
      <c r="M993" s="55">
        <v>0.0</v>
      </c>
      <c r="N993" s="23">
        <v>0.0</v>
      </c>
      <c r="O993" s="23">
        <v>2422.22</v>
      </c>
      <c r="P993" s="24"/>
      <c r="Q993" s="23">
        <v>2500.0</v>
      </c>
      <c r="R993" s="25"/>
      <c r="S993" s="26"/>
      <c r="T993" s="16" t="b">
        <v>0</v>
      </c>
    </row>
    <row r="994">
      <c r="A994" s="4" t="s">
        <v>123</v>
      </c>
      <c r="B994" s="5">
        <v>3000.0</v>
      </c>
      <c r="C994" s="4" t="s">
        <v>975</v>
      </c>
      <c r="D994" s="6" t="s">
        <v>1084</v>
      </c>
      <c r="E994" s="7">
        <v>45138.0</v>
      </c>
      <c r="F994" s="34"/>
      <c r="G994" s="8">
        <v>2023.07</v>
      </c>
      <c r="H994" s="9" t="s">
        <v>51</v>
      </c>
      <c r="I994" s="9" t="s">
        <v>52</v>
      </c>
      <c r="J994" s="9" t="s">
        <v>1085</v>
      </c>
      <c r="K994" s="4" t="s">
        <v>9</v>
      </c>
      <c r="L994" s="10">
        <v>30.0</v>
      </c>
      <c r="M994" s="54">
        <v>0.2</v>
      </c>
      <c r="N994" s="12">
        <v>600.0</v>
      </c>
      <c r="O994" s="12">
        <v>2400.0</v>
      </c>
      <c r="P994" s="13"/>
      <c r="Q994" s="12">
        <v>3000.0</v>
      </c>
      <c r="R994" s="14"/>
      <c r="S994" s="15"/>
      <c r="T994" s="4" t="b">
        <v>0</v>
      </c>
    </row>
    <row r="995">
      <c r="A995" s="16" t="s">
        <v>115</v>
      </c>
      <c r="B995" s="17">
        <f t="shared" ref="B995:B996" si="34">2500*1.30225</f>
        <v>3255.625</v>
      </c>
      <c r="C995" s="16" t="s">
        <v>18</v>
      </c>
      <c r="D995" s="18" t="s">
        <v>1086</v>
      </c>
      <c r="E995" s="19">
        <v>45138.0</v>
      </c>
      <c r="F995" s="17">
        <v>0.0</v>
      </c>
      <c r="G995" s="20">
        <v>2023.07</v>
      </c>
      <c r="H995" s="21" t="s">
        <v>51</v>
      </c>
      <c r="I995" s="21" t="s">
        <v>52</v>
      </c>
      <c r="J995" s="21" t="s">
        <v>117</v>
      </c>
      <c r="K995" s="16" t="s">
        <v>9</v>
      </c>
      <c r="L995" s="22">
        <v>30.0</v>
      </c>
      <c r="M995" s="55">
        <v>0.0</v>
      </c>
      <c r="N995" s="23">
        <v>0.0</v>
      </c>
      <c r="O995" s="23">
        <v>3255.6249999999995</v>
      </c>
      <c r="P995" s="24"/>
      <c r="Q995" s="23">
        <v>2500.0</v>
      </c>
      <c r="R995" s="25"/>
      <c r="S995" s="26">
        <v>45108.0</v>
      </c>
      <c r="T995" s="16" t="b">
        <v>0</v>
      </c>
    </row>
    <row r="996">
      <c r="A996" s="4" t="s">
        <v>118</v>
      </c>
      <c r="B996" s="5">
        <f t="shared" si="34"/>
        <v>3255.625</v>
      </c>
      <c r="C996" s="4" t="s">
        <v>18</v>
      </c>
      <c r="D996" s="6" t="s">
        <v>1087</v>
      </c>
      <c r="E996" s="7">
        <v>45138.0</v>
      </c>
      <c r="F996" s="5">
        <v>0.0</v>
      </c>
      <c r="G996" s="8">
        <v>2023.07</v>
      </c>
      <c r="H996" s="9" t="s">
        <v>51</v>
      </c>
      <c r="I996" s="9" t="s">
        <v>52</v>
      </c>
      <c r="J996" s="9" t="s">
        <v>117</v>
      </c>
      <c r="K996" s="4" t="s">
        <v>9</v>
      </c>
      <c r="L996" s="10">
        <v>30.0</v>
      </c>
      <c r="M996" s="54">
        <v>0.0</v>
      </c>
      <c r="N996" s="12">
        <v>0.0</v>
      </c>
      <c r="O996" s="12">
        <v>3255.6249999999995</v>
      </c>
      <c r="P996" s="13"/>
      <c r="Q996" s="12">
        <v>2500.0</v>
      </c>
      <c r="R996" s="14"/>
      <c r="S996" s="15">
        <v>45108.0</v>
      </c>
      <c r="T996" s="4" t="b">
        <v>0</v>
      </c>
    </row>
    <row r="997">
      <c r="A997" s="16" t="s">
        <v>73</v>
      </c>
      <c r="B997" s="17">
        <v>770.0</v>
      </c>
      <c r="C997" s="16" t="s">
        <v>975</v>
      </c>
      <c r="D997" s="18">
        <v>5602.0</v>
      </c>
      <c r="E997" s="19">
        <v>45138.0</v>
      </c>
      <c r="F997" s="35"/>
      <c r="G997" s="20">
        <v>2023.07</v>
      </c>
      <c r="H997" s="21" t="s">
        <v>51</v>
      </c>
      <c r="I997" s="21" t="s">
        <v>52</v>
      </c>
      <c r="J997" s="21" t="s">
        <v>74</v>
      </c>
      <c r="K997" s="16" t="s">
        <v>21</v>
      </c>
      <c r="L997" s="22">
        <v>30.0</v>
      </c>
      <c r="M997" s="55">
        <v>0.0</v>
      </c>
      <c r="N997" s="23">
        <v>0.0</v>
      </c>
      <c r="O997" s="23">
        <v>770.0</v>
      </c>
      <c r="P997" s="24"/>
      <c r="Q997" s="23">
        <v>770.0</v>
      </c>
      <c r="R997" s="25"/>
      <c r="S997" s="26"/>
      <c r="T997" s="16" t="b">
        <v>0</v>
      </c>
    </row>
    <row r="998">
      <c r="A998" s="4" t="s">
        <v>499</v>
      </c>
      <c r="B998" s="5">
        <v>1650.0</v>
      </c>
      <c r="C998" s="4" t="s">
        <v>18</v>
      </c>
      <c r="D998" s="6">
        <v>5603.0</v>
      </c>
      <c r="E998" s="7">
        <v>45138.0</v>
      </c>
      <c r="F998" s="5">
        <v>55.23</v>
      </c>
      <c r="G998" s="8">
        <v>2023.07</v>
      </c>
      <c r="H998" s="9" t="s">
        <v>51</v>
      </c>
      <c r="I998" s="9" t="s">
        <v>52</v>
      </c>
      <c r="J998" s="9" t="s">
        <v>500</v>
      </c>
      <c r="K998" s="4" t="s">
        <v>21</v>
      </c>
      <c r="L998" s="10">
        <v>30.0</v>
      </c>
      <c r="M998" s="54">
        <v>0.0</v>
      </c>
      <c r="N998" s="12">
        <v>0.0</v>
      </c>
      <c r="O998" s="12">
        <v>1594.77</v>
      </c>
      <c r="P998" s="13"/>
      <c r="Q998" s="12">
        <v>1650.0</v>
      </c>
      <c r="R998" s="14"/>
      <c r="S998" s="15">
        <v>45108.0</v>
      </c>
      <c r="T998" s="4" t="b">
        <v>0</v>
      </c>
    </row>
    <row r="999">
      <c r="A999" s="16" t="s">
        <v>695</v>
      </c>
      <c r="B999" s="17">
        <v>600.0</v>
      </c>
      <c r="C999" s="16" t="s">
        <v>18</v>
      </c>
      <c r="D999" s="18">
        <v>5604.0</v>
      </c>
      <c r="E999" s="19">
        <v>45138.0</v>
      </c>
      <c r="F999" s="17">
        <v>18.67</v>
      </c>
      <c r="G999" s="20">
        <v>2023.07</v>
      </c>
      <c r="H999" s="21" t="s">
        <v>51</v>
      </c>
      <c r="I999" s="21" t="s">
        <v>52</v>
      </c>
      <c r="J999" s="21" t="s">
        <v>696</v>
      </c>
      <c r="K999" s="16" t="s">
        <v>21</v>
      </c>
      <c r="L999" s="16">
        <v>30.0</v>
      </c>
      <c r="M999" s="55">
        <v>0.0</v>
      </c>
      <c r="N999" s="23">
        <v>0.0</v>
      </c>
      <c r="O999" s="23">
        <v>581.33</v>
      </c>
      <c r="P999" s="24"/>
      <c r="Q999" s="23">
        <v>600.0</v>
      </c>
      <c r="R999" s="25"/>
      <c r="S999" s="26">
        <v>45108.0</v>
      </c>
      <c r="T999" s="16" t="b">
        <v>0</v>
      </c>
    </row>
    <row r="1000">
      <c r="A1000" s="4" t="s">
        <v>810</v>
      </c>
      <c r="B1000" s="5">
        <f>880*1.31047</f>
        <v>1153.2136</v>
      </c>
      <c r="C1000" s="4" t="s">
        <v>18</v>
      </c>
      <c r="D1000" s="6" t="s">
        <v>1088</v>
      </c>
      <c r="E1000" s="7">
        <v>45138.0</v>
      </c>
      <c r="F1000" s="34">
        <f>32.86*1.31047</f>
        <v>43.0620442</v>
      </c>
      <c r="G1000" s="8">
        <v>2023.07</v>
      </c>
      <c r="H1000" s="9" t="s">
        <v>51</v>
      </c>
      <c r="I1000" s="9" t="s">
        <v>52</v>
      </c>
      <c r="J1000" s="9" t="s">
        <v>1089</v>
      </c>
      <c r="K1000" s="4" t="s">
        <v>9</v>
      </c>
      <c r="L1000" s="4">
        <v>15.0</v>
      </c>
      <c r="M1000" s="54">
        <v>0.0</v>
      </c>
      <c r="N1000" s="12">
        <v>0.0</v>
      </c>
      <c r="O1000" s="12">
        <v>1110.1515558</v>
      </c>
      <c r="P1000" s="13"/>
      <c r="Q1000" s="12">
        <v>880.0</v>
      </c>
      <c r="R1000" s="14"/>
      <c r="S1000" s="15"/>
      <c r="T1000" s="4" t="b">
        <v>0</v>
      </c>
    </row>
    <row r="1001">
      <c r="A1001" s="16" t="s">
        <v>855</v>
      </c>
      <c r="B1001" s="17">
        <v>250.0</v>
      </c>
      <c r="C1001" s="16" t="s">
        <v>18</v>
      </c>
      <c r="D1001" s="18">
        <v>5590.0</v>
      </c>
      <c r="E1001" s="19">
        <v>45138.0</v>
      </c>
      <c r="F1001" s="17">
        <v>7.78</v>
      </c>
      <c r="G1001" s="20">
        <v>2023.07</v>
      </c>
      <c r="H1001" s="21" t="s">
        <v>51</v>
      </c>
      <c r="I1001" s="21" t="s">
        <v>52</v>
      </c>
      <c r="J1001" s="21" t="s">
        <v>1090</v>
      </c>
      <c r="K1001" s="16" t="s">
        <v>21</v>
      </c>
      <c r="L1001" s="16">
        <v>15.0</v>
      </c>
      <c r="M1001" s="55">
        <v>0.0</v>
      </c>
      <c r="N1001" s="23">
        <v>0.0</v>
      </c>
      <c r="O1001" s="23">
        <v>242.22</v>
      </c>
      <c r="P1001" s="24"/>
      <c r="Q1001" s="23">
        <v>250.0</v>
      </c>
      <c r="R1001" s="25"/>
      <c r="S1001" s="26">
        <v>45108.0</v>
      </c>
      <c r="T1001" s="16" t="b">
        <v>0</v>
      </c>
    </row>
    <row r="1002">
      <c r="A1002" s="4" t="s">
        <v>861</v>
      </c>
      <c r="B1002" s="5">
        <v>1750.0</v>
      </c>
      <c r="C1002" s="4" t="s">
        <v>975</v>
      </c>
      <c r="D1002" s="6" t="s">
        <v>1091</v>
      </c>
      <c r="E1002" s="7">
        <v>45138.0</v>
      </c>
      <c r="F1002" s="34"/>
      <c r="G1002" s="8">
        <v>2023.07</v>
      </c>
      <c r="H1002" s="9" t="s">
        <v>51</v>
      </c>
      <c r="I1002" s="9" t="s">
        <v>52</v>
      </c>
      <c r="J1002" s="9" t="s">
        <v>962</v>
      </c>
      <c r="K1002" s="4" t="s">
        <v>9</v>
      </c>
      <c r="L1002" s="4">
        <v>15.0</v>
      </c>
      <c r="M1002" s="54">
        <v>0.2</v>
      </c>
      <c r="N1002" s="12">
        <v>350.0</v>
      </c>
      <c r="O1002" s="12">
        <v>1400.0</v>
      </c>
      <c r="P1002" s="13"/>
      <c r="Q1002" s="12">
        <v>1750.0</v>
      </c>
      <c r="R1002" s="14"/>
      <c r="S1002" s="15"/>
      <c r="T1002" s="4" t="b">
        <v>0</v>
      </c>
    </row>
    <row r="1003">
      <c r="A1003" s="16" t="s">
        <v>963</v>
      </c>
      <c r="B1003" s="17">
        <v>750.0</v>
      </c>
      <c r="C1003" s="16" t="s">
        <v>975</v>
      </c>
      <c r="D1003" s="18" t="s">
        <v>1092</v>
      </c>
      <c r="E1003" s="19">
        <v>45138.0</v>
      </c>
      <c r="F1003" s="35"/>
      <c r="G1003" s="20">
        <v>2023.07</v>
      </c>
      <c r="H1003" s="21" t="s">
        <v>51</v>
      </c>
      <c r="I1003" s="21" t="s">
        <v>52</v>
      </c>
      <c r="J1003" s="21" t="s">
        <v>965</v>
      </c>
      <c r="K1003" s="16" t="s">
        <v>9</v>
      </c>
      <c r="L1003" s="16">
        <v>15.0</v>
      </c>
      <c r="M1003" s="55">
        <v>0.2</v>
      </c>
      <c r="N1003" s="23">
        <v>150.0</v>
      </c>
      <c r="O1003" s="23">
        <v>600.0</v>
      </c>
      <c r="P1003" s="24"/>
      <c r="Q1003" s="23">
        <v>750.0</v>
      </c>
      <c r="R1003" s="25"/>
      <c r="S1003" s="26"/>
      <c r="T1003" s="16" t="b">
        <v>0</v>
      </c>
    </row>
    <row r="1004">
      <c r="A1004" s="4" t="s">
        <v>1041</v>
      </c>
      <c r="B1004" s="5">
        <v>1000.0</v>
      </c>
      <c r="C1004" s="4" t="s">
        <v>975</v>
      </c>
      <c r="D1004" s="6">
        <v>5605.0</v>
      </c>
      <c r="E1004" s="7">
        <v>45138.0</v>
      </c>
      <c r="F1004" s="34"/>
      <c r="G1004" s="8">
        <v>2023.07</v>
      </c>
      <c r="H1004" s="9" t="s">
        <v>51</v>
      </c>
      <c r="I1004" s="9" t="s">
        <v>52</v>
      </c>
      <c r="J1004" s="9" t="s">
        <v>1093</v>
      </c>
      <c r="K1004" s="4" t="s">
        <v>21</v>
      </c>
      <c r="L1004" s="4">
        <v>15.0</v>
      </c>
      <c r="M1004" s="54">
        <v>0.0</v>
      </c>
      <c r="N1004" s="12">
        <v>0.0</v>
      </c>
      <c r="O1004" s="12">
        <v>1000.0</v>
      </c>
      <c r="P1004" s="13"/>
      <c r="Q1004" s="12">
        <v>1000.0</v>
      </c>
      <c r="R1004" s="14"/>
      <c r="S1004" s="15"/>
      <c r="T1004" s="4" t="b">
        <v>0</v>
      </c>
    </row>
    <row r="1005">
      <c r="A1005" s="16" t="s">
        <v>394</v>
      </c>
      <c r="B1005" s="17">
        <v>150.0</v>
      </c>
      <c r="C1005" s="16" t="s">
        <v>572</v>
      </c>
      <c r="D1005" s="44"/>
      <c r="E1005" s="19">
        <v>45230.0</v>
      </c>
      <c r="F1005" s="35"/>
      <c r="G1005" s="20">
        <v>2023.0</v>
      </c>
      <c r="H1005" s="21" t="s">
        <v>447</v>
      </c>
      <c r="I1005" s="21" t="s">
        <v>257</v>
      </c>
      <c r="J1005" s="21" t="s">
        <v>1094</v>
      </c>
      <c r="K1005" s="16" t="s">
        <v>9</v>
      </c>
      <c r="L1005" s="16">
        <v>30.0</v>
      </c>
      <c r="M1005" s="55">
        <v>0.0</v>
      </c>
      <c r="N1005" s="23">
        <v>0.0</v>
      </c>
      <c r="O1005" s="23">
        <v>150.0</v>
      </c>
      <c r="P1005" s="24"/>
      <c r="Q1005" s="23">
        <v>150.0</v>
      </c>
      <c r="R1005" s="25"/>
      <c r="S1005" s="26"/>
      <c r="T1005" s="16" t="b">
        <v>0</v>
      </c>
    </row>
    <row r="1006">
      <c r="A1006" s="4" t="s">
        <v>99</v>
      </c>
      <c r="B1006" s="5">
        <f>1430*1.308821</f>
        <v>1871.61403</v>
      </c>
      <c r="C1006" s="4" t="s">
        <v>18</v>
      </c>
      <c r="D1006" s="6" t="s">
        <v>1095</v>
      </c>
      <c r="E1006" s="7">
        <v>45153.0</v>
      </c>
      <c r="F1006" s="34">
        <f>53.21*1.308821</f>
        <v>69.64236541</v>
      </c>
      <c r="G1006" s="8">
        <v>2023.08</v>
      </c>
      <c r="H1006" s="9" t="s">
        <v>27</v>
      </c>
      <c r="I1006" s="9" t="s">
        <v>52</v>
      </c>
      <c r="J1006" s="9" t="s">
        <v>101</v>
      </c>
      <c r="K1006" s="4" t="s">
        <v>9</v>
      </c>
      <c r="L1006" s="4">
        <v>30.0</v>
      </c>
      <c r="M1006" s="87">
        <v>0.2</v>
      </c>
      <c r="N1006" s="12">
        <v>360.39433291800003</v>
      </c>
      <c r="O1006" s="12">
        <v>1441.5773316720001</v>
      </c>
      <c r="P1006" s="13"/>
      <c r="Q1006" s="5">
        <f>1300+(1300*0.1)</f>
        <v>1430</v>
      </c>
      <c r="R1006" s="14"/>
      <c r="S1006" s="15">
        <v>45108.0</v>
      </c>
      <c r="T1006" s="4" t="b">
        <v>0</v>
      </c>
    </row>
    <row r="1007">
      <c r="A1007" s="16" t="s">
        <v>225</v>
      </c>
      <c r="B1007" s="17">
        <v>5000.0</v>
      </c>
      <c r="C1007" s="16" t="s">
        <v>975</v>
      </c>
      <c r="D1007" s="18">
        <v>5608.0</v>
      </c>
      <c r="E1007" s="19">
        <v>45153.0</v>
      </c>
      <c r="F1007" s="35"/>
      <c r="G1007" s="20">
        <v>2023.08</v>
      </c>
      <c r="H1007" s="21" t="s">
        <v>27</v>
      </c>
      <c r="I1007" s="21" t="s">
        <v>52</v>
      </c>
      <c r="J1007" s="21" t="s">
        <v>1096</v>
      </c>
      <c r="K1007" s="88" t="s">
        <v>21</v>
      </c>
      <c r="L1007" s="16">
        <v>30.0</v>
      </c>
      <c r="M1007" s="89"/>
      <c r="N1007" s="23">
        <v>0.0</v>
      </c>
      <c r="O1007" s="23">
        <v>5000.0</v>
      </c>
      <c r="P1007" s="24"/>
      <c r="Q1007" s="17">
        <v>5000.0</v>
      </c>
      <c r="R1007" s="25"/>
      <c r="S1007" s="26"/>
      <c r="T1007" s="16" t="b">
        <v>0</v>
      </c>
    </row>
    <row r="1008">
      <c r="A1008" s="4" t="s">
        <v>102</v>
      </c>
      <c r="B1008" s="5">
        <v>350.0</v>
      </c>
      <c r="C1008" s="4" t="s">
        <v>975</v>
      </c>
      <c r="D1008" s="6" t="s">
        <v>1097</v>
      </c>
      <c r="E1008" s="7">
        <v>45153.0</v>
      </c>
      <c r="F1008" s="34"/>
      <c r="G1008" s="8">
        <v>2023.08</v>
      </c>
      <c r="H1008" s="9" t="s">
        <v>27</v>
      </c>
      <c r="I1008" s="9" t="s">
        <v>52</v>
      </c>
      <c r="J1008" s="9" t="s">
        <v>104</v>
      </c>
      <c r="K1008" s="4" t="s">
        <v>9</v>
      </c>
      <c r="L1008" s="4">
        <v>30.0</v>
      </c>
      <c r="M1008" s="90"/>
      <c r="N1008" s="12">
        <v>0.0</v>
      </c>
      <c r="O1008" s="12">
        <v>350.0</v>
      </c>
      <c r="P1008" s="13"/>
      <c r="Q1008" s="5">
        <v>350.0</v>
      </c>
      <c r="R1008" s="14"/>
      <c r="S1008" s="15"/>
      <c r="T1008" s="4" t="b">
        <v>0</v>
      </c>
    </row>
    <row r="1009">
      <c r="A1009" s="16" t="s">
        <v>924</v>
      </c>
      <c r="B1009" s="17">
        <f>60*1.308918</f>
        <v>78.53508</v>
      </c>
      <c r="C1009" s="16" t="s">
        <v>18</v>
      </c>
      <c r="D1009" s="18" t="s">
        <v>1098</v>
      </c>
      <c r="E1009" s="19">
        <v>45153.0</v>
      </c>
      <c r="F1009" s="35">
        <f>2.52*1.308918</f>
        <v>3.29847336</v>
      </c>
      <c r="G1009" s="20">
        <v>2023.08</v>
      </c>
      <c r="H1009" s="21" t="s">
        <v>27</v>
      </c>
      <c r="I1009" s="21" t="s">
        <v>52</v>
      </c>
      <c r="J1009" s="21" t="s">
        <v>926</v>
      </c>
      <c r="K1009" s="16" t="s">
        <v>9</v>
      </c>
      <c r="L1009" s="16">
        <v>30.0</v>
      </c>
      <c r="M1009" s="89"/>
      <c r="N1009" s="23">
        <v>0.0</v>
      </c>
      <c r="O1009" s="23">
        <v>75.23660664</v>
      </c>
      <c r="P1009" s="24"/>
      <c r="Q1009" s="17">
        <v>60.0</v>
      </c>
      <c r="R1009" s="25"/>
      <c r="S1009" s="26">
        <v>45108.0</v>
      </c>
      <c r="T1009" s="16" t="b">
        <v>0</v>
      </c>
    </row>
    <row r="1010">
      <c r="A1010" s="4" t="s">
        <v>62</v>
      </c>
      <c r="B1010" s="5">
        <v>1600.0</v>
      </c>
      <c r="C1010" s="4" t="s">
        <v>18</v>
      </c>
      <c r="D1010" s="6">
        <v>5609.0</v>
      </c>
      <c r="E1010" s="7">
        <v>45153.0</v>
      </c>
      <c r="F1010" s="5">
        <v>49.78</v>
      </c>
      <c r="G1010" s="8">
        <v>2023.08</v>
      </c>
      <c r="H1010" s="9" t="s">
        <v>27</v>
      </c>
      <c r="I1010" s="9" t="s">
        <v>52</v>
      </c>
      <c r="J1010" s="9" t="s">
        <v>63</v>
      </c>
      <c r="K1010" s="91" t="s">
        <v>21</v>
      </c>
      <c r="L1010" s="4">
        <v>30.0</v>
      </c>
      <c r="M1010" s="87"/>
      <c r="N1010" s="12">
        <v>0.0</v>
      </c>
      <c r="O1010" s="12">
        <v>1550.22</v>
      </c>
      <c r="P1010" s="13"/>
      <c r="Q1010" s="5">
        <v>1600.0</v>
      </c>
      <c r="R1010" s="14"/>
      <c r="S1010" s="15">
        <v>45108.0</v>
      </c>
      <c r="T1010" s="4" t="b">
        <v>0</v>
      </c>
    </row>
    <row r="1011">
      <c r="A1011" s="16" t="s">
        <v>467</v>
      </c>
      <c r="B1011" s="17">
        <v>280.0</v>
      </c>
      <c r="C1011" s="24"/>
      <c r="D1011" s="44"/>
      <c r="E1011" s="19">
        <v>45153.0</v>
      </c>
      <c r="F1011" s="35"/>
      <c r="G1011" s="20">
        <v>2023.08</v>
      </c>
      <c r="H1011" s="21" t="s">
        <v>27</v>
      </c>
      <c r="I1011" s="21" t="s">
        <v>52</v>
      </c>
      <c r="J1011" s="16" t="s">
        <v>469</v>
      </c>
      <c r="K1011" s="88" t="s">
        <v>9</v>
      </c>
      <c r="L1011" s="16">
        <v>0.0</v>
      </c>
      <c r="M1011" s="92">
        <v>0.2</v>
      </c>
      <c r="N1011" s="23">
        <v>56.0</v>
      </c>
      <c r="O1011" s="23">
        <v>224.0</v>
      </c>
      <c r="P1011" s="24"/>
      <c r="Q1011" s="17">
        <v>280.0</v>
      </c>
      <c r="R1011" s="25"/>
      <c r="S1011" s="26"/>
      <c r="T1011" s="16" t="b">
        <v>0</v>
      </c>
    </row>
    <row r="1012">
      <c r="A1012" s="4" t="s">
        <v>629</v>
      </c>
      <c r="B1012" s="5">
        <f>280*1.32344</f>
        <v>370.5632</v>
      </c>
      <c r="C1012" s="4" t="s">
        <v>18</v>
      </c>
      <c r="D1012" s="6" t="s">
        <v>1099</v>
      </c>
      <c r="E1012" s="7">
        <v>45153.0</v>
      </c>
      <c r="F1012" s="5">
        <v>11.05</v>
      </c>
      <c r="G1012" s="8">
        <v>2023.08</v>
      </c>
      <c r="H1012" s="9" t="s">
        <v>27</v>
      </c>
      <c r="I1012" s="9" t="s">
        <v>52</v>
      </c>
      <c r="J1012" s="4" t="s">
        <v>469</v>
      </c>
      <c r="K1012" s="4" t="s">
        <v>9</v>
      </c>
      <c r="L1012" s="4">
        <v>15.0</v>
      </c>
      <c r="M1012" s="90"/>
      <c r="N1012" s="12">
        <v>0.0</v>
      </c>
      <c r="O1012" s="12">
        <v>359.5132</v>
      </c>
      <c r="P1012" s="13"/>
      <c r="Q1012" s="5">
        <v>280.0</v>
      </c>
      <c r="R1012" s="14"/>
      <c r="S1012" s="15">
        <v>45108.0</v>
      </c>
      <c r="T1012" s="4" t="b">
        <v>0</v>
      </c>
    </row>
    <row r="1013">
      <c r="A1013" s="16" t="s">
        <v>762</v>
      </c>
      <c r="B1013" s="17">
        <v>865.0</v>
      </c>
      <c r="C1013" s="16" t="s">
        <v>18</v>
      </c>
      <c r="D1013" s="18">
        <v>5610.0</v>
      </c>
      <c r="E1013" s="19">
        <v>45153.0</v>
      </c>
      <c r="F1013" s="17">
        <v>0.0</v>
      </c>
      <c r="G1013" s="20">
        <v>2023.08</v>
      </c>
      <c r="H1013" s="21" t="s">
        <v>27</v>
      </c>
      <c r="I1013" s="21" t="s">
        <v>52</v>
      </c>
      <c r="J1013" s="21" t="s">
        <v>763</v>
      </c>
      <c r="K1013" s="88" t="s">
        <v>21</v>
      </c>
      <c r="L1013" s="16">
        <v>15.0</v>
      </c>
      <c r="M1013" s="89"/>
      <c r="N1013" s="23">
        <v>0.0</v>
      </c>
      <c r="O1013" s="23">
        <v>865.0</v>
      </c>
      <c r="P1013" s="24"/>
      <c r="Q1013" s="17">
        <v>865.0</v>
      </c>
      <c r="R1013" s="25"/>
      <c r="S1013" s="26"/>
      <c r="T1013" s="16" t="b">
        <v>0</v>
      </c>
    </row>
    <row r="1014">
      <c r="A1014" s="4" t="s">
        <v>662</v>
      </c>
      <c r="B1014" s="5">
        <v>2500.0</v>
      </c>
      <c r="C1014" s="4" t="s">
        <v>975</v>
      </c>
      <c r="D1014" s="6">
        <v>5611.0</v>
      </c>
      <c r="E1014" s="7">
        <v>45153.0</v>
      </c>
      <c r="F1014" s="34"/>
      <c r="G1014" s="8">
        <v>2023.08</v>
      </c>
      <c r="H1014" s="9" t="s">
        <v>27</v>
      </c>
      <c r="I1014" s="9" t="s">
        <v>52</v>
      </c>
      <c r="J1014" s="9" t="s">
        <v>764</v>
      </c>
      <c r="K1014" s="91" t="s">
        <v>21</v>
      </c>
      <c r="L1014" s="4">
        <v>15.0</v>
      </c>
      <c r="M1014" s="90"/>
      <c r="N1014" s="12">
        <v>0.0</v>
      </c>
      <c r="O1014" s="12">
        <v>2500.0</v>
      </c>
      <c r="P1014" s="13"/>
      <c r="Q1014" s="5">
        <v>2500.0</v>
      </c>
      <c r="R1014" s="14"/>
      <c r="S1014" s="15"/>
      <c r="T1014" s="4" t="b">
        <v>0</v>
      </c>
    </row>
    <row r="1015">
      <c r="A1015" s="16" t="s">
        <v>788</v>
      </c>
      <c r="B1015" s="17">
        <v>2000.0</v>
      </c>
      <c r="C1015" s="16" t="s">
        <v>975</v>
      </c>
      <c r="D1015" s="18">
        <v>5612.0</v>
      </c>
      <c r="E1015" s="19">
        <v>45153.0</v>
      </c>
      <c r="F1015" s="35"/>
      <c r="G1015" s="20">
        <v>2023.08</v>
      </c>
      <c r="H1015" s="21" t="s">
        <v>27</v>
      </c>
      <c r="I1015" s="21" t="s">
        <v>52</v>
      </c>
      <c r="J1015" s="21" t="s">
        <v>789</v>
      </c>
      <c r="K1015" s="88" t="s">
        <v>21</v>
      </c>
      <c r="L1015" s="16">
        <v>15.0</v>
      </c>
      <c r="M1015" s="89"/>
      <c r="N1015" s="23">
        <v>0.0</v>
      </c>
      <c r="O1015" s="23">
        <v>2000.0</v>
      </c>
      <c r="P1015" s="24"/>
      <c r="Q1015" s="17">
        <v>2000.0</v>
      </c>
      <c r="R1015" s="25"/>
      <c r="S1015" s="26"/>
      <c r="T1015" s="16" t="b">
        <v>0</v>
      </c>
    </row>
    <row r="1016">
      <c r="A1016" s="4" t="s">
        <v>795</v>
      </c>
      <c r="B1016" s="5">
        <v>2000.0</v>
      </c>
      <c r="C1016" s="4" t="s">
        <v>975</v>
      </c>
      <c r="D1016" s="6">
        <v>5613.0</v>
      </c>
      <c r="E1016" s="7">
        <v>45153.0</v>
      </c>
      <c r="F1016" s="34"/>
      <c r="G1016" s="8">
        <v>2023.08</v>
      </c>
      <c r="H1016" s="9" t="s">
        <v>27</v>
      </c>
      <c r="I1016" s="9" t="s">
        <v>52</v>
      </c>
      <c r="J1016" s="9" t="s">
        <v>796</v>
      </c>
      <c r="K1016" s="91" t="s">
        <v>21</v>
      </c>
      <c r="L1016" s="4">
        <v>0.0</v>
      </c>
      <c r="M1016" s="90"/>
      <c r="N1016" s="12">
        <v>0.0</v>
      </c>
      <c r="O1016" s="12">
        <v>2000.0</v>
      </c>
      <c r="P1016" s="13"/>
      <c r="Q1016" s="5">
        <v>2000.0</v>
      </c>
      <c r="R1016" s="14"/>
      <c r="S1016" s="15"/>
      <c r="T1016" s="4" t="b">
        <v>0</v>
      </c>
    </row>
    <row r="1017">
      <c r="A1017" s="16" t="s">
        <v>884</v>
      </c>
      <c r="B1017" s="17">
        <f>250*1.3056</f>
        <v>326.4</v>
      </c>
      <c r="C1017" s="16" t="s">
        <v>18</v>
      </c>
      <c r="D1017" s="18" t="s">
        <v>1100</v>
      </c>
      <c r="E1017" s="19">
        <v>45153.0</v>
      </c>
      <c r="F1017" s="17">
        <v>0.0</v>
      </c>
      <c r="G1017" s="20">
        <v>2023.08</v>
      </c>
      <c r="H1017" s="21" t="s">
        <v>27</v>
      </c>
      <c r="I1017" s="21" t="s">
        <v>52</v>
      </c>
      <c r="J1017" s="21" t="s">
        <v>857</v>
      </c>
      <c r="K1017" s="16" t="s">
        <v>9</v>
      </c>
      <c r="L1017" s="16">
        <v>30.0</v>
      </c>
      <c r="M1017" s="92">
        <v>0.2</v>
      </c>
      <c r="N1017" s="23">
        <v>65.28000000000002</v>
      </c>
      <c r="O1017" s="23">
        <v>261.12</v>
      </c>
      <c r="P1017" s="24"/>
      <c r="Q1017" s="17">
        <v>250.0</v>
      </c>
      <c r="R1017" s="25"/>
      <c r="S1017" s="26">
        <v>45108.0</v>
      </c>
      <c r="T1017" s="16" t="b">
        <v>0</v>
      </c>
    </row>
    <row r="1018">
      <c r="A1018" s="4" t="s">
        <v>966</v>
      </c>
      <c r="B1018" s="5">
        <v>1800.0</v>
      </c>
      <c r="C1018" s="4" t="s">
        <v>975</v>
      </c>
      <c r="D1018" s="6">
        <v>5614.0</v>
      </c>
      <c r="E1018" s="7">
        <v>45153.0</v>
      </c>
      <c r="F1018" s="34"/>
      <c r="G1018" s="8">
        <v>2023.08</v>
      </c>
      <c r="H1018" s="9" t="s">
        <v>27</v>
      </c>
      <c r="I1018" s="9" t="s">
        <v>52</v>
      </c>
      <c r="J1018" s="9" t="s">
        <v>1080</v>
      </c>
      <c r="K1018" s="91" t="s">
        <v>21</v>
      </c>
      <c r="L1018" s="4">
        <v>15.0</v>
      </c>
      <c r="M1018" s="87">
        <v>0.1</v>
      </c>
      <c r="N1018" s="12">
        <v>180.0</v>
      </c>
      <c r="O1018" s="12">
        <v>1620.0</v>
      </c>
      <c r="P1018" s="13"/>
      <c r="Q1018" s="5">
        <v>1800.0</v>
      </c>
      <c r="R1018" s="14"/>
      <c r="S1018" s="15"/>
      <c r="T1018" s="4" t="b">
        <v>0</v>
      </c>
    </row>
    <row r="1019">
      <c r="A1019" s="16" t="s">
        <v>1101</v>
      </c>
      <c r="B1019" s="17">
        <f>1500*1.308918</f>
        <v>1963.377</v>
      </c>
      <c r="C1019" s="16" t="s">
        <v>18</v>
      </c>
      <c r="D1019" s="18" t="s">
        <v>1063</v>
      </c>
      <c r="E1019" s="19">
        <v>45153.0</v>
      </c>
      <c r="F1019" s="17">
        <v>0.0</v>
      </c>
      <c r="G1019" s="20">
        <v>2023.08</v>
      </c>
      <c r="H1019" s="21" t="s">
        <v>27</v>
      </c>
      <c r="I1019" s="21" t="s">
        <v>52</v>
      </c>
      <c r="J1019" s="21" t="s">
        <v>1102</v>
      </c>
      <c r="K1019" s="16" t="s">
        <v>9</v>
      </c>
      <c r="L1019" s="16">
        <v>15.0</v>
      </c>
      <c r="M1019" s="92">
        <v>0.2</v>
      </c>
      <c r="N1019" s="23">
        <v>392.6754</v>
      </c>
      <c r="O1019" s="23">
        <v>1570.7015999999999</v>
      </c>
      <c r="P1019" s="24"/>
      <c r="Q1019" s="17">
        <v>1500.0</v>
      </c>
      <c r="R1019" s="21" t="s">
        <v>1103</v>
      </c>
      <c r="S1019" s="26">
        <v>45108.0</v>
      </c>
      <c r="T1019" s="16" t="b">
        <v>0</v>
      </c>
    </row>
    <row r="1020">
      <c r="A1020" s="4" t="s">
        <v>1070</v>
      </c>
      <c r="B1020" s="5">
        <v>750.0</v>
      </c>
      <c r="C1020" s="4" t="s">
        <v>975</v>
      </c>
      <c r="D1020" s="6" t="s">
        <v>1104</v>
      </c>
      <c r="E1020" s="7">
        <v>45153.0</v>
      </c>
      <c r="F1020" s="34"/>
      <c r="G1020" s="8">
        <v>2023.08</v>
      </c>
      <c r="H1020" s="9" t="s">
        <v>27</v>
      </c>
      <c r="I1020" s="9" t="s">
        <v>52</v>
      </c>
      <c r="J1020" s="9" t="s">
        <v>1072</v>
      </c>
      <c r="K1020" s="4" t="s">
        <v>9</v>
      </c>
      <c r="L1020" s="4">
        <v>15.0</v>
      </c>
      <c r="M1020" s="87">
        <v>0.2</v>
      </c>
      <c r="N1020" s="12">
        <v>150.0</v>
      </c>
      <c r="O1020" s="12">
        <v>600.0</v>
      </c>
      <c r="P1020" s="13"/>
      <c r="Q1020" s="5">
        <v>750.0</v>
      </c>
      <c r="R1020" s="14"/>
      <c r="S1020" s="15"/>
      <c r="T1020" s="4" t="b">
        <v>0</v>
      </c>
    </row>
    <row r="1021">
      <c r="A1021" s="16" t="s">
        <v>1105</v>
      </c>
      <c r="B1021" s="17">
        <v>1000.0</v>
      </c>
      <c r="C1021" s="16" t="s">
        <v>975</v>
      </c>
      <c r="D1021" s="18">
        <v>5620.0</v>
      </c>
      <c r="E1021" s="19">
        <v>45169.0</v>
      </c>
      <c r="F1021" s="35"/>
      <c r="G1021" s="20">
        <v>2023.08</v>
      </c>
      <c r="H1021" s="21" t="s">
        <v>51</v>
      </c>
      <c r="I1021" s="21" t="s">
        <v>1106</v>
      </c>
      <c r="J1021" s="21" t="s">
        <v>1107</v>
      </c>
      <c r="K1021" s="16" t="s">
        <v>21</v>
      </c>
      <c r="L1021" s="16">
        <v>15.0</v>
      </c>
      <c r="M1021" s="55"/>
      <c r="N1021" s="23">
        <v>0.0</v>
      </c>
      <c r="O1021" s="23">
        <v>1000.0</v>
      </c>
      <c r="P1021" s="24"/>
      <c r="Q1021" s="23"/>
      <c r="R1021" s="25"/>
      <c r="S1021" s="26"/>
      <c r="T1021" s="16" t="b">
        <v>0</v>
      </c>
    </row>
    <row r="1022">
      <c r="A1022" s="4" t="s">
        <v>1105</v>
      </c>
      <c r="B1022" s="5">
        <v>1000.0</v>
      </c>
      <c r="C1022" s="4" t="s">
        <v>572</v>
      </c>
      <c r="D1022" s="39"/>
      <c r="E1022" s="7">
        <v>45170.0</v>
      </c>
      <c r="F1022" s="34"/>
      <c r="G1022" s="8">
        <v>2023.09</v>
      </c>
      <c r="H1022" s="9" t="s">
        <v>51</v>
      </c>
      <c r="I1022" s="9" t="s">
        <v>1106</v>
      </c>
      <c r="J1022" s="9" t="s">
        <v>1108</v>
      </c>
      <c r="K1022" s="4" t="s">
        <v>21</v>
      </c>
      <c r="L1022" s="4">
        <v>15.0</v>
      </c>
      <c r="M1022" s="54"/>
      <c r="N1022" s="12">
        <v>0.0</v>
      </c>
      <c r="O1022" s="12">
        <v>1000.0</v>
      </c>
      <c r="P1022" s="13"/>
      <c r="Q1022" s="12"/>
      <c r="R1022" s="14"/>
      <c r="S1022" s="15"/>
      <c r="T1022" s="4" t="b">
        <v>0</v>
      </c>
    </row>
    <row r="1023">
      <c r="A1023" s="16" t="s">
        <v>1109</v>
      </c>
      <c r="B1023" s="17">
        <v>1800.0</v>
      </c>
      <c r="C1023" s="16" t="s">
        <v>975</v>
      </c>
      <c r="D1023" s="18">
        <v>5615.0</v>
      </c>
      <c r="E1023" s="19">
        <v>45153.0</v>
      </c>
      <c r="F1023" s="35"/>
      <c r="G1023" s="20">
        <v>2023.08</v>
      </c>
      <c r="H1023" s="21" t="s">
        <v>27</v>
      </c>
      <c r="I1023" s="21" t="s">
        <v>52</v>
      </c>
      <c r="J1023" s="21" t="s">
        <v>1110</v>
      </c>
      <c r="K1023" s="88" t="s">
        <v>21</v>
      </c>
      <c r="L1023" s="16">
        <v>15.0</v>
      </c>
      <c r="M1023" s="55"/>
      <c r="N1023" s="23">
        <v>0.0</v>
      </c>
      <c r="O1023" s="23">
        <v>1800.0</v>
      </c>
      <c r="P1023" s="24"/>
      <c r="Q1023" s="23"/>
      <c r="R1023" s="25"/>
      <c r="S1023" s="26"/>
      <c r="T1023" s="16" t="b">
        <v>0</v>
      </c>
    </row>
    <row r="1024">
      <c r="A1024" s="4" t="s">
        <v>1111</v>
      </c>
      <c r="B1024" s="5">
        <f t="shared" ref="B1024:B1026" si="35">15000/3</f>
        <v>5000</v>
      </c>
      <c r="C1024" s="4" t="s">
        <v>975</v>
      </c>
      <c r="D1024" s="6" t="s">
        <v>1112</v>
      </c>
      <c r="E1024" s="7">
        <v>45155.0</v>
      </c>
      <c r="F1024" s="34"/>
      <c r="G1024" s="8">
        <v>2023.08</v>
      </c>
      <c r="H1024" s="9" t="s">
        <v>27</v>
      </c>
      <c r="I1024" s="9" t="s">
        <v>766</v>
      </c>
      <c r="J1024" s="9" t="s">
        <v>1113</v>
      </c>
      <c r="K1024" s="4" t="s">
        <v>9</v>
      </c>
      <c r="L1024" s="4">
        <v>15.0</v>
      </c>
      <c r="M1024" s="54"/>
      <c r="N1024" s="12">
        <v>0.0</v>
      </c>
      <c r="O1024" s="12">
        <v>5000.0</v>
      </c>
      <c r="P1024" s="13"/>
      <c r="Q1024" s="12"/>
      <c r="R1024" s="14"/>
      <c r="S1024" s="15"/>
      <c r="T1024" s="4" t="b">
        <v>0</v>
      </c>
    </row>
    <row r="1025">
      <c r="A1025" s="16" t="s">
        <v>1111</v>
      </c>
      <c r="B1025" s="17">
        <f t="shared" si="35"/>
        <v>5000</v>
      </c>
      <c r="C1025" s="16" t="s">
        <v>572</v>
      </c>
      <c r="D1025" s="44"/>
      <c r="E1025" s="19"/>
      <c r="F1025" s="35"/>
      <c r="G1025" s="20">
        <v>1899.12</v>
      </c>
      <c r="H1025" s="21" t="s">
        <v>27</v>
      </c>
      <c r="I1025" s="21" t="s">
        <v>766</v>
      </c>
      <c r="J1025" s="21"/>
      <c r="K1025" s="16" t="s">
        <v>9</v>
      </c>
      <c r="L1025" s="16">
        <v>15.0</v>
      </c>
      <c r="M1025" s="55"/>
      <c r="N1025" s="23">
        <v>0.0</v>
      </c>
      <c r="O1025" s="23">
        <v>5000.0</v>
      </c>
      <c r="P1025" s="24"/>
      <c r="Q1025" s="23"/>
      <c r="R1025" s="25"/>
      <c r="S1025" s="26"/>
      <c r="T1025" s="16" t="b">
        <v>0</v>
      </c>
    </row>
    <row r="1026">
      <c r="A1026" s="4" t="s">
        <v>1111</v>
      </c>
      <c r="B1026" s="5">
        <f t="shared" si="35"/>
        <v>5000</v>
      </c>
      <c r="C1026" s="4" t="s">
        <v>572</v>
      </c>
      <c r="D1026" s="39"/>
      <c r="E1026" s="7"/>
      <c r="F1026" s="34"/>
      <c r="G1026" s="8">
        <v>1899.12</v>
      </c>
      <c r="H1026" s="9" t="s">
        <v>27</v>
      </c>
      <c r="I1026" s="9" t="s">
        <v>766</v>
      </c>
      <c r="J1026" s="9"/>
      <c r="K1026" s="4" t="s">
        <v>9</v>
      </c>
      <c r="L1026" s="4">
        <v>15.0</v>
      </c>
      <c r="M1026" s="54"/>
      <c r="N1026" s="12">
        <v>0.0</v>
      </c>
      <c r="O1026" s="12">
        <v>5000.0</v>
      </c>
      <c r="P1026" s="13"/>
      <c r="Q1026" s="12"/>
      <c r="R1026" s="14"/>
      <c r="S1026" s="15"/>
      <c r="T1026" s="4" t="b">
        <v>0</v>
      </c>
    </row>
    <row r="1027">
      <c r="A1027" s="16" t="s">
        <v>1114</v>
      </c>
      <c r="B1027" s="17">
        <f>1500*1.308918</f>
        <v>1963.377</v>
      </c>
      <c r="C1027" s="16" t="s">
        <v>18</v>
      </c>
      <c r="D1027" s="18" t="s">
        <v>1115</v>
      </c>
      <c r="E1027" s="19">
        <v>45153.0</v>
      </c>
      <c r="F1027" s="35">
        <f>55.8*1.308918</f>
        <v>73.0376244</v>
      </c>
      <c r="G1027" s="20">
        <v>2023.08</v>
      </c>
      <c r="H1027" s="21" t="s">
        <v>27</v>
      </c>
      <c r="I1027" s="21" t="s">
        <v>766</v>
      </c>
      <c r="J1027" s="21" t="s">
        <v>1116</v>
      </c>
      <c r="K1027" s="16" t="s">
        <v>9</v>
      </c>
      <c r="L1027" s="16">
        <v>15.0</v>
      </c>
      <c r="M1027" s="55"/>
      <c r="N1027" s="23">
        <v>0.0</v>
      </c>
      <c r="O1027" s="23">
        <v>1890.3393756</v>
      </c>
      <c r="P1027" s="24"/>
      <c r="Q1027" s="23"/>
      <c r="R1027" s="25"/>
      <c r="S1027" s="26">
        <v>45108.0</v>
      </c>
      <c r="T1027" s="16" t="b">
        <v>0</v>
      </c>
    </row>
    <row r="1028">
      <c r="A1028" s="4" t="s">
        <v>584</v>
      </c>
      <c r="B1028" s="5">
        <v>995.0</v>
      </c>
      <c r="C1028" s="4" t="s">
        <v>975</v>
      </c>
      <c r="D1028" s="6" t="s">
        <v>1117</v>
      </c>
      <c r="E1028" s="7">
        <v>45169.0</v>
      </c>
      <c r="F1028" s="34"/>
      <c r="G1028" s="8">
        <v>2023.0</v>
      </c>
      <c r="H1028" s="9"/>
      <c r="I1028" s="9"/>
      <c r="J1028" s="9" t="s">
        <v>1118</v>
      </c>
      <c r="K1028" s="4" t="s">
        <v>9</v>
      </c>
      <c r="L1028" s="10"/>
      <c r="M1028" s="54"/>
      <c r="N1028" s="12">
        <v>0.0</v>
      </c>
      <c r="O1028" s="12">
        <v>995.0</v>
      </c>
      <c r="P1028" s="13"/>
      <c r="Q1028" s="12"/>
      <c r="R1028" s="14"/>
      <c r="S1028" s="15"/>
      <c r="T1028" s="4" t="b">
        <v>0</v>
      </c>
    </row>
    <row r="1029">
      <c r="A1029" s="16" t="s">
        <v>120</v>
      </c>
      <c r="B1029" s="17">
        <f>1000*1.308918</f>
        <v>1308.918</v>
      </c>
      <c r="C1029" s="16" t="s">
        <v>18</v>
      </c>
      <c r="D1029" s="18" t="s">
        <v>1119</v>
      </c>
      <c r="E1029" s="82">
        <v>45169.0</v>
      </c>
      <c r="F1029" s="35">
        <f>37.3*1.308918</f>
        <v>48.8226414</v>
      </c>
      <c r="G1029" s="20">
        <v>2023.08</v>
      </c>
      <c r="H1029" s="21" t="s">
        <v>51</v>
      </c>
      <c r="I1029" s="21" t="s">
        <v>52</v>
      </c>
      <c r="J1029" s="21" t="s">
        <v>947</v>
      </c>
      <c r="K1029" s="16" t="s">
        <v>9</v>
      </c>
      <c r="L1029" s="16">
        <v>30.0</v>
      </c>
      <c r="M1029" s="55">
        <v>0.2</v>
      </c>
      <c r="N1029" s="23">
        <v>252.01907172000003</v>
      </c>
      <c r="O1029" s="23">
        <v>1008.07628688</v>
      </c>
      <c r="P1029" s="24"/>
      <c r="Q1029" s="23"/>
      <c r="R1029" s="25"/>
      <c r="S1029" s="26">
        <v>45108.0</v>
      </c>
      <c r="T1029" s="16" t="b">
        <v>0</v>
      </c>
    </row>
    <row r="1030">
      <c r="A1030" s="4" t="s">
        <v>1120</v>
      </c>
      <c r="B1030" s="5">
        <v>1500.0</v>
      </c>
      <c r="C1030" s="4" t="s">
        <v>975</v>
      </c>
      <c r="D1030" s="6" t="s">
        <v>1121</v>
      </c>
      <c r="E1030" s="7">
        <v>45169.0</v>
      </c>
      <c r="F1030" s="34"/>
      <c r="G1030" s="8">
        <v>2023.0</v>
      </c>
      <c r="H1030" s="9" t="s">
        <v>766</v>
      </c>
      <c r="I1030" s="9"/>
      <c r="J1030" s="9" t="s">
        <v>1122</v>
      </c>
      <c r="K1030" s="4" t="s">
        <v>9</v>
      </c>
      <c r="L1030" s="4">
        <v>0.0</v>
      </c>
      <c r="M1030" s="54"/>
      <c r="N1030" s="12">
        <v>0.0</v>
      </c>
      <c r="O1030" s="12">
        <v>1500.0</v>
      </c>
      <c r="P1030" s="13"/>
      <c r="Q1030" s="12"/>
      <c r="R1030" s="14"/>
      <c r="S1030" s="15"/>
      <c r="T1030" s="4" t="b">
        <v>0</v>
      </c>
    </row>
    <row r="1031">
      <c r="A1031" s="16" t="s">
        <v>1120</v>
      </c>
      <c r="B1031" s="17">
        <v>0.0</v>
      </c>
      <c r="C1031" s="16" t="s">
        <v>572</v>
      </c>
      <c r="D1031" s="44"/>
      <c r="E1031" s="19"/>
      <c r="F1031" s="35"/>
      <c r="G1031" s="20">
        <v>1899.0</v>
      </c>
      <c r="H1031" s="21" t="s">
        <v>766</v>
      </c>
      <c r="I1031" s="21"/>
      <c r="J1031" s="21" t="s">
        <v>1123</v>
      </c>
      <c r="K1031" s="16" t="s">
        <v>9</v>
      </c>
      <c r="L1031" s="22"/>
      <c r="M1031" s="55"/>
      <c r="N1031" s="23">
        <v>0.0</v>
      </c>
      <c r="O1031" s="23">
        <v>0.0</v>
      </c>
      <c r="P1031" s="24"/>
      <c r="Q1031" s="23"/>
      <c r="R1031" s="25"/>
      <c r="S1031" s="26"/>
      <c r="T1031" s="16" t="b">
        <v>0</v>
      </c>
    </row>
    <row r="1032">
      <c r="A1032" s="4" t="s">
        <v>223</v>
      </c>
      <c r="B1032" s="93">
        <v>880.0</v>
      </c>
      <c r="C1032" s="4" t="s">
        <v>975</v>
      </c>
      <c r="D1032" s="6">
        <v>5616.0</v>
      </c>
      <c r="E1032" s="84">
        <v>45169.0</v>
      </c>
      <c r="F1032" s="34"/>
      <c r="G1032" s="8">
        <v>2023.08</v>
      </c>
      <c r="H1032" s="94" t="s">
        <v>51</v>
      </c>
      <c r="I1032" s="94" t="s">
        <v>52</v>
      </c>
      <c r="J1032" s="94" t="s">
        <v>247</v>
      </c>
      <c r="K1032" s="94" t="s">
        <v>21</v>
      </c>
      <c r="L1032" s="94">
        <v>30.0</v>
      </c>
      <c r="M1032" s="95"/>
      <c r="N1032" s="12">
        <v>0.0</v>
      </c>
      <c r="O1032" s="12">
        <v>880.0</v>
      </c>
      <c r="P1032" s="13"/>
      <c r="Q1032" s="12"/>
      <c r="R1032" s="14"/>
      <c r="S1032" s="15"/>
      <c r="T1032" s="4" t="b">
        <v>0</v>
      </c>
    </row>
    <row r="1033">
      <c r="A1033" s="16" t="s">
        <v>54</v>
      </c>
      <c r="B1033" s="96">
        <v>750.0</v>
      </c>
      <c r="C1033" s="16" t="s">
        <v>975</v>
      </c>
      <c r="D1033" s="18">
        <v>5618.0</v>
      </c>
      <c r="E1033" s="82">
        <v>45169.0</v>
      </c>
      <c r="F1033" s="35"/>
      <c r="G1033" s="20">
        <v>2023.08</v>
      </c>
      <c r="H1033" s="97" t="s">
        <v>51</v>
      </c>
      <c r="I1033" s="97" t="s">
        <v>52</v>
      </c>
      <c r="J1033" s="97" t="s">
        <v>55</v>
      </c>
      <c r="K1033" s="97" t="s">
        <v>21</v>
      </c>
      <c r="L1033" s="97">
        <v>30.0</v>
      </c>
      <c r="M1033" s="98"/>
      <c r="N1033" s="23">
        <v>0.0</v>
      </c>
      <c r="O1033" s="23">
        <v>750.0</v>
      </c>
      <c r="P1033" s="24"/>
      <c r="Q1033" s="23"/>
      <c r="R1033" s="25"/>
      <c r="S1033" s="26"/>
      <c r="T1033" s="16" t="b">
        <v>0</v>
      </c>
    </row>
    <row r="1034">
      <c r="A1034" s="94" t="s">
        <v>42</v>
      </c>
      <c r="B1034" s="93">
        <v>1500.0</v>
      </c>
      <c r="C1034" s="4" t="s">
        <v>18</v>
      </c>
      <c r="D1034" s="6">
        <v>5621.0</v>
      </c>
      <c r="E1034" s="84">
        <v>45169.0</v>
      </c>
      <c r="F1034" s="5">
        <v>46.67</v>
      </c>
      <c r="G1034" s="8">
        <v>2023.08</v>
      </c>
      <c r="H1034" s="94" t="s">
        <v>51</v>
      </c>
      <c r="I1034" s="94" t="s">
        <v>52</v>
      </c>
      <c r="J1034" s="94" t="s">
        <v>43</v>
      </c>
      <c r="K1034" s="94" t="s">
        <v>21</v>
      </c>
      <c r="L1034" s="94">
        <v>30.0</v>
      </c>
      <c r="M1034" s="95">
        <v>0.15</v>
      </c>
      <c r="N1034" s="12">
        <v>217.99949999999998</v>
      </c>
      <c r="O1034" s="12">
        <v>1235.3305</v>
      </c>
      <c r="P1034" s="13"/>
      <c r="Q1034" s="12"/>
      <c r="R1034" s="14"/>
      <c r="S1034" s="15"/>
      <c r="T1034" s="4" t="b">
        <v>0</v>
      </c>
    </row>
    <row r="1035">
      <c r="A1035" s="99" t="s">
        <v>1124</v>
      </c>
      <c r="B1035" s="96">
        <v>860.0</v>
      </c>
      <c r="C1035" s="16" t="s">
        <v>975</v>
      </c>
      <c r="D1035" s="18">
        <v>5622.0</v>
      </c>
      <c r="E1035" s="82">
        <v>45169.0</v>
      </c>
      <c r="F1035" s="35"/>
      <c r="G1035" s="20">
        <v>2023.08</v>
      </c>
      <c r="H1035" s="97" t="s">
        <v>51</v>
      </c>
      <c r="I1035" s="97" t="s">
        <v>52</v>
      </c>
      <c r="J1035" s="97" t="s">
        <v>1023</v>
      </c>
      <c r="K1035" s="97" t="s">
        <v>21</v>
      </c>
      <c r="L1035" s="97">
        <v>30.0</v>
      </c>
      <c r="M1035" s="98"/>
      <c r="N1035" s="23">
        <v>0.0</v>
      </c>
      <c r="O1035" s="23">
        <v>860.0</v>
      </c>
      <c r="P1035" s="24"/>
      <c r="Q1035" s="23"/>
      <c r="R1035" s="25"/>
      <c r="S1035" s="26"/>
      <c r="T1035" s="16" t="b">
        <v>0</v>
      </c>
    </row>
    <row r="1036">
      <c r="A1036" s="94" t="s">
        <v>88</v>
      </c>
      <c r="B1036" s="93">
        <v>500.0</v>
      </c>
      <c r="C1036" s="4" t="s">
        <v>975</v>
      </c>
      <c r="D1036" s="6">
        <v>5619.0</v>
      </c>
      <c r="E1036" s="84">
        <v>45169.0</v>
      </c>
      <c r="F1036" s="34"/>
      <c r="G1036" s="8">
        <v>2023.08</v>
      </c>
      <c r="H1036" s="94" t="s">
        <v>51</v>
      </c>
      <c r="I1036" s="94" t="s">
        <v>52</v>
      </c>
      <c r="J1036" s="94" t="s">
        <v>89</v>
      </c>
      <c r="K1036" s="94" t="s">
        <v>21</v>
      </c>
      <c r="L1036" s="94">
        <v>30.0</v>
      </c>
      <c r="M1036" s="95"/>
      <c r="N1036" s="12">
        <v>0.0</v>
      </c>
      <c r="O1036" s="12">
        <v>500.0</v>
      </c>
      <c r="P1036" s="13"/>
      <c r="Q1036" s="12"/>
      <c r="R1036" s="14"/>
      <c r="S1036" s="15"/>
      <c r="T1036" s="4" t="b">
        <v>0</v>
      </c>
    </row>
    <row r="1037">
      <c r="A1037" s="97" t="s">
        <v>50</v>
      </c>
      <c r="B1037" s="96">
        <v>412.5</v>
      </c>
      <c r="C1037" s="16" t="s">
        <v>975</v>
      </c>
      <c r="D1037" s="18">
        <v>5623.0</v>
      </c>
      <c r="E1037" s="82">
        <v>45169.0</v>
      </c>
      <c r="F1037" s="35"/>
      <c r="G1037" s="20">
        <v>2023.08</v>
      </c>
      <c r="H1037" s="97" t="s">
        <v>51</v>
      </c>
      <c r="I1037" s="97" t="s">
        <v>52</v>
      </c>
      <c r="J1037" s="97" t="s">
        <v>400</v>
      </c>
      <c r="K1037" s="97" t="s">
        <v>21</v>
      </c>
      <c r="L1037" s="97">
        <v>30.0</v>
      </c>
      <c r="M1037" s="98"/>
      <c r="N1037" s="23">
        <v>0.0</v>
      </c>
      <c r="O1037" s="23">
        <v>412.5</v>
      </c>
      <c r="P1037" s="24"/>
      <c r="Q1037" s="23"/>
      <c r="R1037" s="25"/>
      <c r="S1037" s="26"/>
      <c r="T1037" s="16" t="b">
        <v>0</v>
      </c>
    </row>
    <row r="1038">
      <c r="A1038" s="94" t="s">
        <v>97</v>
      </c>
      <c r="B1038" s="93">
        <v>330.0</v>
      </c>
      <c r="C1038" s="4" t="s">
        <v>18</v>
      </c>
      <c r="D1038" s="6">
        <v>5624.0</v>
      </c>
      <c r="E1038" s="84">
        <v>45169.0</v>
      </c>
      <c r="F1038" s="5">
        <v>10.27</v>
      </c>
      <c r="G1038" s="8">
        <v>2023.08</v>
      </c>
      <c r="H1038" s="94" t="s">
        <v>51</v>
      </c>
      <c r="I1038" s="94" t="s">
        <v>52</v>
      </c>
      <c r="J1038" s="94" t="s">
        <v>98</v>
      </c>
      <c r="K1038" s="94" t="s">
        <v>21</v>
      </c>
      <c r="L1038" s="94">
        <v>30.0</v>
      </c>
      <c r="M1038" s="100">
        <v>0.0</v>
      </c>
      <c r="N1038" s="12">
        <v>0.0</v>
      </c>
      <c r="O1038" s="12">
        <v>319.73</v>
      </c>
      <c r="P1038" s="13"/>
      <c r="Q1038" s="12">
        <v>330.0</v>
      </c>
      <c r="R1038" s="14"/>
      <c r="S1038" s="15"/>
      <c r="T1038" s="4" t="b">
        <v>0</v>
      </c>
    </row>
    <row r="1039">
      <c r="A1039" s="97" t="s">
        <v>92</v>
      </c>
      <c r="B1039" s="96">
        <v>2500.0</v>
      </c>
      <c r="C1039" s="16" t="s">
        <v>975</v>
      </c>
      <c r="D1039" s="18">
        <v>5625.0</v>
      </c>
      <c r="E1039" s="82">
        <v>45169.0</v>
      </c>
      <c r="F1039" s="35"/>
      <c r="G1039" s="20">
        <v>2023.08</v>
      </c>
      <c r="H1039" s="97" t="s">
        <v>51</v>
      </c>
      <c r="I1039" s="97" t="s">
        <v>52</v>
      </c>
      <c r="J1039" s="97" t="s">
        <v>93</v>
      </c>
      <c r="K1039" s="97" t="s">
        <v>21</v>
      </c>
      <c r="L1039" s="97">
        <v>30.0</v>
      </c>
      <c r="M1039" s="98"/>
      <c r="N1039" s="23">
        <v>0.0</v>
      </c>
      <c r="O1039" s="23">
        <v>2500.0</v>
      </c>
      <c r="P1039" s="24"/>
      <c r="Q1039" s="23"/>
      <c r="R1039" s="25"/>
      <c r="S1039" s="26"/>
      <c r="T1039" s="16" t="b">
        <v>0</v>
      </c>
    </row>
    <row r="1040">
      <c r="A1040" s="94" t="s">
        <v>123</v>
      </c>
      <c r="B1040" s="93">
        <v>250.0</v>
      </c>
      <c r="C1040" s="4" t="s">
        <v>975</v>
      </c>
      <c r="D1040" s="6" t="s">
        <v>1125</v>
      </c>
      <c r="E1040" s="84">
        <v>45169.0</v>
      </c>
      <c r="F1040" s="34"/>
      <c r="G1040" s="8">
        <v>2023.08</v>
      </c>
      <c r="H1040" s="94" t="s">
        <v>51</v>
      </c>
      <c r="I1040" s="94" t="s">
        <v>52</v>
      </c>
      <c r="J1040" s="94" t="s">
        <v>1126</v>
      </c>
      <c r="K1040" s="94" t="s">
        <v>9</v>
      </c>
      <c r="L1040" s="94">
        <v>30.0</v>
      </c>
      <c r="M1040" s="95">
        <v>0.2</v>
      </c>
      <c r="N1040" s="12">
        <v>50.0</v>
      </c>
      <c r="O1040" s="12">
        <v>200.0</v>
      </c>
      <c r="P1040" s="13"/>
      <c r="Q1040" s="12"/>
      <c r="R1040" s="14"/>
      <c r="S1040" s="15"/>
      <c r="T1040" s="4" t="b">
        <v>0</v>
      </c>
    </row>
    <row r="1041">
      <c r="A1041" s="97" t="s">
        <v>115</v>
      </c>
      <c r="B1041" s="96">
        <v>2500.0</v>
      </c>
      <c r="C1041" s="16" t="s">
        <v>975</v>
      </c>
      <c r="D1041" s="18" t="s">
        <v>1127</v>
      </c>
      <c r="E1041" s="82">
        <v>45169.0</v>
      </c>
      <c r="F1041" s="35"/>
      <c r="G1041" s="20">
        <v>2023.08</v>
      </c>
      <c r="H1041" s="97" t="s">
        <v>51</v>
      </c>
      <c r="I1041" s="97" t="s">
        <v>52</v>
      </c>
      <c r="J1041" s="97" t="s">
        <v>117</v>
      </c>
      <c r="K1041" s="97" t="s">
        <v>9</v>
      </c>
      <c r="L1041" s="97">
        <v>30.0</v>
      </c>
      <c r="M1041" s="98"/>
      <c r="N1041" s="23">
        <v>0.0</v>
      </c>
      <c r="O1041" s="23">
        <v>2500.0</v>
      </c>
      <c r="P1041" s="24"/>
      <c r="Q1041" s="23"/>
      <c r="R1041" s="25"/>
      <c r="S1041" s="26"/>
      <c r="T1041" s="16" t="b">
        <v>0</v>
      </c>
    </row>
    <row r="1042">
      <c r="A1042" s="94" t="s">
        <v>118</v>
      </c>
      <c r="B1042" s="93">
        <v>2500.0</v>
      </c>
      <c r="C1042" s="4" t="s">
        <v>975</v>
      </c>
      <c r="D1042" s="6" t="s">
        <v>1128</v>
      </c>
      <c r="E1042" s="84">
        <v>45169.0</v>
      </c>
      <c r="F1042" s="34"/>
      <c r="G1042" s="8">
        <v>2023.08</v>
      </c>
      <c r="H1042" s="94" t="s">
        <v>51</v>
      </c>
      <c r="I1042" s="94" t="s">
        <v>52</v>
      </c>
      <c r="J1042" s="94" t="s">
        <v>117</v>
      </c>
      <c r="K1042" s="94" t="s">
        <v>9</v>
      </c>
      <c r="L1042" s="94">
        <v>30.0</v>
      </c>
      <c r="M1042" s="95"/>
      <c r="N1042" s="12">
        <v>0.0</v>
      </c>
      <c r="O1042" s="12">
        <v>2500.0</v>
      </c>
      <c r="P1042" s="13"/>
      <c r="Q1042" s="12"/>
      <c r="R1042" s="14"/>
      <c r="S1042" s="15"/>
      <c r="T1042" s="4" t="b">
        <v>0</v>
      </c>
    </row>
    <row r="1043">
      <c r="A1043" s="97" t="s">
        <v>73</v>
      </c>
      <c r="B1043" s="96">
        <v>770.0</v>
      </c>
      <c r="C1043" s="16" t="s">
        <v>975</v>
      </c>
      <c r="D1043" s="18">
        <v>5626.0</v>
      </c>
      <c r="E1043" s="82">
        <v>45169.0</v>
      </c>
      <c r="F1043" s="35"/>
      <c r="G1043" s="20">
        <v>2023.08</v>
      </c>
      <c r="H1043" s="97" t="s">
        <v>51</v>
      </c>
      <c r="I1043" s="97" t="s">
        <v>52</v>
      </c>
      <c r="J1043" s="97" t="s">
        <v>74</v>
      </c>
      <c r="K1043" s="97" t="s">
        <v>21</v>
      </c>
      <c r="L1043" s="97">
        <v>30.0</v>
      </c>
      <c r="M1043" s="98"/>
      <c r="N1043" s="23">
        <v>0.0</v>
      </c>
      <c r="O1043" s="23">
        <v>770.0</v>
      </c>
      <c r="P1043" s="24"/>
      <c r="Q1043" s="23"/>
      <c r="R1043" s="25"/>
      <c r="S1043" s="26"/>
      <c r="T1043" s="16" t="b">
        <v>0</v>
      </c>
    </row>
    <row r="1044">
      <c r="A1044" s="94" t="s">
        <v>499</v>
      </c>
      <c r="B1044" s="93">
        <v>1650.0</v>
      </c>
      <c r="C1044" s="4" t="s">
        <v>18</v>
      </c>
      <c r="D1044" s="6">
        <v>5627.0</v>
      </c>
      <c r="E1044" s="84">
        <v>45169.0</v>
      </c>
      <c r="F1044" s="5">
        <v>55.25</v>
      </c>
      <c r="G1044" s="8">
        <v>2023.08</v>
      </c>
      <c r="H1044" s="94" t="s">
        <v>51</v>
      </c>
      <c r="I1044" s="94" t="s">
        <v>52</v>
      </c>
      <c r="J1044" s="94" t="s">
        <v>500</v>
      </c>
      <c r="K1044" s="94" t="s">
        <v>21</v>
      </c>
      <c r="L1044" s="94">
        <v>30.0</v>
      </c>
      <c r="M1044" s="95"/>
      <c r="N1044" s="12">
        <v>0.0</v>
      </c>
      <c r="O1044" s="12">
        <v>1594.75</v>
      </c>
      <c r="P1044" s="13"/>
      <c r="Q1044" s="12"/>
      <c r="R1044" s="14"/>
      <c r="S1044" s="15"/>
      <c r="T1044" s="4" t="b">
        <v>0</v>
      </c>
    </row>
    <row r="1045">
      <c r="A1045" s="97" t="s">
        <v>695</v>
      </c>
      <c r="B1045" s="96">
        <v>600.0</v>
      </c>
      <c r="C1045" s="16" t="s">
        <v>18</v>
      </c>
      <c r="D1045" s="18">
        <v>5628.0</v>
      </c>
      <c r="E1045" s="82">
        <v>45169.0</v>
      </c>
      <c r="F1045" s="17">
        <v>18.67</v>
      </c>
      <c r="G1045" s="20">
        <v>2023.08</v>
      </c>
      <c r="H1045" s="97" t="s">
        <v>51</v>
      </c>
      <c r="I1045" s="97" t="s">
        <v>52</v>
      </c>
      <c r="J1045" s="97" t="s">
        <v>696</v>
      </c>
      <c r="K1045" s="97" t="s">
        <v>21</v>
      </c>
      <c r="L1045" s="97">
        <v>30.0</v>
      </c>
      <c r="M1045" s="98"/>
      <c r="N1045" s="23">
        <v>0.0</v>
      </c>
      <c r="O1045" s="23">
        <v>581.33</v>
      </c>
      <c r="P1045" s="24"/>
      <c r="Q1045" s="23"/>
      <c r="R1045" s="25"/>
      <c r="S1045" s="26"/>
      <c r="T1045" s="16" t="b">
        <v>0</v>
      </c>
    </row>
    <row r="1046">
      <c r="A1046" s="94" t="s">
        <v>810</v>
      </c>
      <c r="B1046" s="93">
        <v>880.0</v>
      </c>
      <c r="C1046" s="4" t="s">
        <v>975</v>
      </c>
      <c r="D1046" s="6" t="s">
        <v>1129</v>
      </c>
      <c r="E1046" s="84">
        <v>45169.0</v>
      </c>
      <c r="F1046" s="34"/>
      <c r="G1046" s="8">
        <v>2023.08</v>
      </c>
      <c r="H1046" s="94" t="s">
        <v>51</v>
      </c>
      <c r="I1046" s="94" t="s">
        <v>52</v>
      </c>
      <c r="J1046" s="94" t="s">
        <v>854</v>
      </c>
      <c r="K1046" s="94" t="s">
        <v>9</v>
      </c>
      <c r="L1046" s="94">
        <v>0.0</v>
      </c>
      <c r="M1046" s="95"/>
      <c r="N1046" s="12">
        <v>0.0</v>
      </c>
      <c r="O1046" s="12">
        <v>880.0</v>
      </c>
      <c r="P1046" s="13"/>
      <c r="Q1046" s="12"/>
      <c r="R1046" s="14"/>
      <c r="S1046" s="15"/>
      <c r="T1046" s="4" t="b">
        <v>0</v>
      </c>
    </row>
    <row r="1047">
      <c r="A1047" s="97" t="s">
        <v>855</v>
      </c>
      <c r="B1047" s="96">
        <v>250.0</v>
      </c>
      <c r="C1047" s="16" t="s">
        <v>975</v>
      </c>
      <c r="D1047" s="18">
        <v>5617.0</v>
      </c>
      <c r="E1047" s="82">
        <v>45169.0</v>
      </c>
      <c r="F1047" s="35"/>
      <c r="G1047" s="20">
        <v>2023.08</v>
      </c>
      <c r="H1047" s="97" t="s">
        <v>51</v>
      </c>
      <c r="I1047" s="97" t="s">
        <v>52</v>
      </c>
      <c r="J1047" s="97" t="s">
        <v>857</v>
      </c>
      <c r="K1047" s="97" t="s">
        <v>21</v>
      </c>
      <c r="L1047" s="97">
        <v>30.0</v>
      </c>
      <c r="M1047" s="98"/>
      <c r="N1047" s="23">
        <v>0.0</v>
      </c>
      <c r="O1047" s="23">
        <v>250.0</v>
      </c>
      <c r="P1047" s="24"/>
      <c r="Q1047" s="23"/>
      <c r="R1047" s="25"/>
      <c r="S1047" s="26"/>
      <c r="T1047" s="16" t="b">
        <v>0</v>
      </c>
    </row>
    <row r="1048">
      <c r="A1048" s="94" t="s">
        <v>861</v>
      </c>
      <c r="B1048" s="93">
        <v>1750.0</v>
      </c>
      <c r="C1048" s="4" t="s">
        <v>975</v>
      </c>
      <c r="D1048" s="6" t="s">
        <v>1130</v>
      </c>
      <c r="E1048" s="84">
        <v>45169.0</v>
      </c>
      <c r="F1048" s="34"/>
      <c r="G1048" s="8">
        <v>2023.08</v>
      </c>
      <c r="H1048" s="94" t="s">
        <v>51</v>
      </c>
      <c r="I1048" s="94" t="s">
        <v>52</v>
      </c>
      <c r="J1048" s="94" t="s">
        <v>962</v>
      </c>
      <c r="K1048" s="94" t="s">
        <v>9</v>
      </c>
      <c r="L1048" s="94">
        <v>15.0</v>
      </c>
      <c r="M1048" s="95">
        <v>0.2</v>
      </c>
      <c r="N1048" s="12">
        <v>350.0</v>
      </c>
      <c r="O1048" s="12">
        <v>1400.0</v>
      </c>
      <c r="P1048" s="13"/>
      <c r="Q1048" s="12"/>
      <c r="R1048" s="14"/>
      <c r="S1048" s="15"/>
      <c r="T1048" s="4" t="b">
        <v>0</v>
      </c>
    </row>
    <row r="1049">
      <c r="A1049" s="97" t="s">
        <v>963</v>
      </c>
      <c r="B1049" s="96">
        <v>750.0</v>
      </c>
      <c r="C1049" s="16" t="s">
        <v>975</v>
      </c>
      <c r="D1049" s="18" t="s">
        <v>1131</v>
      </c>
      <c r="E1049" s="82">
        <v>45169.0</v>
      </c>
      <c r="F1049" s="35"/>
      <c r="G1049" s="20">
        <v>2023.08</v>
      </c>
      <c r="H1049" s="97" t="s">
        <v>51</v>
      </c>
      <c r="I1049" s="97" t="s">
        <v>52</v>
      </c>
      <c r="J1049" s="97" t="s">
        <v>965</v>
      </c>
      <c r="K1049" s="97" t="s">
        <v>9</v>
      </c>
      <c r="L1049" s="97">
        <v>15.0</v>
      </c>
      <c r="M1049" s="98">
        <v>0.2</v>
      </c>
      <c r="N1049" s="23">
        <v>150.0</v>
      </c>
      <c r="O1049" s="23">
        <v>600.0</v>
      </c>
      <c r="P1049" s="24"/>
      <c r="Q1049" s="23"/>
      <c r="R1049" s="25"/>
      <c r="S1049" s="26"/>
      <c r="T1049" s="16" t="b">
        <v>0</v>
      </c>
    </row>
    <row r="1050">
      <c r="A1050" s="94" t="s">
        <v>1041</v>
      </c>
      <c r="B1050" s="93">
        <v>1000.0</v>
      </c>
      <c r="C1050" s="4" t="s">
        <v>975</v>
      </c>
      <c r="D1050" s="6">
        <v>5629.0</v>
      </c>
      <c r="E1050" s="84">
        <v>45169.0</v>
      </c>
      <c r="F1050" s="34"/>
      <c r="G1050" s="8">
        <v>2023.08</v>
      </c>
      <c r="H1050" s="94" t="s">
        <v>51</v>
      </c>
      <c r="I1050" s="94" t="s">
        <v>52</v>
      </c>
      <c r="J1050" s="94" t="s">
        <v>1132</v>
      </c>
      <c r="K1050" s="94" t="s">
        <v>21</v>
      </c>
      <c r="L1050" s="94">
        <v>15.0</v>
      </c>
      <c r="M1050" s="95"/>
      <c r="N1050" s="12">
        <v>0.0</v>
      </c>
      <c r="O1050" s="12">
        <v>1000.0</v>
      </c>
      <c r="P1050" s="13"/>
      <c r="Q1050" s="12"/>
      <c r="R1050" s="14"/>
      <c r="S1050" s="15"/>
      <c r="T1050" s="4" t="b">
        <v>0</v>
      </c>
    </row>
    <row r="1051">
      <c r="A1051" s="16" t="s">
        <v>1133</v>
      </c>
      <c r="B1051" s="17">
        <v>1100.0</v>
      </c>
      <c r="C1051" s="16" t="s">
        <v>975</v>
      </c>
      <c r="D1051" s="18">
        <v>5630.0</v>
      </c>
      <c r="E1051" s="82">
        <v>45169.0</v>
      </c>
      <c r="F1051" s="35"/>
      <c r="G1051" s="20">
        <v>2023.08</v>
      </c>
      <c r="H1051" s="97" t="s">
        <v>51</v>
      </c>
      <c r="I1051" s="97" t="s">
        <v>52</v>
      </c>
      <c r="J1051" s="21" t="s">
        <v>1134</v>
      </c>
      <c r="K1051" s="97" t="s">
        <v>21</v>
      </c>
      <c r="L1051" s="97">
        <v>15.0</v>
      </c>
      <c r="M1051" s="55"/>
      <c r="N1051" s="23">
        <v>0.0</v>
      </c>
      <c r="O1051" s="23">
        <v>1100.0</v>
      </c>
      <c r="P1051" s="24"/>
      <c r="Q1051" s="23"/>
      <c r="R1051" s="25"/>
      <c r="S1051" s="26"/>
      <c r="T1051" s="16" t="b">
        <v>0</v>
      </c>
    </row>
    <row r="1052">
      <c r="A1052" s="4" t="s">
        <v>64</v>
      </c>
      <c r="B1052" s="5">
        <v>1200.0</v>
      </c>
      <c r="C1052" s="4" t="s">
        <v>975</v>
      </c>
      <c r="D1052" s="6">
        <v>5631.0</v>
      </c>
      <c r="E1052" s="84">
        <v>45169.0</v>
      </c>
      <c r="F1052" s="34"/>
      <c r="G1052" s="8">
        <v>2023.08</v>
      </c>
      <c r="H1052" s="94" t="s">
        <v>51</v>
      </c>
      <c r="I1052" s="94" t="s">
        <v>52</v>
      </c>
      <c r="J1052" s="9" t="s">
        <v>1135</v>
      </c>
      <c r="K1052" s="94" t="s">
        <v>21</v>
      </c>
      <c r="L1052" s="94">
        <v>15.0</v>
      </c>
      <c r="M1052" s="54"/>
      <c r="N1052" s="12">
        <v>0.0</v>
      </c>
      <c r="O1052" s="12">
        <v>1200.0</v>
      </c>
      <c r="P1052" s="13"/>
      <c r="Q1052" s="12"/>
      <c r="R1052" s="14"/>
      <c r="S1052" s="15"/>
      <c r="T1052" s="4" t="b">
        <v>0</v>
      </c>
    </row>
    <row r="1053">
      <c r="A1053" s="16" t="s">
        <v>692</v>
      </c>
      <c r="B1053" s="17">
        <v>450.0</v>
      </c>
      <c r="C1053" s="16" t="s">
        <v>18</v>
      </c>
      <c r="D1053" s="18">
        <v>5628.0</v>
      </c>
      <c r="E1053" s="19">
        <v>45169.0</v>
      </c>
      <c r="F1053" s="17">
        <v>14.0</v>
      </c>
      <c r="G1053" s="20">
        <v>2023.08</v>
      </c>
      <c r="H1053" s="21" t="s">
        <v>51</v>
      </c>
      <c r="I1053" s="21" t="s">
        <v>52</v>
      </c>
      <c r="J1053" s="21" t="s">
        <v>1136</v>
      </c>
      <c r="K1053" s="16" t="s">
        <v>21</v>
      </c>
      <c r="L1053" s="16">
        <v>30.0</v>
      </c>
      <c r="M1053" s="55"/>
      <c r="N1053" s="23">
        <v>0.0</v>
      </c>
      <c r="O1053" s="23">
        <v>436.0</v>
      </c>
      <c r="P1053" s="24"/>
      <c r="Q1053" s="23"/>
      <c r="R1053" s="25"/>
      <c r="S1053" s="26"/>
      <c r="T1053" s="16" t="b">
        <v>0</v>
      </c>
    </row>
    <row r="1054">
      <c r="A1054" s="4"/>
      <c r="B1054" s="5"/>
      <c r="C1054" s="13"/>
      <c r="D1054" s="39"/>
      <c r="E1054" s="7"/>
      <c r="F1054" s="34"/>
      <c r="G1054" s="8">
        <v>1899.0</v>
      </c>
      <c r="H1054" s="9"/>
      <c r="I1054" s="9"/>
      <c r="J1054" s="9"/>
      <c r="K1054" s="4"/>
      <c r="L1054" s="10"/>
      <c r="M1054" s="54"/>
      <c r="N1054" s="12" t="s">
        <v>200</v>
      </c>
      <c r="O1054" s="12" t="s">
        <v>200</v>
      </c>
      <c r="P1054" s="13"/>
      <c r="Q1054" s="12"/>
      <c r="R1054" s="14"/>
      <c r="S1054" s="15"/>
      <c r="T1054" s="4" t="b">
        <v>0</v>
      </c>
    </row>
    <row r="1055">
      <c r="A1055" s="16"/>
      <c r="B1055" s="17"/>
      <c r="C1055" s="24"/>
      <c r="D1055" s="44"/>
      <c r="E1055" s="19"/>
      <c r="F1055" s="35"/>
      <c r="G1055" s="20">
        <v>1899.0</v>
      </c>
      <c r="H1055" s="21"/>
      <c r="I1055" s="21"/>
      <c r="J1055" s="21"/>
      <c r="K1055" s="16"/>
      <c r="L1055" s="22"/>
      <c r="M1055" s="55"/>
      <c r="N1055" s="23" t="s">
        <v>200</v>
      </c>
      <c r="O1055" s="23" t="s">
        <v>200</v>
      </c>
      <c r="P1055" s="24"/>
      <c r="Q1055" s="23"/>
      <c r="R1055" s="25"/>
      <c r="S1055" s="26"/>
      <c r="T1055" s="16" t="b">
        <v>0</v>
      </c>
    </row>
    <row r="1056">
      <c r="A1056" s="4"/>
      <c r="B1056" s="5"/>
      <c r="C1056" s="13"/>
      <c r="D1056" s="39"/>
      <c r="E1056" s="7"/>
      <c r="F1056" s="34"/>
      <c r="G1056" s="8">
        <v>1899.0</v>
      </c>
      <c r="H1056" s="9"/>
      <c r="I1056" s="9"/>
      <c r="J1056" s="9"/>
      <c r="K1056" s="4"/>
      <c r="L1056" s="10"/>
      <c r="M1056" s="54"/>
      <c r="N1056" s="12" t="s">
        <v>200</v>
      </c>
      <c r="O1056" s="12" t="s">
        <v>200</v>
      </c>
      <c r="P1056" s="13"/>
      <c r="Q1056" s="12"/>
      <c r="R1056" s="14"/>
      <c r="S1056" s="15"/>
      <c r="T1056" s="4" t="b">
        <v>0</v>
      </c>
    </row>
    <row r="1057">
      <c r="A1057" s="16"/>
      <c r="B1057" s="17"/>
      <c r="C1057" s="24"/>
      <c r="D1057" s="44"/>
      <c r="E1057" s="19"/>
      <c r="F1057" s="35"/>
      <c r="G1057" s="20">
        <v>1899.0</v>
      </c>
      <c r="H1057" s="21"/>
      <c r="I1057" s="21"/>
      <c r="J1057" s="21"/>
      <c r="K1057" s="16"/>
      <c r="L1057" s="22"/>
      <c r="M1057" s="55"/>
      <c r="N1057" s="23" t="s">
        <v>200</v>
      </c>
      <c r="O1057" s="23" t="s">
        <v>200</v>
      </c>
      <c r="P1057" s="24"/>
      <c r="Q1057" s="23"/>
      <c r="R1057" s="25"/>
      <c r="S1057" s="26"/>
      <c r="T1057" s="16" t="b">
        <v>0</v>
      </c>
    </row>
    <row r="1058">
      <c r="A1058" s="4"/>
      <c r="B1058" s="5"/>
      <c r="C1058" s="13"/>
      <c r="D1058" s="39"/>
      <c r="E1058" s="7"/>
      <c r="F1058" s="34"/>
      <c r="G1058" s="8">
        <v>1899.0</v>
      </c>
      <c r="H1058" s="9"/>
      <c r="I1058" s="9"/>
      <c r="J1058" s="9"/>
      <c r="K1058" s="4"/>
      <c r="L1058" s="10"/>
      <c r="M1058" s="54"/>
      <c r="N1058" s="12" t="s">
        <v>200</v>
      </c>
      <c r="O1058" s="12" t="s">
        <v>200</v>
      </c>
      <c r="P1058" s="13"/>
      <c r="Q1058" s="12"/>
      <c r="R1058" s="14"/>
      <c r="S1058" s="15"/>
      <c r="T1058" s="4" t="b">
        <v>0</v>
      </c>
    </row>
    <row r="1059">
      <c r="A1059" s="16"/>
      <c r="B1059" s="17"/>
      <c r="C1059" s="24"/>
      <c r="D1059" s="44"/>
      <c r="E1059" s="19"/>
      <c r="F1059" s="35"/>
      <c r="G1059" s="20">
        <v>1899.0</v>
      </c>
      <c r="H1059" s="21"/>
      <c r="I1059" s="21"/>
      <c r="J1059" s="21"/>
      <c r="K1059" s="16"/>
      <c r="L1059" s="22"/>
      <c r="M1059" s="55"/>
      <c r="N1059" s="23" t="s">
        <v>200</v>
      </c>
      <c r="O1059" s="23" t="s">
        <v>200</v>
      </c>
      <c r="P1059" s="24"/>
      <c r="Q1059" s="23"/>
      <c r="R1059" s="25"/>
      <c r="S1059" s="26"/>
      <c r="T1059" s="16" t="b">
        <v>0</v>
      </c>
    </row>
    <row r="1060">
      <c r="A1060" s="4"/>
      <c r="B1060" s="5"/>
      <c r="C1060" s="13"/>
      <c r="D1060" s="39"/>
      <c r="E1060" s="7"/>
      <c r="F1060" s="34"/>
      <c r="G1060" s="8">
        <v>1899.0</v>
      </c>
      <c r="H1060" s="9"/>
      <c r="I1060" s="9"/>
      <c r="J1060" s="9"/>
      <c r="K1060" s="4"/>
      <c r="L1060" s="10"/>
      <c r="M1060" s="54"/>
      <c r="N1060" s="12" t="s">
        <v>200</v>
      </c>
      <c r="O1060" s="12" t="s">
        <v>200</v>
      </c>
      <c r="P1060" s="13"/>
      <c r="Q1060" s="12"/>
      <c r="R1060" s="14"/>
      <c r="S1060" s="15"/>
      <c r="T1060" s="4" t="b">
        <v>0</v>
      </c>
    </row>
    <row r="1061">
      <c r="A1061" s="16"/>
      <c r="B1061" s="17"/>
      <c r="C1061" s="24"/>
      <c r="D1061" s="44"/>
      <c r="E1061" s="19"/>
      <c r="F1061" s="35"/>
      <c r="G1061" s="20">
        <v>1899.0</v>
      </c>
      <c r="H1061" s="21"/>
      <c r="I1061" s="21"/>
      <c r="J1061" s="21"/>
      <c r="K1061" s="16"/>
      <c r="L1061" s="22"/>
      <c r="M1061" s="55"/>
      <c r="N1061" s="23" t="s">
        <v>200</v>
      </c>
      <c r="O1061" s="23" t="s">
        <v>200</v>
      </c>
      <c r="P1061" s="24"/>
      <c r="Q1061" s="23"/>
      <c r="R1061" s="25"/>
      <c r="S1061" s="26"/>
      <c r="T1061" s="16" t="b">
        <v>0</v>
      </c>
    </row>
    <row r="1062">
      <c r="A1062" s="4"/>
      <c r="B1062" s="5"/>
      <c r="C1062" s="13"/>
      <c r="D1062" s="39"/>
      <c r="E1062" s="7"/>
      <c r="F1062" s="34"/>
      <c r="G1062" s="8">
        <v>1899.0</v>
      </c>
      <c r="H1062" s="9"/>
      <c r="I1062" s="9"/>
      <c r="J1062" s="9"/>
      <c r="K1062" s="4"/>
      <c r="L1062" s="10"/>
      <c r="M1062" s="54"/>
      <c r="N1062" s="12" t="s">
        <v>200</v>
      </c>
      <c r="O1062" s="12" t="s">
        <v>200</v>
      </c>
      <c r="P1062" s="13"/>
      <c r="Q1062" s="12"/>
      <c r="R1062" s="14"/>
      <c r="S1062" s="15"/>
      <c r="T1062" s="4" t="b">
        <v>0</v>
      </c>
    </row>
    <row r="1063">
      <c r="A1063" s="16"/>
      <c r="B1063" s="17"/>
      <c r="C1063" s="24"/>
      <c r="D1063" s="44"/>
      <c r="E1063" s="19"/>
      <c r="F1063" s="35"/>
      <c r="G1063" s="20">
        <v>1899.0</v>
      </c>
      <c r="H1063" s="21"/>
      <c r="I1063" s="21"/>
      <c r="J1063" s="21"/>
      <c r="K1063" s="16"/>
      <c r="L1063" s="22"/>
      <c r="M1063" s="55"/>
      <c r="N1063" s="23" t="s">
        <v>200</v>
      </c>
      <c r="O1063" s="23" t="s">
        <v>200</v>
      </c>
      <c r="P1063" s="24"/>
      <c r="Q1063" s="23"/>
      <c r="R1063" s="25"/>
      <c r="S1063" s="26"/>
      <c r="T1063" s="16" t="b">
        <v>0</v>
      </c>
    </row>
    <row r="1064">
      <c r="A1064" s="4"/>
      <c r="B1064" s="5"/>
      <c r="C1064" s="13"/>
      <c r="D1064" s="39"/>
      <c r="E1064" s="7"/>
      <c r="F1064" s="34"/>
      <c r="G1064" s="8">
        <v>1899.0</v>
      </c>
      <c r="H1064" s="9"/>
      <c r="I1064" s="9"/>
      <c r="J1064" s="9"/>
      <c r="K1064" s="4"/>
      <c r="L1064" s="10"/>
      <c r="M1064" s="54"/>
      <c r="N1064" s="12" t="s">
        <v>200</v>
      </c>
      <c r="O1064" s="12" t="s">
        <v>200</v>
      </c>
      <c r="P1064" s="13"/>
      <c r="Q1064" s="12"/>
      <c r="R1064" s="14"/>
      <c r="S1064" s="15"/>
      <c r="T1064" s="4" t="b">
        <v>0</v>
      </c>
    </row>
    <row r="1065">
      <c r="A1065" s="16"/>
      <c r="B1065" s="17"/>
      <c r="C1065" s="24"/>
      <c r="D1065" s="44"/>
      <c r="E1065" s="19"/>
      <c r="F1065" s="35"/>
      <c r="G1065" s="20">
        <v>1899.0</v>
      </c>
      <c r="H1065" s="21"/>
      <c r="I1065" s="21"/>
      <c r="J1065" s="21"/>
      <c r="K1065" s="16"/>
      <c r="L1065" s="22"/>
      <c r="M1065" s="55"/>
      <c r="N1065" s="23" t="s">
        <v>200</v>
      </c>
      <c r="O1065" s="23" t="s">
        <v>200</v>
      </c>
      <c r="P1065" s="24"/>
      <c r="Q1065" s="23"/>
      <c r="R1065" s="25"/>
      <c r="S1065" s="26"/>
      <c r="T1065" s="16" t="b">
        <v>0</v>
      </c>
    </row>
    <row r="1066">
      <c r="A1066" s="4"/>
      <c r="B1066" s="5"/>
      <c r="C1066" s="13"/>
      <c r="D1066" s="39"/>
      <c r="E1066" s="7"/>
      <c r="F1066" s="34"/>
      <c r="G1066" s="8">
        <v>1899.0</v>
      </c>
      <c r="H1066" s="9"/>
      <c r="I1066" s="9"/>
      <c r="J1066" s="9"/>
      <c r="K1066" s="4"/>
      <c r="L1066" s="10"/>
      <c r="M1066" s="54"/>
      <c r="N1066" s="12" t="s">
        <v>200</v>
      </c>
      <c r="O1066" s="12" t="s">
        <v>200</v>
      </c>
      <c r="P1066" s="13"/>
      <c r="Q1066" s="12"/>
      <c r="R1066" s="14"/>
      <c r="S1066" s="15"/>
      <c r="T1066" s="4" t="b">
        <v>0</v>
      </c>
    </row>
    <row r="1067">
      <c r="A1067" s="16"/>
      <c r="B1067" s="17"/>
      <c r="C1067" s="24"/>
      <c r="D1067" s="44"/>
      <c r="E1067" s="19"/>
      <c r="F1067" s="35"/>
      <c r="G1067" s="20">
        <v>1899.0</v>
      </c>
      <c r="H1067" s="21"/>
      <c r="I1067" s="21"/>
      <c r="J1067" s="21"/>
      <c r="K1067" s="16"/>
      <c r="L1067" s="22"/>
      <c r="M1067" s="55"/>
      <c r="N1067" s="23" t="s">
        <v>200</v>
      </c>
      <c r="O1067" s="23" t="s">
        <v>200</v>
      </c>
      <c r="P1067" s="24"/>
      <c r="Q1067" s="23"/>
      <c r="R1067" s="25"/>
      <c r="S1067" s="26"/>
      <c r="T1067" s="16" t="b">
        <v>0</v>
      </c>
    </row>
    <row r="1068">
      <c r="A1068" s="4"/>
      <c r="B1068" s="5"/>
      <c r="C1068" s="13"/>
      <c r="D1068" s="39"/>
      <c r="E1068" s="7"/>
      <c r="F1068" s="34"/>
      <c r="G1068" s="8">
        <v>1899.0</v>
      </c>
      <c r="H1068" s="9"/>
      <c r="I1068" s="9"/>
      <c r="J1068" s="9"/>
      <c r="K1068" s="4"/>
      <c r="L1068" s="10"/>
      <c r="M1068" s="54"/>
      <c r="N1068" s="12" t="s">
        <v>200</v>
      </c>
      <c r="O1068" s="12" t="s">
        <v>200</v>
      </c>
      <c r="P1068" s="13"/>
      <c r="Q1068" s="12"/>
      <c r="R1068" s="14"/>
      <c r="S1068" s="15"/>
      <c r="T1068" s="4" t="b">
        <v>0</v>
      </c>
    </row>
    <row r="1069">
      <c r="A1069" s="16"/>
      <c r="B1069" s="17"/>
      <c r="C1069" s="24"/>
      <c r="D1069" s="44"/>
      <c r="E1069" s="19"/>
      <c r="F1069" s="35"/>
      <c r="G1069" s="20">
        <v>1899.0</v>
      </c>
      <c r="H1069" s="21"/>
      <c r="I1069" s="21"/>
      <c r="J1069" s="21"/>
      <c r="K1069" s="16"/>
      <c r="L1069" s="22"/>
      <c r="M1069" s="55"/>
      <c r="N1069" s="23" t="s">
        <v>200</v>
      </c>
      <c r="O1069" s="23" t="s">
        <v>200</v>
      </c>
      <c r="P1069" s="24"/>
      <c r="Q1069" s="23"/>
      <c r="R1069" s="25"/>
      <c r="S1069" s="26"/>
      <c r="T1069" s="16" t="b">
        <v>0</v>
      </c>
    </row>
    <row r="1070">
      <c r="A1070" s="4"/>
      <c r="B1070" s="5"/>
      <c r="C1070" s="13"/>
      <c r="D1070" s="39"/>
      <c r="E1070" s="7"/>
      <c r="F1070" s="34"/>
      <c r="G1070" s="8">
        <v>1899.0</v>
      </c>
      <c r="H1070" s="9"/>
      <c r="I1070" s="9"/>
      <c r="J1070" s="9"/>
      <c r="K1070" s="4"/>
      <c r="L1070" s="10"/>
      <c r="M1070" s="54"/>
      <c r="N1070" s="12" t="s">
        <v>200</v>
      </c>
      <c r="O1070" s="12" t="s">
        <v>200</v>
      </c>
      <c r="P1070" s="13"/>
      <c r="Q1070" s="12"/>
      <c r="R1070" s="14"/>
      <c r="S1070" s="15"/>
      <c r="T1070" s="4" t="b">
        <v>0</v>
      </c>
    </row>
    <row r="1071">
      <c r="A1071" s="16"/>
      <c r="B1071" s="17"/>
      <c r="C1071" s="24"/>
      <c r="D1071" s="44"/>
      <c r="E1071" s="19"/>
      <c r="F1071" s="35"/>
      <c r="G1071" s="20">
        <v>1899.0</v>
      </c>
      <c r="H1071" s="21"/>
      <c r="I1071" s="21"/>
      <c r="J1071" s="21"/>
      <c r="K1071" s="16"/>
      <c r="L1071" s="22"/>
      <c r="M1071" s="55"/>
      <c r="N1071" s="23" t="s">
        <v>200</v>
      </c>
      <c r="O1071" s="23" t="s">
        <v>200</v>
      </c>
      <c r="P1071" s="24"/>
      <c r="Q1071" s="23"/>
      <c r="R1071" s="25"/>
      <c r="S1071" s="26"/>
      <c r="T1071" s="16" t="b">
        <v>0</v>
      </c>
    </row>
    <row r="1072">
      <c r="A1072" s="4"/>
      <c r="B1072" s="5"/>
      <c r="C1072" s="13"/>
      <c r="D1072" s="39"/>
      <c r="E1072" s="7"/>
      <c r="F1072" s="34"/>
      <c r="G1072" s="8">
        <v>1899.0</v>
      </c>
      <c r="H1072" s="9"/>
      <c r="I1072" s="9"/>
      <c r="J1072" s="9"/>
      <c r="K1072" s="4"/>
      <c r="L1072" s="10"/>
      <c r="M1072" s="54"/>
      <c r="N1072" s="12" t="s">
        <v>200</v>
      </c>
      <c r="O1072" s="12" t="s">
        <v>200</v>
      </c>
      <c r="P1072" s="13"/>
      <c r="Q1072" s="12"/>
      <c r="R1072" s="14"/>
      <c r="S1072" s="15"/>
      <c r="T1072" s="4" t="b">
        <v>0</v>
      </c>
    </row>
    <row r="1073">
      <c r="A1073" s="16"/>
      <c r="B1073" s="17"/>
      <c r="C1073" s="24"/>
      <c r="D1073" s="44"/>
      <c r="E1073" s="19"/>
      <c r="F1073" s="35"/>
      <c r="G1073" s="20">
        <v>1899.0</v>
      </c>
      <c r="H1073" s="21"/>
      <c r="I1073" s="21"/>
      <c r="J1073" s="21"/>
      <c r="K1073" s="16"/>
      <c r="L1073" s="22"/>
      <c r="M1073" s="55"/>
      <c r="N1073" s="23" t="s">
        <v>200</v>
      </c>
      <c r="O1073" s="23" t="s">
        <v>200</v>
      </c>
      <c r="P1073" s="24"/>
      <c r="Q1073" s="23"/>
      <c r="R1073" s="25"/>
      <c r="S1073" s="26"/>
      <c r="T1073" s="16" t="b">
        <v>0</v>
      </c>
    </row>
    <row r="1074">
      <c r="A1074" s="4"/>
      <c r="B1074" s="5"/>
      <c r="C1074" s="13"/>
      <c r="D1074" s="39"/>
      <c r="E1074" s="7"/>
      <c r="F1074" s="34"/>
      <c r="G1074" s="8">
        <v>1899.0</v>
      </c>
      <c r="H1074" s="9"/>
      <c r="I1074" s="9"/>
      <c r="J1074" s="9"/>
      <c r="K1074" s="4"/>
      <c r="L1074" s="10"/>
      <c r="M1074" s="54"/>
      <c r="N1074" s="12" t="s">
        <v>200</v>
      </c>
      <c r="O1074" s="12" t="s">
        <v>200</v>
      </c>
      <c r="P1074" s="13"/>
      <c r="Q1074" s="12"/>
      <c r="R1074" s="14"/>
      <c r="S1074" s="15"/>
      <c r="T1074" s="4" t="b">
        <v>0</v>
      </c>
    </row>
    <row r="1075">
      <c r="A1075" s="16"/>
      <c r="B1075" s="17"/>
      <c r="C1075" s="24"/>
      <c r="D1075" s="44"/>
      <c r="E1075" s="19"/>
      <c r="F1075" s="35"/>
      <c r="G1075" s="20">
        <v>1899.0</v>
      </c>
      <c r="H1075" s="21"/>
      <c r="I1075" s="21"/>
      <c r="J1075" s="21"/>
      <c r="K1075" s="16"/>
      <c r="L1075" s="22"/>
      <c r="M1075" s="55"/>
      <c r="N1075" s="23" t="s">
        <v>200</v>
      </c>
      <c r="O1075" s="23" t="s">
        <v>200</v>
      </c>
      <c r="P1075" s="24"/>
      <c r="Q1075" s="23"/>
      <c r="R1075" s="25"/>
      <c r="S1075" s="26"/>
      <c r="T1075" s="16" t="b">
        <v>0</v>
      </c>
    </row>
    <row r="1076">
      <c r="A1076" s="4"/>
      <c r="B1076" s="5"/>
      <c r="C1076" s="13"/>
      <c r="D1076" s="39"/>
      <c r="E1076" s="7"/>
      <c r="F1076" s="34"/>
      <c r="G1076" s="8">
        <v>1899.0</v>
      </c>
      <c r="H1076" s="9"/>
      <c r="I1076" s="9"/>
      <c r="J1076" s="9"/>
      <c r="K1076" s="4"/>
      <c r="L1076" s="10"/>
      <c r="M1076" s="54"/>
      <c r="N1076" s="12" t="s">
        <v>200</v>
      </c>
      <c r="O1076" s="12" t="s">
        <v>200</v>
      </c>
      <c r="P1076" s="13"/>
      <c r="Q1076" s="12"/>
      <c r="R1076" s="14"/>
      <c r="S1076" s="15"/>
      <c r="T1076" s="4" t="b">
        <v>0</v>
      </c>
    </row>
    <row r="1077">
      <c r="A1077" s="16"/>
      <c r="B1077" s="17"/>
      <c r="C1077" s="24"/>
      <c r="D1077" s="44"/>
      <c r="E1077" s="19"/>
      <c r="F1077" s="35"/>
      <c r="G1077" s="20">
        <v>1899.0</v>
      </c>
      <c r="H1077" s="21"/>
      <c r="I1077" s="21"/>
      <c r="J1077" s="21"/>
      <c r="K1077" s="16"/>
      <c r="L1077" s="22"/>
      <c r="M1077" s="55"/>
      <c r="N1077" s="23" t="s">
        <v>200</v>
      </c>
      <c r="O1077" s="23" t="s">
        <v>200</v>
      </c>
      <c r="P1077" s="24"/>
      <c r="Q1077" s="23"/>
      <c r="R1077" s="25"/>
      <c r="S1077" s="26"/>
      <c r="T1077" s="16" t="b">
        <v>0</v>
      </c>
    </row>
    <row r="1078">
      <c r="A1078" s="4"/>
      <c r="B1078" s="5"/>
      <c r="C1078" s="13"/>
      <c r="D1078" s="39"/>
      <c r="E1078" s="7"/>
      <c r="F1078" s="34"/>
      <c r="G1078" s="8">
        <v>1899.0</v>
      </c>
      <c r="H1078" s="9"/>
      <c r="I1078" s="9"/>
      <c r="J1078" s="9"/>
      <c r="K1078" s="4"/>
      <c r="L1078" s="10"/>
      <c r="M1078" s="54"/>
      <c r="N1078" s="12" t="s">
        <v>200</v>
      </c>
      <c r="O1078" s="12" t="s">
        <v>200</v>
      </c>
      <c r="P1078" s="13"/>
      <c r="Q1078" s="12"/>
      <c r="R1078" s="14"/>
      <c r="S1078" s="15"/>
      <c r="T1078" s="4" t="b">
        <v>0</v>
      </c>
    </row>
    <row r="1079">
      <c r="A1079" s="16"/>
      <c r="B1079" s="17"/>
      <c r="C1079" s="24"/>
      <c r="D1079" s="44"/>
      <c r="E1079" s="19"/>
      <c r="F1079" s="35"/>
      <c r="G1079" s="20">
        <v>1899.0</v>
      </c>
      <c r="H1079" s="21"/>
      <c r="I1079" s="21"/>
      <c r="J1079" s="21"/>
      <c r="K1079" s="16"/>
      <c r="L1079" s="22"/>
      <c r="M1079" s="55"/>
      <c r="N1079" s="23" t="s">
        <v>200</v>
      </c>
      <c r="O1079" s="23" t="s">
        <v>200</v>
      </c>
      <c r="P1079" s="24"/>
      <c r="Q1079" s="23"/>
      <c r="R1079" s="25"/>
      <c r="S1079" s="26"/>
      <c r="T1079" s="16" t="b">
        <v>0</v>
      </c>
    </row>
    <row r="1080">
      <c r="A1080" s="4"/>
      <c r="B1080" s="5"/>
      <c r="C1080" s="13"/>
      <c r="D1080" s="39"/>
      <c r="E1080" s="7"/>
      <c r="F1080" s="34"/>
      <c r="G1080" s="8">
        <v>1899.0</v>
      </c>
      <c r="H1080" s="9"/>
      <c r="I1080" s="9"/>
      <c r="J1080" s="9"/>
      <c r="K1080" s="4"/>
      <c r="L1080" s="10"/>
      <c r="M1080" s="54"/>
      <c r="N1080" s="12" t="s">
        <v>200</v>
      </c>
      <c r="O1080" s="12" t="s">
        <v>200</v>
      </c>
      <c r="P1080" s="13"/>
      <c r="Q1080" s="12"/>
      <c r="R1080" s="14"/>
      <c r="S1080" s="15"/>
      <c r="T1080" s="4" t="b">
        <v>0</v>
      </c>
    </row>
    <row r="1081">
      <c r="A1081" s="16"/>
      <c r="B1081" s="17"/>
      <c r="C1081" s="24"/>
      <c r="D1081" s="44"/>
      <c r="E1081" s="19"/>
      <c r="F1081" s="35"/>
      <c r="G1081" s="20">
        <v>1899.0</v>
      </c>
      <c r="H1081" s="21"/>
      <c r="I1081" s="21"/>
      <c r="J1081" s="21"/>
      <c r="K1081" s="16"/>
      <c r="L1081" s="22"/>
      <c r="M1081" s="55"/>
      <c r="N1081" s="23" t="s">
        <v>200</v>
      </c>
      <c r="O1081" s="23" t="s">
        <v>200</v>
      </c>
      <c r="P1081" s="24"/>
      <c r="Q1081" s="23"/>
      <c r="R1081" s="25"/>
      <c r="S1081" s="26"/>
      <c r="T1081" s="16" t="b">
        <v>0</v>
      </c>
    </row>
    <row r="1082">
      <c r="A1082" s="4"/>
      <c r="B1082" s="5"/>
      <c r="C1082" s="13"/>
      <c r="D1082" s="39"/>
      <c r="E1082" s="7"/>
      <c r="F1082" s="34"/>
      <c r="G1082" s="8">
        <v>1899.0</v>
      </c>
      <c r="H1082" s="9"/>
      <c r="I1082" s="9"/>
      <c r="J1082" s="9"/>
      <c r="K1082" s="4"/>
      <c r="L1082" s="10"/>
      <c r="M1082" s="54"/>
      <c r="N1082" s="12" t="s">
        <v>200</v>
      </c>
      <c r="O1082" s="12" t="s">
        <v>200</v>
      </c>
      <c r="P1082" s="13"/>
      <c r="Q1082" s="12"/>
      <c r="R1082" s="14"/>
      <c r="S1082" s="15"/>
      <c r="T1082" s="4" t="b">
        <v>0</v>
      </c>
    </row>
    <row r="1083">
      <c r="A1083" s="16"/>
      <c r="B1083" s="17"/>
      <c r="C1083" s="24"/>
      <c r="D1083" s="44"/>
      <c r="E1083" s="19"/>
      <c r="F1083" s="35"/>
      <c r="G1083" s="20">
        <v>1899.0</v>
      </c>
      <c r="H1083" s="21"/>
      <c r="I1083" s="21"/>
      <c r="J1083" s="21"/>
      <c r="K1083" s="16"/>
      <c r="L1083" s="22"/>
      <c r="M1083" s="55"/>
      <c r="N1083" s="23" t="s">
        <v>200</v>
      </c>
      <c r="O1083" s="23" t="s">
        <v>200</v>
      </c>
      <c r="P1083" s="24"/>
      <c r="Q1083" s="23"/>
      <c r="R1083" s="25"/>
      <c r="S1083" s="26"/>
      <c r="T1083" s="16" t="b">
        <v>0</v>
      </c>
    </row>
    <row r="1084">
      <c r="A1084" s="4"/>
      <c r="B1084" s="5"/>
      <c r="C1084" s="13"/>
      <c r="D1084" s="39"/>
      <c r="E1084" s="7"/>
      <c r="F1084" s="34"/>
      <c r="G1084" s="8">
        <v>1899.0</v>
      </c>
      <c r="H1084" s="9"/>
      <c r="I1084" s="9"/>
      <c r="J1084" s="9"/>
      <c r="K1084" s="4"/>
      <c r="L1084" s="10"/>
      <c r="M1084" s="54"/>
      <c r="N1084" s="12" t="s">
        <v>200</v>
      </c>
      <c r="O1084" s="12" t="s">
        <v>200</v>
      </c>
      <c r="P1084" s="13"/>
      <c r="Q1084" s="12"/>
      <c r="R1084" s="14"/>
      <c r="S1084" s="15"/>
      <c r="T1084" s="4" t="b">
        <v>0</v>
      </c>
    </row>
    <row r="1085">
      <c r="A1085" s="16"/>
      <c r="B1085" s="17"/>
      <c r="C1085" s="24"/>
      <c r="D1085" s="44"/>
      <c r="E1085" s="19"/>
      <c r="F1085" s="35"/>
      <c r="G1085" s="20">
        <v>1899.0</v>
      </c>
      <c r="H1085" s="21"/>
      <c r="I1085" s="21"/>
      <c r="J1085" s="21"/>
      <c r="K1085" s="16"/>
      <c r="L1085" s="22"/>
      <c r="M1085" s="55"/>
      <c r="N1085" s="23" t="s">
        <v>200</v>
      </c>
      <c r="O1085" s="23" t="s">
        <v>200</v>
      </c>
      <c r="P1085" s="24"/>
      <c r="Q1085" s="23"/>
      <c r="R1085" s="25"/>
      <c r="S1085" s="26"/>
      <c r="T1085" s="16" t="b">
        <v>0</v>
      </c>
    </row>
    <row r="1086">
      <c r="A1086" s="4"/>
      <c r="B1086" s="5"/>
      <c r="C1086" s="13"/>
      <c r="D1086" s="39"/>
      <c r="E1086" s="7"/>
      <c r="F1086" s="34"/>
      <c r="G1086" s="8">
        <v>1899.0</v>
      </c>
      <c r="H1086" s="9"/>
      <c r="I1086" s="9"/>
      <c r="J1086" s="9"/>
      <c r="K1086" s="4"/>
      <c r="L1086" s="10"/>
      <c r="M1086" s="54"/>
      <c r="N1086" s="12" t="s">
        <v>200</v>
      </c>
      <c r="O1086" s="12" t="s">
        <v>200</v>
      </c>
      <c r="P1086" s="13"/>
      <c r="Q1086" s="12"/>
      <c r="R1086" s="14"/>
      <c r="S1086" s="15"/>
      <c r="T1086" s="4" t="b">
        <v>0</v>
      </c>
    </row>
    <row r="1087">
      <c r="A1087" s="16"/>
      <c r="B1087" s="17"/>
      <c r="C1087" s="24"/>
      <c r="D1087" s="44"/>
      <c r="E1087" s="19"/>
      <c r="F1087" s="35"/>
      <c r="G1087" s="20">
        <v>1899.0</v>
      </c>
      <c r="H1087" s="21"/>
      <c r="I1087" s="21"/>
      <c r="J1087" s="21"/>
      <c r="K1087" s="16"/>
      <c r="L1087" s="22"/>
      <c r="M1087" s="55"/>
      <c r="N1087" s="23" t="s">
        <v>200</v>
      </c>
      <c r="O1087" s="23" t="s">
        <v>200</v>
      </c>
      <c r="P1087" s="24"/>
      <c r="Q1087" s="23"/>
      <c r="R1087" s="25"/>
      <c r="S1087" s="26"/>
      <c r="T1087" s="16" t="b">
        <v>0</v>
      </c>
    </row>
    <row r="1088">
      <c r="A1088" s="4"/>
      <c r="B1088" s="5"/>
      <c r="C1088" s="13"/>
      <c r="D1088" s="39"/>
      <c r="E1088" s="7"/>
      <c r="F1088" s="34"/>
      <c r="G1088" s="8">
        <v>1899.0</v>
      </c>
      <c r="H1088" s="9"/>
      <c r="I1088" s="9"/>
      <c r="J1088" s="9"/>
      <c r="K1088" s="4"/>
      <c r="L1088" s="10"/>
      <c r="M1088" s="54"/>
      <c r="N1088" s="12" t="s">
        <v>200</v>
      </c>
      <c r="O1088" s="12" t="s">
        <v>200</v>
      </c>
      <c r="P1088" s="13"/>
      <c r="Q1088" s="12"/>
      <c r="R1088" s="14"/>
      <c r="S1088" s="15"/>
      <c r="T1088" s="4" t="b">
        <v>0</v>
      </c>
    </row>
    <row r="1089">
      <c r="A1089" s="16"/>
      <c r="B1089" s="17"/>
      <c r="C1089" s="24"/>
      <c r="D1089" s="44"/>
      <c r="E1089" s="19"/>
      <c r="F1089" s="35"/>
      <c r="G1089" s="20">
        <v>1899.0</v>
      </c>
      <c r="H1089" s="21"/>
      <c r="I1089" s="21"/>
      <c r="J1089" s="21"/>
      <c r="K1089" s="16"/>
      <c r="L1089" s="22"/>
      <c r="M1089" s="55"/>
      <c r="N1089" s="23" t="s">
        <v>200</v>
      </c>
      <c r="O1089" s="23" t="s">
        <v>200</v>
      </c>
      <c r="P1089" s="24"/>
      <c r="Q1089" s="23"/>
      <c r="R1089" s="25"/>
      <c r="S1089" s="26"/>
      <c r="T1089" s="16" t="b">
        <v>0</v>
      </c>
    </row>
    <row r="1090">
      <c r="A1090" s="4"/>
      <c r="B1090" s="5"/>
      <c r="C1090" s="13"/>
      <c r="D1090" s="39"/>
      <c r="E1090" s="7"/>
      <c r="F1090" s="34"/>
      <c r="G1090" s="8">
        <v>1899.0</v>
      </c>
      <c r="H1090" s="9"/>
      <c r="I1090" s="9"/>
      <c r="J1090" s="9"/>
      <c r="K1090" s="4"/>
      <c r="L1090" s="10"/>
      <c r="M1090" s="54"/>
      <c r="N1090" s="12" t="s">
        <v>200</v>
      </c>
      <c r="O1090" s="12" t="s">
        <v>200</v>
      </c>
      <c r="P1090" s="13"/>
      <c r="Q1090" s="12"/>
      <c r="R1090" s="14"/>
      <c r="S1090" s="15"/>
      <c r="T1090" s="4" t="b">
        <v>0</v>
      </c>
    </row>
    <row r="1091">
      <c r="A1091" s="16"/>
      <c r="B1091" s="17"/>
      <c r="C1091" s="24"/>
      <c r="D1091" s="44"/>
      <c r="E1091" s="19"/>
      <c r="F1091" s="35"/>
      <c r="G1091" s="20">
        <v>1899.0</v>
      </c>
      <c r="H1091" s="21"/>
      <c r="I1091" s="21"/>
      <c r="J1091" s="21"/>
      <c r="K1091" s="16"/>
      <c r="L1091" s="22"/>
      <c r="M1091" s="55"/>
      <c r="N1091" s="23" t="s">
        <v>200</v>
      </c>
      <c r="O1091" s="23" t="s">
        <v>200</v>
      </c>
      <c r="P1091" s="24"/>
      <c r="Q1091" s="23"/>
      <c r="R1091" s="25"/>
      <c r="S1091" s="26"/>
      <c r="T1091" s="16" t="b">
        <v>0</v>
      </c>
    </row>
    <row r="1092">
      <c r="A1092" s="4"/>
      <c r="B1092" s="5"/>
      <c r="C1092" s="13"/>
      <c r="D1092" s="39"/>
      <c r="E1092" s="7"/>
      <c r="F1092" s="34"/>
      <c r="G1092" s="8">
        <v>1899.0</v>
      </c>
      <c r="H1092" s="9"/>
      <c r="I1092" s="9"/>
      <c r="J1092" s="9"/>
      <c r="K1092" s="4"/>
      <c r="L1092" s="10"/>
      <c r="M1092" s="54"/>
      <c r="N1092" s="12" t="s">
        <v>200</v>
      </c>
      <c r="O1092" s="12" t="s">
        <v>200</v>
      </c>
      <c r="P1092" s="13"/>
      <c r="Q1092" s="12"/>
      <c r="R1092" s="14"/>
      <c r="S1092" s="15"/>
      <c r="T1092" s="4" t="b">
        <v>0</v>
      </c>
    </row>
    <row r="1093">
      <c r="A1093" s="16"/>
      <c r="B1093" s="17"/>
      <c r="C1093" s="24"/>
      <c r="D1093" s="44"/>
      <c r="E1093" s="19"/>
      <c r="F1093" s="35"/>
      <c r="G1093" s="20">
        <v>1899.0</v>
      </c>
      <c r="H1093" s="21"/>
      <c r="I1093" s="21"/>
      <c r="J1093" s="21"/>
      <c r="K1093" s="16"/>
      <c r="L1093" s="22"/>
      <c r="M1093" s="55"/>
      <c r="N1093" s="23" t="s">
        <v>200</v>
      </c>
      <c r="O1093" s="23" t="s">
        <v>200</v>
      </c>
      <c r="P1093" s="24"/>
      <c r="Q1093" s="23"/>
      <c r="R1093" s="25"/>
      <c r="S1093" s="26"/>
      <c r="T1093" s="16" t="b">
        <v>0</v>
      </c>
    </row>
    <row r="1094">
      <c r="A1094" s="4"/>
      <c r="B1094" s="5"/>
      <c r="C1094" s="13"/>
      <c r="D1094" s="39"/>
      <c r="E1094" s="7"/>
      <c r="F1094" s="34"/>
      <c r="G1094" s="8">
        <v>1899.0</v>
      </c>
      <c r="H1094" s="9"/>
      <c r="I1094" s="9"/>
      <c r="J1094" s="9"/>
      <c r="K1094" s="4"/>
      <c r="L1094" s="10"/>
      <c r="M1094" s="54"/>
      <c r="N1094" s="12" t="s">
        <v>200</v>
      </c>
      <c r="O1094" s="12" t="s">
        <v>200</v>
      </c>
      <c r="P1094" s="13"/>
      <c r="Q1094" s="12"/>
      <c r="R1094" s="14"/>
      <c r="S1094" s="15"/>
      <c r="T1094" s="4" t="b">
        <v>0</v>
      </c>
    </row>
    <row r="1095">
      <c r="A1095" s="16"/>
      <c r="B1095" s="17"/>
      <c r="C1095" s="24"/>
      <c r="D1095" s="44"/>
      <c r="E1095" s="19"/>
      <c r="F1095" s="35"/>
      <c r="G1095" s="20">
        <v>1899.0</v>
      </c>
      <c r="H1095" s="21"/>
      <c r="I1095" s="21"/>
      <c r="J1095" s="21"/>
      <c r="K1095" s="16"/>
      <c r="L1095" s="22"/>
      <c r="M1095" s="55"/>
      <c r="N1095" s="23" t="s">
        <v>200</v>
      </c>
      <c r="O1095" s="23" t="s">
        <v>200</v>
      </c>
      <c r="P1095" s="24"/>
      <c r="Q1095" s="23"/>
      <c r="R1095" s="25"/>
      <c r="S1095" s="26"/>
      <c r="T1095" s="16" t="b">
        <v>0</v>
      </c>
    </row>
    <row r="1096">
      <c r="A1096" s="4"/>
      <c r="B1096" s="5"/>
      <c r="C1096" s="13"/>
      <c r="D1096" s="39"/>
      <c r="E1096" s="7"/>
      <c r="F1096" s="34"/>
      <c r="G1096" s="8">
        <v>1899.0</v>
      </c>
      <c r="H1096" s="9"/>
      <c r="I1096" s="9"/>
      <c r="J1096" s="9"/>
      <c r="K1096" s="4"/>
      <c r="L1096" s="10"/>
      <c r="M1096" s="54"/>
      <c r="N1096" s="12" t="s">
        <v>200</v>
      </c>
      <c r="O1096" s="12" t="s">
        <v>200</v>
      </c>
      <c r="P1096" s="13"/>
      <c r="Q1096" s="12"/>
      <c r="R1096" s="14"/>
      <c r="S1096" s="15"/>
      <c r="T1096" s="4" t="b">
        <v>0</v>
      </c>
    </row>
    <row r="1097">
      <c r="A1097" s="16"/>
      <c r="B1097" s="17"/>
      <c r="C1097" s="24"/>
      <c r="D1097" s="44"/>
      <c r="E1097" s="19"/>
      <c r="F1097" s="35"/>
      <c r="G1097" s="20">
        <v>1899.0</v>
      </c>
      <c r="H1097" s="21"/>
      <c r="I1097" s="21"/>
      <c r="J1097" s="21"/>
      <c r="K1097" s="16"/>
      <c r="L1097" s="22"/>
      <c r="M1097" s="55"/>
      <c r="N1097" s="23" t="s">
        <v>200</v>
      </c>
      <c r="O1097" s="23" t="s">
        <v>200</v>
      </c>
      <c r="P1097" s="24"/>
      <c r="Q1097" s="23"/>
      <c r="R1097" s="25"/>
      <c r="S1097" s="26"/>
      <c r="T1097" s="16" t="b">
        <v>0</v>
      </c>
    </row>
    <row r="1098">
      <c r="A1098" s="4"/>
      <c r="B1098" s="5"/>
      <c r="C1098" s="13"/>
      <c r="D1098" s="39"/>
      <c r="E1098" s="7"/>
      <c r="F1098" s="34"/>
      <c r="G1098" s="8">
        <v>1899.0</v>
      </c>
      <c r="H1098" s="9"/>
      <c r="I1098" s="9"/>
      <c r="J1098" s="9"/>
      <c r="K1098" s="4"/>
      <c r="L1098" s="10"/>
      <c r="M1098" s="54"/>
      <c r="N1098" s="12" t="s">
        <v>200</v>
      </c>
      <c r="O1098" s="12" t="s">
        <v>200</v>
      </c>
      <c r="P1098" s="13"/>
      <c r="Q1098" s="12"/>
      <c r="R1098" s="14"/>
      <c r="S1098" s="15"/>
      <c r="T1098" s="4" t="b">
        <v>0</v>
      </c>
    </row>
    <row r="1099">
      <c r="A1099" s="16"/>
      <c r="B1099" s="17"/>
      <c r="C1099" s="24"/>
      <c r="D1099" s="44"/>
      <c r="E1099" s="19"/>
      <c r="F1099" s="35"/>
      <c r="G1099" s="20">
        <v>1899.0</v>
      </c>
      <c r="H1099" s="21"/>
      <c r="I1099" s="21"/>
      <c r="J1099" s="21"/>
      <c r="K1099" s="16"/>
      <c r="L1099" s="22"/>
      <c r="M1099" s="55"/>
      <c r="N1099" s="23" t="s">
        <v>200</v>
      </c>
      <c r="O1099" s="23" t="s">
        <v>200</v>
      </c>
      <c r="P1099" s="24"/>
      <c r="Q1099" s="23"/>
      <c r="R1099" s="25"/>
      <c r="S1099" s="26"/>
      <c r="T1099" s="16" t="b">
        <v>0</v>
      </c>
    </row>
    <row r="1100">
      <c r="A1100" s="4"/>
      <c r="B1100" s="5"/>
      <c r="C1100" s="13"/>
      <c r="D1100" s="39"/>
      <c r="E1100" s="7"/>
      <c r="F1100" s="34"/>
      <c r="G1100" s="8">
        <v>1899.0</v>
      </c>
      <c r="H1100" s="9"/>
      <c r="I1100" s="9"/>
      <c r="J1100" s="9"/>
      <c r="K1100" s="4"/>
      <c r="L1100" s="10"/>
      <c r="M1100" s="54"/>
      <c r="N1100" s="12" t="s">
        <v>200</v>
      </c>
      <c r="O1100" s="12" t="s">
        <v>200</v>
      </c>
      <c r="P1100" s="13"/>
      <c r="Q1100" s="12"/>
      <c r="R1100" s="14"/>
      <c r="S1100" s="15"/>
      <c r="T1100" s="4" t="b">
        <v>0</v>
      </c>
    </row>
    <row r="1101">
      <c r="A1101" s="16"/>
      <c r="B1101" s="17"/>
      <c r="C1101" s="24"/>
      <c r="D1101" s="44"/>
      <c r="E1101" s="19"/>
      <c r="F1101" s="35"/>
      <c r="G1101" s="20">
        <v>1899.0</v>
      </c>
      <c r="H1101" s="21"/>
      <c r="I1101" s="21"/>
      <c r="J1101" s="21"/>
      <c r="K1101" s="16"/>
      <c r="L1101" s="22"/>
      <c r="M1101" s="55"/>
      <c r="N1101" s="23" t="s">
        <v>200</v>
      </c>
      <c r="O1101" s="23" t="s">
        <v>200</v>
      </c>
      <c r="P1101" s="24"/>
      <c r="Q1101" s="23"/>
      <c r="R1101" s="25"/>
      <c r="S1101" s="26"/>
      <c r="T1101" s="16" t="b">
        <v>0</v>
      </c>
    </row>
    <row r="1102">
      <c r="A1102" s="4"/>
      <c r="B1102" s="5"/>
      <c r="C1102" s="13"/>
      <c r="D1102" s="39"/>
      <c r="E1102" s="7"/>
      <c r="F1102" s="34"/>
      <c r="G1102" s="8">
        <v>1899.0</v>
      </c>
      <c r="H1102" s="9"/>
      <c r="I1102" s="9"/>
      <c r="J1102" s="9"/>
      <c r="K1102" s="4"/>
      <c r="L1102" s="10"/>
      <c r="M1102" s="54"/>
      <c r="N1102" s="12" t="s">
        <v>200</v>
      </c>
      <c r="O1102" s="12" t="s">
        <v>200</v>
      </c>
      <c r="P1102" s="13"/>
      <c r="Q1102" s="12"/>
      <c r="R1102" s="14"/>
      <c r="S1102" s="15"/>
      <c r="T1102" s="4" t="b">
        <v>0</v>
      </c>
    </row>
    <row r="1103">
      <c r="A1103" s="16"/>
      <c r="B1103" s="17"/>
      <c r="C1103" s="24"/>
      <c r="D1103" s="44"/>
      <c r="E1103" s="19"/>
      <c r="F1103" s="35"/>
      <c r="G1103" s="20">
        <v>1899.0</v>
      </c>
      <c r="H1103" s="21"/>
      <c r="I1103" s="21"/>
      <c r="J1103" s="21"/>
      <c r="K1103" s="16"/>
      <c r="L1103" s="22"/>
      <c r="M1103" s="55"/>
      <c r="N1103" s="23" t="s">
        <v>200</v>
      </c>
      <c r="O1103" s="23" t="s">
        <v>200</v>
      </c>
      <c r="P1103" s="24"/>
      <c r="Q1103" s="23"/>
      <c r="R1103" s="25"/>
      <c r="S1103" s="26"/>
      <c r="T1103" s="16" t="b">
        <v>0</v>
      </c>
    </row>
    <row r="1104">
      <c r="A1104" s="4"/>
      <c r="B1104" s="5"/>
      <c r="C1104" s="13"/>
      <c r="D1104" s="39"/>
      <c r="E1104" s="7"/>
      <c r="F1104" s="34"/>
      <c r="G1104" s="8">
        <v>1899.0</v>
      </c>
      <c r="H1104" s="9"/>
      <c r="I1104" s="9"/>
      <c r="J1104" s="9"/>
      <c r="K1104" s="4"/>
      <c r="L1104" s="10"/>
      <c r="M1104" s="54"/>
      <c r="N1104" s="12" t="s">
        <v>200</v>
      </c>
      <c r="O1104" s="12" t="s">
        <v>200</v>
      </c>
      <c r="P1104" s="13"/>
      <c r="Q1104" s="12"/>
      <c r="R1104" s="14"/>
      <c r="S1104" s="15"/>
      <c r="T1104" s="4" t="b">
        <v>0</v>
      </c>
    </row>
    <row r="1105">
      <c r="A1105" s="16"/>
      <c r="B1105" s="17"/>
      <c r="C1105" s="24"/>
      <c r="D1105" s="44"/>
      <c r="E1105" s="19"/>
      <c r="F1105" s="35"/>
      <c r="G1105" s="20">
        <v>1899.0</v>
      </c>
      <c r="H1105" s="21"/>
      <c r="I1105" s="21"/>
      <c r="J1105" s="21"/>
      <c r="K1105" s="16"/>
      <c r="L1105" s="22"/>
      <c r="M1105" s="55"/>
      <c r="N1105" s="23" t="s">
        <v>200</v>
      </c>
      <c r="O1105" s="23" t="s">
        <v>200</v>
      </c>
      <c r="P1105" s="24"/>
      <c r="Q1105" s="23"/>
      <c r="R1105" s="25"/>
      <c r="S1105" s="26"/>
      <c r="T1105" s="16" t="b">
        <v>0</v>
      </c>
    </row>
    <row r="1106">
      <c r="A1106" s="4"/>
      <c r="B1106" s="5"/>
      <c r="C1106" s="13"/>
      <c r="D1106" s="39"/>
      <c r="E1106" s="7"/>
      <c r="F1106" s="34"/>
      <c r="G1106" s="8">
        <v>1899.0</v>
      </c>
      <c r="H1106" s="9"/>
      <c r="I1106" s="9"/>
      <c r="J1106" s="9"/>
      <c r="K1106" s="4"/>
      <c r="L1106" s="10"/>
      <c r="M1106" s="54"/>
      <c r="N1106" s="12" t="s">
        <v>200</v>
      </c>
      <c r="O1106" s="12" t="s">
        <v>200</v>
      </c>
      <c r="P1106" s="13"/>
      <c r="Q1106" s="12"/>
      <c r="R1106" s="14"/>
      <c r="S1106" s="15"/>
      <c r="T1106" s="4" t="b">
        <v>0</v>
      </c>
    </row>
    <row r="1107">
      <c r="A1107" s="16"/>
      <c r="B1107" s="17"/>
      <c r="C1107" s="24"/>
      <c r="D1107" s="44"/>
      <c r="E1107" s="19"/>
      <c r="F1107" s="35"/>
      <c r="G1107" s="20">
        <v>1899.0</v>
      </c>
      <c r="H1107" s="21"/>
      <c r="I1107" s="21"/>
      <c r="J1107" s="21"/>
      <c r="K1107" s="16"/>
      <c r="L1107" s="22"/>
      <c r="M1107" s="55"/>
      <c r="N1107" s="23" t="s">
        <v>200</v>
      </c>
      <c r="O1107" s="23" t="s">
        <v>200</v>
      </c>
      <c r="P1107" s="24"/>
      <c r="Q1107" s="23"/>
      <c r="R1107" s="25"/>
      <c r="S1107" s="26"/>
      <c r="T1107" s="16" t="b">
        <v>0</v>
      </c>
    </row>
    <row r="1108">
      <c r="A1108" s="4"/>
      <c r="B1108" s="5"/>
      <c r="C1108" s="13"/>
      <c r="D1108" s="39"/>
      <c r="E1108" s="7"/>
      <c r="F1108" s="34"/>
      <c r="G1108" s="8">
        <v>1899.0</v>
      </c>
      <c r="H1108" s="9"/>
      <c r="I1108" s="9"/>
      <c r="J1108" s="9"/>
      <c r="K1108" s="4"/>
      <c r="L1108" s="10"/>
      <c r="M1108" s="54"/>
      <c r="N1108" s="12" t="s">
        <v>200</v>
      </c>
      <c r="O1108" s="12" t="s">
        <v>200</v>
      </c>
      <c r="P1108" s="13"/>
      <c r="Q1108" s="12"/>
      <c r="R1108" s="14"/>
      <c r="S1108" s="15"/>
      <c r="T1108" s="4" t="b">
        <v>0</v>
      </c>
    </row>
    <row r="1109">
      <c r="A1109" s="16"/>
      <c r="B1109" s="17"/>
      <c r="C1109" s="24"/>
      <c r="D1109" s="44"/>
      <c r="E1109" s="19"/>
      <c r="F1109" s="35"/>
      <c r="G1109" s="20">
        <v>1899.0</v>
      </c>
      <c r="H1109" s="21"/>
      <c r="I1109" s="21"/>
      <c r="J1109" s="21"/>
      <c r="K1109" s="16"/>
      <c r="L1109" s="22"/>
      <c r="M1109" s="55"/>
      <c r="N1109" s="23" t="s">
        <v>200</v>
      </c>
      <c r="O1109" s="23" t="s">
        <v>200</v>
      </c>
      <c r="P1109" s="24"/>
      <c r="Q1109" s="23"/>
      <c r="R1109" s="25"/>
      <c r="S1109" s="26"/>
      <c r="T1109" s="16" t="b">
        <v>0</v>
      </c>
    </row>
    <row r="1110">
      <c r="A1110" s="4"/>
      <c r="B1110" s="5"/>
      <c r="C1110" s="13"/>
      <c r="D1110" s="39"/>
      <c r="E1110" s="7"/>
      <c r="F1110" s="34"/>
      <c r="G1110" s="8">
        <v>1899.0</v>
      </c>
      <c r="H1110" s="9"/>
      <c r="I1110" s="9"/>
      <c r="J1110" s="9"/>
      <c r="K1110" s="4"/>
      <c r="L1110" s="10"/>
      <c r="M1110" s="54"/>
      <c r="N1110" s="12" t="s">
        <v>200</v>
      </c>
      <c r="O1110" s="12" t="s">
        <v>200</v>
      </c>
      <c r="P1110" s="13"/>
      <c r="Q1110" s="12"/>
      <c r="R1110" s="14"/>
      <c r="S1110" s="15"/>
      <c r="T1110" s="4" t="b">
        <v>0</v>
      </c>
    </row>
    <row r="1111">
      <c r="A1111" s="16"/>
      <c r="B1111" s="17"/>
      <c r="C1111" s="24"/>
      <c r="D1111" s="44"/>
      <c r="E1111" s="19"/>
      <c r="F1111" s="35"/>
      <c r="G1111" s="20">
        <v>1899.0</v>
      </c>
      <c r="H1111" s="21"/>
      <c r="I1111" s="21"/>
      <c r="J1111" s="21"/>
      <c r="K1111" s="16"/>
      <c r="L1111" s="22"/>
      <c r="M1111" s="55"/>
      <c r="N1111" s="23" t="s">
        <v>200</v>
      </c>
      <c r="O1111" s="23" t="s">
        <v>200</v>
      </c>
      <c r="P1111" s="24"/>
      <c r="Q1111" s="23"/>
      <c r="R1111" s="25"/>
      <c r="S1111" s="26"/>
      <c r="T1111" s="16" t="b">
        <v>0</v>
      </c>
    </row>
    <row r="1112">
      <c r="A1112" s="4"/>
      <c r="B1112" s="5"/>
      <c r="C1112" s="13"/>
      <c r="D1112" s="39"/>
      <c r="E1112" s="7"/>
      <c r="F1112" s="34"/>
      <c r="G1112" s="8">
        <v>1899.0</v>
      </c>
      <c r="H1112" s="9"/>
      <c r="I1112" s="9"/>
      <c r="J1112" s="9"/>
      <c r="K1112" s="4"/>
      <c r="L1112" s="10"/>
      <c r="M1112" s="54"/>
      <c r="N1112" s="12" t="s">
        <v>200</v>
      </c>
      <c r="O1112" s="12" t="s">
        <v>200</v>
      </c>
      <c r="P1112" s="13"/>
      <c r="Q1112" s="12"/>
      <c r="R1112" s="14"/>
      <c r="S1112" s="15"/>
      <c r="T1112" s="4" t="b">
        <v>0</v>
      </c>
    </row>
    <row r="1113">
      <c r="A1113" s="16"/>
      <c r="B1113" s="17"/>
      <c r="C1113" s="24"/>
      <c r="D1113" s="44"/>
      <c r="E1113" s="19"/>
      <c r="F1113" s="35"/>
      <c r="G1113" s="20">
        <v>1899.0</v>
      </c>
      <c r="H1113" s="21"/>
      <c r="I1113" s="21"/>
      <c r="J1113" s="21"/>
      <c r="K1113" s="16"/>
      <c r="L1113" s="22"/>
      <c r="M1113" s="55"/>
      <c r="N1113" s="23" t="s">
        <v>200</v>
      </c>
      <c r="O1113" s="23" t="s">
        <v>200</v>
      </c>
      <c r="P1113" s="24"/>
      <c r="Q1113" s="23"/>
      <c r="R1113" s="25"/>
      <c r="S1113" s="26"/>
      <c r="T1113" s="16" t="b">
        <v>0</v>
      </c>
    </row>
    <row r="1114">
      <c r="A1114" s="4"/>
      <c r="B1114" s="5"/>
      <c r="C1114" s="13"/>
      <c r="D1114" s="39"/>
      <c r="E1114" s="7"/>
      <c r="F1114" s="34"/>
      <c r="G1114" s="8">
        <v>1899.0</v>
      </c>
      <c r="H1114" s="9"/>
      <c r="I1114" s="9"/>
      <c r="J1114" s="9"/>
      <c r="K1114" s="4"/>
      <c r="L1114" s="10"/>
      <c r="M1114" s="54"/>
      <c r="N1114" s="12" t="s">
        <v>200</v>
      </c>
      <c r="O1114" s="12" t="s">
        <v>200</v>
      </c>
      <c r="P1114" s="13"/>
      <c r="Q1114" s="12"/>
      <c r="R1114" s="14"/>
      <c r="S1114" s="15"/>
      <c r="T1114" s="4" t="b">
        <v>0</v>
      </c>
    </row>
    <row r="1115">
      <c r="A1115" s="16"/>
      <c r="B1115" s="17"/>
      <c r="C1115" s="24"/>
      <c r="D1115" s="44"/>
      <c r="E1115" s="19"/>
      <c r="F1115" s="35"/>
      <c r="G1115" s="20">
        <v>1899.0</v>
      </c>
      <c r="H1115" s="21"/>
      <c r="I1115" s="21"/>
      <c r="J1115" s="21"/>
      <c r="K1115" s="16"/>
      <c r="L1115" s="22"/>
      <c r="M1115" s="55"/>
      <c r="N1115" s="23" t="s">
        <v>200</v>
      </c>
      <c r="O1115" s="23" t="s">
        <v>200</v>
      </c>
      <c r="P1115" s="24"/>
      <c r="Q1115" s="23"/>
      <c r="R1115" s="25"/>
      <c r="S1115" s="26"/>
      <c r="T1115" s="16" t="b">
        <v>0</v>
      </c>
    </row>
    <row r="1116">
      <c r="A1116" s="4"/>
      <c r="B1116" s="5"/>
      <c r="C1116" s="13"/>
      <c r="D1116" s="39"/>
      <c r="E1116" s="7"/>
      <c r="F1116" s="34"/>
      <c r="G1116" s="8">
        <v>1899.0</v>
      </c>
      <c r="H1116" s="9"/>
      <c r="I1116" s="9"/>
      <c r="J1116" s="9"/>
      <c r="K1116" s="4"/>
      <c r="L1116" s="10"/>
      <c r="M1116" s="54"/>
      <c r="N1116" s="12" t="s">
        <v>200</v>
      </c>
      <c r="O1116" s="12" t="s">
        <v>200</v>
      </c>
      <c r="P1116" s="13"/>
      <c r="Q1116" s="12"/>
      <c r="R1116" s="14"/>
      <c r="S1116" s="15"/>
      <c r="T1116" s="4" t="b">
        <v>0</v>
      </c>
    </row>
    <row r="1117">
      <c r="A1117" s="16"/>
      <c r="B1117" s="17"/>
      <c r="C1117" s="24"/>
      <c r="D1117" s="44"/>
      <c r="E1117" s="19"/>
      <c r="F1117" s="35"/>
      <c r="G1117" s="20">
        <v>1899.0</v>
      </c>
      <c r="H1117" s="21"/>
      <c r="I1117" s="21"/>
      <c r="J1117" s="21"/>
      <c r="K1117" s="16"/>
      <c r="L1117" s="22"/>
      <c r="M1117" s="55"/>
      <c r="N1117" s="23" t="s">
        <v>200</v>
      </c>
      <c r="O1117" s="23" t="s">
        <v>200</v>
      </c>
      <c r="P1117" s="24"/>
      <c r="Q1117" s="23"/>
      <c r="R1117" s="25"/>
      <c r="S1117" s="26"/>
      <c r="T1117" s="16" t="b">
        <v>0</v>
      </c>
    </row>
    <row r="1118">
      <c r="A1118" s="4"/>
      <c r="B1118" s="5"/>
      <c r="C1118" s="13"/>
      <c r="D1118" s="39"/>
      <c r="E1118" s="7"/>
      <c r="F1118" s="34"/>
      <c r="G1118" s="8">
        <v>1899.0</v>
      </c>
      <c r="H1118" s="9"/>
      <c r="I1118" s="9"/>
      <c r="J1118" s="9"/>
      <c r="K1118" s="4"/>
      <c r="L1118" s="10"/>
      <c r="M1118" s="54"/>
      <c r="N1118" s="12" t="s">
        <v>200</v>
      </c>
      <c r="O1118" s="12" t="s">
        <v>200</v>
      </c>
      <c r="P1118" s="13"/>
      <c r="Q1118" s="12"/>
      <c r="R1118" s="14"/>
      <c r="S1118" s="15"/>
      <c r="T1118" s="4" t="b">
        <v>0</v>
      </c>
    </row>
    <row r="1119">
      <c r="A1119" s="16"/>
      <c r="B1119" s="17"/>
      <c r="C1119" s="24"/>
      <c r="D1119" s="44"/>
      <c r="E1119" s="19"/>
      <c r="F1119" s="35"/>
      <c r="G1119" s="20">
        <v>1899.0</v>
      </c>
      <c r="H1119" s="21"/>
      <c r="I1119" s="21"/>
      <c r="J1119" s="21"/>
      <c r="K1119" s="16"/>
      <c r="L1119" s="22"/>
      <c r="M1119" s="55"/>
      <c r="N1119" s="23" t="s">
        <v>200</v>
      </c>
      <c r="O1119" s="23" t="s">
        <v>200</v>
      </c>
      <c r="P1119" s="24"/>
      <c r="Q1119" s="23"/>
      <c r="R1119" s="25"/>
      <c r="S1119" s="26"/>
      <c r="T1119" s="16" t="b">
        <v>0</v>
      </c>
    </row>
    <row r="1120">
      <c r="A1120" s="4"/>
      <c r="B1120" s="5"/>
      <c r="C1120" s="13"/>
      <c r="D1120" s="39"/>
      <c r="E1120" s="7"/>
      <c r="F1120" s="34"/>
      <c r="G1120" s="8">
        <v>1899.0</v>
      </c>
      <c r="H1120" s="9"/>
      <c r="I1120" s="9"/>
      <c r="J1120" s="9"/>
      <c r="K1120" s="4"/>
      <c r="L1120" s="10"/>
      <c r="M1120" s="54"/>
      <c r="N1120" s="12" t="s">
        <v>200</v>
      </c>
      <c r="O1120" s="12" t="s">
        <v>200</v>
      </c>
      <c r="P1120" s="13"/>
      <c r="Q1120" s="12"/>
      <c r="R1120" s="14"/>
      <c r="S1120" s="15"/>
      <c r="T1120" s="4" t="b">
        <v>0</v>
      </c>
    </row>
    <row r="1121">
      <c r="A1121" s="16"/>
      <c r="B1121" s="17"/>
      <c r="C1121" s="24"/>
      <c r="D1121" s="44"/>
      <c r="E1121" s="19"/>
      <c r="F1121" s="35"/>
      <c r="G1121" s="20">
        <v>1899.0</v>
      </c>
      <c r="H1121" s="21"/>
      <c r="I1121" s="21"/>
      <c r="J1121" s="21"/>
      <c r="K1121" s="16"/>
      <c r="L1121" s="22"/>
      <c r="M1121" s="55"/>
      <c r="N1121" s="23" t="s">
        <v>200</v>
      </c>
      <c r="O1121" s="23" t="s">
        <v>200</v>
      </c>
      <c r="P1121" s="24"/>
      <c r="Q1121" s="23"/>
      <c r="R1121" s="25"/>
      <c r="S1121" s="26"/>
      <c r="T1121" s="16" t="b">
        <v>0</v>
      </c>
    </row>
    <row r="1122">
      <c r="A1122" s="4"/>
      <c r="B1122" s="5"/>
      <c r="C1122" s="13"/>
      <c r="D1122" s="39"/>
      <c r="E1122" s="7"/>
      <c r="F1122" s="34"/>
      <c r="G1122" s="8">
        <v>1899.0</v>
      </c>
      <c r="H1122" s="9"/>
      <c r="I1122" s="9"/>
      <c r="J1122" s="9"/>
      <c r="K1122" s="4"/>
      <c r="L1122" s="10"/>
      <c r="M1122" s="54"/>
      <c r="N1122" s="12" t="s">
        <v>200</v>
      </c>
      <c r="O1122" s="12" t="s">
        <v>200</v>
      </c>
      <c r="P1122" s="13"/>
      <c r="Q1122" s="12"/>
      <c r="R1122" s="14"/>
      <c r="S1122" s="15"/>
      <c r="T1122" s="4" t="b">
        <v>0</v>
      </c>
    </row>
    <row r="1123">
      <c r="A1123" s="16"/>
      <c r="B1123" s="17"/>
      <c r="C1123" s="24"/>
      <c r="D1123" s="44"/>
      <c r="E1123" s="19"/>
      <c r="F1123" s="35"/>
      <c r="G1123" s="20">
        <v>1899.0</v>
      </c>
      <c r="H1123" s="21"/>
      <c r="I1123" s="21"/>
      <c r="J1123" s="21"/>
      <c r="K1123" s="16"/>
      <c r="L1123" s="22"/>
      <c r="M1123" s="55"/>
      <c r="N1123" s="23" t="s">
        <v>200</v>
      </c>
      <c r="O1123" s="23" t="s">
        <v>200</v>
      </c>
      <c r="P1123" s="24"/>
      <c r="Q1123" s="23"/>
      <c r="R1123" s="25"/>
      <c r="S1123" s="26"/>
      <c r="T1123" s="16" t="b">
        <v>0</v>
      </c>
    </row>
    <row r="1124">
      <c r="A1124" s="4"/>
      <c r="B1124" s="5"/>
      <c r="C1124" s="13"/>
      <c r="D1124" s="39"/>
      <c r="E1124" s="7"/>
      <c r="F1124" s="34"/>
      <c r="G1124" s="8">
        <v>1899.0</v>
      </c>
      <c r="H1124" s="9"/>
      <c r="I1124" s="9"/>
      <c r="J1124" s="9"/>
      <c r="K1124" s="4"/>
      <c r="L1124" s="10"/>
      <c r="M1124" s="54"/>
      <c r="N1124" s="12" t="s">
        <v>200</v>
      </c>
      <c r="O1124" s="12" t="s">
        <v>200</v>
      </c>
      <c r="P1124" s="13"/>
      <c r="Q1124" s="12"/>
      <c r="R1124" s="14"/>
      <c r="S1124" s="15"/>
      <c r="T1124" s="4" t="b">
        <v>0</v>
      </c>
    </row>
    <row r="1125">
      <c r="A1125" s="16"/>
      <c r="B1125" s="17"/>
      <c r="C1125" s="24"/>
      <c r="D1125" s="44"/>
      <c r="E1125" s="19"/>
      <c r="F1125" s="35"/>
      <c r="G1125" s="20">
        <v>1899.0</v>
      </c>
      <c r="H1125" s="21"/>
      <c r="I1125" s="21"/>
      <c r="J1125" s="21"/>
      <c r="K1125" s="16"/>
      <c r="L1125" s="22"/>
      <c r="M1125" s="55"/>
      <c r="N1125" s="23" t="s">
        <v>200</v>
      </c>
      <c r="O1125" s="23" t="s">
        <v>200</v>
      </c>
      <c r="P1125" s="24"/>
      <c r="Q1125" s="23"/>
      <c r="R1125" s="25"/>
      <c r="S1125" s="26"/>
      <c r="T1125" s="16" t="b">
        <v>0</v>
      </c>
    </row>
    <row r="1126">
      <c r="A1126" s="4"/>
      <c r="B1126" s="5"/>
      <c r="C1126" s="13"/>
      <c r="D1126" s="39"/>
      <c r="E1126" s="7"/>
      <c r="F1126" s="34"/>
      <c r="G1126" s="8">
        <v>1899.0</v>
      </c>
      <c r="H1126" s="9"/>
      <c r="I1126" s="9"/>
      <c r="J1126" s="9"/>
      <c r="K1126" s="4"/>
      <c r="L1126" s="10"/>
      <c r="M1126" s="54"/>
      <c r="N1126" s="12" t="s">
        <v>200</v>
      </c>
      <c r="O1126" s="12" t="s">
        <v>200</v>
      </c>
      <c r="P1126" s="13"/>
      <c r="Q1126" s="12"/>
      <c r="R1126" s="14"/>
      <c r="S1126" s="15"/>
      <c r="T1126" s="4" t="b">
        <v>0</v>
      </c>
    </row>
    <row r="1127">
      <c r="A1127" s="16"/>
      <c r="B1127" s="17"/>
      <c r="C1127" s="24"/>
      <c r="D1127" s="44"/>
      <c r="E1127" s="19"/>
      <c r="F1127" s="35"/>
      <c r="G1127" s="20">
        <v>1899.0</v>
      </c>
      <c r="H1127" s="21"/>
      <c r="I1127" s="21"/>
      <c r="J1127" s="21"/>
      <c r="K1127" s="16"/>
      <c r="L1127" s="22"/>
      <c r="M1127" s="55"/>
      <c r="N1127" s="23" t="s">
        <v>200</v>
      </c>
      <c r="O1127" s="23" t="s">
        <v>200</v>
      </c>
      <c r="P1127" s="24"/>
      <c r="Q1127" s="23"/>
      <c r="R1127" s="25"/>
      <c r="S1127" s="26"/>
      <c r="T1127" s="16" t="b">
        <v>0</v>
      </c>
    </row>
    <row r="1128">
      <c r="A1128" s="4"/>
      <c r="B1128" s="5"/>
      <c r="C1128" s="13"/>
      <c r="D1128" s="39"/>
      <c r="E1128" s="7"/>
      <c r="F1128" s="34"/>
      <c r="G1128" s="8">
        <v>1899.0</v>
      </c>
      <c r="H1128" s="9"/>
      <c r="I1128" s="9"/>
      <c r="J1128" s="9"/>
      <c r="K1128" s="4"/>
      <c r="L1128" s="10"/>
      <c r="M1128" s="54"/>
      <c r="N1128" s="12" t="s">
        <v>200</v>
      </c>
      <c r="O1128" s="12" t="s">
        <v>200</v>
      </c>
      <c r="P1128" s="13"/>
      <c r="Q1128" s="12"/>
      <c r="R1128" s="14"/>
      <c r="S1128" s="15"/>
      <c r="T1128" s="4" t="b">
        <v>0</v>
      </c>
    </row>
    <row r="1129">
      <c r="A1129" s="16"/>
      <c r="B1129" s="17"/>
      <c r="C1129" s="24"/>
      <c r="D1129" s="44"/>
      <c r="E1129" s="19"/>
      <c r="F1129" s="35"/>
      <c r="G1129" s="20">
        <v>1899.0</v>
      </c>
      <c r="H1129" s="21"/>
      <c r="I1129" s="21"/>
      <c r="J1129" s="21"/>
      <c r="K1129" s="16"/>
      <c r="L1129" s="22"/>
      <c r="M1129" s="55"/>
      <c r="N1129" s="23" t="s">
        <v>200</v>
      </c>
      <c r="O1129" s="23" t="s">
        <v>200</v>
      </c>
      <c r="P1129" s="24"/>
      <c r="Q1129" s="23"/>
      <c r="R1129" s="25"/>
      <c r="S1129" s="26"/>
      <c r="T1129" s="16" t="b">
        <v>0</v>
      </c>
    </row>
    <row r="1130">
      <c r="A1130" s="4"/>
      <c r="B1130" s="5"/>
      <c r="C1130" s="13"/>
      <c r="D1130" s="39"/>
      <c r="E1130" s="7"/>
      <c r="F1130" s="34"/>
      <c r="G1130" s="8">
        <v>1899.0</v>
      </c>
      <c r="H1130" s="9"/>
      <c r="I1130" s="9"/>
      <c r="J1130" s="9"/>
      <c r="K1130" s="4"/>
      <c r="L1130" s="10"/>
      <c r="M1130" s="54"/>
      <c r="N1130" s="12" t="s">
        <v>200</v>
      </c>
      <c r="O1130" s="12" t="s">
        <v>200</v>
      </c>
      <c r="P1130" s="13"/>
      <c r="Q1130" s="12"/>
      <c r="R1130" s="14"/>
      <c r="S1130" s="15"/>
      <c r="T1130" s="4" t="b">
        <v>0</v>
      </c>
    </row>
    <row r="1131">
      <c r="A1131" s="16"/>
      <c r="B1131" s="17"/>
      <c r="C1131" s="24"/>
      <c r="D1131" s="44"/>
      <c r="E1131" s="19"/>
      <c r="F1131" s="35"/>
      <c r="G1131" s="20">
        <v>1899.0</v>
      </c>
      <c r="H1131" s="21"/>
      <c r="I1131" s="21"/>
      <c r="J1131" s="21"/>
      <c r="K1131" s="16"/>
      <c r="L1131" s="22"/>
      <c r="M1131" s="55"/>
      <c r="N1131" s="23" t="s">
        <v>200</v>
      </c>
      <c r="O1131" s="23" t="s">
        <v>200</v>
      </c>
      <c r="P1131" s="24"/>
      <c r="Q1131" s="23"/>
      <c r="R1131" s="25"/>
      <c r="S1131" s="26"/>
      <c r="T1131" s="16" t="b">
        <v>0</v>
      </c>
    </row>
    <row r="1132">
      <c r="A1132" s="4"/>
      <c r="B1132" s="5"/>
      <c r="C1132" s="13"/>
      <c r="D1132" s="39"/>
      <c r="E1132" s="7"/>
      <c r="F1132" s="34"/>
      <c r="G1132" s="8">
        <v>1899.0</v>
      </c>
      <c r="H1132" s="9"/>
      <c r="I1132" s="9"/>
      <c r="J1132" s="9"/>
      <c r="K1132" s="4"/>
      <c r="L1132" s="10"/>
      <c r="M1132" s="54"/>
      <c r="N1132" s="12" t="s">
        <v>200</v>
      </c>
      <c r="O1132" s="12" t="s">
        <v>200</v>
      </c>
      <c r="P1132" s="13"/>
      <c r="Q1132" s="12"/>
      <c r="R1132" s="14"/>
      <c r="S1132" s="15"/>
      <c r="T1132" s="4" t="b">
        <v>0</v>
      </c>
    </row>
    <row r="1133">
      <c r="A1133" s="16"/>
      <c r="B1133" s="17"/>
      <c r="C1133" s="24"/>
      <c r="D1133" s="44"/>
      <c r="E1133" s="19"/>
      <c r="F1133" s="35"/>
      <c r="G1133" s="20">
        <v>1899.0</v>
      </c>
      <c r="H1133" s="21"/>
      <c r="I1133" s="21"/>
      <c r="J1133" s="21"/>
      <c r="K1133" s="16"/>
      <c r="L1133" s="22"/>
      <c r="M1133" s="55"/>
      <c r="N1133" s="23" t="s">
        <v>200</v>
      </c>
      <c r="O1133" s="23" t="s">
        <v>200</v>
      </c>
      <c r="P1133" s="24"/>
      <c r="Q1133" s="23"/>
      <c r="R1133" s="25"/>
      <c r="S1133" s="26"/>
      <c r="T1133" s="16" t="b">
        <v>0</v>
      </c>
    </row>
    <row r="1134">
      <c r="A1134" s="4"/>
      <c r="B1134" s="5"/>
      <c r="C1134" s="13"/>
      <c r="D1134" s="39"/>
      <c r="E1134" s="7"/>
      <c r="F1134" s="34"/>
      <c r="G1134" s="8">
        <v>1899.0</v>
      </c>
      <c r="H1134" s="9"/>
      <c r="I1134" s="9"/>
      <c r="J1134" s="9"/>
      <c r="K1134" s="4"/>
      <c r="L1134" s="10"/>
      <c r="M1134" s="54"/>
      <c r="N1134" s="12" t="s">
        <v>200</v>
      </c>
      <c r="O1134" s="12" t="s">
        <v>200</v>
      </c>
      <c r="P1134" s="13"/>
      <c r="Q1134" s="12"/>
      <c r="R1134" s="14"/>
      <c r="S1134" s="15"/>
      <c r="T1134" s="4" t="b">
        <v>0</v>
      </c>
    </row>
    <row r="1135">
      <c r="A1135" s="16"/>
      <c r="B1135" s="17"/>
      <c r="C1135" s="24"/>
      <c r="D1135" s="44"/>
      <c r="E1135" s="19"/>
      <c r="F1135" s="35"/>
      <c r="G1135" s="20">
        <v>1899.0</v>
      </c>
      <c r="H1135" s="21"/>
      <c r="I1135" s="21"/>
      <c r="J1135" s="21"/>
      <c r="K1135" s="16"/>
      <c r="L1135" s="22"/>
      <c r="M1135" s="55"/>
      <c r="N1135" s="23" t="s">
        <v>200</v>
      </c>
      <c r="O1135" s="23" t="s">
        <v>200</v>
      </c>
      <c r="P1135" s="24"/>
      <c r="Q1135" s="23"/>
      <c r="R1135" s="25"/>
      <c r="S1135" s="26"/>
      <c r="T1135" s="16" t="b">
        <v>0</v>
      </c>
    </row>
    <row r="1136">
      <c r="A1136" s="4"/>
      <c r="B1136" s="5"/>
      <c r="C1136" s="13"/>
      <c r="D1136" s="39"/>
      <c r="E1136" s="7"/>
      <c r="F1136" s="34"/>
      <c r="G1136" s="8">
        <v>1899.0</v>
      </c>
      <c r="H1136" s="9"/>
      <c r="I1136" s="9"/>
      <c r="J1136" s="9"/>
      <c r="K1136" s="4"/>
      <c r="L1136" s="10"/>
      <c r="M1136" s="54"/>
      <c r="N1136" s="12" t="s">
        <v>200</v>
      </c>
      <c r="O1136" s="12" t="s">
        <v>200</v>
      </c>
      <c r="P1136" s="13"/>
      <c r="Q1136" s="12"/>
      <c r="R1136" s="14"/>
      <c r="S1136" s="15"/>
      <c r="T1136" s="4" t="b">
        <v>0</v>
      </c>
    </row>
    <row r="1137">
      <c r="A1137" s="16"/>
      <c r="B1137" s="17"/>
      <c r="C1137" s="24"/>
      <c r="D1137" s="44"/>
      <c r="E1137" s="19"/>
      <c r="F1137" s="35"/>
      <c r="G1137" s="20">
        <v>1899.0</v>
      </c>
      <c r="H1137" s="21"/>
      <c r="I1137" s="21"/>
      <c r="J1137" s="21"/>
      <c r="K1137" s="16"/>
      <c r="L1137" s="22"/>
      <c r="M1137" s="55"/>
      <c r="N1137" s="23" t="s">
        <v>200</v>
      </c>
      <c r="O1137" s="23" t="s">
        <v>200</v>
      </c>
      <c r="P1137" s="24"/>
      <c r="Q1137" s="23"/>
      <c r="R1137" s="25"/>
      <c r="S1137" s="26"/>
      <c r="T1137" s="16" t="b">
        <v>0</v>
      </c>
    </row>
    <row r="1138">
      <c r="A1138" s="4"/>
      <c r="B1138" s="5"/>
      <c r="C1138" s="13"/>
      <c r="D1138" s="39"/>
      <c r="E1138" s="7"/>
      <c r="F1138" s="34"/>
      <c r="G1138" s="8">
        <v>1899.0</v>
      </c>
      <c r="H1138" s="9"/>
      <c r="I1138" s="9"/>
      <c r="J1138" s="9"/>
      <c r="K1138" s="4"/>
      <c r="L1138" s="10"/>
      <c r="M1138" s="54"/>
      <c r="N1138" s="12" t="s">
        <v>200</v>
      </c>
      <c r="O1138" s="12" t="s">
        <v>200</v>
      </c>
      <c r="P1138" s="13"/>
      <c r="Q1138" s="12"/>
      <c r="R1138" s="14"/>
      <c r="S1138" s="15"/>
      <c r="T1138" s="4" t="b">
        <v>0</v>
      </c>
    </row>
    <row r="1139">
      <c r="A1139" s="16"/>
      <c r="B1139" s="17"/>
      <c r="C1139" s="24"/>
      <c r="D1139" s="44"/>
      <c r="E1139" s="19"/>
      <c r="F1139" s="35"/>
      <c r="G1139" s="20">
        <v>1899.0</v>
      </c>
      <c r="H1139" s="21"/>
      <c r="I1139" s="21"/>
      <c r="J1139" s="21"/>
      <c r="K1139" s="16"/>
      <c r="L1139" s="22"/>
      <c r="M1139" s="55"/>
      <c r="N1139" s="23" t="s">
        <v>200</v>
      </c>
      <c r="O1139" s="23" t="s">
        <v>200</v>
      </c>
      <c r="P1139" s="24"/>
      <c r="Q1139" s="23"/>
      <c r="R1139" s="25"/>
      <c r="S1139" s="26"/>
      <c r="T1139" s="16" t="b">
        <v>0</v>
      </c>
    </row>
    <row r="1140">
      <c r="A1140" s="4"/>
      <c r="B1140" s="5"/>
      <c r="C1140" s="13"/>
      <c r="D1140" s="39"/>
      <c r="E1140" s="7"/>
      <c r="F1140" s="34"/>
      <c r="G1140" s="8">
        <v>1899.0</v>
      </c>
      <c r="H1140" s="9"/>
      <c r="I1140" s="9"/>
      <c r="J1140" s="9"/>
      <c r="K1140" s="4"/>
      <c r="L1140" s="10"/>
      <c r="M1140" s="54"/>
      <c r="N1140" s="12" t="s">
        <v>200</v>
      </c>
      <c r="O1140" s="12" t="s">
        <v>200</v>
      </c>
      <c r="P1140" s="13"/>
      <c r="Q1140" s="12"/>
      <c r="R1140" s="14"/>
      <c r="S1140" s="15"/>
      <c r="T1140" s="4" t="b">
        <v>0</v>
      </c>
    </row>
    <row r="1141">
      <c r="A1141" s="16"/>
      <c r="B1141" s="17"/>
      <c r="C1141" s="24"/>
      <c r="D1141" s="44"/>
      <c r="E1141" s="19"/>
      <c r="F1141" s="35"/>
      <c r="G1141" s="20">
        <v>1899.0</v>
      </c>
      <c r="H1141" s="21"/>
      <c r="I1141" s="21"/>
      <c r="J1141" s="21"/>
      <c r="K1141" s="16"/>
      <c r="L1141" s="22"/>
      <c r="M1141" s="55"/>
      <c r="N1141" s="23" t="s">
        <v>200</v>
      </c>
      <c r="O1141" s="23" t="s">
        <v>200</v>
      </c>
      <c r="P1141" s="24"/>
      <c r="Q1141" s="23"/>
      <c r="R1141" s="25"/>
      <c r="S1141" s="26"/>
      <c r="T1141" s="16" t="b">
        <v>0</v>
      </c>
    </row>
    <row r="1142">
      <c r="A1142" s="4"/>
      <c r="B1142" s="5"/>
      <c r="C1142" s="13"/>
      <c r="D1142" s="39"/>
      <c r="E1142" s="7"/>
      <c r="F1142" s="34"/>
      <c r="G1142" s="8">
        <v>1899.0</v>
      </c>
      <c r="H1142" s="9"/>
      <c r="I1142" s="9"/>
      <c r="J1142" s="9"/>
      <c r="K1142" s="4"/>
      <c r="L1142" s="10"/>
      <c r="M1142" s="54"/>
      <c r="N1142" s="12" t="s">
        <v>200</v>
      </c>
      <c r="O1142" s="12" t="s">
        <v>200</v>
      </c>
      <c r="P1142" s="13"/>
      <c r="Q1142" s="12"/>
      <c r="R1142" s="14"/>
      <c r="S1142" s="15"/>
      <c r="T1142" s="4" t="b">
        <v>0</v>
      </c>
    </row>
    <row r="1143">
      <c r="A1143" s="16"/>
      <c r="B1143" s="17"/>
      <c r="C1143" s="24"/>
      <c r="D1143" s="44"/>
      <c r="E1143" s="19"/>
      <c r="F1143" s="35"/>
      <c r="G1143" s="20">
        <v>1899.0</v>
      </c>
      <c r="H1143" s="21"/>
      <c r="I1143" s="21"/>
      <c r="J1143" s="21"/>
      <c r="K1143" s="16"/>
      <c r="L1143" s="22"/>
      <c r="M1143" s="55"/>
      <c r="N1143" s="23" t="s">
        <v>200</v>
      </c>
      <c r="O1143" s="23" t="s">
        <v>200</v>
      </c>
      <c r="P1143" s="24"/>
      <c r="Q1143" s="23"/>
      <c r="R1143" s="25"/>
      <c r="S1143" s="26"/>
      <c r="T1143" s="16" t="b">
        <v>0</v>
      </c>
    </row>
    <row r="1144">
      <c r="A1144" s="4"/>
      <c r="B1144" s="5"/>
      <c r="C1144" s="13"/>
      <c r="D1144" s="39"/>
      <c r="E1144" s="7"/>
      <c r="F1144" s="34"/>
      <c r="G1144" s="8">
        <v>1899.0</v>
      </c>
      <c r="H1144" s="9"/>
      <c r="I1144" s="9"/>
      <c r="J1144" s="9"/>
      <c r="K1144" s="4"/>
      <c r="L1144" s="10"/>
      <c r="M1144" s="54"/>
      <c r="N1144" s="12" t="s">
        <v>200</v>
      </c>
      <c r="O1144" s="12" t="s">
        <v>200</v>
      </c>
      <c r="P1144" s="13"/>
      <c r="Q1144" s="12"/>
      <c r="R1144" s="14"/>
      <c r="S1144" s="15"/>
      <c r="T1144" s="4" t="b">
        <v>0</v>
      </c>
    </row>
    <row r="1145">
      <c r="A1145" s="16"/>
      <c r="B1145" s="17"/>
      <c r="C1145" s="24"/>
      <c r="D1145" s="44"/>
      <c r="E1145" s="19"/>
      <c r="F1145" s="35"/>
      <c r="G1145" s="20">
        <v>1899.0</v>
      </c>
      <c r="H1145" s="21"/>
      <c r="I1145" s="21"/>
      <c r="J1145" s="21"/>
      <c r="K1145" s="16"/>
      <c r="L1145" s="22"/>
      <c r="M1145" s="55"/>
      <c r="N1145" s="23" t="s">
        <v>200</v>
      </c>
      <c r="O1145" s="23" t="s">
        <v>200</v>
      </c>
      <c r="P1145" s="24"/>
      <c r="Q1145" s="23"/>
      <c r="R1145" s="25"/>
      <c r="S1145" s="26"/>
      <c r="T1145" s="16" t="b">
        <v>0</v>
      </c>
    </row>
    <row r="1146">
      <c r="A1146" s="4"/>
      <c r="B1146" s="5"/>
      <c r="C1146" s="13"/>
      <c r="D1146" s="39"/>
      <c r="E1146" s="7"/>
      <c r="F1146" s="34"/>
      <c r="G1146" s="8">
        <v>1899.0</v>
      </c>
      <c r="H1146" s="9"/>
      <c r="I1146" s="9"/>
      <c r="J1146" s="9"/>
      <c r="K1146" s="4"/>
      <c r="L1146" s="10"/>
      <c r="M1146" s="54"/>
      <c r="N1146" s="12" t="s">
        <v>200</v>
      </c>
      <c r="O1146" s="12" t="s">
        <v>200</v>
      </c>
      <c r="P1146" s="13"/>
      <c r="Q1146" s="12"/>
      <c r="R1146" s="14"/>
      <c r="S1146" s="15"/>
      <c r="T1146" s="4" t="b">
        <v>0</v>
      </c>
    </row>
    <row r="1147">
      <c r="A1147" s="16"/>
      <c r="B1147" s="17"/>
      <c r="C1147" s="24"/>
      <c r="D1147" s="44"/>
      <c r="E1147" s="19"/>
      <c r="F1147" s="35"/>
      <c r="G1147" s="20">
        <v>1899.0</v>
      </c>
      <c r="H1147" s="21"/>
      <c r="I1147" s="21"/>
      <c r="J1147" s="21"/>
      <c r="K1147" s="16"/>
      <c r="L1147" s="22"/>
      <c r="M1147" s="55"/>
      <c r="N1147" s="23" t="s">
        <v>200</v>
      </c>
      <c r="O1147" s="23" t="s">
        <v>200</v>
      </c>
      <c r="P1147" s="24"/>
      <c r="Q1147" s="23"/>
      <c r="R1147" s="25"/>
      <c r="S1147" s="26"/>
      <c r="T1147" s="16" t="b">
        <v>0</v>
      </c>
    </row>
    <row r="1148">
      <c r="A1148" s="4"/>
      <c r="B1148" s="5"/>
      <c r="C1148" s="13"/>
      <c r="D1148" s="39"/>
      <c r="E1148" s="7"/>
      <c r="F1148" s="34"/>
      <c r="G1148" s="8">
        <v>1899.0</v>
      </c>
      <c r="H1148" s="9"/>
      <c r="I1148" s="9"/>
      <c r="J1148" s="9"/>
      <c r="K1148" s="4"/>
      <c r="L1148" s="10"/>
      <c r="M1148" s="54"/>
      <c r="N1148" s="12" t="s">
        <v>200</v>
      </c>
      <c r="O1148" s="12" t="s">
        <v>200</v>
      </c>
      <c r="P1148" s="13"/>
      <c r="Q1148" s="12"/>
      <c r="R1148" s="14"/>
      <c r="S1148" s="15"/>
      <c r="T1148" s="4" t="b">
        <v>0</v>
      </c>
    </row>
    <row r="1149">
      <c r="A1149" s="16"/>
      <c r="B1149" s="17"/>
      <c r="C1149" s="24"/>
      <c r="D1149" s="44"/>
      <c r="E1149" s="19"/>
      <c r="F1149" s="35"/>
      <c r="G1149" s="20">
        <v>1899.0</v>
      </c>
      <c r="H1149" s="21"/>
      <c r="I1149" s="21"/>
      <c r="J1149" s="21"/>
      <c r="K1149" s="16"/>
      <c r="L1149" s="22"/>
      <c r="M1149" s="55"/>
      <c r="N1149" s="23" t="s">
        <v>200</v>
      </c>
      <c r="O1149" s="23" t="s">
        <v>200</v>
      </c>
      <c r="P1149" s="24"/>
      <c r="Q1149" s="23"/>
      <c r="R1149" s="25"/>
      <c r="S1149" s="26"/>
      <c r="T1149" s="16" t="b">
        <v>0</v>
      </c>
    </row>
    <row r="1150">
      <c r="A1150" s="4"/>
      <c r="B1150" s="5"/>
      <c r="C1150" s="13"/>
      <c r="D1150" s="39"/>
      <c r="E1150" s="7"/>
      <c r="F1150" s="34"/>
      <c r="G1150" s="8">
        <v>1899.0</v>
      </c>
      <c r="H1150" s="9"/>
      <c r="I1150" s="9"/>
      <c r="J1150" s="9"/>
      <c r="K1150" s="4"/>
      <c r="L1150" s="10"/>
      <c r="M1150" s="54"/>
      <c r="N1150" s="12" t="s">
        <v>200</v>
      </c>
      <c r="O1150" s="12" t="s">
        <v>200</v>
      </c>
      <c r="P1150" s="13"/>
      <c r="Q1150" s="12"/>
      <c r="R1150" s="14"/>
      <c r="S1150" s="15"/>
      <c r="T1150" s="4" t="b">
        <v>0</v>
      </c>
    </row>
    <row r="1151">
      <c r="A1151" s="16"/>
      <c r="B1151" s="17"/>
      <c r="C1151" s="24"/>
      <c r="D1151" s="44"/>
      <c r="E1151" s="19"/>
      <c r="F1151" s="35"/>
      <c r="G1151" s="20">
        <v>1899.0</v>
      </c>
      <c r="H1151" s="21"/>
      <c r="I1151" s="21"/>
      <c r="J1151" s="21"/>
      <c r="K1151" s="16"/>
      <c r="L1151" s="22"/>
      <c r="M1151" s="55"/>
      <c r="N1151" s="23" t="s">
        <v>200</v>
      </c>
      <c r="O1151" s="23" t="s">
        <v>200</v>
      </c>
      <c r="P1151" s="24"/>
      <c r="Q1151" s="23"/>
      <c r="R1151" s="25"/>
      <c r="S1151" s="26"/>
      <c r="T1151" s="16" t="b">
        <v>0</v>
      </c>
    </row>
    <row r="1152">
      <c r="A1152" s="4"/>
      <c r="B1152" s="5"/>
      <c r="C1152" s="13"/>
      <c r="D1152" s="39"/>
      <c r="E1152" s="7"/>
      <c r="F1152" s="34"/>
      <c r="G1152" s="8">
        <v>1899.0</v>
      </c>
      <c r="H1152" s="9"/>
      <c r="I1152" s="9"/>
      <c r="J1152" s="9"/>
      <c r="K1152" s="4"/>
      <c r="L1152" s="10"/>
      <c r="M1152" s="54"/>
      <c r="N1152" s="12" t="s">
        <v>200</v>
      </c>
      <c r="O1152" s="12" t="s">
        <v>200</v>
      </c>
      <c r="P1152" s="13"/>
      <c r="Q1152" s="12"/>
      <c r="R1152" s="14"/>
      <c r="S1152" s="15"/>
      <c r="T1152" s="4" t="b">
        <v>0</v>
      </c>
    </row>
    <row r="1153">
      <c r="A1153" s="16"/>
      <c r="B1153" s="17"/>
      <c r="C1153" s="24"/>
      <c r="D1153" s="44"/>
      <c r="E1153" s="19"/>
      <c r="F1153" s="35"/>
      <c r="G1153" s="20">
        <v>1899.0</v>
      </c>
      <c r="H1153" s="21"/>
      <c r="I1153" s="21"/>
      <c r="J1153" s="21"/>
      <c r="K1153" s="16"/>
      <c r="L1153" s="22"/>
      <c r="M1153" s="55"/>
      <c r="N1153" s="23" t="s">
        <v>200</v>
      </c>
      <c r="O1153" s="23" t="s">
        <v>200</v>
      </c>
      <c r="P1153" s="24"/>
      <c r="Q1153" s="23"/>
      <c r="R1153" s="25"/>
      <c r="S1153" s="26"/>
      <c r="T1153" s="16" t="b">
        <v>0</v>
      </c>
    </row>
    <row r="1154">
      <c r="A1154" s="4"/>
      <c r="B1154" s="5"/>
      <c r="C1154" s="13"/>
      <c r="D1154" s="39"/>
      <c r="E1154" s="7"/>
      <c r="F1154" s="34"/>
      <c r="G1154" s="8">
        <v>1899.0</v>
      </c>
      <c r="H1154" s="9"/>
      <c r="I1154" s="9"/>
      <c r="J1154" s="9"/>
      <c r="K1154" s="4"/>
      <c r="L1154" s="10"/>
      <c r="M1154" s="54"/>
      <c r="N1154" s="12" t="s">
        <v>200</v>
      </c>
      <c r="O1154" s="12" t="s">
        <v>200</v>
      </c>
      <c r="P1154" s="13"/>
      <c r="Q1154" s="12"/>
      <c r="R1154" s="14"/>
      <c r="S1154" s="15"/>
      <c r="T1154" s="4" t="b">
        <v>0</v>
      </c>
    </row>
    <row r="1155">
      <c r="A1155" s="16"/>
      <c r="B1155" s="17"/>
      <c r="C1155" s="24"/>
      <c r="D1155" s="44"/>
      <c r="E1155" s="19"/>
      <c r="F1155" s="35"/>
      <c r="G1155" s="20">
        <v>1899.0</v>
      </c>
      <c r="H1155" s="21"/>
      <c r="I1155" s="21"/>
      <c r="J1155" s="21"/>
      <c r="K1155" s="16"/>
      <c r="L1155" s="22"/>
      <c r="M1155" s="55"/>
      <c r="N1155" s="23" t="s">
        <v>200</v>
      </c>
      <c r="O1155" s="23" t="s">
        <v>200</v>
      </c>
      <c r="P1155" s="24"/>
      <c r="Q1155" s="23"/>
      <c r="R1155" s="25"/>
      <c r="S1155" s="26"/>
      <c r="T1155" s="16" t="b">
        <v>0</v>
      </c>
    </row>
    <row r="1156">
      <c r="A1156" s="4"/>
      <c r="B1156" s="5"/>
      <c r="C1156" s="13"/>
      <c r="D1156" s="39"/>
      <c r="E1156" s="7"/>
      <c r="F1156" s="34"/>
      <c r="G1156" s="8">
        <v>1899.0</v>
      </c>
      <c r="H1156" s="9"/>
      <c r="I1156" s="9"/>
      <c r="J1156" s="9"/>
      <c r="K1156" s="4"/>
      <c r="L1156" s="10"/>
      <c r="M1156" s="54"/>
      <c r="N1156" s="12" t="s">
        <v>200</v>
      </c>
      <c r="O1156" s="12" t="s">
        <v>200</v>
      </c>
      <c r="P1156" s="13"/>
      <c r="Q1156" s="12"/>
      <c r="R1156" s="14"/>
      <c r="S1156" s="15"/>
      <c r="T1156" s="4" t="b">
        <v>0</v>
      </c>
    </row>
    <row r="1157">
      <c r="A1157" s="16"/>
      <c r="B1157" s="17"/>
      <c r="C1157" s="24"/>
      <c r="D1157" s="44"/>
      <c r="E1157" s="19"/>
      <c r="F1157" s="35"/>
      <c r="G1157" s="20">
        <v>1899.0</v>
      </c>
      <c r="H1157" s="21"/>
      <c r="I1157" s="21"/>
      <c r="J1157" s="21"/>
      <c r="K1157" s="16"/>
      <c r="L1157" s="22"/>
      <c r="M1157" s="55"/>
      <c r="N1157" s="23" t="s">
        <v>200</v>
      </c>
      <c r="O1157" s="23" t="s">
        <v>200</v>
      </c>
      <c r="P1157" s="24"/>
      <c r="Q1157" s="23"/>
      <c r="R1157" s="25"/>
      <c r="S1157" s="26"/>
      <c r="T1157" s="16" t="b">
        <v>0</v>
      </c>
    </row>
    <row r="1158">
      <c r="A1158" s="4"/>
      <c r="B1158" s="5"/>
      <c r="C1158" s="13"/>
      <c r="D1158" s="39"/>
      <c r="E1158" s="7"/>
      <c r="F1158" s="34"/>
      <c r="G1158" s="8">
        <v>1899.0</v>
      </c>
      <c r="H1158" s="9"/>
      <c r="I1158" s="9"/>
      <c r="J1158" s="9"/>
      <c r="K1158" s="4"/>
      <c r="L1158" s="10"/>
      <c r="M1158" s="54"/>
      <c r="N1158" s="12" t="s">
        <v>200</v>
      </c>
      <c r="O1158" s="12" t="s">
        <v>200</v>
      </c>
      <c r="P1158" s="13"/>
      <c r="Q1158" s="12"/>
      <c r="R1158" s="14"/>
      <c r="S1158" s="15"/>
      <c r="T1158" s="4" t="b">
        <v>0</v>
      </c>
    </row>
    <row r="1159">
      <c r="A1159" s="16"/>
      <c r="B1159" s="17"/>
      <c r="C1159" s="24"/>
      <c r="D1159" s="44"/>
      <c r="E1159" s="19"/>
      <c r="F1159" s="35"/>
      <c r="G1159" s="20">
        <v>1899.0</v>
      </c>
      <c r="H1159" s="21"/>
      <c r="I1159" s="21"/>
      <c r="J1159" s="21"/>
      <c r="K1159" s="16"/>
      <c r="L1159" s="22"/>
      <c r="M1159" s="55"/>
      <c r="N1159" s="23" t="s">
        <v>200</v>
      </c>
      <c r="O1159" s="23" t="s">
        <v>200</v>
      </c>
      <c r="P1159" s="24"/>
      <c r="Q1159" s="23"/>
      <c r="R1159" s="25"/>
      <c r="S1159" s="26"/>
      <c r="T1159" s="16" t="b">
        <v>0</v>
      </c>
    </row>
    <row r="1160">
      <c r="A1160" s="4"/>
      <c r="B1160" s="5"/>
      <c r="C1160" s="13"/>
      <c r="D1160" s="39"/>
      <c r="E1160" s="7"/>
      <c r="F1160" s="34"/>
      <c r="G1160" s="8">
        <v>1899.0</v>
      </c>
      <c r="H1160" s="9"/>
      <c r="I1160" s="9"/>
      <c r="J1160" s="9"/>
      <c r="K1160" s="4"/>
      <c r="L1160" s="10"/>
      <c r="M1160" s="54"/>
      <c r="N1160" s="12" t="s">
        <v>200</v>
      </c>
      <c r="O1160" s="12" t="s">
        <v>200</v>
      </c>
      <c r="P1160" s="13"/>
      <c r="Q1160" s="12"/>
      <c r="R1160" s="14"/>
      <c r="S1160" s="15"/>
      <c r="T1160" s="4" t="b">
        <v>0</v>
      </c>
    </row>
    <row r="1161">
      <c r="A1161" s="16"/>
      <c r="B1161" s="17"/>
      <c r="C1161" s="24"/>
      <c r="D1161" s="44"/>
      <c r="E1161" s="19"/>
      <c r="F1161" s="35"/>
      <c r="G1161" s="20">
        <v>1899.0</v>
      </c>
      <c r="H1161" s="21"/>
      <c r="I1161" s="21"/>
      <c r="J1161" s="21"/>
      <c r="K1161" s="16"/>
      <c r="L1161" s="22"/>
      <c r="M1161" s="55"/>
      <c r="N1161" s="23" t="s">
        <v>200</v>
      </c>
      <c r="O1161" s="23" t="s">
        <v>200</v>
      </c>
      <c r="P1161" s="24"/>
      <c r="Q1161" s="23"/>
      <c r="R1161" s="25"/>
      <c r="S1161" s="26"/>
      <c r="T1161" s="16" t="b">
        <v>0</v>
      </c>
    </row>
    <row r="1162">
      <c r="A1162" s="4"/>
      <c r="B1162" s="5"/>
      <c r="C1162" s="13"/>
      <c r="D1162" s="39"/>
      <c r="E1162" s="7"/>
      <c r="F1162" s="34"/>
      <c r="G1162" s="8">
        <v>1899.0</v>
      </c>
      <c r="H1162" s="9"/>
      <c r="I1162" s="9"/>
      <c r="J1162" s="9"/>
      <c r="K1162" s="4"/>
      <c r="L1162" s="10"/>
      <c r="M1162" s="54"/>
      <c r="N1162" s="12" t="s">
        <v>200</v>
      </c>
      <c r="O1162" s="12" t="s">
        <v>200</v>
      </c>
      <c r="P1162" s="13"/>
      <c r="Q1162" s="12"/>
      <c r="R1162" s="14"/>
      <c r="S1162" s="15"/>
      <c r="T1162" s="4" t="b">
        <v>0</v>
      </c>
    </row>
    <row r="1163">
      <c r="A1163" s="16"/>
      <c r="B1163" s="17"/>
      <c r="C1163" s="24"/>
      <c r="D1163" s="44"/>
      <c r="E1163" s="19"/>
      <c r="F1163" s="35"/>
      <c r="G1163" s="20">
        <v>1899.0</v>
      </c>
      <c r="H1163" s="21"/>
      <c r="I1163" s="21"/>
      <c r="J1163" s="21"/>
      <c r="K1163" s="16"/>
      <c r="L1163" s="22"/>
      <c r="M1163" s="55"/>
      <c r="N1163" s="23" t="s">
        <v>200</v>
      </c>
      <c r="O1163" s="23" t="s">
        <v>200</v>
      </c>
      <c r="P1163" s="24"/>
      <c r="Q1163" s="23"/>
      <c r="R1163" s="25"/>
      <c r="S1163" s="26"/>
      <c r="T1163" s="16" t="b">
        <v>0</v>
      </c>
    </row>
    <row r="1164">
      <c r="A1164" s="4"/>
      <c r="B1164" s="5"/>
      <c r="C1164" s="13"/>
      <c r="D1164" s="39"/>
      <c r="E1164" s="7"/>
      <c r="F1164" s="34"/>
      <c r="G1164" s="8">
        <v>1899.0</v>
      </c>
      <c r="H1164" s="9"/>
      <c r="I1164" s="9"/>
      <c r="J1164" s="9"/>
      <c r="K1164" s="4"/>
      <c r="L1164" s="10"/>
      <c r="M1164" s="54"/>
      <c r="N1164" s="12" t="s">
        <v>200</v>
      </c>
      <c r="O1164" s="12" t="s">
        <v>200</v>
      </c>
      <c r="P1164" s="13"/>
      <c r="Q1164" s="12"/>
      <c r="R1164" s="14"/>
      <c r="S1164" s="15"/>
      <c r="T1164" s="4" t="b">
        <v>0</v>
      </c>
    </row>
    <row r="1165">
      <c r="A1165" s="16"/>
      <c r="B1165" s="17"/>
      <c r="C1165" s="24"/>
      <c r="D1165" s="44"/>
      <c r="E1165" s="19"/>
      <c r="F1165" s="35"/>
      <c r="G1165" s="20">
        <v>1899.0</v>
      </c>
      <c r="H1165" s="21"/>
      <c r="I1165" s="21"/>
      <c r="J1165" s="21"/>
      <c r="K1165" s="16"/>
      <c r="L1165" s="22"/>
      <c r="M1165" s="55"/>
      <c r="N1165" s="23" t="s">
        <v>200</v>
      </c>
      <c r="O1165" s="23" t="s">
        <v>200</v>
      </c>
      <c r="P1165" s="24"/>
      <c r="Q1165" s="23"/>
      <c r="R1165" s="25"/>
      <c r="S1165" s="26"/>
      <c r="T1165" s="16" t="b">
        <v>0</v>
      </c>
    </row>
    <row r="1166">
      <c r="A1166" s="4"/>
      <c r="B1166" s="5"/>
      <c r="C1166" s="13"/>
      <c r="D1166" s="39"/>
      <c r="E1166" s="7"/>
      <c r="F1166" s="34"/>
      <c r="G1166" s="8">
        <v>1899.0</v>
      </c>
      <c r="H1166" s="9"/>
      <c r="I1166" s="9"/>
      <c r="J1166" s="9"/>
      <c r="K1166" s="4"/>
      <c r="L1166" s="10"/>
      <c r="M1166" s="54"/>
      <c r="N1166" s="12" t="s">
        <v>200</v>
      </c>
      <c r="O1166" s="12" t="s">
        <v>200</v>
      </c>
      <c r="P1166" s="13"/>
      <c r="Q1166" s="12"/>
      <c r="R1166" s="14"/>
      <c r="S1166" s="15"/>
      <c r="T1166" s="4" t="b">
        <v>0</v>
      </c>
    </row>
    <row r="1167">
      <c r="A1167" s="16"/>
      <c r="B1167" s="17"/>
      <c r="C1167" s="24"/>
      <c r="D1167" s="44"/>
      <c r="E1167" s="19"/>
      <c r="F1167" s="35"/>
      <c r="G1167" s="20">
        <v>1899.0</v>
      </c>
      <c r="H1167" s="21"/>
      <c r="I1167" s="21"/>
      <c r="J1167" s="21"/>
      <c r="K1167" s="16"/>
      <c r="L1167" s="22"/>
      <c r="M1167" s="55"/>
      <c r="N1167" s="23" t="s">
        <v>200</v>
      </c>
      <c r="O1167" s="23" t="s">
        <v>200</v>
      </c>
      <c r="P1167" s="24"/>
      <c r="Q1167" s="23"/>
      <c r="R1167" s="25"/>
      <c r="S1167" s="26"/>
      <c r="T1167" s="16" t="b">
        <v>0</v>
      </c>
    </row>
    <row r="1168">
      <c r="A1168" s="4"/>
      <c r="B1168" s="5"/>
      <c r="C1168" s="13"/>
      <c r="D1168" s="39"/>
      <c r="E1168" s="7"/>
      <c r="F1168" s="34"/>
      <c r="G1168" s="8">
        <v>1899.0</v>
      </c>
      <c r="H1168" s="9"/>
      <c r="I1168" s="9"/>
      <c r="J1168" s="9"/>
      <c r="K1168" s="4"/>
      <c r="L1168" s="10"/>
      <c r="M1168" s="54"/>
      <c r="N1168" s="12" t="s">
        <v>200</v>
      </c>
      <c r="O1168" s="12" t="s">
        <v>200</v>
      </c>
      <c r="P1168" s="13"/>
      <c r="Q1168" s="12"/>
      <c r="R1168" s="14"/>
      <c r="S1168" s="15"/>
      <c r="T1168" s="4" t="b">
        <v>0</v>
      </c>
    </row>
    <row r="1169">
      <c r="A1169" s="16"/>
      <c r="B1169" s="17"/>
      <c r="C1169" s="24"/>
      <c r="D1169" s="44"/>
      <c r="E1169" s="19"/>
      <c r="F1169" s="35"/>
      <c r="G1169" s="20">
        <v>1899.0</v>
      </c>
      <c r="H1169" s="21"/>
      <c r="I1169" s="21"/>
      <c r="J1169" s="21"/>
      <c r="K1169" s="16"/>
      <c r="L1169" s="22"/>
      <c r="M1169" s="55"/>
      <c r="N1169" s="23" t="s">
        <v>200</v>
      </c>
      <c r="O1169" s="23" t="s">
        <v>200</v>
      </c>
      <c r="P1169" s="24"/>
      <c r="Q1169" s="23"/>
      <c r="R1169" s="25"/>
      <c r="S1169" s="26"/>
      <c r="T1169" s="16" t="b">
        <v>0</v>
      </c>
    </row>
    <row r="1170">
      <c r="A1170" s="4"/>
      <c r="B1170" s="5"/>
      <c r="C1170" s="13"/>
      <c r="D1170" s="39"/>
      <c r="E1170" s="7"/>
      <c r="F1170" s="34"/>
      <c r="G1170" s="8">
        <v>1899.0</v>
      </c>
      <c r="H1170" s="9"/>
      <c r="I1170" s="9"/>
      <c r="J1170" s="9"/>
      <c r="K1170" s="4"/>
      <c r="L1170" s="10"/>
      <c r="M1170" s="54"/>
      <c r="N1170" s="12" t="s">
        <v>200</v>
      </c>
      <c r="O1170" s="12" t="s">
        <v>200</v>
      </c>
      <c r="P1170" s="13"/>
      <c r="Q1170" s="12"/>
      <c r="R1170" s="14"/>
      <c r="S1170" s="15"/>
      <c r="T1170" s="4" t="b">
        <v>0</v>
      </c>
    </row>
    <row r="1171">
      <c r="A1171" s="16"/>
      <c r="B1171" s="17"/>
      <c r="C1171" s="24"/>
      <c r="D1171" s="44"/>
      <c r="E1171" s="19"/>
      <c r="F1171" s="35"/>
      <c r="G1171" s="20">
        <v>1899.0</v>
      </c>
      <c r="H1171" s="21"/>
      <c r="I1171" s="21"/>
      <c r="J1171" s="21"/>
      <c r="K1171" s="16"/>
      <c r="L1171" s="22"/>
      <c r="M1171" s="55"/>
      <c r="N1171" s="23" t="s">
        <v>200</v>
      </c>
      <c r="O1171" s="23" t="s">
        <v>200</v>
      </c>
      <c r="P1171" s="24"/>
      <c r="Q1171" s="23"/>
      <c r="R1171" s="25"/>
      <c r="S1171" s="26"/>
      <c r="T1171" s="16" t="b">
        <v>0</v>
      </c>
    </row>
    <row r="1172">
      <c r="A1172" s="4"/>
      <c r="B1172" s="5"/>
      <c r="C1172" s="13"/>
      <c r="D1172" s="39"/>
      <c r="E1172" s="7"/>
      <c r="F1172" s="34"/>
      <c r="G1172" s="8">
        <v>1899.0</v>
      </c>
      <c r="H1172" s="9"/>
      <c r="I1172" s="9"/>
      <c r="J1172" s="9"/>
      <c r="K1172" s="4"/>
      <c r="L1172" s="10"/>
      <c r="M1172" s="54"/>
      <c r="N1172" s="12" t="s">
        <v>200</v>
      </c>
      <c r="O1172" s="12" t="s">
        <v>200</v>
      </c>
      <c r="P1172" s="13"/>
      <c r="Q1172" s="12"/>
      <c r="R1172" s="14"/>
      <c r="S1172" s="15"/>
      <c r="T1172" s="4" t="b">
        <v>0</v>
      </c>
    </row>
    <row r="1173">
      <c r="A1173" s="16"/>
      <c r="B1173" s="17"/>
      <c r="C1173" s="24"/>
      <c r="D1173" s="44"/>
      <c r="E1173" s="19"/>
      <c r="F1173" s="35"/>
      <c r="G1173" s="20">
        <v>1899.0</v>
      </c>
      <c r="H1173" s="21"/>
      <c r="I1173" s="21"/>
      <c r="J1173" s="21"/>
      <c r="K1173" s="16"/>
      <c r="L1173" s="22"/>
      <c r="M1173" s="55"/>
      <c r="N1173" s="23" t="s">
        <v>200</v>
      </c>
      <c r="O1173" s="23" t="s">
        <v>200</v>
      </c>
      <c r="P1173" s="24"/>
      <c r="Q1173" s="23"/>
      <c r="R1173" s="25"/>
      <c r="S1173" s="26"/>
      <c r="T1173" s="16" t="b">
        <v>0</v>
      </c>
    </row>
    <row r="1174">
      <c r="A1174" s="4"/>
      <c r="B1174" s="5"/>
      <c r="C1174" s="13"/>
      <c r="D1174" s="39"/>
      <c r="E1174" s="7"/>
      <c r="F1174" s="34"/>
      <c r="G1174" s="8">
        <v>1899.0</v>
      </c>
      <c r="H1174" s="9"/>
      <c r="I1174" s="9"/>
      <c r="J1174" s="9"/>
      <c r="K1174" s="4"/>
      <c r="L1174" s="10"/>
      <c r="M1174" s="54"/>
      <c r="N1174" s="12" t="s">
        <v>200</v>
      </c>
      <c r="O1174" s="12" t="s">
        <v>200</v>
      </c>
      <c r="P1174" s="13"/>
      <c r="Q1174" s="12"/>
      <c r="R1174" s="14"/>
      <c r="S1174" s="15"/>
      <c r="T1174" s="4" t="b">
        <v>0</v>
      </c>
    </row>
    <row r="1175">
      <c r="A1175" s="16"/>
      <c r="B1175" s="17"/>
      <c r="C1175" s="24"/>
      <c r="D1175" s="44"/>
      <c r="E1175" s="19"/>
      <c r="F1175" s="35"/>
      <c r="G1175" s="20">
        <v>1899.0</v>
      </c>
      <c r="H1175" s="21"/>
      <c r="I1175" s="21"/>
      <c r="J1175" s="21"/>
      <c r="K1175" s="16"/>
      <c r="L1175" s="22"/>
      <c r="M1175" s="55"/>
      <c r="N1175" s="23" t="s">
        <v>200</v>
      </c>
      <c r="O1175" s="23" t="s">
        <v>200</v>
      </c>
      <c r="P1175" s="24"/>
      <c r="Q1175" s="23"/>
      <c r="R1175" s="25"/>
      <c r="S1175" s="26"/>
      <c r="T1175" s="16" t="b">
        <v>0</v>
      </c>
    </row>
    <row r="1176">
      <c r="A1176" s="4"/>
      <c r="B1176" s="5"/>
      <c r="C1176" s="13"/>
      <c r="D1176" s="39"/>
      <c r="E1176" s="7"/>
      <c r="F1176" s="34"/>
      <c r="G1176" s="8">
        <v>1899.0</v>
      </c>
      <c r="H1176" s="9"/>
      <c r="I1176" s="9"/>
      <c r="J1176" s="9"/>
      <c r="K1176" s="4"/>
      <c r="L1176" s="10"/>
      <c r="M1176" s="54"/>
      <c r="N1176" s="12" t="s">
        <v>200</v>
      </c>
      <c r="O1176" s="12" t="s">
        <v>200</v>
      </c>
      <c r="P1176" s="13"/>
      <c r="Q1176" s="12"/>
      <c r="R1176" s="14"/>
      <c r="S1176" s="15"/>
      <c r="T1176" s="4" t="b">
        <v>0</v>
      </c>
    </row>
    <row r="1177">
      <c r="A1177" s="16"/>
      <c r="B1177" s="17"/>
      <c r="C1177" s="24"/>
      <c r="D1177" s="44"/>
      <c r="E1177" s="19"/>
      <c r="F1177" s="35"/>
      <c r="G1177" s="20">
        <v>1899.0</v>
      </c>
      <c r="H1177" s="21"/>
      <c r="I1177" s="21"/>
      <c r="J1177" s="21"/>
      <c r="K1177" s="16"/>
      <c r="L1177" s="22"/>
      <c r="M1177" s="55"/>
      <c r="N1177" s="23" t="s">
        <v>200</v>
      </c>
      <c r="O1177" s="23" t="s">
        <v>200</v>
      </c>
      <c r="P1177" s="24"/>
      <c r="Q1177" s="23"/>
      <c r="R1177" s="25"/>
      <c r="S1177" s="26"/>
      <c r="T1177" s="16" t="b">
        <v>0</v>
      </c>
    </row>
    <row r="1178">
      <c r="A1178" s="4"/>
      <c r="B1178" s="5"/>
      <c r="C1178" s="13"/>
      <c r="D1178" s="39"/>
      <c r="E1178" s="7"/>
      <c r="F1178" s="34"/>
      <c r="G1178" s="8">
        <v>1899.0</v>
      </c>
      <c r="H1178" s="9"/>
      <c r="I1178" s="9"/>
      <c r="J1178" s="9"/>
      <c r="K1178" s="4"/>
      <c r="L1178" s="10"/>
      <c r="M1178" s="54"/>
      <c r="N1178" s="12" t="s">
        <v>200</v>
      </c>
      <c r="O1178" s="12" t="s">
        <v>200</v>
      </c>
      <c r="P1178" s="13"/>
      <c r="Q1178" s="12"/>
      <c r="R1178" s="14"/>
      <c r="S1178" s="15"/>
      <c r="T1178" s="4" t="b">
        <v>0</v>
      </c>
    </row>
    <row r="1179">
      <c r="A1179" s="16"/>
      <c r="B1179" s="17"/>
      <c r="C1179" s="24"/>
      <c r="D1179" s="44"/>
      <c r="E1179" s="19"/>
      <c r="F1179" s="35"/>
      <c r="G1179" s="20">
        <v>1899.0</v>
      </c>
      <c r="H1179" s="21"/>
      <c r="I1179" s="21"/>
      <c r="J1179" s="21"/>
      <c r="K1179" s="16"/>
      <c r="L1179" s="22"/>
      <c r="M1179" s="55"/>
      <c r="N1179" s="23" t="s">
        <v>200</v>
      </c>
      <c r="O1179" s="23" t="s">
        <v>200</v>
      </c>
      <c r="P1179" s="24"/>
      <c r="Q1179" s="23"/>
      <c r="R1179" s="25"/>
      <c r="S1179" s="26"/>
      <c r="T1179" s="16" t="b">
        <v>0</v>
      </c>
    </row>
    <row r="1180">
      <c r="A1180" s="4"/>
      <c r="B1180" s="5"/>
      <c r="C1180" s="13"/>
      <c r="D1180" s="39"/>
      <c r="E1180" s="7"/>
      <c r="F1180" s="34"/>
      <c r="G1180" s="8">
        <v>1899.0</v>
      </c>
      <c r="H1180" s="9"/>
      <c r="I1180" s="9"/>
      <c r="J1180" s="9"/>
      <c r="K1180" s="4"/>
      <c r="L1180" s="10"/>
      <c r="M1180" s="54"/>
      <c r="N1180" s="12" t="s">
        <v>200</v>
      </c>
      <c r="O1180" s="12" t="s">
        <v>200</v>
      </c>
      <c r="P1180" s="13"/>
      <c r="Q1180" s="12"/>
      <c r="R1180" s="14"/>
      <c r="S1180" s="15"/>
      <c r="T1180" s="4" t="b">
        <v>0</v>
      </c>
    </row>
    <row r="1181">
      <c r="A1181" s="16"/>
      <c r="B1181" s="17"/>
      <c r="C1181" s="24"/>
      <c r="D1181" s="44"/>
      <c r="E1181" s="19"/>
      <c r="F1181" s="35"/>
      <c r="G1181" s="20">
        <v>1899.0</v>
      </c>
      <c r="H1181" s="21"/>
      <c r="I1181" s="21"/>
      <c r="J1181" s="21"/>
      <c r="K1181" s="16"/>
      <c r="L1181" s="22"/>
      <c r="M1181" s="55"/>
      <c r="N1181" s="23" t="s">
        <v>200</v>
      </c>
      <c r="O1181" s="23" t="s">
        <v>200</v>
      </c>
      <c r="P1181" s="24"/>
      <c r="Q1181" s="23"/>
      <c r="R1181" s="25"/>
      <c r="S1181" s="26"/>
      <c r="T1181" s="16" t="b">
        <v>0</v>
      </c>
    </row>
    <row r="1182">
      <c r="A1182" s="4"/>
      <c r="B1182" s="5"/>
      <c r="C1182" s="13"/>
      <c r="D1182" s="39"/>
      <c r="E1182" s="7"/>
      <c r="F1182" s="34"/>
      <c r="G1182" s="8">
        <v>1899.0</v>
      </c>
      <c r="H1182" s="9"/>
      <c r="I1182" s="9"/>
      <c r="J1182" s="9"/>
      <c r="K1182" s="4"/>
      <c r="L1182" s="10"/>
      <c r="M1182" s="54"/>
      <c r="N1182" s="12" t="s">
        <v>200</v>
      </c>
      <c r="O1182" s="12" t="s">
        <v>200</v>
      </c>
      <c r="P1182" s="13"/>
      <c r="Q1182" s="12"/>
      <c r="R1182" s="14"/>
      <c r="S1182" s="15"/>
      <c r="T1182" s="4" t="b">
        <v>0</v>
      </c>
    </row>
    <row r="1183">
      <c r="A1183" s="16"/>
      <c r="B1183" s="17"/>
      <c r="C1183" s="24"/>
      <c r="D1183" s="44"/>
      <c r="E1183" s="19"/>
      <c r="F1183" s="35"/>
      <c r="G1183" s="20">
        <v>1899.0</v>
      </c>
      <c r="H1183" s="21"/>
      <c r="I1183" s="21"/>
      <c r="J1183" s="21"/>
      <c r="K1183" s="16"/>
      <c r="L1183" s="22"/>
      <c r="M1183" s="55"/>
      <c r="N1183" s="23" t="s">
        <v>200</v>
      </c>
      <c r="O1183" s="23" t="s">
        <v>200</v>
      </c>
      <c r="P1183" s="24"/>
      <c r="Q1183" s="23"/>
      <c r="R1183" s="25"/>
      <c r="S1183" s="26"/>
      <c r="T1183" s="16" t="b">
        <v>0</v>
      </c>
    </row>
    <row r="1184">
      <c r="A1184" s="4"/>
      <c r="B1184" s="5"/>
      <c r="C1184" s="13"/>
      <c r="D1184" s="39"/>
      <c r="E1184" s="7"/>
      <c r="F1184" s="34"/>
      <c r="G1184" s="8">
        <v>1899.0</v>
      </c>
      <c r="H1184" s="9"/>
      <c r="I1184" s="9"/>
      <c r="J1184" s="9"/>
      <c r="K1184" s="4"/>
      <c r="L1184" s="10"/>
      <c r="M1184" s="54"/>
      <c r="N1184" s="12" t="s">
        <v>200</v>
      </c>
      <c r="O1184" s="12" t="s">
        <v>200</v>
      </c>
      <c r="P1184" s="13"/>
      <c r="Q1184" s="12"/>
      <c r="R1184" s="14"/>
      <c r="S1184" s="15"/>
      <c r="T1184" s="4" t="b">
        <v>0</v>
      </c>
    </row>
    <row r="1185">
      <c r="A1185" s="16"/>
      <c r="B1185" s="17"/>
      <c r="C1185" s="24"/>
      <c r="D1185" s="44"/>
      <c r="E1185" s="19"/>
      <c r="F1185" s="35"/>
      <c r="G1185" s="20">
        <v>1899.0</v>
      </c>
      <c r="H1185" s="21"/>
      <c r="I1185" s="21"/>
      <c r="J1185" s="21"/>
      <c r="K1185" s="16"/>
      <c r="L1185" s="22"/>
      <c r="M1185" s="55"/>
      <c r="N1185" s="23" t="s">
        <v>200</v>
      </c>
      <c r="O1185" s="23" t="s">
        <v>200</v>
      </c>
      <c r="P1185" s="24"/>
      <c r="Q1185" s="23"/>
      <c r="R1185" s="25"/>
      <c r="S1185" s="26"/>
      <c r="T1185" s="16" t="b">
        <v>0</v>
      </c>
    </row>
    <row r="1186">
      <c r="A1186" s="4"/>
      <c r="B1186" s="5"/>
      <c r="C1186" s="13"/>
      <c r="D1186" s="39"/>
      <c r="E1186" s="7"/>
      <c r="F1186" s="34"/>
      <c r="G1186" s="8">
        <v>1899.0</v>
      </c>
      <c r="H1186" s="9"/>
      <c r="I1186" s="9"/>
      <c r="J1186" s="9"/>
      <c r="K1186" s="4"/>
      <c r="L1186" s="10"/>
      <c r="M1186" s="54"/>
      <c r="N1186" s="12" t="s">
        <v>200</v>
      </c>
      <c r="O1186" s="12" t="s">
        <v>200</v>
      </c>
      <c r="P1186" s="13"/>
      <c r="Q1186" s="12"/>
      <c r="R1186" s="14"/>
      <c r="S1186" s="15"/>
      <c r="T1186" s="4" t="b">
        <v>0</v>
      </c>
    </row>
    <row r="1187">
      <c r="A1187" s="16"/>
      <c r="B1187" s="17"/>
      <c r="C1187" s="24"/>
      <c r="D1187" s="44"/>
      <c r="E1187" s="19"/>
      <c r="F1187" s="35"/>
      <c r="G1187" s="20">
        <v>1899.0</v>
      </c>
      <c r="H1187" s="21"/>
      <c r="I1187" s="21"/>
      <c r="J1187" s="21"/>
      <c r="K1187" s="16"/>
      <c r="L1187" s="22"/>
      <c r="M1187" s="55"/>
      <c r="N1187" s="23" t="s">
        <v>200</v>
      </c>
      <c r="O1187" s="23" t="s">
        <v>200</v>
      </c>
      <c r="P1187" s="24"/>
      <c r="Q1187" s="23"/>
      <c r="R1187" s="25"/>
      <c r="S1187" s="26"/>
      <c r="T1187" s="16" t="b">
        <v>0</v>
      </c>
    </row>
    <row r="1188">
      <c r="A1188" s="4"/>
      <c r="B1188" s="5"/>
      <c r="C1188" s="13"/>
      <c r="D1188" s="39"/>
      <c r="E1188" s="7"/>
      <c r="F1188" s="34"/>
      <c r="G1188" s="8">
        <v>1899.0</v>
      </c>
      <c r="H1188" s="9"/>
      <c r="I1188" s="9"/>
      <c r="J1188" s="9"/>
      <c r="K1188" s="4"/>
      <c r="L1188" s="10"/>
      <c r="M1188" s="54"/>
      <c r="N1188" s="12" t="s">
        <v>200</v>
      </c>
      <c r="O1188" s="12" t="s">
        <v>200</v>
      </c>
      <c r="P1188" s="13"/>
      <c r="Q1188" s="12"/>
      <c r="R1188" s="14"/>
      <c r="S1188" s="15"/>
      <c r="T1188" s="4" t="b">
        <v>0</v>
      </c>
    </row>
    <row r="1189">
      <c r="A1189" s="16"/>
      <c r="B1189" s="17"/>
      <c r="C1189" s="24"/>
      <c r="D1189" s="44"/>
      <c r="E1189" s="19"/>
      <c r="F1189" s="35"/>
      <c r="G1189" s="20">
        <v>1899.0</v>
      </c>
      <c r="H1189" s="21"/>
      <c r="I1189" s="21"/>
      <c r="J1189" s="21"/>
      <c r="K1189" s="16"/>
      <c r="L1189" s="22"/>
      <c r="M1189" s="55"/>
      <c r="N1189" s="23" t="s">
        <v>200</v>
      </c>
      <c r="O1189" s="23" t="s">
        <v>200</v>
      </c>
      <c r="P1189" s="24"/>
      <c r="Q1189" s="23"/>
      <c r="R1189" s="25"/>
      <c r="S1189" s="26"/>
      <c r="T1189" s="16" t="b">
        <v>0</v>
      </c>
    </row>
    <row r="1190">
      <c r="A1190" s="4"/>
      <c r="B1190" s="5"/>
      <c r="C1190" s="13"/>
      <c r="D1190" s="39"/>
      <c r="E1190" s="7"/>
      <c r="F1190" s="34"/>
      <c r="G1190" s="8">
        <v>1899.0</v>
      </c>
      <c r="H1190" s="9"/>
      <c r="I1190" s="9"/>
      <c r="J1190" s="9"/>
      <c r="K1190" s="4"/>
      <c r="L1190" s="10"/>
      <c r="M1190" s="54"/>
      <c r="N1190" s="12" t="s">
        <v>200</v>
      </c>
      <c r="O1190" s="12" t="s">
        <v>200</v>
      </c>
      <c r="P1190" s="13"/>
      <c r="Q1190" s="12"/>
      <c r="R1190" s="14"/>
      <c r="S1190" s="15"/>
      <c r="T1190" s="4" t="b">
        <v>0</v>
      </c>
    </row>
    <row r="1191">
      <c r="A1191" s="16"/>
      <c r="B1191" s="17"/>
      <c r="C1191" s="24"/>
      <c r="D1191" s="44"/>
      <c r="E1191" s="19"/>
      <c r="F1191" s="35"/>
      <c r="G1191" s="20">
        <v>1899.0</v>
      </c>
      <c r="H1191" s="21"/>
      <c r="I1191" s="21"/>
      <c r="J1191" s="21"/>
      <c r="K1191" s="16"/>
      <c r="L1191" s="22"/>
      <c r="M1191" s="55"/>
      <c r="N1191" s="23" t="s">
        <v>200</v>
      </c>
      <c r="O1191" s="23" t="s">
        <v>200</v>
      </c>
      <c r="P1191" s="24"/>
      <c r="Q1191" s="23"/>
      <c r="R1191" s="25"/>
      <c r="S1191" s="26"/>
      <c r="T1191" s="16" t="b">
        <v>0</v>
      </c>
    </row>
    <row r="1192">
      <c r="A1192" s="4"/>
      <c r="B1192" s="5"/>
      <c r="C1192" s="13"/>
      <c r="D1192" s="39"/>
      <c r="E1192" s="7"/>
      <c r="F1192" s="34"/>
      <c r="G1192" s="8">
        <v>1899.0</v>
      </c>
      <c r="H1192" s="9"/>
      <c r="I1192" s="9"/>
      <c r="J1192" s="9"/>
      <c r="K1192" s="4"/>
      <c r="L1192" s="10"/>
      <c r="M1192" s="54"/>
      <c r="N1192" s="12" t="s">
        <v>200</v>
      </c>
      <c r="O1192" s="12" t="s">
        <v>200</v>
      </c>
      <c r="P1192" s="13"/>
      <c r="Q1192" s="12"/>
      <c r="R1192" s="14"/>
      <c r="S1192" s="15"/>
      <c r="T1192" s="4" t="b">
        <v>0</v>
      </c>
    </row>
    <row r="1193">
      <c r="A1193" s="16"/>
      <c r="B1193" s="17"/>
      <c r="C1193" s="24"/>
      <c r="D1193" s="44"/>
      <c r="E1193" s="19"/>
      <c r="F1193" s="35"/>
      <c r="G1193" s="20">
        <v>1899.0</v>
      </c>
      <c r="H1193" s="21"/>
      <c r="I1193" s="21"/>
      <c r="J1193" s="21"/>
      <c r="K1193" s="16"/>
      <c r="L1193" s="22"/>
      <c r="M1193" s="55"/>
      <c r="N1193" s="23" t="s">
        <v>200</v>
      </c>
      <c r="O1193" s="23" t="s">
        <v>200</v>
      </c>
      <c r="P1193" s="24"/>
      <c r="Q1193" s="23"/>
      <c r="R1193" s="25"/>
      <c r="S1193" s="26"/>
      <c r="T1193" s="16" t="b">
        <v>0</v>
      </c>
    </row>
    <row r="1194">
      <c r="A1194" s="4"/>
      <c r="B1194" s="5"/>
      <c r="C1194" s="13"/>
      <c r="D1194" s="39"/>
      <c r="E1194" s="7"/>
      <c r="F1194" s="34"/>
      <c r="G1194" s="8">
        <v>1899.0</v>
      </c>
      <c r="H1194" s="9"/>
      <c r="I1194" s="9"/>
      <c r="J1194" s="9"/>
      <c r="K1194" s="4"/>
      <c r="L1194" s="10"/>
      <c r="M1194" s="54"/>
      <c r="N1194" s="12" t="s">
        <v>200</v>
      </c>
      <c r="O1194" s="12" t="s">
        <v>200</v>
      </c>
      <c r="P1194" s="13"/>
      <c r="Q1194" s="12"/>
      <c r="R1194" s="14"/>
      <c r="S1194" s="15"/>
      <c r="T1194" s="4" t="b">
        <v>0</v>
      </c>
    </row>
    <row r="1195">
      <c r="A1195" s="16"/>
      <c r="B1195" s="17"/>
      <c r="C1195" s="24"/>
      <c r="D1195" s="44"/>
      <c r="E1195" s="19"/>
      <c r="F1195" s="35"/>
      <c r="G1195" s="20">
        <v>1899.0</v>
      </c>
      <c r="H1195" s="21"/>
      <c r="I1195" s="21"/>
      <c r="J1195" s="21"/>
      <c r="K1195" s="16"/>
      <c r="L1195" s="22"/>
      <c r="M1195" s="55"/>
      <c r="N1195" s="23" t="s">
        <v>200</v>
      </c>
      <c r="O1195" s="23" t="s">
        <v>200</v>
      </c>
      <c r="P1195" s="24"/>
      <c r="Q1195" s="23"/>
      <c r="R1195" s="25"/>
      <c r="S1195" s="26"/>
      <c r="T1195" s="16" t="b">
        <v>0</v>
      </c>
    </row>
    <row r="1196">
      <c r="A1196" s="4"/>
      <c r="B1196" s="5"/>
      <c r="C1196" s="13"/>
      <c r="D1196" s="39"/>
      <c r="E1196" s="7"/>
      <c r="F1196" s="34"/>
      <c r="G1196" s="8">
        <v>1899.0</v>
      </c>
      <c r="H1196" s="9"/>
      <c r="I1196" s="9"/>
      <c r="J1196" s="9"/>
      <c r="K1196" s="4"/>
      <c r="L1196" s="10"/>
      <c r="M1196" s="54"/>
      <c r="N1196" s="12" t="s">
        <v>200</v>
      </c>
      <c r="O1196" s="12" t="s">
        <v>200</v>
      </c>
      <c r="P1196" s="13"/>
      <c r="Q1196" s="12"/>
      <c r="R1196" s="14"/>
      <c r="S1196" s="15"/>
      <c r="T1196" s="4" t="b">
        <v>0</v>
      </c>
    </row>
    <row r="1197">
      <c r="A1197" s="16"/>
      <c r="B1197" s="17"/>
      <c r="C1197" s="24"/>
      <c r="D1197" s="44"/>
      <c r="E1197" s="19"/>
      <c r="F1197" s="35"/>
      <c r="G1197" s="20">
        <v>1899.0</v>
      </c>
      <c r="H1197" s="21"/>
      <c r="I1197" s="21"/>
      <c r="J1197" s="21"/>
      <c r="K1197" s="16"/>
      <c r="L1197" s="22"/>
      <c r="M1197" s="55"/>
      <c r="N1197" s="23" t="s">
        <v>200</v>
      </c>
      <c r="O1197" s="23" t="s">
        <v>200</v>
      </c>
      <c r="P1197" s="24"/>
      <c r="Q1197" s="23"/>
      <c r="R1197" s="25"/>
      <c r="S1197" s="26"/>
      <c r="T1197" s="16" t="b">
        <v>0</v>
      </c>
    </row>
    <row r="1198">
      <c r="A1198" s="4"/>
      <c r="B1198" s="5"/>
      <c r="C1198" s="13"/>
      <c r="D1198" s="39"/>
      <c r="E1198" s="7"/>
      <c r="F1198" s="34"/>
      <c r="G1198" s="8">
        <v>1899.0</v>
      </c>
      <c r="H1198" s="9"/>
      <c r="I1198" s="9"/>
      <c r="J1198" s="9"/>
      <c r="K1198" s="4"/>
      <c r="L1198" s="10"/>
      <c r="M1198" s="54"/>
      <c r="N1198" s="12" t="s">
        <v>200</v>
      </c>
      <c r="O1198" s="12" t="s">
        <v>200</v>
      </c>
      <c r="P1198" s="13"/>
      <c r="Q1198" s="12"/>
      <c r="R1198" s="14"/>
      <c r="S1198" s="15"/>
      <c r="T1198" s="4" t="b">
        <v>0</v>
      </c>
    </row>
    <row r="1199">
      <c r="A1199" s="16"/>
      <c r="B1199" s="17"/>
      <c r="C1199" s="24"/>
      <c r="D1199" s="44"/>
      <c r="E1199" s="19"/>
      <c r="F1199" s="35"/>
      <c r="G1199" s="20">
        <v>1899.0</v>
      </c>
      <c r="H1199" s="21"/>
      <c r="I1199" s="21"/>
      <c r="J1199" s="21"/>
      <c r="K1199" s="16"/>
      <c r="L1199" s="22"/>
      <c r="M1199" s="55"/>
      <c r="N1199" s="23" t="s">
        <v>200</v>
      </c>
      <c r="O1199" s="23" t="s">
        <v>200</v>
      </c>
      <c r="P1199" s="24"/>
      <c r="Q1199" s="23"/>
      <c r="R1199" s="25"/>
      <c r="S1199" s="26"/>
      <c r="T1199" s="16" t="b">
        <v>0</v>
      </c>
    </row>
    <row r="1200">
      <c r="A1200" s="4"/>
      <c r="B1200" s="5"/>
      <c r="C1200" s="13"/>
      <c r="D1200" s="39"/>
      <c r="E1200" s="7"/>
      <c r="F1200" s="34"/>
      <c r="G1200" s="8">
        <v>1899.0</v>
      </c>
      <c r="H1200" s="9"/>
      <c r="I1200" s="9"/>
      <c r="J1200" s="9"/>
      <c r="K1200" s="4"/>
      <c r="L1200" s="10"/>
      <c r="M1200" s="54"/>
      <c r="N1200" s="12" t="s">
        <v>200</v>
      </c>
      <c r="O1200" s="12" t="s">
        <v>200</v>
      </c>
      <c r="P1200" s="13"/>
      <c r="Q1200" s="12"/>
      <c r="R1200" s="14"/>
      <c r="S1200" s="15"/>
      <c r="T1200" s="4" t="b">
        <v>0</v>
      </c>
    </row>
    <row r="1201">
      <c r="A1201" s="16"/>
      <c r="B1201" s="17"/>
      <c r="C1201" s="24"/>
      <c r="D1201" s="44"/>
      <c r="E1201" s="19"/>
      <c r="F1201" s="35"/>
      <c r="G1201" s="20">
        <v>1899.0</v>
      </c>
      <c r="H1201" s="21"/>
      <c r="I1201" s="21"/>
      <c r="J1201" s="21"/>
      <c r="K1201" s="16"/>
      <c r="L1201" s="22"/>
      <c r="M1201" s="55"/>
      <c r="N1201" s="23" t="s">
        <v>200</v>
      </c>
      <c r="O1201" s="23" t="s">
        <v>200</v>
      </c>
      <c r="P1201" s="24"/>
      <c r="Q1201" s="23"/>
      <c r="R1201" s="25"/>
      <c r="S1201" s="26"/>
      <c r="T1201" s="16" t="b">
        <v>0</v>
      </c>
    </row>
    <row r="1202">
      <c r="A1202" s="4"/>
      <c r="B1202" s="5"/>
      <c r="C1202" s="13"/>
      <c r="D1202" s="39"/>
      <c r="E1202" s="7"/>
      <c r="F1202" s="34"/>
      <c r="G1202" s="8">
        <v>1899.0</v>
      </c>
      <c r="H1202" s="9"/>
      <c r="I1202" s="9"/>
      <c r="J1202" s="9"/>
      <c r="K1202" s="4"/>
      <c r="L1202" s="10"/>
      <c r="M1202" s="54"/>
      <c r="N1202" s="12" t="s">
        <v>200</v>
      </c>
      <c r="O1202" s="12" t="s">
        <v>200</v>
      </c>
      <c r="P1202" s="13"/>
      <c r="Q1202" s="12"/>
      <c r="R1202" s="14"/>
      <c r="S1202" s="15"/>
      <c r="T1202" s="4" t="b">
        <v>0</v>
      </c>
    </row>
    <row r="1203">
      <c r="A1203" s="16"/>
      <c r="B1203" s="17"/>
      <c r="C1203" s="24"/>
      <c r="D1203" s="44"/>
      <c r="E1203" s="19"/>
      <c r="F1203" s="35"/>
      <c r="G1203" s="20">
        <v>1899.0</v>
      </c>
      <c r="H1203" s="21"/>
      <c r="I1203" s="21"/>
      <c r="J1203" s="21"/>
      <c r="K1203" s="16"/>
      <c r="L1203" s="22"/>
      <c r="M1203" s="55"/>
      <c r="N1203" s="23" t="s">
        <v>200</v>
      </c>
      <c r="O1203" s="23" t="s">
        <v>200</v>
      </c>
      <c r="P1203" s="24"/>
      <c r="Q1203" s="23"/>
      <c r="R1203" s="25"/>
      <c r="S1203" s="26"/>
      <c r="T1203" s="16" t="b">
        <v>0</v>
      </c>
    </row>
    <row r="1204">
      <c r="A1204" s="4"/>
      <c r="B1204" s="5"/>
      <c r="C1204" s="13"/>
      <c r="D1204" s="39"/>
      <c r="E1204" s="7"/>
      <c r="F1204" s="34"/>
      <c r="G1204" s="8">
        <v>1899.0</v>
      </c>
      <c r="H1204" s="9"/>
      <c r="I1204" s="9"/>
      <c r="J1204" s="9"/>
      <c r="K1204" s="4"/>
      <c r="L1204" s="10"/>
      <c r="M1204" s="54"/>
      <c r="N1204" s="12" t="s">
        <v>200</v>
      </c>
      <c r="O1204" s="12" t="s">
        <v>200</v>
      </c>
      <c r="P1204" s="13"/>
      <c r="Q1204" s="12"/>
      <c r="R1204" s="14"/>
      <c r="S1204" s="15"/>
      <c r="T1204" s="4" t="b">
        <v>0</v>
      </c>
    </row>
    <row r="1205">
      <c r="A1205" s="16"/>
      <c r="B1205" s="17"/>
      <c r="C1205" s="24"/>
      <c r="D1205" s="44"/>
      <c r="E1205" s="19"/>
      <c r="F1205" s="35"/>
      <c r="G1205" s="20">
        <v>1899.0</v>
      </c>
      <c r="H1205" s="21"/>
      <c r="I1205" s="21"/>
      <c r="J1205" s="21"/>
      <c r="K1205" s="16"/>
      <c r="L1205" s="22"/>
      <c r="M1205" s="55"/>
      <c r="N1205" s="23" t="s">
        <v>200</v>
      </c>
      <c r="O1205" s="23" t="s">
        <v>200</v>
      </c>
      <c r="P1205" s="24"/>
      <c r="Q1205" s="23"/>
      <c r="R1205" s="25"/>
      <c r="S1205" s="26"/>
      <c r="T1205" s="16" t="b">
        <v>0</v>
      </c>
    </row>
    <row r="1206">
      <c r="A1206" s="4"/>
      <c r="B1206" s="5"/>
      <c r="C1206" s="13"/>
      <c r="D1206" s="39"/>
      <c r="E1206" s="7"/>
      <c r="F1206" s="34"/>
      <c r="G1206" s="8">
        <v>1899.0</v>
      </c>
      <c r="H1206" s="9"/>
      <c r="I1206" s="9"/>
      <c r="J1206" s="9"/>
      <c r="K1206" s="4"/>
      <c r="L1206" s="10"/>
      <c r="M1206" s="54"/>
      <c r="N1206" s="12" t="s">
        <v>200</v>
      </c>
      <c r="O1206" s="12" t="s">
        <v>200</v>
      </c>
      <c r="P1206" s="13"/>
      <c r="Q1206" s="12"/>
      <c r="R1206" s="14"/>
      <c r="S1206" s="15"/>
      <c r="T1206" s="4" t="b">
        <v>0</v>
      </c>
    </row>
    <row r="1207">
      <c r="A1207" s="16"/>
      <c r="B1207" s="17"/>
      <c r="C1207" s="24"/>
      <c r="D1207" s="44"/>
      <c r="E1207" s="19"/>
      <c r="F1207" s="35"/>
      <c r="G1207" s="20">
        <v>1899.0</v>
      </c>
      <c r="H1207" s="21"/>
      <c r="I1207" s="21"/>
      <c r="J1207" s="21"/>
      <c r="K1207" s="16"/>
      <c r="L1207" s="22"/>
      <c r="M1207" s="55"/>
      <c r="N1207" s="23" t="s">
        <v>200</v>
      </c>
      <c r="O1207" s="23" t="s">
        <v>200</v>
      </c>
      <c r="P1207" s="24"/>
      <c r="Q1207" s="23"/>
      <c r="R1207" s="25"/>
      <c r="S1207" s="26"/>
      <c r="T1207" s="16" t="b">
        <v>0</v>
      </c>
    </row>
    <row r="1208">
      <c r="A1208" s="4"/>
      <c r="B1208" s="5"/>
      <c r="C1208" s="13"/>
      <c r="D1208" s="39"/>
      <c r="E1208" s="7"/>
      <c r="F1208" s="34"/>
      <c r="G1208" s="8">
        <v>1899.0</v>
      </c>
      <c r="H1208" s="9"/>
      <c r="I1208" s="9"/>
      <c r="J1208" s="9"/>
      <c r="K1208" s="4"/>
      <c r="L1208" s="10"/>
      <c r="M1208" s="54"/>
      <c r="N1208" s="12" t="s">
        <v>200</v>
      </c>
      <c r="O1208" s="12" t="s">
        <v>200</v>
      </c>
      <c r="P1208" s="13"/>
      <c r="Q1208" s="12"/>
      <c r="R1208" s="14"/>
      <c r="S1208" s="15"/>
      <c r="T1208" s="4" t="b">
        <v>0</v>
      </c>
    </row>
    <row r="1209">
      <c r="A1209" s="16"/>
      <c r="B1209" s="17"/>
      <c r="C1209" s="24"/>
      <c r="D1209" s="44"/>
      <c r="E1209" s="19"/>
      <c r="F1209" s="35"/>
      <c r="G1209" s="20">
        <v>1899.0</v>
      </c>
      <c r="H1209" s="21"/>
      <c r="I1209" s="21"/>
      <c r="J1209" s="21"/>
      <c r="K1209" s="16"/>
      <c r="L1209" s="22"/>
      <c r="M1209" s="55"/>
      <c r="N1209" s="23" t="s">
        <v>200</v>
      </c>
      <c r="O1209" s="23" t="s">
        <v>200</v>
      </c>
      <c r="P1209" s="24"/>
      <c r="Q1209" s="23"/>
      <c r="R1209" s="25"/>
      <c r="S1209" s="26"/>
      <c r="T1209" s="16" t="b">
        <v>0</v>
      </c>
    </row>
    <row r="1210">
      <c r="A1210" s="4"/>
      <c r="B1210" s="5"/>
      <c r="C1210" s="13"/>
      <c r="D1210" s="39"/>
      <c r="E1210" s="7"/>
      <c r="F1210" s="34"/>
      <c r="G1210" s="8">
        <v>1899.0</v>
      </c>
      <c r="H1210" s="9"/>
      <c r="I1210" s="9"/>
      <c r="J1210" s="9"/>
      <c r="K1210" s="4"/>
      <c r="L1210" s="10"/>
      <c r="M1210" s="54"/>
      <c r="N1210" s="12" t="s">
        <v>200</v>
      </c>
      <c r="O1210" s="12" t="s">
        <v>200</v>
      </c>
      <c r="P1210" s="13"/>
      <c r="Q1210" s="12"/>
      <c r="R1210" s="14"/>
      <c r="S1210" s="15"/>
      <c r="T1210" s="4" t="b">
        <v>0</v>
      </c>
    </row>
    <row r="1211">
      <c r="A1211" s="16"/>
      <c r="B1211" s="17"/>
      <c r="C1211" s="24"/>
      <c r="D1211" s="44"/>
      <c r="E1211" s="19"/>
      <c r="F1211" s="35"/>
      <c r="G1211" s="20">
        <v>1899.0</v>
      </c>
      <c r="H1211" s="21"/>
      <c r="I1211" s="21"/>
      <c r="J1211" s="21"/>
      <c r="K1211" s="16"/>
      <c r="L1211" s="22"/>
      <c r="M1211" s="55"/>
      <c r="N1211" s="23" t="s">
        <v>200</v>
      </c>
      <c r="O1211" s="23" t="s">
        <v>200</v>
      </c>
      <c r="P1211" s="24"/>
      <c r="Q1211" s="23"/>
      <c r="R1211" s="25"/>
      <c r="S1211" s="26"/>
      <c r="T1211" s="16" t="b">
        <v>0</v>
      </c>
    </row>
    <row r="1212">
      <c r="A1212" s="4"/>
      <c r="B1212" s="5"/>
      <c r="C1212" s="13"/>
      <c r="D1212" s="39"/>
      <c r="E1212" s="7"/>
      <c r="F1212" s="34"/>
      <c r="G1212" s="8">
        <v>1899.0</v>
      </c>
      <c r="H1212" s="9"/>
      <c r="I1212" s="9"/>
      <c r="J1212" s="9"/>
      <c r="K1212" s="4"/>
      <c r="L1212" s="10"/>
      <c r="M1212" s="54"/>
      <c r="N1212" s="12" t="s">
        <v>200</v>
      </c>
      <c r="O1212" s="12" t="s">
        <v>200</v>
      </c>
      <c r="P1212" s="13"/>
      <c r="Q1212" s="12"/>
      <c r="R1212" s="14"/>
      <c r="S1212" s="15"/>
      <c r="T1212" s="4" t="b">
        <v>0</v>
      </c>
    </row>
    <row r="1213">
      <c r="A1213" s="16"/>
      <c r="B1213" s="17"/>
      <c r="C1213" s="24"/>
      <c r="D1213" s="44"/>
      <c r="E1213" s="19"/>
      <c r="F1213" s="35"/>
      <c r="G1213" s="20">
        <v>1899.0</v>
      </c>
      <c r="H1213" s="21"/>
      <c r="I1213" s="21"/>
      <c r="J1213" s="21"/>
      <c r="K1213" s="16"/>
      <c r="L1213" s="22"/>
      <c r="M1213" s="55"/>
      <c r="N1213" s="23" t="s">
        <v>200</v>
      </c>
      <c r="O1213" s="23" t="s">
        <v>200</v>
      </c>
      <c r="P1213" s="24"/>
      <c r="Q1213" s="23"/>
      <c r="R1213" s="25"/>
      <c r="S1213" s="26"/>
      <c r="T1213" s="16" t="b">
        <v>0</v>
      </c>
    </row>
    <row r="1214">
      <c r="A1214" s="4"/>
      <c r="B1214" s="5"/>
      <c r="C1214" s="13"/>
      <c r="D1214" s="39"/>
      <c r="E1214" s="7"/>
      <c r="F1214" s="34"/>
      <c r="G1214" s="8">
        <v>1899.0</v>
      </c>
      <c r="H1214" s="9"/>
      <c r="I1214" s="9"/>
      <c r="J1214" s="9"/>
      <c r="K1214" s="4"/>
      <c r="L1214" s="10"/>
      <c r="M1214" s="54"/>
      <c r="N1214" s="12" t="s">
        <v>200</v>
      </c>
      <c r="O1214" s="12" t="s">
        <v>200</v>
      </c>
      <c r="P1214" s="13"/>
      <c r="Q1214" s="12"/>
      <c r="R1214" s="14"/>
      <c r="S1214" s="15"/>
      <c r="T1214" s="4" t="b">
        <v>0</v>
      </c>
    </row>
    <row r="1215">
      <c r="A1215" s="16"/>
      <c r="B1215" s="17"/>
      <c r="C1215" s="24"/>
      <c r="D1215" s="44"/>
      <c r="E1215" s="19"/>
      <c r="F1215" s="35"/>
      <c r="G1215" s="20">
        <v>1899.0</v>
      </c>
      <c r="H1215" s="21"/>
      <c r="I1215" s="21"/>
      <c r="J1215" s="21"/>
      <c r="K1215" s="16"/>
      <c r="L1215" s="22"/>
      <c r="M1215" s="55"/>
      <c r="N1215" s="23" t="s">
        <v>200</v>
      </c>
      <c r="O1215" s="23" t="s">
        <v>200</v>
      </c>
      <c r="P1215" s="24"/>
      <c r="Q1215" s="23"/>
      <c r="R1215" s="25"/>
      <c r="S1215" s="26"/>
      <c r="T1215" s="16" t="b">
        <v>0</v>
      </c>
    </row>
    <row r="1216">
      <c r="A1216" s="4"/>
      <c r="B1216" s="5"/>
      <c r="C1216" s="13"/>
      <c r="D1216" s="39"/>
      <c r="E1216" s="7"/>
      <c r="F1216" s="34"/>
      <c r="G1216" s="8">
        <v>1899.0</v>
      </c>
      <c r="H1216" s="9"/>
      <c r="I1216" s="9"/>
      <c r="J1216" s="9"/>
      <c r="K1216" s="4"/>
      <c r="L1216" s="10"/>
      <c r="M1216" s="54"/>
      <c r="N1216" s="12" t="s">
        <v>200</v>
      </c>
      <c r="O1216" s="12" t="s">
        <v>200</v>
      </c>
      <c r="P1216" s="13"/>
      <c r="Q1216" s="12"/>
      <c r="R1216" s="14"/>
      <c r="S1216" s="15"/>
      <c r="T1216" s="4" t="b">
        <v>0</v>
      </c>
    </row>
    <row r="1217">
      <c r="A1217" s="16"/>
      <c r="B1217" s="17"/>
      <c r="C1217" s="24"/>
      <c r="D1217" s="44"/>
      <c r="E1217" s="19"/>
      <c r="F1217" s="35"/>
      <c r="G1217" s="20">
        <v>1899.0</v>
      </c>
      <c r="H1217" s="21"/>
      <c r="I1217" s="21"/>
      <c r="J1217" s="21"/>
      <c r="K1217" s="16"/>
      <c r="L1217" s="22"/>
      <c r="M1217" s="55"/>
      <c r="N1217" s="23" t="s">
        <v>200</v>
      </c>
      <c r="O1217" s="23" t="s">
        <v>200</v>
      </c>
      <c r="P1217" s="24"/>
      <c r="Q1217" s="23"/>
      <c r="R1217" s="25"/>
      <c r="S1217" s="26"/>
      <c r="T1217" s="16" t="b">
        <v>0</v>
      </c>
    </row>
    <row r="1218">
      <c r="A1218" s="4"/>
      <c r="B1218" s="5"/>
      <c r="C1218" s="13"/>
      <c r="D1218" s="39"/>
      <c r="E1218" s="7"/>
      <c r="F1218" s="34"/>
      <c r="G1218" s="8">
        <v>1899.0</v>
      </c>
      <c r="H1218" s="9"/>
      <c r="I1218" s="9"/>
      <c r="J1218" s="9"/>
      <c r="K1218" s="4"/>
      <c r="L1218" s="10"/>
      <c r="M1218" s="54"/>
      <c r="N1218" s="12" t="s">
        <v>200</v>
      </c>
      <c r="O1218" s="12" t="s">
        <v>200</v>
      </c>
      <c r="P1218" s="13"/>
      <c r="Q1218" s="12"/>
      <c r="R1218" s="14"/>
      <c r="S1218" s="15"/>
      <c r="T1218" s="4" t="b">
        <v>0</v>
      </c>
    </row>
    <row r="1219">
      <c r="A1219" s="16"/>
      <c r="B1219" s="17"/>
      <c r="C1219" s="24"/>
      <c r="D1219" s="44"/>
      <c r="E1219" s="19"/>
      <c r="F1219" s="35"/>
      <c r="G1219" s="20">
        <v>1899.0</v>
      </c>
      <c r="H1219" s="21"/>
      <c r="I1219" s="21"/>
      <c r="J1219" s="21"/>
      <c r="K1219" s="16"/>
      <c r="L1219" s="22"/>
      <c r="M1219" s="55"/>
      <c r="N1219" s="23" t="s">
        <v>200</v>
      </c>
      <c r="O1219" s="23" t="s">
        <v>200</v>
      </c>
      <c r="P1219" s="24"/>
      <c r="Q1219" s="23"/>
      <c r="R1219" s="25"/>
      <c r="S1219" s="26"/>
      <c r="T1219" s="16" t="b">
        <v>0</v>
      </c>
    </row>
    <row r="1220">
      <c r="A1220" s="4"/>
      <c r="B1220" s="5"/>
      <c r="C1220" s="13"/>
      <c r="D1220" s="39"/>
      <c r="E1220" s="7"/>
      <c r="F1220" s="34"/>
      <c r="G1220" s="8">
        <v>1899.0</v>
      </c>
      <c r="H1220" s="9"/>
      <c r="I1220" s="9"/>
      <c r="J1220" s="9"/>
      <c r="K1220" s="4"/>
      <c r="L1220" s="10"/>
      <c r="M1220" s="54"/>
      <c r="N1220" s="12" t="s">
        <v>200</v>
      </c>
      <c r="O1220" s="12" t="s">
        <v>200</v>
      </c>
      <c r="P1220" s="13"/>
      <c r="Q1220" s="12"/>
      <c r="R1220" s="14"/>
      <c r="S1220" s="15"/>
      <c r="T1220" s="4" t="b">
        <v>0</v>
      </c>
    </row>
    <row r="1221">
      <c r="A1221" s="16"/>
      <c r="B1221" s="17"/>
      <c r="C1221" s="24"/>
      <c r="D1221" s="44"/>
      <c r="E1221" s="19"/>
      <c r="F1221" s="35"/>
      <c r="G1221" s="20">
        <v>1899.0</v>
      </c>
      <c r="H1221" s="21"/>
      <c r="I1221" s="21"/>
      <c r="J1221" s="21"/>
      <c r="K1221" s="16"/>
      <c r="L1221" s="22"/>
      <c r="M1221" s="55"/>
      <c r="N1221" s="23" t="s">
        <v>200</v>
      </c>
      <c r="O1221" s="23" t="s">
        <v>200</v>
      </c>
      <c r="P1221" s="24"/>
      <c r="Q1221" s="23"/>
      <c r="R1221" s="25"/>
      <c r="S1221" s="26"/>
      <c r="T1221" s="16" t="b">
        <v>0</v>
      </c>
    </row>
    <row r="1222">
      <c r="A1222" s="4"/>
      <c r="B1222" s="5"/>
      <c r="C1222" s="13"/>
      <c r="D1222" s="39"/>
      <c r="E1222" s="7"/>
      <c r="F1222" s="34"/>
      <c r="G1222" s="8">
        <v>1899.0</v>
      </c>
      <c r="H1222" s="9"/>
      <c r="I1222" s="9"/>
      <c r="J1222" s="9"/>
      <c r="K1222" s="4"/>
      <c r="L1222" s="10"/>
      <c r="M1222" s="54"/>
      <c r="N1222" s="12" t="s">
        <v>200</v>
      </c>
      <c r="O1222" s="12" t="s">
        <v>200</v>
      </c>
      <c r="P1222" s="13"/>
      <c r="Q1222" s="12"/>
      <c r="R1222" s="14"/>
      <c r="S1222" s="15"/>
      <c r="T1222" s="4" t="b">
        <v>0</v>
      </c>
    </row>
    <row r="1223">
      <c r="A1223" s="16"/>
      <c r="B1223" s="17"/>
      <c r="C1223" s="24"/>
      <c r="D1223" s="44"/>
      <c r="E1223" s="19"/>
      <c r="F1223" s="35"/>
      <c r="G1223" s="20">
        <v>1899.0</v>
      </c>
      <c r="H1223" s="21"/>
      <c r="I1223" s="21"/>
      <c r="J1223" s="21"/>
      <c r="K1223" s="16"/>
      <c r="L1223" s="22"/>
      <c r="M1223" s="55"/>
      <c r="N1223" s="23" t="s">
        <v>200</v>
      </c>
      <c r="O1223" s="23" t="s">
        <v>200</v>
      </c>
      <c r="P1223" s="24"/>
      <c r="Q1223" s="23"/>
      <c r="R1223" s="25"/>
      <c r="S1223" s="26"/>
      <c r="T1223" s="16" t="b">
        <v>0</v>
      </c>
    </row>
    <row r="1224">
      <c r="A1224" s="4"/>
      <c r="B1224" s="5"/>
      <c r="C1224" s="13"/>
      <c r="D1224" s="39"/>
      <c r="E1224" s="7"/>
      <c r="F1224" s="34"/>
      <c r="G1224" s="8">
        <v>1899.0</v>
      </c>
      <c r="H1224" s="9"/>
      <c r="I1224" s="9"/>
      <c r="J1224" s="9"/>
      <c r="K1224" s="4"/>
      <c r="L1224" s="10"/>
      <c r="M1224" s="54"/>
      <c r="N1224" s="12" t="s">
        <v>200</v>
      </c>
      <c r="O1224" s="12" t="s">
        <v>200</v>
      </c>
      <c r="P1224" s="13"/>
      <c r="Q1224" s="12"/>
      <c r="R1224" s="14"/>
      <c r="S1224" s="15"/>
      <c r="T1224" s="4" t="b">
        <v>0</v>
      </c>
    </row>
    <row r="1225">
      <c r="A1225" s="16"/>
      <c r="B1225" s="17"/>
      <c r="C1225" s="24"/>
      <c r="D1225" s="44"/>
      <c r="E1225" s="19"/>
      <c r="F1225" s="35"/>
      <c r="G1225" s="20">
        <v>1899.0</v>
      </c>
      <c r="H1225" s="21"/>
      <c r="I1225" s="21"/>
      <c r="J1225" s="21"/>
      <c r="K1225" s="16"/>
      <c r="L1225" s="22"/>
      <c r="M1225" s="55"/>
      <c r="N1225" s="23" t="s">
        <v>200</v>
      </c>
      <c r="O1225" s="23" t="s">
        <v>200</v>
      </c>
      <c r="P1225" s="24"/>
      <c r="Q1225" s="23"/>
      <c r="R1225" s="25"/>
      <c r="S1225" s="26"/>
      <c r="T1225" s="16" t="b">
        <v>0</v>
      </c>
    </row>
    <row r="1226">
      <c r="A1226" s="4"/>
      <c r="B1226" s="5"/>
      <c r="C1226" s="13"/>
      <c r="D1226" s="39"/>
      <c r="E1226" s="7"/>
      <c r="F1226" s="34"/>
      <c r="G1226" s="8">
        <v>1899.0</v>
      </c>
      <c r="H1226" s="9"/>
      <c r="I1226" s="9"/>
      <c r="J1226" s="9"/>
      <c r="K1226" s="4"/>
      <c r="L1226" s="10"/>
      <c r="M1226" s="54"/>
      <c r="N1226" s="12" t="s">
        <v>200</v>
      </c>
      <c r="O1226" s="12" t="s">
        <v>200</v>
      </c>
      <c r="P1226" s="13"/>
      <c r="Q1226" s="12"/>
      <c r="R1226" s="14"/>
      <c r="S1226" s="15"/>
      <c r="T1226" s="4" t="b">
        <v>0</v>
      </c>
    </row>
    <row r="1227">
      <c r="A1227" s="16"/>
      <c r="B1227" s="17"/>
      <c r="C1227" s="24"/>
      <c r="D1227" s="44"/>
      <c r="E1227" s="19"/>
      <c r="F1227" s="35"/>
      <c r="G1227" s="20">
        <v>1899.0</v>
      </c>
      <c r="H1227" s="21"/>
      <c r="I1227" s="21"/>
      <c r="J1227" s="21"/>
      <c r="K1227" s="16"/>
      <c r="L1227" s="22"/>
      <c r="M1227" s="55"/>
      <c r="N1227" s="23" t="s">
        <v>200</v>
      </c>
      <c r="O1227" s="23" t="s">
        <v>200</v>
      </c>
      <c r="P1227" s="24"/>
      <c r="Q1227" s="23"/>
      <c r="R1227" s="25"/>
      <c r="S1227" s="26"/>
      <c r="T1227" s="16" t="b">
        <v>0</v>
      </c>
    </row>
    <row r="1228">
      <c r="A1228" s="4"/>
      <c r="B1228" s="5"/>
      <c r="C1228" s="13"/>
      <c r="D1228" s="39"/>
      <c r="E1228" s="7"/>
      <c r="F1228" s="34"/>
      <c r="G1228" s="8">
        <v>1899.0</v>
      </c>
      <c r="H1228" s="9"/>
      <c r="I1228" s="9"/>
      <c r="J1228" s="9"/>
      <c r="K1228" s="4"/>
      <c r="L1228" s="10"/>
      <c r="M1228" s="54"/>
      <c r="N1228" s="12" t="s">
        <v>200</v>
      </c>
      <c r="O1228" s="12" t="s">
        <v>200</v>
      </c>
      <c r="P1228" s="13"/>
      <c r="Q1228" s="12"/>
      <c r="R1228" s="14"/>
      <c r="S1228" s="15"/>
      <c r="T1228" s="4" t="b">
        <v>0</v>
      </c>
    </row>
    <row r="1229">
      <c r="A1229" s="16"/>
      <c r="B1229" s="17"/>
      <c r="C1229" s="24"/>
      <c r="D1229" s="44"/>
      <c r="E1229" s="19"/>
      <c r="F1229" s="35"/>
      <c r="G1229" s="20">
        <v>1899.0</v>
      </c>
      <c r="H1229" s="21"/>
      <c r="I1229" s="21"/>
      <c r="J1229" s="21"/>
      <c r="K1229" s="16"/>
      <c r="L1229" s="22"/>
      <c r="M1229" s="55"/>
      <c r="N1229" s="23" t="s">
        <v>200</v>
      </c>
      <c r="O1229" s="23" t="s">
        <v>200</v>
      </c>
      <c r="P1229" s="24"/>
      <c r="Q1229" s="23"/>
      <c r="R1229" s="25"/>
      <c r="S1229" s="26"/>
      <c r="T1229" s="16" t="b">
        <v>0</v>
      </c>
    </row>
    <row r="1230">
      <c r="A1230" s="4"/>
      <c r="B1230" s="5"/>
      <c r="C1230" s="13"/>
      <c r="D1230" s="39"/>
      <c r="E1230" s="7"/>
      <c r="F1230" s="34"/>
      <c r="G1230" s="8">
        <v>1899.0</v>
      </c>
      <c r="H1230" s="9"/>
      <c r="I1230" s="9"/>
      <c r="J1230" s="9"/>
      <c r="K1230" s="4"/>
      <c r="L1230" s="10"/>
      <c r="M1230" s="54"/>
      <c r="N1230" s="12" t="s">
        <v>200</v>
      </c>
      <c r="O1230" s="12" t="s">
        <v>200</v>
      </c>
      <c r="P1230" s="13"/>
      <c r="Q1230" s="12"/>
      <c r="R1230" s="14"/>
      <c r="S1230" s="15"/>
      <c r="T1230" s="4" t="b">
        <v>0</v>
      </c>
    </row>
    <row r="1231">
      <c r="A1231" s="16"/>
      <c r="B1231" s="17"/>
      <c r="C1231" s="24"/>
      <c r="D1231" s="44"/>
      <c r="E1231" s="19"/>
      <c r="F1231" s="35"/>
      <c r="G1231" s="20">
        <v>1899.0</v>
      </c>
      <c r="H1231" s="21"/>
      <c r="I1231" s="21"/>
      <c r="J1231" s="21"/>
      <c r="K1231" s="16"/>
      <c r="L1231" s="22"/>
      <c r="M1231" s="55"/>
      <c r="N1231" s="23" t="s">
        <v>200</v>
      </c>
      <c r="O1231" s="23" t="s">
        <v>200</v>
      </c>
      <c r="P1231" s="24"/>
      <c r="Q1231" s="23"/>
      <c r="R1231" s="25"/>
      <c r="S1231" s="26"/>
      <c r="T1231" s="16" t="b">
        <v>0</v>
      </c>
    </row>
    <row r="1232">
      <c r="A1232" s="4"/>
      <c r="B1232" s="5"/>
      <c r="C1232" s="13"/>
      <c r="D1232" s="39"/>
      <c r="E1232" s="7"/>
      <c r="F1232" s="34"/>
      <c r="G1232" s="8">
        <v>1899.0</v>
      </c>
      <c r="H1232" s="9"/>
      <c r="I1232" s="9"/>
      <c r="J1232" s="9"/>
      <c r="K1232" s="4"/>
      <c r="L1232" s="10"/>
      <c r="M1232" s="54"/>
      <c r="N1232" s="12" t="s">
        <v>200</v>
      </c>
      <c r="O1232" s="12" t="s">
        <v>200</v>
      </c>
      <c r="P1232" s="13"/>
      <c r="Q1232" s="12"/>
      <c r="R1232" s="14"/>
      <c r="S1232" s="15"/>
      <c r="T1232" s="4" t="b">
        <v>0</v>
      </c>
    </row>
    <row r="1233">
      <c r="A1233" s="16"/>
      <c r="B1233" s="17"/>
      <c r="C1233" s="24"/>
      <c r="D1233" s="44"/>
      <c r="E1233" s="19"/>
      <c r="F1233" s="35"/>
      <c r="G1233" s="20">
        <v>1899.0</v>
      </c>
      <c r="H1233" s="21"/>
      <c r="I1233" s="21"/>
      <c r="J1233" s="21"/>
      <c r="K1233" s="16"/>
      <c r="L1233" s="22"/>
      <c r="M1233" s="55"/>
      <c r="N1233" s="23" t="s">
        <v>200</v>
      </c>
      <c r="O1233" s="23" t="s">
        <v>200</v>
      </c>
      <c r="P1233" s="24"/>
      <c r="Q1233" s="23"/>
      <c r="R1233" s="25"/>
      <c r="S1233" s="26"/>
      <c r="T1233" s="16" t="b">
        <v>0</v>
      </c>
    </row>
    <row r="1234">
      <c r="A1234" s="4"/>
      <c r="B1234" s="5"/>
      <c r="C1234" s="13"/>
      <c r="D1234" s="39"/>
      <c r="E1234" s="7"/>
      <c r="F1234" s="34"/>
      <c r="G1234" s="8">
        <v>1899.0</v>
      </c>
      <c r="H1234" s="9"/>
      <c r="I1234" s="9"/>
      <c r="J1234" s="9"/>
      <c r="K1234" s="4"/>
      <c r="L1234" s="10"/>
      <c r="M1234" s="54"/>
      <c r="N1234" s="12" t="s">
        <v>200</v>
      </c>
      <c r="O1234" s="12" t="s">
        <v>200</v>
      </c>
      <c r="P1234" s="13"/>
      <c r="Q1234" s="12"/>
      <c r="R1234" s="14"/>
      <c r="S1234" s="15"/>
      <c r="T1234" s="4" t="b">
        <v>0</v>
      </c>
    </row>
    <row r="1235">
      <c r="A1235" s="16"/>
      <c r="B1235" s="17"/>
      <c r="C1235" s="24"/>
      <c r="D1235" s="44"/>
      <c r="E1235" s="19"/>
      <c r="F1235" s="35"/>
      <c r="G1235" s="20">
        <v>1899.0</v>
      </c>
      <c r="H1235" s="21"/>
      <c r="I1235" s="21"/>
      <c r="J1235" s="21"/>
      <c r="K1235" s="16"/>
      <c r="L1235" s="22"/>
      <c r="M1235" s="55"/>
      <c r="N1235" s="23" t="s">
        <v>200</v>
      </c>
      <c r="O1235" s="23" t="s">
        <v>200</v>
      </c>
      <c r="P1235" s="24"/>
      <c r="Q1235" s="23"/>
      <c r="R1235" s="25"/>
      <c r="S1235" s="26"/>
      <c r="T1235" s="16" t="b">
        <v>0</v>
      </c>
    </row>
    <row r="1236">
      <c r="A1236" s="4"/>
      <c r="B1236" s="5"/>
      <c r="C1236" s="13"/>
      <c r="D1236" s="39"/>
      <c r="E1236" s="7"/>
      <c r="F1236" s="34"/>
      <c r="G1236" s="8">
        <v>1899.0</v>
      </c>
      <c r="H1236" s="9"/>
      <c r="I1236" s="9"/>
      <c r="J1236" s="9"/>
      <c r="K1236" s="4"/>
      <c r="L1236" s="10"/>
      <c r="M1236" s="54"/>
      <c r="N1236" s="12" t="s">
        <v>200</v>
      </c>
      <c r="O1236" s="12" t="s">
        <v>200</v>
      </c>
      <c r="P1236" s="13"/>
      <c r="Q1236" s="12"/>
      <c r="R1236" s="14"/>
      <c r="S1236" s="15"/>
      <c r="T1236" s="4" t="b">
        <v>0</v>
      </c>
    </row>
    <row r="1237">
      <c r="A1237" s="16"/>
      <c r="B1237" s="17"/>
      <c r="C1237" s="24"/>
      <c r="D1237" s="44"/>
      <c r="E1237" s="19"/>
      <c r="F1237" s="35"/>
      <c r="G1237" s="20">
        <v>1899.0</v>
      </c>
      <c r="H1237" s="21"/>
      <c r="I1237" s="21"/>
      <c r="J1237" s="21"/>
      <c r="K1237" s="16"/>
      <c r="L1237" s="22"/>
      <c r="M1237" s="55"/>
      <c r="N1237" s="23" t="s">
        <v>200</v>
      </c>
      <c r="O1237" s="23" t="s">
        <v>200</v>
      </c>
      <c r="P1237" s="24"/>
      <c r="Q1237" s="23"/>
      <c r="R1237" s="25"/>
      <c r="S1237" s="26"/>
      <c r="T1237" s="16" t="b">
        <v>0</v>
      </c>
    </row>
    <row r="1238">
      <c r="A1238" s="4"/>
      <c r="B1238" s="5"/>
      <c r="C1238" s="13"/>
      <c r="D1238" s="39"/>
      <c r="E1238" s="7"/>
      <c r="F1238" s="34"/>
      <c r="G1238" s="8">
        <v>1899.0</v>
      </c>
      <c r="H1238" s="9"/>
      <c r="I1238" s="9"/>
      <c r="J1238" s="9"/>
      <c r="K1238" s="4"/>
      <c r="L1238" s="10"/>
      <c r="M1238" s="54"/>
      <c r="N1238" s="12" t="s">
        <v>200</v>
      </c>
      <c r="O1238" s="12" t="s">
        <v>200</v>
      </c>
      <c r="P1238" s="13"/>
      <c r="Q1238" s="12"/>
      <c r="R1238" s="14"/>
      <c r="S1238" s="15"/>
      <c r="T1238" s="4" t="b">
        <v>0</v>
      </c>
    </row>
    <row r="1239">
      <c r="A1239" s="16"/>
      <c r="B1239" s="17"/>
      <c r="C1239" s="24"/>
      <c r="D1239" s="44"/>
      <c r="E1239" s="19"/>
      <c r="F1239" s="35"/>
      <c r="G1239" s="20">
        <v>1899.0</v>
      </c>
      <c r="H1239" s="21"/>
      <c r="I1239" s="21"/>
      <c r="J1239" s="21"/>
      <c r="K1239" s="16"/>
      <c r="L1239" s="22"/>
      <c r="M1239" s="55"/>
      <c r="N1239" s="23" t="s">
        <v>200</v>
      </c>
      <c r="O1239" s="23" t="s">
        <v>200</v>
      </c>
      <c r="P1239" s="24"/>
      <c r="Q1239" s="23"/>
      <c r="R1239" s="25"/>
      <c r="S1239" s="26"/>
      <c r="T1239" s="16" t="b">
        <v>0</v>
      </c>
    </row>
    <row r="1240">
      <c r="A1240" s="4"/>
      <c r="B1240" s="5"/>
      <c r="C1240" s="13"/>
      <c r="D1240" s="39"/>
      <c r="E1240" s="7"/>
      <c r="F1240" s="34"/>
      <c r="G1240" s="8">
        <v>1899.0</v>
      </c>
      <c r="H1240" s="9"/>
      <c r="I1240" s="9"/>
      <c r="J1240" s="9"/>
      <c r="K1240" s="4"/>
      <c r="L1240" s="10"/>
      <c r="M1240" s="54"/>
      <c r="N1240" s="12" t="s">
        <v>200</v>
      </c>
      <c r="O1240" s="12" t="s">
        <v>200</v>
      </c>
      <c r="P1240" s="13"/>
      <c r="Q1240" s="12"/>
      <c r="R1240" s="14"/>
      <c r="S1240" s="15"/>
      <c r="T1240" s="4" t="b">
        <v>0</v>
      </c>
    </row>
    <row r="1241">
      <c r="A1241" s="16"/>
      <c r="B1241" s="17"/>
      <c r="C1241" s="24"/>
      <c r="D1241" s="44"/>
      <c r="E1241" s="19"/>
      <c r="F1241" s="35"/>
      <c r="G1241" s="20">
        <v>1899.0</v>
      </c>
      <c r="H1241" s="21"/>
      <c r="I1241" s="21"/>
      <c r="J1241" s="21"/>
      <c r="K1241" s="16"/>
      <c r="L1241" s="22"/>
      <c r="M1241" s="55"/>
      <c r="N1241" s="23" t="s">
        <v>200</v>
      </c>
      <c r="O1241" s="23" t="s">
        <v>200</v>
      </c>
      <c r="P1241" s="24"/>
      <c r="Q1241" s="23"/>
      <c r="R1241" s="25"/>
      <c r="S1241" s="26"/>
      <c r="T1241" s="16" t="b">
        <v>0</v>
      </c>
    </row>
    <row r="1242">
      <c r="A1242" s="4"/>
      <c r="B1242" s="5"/>
      <c r="C1242" s="13"/>
      <c r="D1242" s="39"/>
      <c r="E1242" s="7"/>
      <c r="F1242" s="34"/>
      <c r="G1242" s="8">
        <v>1899.0</v>
      </c>
      <c r="H1242" s="9"/>
      <c r="I1242" s="9"/>
      <c r="J1242" s="9"/>
      <c r="K1242" s="4"/>
      <c r="L1242" s="10"/>
      <c r="M1242" s="54"/>
      <c r="N1242" s="12" t="s">
        <v>200</v>
      </c>
      <c r="O1242" s="12" t="s">
        <v>200</v>
      </c>
      <c r="P1242" s="13"/>
      <c r="Q1242" s="12"/>
      <c r="R1242" s="14"/>
      <c r="S1242" s="15"/>
      <c r="T1242" s="4" t="b">
        <v>0</v>
      </c>
    </row>
    <row r="1243">
      <c r="A1243" s="16"/>
      <c r="B1243" s="17"/>
      <c r="C1243" s="24"/>
      <c r="D1243" s="44"/>
      <c r="E1243" s="19"/>
      <c r="F1243" s="35"/>
      <c r="G1243" s="20">
        <v>1899.0</v>
      </c>
      <c r="H1243" s="21"/>
      <c r="I1243" s="21"/>
      <c r="J1243" s="21"/>
      <c r="K1243" s="16"/>
      <c r="L1243" s="22"/>
      <c r="M1243" s="55"/>
      <c r="N1243" s="23" t="s">
        <v>200</v>
      </c>
      <c r="O1243" s="23" t="s">
        <v>200</v>
      </c>
      <c r="P1243" s="24"/>
      <c r="Q1243" s="23"/>
      <c r="R1243" s="25"/>
      <c r="S1243" s="26"/>
      <c r="T1243" s="16" t="b">
        <v>0</v>
      </c>
    </row>
    <row r="1244">
      <c r="A1244" s="4"/>
      <c r="B1244" s="5"/>
      <c r="C1244" s="13"/>
      <c r="D1244" s="39"/>
      <c r="E1244" s="7"/>
      <c r="F1244" s="34"/>
      <c r="G1244" s="8">
        <v>1899.0</v>
      </c>
      <c r="H1244" s="9"/>
      <c r="I1244" s="9"/>
      <c r="J1244" s="9"/>
      <c r="K1244" s="4"/>
      <c r="L1244" s="10"/>
      <c r="M1244" s="54"/>
      <c r="N1244" s="12" t="s">
        <v>200</v>
      </c>
      <c r="O1244" s="12" t="s">
        <v>200</v>
      </c>
      <c r="P1244" s="13"/>
      <c r="Q1244" s="12"/>
      <c r="R1244" s="14"/>
      <c r="S1244" s="15"/>
      <c r="T1244" s="4" t="b">
        <v>0</v>
      </c>
    </row>
    <row r="1245">
      <c r="A1245" s="16"/>
      <c r="B1245" s="17"/>
      <c r="C1245" s="24"/>
      <c r="D1245" s="44"/>
      <c r="E1245" s="19"/>
      <c r="F1245" s="35"/>
      <c r="G1245" s="20">
        <v>1899.0</v>
      </c>
      <c r="H1245" s="21"/>
      <c r="I1245" s="21"/>
      <c r="J1245" s="21"/>
      <c r="K1245" s="16"/>
      <c r="L1245" s="22"/>
      <c r="M1245" s="55"/>
      <c r="N1245" s="23" t="s">
        <v>200</v>
      </c>
      <c r="O1245" s="23" t="s">
        <v>200</v>
      </c>
      <c r="P1245" s="24"/>
      <c r="Q1245" s="23"/>
      <c r="R1245" s="25"/>
      <c r="S1245" s="26"/>
      <c r="T1245" s="16" t="b">
        <v>0</v>
      </c>
    </row>
    <row r="1246">
      <c r="A1246" s="4"/>
      <c r="B1246" s="5"/>
      <c r="C1246" s="13"/>
      <c r="D1246" s="39"/>
      <c r="E1246" s="7"/>
      <c r="F1246" s="34"/>
      <c r="G1246" s="8">
        <v>1899.0</v>
      </c>
      <c r="H1246" s="9"/>
      <c r="I1246" s="9"/>
      <c r="J1246" s="9"/>
      <c r="K1246" s="4"/>
      <c r="L1246" s="10"/>
      <c r="M1246" s="54"/>
      <c r="N1246" s="12" t="s">
        <v>200</v>
      </c>
      <c r="O1246" s="12" t="s">
        <v>200</v>
      </c>
      <c r="P1246" s="13"/>
      <c r="Q1246" s="12"/>
      <c r="R1246" s="14"/>
      <c r="S1246" s="15"/>
      <c r="T1246" s="4" t="b">
        <v>0</v>
      </c>
    </row>
    <row r="1247">
      <c r="A1247" s="16"/>
      <c r="B1247" s="17"/>
      <c r="C1247" s="24"/>
      <c r="D1247" s="44"/>
      <c r="E1247" s="19"/>
      <c r="F1247" s="35"/>
      <c r="G1247" s="20">
        <v>1899.0</v>
      </c>
      <c r="H1247" s="21"/>
      <c r="I1247" s="21"/>
      <c r="J1247" s="21"/>
      <c r="K1247" s="16"/>
      <c r="L1247" s="22"/>
      <c r="M1247" s="55"/>
      <c r="N1247" s="23" t="s">
        <v>200</v>
      </c>
      <c r="O1247" s="23" t="s">
        <v>200</v>
      </c>
      <c r="P1247" s="24"/>
      <c r="Q1247" s="23"/>
      <c r="R1247" s="25"/>
      <c r="S1247" s="26"/>
      <c r="T1247" s="16" t="b">
        <v>0</v>
      </c>
    </row>
    <row r="1248">
      <c r="A1248" s="4"/>
      <c r="B1248" s="5"/>
      <c r="C1248" s="13"/>
      <c r="D1248" s="39"/>
      <c r="E1248" s="7"/>
      <c r="F1248" s="34"/>
      <c r="G1248" s="8">
        <v>1899.0</v>
      </c>
      <c r="H1248" s="9"/>
      <c r="I1248" s="9"/>
      <c r="J1248" s="9"/>
      <c r="K1248" s="4"/>
      <c r="L1248" s="10"/>
      <c r="M1248" s="54"/>
      <c r="N1248" s="12" t="s">
        <v>200</v>
      </c>
      <c r="O1248" s="12" t="s">
        <v>200</v>
      </c>
      <c r="P1248" s="13"/>
      <c r="Q1248" s="12"/>
      <c r="R1248" s="14"/>
      <c r="S1248" s="15"/>
      <c r="T1248" s="4" t="b">
        <v>0</v>
      </c>
    </row>
    <row r="1249">
      <c r="A1249" s="16"/>
      <c r="B1249" s="17"/>
      <c r="C1249" s="24"/>
      <c r="D1249" s="44"/>
      <c r="E1249" s="19"/>
      <c r="F1249" s="35"/>
      <c r="G1249" s="20">
        <v>1899.0</v>
      </c>
      <c r="H1249" s="21"/>
      <c r="I1249" s="21"/>
      <c r="J1249" s="21"/>
      <c r="K1249" s="16"/>
      <c r="L1249" s="22"/>
      <c r="M1249" s="55"/>
      <c r="N1249" s="23" t="s">
        <v>200</v>
      </c>
      <c r="O1249" s="23" t="s">
        <v>200</v>
      </c>
      <c r="P1249" s="24"/>
      <c r="Q1249" s="23"/>
      <c r="R1249" s="25"/>
      <c r="S1249" s="26"/>
      <c r="T1249" s="16" t="b">
        <v>0</v>
      </c>
    </row>
    <row r="1250">
      <c r="A1250" s="4"/>
      <c r="B1250" s="5"/>
      <c r="C1250" s="13"/>
      <c r="D1250" s="39"/>
      <c r="E1250" s="7"/>
      <c r="F1250" s="34"/>
      <c r="G1250" s="8">
        <v>1899.0</v>
      </c>
      <c r="H1250" s="9"/>
      <c r="I1250" s="9"/>
      <c r="J1250" s="9"/>
      <c r="K1250" s="4"/>
      <c r="L1250" s="10"/>
      <c r="M1250" s="54"/>
      <c r="N1250" s="12" t="s">
        <v>200</v>
      </c>
      <c r="O1250" s="12" t="s">
        <v>200</v>
      </c>
      <c r="P1250" s="13"/>
      <c r="Q1250" s="12"/>
      <c r="R1250" s="14"/>
      <c r="S1250" s="15"/>
      <c r="T1250" s="4" t="b">
        <v>0</v>
      </c>
    </row>
    <row r="1251">
      <c r="A1251" s="16"/>
      <c r="B1251" s="17"/>
      <c r="C1251" s="24"/>
      <c r="D1251" s="44"/>
      <c r="E1251" s="19"/>
      <c r="F1251" s="35"/>
      <c r="G1251" s="20">
        <v>1899.0</v>
      </c>
      <c r="H1251" s="21"/>
      <c r="I1251" s="21"/>
      <c r="J1251" s="21"/>
      <c r="K1251" s="16"/>
      <c r="L1251" s="22"/>
      <c r="M1251" s="55"/>
      <c r="N1251" s="23" t="s">
        <v>200</v>
      </c>
      <c r="O1251" s="23" t="s">
        <v>200</v>
      </c>
      <c r="P1251" s="24"/>
      <c r="Q1251" s="23"/>
      <c r="R1251" s="25"/>
      <c r="S1251" s="26"/>
      <c r="T1251" s="16" t="b">
        <v>0</v>
      </c>
    </row>
    <row r="1252">
      <c r="A1252" s="4"/>
      <c r="B1252" s="5"/>
      <c r="C1252" s="13"/>
      <c r="D1252" s="39"/>
      <c r="E1252" s="7"/>
      <c r="F1252" s="34"/>
      <c r="G1252" s="8">
        <v>1899.0</v>
      </c>
      <c r="H1252" s="9"/>
      <c r="I1252" s="9"/>
      <c r="J1252" s="9"/>
      <c r="K1252" s="4"/>
      <c r="L1252" s="10"/>
      <c r="M1252" s="54"/>
      <c r="N1252" s="12" t="s">
        <v>200</v>
      </c>
      <c r="O1252" s="12" t="s">
        <v>200</v>
      </c>
      <c r="P1252" s="13"/>
      <c r="Q1252" s="12"/>
      <c r="R1252" s="14"/>
      <c r="S1252" s="15"/>
      <c r="T1252" s="4" t="b">
        <v>0</v>
      </c>
    </row>
    <row r="1253">
      <c r="A1253" s="16"/>
      <c r="B1253" s="17"/>
      <c r="C1253" s="24"/>
      <c r="D1253" s="44"/>
      <c r="E1253" s="19"/>
      <c r="F1253" s="35"/>
      <c r="G1253" s="20">
        <v>1899.0</v>
      </c>
      <c r="H1253" s="21"/>
      <c r="I1253" s="21"/>
      <c r="J1253" s="21"/>
      <c r="K1253" s="16"/>
      <c r="L1253" s="22"/>
      <c r="M1253" s="55"/>
      <c r="N1253" s="23" t="s">
        <v>200</v>
      </c>
      <c r="O1253" s="23" t="s">
        <v>200</v>
      </c>
      <c r="P1253" s="24"/>
      <c r="Q1253" s="23"/>
      <c r="R1253" s="25"/>
      <c r="S1253" s="26"/>
      <c r="T1253" s="16" t="b">
        <v>0</v>
      </c>
    </row>
    <row r="1254">
      <c r="A1254" s="4"/>
      <c r="B1254" s="5"/>
      <c r="C1254" s="13"/>
      <c r="D1254" s="39"/>
      <c r="E1254" s="7"/>
      <c r="F1254" s="34"/>
      <c r="G1254" s="8">
        <v>1899.0</v>
      </c>
      <c r="H1254" s="9"/>
      <c r="I1254" s="9"/>
      <c r="J1254" s="9"/>
      <c r="K1254" s="4"/>
      <c r="L1254" s="10"/>
      <c r="M1254" s="54"/>
      <c r="N1254" s="12" t="s">
        <v>200</v>
      </c>
      <c r="O1254" s="12" t="s">
        <v>200</v>
      </c>
      <c r="P1254" s="13"/>
      <c r="Q1254" s="12"/>
      <c r="R1254" s="14"/>
      <c r="S1254" s="15"/>
      <c r="T1254" s="4" t="b">
        <v>0</v>
      </c>
    </row>
    <row r="1255">
      <c r="A1255" s="16"/>
      <c r="B1255" s="17"/>
      <c r="C1255" s="24"/>
      <c r="D1255" s="44"/>
      <c r="E1255" s="19"/>
      <c r="F1255" s="35"/>
      <c r="G1255" s="20">
        <v>1899.0</v>
      </c>
      <c r="H1255" s="21"/>
      <c r="I1255" s="21"/>
      <c r="J1255" s="21"/>
      <c r="K1255" s="16"/>
      <c r="L1255" s="22"/>
      <c r="M1255" s="55"/>
      <c r="N1255" s="23" t="s">
        <v>200</v>
      </c>
      <c r="O1255" s="23" t="s">
        <v>200</v>
      </c>
      <c r="P1255" s="24"/>
      <c r="Q1255" s="23"/>
      <c r="R1255" s="25"/>
      <c r="S1255" s="26"/>
      <c r="T1255" s="16" t="b">
        <v>0</v>
      </c>
    </row>
    <row r="1256">
      <c r="A1256" s="4"/>
      <c r="B1256" s="5"/>
      <c r="C1256" s="13"/>
      <c r="D1256" s="39"/>
      <c r="E1256" s="7"/>
      <c r="F1256" s="34"/>
      <c r="G1256" s="8">
        <v>1899.0</v>
      </c>
      <c r="H1256" s="9"/>
      <c r="I1256" s="9"/>
      <c r="J1256" s="9"/>
      <c r="K1256" s="4"/>
      <c r="L1256" s="10"/>
      <c r="M1256" s="54"/>
      <c r="N1256" s="12" t="s">
        <v>200</v>
      </c>
      <c r="O1256" s="12" t="s">
        <v>200</v>
      </c>
      <c r="P1256" s="13"/>
      <c r="Q1256" s="12"/>
      <c r="R1256" s="14"/>
      <c r="S1256" s="15"/>
      <c r="T1256" s="4" t="b">
        <v>0</v>
      </c>
    </row>
    <row r="1257">
      <c r="A1257" s="16"/>
      <c r="B1257" s="17"/>
      <c r="C1257" s="24"/>
      <c r="D1257" s="44"/>
      <c r="E1257" s="19"/>
      <c r="F1257" s="35"/>
      <c r="G1257" s="20">
        <v>1899.0</v>
      </c>
      <c r="H1257" s="21"/>
      <c r="I1257" s="21"/>
      <c r="J1257" s="21"/>
      <c r="K1257" s="16"/>
      <c r="L1257" s="22"/>
      <c r="M1257" s="55"/>
      <c r="N1257" s="23" t="s">
        <v>200</v>
      </c>
      <c r="O1257" s="23" t="s">
        <v>200</v>
      </c>
      <c r="P1257" s="24"/>
      <c r="Q1257" s="23"/>
      <c r="R1257" s="25"/>
      <c r="S1257" s="26"/>
      <c r="T1257" s="16" t="b">
        <v>0</v>
      </c>
    </row>
    <row r="1258">
      <c r="A1258" s="4"/>
      <c r="B1258" s="5"/>
      <c r="C1258" s="13"/>
      <c r="D1258" s="39"/>
      <c r="E1258" s="7"/>
      <c r="F1258" s="34"/>
      <c r="G1258" s="8">
        <v>1899.0</v>
      </c>
      <c r="H1258" s="9"/>
      <c r="I1258" s="9"/>
      <c r="J1258" s="9"/>
      <c r="K1258" s="4"/>
      <c r="L1258" s="10"/>
      <c r="M1258" s="54"/>
      <c r="N1258" s="12" t="s">
        <v>200</v>
      </c>
      <c r="O1258" s="12" t="s">
        <v>200</v>
      </c>
      <c r="P1258" s="13"/>
      <c r="Q1258" s="12"/>
      <c r="R1258" s="14"/>
      <c r="S1258" s="15"/>
      <c r="T1258" s="4" t="b">
        <v>0</v>
      </c>
    </row>
    <row r="1259">
      <c r="A1259" s="16"/>
      <c r="B1259" s="17"/>
      <c r="C1259" s="24"/>
      <c r="D1259" s="44"/>
      <c r="E1259" s="19"/>
      <c r="F1259" s="35"/>
      <c r="G1259" s="20">
        <v>1899.0</v>
      </c>
      <c r="H1259" s="21"/>
      <c r="I1259" s="21"/>
      <c r="J1259" s="21"/>
      <c r="K1259" s="16"/>
      <c r="L1259" s="22"/>
      <c r="M1259" s="55"/>
      <c r="N1259" s="23" t="s">
        <v>200</v>
      </c>
      <c r="O1259" s="23" t="s">
        <v>200</v>
      </c>
      <c r="P1259" s="24"/>
      <c r="Q1259" s="23"/>
      <c r="R1259" s="25"/>
      <c r="S1259" s="26"/>
      <c r="T1259" s="16" t="b">
        <v>0</v>
      </c>
    </row>
    <row r="1260">
      <c r="A1260" s="4"/>
      <c r="B1260" s="5"/>
      <c r="C1260" s="13"/>
      <c r="D1260" s="39"/>
      <c r="E1260" s="7"/>
      <c r="F1260" s="34"/>
      <c r="G1260" s="8">
        <v>1899.0</v>
      </c>
      <c r="H1260" s="9"/>
      <c r="I1260" s="9"/>
      <c r="J1260" s="9"/>
      <c r="K1260" s="4"/>
      <c r="L1260" s="10"/>
      <c r="M1260" s="54"/>
      <c r="N1260" s="12" t="s">
        <v>200</v>
      </c>
      <c r="O1260" s="12" t="s">
        <v>200</v>
      </c>
      <c r="P1260" s="13"/>
      <c r="Q1260" s="12"/>
      <c r="R1260" s="14"/>
      <c r="S1260" s="15"/>
      <c r="T1260" s="4" t="b">
        <v>0</v>
      </c>
    </row>
    <row r="1261">
      <c r="A1261" s="16"/>
      <c r="B1261" s="17"/>
      <c r="C1261" s="24"/>
      <c r="D1261" s="44"/>
      <c r="E1261" s="19"/>
      <c r="F1261" s="35"/>
      <c r="G1261" s="20">
        <v>1899.0</v>
      </c>
      <c r="H1261" s="21"/>
      <c r="I1261" s="21"/>
      <c r="J1261" s="21"/>
      <c r="K1261" s="16"/>
      <c r="L1261" s="22"/>
      <c r="M1261" s="55"/>
      <c r="N1261" s="23" t="s">
        <v>200</v>
      </c>
      <c r="O1261" s="23" t="s">
        <v>200</v>
      </c>
      <c r="P1261" s="24"/>
      <c r="Q1261" s="23"/>
      <c r="R1261" s="25"/>
      <c r="S1261" s="26"/>
      <c r="T1261" s="16" t="b">
        <v>0</v>
      </c>
    </row>
    <row r="1262">
      <c r="A1262" s="4"/>
      <c r="B1262" s="5"/>
      <c r="C1262" s="13"/>
      <c r="D1262" s="39"/>
      <c r="E1262" s="7"/>
      <c r="F1262" s="34"/>
      <c r="G1262" s="8">
        <v>1899.0</v>
      </c>
      <c r="H1262" s="9"/>
      <c r="I1262" s="9"/>
      <c r="J1262" s="9"/>
      <c r="K1262" s="4"/>
      <c r="L1262" s="10"/>
      <c r="M1262" s="54"/>
      <c r="N1262" s="12" t="s">
        <v>200</v>
      </c>
      <c r="O1262" s="12" t="s">
        <v>200</v>
      </c>
      <c r="P1262" s="13"/>
      <c r="Q1262" s="12"/>
      <c r="R1262" s="14"/>
      <c r="S1262" s="15"/>
      <c r="T1262" s="4" t="b">
        <v>0</v>
      </c>
    </row>
    <row r="1263">
      <c r="A1263" s="16"/>
      <c r="B1263" s="17"/>
      <c r="C1263" s="24"/>
      <c r="D1263" s="44"/>
      <c r="E1263" s="19"/>
      <c r="F1263" s="35"/>
      <c r="G1263" s="20">
        <v>1899.0</v>
      </c>
      <c r="H1263" s="21"/>
      <c r="I1263" s="21"/>
      <c r="J1263" s="21"/>
      <c r="K1263" s="16"/>
      <c r="L1263" s="22"/>
      <c r="M1263" s="55"/>
      <c r="N1263" s="23" t="s">
        <v>200</v>
      </c>
      <c r="O1263" s="23" t="s">
        <v>200</v>
      </c>
      <c r="P1263" s="24"/>
      <c r="Q1263" s="23"/>
      <c r="R1263" s="25"/>
      <c r="S1263" s="26"/>
      <c r="T1263" s="16" t="b">
        <v>0</v>
      </c>
    </row>
    <row r="1264">
      <c r="A1264" s="4"/>
      <c r="B1264" s="5"/>
      <c r="C1264" s="13"/>
      <c r="D1264" s="39"/>
      <c r="E1264" s="7"/>
      <c r="F1264" s="34"/>
      <c r="G1264" s="8">
        <v>1899.0</v>
      </c>
      <c r="H1264" s="9"/>
      <c r="I1264" s="9"/>
      <c r="J1264" s="9"/>
      <c r="K1264" s="4"/>
      <c r="L1264" s="10"/>
      <c r="M1264" s="54"/>
      <c r="N1264" s="12" t="s">
        <v>200</v>
      </c>
      <c r="O1264" s="12" t="s">
        <v>200</v>
      </c>
      <c r="P1264" s="13"/>
      <c r="Q1264" s="12"/>
      <c r="R1264" s="14"/>
      <c r="S1264" s="15"/>
      <c r="T1264" s="4" t="b">
        <v>0</v>
      </c>
    </row>
    <row r="1265">
      <c r="A1265" s="16"/>
      <c r="B1265" s="17"/>
      <c r="C1265" s="24"/>
      <c r="D1265" s="44"/>
      <c r="E1265" s="19"/>
      <c r="F1265" s="35"/>
      <c r="G1265" s="20">
        <v>1899.0</v>
      </c>
      <c r="H1265" s="21"/>
      <c r="I1265" s="21"/>
      <c r="J1265" s="21"/>
      <c r="K1265" s="16"/>
      <c r="L1265" s="22"/>
      <c r="M1265" s="55"/>
      <c r="N1265" s="23" t="s">
        <v>200</v>
      </c>
      <c r="O1265" s="23" t="s">
        <v>200</v>
      </c>
      <c r="P1265" s="24"/>
      <c r="Q1265" s="23"/>
      <c r="R1265" s="25"/>
      <c r="S1265" s="26"/>
      <c r="T1265" s="16" t="b">
        <v>0</v>
      </c>
    </row>
    <row r="1266">
      <c r="A1266" s="4"/>
      <c r="B1266" s="5"/>
      <c r="C1266" s="13"/>
      <c r="D1266" s="39"/>
      <c r="E1266" s="7"/>
      <c r="F1266" s="34"/>
      <c r="G1266" s="8">
        <v>1899.0</v>
      </c>
      <c r="H1266" s="9"/>
      <c r="I1266" s="9"/>
      <c r="J1266" s="9"/>
      <c r="K1266" s="4"/>
      <c r="L1266" s="10"/>
      <c r="M1266" s="54"/>
      <c r="N1266" s="12" t="s">
        <v>200</v>
      </c>
      <c r="O1266" s="12" t="s">
        <v>200</v>
      </c>
      <c r="P1266" s="13"/>
      <c r="Q1266" s="12"/>
      <c r="R1266" s="14"/>
      <c r="S1266" s="15"/>
      <c r="T1266" s="4" t="b">
        <v>0</v>
      </c>
    </row>
    <row r="1267">
      <c r="A1267" s="16"/>
      <c r="B1267" s="17"/>
      <c r="C1267" s="24"/>
      <c r="D1267" s="44"/>
      <c r="E1267" s="19"/>
      <c r="F1267" s="35"/>
      <c r="G1267" s="20">
        <v>1899.0</v>
      </c>
      <c r="H1267" s="21"/>
      <c r="I1267" s="21"/>
      <c r="J1267" s="21"/>
      <c r="K1267" s="16"/>
      <c r="L1267" s="22"/>
      <c r="M1267" s="55"/>
      <c r="N1267" s="23" t="s">
        <v>200</v>
      </c>
      <c r="O1267" s="23" t="s">
        <v>200</v>
      </c>
      <c r="P1267" s="24"/>
      <c r="Q1267" s="23"/>
      <c r="R1267" s="25"/>
      <c r="S1267" s="26"/>
      <c r="T1267" s="16" t="b">
        <v>0</v>
      </c>
    </row>
    <row r="1268">
      <c r="A1268" s="4"/>
      <c r="B1268" s="5"/>
      <c r="C1268" s="13"/>
      <c r="D1268" s="39"/>
      <c r="E1268" s="7"/>
      <c r="F1268" s="34"/>
      <c r="G1268" s="8">
        <v>1899.0</v>
      </c>
      <c r="H1268" s="9"/>
      <c r="I1268" s="9"/>
      <c r="J1268" s="9"/>
      <c r="K1268" s="4"/>
      <c r="L1268" s="10"/>
      <c r="M1268" s="54"/>
      <c r="N1268" s="12" t="s">
        <v>200</v>
      </c>
      <c r="O1268" s="12" t="s">
        <v>200</v>
      </c>
      <c r="P1268" s="13"/>
      <c r="Q1268" s="12"/>
      <c r="R1268" s="14"/>
      <c r="S1268" s="15"/>
      <c r="T1268" s="4" t="b">
        <v>0</v>
      </c>
    </row>
    <row r="1269">
      <c r="A1269" s="16"/>
      <c r="B1269" s="17"/>
      <c r="C1269" s="24"/>
      <c r="D1269" s="44"/>
      <c r="E1269" s="19"/>
      <c r="F1269" s="35"/>
      <c r="G1269" s="20">
        <v>1899.0</v>
      </c>
      <c r="H1269" s="21"/>
      <c r="I1269" s="21"/>
      <c r="J1269" s="21"/>
      <c r="K1269" s="16"/>
      <c r="L1269" s="22"/>
      <c r="M1269" s="55"/>
      <c r="N1269" s="23" t="s">
        <v>200</v>
      </c>
      <c r="O1269" s="23" t="s">
        <v>200</v>
      </c>
      <c r="P1269" s="24"/>
      <c r="Q1269" s="23"/>
      <c r="R1269" s="25"/>
      <c r="S1269" s="26"/>
      <c r="T1269" s="16" t="b">
        <v>0</v>
      </c>
    </row>
    <row r="1270">
      <c r="A1270" s="4"/>
      <c r="B1270" s="5"/>
      <c r="C1270" s="13"/>
      <c r="D1270" s="39"/>
      <c r="E1270" s="7"/>
      <c r="F1270" s="34"/>
      <c r="G1270" s="8">
        <v>1899.0</v>
      </c>
      <c r="H1270" s="9"/>
      <c r="I1270" s="9"/>
      <c r="J1270" s="9"/>
      <c r="K1270" s="4"/>
      <c r="L1270" s="10"/>
      <c r="M1270" s="54"/>
      <c r="N1270" s="12" t="s">
        <v>200</v>
      </c>
      <c r="O1270" s="12" t="s">
        <v>200</v>
      </c>
      <c r="P1270" s="13"/>
      <c r="Q1270" s="12"/>
      <c r="R1270" s="14"/>
      <c r="S1270" s="15"/>
      <c r="T1270" s="4" t="b">
        <v>0</v>
      </c>
    </row>
    <row r="1271">
      <c r="A1271" s="16"/>
      <c r="B1271" s="17"/>
      <c r="C1271" s="24"/>
      <c r="D1271" s="44"/>
      <c r="E1271" s="19"/>
      <c r="F1271" s="35"/>
      <c r="G1271" s="20">
        <v>1899.0</v>
      </c>
      <c r="H1271" s="21"/>
      <c r="I1271" s="21"/>
      <c r="J1271" s="21"/>
      <c r="K1271" s="16"/>
      <c r="L1271" s="22"/>
      <c r="M1271" s="55"/>
      <c r="N1271" s="23" t="s">
        <v>200</v>
      </c>
      <c r="O1271" s="23" t="s">
        <v>200</v>
      </c>
      <c r="P1271" s="24"/>
      <c r="Q1271" s="23"/>
      <c r="R1271" s="25"/>
      <c r="S1271" s="26"/>
      <c r="T1271" s="16" t="b">
        <v>0</v>
      </c>
    </row>
    <row r="1272">
      <c r="A1272" s="4"/>
      <c r="B1272" s="5"/>
      <c r="C1272" s="13"/>
      <c r="D1272" s="39"/>
      <c r="E1272" s="7"/>
      <c r="F1272" s="34"/>
      <c r="G1272" s="8">
        <v>1899.0</v>
      </c>
      <c r="H1272" s="9"/>
      <c r="I1272" s="9"/>
      <c r="J1272" s="9"/>
      <c r="K1272" s="4"/>
      <c r="L1272" s="10"/>
      <c r="M1272" s="54"/>
      <c r="N1272" s="12" t="s">
        <v>200</v>
      </c>
      <c r="O1272" s="12" t="s">
        <v>200</v>
      </c>
      <c r="P1272" s="13"/>
      <c r="Q1272" s="12"/>
      <c r="R1272" s="14"/>
      <c r="S1272" s="15"/>
      <c r="T1272" s="4" t="b">
        <v>0</v>
      </c>
    </row>
    <row r="1273">
      <c r="A1273" s="16"/>
      <c r="B1273" s="17"/>
      <c r="C1273" s="24"/>
      <c r="D1273" s="44"/>
      <c r="E1273" s="19"/>
      <c r="F1273" s="35"/>
      <c r="G1273" s="20">
        <v>1899.0</v>
      </c>
      <c r="H1273" s="21"/>
      <c r="I1273" s="21"/>
      <c r="J1273" s="21"/>
      <c r="K1273" s="16"/>
      <c r="L1273" s="22"/>
      <c r="M1273" s="55"/>
      <c r="N1273" s="23" t="s">
        <v>200</v>
      </c>
      <c r="O1273" s="23" t="s">
        <v>200</v>
      </c>
      <c r="P1273" s="24"/>
      <c r="Q1273" s="23"/>
      <c r="R1273" s="25"/>
      <c r="S1273" s="26"/>
      <c r="T1273" s="16" t="b">
        <v>0</v>
      </c>
    </row>
    <row r="1274">
      <c r="A1274" s="4"/>
      <c r="B1274" s="5"/>
      <c r="C1274" s="13"/>
      <c r="D1274" s="39"/>
      <c r="E1274" s="7"/>
      <c r="F1274" s="34"/>
      <c r="G1274" s="8">
        <v>1899.0</v>
      </c>
      <c r="H1274" s="9"/>
      <c r="I1274" s="9"/>
      <c r="J1274" s="9"/>
      <c r="K1274" s="4"/>
      <c r="L1274" s="10"/>
      <c r="M1274" s="54"/>
      <c r="N1274" s="12" t="s">
        <v>200</v>
      </c>
      <c r="O1274" s="12" t="s">
        <v>200</v>
      </c>
      <c r="P1274" s="13"/>
      <c r="Q1274" s="12"/>
      <c r="R1274" s="14"/>
      <c r="S1274" s="15"/>
      <c r="T1274" s="4" t="b">
        <v>0</v>
      </c>
    </row>
    <row r="1275">
      <c r="A1275" s="16"/>
      <c r="B1275" s="17"/>
      <c r="C1275" s="24"/>
      <c r="D1275" s="44"/>
      <c r="E1275" s="19"/>
      <c r="F1275" s="35"/>
      <c r="G1275" s="20">
        <v>1899.0</v>
      </c>
      <c r="H1275" s="21"/>
      <c r="I1275" s="21"/>
      <c r="J1275" s="21"/>
      <c r="K1275" s="16"/>
      <c r="L1275" s="22"/>
      <c r="M1275" s="55"/>
      <c r="N1275" s="23" t="s">
        <v>200</v>
      </c>
      <c r="O1275" s="23" t="s">
        <v>200</v>
      </c>
      <c r="P1275" s="24"/>
      <c r="Q1275" s="23"/>
      <c r="R1275" s="25"/>
      <c r="S1275" s="26"/>
      <c r="T1275" s="16" t="b">
        <v>0</v>
      </c>
    </row>
    <row r="1276">
      <c r="A1276" s="4"/>
      <c r="B1276" s="5"/>
      <c r="C1276" s="13"/>
      <c r="D1276" s="39"/>
      <c r="E1276" s="7"/>
      <c r="F1276" s="34"/>
      <c r="G1276" s="8">
        <v>1899.0</v>
      </c>
      <c r="H1276" s="9"/>
      <c r="I1276" s="9"/>
      <c r="J1276" s="9"/>
      <c r="K1276" s="4"/>
      <c r="L1276" s="10"/>
      <c r="M1276" s="54"/>
      <c r="N1276" s="12" t="s">
        <v>200</v>
      </c>
      <c r="O1276" s="12" t="s">
        <v>200</v>
      </c>
      <c r="P1276" s="13"/>
      <c r="Q1276" s="12"/>
      <c r="R1276" s="14"/>
      <c r="S1276" s="15"/>
      <c r="T1276" s="4" t="b">
        <v>0</v>
      </c>
    </row>
    <row r="1277">
      <c r="A1277" s="16"/>
      <c r="B1277" s="17"/>
      <c r="C1277" s="24"/>
      <c r="D1277" s="44"/>
      <c r="E1277" s="19"/>
      <c r="F1277" s="35"/>
      <c r="G1277" s="20">
        <v>1899.0</v>
      </c>
      <c r="H1277" s="21"/>
      <c r="I1277" s="21"/>
      <c r="J1277" s="21"/>
      <c r="K1277" s="16"/>
      <c r="L1277" s="22"/>
      <c r="M1277" s="55"/>
      <c r="N1277" s="23" t="s">
        <v>200</v>
      </c>
      <c r="O1277" s="23" t="s">
        <v>200</v>
      </c>
      <c r="P1277" s="24"/>
      <c r="Q1277" s="23"/>
      <c r="R1277" s="25"/>
      <c r="S1277" s="26"/>
      <c r="T1277" s="16" t="b">
        <v>0</v>
      </c>
    </row>
    <row r="1278">
      <c r="A1278" s="4"/>
      <c r="B1278" s="5"/>
      <c r="C1278" s="13"/>
      <c r="D1278" s="39"/>
      <c r="E1278" s="7"/>
      <c r="F1278" s="34"/>
      <c r="G1278" s="8">
        <v>1899.0</v>
      </c>
      <c r="H1278" s="9"/>
      <c r="I1278" s="9"/>
      <c r="J1278" s="9"/>
      <c r="K1278" s="4"/>
      <c r="L1278" s="10"/>
      <c r="M1278" s="54"/>
      <c r="N1278" s="12" t="s">
        <v>200</v>
      </c>
      <c r="O1278" s="12" t="s">
        <v>200</v>
      </c>
      <c r="P1278" s="13"/>
      <c r="Q1278" s="12"/>
      <c r="R1278" s="14"/>
      <c r="S1278" s="15"/>
      <c r="T1278" s="4" t="b">
        <v>0</v>
      </c>
    </row>
    <row r="1279">
      <c r="A1279" s="16"/>
      <c r="B1279" s="17"/>
      <c r="C1279" s="24"/>
      <c r="D1279" s="44"/>
      <c r="E1279" s="19"/>
      <c r="F1279" s="35"/>
      <c r="G1279" s="20">
        <v>1899.0</v>
      </c>
      <c r="H1279" s="21"/>
      <c r="I1279" s="21"/>
      <c r="J1279" s="21"/>
      <c r="K1279" s="16"/>
      <c r="L1279" s="22"/>
      <c r="M1279" s="55"/>
      <c r="N1279" s="23" t="s">
        <v>200</v>
      </c>
      <c r="O1279" s="23" t="s">
        <v>200</v>
      </c>
      <c r="P1279" s="24"/>
      <c r="Q1279" s="23"/>
      <c r="R1279" s="25"/>
      <c r="S1279" s="26"/>
      <c r="T1279" s="16" t="b">
        <v>0</v>
      </c>
    </row>
    <row r="1280">
      <c r="A1280" s="4"/>
      <c r="B1280" s="5"/>
      <c r="C1280" s="13"/>
      <c r="D1280" s="39"/>
      <c r="E1280" s="7"/>
      <c r="F1280" s="34"/>
      <c r="G1280" s="8">
        <v>1899.0</v>
      </c>
      <c r="H1280" s="9"/>
      <c r="I1280" s="9"/>
      <c r="J1280" s="9"/>
      <c r="K1280" s="4"/>
      <c r="L1280" s="10"/>
      <c r="M1280" s="54"/>
      <c r="N1280" s="12" t="s">
        <v>200</v>
      </c>
      <c r="O1280" s="12" t="s">
        <v>200</v>
      </c>
      <c r="P1280" s="13"/>
      <c r="Q1280" s="12"/>
      <c r="R1280" s="14"/>
      <c r="S1280" s="15"/>
      <c r="T1280" s="4" t="b">
        <v>0</v>
      </c>
    </row>
    <row r="1281">
      <c r="A1281" s="16"/>
      <c r="B1281" s="17"/>
      <c r="C1281" s="24"/>
      <c r="D1281" s="44"/>
      <c r="E1281" s="19"/>
      <c r="F1281" s="35"/>
      <c r="G1281" s="20">
        <v>1899.0</v>
      </c>
      <c r="H1281" s="21"/>
      <c r="I1281" s="21"/>
      <c r="J1281" s="21"/>
      <c r="K1281" s="16"/>
      <c r="L1281" s="22"/>
      <c r="M1281" s="55"/>
      <c r="N1281" s="23" t="s">
        <v>200</v>
      </c>
      <c r="O1281" s="23" t="s">
        <v>200</v>
      </c>
      <c r="P1281" s="24"/>
      <c r="Q1281" s="23"/>
      <c r="R1281" s="25"/>
      <c r="S1281" s="26"/>
      <c r="T1281" s="16" t="b">
        <v>0</v>
      </c>
    </row>
    <row r="1282">
      <c r="A1282" s="4"/>
      <c r="B1282" s="5"/>
      <c r="C1282" s="13"/>
      <c r="D1282" s="39"/>
      <c r="E1282" s="7"/>
      <c r="F1282" s="34"/>
      <c r="G1282" s="8">
        <v>1899.0</v>
      </c>
      <c r="H1282" s="9"/>
      <c r="I1282" s="9"/>
      <c r="J1282" s="9"/>
      <c r="K1282" s="4"/>
      <c r="L1282" s="10"/>
      <c r="M1282" s="54"/>
      <c r="N1282" s="12" t="s">
        <v>200</v>
      </c>
      <c r="O1282" s="12" t="s">
        <v>200</v>
      </c>
      <c r="P1282" s="13"/>
      <c r="Q1282" s="12"/>
      <c r="R1282" s="14"/>
      <c r="S1282" s="15"/>
      <c r="T1282" s="4" t="b">
        <v>0</v>
      </c>
    </row>
    <row r="1283">
      <c r="A1283" s="16"/>
      <c r="B1283" s="17"/>
      <c r="C1283" s="24"/>
      <c r="D1283" s="44"/>
      <c r="E1283" s="19"/>
      <c r="F1283" s="35"/>
      <c r="G1283" s="20">
        <v>1899.0</v>
      </c>
      <c r="H1283" s="21"/>
      <c r="I1283" s="21"/>
      <c r="J1283" s="21"/>
      <c r="K1283" s="16"/>
      <c r="L1283" s="22"/>
      <c r="M1283" s="55"/>
      <c r="N1283" s="23" t="s">
        <v>200</v>
      </c>
      <c r="O1283" s="23" t="s">
        <v>200</v>
      </c>
      <c r="P1283" s="24"/>
      <c r="Q1283" s="23"/>
      <c r="R1283" s="25"/>
      <c r="S1283" s="26"/>
      <c r="T1283" s="16" t="b">
        <v>0</v>
      </c>
    </row>
    <row r="1284">
      <c r="A1284" s="4"/>
      <c r="B1284" s="5"/>
      <c r="C1284" s="13"/>
      <c r="D1284" s="39"/>
      <c r="E1284" s="7"/>
      <c r="F1284" s="34"/>
      <c r="G1284" s="8">
        <v>1899.0</v>
      </c>
      <c r="H1284" s="9"/>
      <c r="I1284" s="9"/>
      <c r="J1284" s="9"/>
      <c r="K1284" s="4"/>
      <c r="L1284" s="10"/>
      <c r="M1284" s="54"/>
      <c r="N1284" s="12" t="s">
        <v>200</v>
      </c>
      <c r="O1284" s="12" t="s">
        <v>200</v>
      </c>
      <c r="P1284" s="13"/>
      <c r="Q1284" s="12"/>
      <c r="R1284" s="14"/>
      <c r="S1284" s="15"/>
      <c r="T1284" s="4" t="b">
        <v>0</v>
      </c>
    </row>
    <row r="1285">
      <c r="A1285" s="16"/>
      <c r="B1285" s="17"/>
      <c r="C1285" s="24"/>
      <c r="D1285" s="44"/>
      <c r="E1285" s="19"/>
      <c r="F1285" s="35"/>
      <c r="G1285" s="20">
        <v>1899.0</v>
      </c>
      <c r="H1285" s="21"/>
      <c r="I1285" s="21"/>
      <c r="J1285" s="21"/>
      <c r="K1285" s="16"/>
      <c r="L1285" s="22"/>
      <c r="M1285" s="55"/>
      <c r="N1285" s="23" t="s">
        <v>200</v>
      </c>
      <c r="O1285" s="23" t="s">
        <v>200</v>
      </c>
      <c r="P1285" s="24"/>
      <c r="Q1285" s="23"/>
      <c r="R1285" s="25"/>
      <c r="S1285" s="26"/>
      <c r="T1285" s="16" t="b">
        <v>0</v>
      </c>
    </row>
    <row r="1286">
      <c r="A1286" s="4"/>
      <c r="B1286" s="5"/>
      <c r="C1286" s="13"/>
      <c r="D1286" s="39"/>
      <c r="E1286" s="7"/>
      <c r="F1286" s="34"/>
      <c r="G1286" s="8">
        <v>1899.0</v>
      </c>
      <c r="H1286" s="9"/>
      <c r="I1286" s="9"/>
      <c r="J1286" s="9"/>
      <c r="K1286" s="4"/>
      <c r="L1286" s="10"/>
      <c r="M1286" s="54"/>
      <c r="N1286" s="12" t="s">
        <v>200</v>
      </c>
      <c r="O1286" s="12" t="s">
        <v>200</v>
      </c>
      <c r="P1286" s="13"/>
      <c r="Q1286" s="12"/>
      <c r="R1286" s="14"/>
      <c r="S1286" s="15"/>
      <c r="T1286" s="4" t="b">
        <v>0</v>
      </c>
    </row>
    <row r="1287">
      <c r="A1287" s="16"/>
      <c r="B1287" s="17"/>
      <c r="C1287" s="24"/>
      <c r="D1287" s="44"/>
      <c r="E1287" s="19"/>
      <c r="F1287" s="35"/>
      <c r="G1287" s="20">
        <v>1899.0</v>
      </c>
      <c r="H1287" s="21"/>
      <c r="I1287" s="21"/>
      <c r="J1287" s="21"/>
      <c r="K1287" s="16"/>
      <c r="L1287" s="22"/>
      <c r="M1287" s="55"/>
      <c r="N1287" s="23" t="s">
        <v>200</v>
      </c>
      <c r="O1287" s="23" t="s">
        <v>200</v>
      </c>
      <c r="P1287" s="24"/>
      <c r="Q1287" s="23"/>
      <c r="R1287" s="25"/>
      <c r="S1287" s="26"/>
      <c r="T1287" s="16" t="b">
        <v>0</v>
      </c>
    </row>
    <row r="1288">
      <c r="A1288" s="4"/>
      <c r="B1288" s="5"/>
      <c r="C1288" s="13"/>
      <c r="D1288" s="39"/>
      <c r="E1288" s="7"/>
      <c r="F1288" s="34"/>
      <c r="G1288" s="8">
        <v>1899.0</v>
      </c>
      <c r="H1288" s="9"/>
      <c r="I1288" s="9"/>
      <c r="J1288" s="9"/>
      <c r="K1288" s="4"/>
      <c r="L1288" s="10"/>
      <c r="M1288" s="54"/>
      <c r="N1288" s="12" t="s">
        <v>200</v>
      </c>
      <c r="O1288" s="12" t="s">
        <v>200</v>
      </c>
      <c r="P1288" s="13"/>
      <c r="Q1288" s="12"/>
      <c r="R1288" s="14"/>
      <c r="S1288" s="15"/>
      <c r="T1288" s="4" t="b">
        <v>0</v>
      </c>
    </row>
    <row r="1289">
      <c r="A1289" s="16"/>
      <c r="B1289" s="17"/>
      <c r="C1289" s="24"/>
      <c r="D1289" s="44"/>
      <c r="E1289" s="19"/>
      <c r="F1289" s="35"/>
      <c r="G1289" s="20">
        <v>1899.0</v>
      </c>
      <c r="H1289" s="21"/>
      <c r="I1289" s="21"/>
      <c r="J1289" s="21"/>
      <c r="K1289" s="16"/>
      <c r="L1289" s="22"/>
      <c r="M1289" s="55"/>
      <c r="N1289" s="23" t="s">
        <v>200</v>
      </c>
      <c r="O1289" s="23" t="s">
        <v>200</v>
      </c>
      <c r="P1289" s="24"/>
      <c r="Q1289" s="23"/>
      <c r="R1289" s="25"/>
      <c r="S1289" s="26"/>
      <c r="T1289" s="16" t="b">
        <v>0</v>
      </c>
    </row>
    <row r="1290">
      <c r="A1290" s="4"/>
      <c r="B1290" s="5"/>
      <c r="C1290" s="13"/>
      <c r="D1290" s="39"/>
      <c r="E1290" s="7"/>
      <c r="F1290" s="34"/>
      <c r="G1290" s="8">
        <v>1899.0</v>
      </c>
      <c r="H1290" s="9"/>
      <c r="I1290" s="9"/>
      <c r="J1290" s="9"/>
      <c r="K1290" s="4"/>
      <c r="L1290" s="10"/>
      <c r="M1290" s="54"/>
      <c r="N1290" s="12" t="s">
        <v>200</v>
      </c>
      <c r="O1290" s="12" t="s">
        <v>200</v>
      </c>
      <c r="P1290" s="13"/>
      <c r="Q1290" s="12"/>
      <c r="R1290" s="14"/>
      <c r="S1290" s="15"/>
      <c r="T1290" s="4" t="b">
        <v>0</v>
      </c>
    </row>
    <row r="1291">
      <c r="A1291" s="16"/>
      <c r="B1291" s="17"/>
      <c r="C1291" s="24"/>
      <c r="D1291" s="44"/>
      <c r="E1291" s="19"/>
      <c r="F1291" s="35"/>
      <c r="G1291" s="20">
        <v>1899.0</v>
      </c>
      <c r="H1291" s="21"/>
      <c r="I1291" s="21"/>
      <c r="J1291" s="21"/>
      <c r="K1291" s="16"/>
      <c r="L1291" s="22"/>
      <c r="M1291" s="55"/>
      <c r="N1291" s="23" t="s">
        <v>200</v>
      </c>
      <c r="O1291" s="23" t="s">
        <v>200</v>
      </c>
      <c r="P1291" s="24"/>
      <c r="Q1291" s="23"/>
      <c r="R1291" s="25"/>
      <c r="S1291" s="26"/>
      <c r="T1291" s="16" t="b">
        <v>0</v>
      </c>
    </row>
    <row r="1292">
      <c r="A1292" s="4"/>
      <c r="B1292" s="5"/>
      <c r="C1292" s="13"/>
      <c r="D1292" s="39"/>
      <c r="E1292" s="7"/>
      <c r="F1292" s="34"/>
      <c r="G1292" s="8">
        <v>1899.0</v>
      </c>
      <c r="H1292" s="9"/>
      <c r="I1292" s="9"/>
      <c r="J1292" s="9"/>
      <c r="K1292" s="4"/>
      <c r="L1292" s="10"/>
      <c r="M1292" s="54"/>
      <c r="N1292" s="12" t="s">
        <v>200</v>
      </c>
      <c r="O1292" s="12" t="s">
        <v>200</v>
      </c>
      <c r="P1292" s="13"/>
      <c r="Q1292" s="12"/>
      <c r="R1292" s="14"/>
      <c r="S1292" s="15"/>
      <c r="T1292" s="4" t="b">
        <v>0</v>
      </c>
    </row>
    <row r="1293">
      <c r="A1293" s="16"/>
      <c r="B1293" s="17"/>
      <c r="C1293" s="24"/>
      <c r="D1293" s="44"/>
      <c r="E1293" s="19"/>
      <c r="F1293" s="35"/>
      <c r="G1293" s="20">
        <v>1899.0</v>
      </c>
      <c r="H1293" s="21"/>
      <c r="I1293" s="21"/>
      <c r="J1293" s="21"/>
      <c r="K1293" s="16"/>
      <c r="L1293" s="22"/>
      <c r="M1293" s="55"/>
      <c r="N1293" s="23" t="s">
        <v>200</v>
      </c>
      <c r="O1293" s="23" t="s">
        <v>200</v>
      </c>
      <c r="P1293" s="24"/>
      <c r="Q1293" s="23"/>
      <c r="R1293" s="25"/>
      <c r="S1293" s="26"/>
      <c r="T1293" s="16" t="b">
        <v>0</v>
      </c>
    </row>
    <row r="1294">
      <c r="A1294" s="4"/>
      <c r="B1294" s="5"/>
      <c r="C1294" s="13"/>
      <c r="D1294" s="39"/>
      <c r="E1294" s="7"/>
      <c r="F1294" s="34"/>
      <c r="G1294" s="8">
        <v>1899.0</v>
      </c>
      <c r="H1294" s="9"/>
      <c r="I1294" s="9"/>
      <c r="J1294" s="9"/>
      <c r="K1294" s="4"/>
      <c r="L1294" s="10"/>
      <c r="M1294" s="54"/>
      <c r="N1294" s="12" t="s">
        <v>200</v>
      </c>
      <c r="O1294" s="12" t="s">
        <v>200</v>
      </c>
      <c r="P1294" s="13"/>
      <c r="Q1294" s="12"/>
      <c r="R1294" s="14"/>
      <c r="S1294" s="15"/>
      <c r="T1294" s="4" t="b">
        <v>0</v>
      </c>
    </row>
    <row r="1295">
      <c r="A1295" s="16"/>
      <c r="B1295" s="17"/>
      <c r="C1295" s="24"/>
      <c r="D1295" s="44"/>
      <c r="E1295" s="19"/>
      <c r="F1295" s="35"/>
      <c r="G1295" s="20">
        <v>1899.0</v>
      </c>
      <c r="H1295" s="21"/>
      <c r="I1295" s="21"/>
      <c r="J1295" s="21"/>
      <c r="K1295" s="16"/>
      <c r="L1295" s="22"/>
      <c r="M1295" s="55"/>
      <c r="N1295" s="23" t="s">
        <v>200</v>
      </c>
      <c r="O1295" s="23" t="s">
        <v>200</v>
      </c>
      <c r="P1295" s="24"/>
      <c r="Q1295" s="23"/>
      <c r="R1295" s="25"/>
      <c r="S1295" s="26"/>
      <c r="T1295" s="16" t="b">
        <v>0</v>
      </c>
    </row>
    <row r="1296">
      <c r="A1296" s="4"/>
      <c r="B1296" s="5"/>
      <c r="C1296" s="13"/>
      <c r="D1296" s="39"/>
      <c r="E1296" s="7"/>
      <c r="F1296" s="34"/>
      <c r="G1296" s="8">
        <v>1899.0</v>
      </c>
      <c r="H1296" s="9"/>
      <c r="I1296" s="9"/>
      <c r="J1296" s="9"/>
      <c r="K1296" s="4"/>
      <c r="L1296" s="10"/>
      <c r="M1296" s="54"/>
      <c r="N1296" s="12" t="s">
        <v>200</v>
      </c>
      <c r="O1296" s="12" t="s">
        <v>200</v>
      </c>
      <c r="P1296" s="13"/>
      <c r="Q1296" s="12"/>
      <c r="R1296" s="14"/>
      <c r="S1296" s="15"/>
      <c r="T1296" s="4" t="b">
        <v>0</v>
      </c>
    </row>
    <row r="1297">
      <c r="A1297" s="16"/>
      <c r="B1297" s="17"/>
      <c r="C1297" s="24"/>
      <c r="D1297" s="44"/>
      <c r="E1297" s="19"/>
      <c r="F1297" s="35"/>
      <c r="G1297" s="20">
        <v>1899.0</v>
      </c>
      <c r="H1297" s="21"/>
      <c r="I1297" s="21"/>
      <c r="J1297" s="21"/>
      <c r="K1297" s="16"/>
      <c r="L1297" s="22"/>
      <c r="M1297" s="55"/>
      <c r="N1297" s="23" t="s">
        <v>200</v>
      </c>
      <c r="O1297" s="23" t="s">
        <v>200</v>
      </c>
      <c r="P1297" s="24"/>
      <c r="Q1297" s="23"/>
      <c r="R1297" s="25"/>
      <c r="S1297" s="26"/>
      <c r="T1297" s="16" t="b">
        <v>0</v>
      </c>
    </row>
    <row r="1298">
      <c r="A1298" s="4"/>
      <c r="B1298" s="5"/>
      <c r="C1298" s="13"/>
      <c r="D1298" s="39"/>
      <c r="E1298" s="7"/>
      <c r="F1298" s="34"/>
      <c r="G1298" s="8">
        <v>1899.0</v>
      </c>
      <c r="H1298" s="9"/>
      <c r="I1298" s="9"/>
      <c r="J1298" s="9"/>
      <c r="K1298" s="4"/>
      <c r="L1298" s="10"/>
      <c r="M1298" s="54"/>
      <c r="N1298" s="12" t="s">
        <v>200</v>
      </c>
      <c r="O1298" s="12" t="s">
        <v>200</v>
      </c>
      <c r="P1298" s="13"/>
      <c r="Q1298" s="12"/>
      <c r="R1298" s="14"/>
      <c r="S1298" s="15"/>
      <c r="T1298" s="4" t="b">
        <v>0</v>
      </c>
    </row>
    <row r="1299">
      <c r="A1299" s="16"/>
      <c r="B1299" s="17"/>
      <c r="C1299" s="24"/>
      <c r="D1299" s="44"/>
      <c r="E1299" s="19"/>
      <c r="F1299" s="35"/>
      <c r="G1299" s="20">
        <v>1899.0</v>
      </c>
      <c r="H1299" s="21"/>
      <c r="I1299" s="21"/>
      <c r="J1299" s="21"/>
      <c r="K1299" s="16"/>
      <c r="L1299" s="22"/>
      <c r="M1299" s="55"/>
      <c r="N1299" s="23" t="s">
        <v>200</v>
      </c>
      <c r="O1299" s="23" t="s">
        <v>200</v>
      </c>
      <c r="P1299" s="24"/>
      <c r="Q1299" s="23"/>
      <c r="R1299" s="25"/>
      <c r="S1299" s="26"/>
      <c r="T1299" s="16" t="b">
        <v>0</v>
      </c>
    </row>
    <row r="1300">
      <c r="A1300" s="4"/>
      <c r="B1300" s="5"/>
      <c r="C1300" s="13"/>
      <c r="D1300" s="39"/>
      <c r="E1300" s="7"/>
      <c r="F1300" s="34"/>
      <c r="G1300" s="8">
        <v>1899.0</v>
      </c>
      <c r="H1300" s="9"/>
      <c r="I1300" s="9"/>
      <c r="J1300" s="9"/>
      <c r="K1300" s="4"/>
      <c r="L1300" s="10"/>
      <c r="M1300" s="54"/>
      <c r="N1300" s="12" t="s">
        <v>200</v>
      </c>
      <c r="O1300" s="12" t="s">
        <v>200</v>
      </c>
      <c r="P1300" s="13"/>
      <c r="Q1300" s="12"/>
      <c r="R1300" s="14"/>
      <c r="S1300" s="15"/>
      <c r="T1300" s="4" t="b">
        <v>0</v>
      </c>
    </row>
    <row r="1301">
      <c r="A1301" s="16"/>
      <c r="B1301" s="17"/>
      <c r="C1301" s="24"/>
      <c r="D1301" s="44"/>
      <c r="E1301" s="19"/>
      <c r="F1301" s="35"/>
      <c r="G1301" s="20">
        <v>1899.0</v>
      </c>
      <c r="H1301" s="21"/>
      <c r="I1301" s="21"/>
      <c r="J1301" s="21"/>
      <c r="K1301" s="16"/>
      <c r="L1301" s="22"/>
      <c r="M1301" s="55"/>
      <c r="N1301" s="23" t="s">
        <v>200</v>
      </c>
      <c r="O1301" s="23" t="s">
        <v>200</v>
      </c>
      <c r="P1301" s="24"/>
      <c r="Q1301" s="23"/>
      <c r="R1301" s="25"/>
      <c r="S1301" s="26"/>
      <c r="T1301" s="16" t="b">
        <v>0</v>
      </c>
    </row>
    <row r="1302">
      <c r="A1302" s="4"/>
      <c r="B1302" s="5"/>
      <c r="C1302" s="13"/>
      <c r="D1302" s="39"/>
      <c r="E1302" s="7"/>
      <c r="F1302" s="34"/>
      <c r="G1302" s="8">
        <v>1899.0</v>
      </c>
      <c r="H1302" s="9"/>
      <c r="I1302" s="9"/>
      <c r="J1302" s="9"/>
      <c r="K1302" s="4"/>
      <c r="L1302" s="10"/>
      <c r="M1302" s="54"/>
      <c r="N1302" s="12" t="s">
        <v>200</v>
      </c>
      <c r="O1302" s="12" t="s">
        <v>200</v>
      </c>
      <c r="P1302" s="13"/>
      <c r="Q1302" s="12"/>
      <c r="R1302" s="14"/>
      <c r="S1302" s="15"/>
      <c r="T1302" s="4" t="b">
        <v>0</v>
      </c>
    </row>
    <row r="1303">
      <c r="A1303" s="16"/>
      <c r="B1303" s="17"/>
      <c r="C1303" s="24"/>
      <c r="D1303" s="44"/>
      <c r="E1303" s="19"/>
      <c r="F1303" s="35"/>
      <c r="G1303" s="20">
        <v>1899.0</v>
      </c>
      <c r="H1303" s="21"/>
      <c r="I1303" s="21"/>
      <c r="J1303" s="21"/>
      <c r="K1303" s="16"/>
      <c r="L1303" s="22"/>
      <c r="M1303" s="55"/>
      <c r="N1303" s="23" t="s">
        <v>200</v>
      </c>
      <c r="O1303" s="23" t="s">
        <v>200</v>
      </c>
      <c r="P1303" s="24"/>
      <c r="Q1303" s="23"/>
      <c r="R1303" s="25"/>
      <c r="S1303" s="26"/>
      <c r="T1303" s="16" t="b">
        <v>0</v>
      </c>
    </row>
    <row r="1304">
      <c r="A1304" s="4"/>
      <c r="B1304" s="5"/>
      <c r="C1304" s="13"/>
      <c r="D1304" s="39"/>
      <c r="E1304" s="7"/>
      <c r="F1304" s="34"/>
      <c r="G1304" s="8">
        <v>1899.0</v>
      </c>
      <c r="H1304" s="9"/>
      <c r="I1304" s="9"/>
      <c r="J1304" s="9"/>
      <c r="K1304" s="4"/>
      <c r="L1304" s="10"/>
      <c r="M1304" s="54"/>
      <c r="N1304" s="12" t="s">
        <v>200</v>
      </c>
      <c r="O1304" s="12" t="s">
        <v>200</v>
      </c>
      <c r="P1304" s="13"/>
      <c r="Q1304" s="12"/>
      <c r="R1304" s="14"/>
      <c r="S1304" s="15"/>
      <c r="T1304" s="4" t="b">
        <v>0</v>
      </c>
    </row>
    <row r="1305">
      <c r="A1305" s="16"/>
      <c r="B1305" s="17"/>
      <c r="C1305" s="24"/>
      <c r="D1305" s="44"/>
      <c r="E1305" s="19"/>
      <c r="F1305" s="35"/>
      <c r="G1305" s="20">
        <v>1899.0</v>
      </c>
      <c r="H1305" s="21"/>
      <c r="I1305" s="21"/>
      <c r="J1305" s="21"/>
      <c r="K1305" s="16"/>
      <c r="L1305" s="22"/>
      <c r="M1305" s="55"/>
      <c r="N1305" s="23" t="s">
        <v>200</v>
      </c>
      <c r="O1305" s="23" t="s">
        <v>200</v>
      </c>
      <c r="P1305" s="24"/>
      <c r="Q1305" s="23"/>
      <c r="R1305" s="25"/>
      <c r="S1305" s="26"/>
      <c r="T1305" s="16" t="b">
        <v>0</v>
      </c>
    </row>
    <row r="1306">
      <c r="A1306" s="4"/>
      <c r="B1306" s="5"/>
      <c r="C1306" s="13"/>
      <c r="D1306" s="39"/>
      <c r="E1306" s="7"/>
      <c r="F1306" s="34"/>
      <c r="G1306" s="8">
        <v>1899.0</v>
      </c>
      <c r="H1306" s="9"/>
      <c r="I1306" s="9"/>
      <c r="J1306" s="9"/>
      <c r="K1306" s="4"/>
      <c r="L1306" s="10"/>
      <c r="M1306" s="54"/>
      <c r="N1306" s="12" t="s">
        <v>200</v>
      </c>
      <c r="O1306" s="12" t="s">
        <v>200</v>
      </c>
      <c r="P1306" s="13"/>
      <c r="Q1306" s="12"/>
      <c r="R1306" s="14"/>
      <c r="S1306" s="15"/>
      <c r="T1306" s="4" t="b">
        <v>0</v>
      </c>
    </row>
    <row r="1307">
      <c r="A1307" s="16"/>
      <c r="B1307" s="17"/>
      <c r="C1307" s="24"/>
      <c r="D1307" s="44"/>
      <c r="E1307" s="19"/>
      <c r="F1307" s="35"/>
      <c r="G1307" s="20">
        <v>1899.0</v>
      </c>
      <c r="H1307" s="21"/>
      <c r="I1307" s="21"/>
      <c r="J1307" s="21"/>
      <c r="K1307" s="16"/>
      <c r="L1307" s="22"/>
      <c r="M1307" s="55"/>
      <c r="N1307" s="23" t="s">
        <v>200</v>
      </c>
      <c r="O1307" s="23" t="s">
        <v>200</v>
      </c>
      <c r="P1307" s="24"/>
      <c r="Q1307" s="23"/>
      <c r="R1307" s="25"/>
      <c r="S1307" s="26"/>
      <c r="T1307" s="16" t="b">
        <v>0</v>
      </c>
    </row>
    <row r="1308">
      <c r="A1308" s="4"/>
      <c r="B1308" s="5"/>
      <c r="C1308" s="13"/>
      <c r="D1308" s="39"/>
      <c r="E1308" s="7"/>
      <c r="F1308" s="34"/>
      <c r="G1308" s="8">
        <v>1899.0</v>
      </c>
      <c r="H1308" s="9"/>
      <c r="I1308" s="9"/>
      <c r="J1308" s="9"/>
      <c r="K1308" s="4"/>
      <c r="L1308" s="10"/>
      <c r="M1308" s="54"/>
      <c r="N1308" s="12" t="s">
        <v>200</v>
      </c>
      <c r="O1308" s="12" t="s">
        <v>200</v>
      </c>
      <c r="P1308" s="13"/>
      <c r="Q1308" s="12"/>
      <c r="R1308" s="14"/>
      <c r="S1308" s="15"/>
      <c r="T1308" s="4" t="b">
        <v>0</v>
      </c>
    </row>
    <row r="1309">
      <c r="A1309" s="16"/>
      <c r="B1309" s="17"/>
      <c r="C1309" s="24"/>
      <c r="D1309" s="44"/>
      <c r="E1309" s="19"/>
      <c r="F1309" s="35"/>
      <c r="G1309" s="20">
        <v>1899.0</v>
      </c>
      <c r="H1309" s="21"/>
      <c r="I1309" s="21"/>
      <c r="J1309" s="21"/>
      <c r="K1309" s="16"/>
      <c r="L1309" s="22"/>
      <c r="M1309" s="55"/>
      <c r="N1309" s="23" t="s">
        <v>200</v>
      </c>
      <c r="O1309" s="23" t="s">
        <v>200</v>
      </c>
      <c r="P1309" s="24"/>
      <c r="Q1309" s="23"/>
      <c r="R1309" s="25"/>
      <c r="S1309" s="26"/>
      <c r="T1309" s="16" t="b">
        <v>0</v>
      </c>
    </row>
    <row r="1310">
      <c r="A1310" s="4"/>
      <c r="B1310" s="5"/>
      <c r="C1310" s="13"/>
      <c r="D1310" s="39"/>
      <c r="E1310" s="7"/>
      <c r="F1310" s="34"/>
      <c r="G1310" s="8">
        <v>1899.0</v>
      </c>
      <c r="H1310" s="9"/>
      <c r="I1310" s="9"/>
      <c r="J1310" s="9"/>
      <c r="K1310" s="4"/>
      <c r="L1310" s="10"/>
      <c r="M1310" s="54"/>
      <c r="N1310" s="12" t="s">
        <v>200</v>
      </c>
      <c r="O1310" s="12" t="s">
        <v>200</v>
      </c>
      <c r="P1310" s="13"/>
      <c r="Q1310" s="12"/>
      <c r="R1310" s="14"/>
      <c r="S1310" s="15"/>
      <c r="T1310" s="4" t="b">
        <v>0</v>
      </c>
    </row>
    <row r="1311">
      <c r="A1311" s="16"/>
      <c r="B1311" s="17"/>
      <c r="C1311" s="24"/>
      <c r="D1311" s="44"/>
      <c r="E1311" s="19"/>
      <c r="F1311" s="35"/>
      <c r="G1311" s="20">
        <v>1899.0</v>
      </c>
      <c r="H1311" s="21"/>
      <c r="I1311" s="21"/>
      <c r="J1311" s="21"/>
      <c r="K1311" s="16"/>
      <c r="L1311" s="22"/>
      <c r="M1311" s="55"/>
      <c r="N1311" s="23" t="s">
        <v>200</v>
      </c>
      <c r="O1311" s="23" t="s">
        <v>200</v>
      </c>
      <c r="P1311" s="24"/>
      <c r="Q1311" s="23"/>
      <c r="R1311" s="25"/>
      <c r="S1311" s="26"/>
      <c r="T1311" s="16" t="b">
        <v>0</v>
      </c>
    </row>
    <row r="1312">
      <c r="A1312" s="4"/>
      <c r="B1312" s="5"/>
      <c r="C1312" s="13"/>
      <c r="D1312" s="39"/>
      <c r="E1312" s="7"/>
      <c r="F1312" s="34"/>
      <c r="G1312" s="8">
        <v>1899.0</v>
      </c>
      <c r="H1312" s="9"/>
      <c r="I1312" s="9"/>
      <c r="J1312" s="9"/>
      <c r="K1312" s="4"/>
      <c r="L1312" s="10"/>
      <c r="M1312" s="54"/>
      <c r="N1312" s="12" t="s">
        <v>200</v>
      </c>
      <c r="O1312" s="12" t="s">
        <v>200</v>
      </c>
      <c r="P1312" s="13"/>
      <c r="Q1312" s="12"/>
      <c r="R1312" s="14"/>
      <c r="S1312" s="15"/>
      <c r="T1312" s="4" t="b">
        <v>0</v>
      </c>
    </row>
    <row r="1313">
      <c r="A1313" s="16"/>
      <c r="B1313" s="17"/>
      <c r="C1313" s="24"/>
      <c r="D1313" s="44"/>
      <c r="E1313" s="19"/>
      <c r="F1313" s="35"/>
      <c r="G1313" s="20">
        <v>1899.0</v>
      </c>
      <c r="H1313" s="21"/>
      <c r="I1313" s="21"/>
      <c r="J1313" s="21"/>
      <c r="K1313" s="16"/>
      <c r="L1313" s="22"/>
      <c r="M1313" s="55"/>
      <c r="N1313" s="23" t="s">
        <v>200</v>
      </c>
      <c r="O1313" s="23" t="s">
        <v>200</v>
      </c>
      <c r="P1313" s="24"/>
      <c r="Q1313" s="23"/>
      <c r="R1313" s="25"/>
      <c r="S1313" s="26"/>
      <c r="T1313" s="16" t="b">
        <v>0</v>
      </c>
    </row>
    <row r="1314">
      <c r="A1314" s="4"/>
      <c r="B1314" s="5"/>
      <c r="C1314" s="13"/>
      <c r="D1314" s="39"/>
      <c r="E1314" s="7"/>
      <c r="F1314" s="34"/>
      <c r="G1314" s="8">
        <v>1899.0</v>
      </c>
      <c r="H1314" s="9"/>
      <c r="I1314" s="9"/>
      <c r="J1314" s="9"/>
      <c r="K1314" s="4"/>
      <c r="L1314" s="10"/>
      <c r="M1314" s="54"/>
      <c r="N1314" s="12" t="s">
        <v>200</v>
      </c>
      <c r="O1314" s="12" t="s">
        <v>200</v>
      </c>
      <c r="P1314" s="13"/>
      <c r="Q1314" s="12"/>
      <c r="R1314" s="14"/>
      <c r="S1314" s="15"/>
      <c r="T1314" s="4" t="b">
        <v>0</v>
      </c>
    </row>
    <row r="1315">
      <c r="A1315" s="16"/>
      <c r="B1315" s="17"/>
      <c r="C1315" s="24"/>
      <c r="D1315" s="44"/>
      <c r="E1315" s="19"/>
      <c r="F1315" s="35"/>
      <c r="G1315" s="20">
        <v>1899.0</v>
      </c>
      <c r="H1315" s="21"/>
      <c r="I1315" s="21"/>
      <c r="J1315" s="21"/>
      <c r="K1315" s="16"/>
      <c r="L1315" s="22"/>
      <c r="M1315" s="55"/>
      <c r="N1315" s="23" t="s">
        <v>200</v>
      </c>
      <c r="O1315" s="23" t="s">
        <v>200</v>
      </c>
      <c r="P1315" s="24"/>
      <c r="Q1315" s="23"/>
      <c r="R1315" s="25"/>
      <c r="S1315" s="26"/>
      <c r="T1315" s="16" t="b">
        <v>0</v>
      </c>
    </row>
    <row r="1316">
      <c r="A1316" s="4"/>
      <c r="B1316" s="5"/>
      <c r="C1316" s="13"/>
      <c r="D1316" s="39"/>
      <c r="E1316" s="7"/>
      <c r="F1316" s="34"/>
      <c r="G1316" s="8">
        <v>1899.0</v>
      </c>
      <c r="H1316" s="9"/>
      <c r="I1316" s="9"/>
      <c r="J1316" s="9"/>
      <c r="K1316" s="4"/>
      <c r="L1316" s="10"/>
      <c r="M1316" s="54"/>
      <c r="N1316" s="12" t="s">
        <v>200</v>
      </c>
      <c r="O1316" s="12" t="s">
        <v>200</v>
      </c>
      <c r="P1316" s="13"/>
      <c r="Q1316" s="12"/>
      <c r="R1316" s="14"/>
      <c r="S1316" s="15"/>
      <c r="T1316" s="4" t="b">
        <v>0</v>
      </c>
    </row>
    <row r="1317">
      <c r="A1317" s="16"/>
      <c r="B1317" s="17"/>
      <c r="C1317" s="24"/>
      <c r="D1317" s="44"/>
      <c r="E1317" s="19"/>
      <c r="F1317" s="35"/>
      <c r="G1317" s="20">
        <v>1899.0</v>
      </c>
      <c r="H1317" s="21"/>
      <c r="I1317" s="21"/>
      <c r="J1317" s="21"/>
      <c r="K1317" s="16"/>
      <c r="L1317" s="22"/>
      <c r="M1317" s="55"/>
      <c r="N1317" s="23" t="s">
        <v>200</v>
      </c>
      <c r="O1317" s="23" t="s">
        <v>200</v>
      </c>
      <c r="P1317" s="24"/>
      <c r="Q1317" s="23"/>
      <c r="R1317" s="25"/>
      <c r="S1317" s="26"/>
      <c r="T1317" s="16" t="b">
        <v>0</v>
      </c>
    </row>
    <row r="1318">
      <c r="A1318" s="4"/>
      <c r="B1318" s="5"/>
      <c r="C1318" s="13"/>
      <c r="D1318" s="39"/>
      <c r="E1318" s="7"/>
      <c r="F1318" s="34"/>
      <c r="G1318" s="8">
        <v>1899.0</v>
      </c>
      <c r="H1318" s="9"/>
      <c r="I1318" s="9"/>
      <c r="J1318" s="9"/>
      <c r="K1318" s="4"/>
      <c r="L1318" s="10"/>
      <c r="M1318" s="54"/>
      <c r="N1318" s="12" t="s">
        <v>200</v>
      </c>
      <c r="O1318" s="12" t="s">
        <v>200</v>
      </c>
      <c r="P1318" s="13"/>
      <c r="Q1318" s="12"/>
      <c r="R1318" s="14"/>
      <c r="S1318" s="15"/>
      <c r="T1318" s="4" t="b">
        <v>0</v>
      </c>
    </row>
    <row r="1319">
      <c r="A1319" s="16"/>
      <c r="B1319" s="17"/>
      <c r="C1319" s="24"/>
      <c r="D1319" s="44"/>
      <c r="E1319" s="19"/>
      <c r="F1319" s="35"/>
      <c r="G1319" s="20">
        <v>1899.0</v>
      </c>
      <c r="H1319" s="21"/>
      <c r="I1319" s="21"/>
      <c r="J1319" s="21"/>
      <c r="K1319" s="16"/>
      <c r="L1319" s="22"/>
      <c r="M1319" s="55"/>
      <c r="N1319" s="23" t="s">
        <v>200</v>
      </c>
      <c r="O1319" s="23" t="s">
        <v>200</v>
      </c>
      <c r="P1319" s="24"/>
      <c r="Q1319" s="23"/>
      <c r="R1319" s="25"/>
      <c r="S1319" s="26"/>
      <c r="T1319" s="16" t="b">
        <v>0</v>
      </c>
    </row>
    <row r="1320">
      <c r="A1320" s="4"/>
      <c r="B1320" s="5"/>
      <c r="C1320" s="13"/>
      <c r="D1320" s="39"/>
      <c r="E1320" s="7"/>
      <c r="F1320" s="34"/>
      <c r="G1320" s="8">
        <v>1899.0</v>
      </c>
      <c r="H1320" s="9"/>
      <c r="I1320" s="9"/>
      <c r="J1320" s="9"/>
      <c r="K1320" s="4"/>
      <c r="L1320" s="10"/>
      <c r="M1320" s="54"/>
      <c r="N1320" s="12" t="s">
        <v>200</v>
      </c>
      <c r="O1320" s="12" t="s">
        <v>200</v>
      </c>
      <c r="P1320" s="13"/>
      <c r="Q1320" s="12"/>
      <c r="R1320" s="14"/>
      <c r="S1320" s="15"/>
      <c r="T1320" s="4" t="b">
        <v>0</v>
      </c>
    </row>
    <row r="1321">
      <c r="A1321" s="16"/>
      <c r="B1321" s="17"/>
      <c r="C1321" s="24"/>
      <c r="D1321" s="44"/>
      <c r="E1321" s="19"/>
      <c r="F1321" s="35"/>
      <c r="G1321" s="20">
        <v>1899.0</v>
      </c>
      <c r="H1321" s="21"/>
      <c r="I1321" s="21"/>
      <c r="J1321" s="21"/>
      <c r="K1321" s="16"/>
      <c r="L1321" s="22"/>
      <c r="M1321" s="55"/>
      <c r="N1321" s="23" t="s">
        <v>200</v>
      </c>
      <c r="O1321" s="23" t="s">
        <v>200</v>
      </c>
      <c r="P1321" s="24"/>
      <c r="Q1321" s="23"/>
      <c r="R1321" s="25"/>
      <c r="S1321" s="26"/>
      <c r="T1321" s="16" t="b">
        <v>0</v>
      </c>
    </row>
    <row r="1322">
      <c r="A1322" s="4"/>
      <c r="B1322" s="5"/>
      <c r="C1322" s="13"/>
      <c r="D1322" s="39"/>
      <c r="E1322" s="7"/>
      <c r="F1322" s="34"/>
      <c r="G1322" s="8">
        <v>1899.0</v>
      </c>
      <c r="H1322" s="9"/>
      <c r="I1322" s="9"/>
      <c r="J1322" s="9"/>
      <c r="K1322" s="4"/>
      <c r="L1322" s="10"/>
      <c r="M1322" s="54"/>
      <c r="N1322" s="12" t="s">
        <v>200</v>
      </c>
      <c r="O1322" s="12" t="s">
        <v>200</v>
      </c>
      <c r="P1322" s="13"/>
      <c r="Q1322" s="12"/>
      <c r="R1322" s="14"/>
      <c r="S1322" s="15"/>
      <c r="T1322" s="4" t="b">
        <v>0</v>
      </c>
    </row>
    <row r="1323">
      <c r="A1323" s="16"/>
      <c r="B1323" s="17"/>
      <c r="C1323" s="24"/>
      <c r="D1323" s="44"/>
      <c r="E1323" s="19"/>
      <c r="F1323" s="35"/>
      <c r="G1323" s="20">
        <v>1899.0</v>
      </c>
      <c r="H1323" s="21"/>
      <c r="I1323" s="21"/>
      <c r="J1323" s="21"/>
      <c r="K1323" s="16"/>
      <c r="L1323" s="22"/>
      <c r="M1323" s="55"/>
      <c r="N1323" s="23" t="s">
        <v>200</v>
      </c>
      <c r="O1323" s="23" t="s">
        <v>200</v>
      </c>
      <c r="P1323" s="24"/>
      <c r="Q1323" s="23"/>
      <c r="R1323" s="25"/>
      <c r="S1323" s="26"/>
      <c r="T1323" s="16" t="b">
        <v>0</v>
      </c>
    </row>
    <row r="1324">
      <c r="A1324" s="4"/>
      <c r="B1324" s="5"/>
      <c r="C1324" s="13"/>
      <c r="D1324" s="39"/>
      <c r="E1324" s="7"/>
      <c r="F1324" s="34"/>
      <c r="G1324" s="8">
        <v>1899.0</v>
      </c>
      <c r="H1324" s="9"/>
      <c r="I1324" s="9"/>
      <c r="J1324" s="9"/>
      <c r="K1324" s="4"/>
      <c r="L1324" s="10"/>
      <c r="M1324" s="54"/>
      <c r="N1324" s="12" t="s">
        <v>200</v>
      </c>
      <c r="O1324" s="12" t="s">
        <v>200</v>
      </c>
      <c r="P1324" s="13"/>
      <c r="Q1324" s="12"/>
      <c r="R1324" s="14"/>
      <c r="S1324" s="15"/>
      <c r="T1324" s="4" t="b">
        <v>0</v>
      </c>
    </row>
    <row r="1325">
      <c r="A1325" s="16"/>
      <c r="B1325" s="17"/>
      <c r="C1325" s="24"/>
      <c r="D1325" s="44"/>
      <c r="E1325" s="19"/>
      <c r="F1325" s="35"/>
      <c r="G1325" s="20">
        <v>1899.0</v>
      </c>
      <c r="H1325" s="21"/>
      <c r="I1325" s="21"/>
      <c r="J1325" s="21"/>
      <c r="K1325" s="16"/>
      <c r="L1325" s="22"/>
      <c r="M1325" s="55"/>
      <c r="N1325" s="23" t="s">
        <v>200</v>
      </c>
      <c r="O1325" s="23" t="s">
        <v>200</v>
      </c>
      <c r="P1325" s="24"/>
      <c r="Q1325" s="23"/>
      <c r="R1325" s="25"/>
      <c r="S1325" s="26"/>
      <c r="T1325" s="16" t="b">
        <v>0</v>
      </c>
    </row>
    <row r="1326">
      <c r="A1326" s="4"/>
      <c r="B1326" s="5"/>
      <c r="C1326" s="13"/>
      <c r="D1326" s="39"/>
      <c r="E1326" s="7"/>
      <c r="F1326" s="34"/>
      <c r="G1326" s="8">
        <v>1899.0</v>
      </c>
      <c r="H1326" s="9"/>
      <c r="I1326" s="9"/>
      <c r="J1326" s="9"/>
      <c r="K1326" s="4"/>
      <c r="L1326" s="10"/>
      <c r="M1326" s="54"/>
      <c r="N1326" s="12" t="s">
        <v>200</v>
      </c>
      <c r="O1326" s="12" t="s">
        <v>200</v>
      </c>
      <c r="P1326" s="13"/>
      <c r="Q1326" s="12"/>
      <c r="R1326" s="14"/>
      <c r="S1326" s="15"/>
      <c r="T1326" s="4" t="b">
        <v>0</v>
      </c>
    </row>
    <row r="1327">
      <c r="A1327" s="16"/>
      <c r="B1327" s="17"/>
      <c r="C1327" s="24"/>
      <c r="D1327" s="44"/>
      <c r="E1327" s="19"/>
      <c r="F1327" s="35"/>
      <c r="G1327" s="20">
        <v>1899.0</v>
      </c>
      <c r="H1327" s="21"/>
      <c r="I1327" s="21"/>
      <c r="J1327" s="21"/>
      <c r="K1327" s="16"/>
      <c r="L1327" s="22"/>
      <c r="M1327" s="55"/>
      <c r="N1327" s="23" t="s">
        <v>200</v>
      </c>
      <c r="O1327" s="23" t="s">
        <v>200</v>
      </c>
      <c r="P1327" s="24"/>
      <c r="Q1327" s="23"/>
      <c r="R1327" s="25"/>
      <c r="S1327" s="26"/>
      <c r="T1327" s="16" t="b">
        <v>0</v>
      </c>
    </row>
    <row r="1328">
      <c r="A1328" s="4"/>
      <c r="B1328" s="5"/>
      <c r="C1328" s="13"/>
      <c r="D1328" s="39"/>
      <c r="E1328" s="7"/>
      <c r="F1328" s="34"/>
      <c r="G1328" s="8">
        <v>1899.0</v>
      </c>
      <c r="H1328" s="9"/>
      <c r="I1328" s="9"/>
      <c r="J1328" s="9"/>
      <c r="K1328" s="4"/>
      <c r="L1328" s="10"/>
      <c r="M1328" s="54"/>
      <c r="N1328" s="12" t="s">
        <v>200</v>
      </c>
      <c r="O1328" s="12" t="s">
        <v>200</v>
      </c>
      <c r="P1328" s="13"/>
      <c r="Q1328" s="12"/>
      <c r="R1328" s="14"/>
      <c r="S1328" s="15"/>
      <c r="T1328" s="4" t="b">
        <v>0</v>
      </c>
    </row>
    <row r="1329">
      <c r="A1329" s="16"/>
      <c r="B1329" s="17"/>
      <c r="C1329" s="24"/>
      <c r="D1329" s="44"/>
      <c r="E1329" s="19"/>
      <c r="F1329" s="35"/>
      <c r="G1329" s="20">
        <v>1899.0</v>
      </c>
      <c r="H1329" s="21"/>
      <c r="I1329" s="21"/>
      <c r="J1329" s="21"/>
      <c r="K1329" s="16"/>
      <c r="L1329" s="22"/>
      <c r="M1329" s="55"/>
      <c r="N1329" s="23" t="s">
        <v>200</v>
      </c>
      <c r="O1329" s="23" t="s">
        <v>200</v>
      </c>
      <c r="P1329" s="24"/>
      <c r="Q1329" s="23"/>
      <c r="R1329" s="25"/>
      <c r="S1329" s="26"/>
      <c r="T1329" s="16" t="b">
        <v>0</v>
      </c>
    </row>
    <row r="1330">
      <c r="A1330" s="4"/>
      <c r="B1330" s="5"/>
      <c r="C1330" s="13"/>
      <c r="D1330" s="39"/>
      <c r="E1330" s="7"/>
      <c r="F1330" s="34"/>
      <c r="G1330" s="8">
        <v>1899.0</v>
      </c>
      <c r="H1330" s="9"/>
      <c r="I1330" s="9"/>
      <c r="J1330" s="9"/>
      <c r="K1330" s="4"/>
      <c r="L1330" s="10"/>
      <c r="M1330" s="54"/>
      <c r="N1330" s="12" t="s">
        <v>200</v>
      </c>
      <c r="O1330" s="12" t="s">
        <v>200</v>
      </c>
      <c r="P1330" s="13"/>
      <c r="Q1330" s="12"/>
      <c r="R1330" s="14"/>
      <c r="S1330" s="15"/>
      <c r="T1330" s="4" t="b">
        <v>0</v>
      </c>
    </row>
    <row r="1331">
      <c r="A1331" s="16"/>
      <c r="B1331" s="17"/>
      <c r="C1331" s="24"/>
      <c r="D1331" s="44"/>
      <c r="E1331" s="19"/>
      <c r="F1331" s="35"/>
      <c r="G1331" s="20">
        <v>1899.0</v>
      </c>
      <c r="H1331" s="21"/>
      <c r="I1331" s="21"/>
      <c r="J1331" s="21"/>
      <c r="K1331" s="16"/>
      <c r="L1331" s="22"/>
      <c r="M1331" s="55"/>
      <c r="N1331" s="23" t="s">
        <v>200</v>
      </c>
      <c r="O1331" s="23" t="s">
        <v>200</v>
      </c>
      <c r="P1331" s="24"/>
      <c r="Q1331" s="23"/>
      <c r="R1331" s="25"/>
      <c r="S1331" s="26"/>
      <c r="T1331" s="16" t="b">
        <v>0</v>
      </c>
    </row>
    <row r="1332">
      <c r="A1332" s="4"/>
      <c r="B1332" s="5"/>
      <c r="C1332" s="13"/>
      <c r="D1332" s="39"/>
      <c r="E1332" s="7"/>
      <c r="F1332" s="34"/>
      <c r="G1332" s="8">
        <v>1899.0</v>
      </c>
      <c r="H1332" s="9"/>
      <c r="I1332" s="9"/>
      <c r="J1332" s="9"/>
      <c r="K1332" s="4"/>
      <c r="L1332" s="10"/>
      <c r="M1332" s="54"/>
      <c r="N1332" s="12" t="s">
        <v>200</v>
      </c>
      <c r="O1332" s="12" t="s">
        <v>200</v>
      </c>
      <c r="P1332" s="13"/>
      <c r="Q1332" s="12"/>
      <c r="R1332" s="14"/>
      <c r="S1332" s="15"/>
      <c r="T1332" s="4" t="b">
        <v>0</v>
      </c>
    </row>
    <row r="1333">
      <c r="A1333" s="16"/>
      <c r="B1333" s="17"/>
      <c r="C1333" s="24"/>
      <c r="D1333" s="44"/>
      <c r="E1333" s="19"/>
      <c r="F1333" s="35"/>
      <c r="G1333" s="20">
        <v>1899.0</v>
      </c>
      <c r="H1333" s="21"/>
      <c r="I1333" s="21"/>
      <c r="J1333" s="21"/>
      <c r="K1333" s="16"/>
      <c r="L1333" s="22"/>
      <c r="M1333" s="55"/>
      <c r="N1333" s="23" t="s">
        <v>200</v>
      </c>
      <c r="O1333" s="23" t="s">
        <v>200</v>
      </c>
      <c r="P1333" s="24"/>
      <c r="Q1333" s="23"/>
      <c r="R1333" s="25"/>
      <c r="S1333" s="26"/>
      <c r="T1333" s="16" t="b">
        <v>0</v>
      </c>
    </row>
    <row r="1334">
      <c r="A1334" s="4"/>
      <c r="B1334" s="5"/>
      <c r="C1334" s="13"/>
      <c r="D1334" s="39"/>
      <c r="E1334" s="7"/>
      <c r="F1334" s="34"/>
      <c r="G1334" s="8">
        <v>1899.0</v>
      </c>
      <c r="H1334" s="9"/>
      <c r="I1334" s="9"/>
      <c r="J1334" s="9"/>
      <c r="K1334" s="4"/>
      <c r="L1334" s="10"/>
      <c r="M1334" s="54"/>
      <c r="N1334" s="12" t="s">
        <v>200</v>
      </c>
      <c r="O1334" s="12" t="s">
        <v>200</v>
      </c>
      <c r="P1334" s="13"/>
      <c r="Q1334" s="12"/>
      <c r="R1334" s="14"/>
      <c r="S1334" s="15"/>
      <c r="T1334" s="4" t="b">
        <v>0</v>
      </c>
    </row>
    <row r="1335">
      <c r="A1335" s="16"/>
      <c r="B1335" s="17"/>
      <c r="C1335" s="24"/>
      <c r="D1335" s="44"/>
      <c r="E1335" s="19"/>
      <c r="F1335" s="35"/>
      <c r="G1335" s="20">
        <v>1899.0</v>
      </c>
      <c r="H1335" s="21"/>
      <c r="I1335" s="21"/>
      <c r="J1335" s="21"/>
      <c r="K1335" s="16"/>
      <c r="L1335" s="22"/>
      <c r="M1335" s="55"/>
      <c r="N1335" s="23" t="s">
        <v>200</v>
      </c>
      <c r="O1335" s="23" t="s">
        <v>200</v>
      </c>
      <c r="P1335" s="24"/>
      <c r="Q1335" s="23"/>
      <c r="R1335" s="25"/>
      <c r="S1335" s="26"/>
      <c r="T1335" s="16" t="b">
        <v>0</v>
      </c>
    </row>
    <row r="1336">
      <c r="A1336" s="4"/>
      <c r="B1336" s="5"/>
      <c r="C1336" s="13"/>
      <c r="D1336" s="39"/>
      <c r="E1336" s="7"/>
      <c r="F1336" s="34"/>
      <c r="G1336" s="8">
        <v>1899.0</v>
      </c>
      <c r="H1336" s="9"/>
      <c r="I1336" s="9"/>
      <c r="J1336" s="9"/>
      <c r="K1336" s="4"/>
      <c r="L1336" s="10"/>
      <c r="M1336" s="54"/>
      <c r="N1336" s="12" t="s">
        <v>200</v>
      </c>
      <c r="O1336" s="12" t="s">
        <v>200</v>
      </c>
      <c r="P1336" s="13"/>
      <c r="Q1336" s="12"/>
      <c r="R1336" s="14"/>
      <c r="S1336" s="15"/>
      <c r="T1336" s="4" t="b">
        <v>0</v>
      </c>
    </row>
    <row r="1337">
      <c r="A1337" s="16"/>
      <c r="B1337" s="17"/>
      <c r="C1337" s="24"/>
      <c r="D1337" s="44"/>
      <c r="E1337" s="19"/>
      <c r="F1337" s="35"/>
      <c r="G1337" s="20">
        <v>1899.0</v>
      </c>
      <c r="H1337" s="21"/>
      <c r="I1337" s="21"/>
      <c r="J1337" s="21"/>
      <c r="K1337" s="16"/>
      <c r="L1337" s="22"/>
      <c r="M1337" s="55"/>
      <c r="N1337" s="23" t="s">
        <v>200</v>
      </c>
      <c r="O1337" s="23" t="s">
        <v>200</v>
      </c>
      <c r="P1337" s="24"/>
      <c r="Q1337" s="23"/>
      <c r="R1337" s="25"/>
      <c r="S1337" s="26"/>
      <c r="T1337" s="16" t="b">
        <v>0</v>
      </c>
    </row>
    <row r="1338">
      <c r="A1338" s="4"/>
      <c r="B1338" s="5"/>
      <c r="C1338" s="13"/>
      <c r="D1338" s="39"/>
      <c r="E1338" s="7"/>
      <c r="F1338" s="34"/>
      <c r="G1338" s="8">
        <v>1899.0</v>
      </c>
      <c r="H1338" s="9"/>
      <c r="I1338" s="9"/>
      <c r="J1338" s="9"/>
      <c r="K1338" s="4"/>
      <c r="L1338" s="10"/>
      <c r="M1338" s="54"/>
      <c r="N1338" s="12" t="s">
        <v>200</v>
      </c>
      <c r="O1338" s="12" t="s">
        <v>200</v>
      </c>
      <c r="P1338" s="13"/>
      <c r="Q1338" s="12"/>
      <c r="R1338" s="14"/>
      <c r="S1338" s="15"/>
      <c r="T1338" s="4" t="b">
        <v>0</v>
      </c>
    </row>
    <row r="1339">
      <c r="A1339" s="16"/>
      <c r="B1339" s="17"/>
      <c r="C1339" s="24"/>
      <c r="D1339" s="44"/>
      <c r="E1339" s="19"/>
      <c r="F1339" s="35"/>
      <c r="G1339" s="20">
        <v>1899.0</v>
      </c>
      <c r="H1339" s="21"/>
      <c r="I1339" s="21"/>
      <c r="J1339" s="21"/>
      <c r="K1339" s="16"/>
      <c r="L1339" s="22"/>
      <c r="M1339" s="55"/>
      <c r="N1339" s="23" t="s">
        <v>200</v>
      </c>
      <c r="O1339" s="23" t="s">
        <v>200</v>
      </c>
      <c r="P1339" s="24"/>
      <c r="Q1339" s="23"/>
      <c r="R1339" s="25"/>
      <c r="S1339" s="26"/>
      <c r="T1339" s="16" t="b">
        <v>0</v>
      </c>
    </row>
    <row r="1340">
      <c r="A1340" s="4"/>
      <c r="B1340" s="5"/>
      <c r="C1340" s="13"/>
      <c r="D1340" s="39"/>
      <c r="E1340" s="7"/>
      <c r="F1340" s="34"/>
      <c r="G1340" s="8">
        <v>1899.0</v>
      </c>
      <c r="H1340" s="9"/>
      <c r="I1340" s="9"/>
      <c r="J1340" s="9"/>
      <c r="K1340" s="4"/>
      <c r="L1340" s="10"/>
      <c r="M1340" s="54"/>
      <c r="N1340" s="12" t="s">
        <v>200</v>
      </c>
      <c r="O1340" s="12" t="s">
        <v>200</v>
      </c>
      <c r="P1340" s="13"/>
      <c r="Q1340" s="12"/>
      <c r="R1340" s="14"/>
      <c r="S1340" s="15"/>
      <c r="T1340" s="4" t="b">
        <v>0</v>
      </c>
    </row>
    <row r="1341">
      <c r="A1341" s="16"/>
      <c r="B1341" s="17"/>
      <c r="C1341" s="24"/>
      <c r="D1341" s="44"/>
      <c r="E1341" s="19"/>
      <c r="F1341" s="35"/>
      <c r="G1341" s="20">
        <v>1899.0</v>
      </c>
      <c r="H1341" s="21"/>
      <c r="I1341" s="21"/>
      <c r="J1341" s="21"/>
      <c r="K1341" s="16"/>
      <c r="L1341" s="22"/>
      <c r="M1341" s="55"/>
      <c r="N1341" s="23" t="s">
        <v>200</v>
      </c>
      <c r="O1341" s="23" t="s">
        <v>200</v>
      </c>
      <c r="P1341" s="24"/>
      <c r="Q1341" s="23"/>
      <c r="R1341" s="25"/>
      <c r="S1341" s="26"/>
      <c r="T1341" s="16" t="b">
        <v>0</v>
      </c>
    </row>
    <row r="1342">
      <c r="A1342" s="4"/>
      <c r="B1342" s="5"/>
      <c r="C1342" s="13"/>
      <c r="D1342" s="39"/>
      <c r="E1342" s="7"/>
      <c r="F1342" s="34"/>
      <c r="G1342" s="8">
        <v>1899.0</v>
      </c>
      <c r="H1342" s="9"/>
      <c r="I1342" s="9"/>
      <c r="J1342" s="9"/>
      <c r="K1342" s="4"/>
      <c r="L1342" s="10"/>
      <c r="M1342" s="54"/>
      <c r="N1342" s="12" t="s">
        <v>200</v>
      </c>
      <c r="O1342" s="12" t="s">
        <v>200</v>
      </c>
      <c r="P1342" s="13"/>
      <c r="Q1342" s="12"/>
      <c r="R1342" s="14"/>
      <c r="S1342" s="15"/>
      <c r="T1342" s="4" t="b">
        <v>0</v>
      </c>
    </row>
    <row r="1343">
      <c r="A1343" s="16"/>
      <c r="B1343" s="17"/>
      <c r="C1343" s="24"/>
      <c r="D1343" s="44"/>
      <c r="E1343" s="19"/>
      <c r="F1343" s="35"/>
      <c r="G1343" s="20">
        <v>1899.0</v>
      </c>
      <c r="H1343" s="21"/>
      <c r="I1343" s="21"/>
      <c r="J1343" s="21"/>
      <c r="K1343" s="16"/>
      <c r="L1343" s="22"/>
      <c r="M1343" s="55"/>
      <c r="N1343" s="23" t="s">
        <v>200</v>
      </c>
      <c r="O1343" s="23" t="s">
        <v>200</v>
      </c>
      <c r="P1343" s="24"/>
      <c r="Q1343" s="23"/>
      <c r="R1343" s="25"/>
      <c r="S1343" s="26"/>
      <c r="T1343" s="16" t="b">
        <v>0</v>
      </c>
    </row>
    <row r="1344">
      <c r="A1344" s="4"/>
      <c r="B1344" s="5"/>
      <c r="C1344" s="13"/>
      <c r="D1344" s="39"/>
      <c r="E1344" s="7"/>
      <c r="F1344" s="34"/>
      <c r="G1344" s="8">
        <v>1899.0</v>
      </c>
      <c r="H1344" s="9"/>
      <c r="I1344" s="9"/>
      <c r="J1344" s="9"/>
      <c r="K1344" s="4"/>
      <c r="L1344" s="10"/>
      <c r="M1344" s="54"/>
      <c r="N1344" s="12" t="s">
        <v>200</v>
      </c>
      <c r="O1344" s="12" t="s">
        <v>200</v>
      </c>
      <c r="P1344" s="13"/>
      <c r="Q1344" s="12"/>
      <c r="R1344" s="14"/>
      <c r="S1344" s="15"/>
      <c r="T1344" s="4" t="b">
        <v>0</v>
      </c>
    </row>
    <row r="1345">
      <c r="A1345" s="16"/>
      <c r="B1345" s="17"/>
      <c r="C1345" s="24"/>
      <c r="D1345" s="44"/>
      <c r="E1345" s="19"/>
      <c r="F1345" s="35"/>
      <c r="G1345" s="20">
        <v>1899.0</v>
      </c>
      <c r="H1345" s="21"/>
      <c r="I1345" s="21"/>
      <c r="J1345" s="21"/>
      <c r="K1345" s="16"/>
      <c r="L1345" s="22"/>
      <c r="M1345" s="55"/>
      <c r="N1345" s="23" t="s">
        <v>200</v>
      </c>
      <c r="O1345" s="23" t="s">
        <v>200</v>
      </c>
      <c r="P1345" s="24"/>
      <c r="Q1345" s="23"/>
      <c r="R1345" s="25"/>
      <c r="S1345" s="26"/>
      <c r="T1345" s="16" t="b">
        <v>0</v>
      </c>
    </row>
    <row r="1346">
      <c r="A1346" s="4"/>
      <c r="B1346" s="5"/>
      <c r="C1346" s="13"/>
      <c r="D1346" s="39"/>
      <c r="E1346" s="7"/>
      <c r="F1346" s="34"/>
      <c r="G1346" s="8">
        <v>1899.0</v>
      </c>
      <c r="H1346" s="9"/>
      <c r="I1346" s="9"/>
      <c r="J1346" s="9"/>
      <c r="K1346" s="4"/>
      <c r="L1346" s="10"/>
      <c r="M1346" s="54"/>
      <c r="N1346" s="12" t="s">
        <v>200</v>
      </c>
      <c r="O1346" s="12" t="s">
        <v>200</v>
      </c>
      <c r="P1346" s="13"/>
      <c r="Q1346" s="12"/>
      <c r="R1346" s="14"/>
      <c r="S1346" s="15"/>
      <c r="T1346" s="4" t="b">
        <v>0</v>
      </c>
    </row>
    <row r="1347">
      <c r="A1347" s="16"/>
      <c r="B1347" s="17"/>
      <c r="C1347" s="24"/>
      <c r="D1347" s="44"/>
      <c r="E1347" s="19"/>
      <c r="F1347" s="35"/>
      <c r="G1347" s="20">
        <v>1899.0</v>
      </c>
      <c r="H1347" s="21"/>
      <c r="I1347" s="21"/>
      <c r="J1347" s="21"/>
      <c r="K1347" s="16"/>
      <c r="L1347" s="22"/>
      <c r="M1347" s="55"/>
      <c r="N1347" s="23" t="s">
        <v>200</v>
      </c>
      <c r="O1347" s="23" t="s">
        <v>200</v>
      </c>
      <c r="P1347" s="24"/>
      <c r="Q1347" s="23"/>
      <c r="R1347" s="25"/>
      <c r="S1347" s="26"/>
      <c r="T1347" s="16" t="b">
        <v>0</v>
      </c>
    </row>
    <row r="1348">
      <c r="A1348" s="4"/>
      <c r="B1348" s="5"/>
      <c r="C1348" s="13"/>
      <c r="D1348" s="39"/>
      <c r="E1348" s="7"/>
      <c r="F1348" s="34"/>
      <c r="G1348" s="8">
        <v>1899.0</v>
      </c>
      <c r="H1348" s="9"/>
      <c r="I1348" s="9"/>
      <c r="J1348" s="9"/>
      <c r="K1348" s="4"/>
      <c r="L1348" s="10"/>
      <c r="M1348" s="54"/>
      <c r="N1348" s="12" t="s">
        <v>200</v>
      </c>
      <c r="O1348" s="12" t="s">
        <v>200</v>
      </c>
      <c r="P1348" s="13"/>
      <c r="Q1348" s="12"/>
      <c r="R1348" s="14"/>
      <c r="S1348" s="15"/>
      <c r="T1348" s="4" t="b">
        <v>0</v>
      </c>
    </row>
    <row r="1349">
      <c r="A1349" s="16"/>
      <c r="B1349" s="17"/>
      <c r="C1349" s="24"/>
      <c r="D1349" s="44"/>
      <c r="E1349" s="19"/>
      <c r="F1349" s="35"/>
      <c r="G1349" s="20">
        <v>1899.0</v>
      </c>
      <c r="H1349" s="21"/>
      <c r="I1349" s="21"/>
      <c r="J1349" s="21"/>
      <c r="K1349" s="16"/>
      <c r="L1349" s="22"/>
      <c r="M1349" s="55"/>
      <c r="N1349" s="23" t="s">
        <v>200</v>
      </c>
      <c r="O1349" s="23" t="s">
        <v>200</v>
      </c>
      <c r="P1349" s="24"/>
      <c r="Q1349" s="23"/>
      <c r="R1349" s="25"/>
      <c r="S1349" s="26"/>
      <c r="T1349" s="16" t="b">
        <v>0</v>
      </c>
    </row>
    <row r="1350">
      <c r="A1350" s="4"/>
      <c r="B1350" s="5"/>
      <c r="C1350" s="13"/>
      <c r="D1350" s="39"/>
      <c r="E1350" s="7"/>
      <c r="F1350" s="34"/>
      <c r="G1350" s="8">
        <v>1899.0</v>
      </c>
      <c r="H1350" s="9"/>
      <c r="I1350" s="9"/>
      <c r="J1350" s="9"/>
      <c r="K1350" s="4"/>
      <c r="L1350" s="10"/>
      <c r="M1350" s="54"/>
      <c r="N1350" s="12" t="s">
        <v>200</v>
      </c>
      <c r="O1350" s="12" t="s">
        <v>200</v>
      </c>
      <c r="P1350" s="13"/>
      <c r="Q1350" s="12"/>
      <c r="R1350" s="14"/>
      <c r="S1350" s="15"/>
      <c r="T1350" s="4" t="b">
        <v>0</v>
      </c>
    </row>
    <row r="1351">
      <c r="A1351" s="16"/>
      <c r="B1351" s="17"/>
      <c r="C1351" s="24"/>
      <c r="D1351" s="44"/>
      <c r="E1351" s="19"/>
      <c r="F1351" s="35"/>
      <c r="G1351" s="20">
        <v>1899.0</v>
      </c>
      <c r="H1351" s="21"/>
      <c r="I1351" s="21"/>
      <c r="J1351" s="21"/>
      <c r="K1351" s="16"/>
      <c r="L1351" s="22"/>
      <c r="M1351" s="55"/>
      <c r="N1351" s="23" t="s">
        <v>200</v>
      </c>
      <c r="O1351" s="23" t="s">
        <v>200</v>
      </c>
      <c r="P1351" s="24"/>
      <c r="Q1351" s="23"/>
      <c r="R1351" s="25"/>
      <c r="S1351" s="26"/>
      <c r="T1351" s="16" t="b">
        <v>0</v>
      </c>
    </row>
    <row r="1352">
      <c r="A1352" s="4"/>
      <c r="B1352" s="5"/>
      <c r="C1352" s="13"/>
      <c r="D1352" s="39"/>
      <c r="E1352" s="7"/>
      <c r="F1352" s="34"/>
      <c r="G1352" s="8">
        <v>1899.0</v>
      </c>
      <c r="H1352" s="9"/>
      <c r="I1352" s="9"/>
      <c r="J1352" s="9"/>
      <c r="K1352" s="4"/>
      <c r="L1352" s="10"/>
      <c r="M1352" s="54"/>
      <c r="N1352" s="12" t="s">
        <v>200</v>
      </c>
      <c r="O1352" s="12" t="s">
        <v>200</v>
      </c>
      <c r="P1352" s="13"/>
      <c r="Q1352" s="12"/>
      <c r="R1352" s="14"/>
      <c r="S1352" s="15"/>
      <c r="T1352" s="4" t="b">
        <v>0</v>
      </c>
    </row>
    <row r="1353">
      <c r="A1353" s="16"/>
      <c r="B1353" s="17"/>
      <c r="C1353" s="24"/>
      <c r="D1353" s="44"/>
      <c r="E1353" s="19"/>
      <c r="F1353" s="35"/>
      <c r="G1353" s="20">
        <v>1899.0</v>
      </c>
      <c r="H1353" s="21"/>
      <c r="I1353" s="21"/>
      <c r="J1353" s="21"/>
      <c r="K1353" s="16"/>
      <c r="L1353" s="22"/>
      <c r="M1353" s="55"/>
      <c r="N1353" s="23" t="s">
        <v>200</v>
      </c>
      <c r="O1353" s="23" t="s">
        <v>200</v>
      </c>
      <c r="P1353" s="24"/>
      <c r="Q1353" s="23"/>
      <c r="R1353" s="25"/>
      <c r="S1353" s="26"/>
      <c r="T1353" s="16" t="b">
        <v>0</v>
      </c>
    </row>
    <row r="1354">
      <c r="A1354" s="4"/>
      <c r="B1354" s="5"/>
      <c r="C1354" s="13"/>
      <c r="D1354" s="39"/>
      <c r="E1354" s="7"/>
      <c r="F1354" s="34"/>
      <c r="G1354" s="8">
        <v>1899.0</v>
      </c>
      <c r="H1354" s="9"/>
      <c r="I1354" s="9"/>
      <c r="J1354" s="9"/>
      <c r="K1354" s="4"/>
      <c r="L1354" s="10"/>
      <c r="M1354" s="54"/>
      <c r="N1354" s="12" t="s">
        <v>200</v>
      </c>
      <c r="O1354" s="12" t="s">
        <v>200</v>
      </c>
      <c r="P1354" s="13"/>
      <c r="Q1354" s="12"/>
      <c r="R1354" s="14"/>
      <c r="S1354" s="15"/>
      <c r="T1354" s="4" t="b">
        <v>0</v>
      </c>
    </row>
    <row r="1355">
      <c r="A1355" s="16"/>
      <c r="B1355" s="17"/>
      <c r="C1355" s="24"/>
      <c r="D1355" s="44"/>
      <c r="E1355" s="19"/>
      <c r="F1355" s="35"/>
      <c r="G1355" s="20">
        <v>1899.0</v>
      </c>
      <c r="H1355" s="21"/>
      <c r="I1355" s="21"/>
      <c r="J1355" s="21"/>
      <c r="K1355" s="16"/>
      <c r="L1355" s="22"/>
      <c r="M1355" s="55"/>
      <c r="N1355" s="23" t="s">
        <v>200</v>
      </c>
      <c r="O1355" s="23" t="s">
        <v>200</v>
      </c>
      <c r="P1355" s="24"/>
      <c r="Q1355" s="23"/>
      <c r="R1355" s="25"/>
      <c r="S1355" s="26"/>
      <c r="T1355" s="16" t="b">
        <v>0</v>
      </c>
    </row>
    <row r="1356">
      <c r="A1356" s="4"/>
      <c r="B1356" s="5"/>
      <c r="C1356" s="13"/>
      <c r="D1356" s="39"/>
      <c r="E1356" s="7"/>
      <c r="F1356" s="34"/>
      <c r="G1356" s="8">
        <v>1899.0</v>
      </c>
      <c r="H1356" s="9"/>
      <c r="I1356" s="9"/>
      <c r="J1356" s="9"/>
      <c r="K1356" s="4"/>
      <c r="L1356" s="10"/>
      <c r="M1356" s="54"/>
      <c r="N1356" s="12" t="s">
        <v>200</v>
      </c>
      <c r="O1356" s="12" t="s">
        <v>200</v>
      </c>
      <c r="P1356" s="13"/>
      <c r="Q1356" s="12"/>
      <c r="R1356" s="14"/>
      <c r="S1356" s="15"/>
      <c r="T1356" s="4" t="b">
        <v>0</v>
      </c>
    </row>
    <row r="1357">
      <c r="A1357" s="16"/>
      <c r="B1357" s="17"/>
      <c r="C1357" s="24"/>
      <c r="D1357" s="44"/>
      <c r="E1357" s="19"/>
      <c r="F1357" s="35"/>
      <c r="G1357" s="20">
        <v>1899.0</v>
      </c>
      <c r="H1357" s="21"/>
      <c r="I1357" s="21"/>
      <c r="J1357" s="21"/>
      <c r="K1357" s="16"/>
      <c r="L1357" s="22"/>
      <c r="M1357" s="55"/>
      <c r="N1357" s="23" t="s">
        <v>200</v>
      </c>
      <c r="O1357" s="23" t="s">
        <v>200</v>
      </c>
      <c r="P1357" s="24"/>
      <c r="Q1357" s="23"/>
      <c r="R1357" s="25"/>
      <c r="S1357" s="26"/>
      <c r="T1357" s="16" t="b">
        <v>0</v>
      </c>
    </row>
    <row r="1358">
      <c r="A1358" s="4"/>
      <c r="B1358" s="5"/>
      <c r="C1358" s="13"/>
      <c r="D1358" s="39"/>
      <c r="E1358" s="7"/>
      <c r="F1358" s="34"/>
      <c r="G1358" s="8">
        <v>1899.0</v>
      </c>
      <c r="H1358" s="9"/>
      <c r="I1358" s="9"/>
      <c r="J1358" s="9"/>
      <c r="K1358" s="4"/>
      <c r="L1358" s="10"/>
      <c r="M1358" s="54"/>
      <c r="N1358" s="12" t="s">
        <v>200</v>
      </c>
      <c r="O1358" s="12" t="s">
        <v>200</v>
      </c>
      <c r="P1358" s="13"/>
      <c r="Q1358" s="12"/>
      <c r="R1358" s="14"/>
      <c r="S1358" s="15"/>
      <c r="T1358" s="4" t="b">
        <v>0</v>
      </c>
    </row>
    <row r="1359">
      <c r="A1359" s="16"/>
      <c r="B1359" s="17"/>
      <c r="C1359" s="24"/>
      <c r="D1359" s="44"/>
      <c r="E1359" s="19"/>
      <c r="F1359" s="35"/>
      <c r="G1359" s="20">
        <v>1899.0</v>
      </c>
      <c r="H1359" s="21"/>
      <c r="I1359" s="21"/>
      <c r="J1359" s="21"/>
      <c r="K1359" s="16"/>
      <c r="L1359" s="22"/>
      <c r="M1359" s="55"/>
      <c r="N1359" s="23" t="s">
        <v>200</v>
      </c>
      <c r="O1359" s="23" t="s">
        <v>200</v>
      </c>
      <c r="P1359" s="24"/>
      <c r="Q1359" s="23"/>
      <c r="R1359" s="25"/>
      <c r="S1359" s="26"/>
      <c r="T1359" s="16" t="b">
        <v>0</v>
      </c>
    </row>
    <row r="1360">
      <c r="A1360" s="4"/>
      <c r="B1360" s="5"/>
      <c r="C1360" s="13"/>
      <c r="D1360" s="39"/>
      <c r="E1360" s="7"/>
      <c r="F1360" s="34"/>
      <c r="G1360" s="8">
        <v>1899.0</v>
      </c>
      <c r="H1360" s="9"/>
      <c r="I1360" s="9"/>
      <c r="J1360" s="9"/>
      <c r="K1360" s="4"/>
      <c r="L1360" s="10"/>
      <c r="M1360" s="54"/>
      <c r="N1360" s="12" t="s">
        <v>200</v>
      </c>
      <c r="O1360" s="12" t="s">
        <v>200</v>
      </c>
      <c r="P1360" s="13"/>
      <c r="Q1360" s="12"/>
      <c r="R1360" s="14"/>
      <c r="S1360" s="15"/>
      <c r="T1360" s="4" t="b">
        <v>0</v>
      </c>
    </row>
    <row r="1361">
      <c r="A1361" s="16"/>
      <c r="B1361" s="17"/>
      <c r="C1361" s="24"/>
      <c r="D1361" s="44"/>
      <c r="E1361" s="19"/>
      <c r="F1361" s="35"/>
      <c r="G1361" s="20">
        <v>1899.0</v>
      </c>
      <c r="H1361" s="21"/>
      <c r="I1361" s="21"/>
      <c r="J1361" s="21"/>
      <c r="K1361" s="16"/>
      <c r="L1361" s="22"/>
      <c r="M1361" s="55"/>
      <c r="N1361" s="23" t="s">
        <v>200</v>
      </c>
      <c r="O1361" s="23" t="s">
        <v>200</v>
      </c>
      <c r="P1361" s="24"/>
      <c r="Q1361" s="23"/>
      <c r="R1361" s="25"/>
      <c r="S1361" s="26"/>
      <c r="T1361" s="16" t="b">
        <v>0</v>
      </c>
    </row>
    <row r="1362">
      <c r="A1362" s="4"/>
      <c r="B1362" s="5"/>
      <c r="C1362" s="13"/>
      <c r="D1362" s="39"/>
      <c r="E1362" s="7"/>
      <c r="F1362" s="34"/>
      <c r="G1362" s="8">
        <v>1899.0</v>
      </c>
      <c r="H1362" s="9"/>
      <c r="I1362" s="9"/>
      <c r="J1362" s="9"/>
      <c r="K1362" s="4"/>
      <c r="L1362" s="10"/>
      <c r="M1362" s="54"/>
      <c r="N1362" s="12" t="s">
        <v>200</v>
      </c>
      <c r="O1362" s="12" t="s">
        <v>200</v>
      </c>
      <c r="P1362" s="13"/>
      <c r="Q1362" s="12"/>
      <c r="R1362" s="14"/>
      <c r="S1362" s="15"/>
      <c r="T1362" s="4" t="b">
        <v>0</v>
      </c>
    </row>
    <row r="1363">
      <c r="A1363" s="16"/>
      <c r="B1363" s="17"/>
      <c r="C1363" s="24"/>
      <c r="D1363" s="44"/>
      <c r="E1363" s="19"/>
      <c r="F1363" s="35"/>
      <c r="G1363" s="20">
        <v>1899.0</v>
      </c>
      <c r="H1363" s="21"/>
      <c r="I1363" s="21"/>
      <c r="J1363" s="21"/>
      <c r="K1363" s="16"/>
      <c r="L1363" s="22"/>
      <c r="M1363" s="55"/>
      <c r="N1363" s="23" t="s">
        <v>200</v>
      </c>
      <c r="O1363" s="23" t="s">
        <v>200</v>
      </c>
      <c r="P1363" s="24"/>
      <c r="Q1363" s="23"/>
      <c r="R1363" s="25"/>
      <c r="S1363" s="26"/>
      <c r="T1363" s="16" t="b">
        <v>0</v>
      </c>
    </row>
    <row r="1364">
      <c r="A1364" s="4"/>
      <c r="B1364" s="5"/>
      <c r="C1364" s="13"/>
      <c r="D1364" s="39"/>
      <c r="E1364" s="7"/>
      <c r="F1364" s="34"/>
      <c r="G1364" s="8">
        <v>1899.0</v>
      </c>
      <c r="H1364" s="9"/>
      <c r="I1364" s="9"/>
      <c r="J1364" s="9"/>
      <c r="K1364" s="4"/>
      <c r="L1364" s="10"/>
      <c r="M1364" s="54"/>
      <c r="N1364" s="12" t="s">
        <v>200</v>
      </c>
      <c r="O1364" s="12" t="s">
        <v>200</v>
      </c>
      <c r="P1364" s="13"/>
      <c r="Q1364" s="12"/>
      <c r="R1364" s="14"/>
      <c r="S1364" s="15"/>
      <c r="T1364" s="4" t="b">
        <v>0</v>
      </c>
    </row>
    <row r="1365">
      <c r="A1365" s="16"/>
      <c r="B1365" s="17"/>
      <c r="C1365" s="24"/>
      <c r="D1365" s="44"/>
      <c r="E1365" s="19"/>
      <c r="F1365" s="35"/>
      <c r="G1365" s="20">
        <v>1899.0</v>
      </c>
      <c r="H1365" s="21"/>
      <c r="I1365" s="21"/>
      <c r="J1365" s="21"/>
      <c r="K1365" s="16"/>
      <c r="L1365" s="22"/>
      <c r="M1365" s="55"/>
      <c r="N1365" s="23" t="s">
        <v>200</v>
      </c>
      <c r="O1365" s="23" t="s">
        <v>200</v>
      </c>
      <c r="P1365" s="24"/>
      <c r="Q1365" s="23"/>
      <c r="R1365" s="25"/>
      <c r="S1365" s="26"/>
      <c r="T1365" s="16" t="b">
        <v>0</v>
      </c>
    </row>
    <row r="1366">
      <c r="A1366" s="4"/>
      <c r="B1366" s="5"/>
      <c r="C1366" s="13"/>
      <c r="D1366" s="39"/>
      <c r="E1366" s="7"/>
      <c r="F1366" s="34"/>
      <c r="G1366" s="8">
        <v>1899.0</v>
      </c>
      <c r="H1366" s="9"/>
      <c r="I1366" s="9"/>
      <c r="J1366" s="9"/>
      <c r="K1366" s="4"/>
      <c r="L1366" s="10"/>
      <c r="M1366" s="54"/>
      <c r="N1366" s="12" t="s">
        <v>200</v>
      </c>
      <c r="O1366" s="12" t="s">
        <v>200</v>
      </c>
      <c r="P1366" s="13"/>
      <c r="Q1366" s="12"/>
      <c r="R1366" s="14"/>
      <c r="S1366" s="15"/>
      <c r="T1366" s="4" t="b">
        <v>0</v>
      </c>
    </row>
    <row r="1367">
      <c r="A1367" s="16"/>
      <c r="B1367" s="17"/>
      <c r="C1367" s="24"/>
      <c r="D1367" s="44"/>
      <c r="E1367" s="19"/>
      <c r="F1367" s="35"/>
      <c r="G1367" s="20">
        <v>1899.0</v>
      </c>
      <c r="H1367" s="21"/>
      <c r="I1367" s="21"/>
      <c r="J1367" s="21"/>
      <c r="K1367" s="16"/>
      <c r="L1367" s="22"/>
      <c r="M1367" s="55"/>
      <c r="N1367" s="23" t="s">
        <v>200</v>
      </c>
      <c r="O1367" s="23" t="s">
        <v>200</v>
      </c>
      <c r="P1367" s="24"/>
      <c r="Q1367" s="23"/>
      <c r="R1367" s="25"/>
      <c r="S1367" s="26"/>
      <c r="T1367" s="16" t="b">
        <v>0</v>
      </c>
    </row>
    <row r="1368">
      <c r="A1368" s="4"/>
      <c r="B1368" s="5"/>
      <c r="C1368" s="13"/>
      <c r="D1368" s="39"/>
      <c r="E1368" s="7"/>
      <c r="F1368" s="34"/>
      <c r="G1368" s="8">
        <v>1899.0</v>
      </c>
      <c r="H1368" s="9"/>
      <c r="I1368" s="9"/>
      <c r="J1368" s="9"/>
      <c r="K1368" s="4"/>
      <c r="L1368" s="10"/>
      <c r="M1368" s="54"/>
      <c r="N1368" s="12" t="s">
        <v>200</v>
      </c>
      <c r="O1368" s="12" t="s">
        <v>200</v>
      </c>
      <c r="P1368" s="13"/>
      <c r="Q1368" s="12"/>
      <c r="R1368" s="14"/>
      <c r="S1368" s="15"/>
      <c r="T1368" s="4" t="b">
        <v>0</v>
      </c>
    </row>
    <row r="1369">
      <c r="A1369" s="16"/>
      <c r="B1369" s="17"/>
      <c r="C1369" s="24"/>
      <c r="D1369" s="44"/>
      <c r="E1369" s="19"/>
      <c r="F1369" s="35"/>
      <c r="G1369" s="20">
        <v>1899.0</v>
      </c>
      <c r="H1369" s="21"/>
      <c r="I1369" s="21"/>
      <c r="J1369" s="21"/>
      <c r="K1369" s="16"/>
      <c r="L1369" s="22"/>
      <c r="M1369" s="55"/>
      <c r="N1369" s="23" t="s">
        <v>200</v>
      </c>
      <c r="O1369" s="23" t="s">
        <v>200</v>
      </c>
      <c r="P1369" s="24"/>
      <c r="Q1369" s="23"/>
      <c r="R1369" s="25"/>
      <c r="S1369" s="26"/>
      <c r="T1369" s="16" t="b">
        <v>0</v>
      </c>
    </row>
    <row r="1370">
      <c r="A1370" s="4"/>
      <c r="B1370" s="5"/>
      <c r="C1370" s="13"/>
      <c r="D1370" s="39"/>
      <c r="E1370" s="7"/>
      <c r="F1370" s="34"/>
      <c r="G1370" s="8">
        <v>1899.0</v>
      </c>
      <c r="H1370" s="9"/>
      <c r="I1370" s="9"/>
      <c r="J1370" s="9"/>
      <c r="K1370" s="4"/>
      <c r="L1370" s="10"/>
      <c r="M1370" s="54"/>
      <c r="N1370" s="12" t="s">
        <v>200</v>
      </c>
      <c r="O1370" s="12" t="s">
        <v>200</v>
      </c>
      <c r="P1370" s="13"/>
      <c r="Q1370" s="12"/>
      <c r="R1370" s="14"/>
      <c r="S1370" s="15"/>
      <c r="T1370" s="4" t="b">
        <v>0</v>
      </c>
    </row>
    <row r="1371">
      <c r="A1371" s="16"/>
      <c r="B1371" s="17"/>
      <c r="C1371" s="24"/>
      <c r="D1371" s="44"/>
      <c r="E1371" s="19"/>
      <c r="F1371" s="35"/>
      <c r="G1371" s="20">
        <v>1899.0</v>
      </c>
      <c r="H1371" s="21"/>
      <c r="I1371" s="21"/>
      <c r="J1371" s="21"/>
      <c r="K1371" s="16"/>
      <c r="L1371" s="22"/>
      <c r="M1371" s="55"/>
      <c r="N1371" s="23" t="s">
        <v>200</v>
      </c>
      <c r="O1371" s="23" t="s">
        <v>200</v>
      </c>
      <c r="P1371" s="24"/>
      <c r="Q1371" s="23"/>
      <c r="R1371" s="25"/>
      <c r="S1371" s="26"/>
      <c r="T1371" s="16" t="b">
        <v>0</v>
      </c>
    </row>
    <row r="1372">
      <c r="A1372" s="4"/>
      <c r="B1372" s="5"/>
      <c r="C1372" s="13"/>
      <c r="D1372" s="39"/>
      <c r="E1372" s="7"/>
      <c r="F1372" s="34"/>
      <c r="G1372" s="8">
        <v>1899.0</v>
      </c>
      <c r="H1372" s="9"/>
      <c r="I1372" s="9"/>
      <c r="J1372" s="9"/>
      <c r="K1372" s="4"/>
      <c r="L1372" s="10"/>
      <c r="M1372" s="54"/>
      <c r="N1372" s="12" t="s">
        <v>200</v>
      </c>
      <c r="O1372" s="12" t="s">
        <v>200</v>
      </c>
      <c r="P1372" s="13"/>
      <c r="Q1372" s="12"/>
      <c r="R1372" s="14"/>
      <c r="S1372" s="15"/>
      <c r="T1372" s="4" t="b">
        <v>0</v>
      </c>
    </row>
    <row r="1373">
      <c r="A1373" s="16"/>
      <c r="B1373" s="17"/>
      <c r="C1373" s="24"/>
      <c r="D1373" s="44"/>
      <c r="E1373" s="19"/>
      <c r="F1373" s="35"/>
      <c r="G1373" s="20">
        <v>1899.0</v>
      </c>
      <c r="H1373" s="21"/>
      <c r="I1373" s="21"/>
      <c r="J1373" s="21"/>
      <c r="K1373" s="16"/>
      <c r="L1373" s="22"/>
      <c r="M1373" s="55"/>
      <c r="N1373" s="23" t="s">
        <v>200</v>
      </c>
      <c r="O1373" s="23" t="s">
        <v>200</v>
      </c>
      <c r="P1373" s="24"/>
      <c r="Q1373" s="23"/>
      <c r="R1373" s="25"/>
      <c r="S1373" s="26"/>
      <c r="T1373" s="16" t="b">
        <v>0</v>
      </c>
    </row>
    <row r="1374">
      <c r="A1374" s="4"/>
      <c r="B1374" s="5"/>
      <c r="C1374" s="13"/>
      <c r="D1374" s="39"/>
      <c r="E1374" s="7"/>
      <c r="F1374" s="34"/>
      <c r="G1374" s="8">
        <v>1899.0</v>
      </c>
      <c r="H1374" s="9"/>
      <c r="I1374" s="9"/>
      <c r="J1374" s="9"/>
      <c r="K1374" s="4"/>
      <c r="L1374" s="10"/>
      <c r="M1374" s="54"/>
      <c r="N1374" s="12" t="s">
        <v>200</v>
      </c>
      <c r="O1374" s="12" t="s">
        <v>200</v>
      </c>
      <c r="P1374" s="13"/>
      <c r="Q1374" s="12"/>
      <c r="R1374" s="14"/>
      <c r="S1374" s="15"/>
      <c r="T1374" s="4" t="b">
        <v>0</v>
      </c>
    </row>
    <row r="1375">
      <c r="A1375" s="16"/>
      <c r="B1375" s="17"/>
      <c r="C1375" s="24"/>
      <c r="D1375" s="44"/>
      <c r="E1375" s="19"/>
      <c r="F1375" s="35"/>
      <c r="G1375" s="20">
        <v>1899.0</v>
      </c>
      <c r="H1375" s="21"/>
      <c r="I1375" s="21"/>
      <c r="J1375" s="21"/>
      <c r="K1375" s="16"/>
      <c r="L1375" s="22"/>
      <c r="M1375" s="55"/>
      <c r="N1375" s="23" t="s">
        <v>200</v>
      </c>
      <c r="O1375" s="23" t="s">
        <v>200</v>
      </c>
      <c r="P1375" s="24"/>
      <c r="Q1375" s="23"/>
      <c r="R1375" s="25"/>
      <c r="S1375" s="26"/>
      <c r="T1375" s="16" t="b">
        <v>0</v>
      </c>
    </row>
    <row r="1376">
      <c r="A1376" s="4"/>
      <c r="B1376" s="5"/>
      <c r="C1376" s="13"/>
      <c r="D1376" s="39"/>
      <c r="E1376" s="7"/>
      <c r="F1376" s="34"/>
      <c r="G1376" s="8">
        <v>1899.0</v>
      </c>
      <c r="H1376" s="9"/>
      <c r="I1376" s="9"/>
      <c r="J1376" s="9"/>
      <c r="K1376" s="4"/>
      <c r="L1376" s="10"/>
      <c r="M1376" s="54"/>
      <c r="N1376" s="12" t="s">
        <v>200</v>
      </c>
      <c r="O1376" s="12" t="s">
        <v>200</v>
      </c>
      <c r="P1376" s="13"/>
      <c r="Q1376" s="12"/>
      <c r="R1376" s="14"/>
      <c r="S1376" s="15"/>
      <c r="T1376" s="4" t="b">
        <v>0</v>
      </c>
    </row>
    <row r="1377">
      <c r="A1377" s="16"/>
      <c r="B1377" s="17"/>
      <c r="C1377" s="24"/>
      <c r="D1377" s="44"/>
      <c r="E1377" s="19"/>
      <c r="F1377" s="35"/>
      <c r="G1377" s="20">
        <v>1899.0</v>
      </c>
      <c r="H1377" s="21"/>
      <c r="I1377" s="21"/>
      <c r="J1377" s="21"/>
      <c r="K1377" s="16"/>
      <c r="L1377" s="22"/>
      <c r="M1377" s="55"/>
      <c r="N1377" s="23" t="s">
        <v>200</v>
      </c>
      <c r="O1377" s="23" t="s">
        <v>200</v>
      </c>
      <c r="P1377" s="24"/>
      <c r="Q1377" s="23"/>
      <c r="R1377" s="25"/>
      <c r="S1377" s="26"/>
      <c r="T1377" s="16" t="b">
        <v>0</v>
      </c>
    </row>
    <row r="1378">
      <c r="A1378" s="4"/>
      <c r="B1378" s="5"/>
      <c r="C1378" s="13"/>
      <c r="D1378" s="39"/>
      <c r="E1378" s="7"/>
      <c r="F1378" s="34"/>
      <c r="G1378" s="8">
        <v>1899.0</v>
      </c>
      <c r="H1378" s="9"/>
      <c r="I1378" s="9"/>
      <c r="J1378" s="9"/>
      <c r="K1378" s="4"/>
      <c r="L1378" s="10"/>
      <c r="M1378" s="54"/>
      <c r="N1378" s="12" t="s">
        <v>200</v>
      </c>
      <c r="O1378" s="12" t="s">
        <v>200</v>
      </c>
      <c r="P1378" s="13"/>
      <c r="Q1378" s="12"/>
      <c r="R1378" s="14"/>
      <c r="S1378" s="15"/>
      <c r="T1378" s="4" t="b">
        <v>0</v>
      </c>
    </row>
    <row r="1379">
      <c r="A1379" s="16"/>
      <c r="B1379" s="17"/>
      <c r="C1379" s="24"/>
      <c r="D1379" s="44"/>
      <c r="E1379" s="19"/>
      <c r="F1379" s="35"/>
      <c r="G1379" s="20">
        <v>1899.0</v>
      </c>
      <c r="H1379" s="21"/>
      <c r="I1379" s="21"/>
      <c r="J1379" s="21"/>
      <c r="K1379" s="16"/>
      <c r="L1379" s="22"/>
      <c r="M1379" s="55"/>
      <c r="N1379" s="23" t="s">
        <v>200</v>
      </c>
      <c r="O1379" s="23" t="s">
        <v>200</v>
      </c>
      <c r="P1379" s="24"/>
      <c r="Q1379" s="23"/>
      <c r="R1379" s="25"/>
      <c r="S1379" s="26"/>
      <c r="T1379" s="16" t="b">
        <v>0</v>
      </c>
    </row>
    <row r="1380">
      <c r="A1380" s="4"/>
      <c r="B1380" s="5"/>
      <c r="C1380" s="13"/>
      <c r="D1380" s="39"/>
      <c r="E1380" s="7"/>
      <c r="F1380" s="34"/>
      <c r="G1380" s="8">
        <v>1899.0</v>
      </c>
      <c r="H1380" s="9"/>
      <c r="I1380" s="9"/>
      <c r="J1380" s="9"/>
      <c r="K1380" s="4"/>
      <c r="L1380" s="10"/>
      <c r="M1380" s="54"/>
      <c r="N1380" s="12" t="s">
        <v>200</v>
      </c>
      <c r="O1380" s="12" t="s">
        <v>200</v>
      </c>
      <c r="P1380" s="13"/>
      <c r="Q1380" s="12"/>
      <c r="R1380" s="14"/>
      <c r="S1380" s="15"/>
      <c r="T1380" s="4" t="b">
        <v>0</v>
      </c>
    </row>
    <row r="1381">
      <c r="A1381" s="16"/>
      <c r="B1381" s="17"/>
      <c r="C1381" s="24"/>
      <c r="D1381" s="44"/>
      <c r="E1381" s="19"/>
      <c r="F1381" s="35"/>
      <c r="G1381" s="20">
        <v>1899.0</v>
      </c>
      <c r="H1381" s="21"/>
      <c r="I1381" s="21"/>
      <c r="J1381" s="21"/>
      <c r="K1381" s="16"/>
      <c r="L1381" s="22"/>
      <c r="M1381" s="55"/>
      <c r="N1381" s="23" t="s">
        <v>200</v>
      </c>
      <c r="O1381" s="23" t="s">
        <v>200</v>
      </c>
      <c r="P1381" s="24"/>
      <c r="Q1381" s="23"/>
      <c r="R1381" s="25"/>
      <c r="S1381" s="26"/>
      <c r="T1381" s="16" t="b">
        <v>0</v>
      </c>
    </row>
    <row r="1382">
      <c r="A1382" s="4"/>
      <c r="B1382" s="5"/>
      <c r="C1382" s="13"/>
      <c r="D1382" s="39"/>
      <c r="E1382" s="7"/>
      <c r="F1382" s="34"/>
      <c r="G1382" s="8">
        <v>1899.0</v>
      </c>
      <c r="H1382" s="9"/>
      <c r="I1382" s="9"/>
      <c r="J1382" s="9"/>
      <c r="K1382" s="4"/>
      <c r="L1382" s="10"/>
      <c r="M1382" s="54"/>
      <c r="N1382" s="12" t="s">
        <v>200</v>
      </c>
      <c r="O1382" s="12" t="s">
        <v>200</v>
      </c>
      <c r="P1382" s="13"/>
      <c r="Q1382" s="12"/>
      <c r="R1382" s="14"/>
      <c r="S1382" s="15"/>
      <c r="T1382" s="4" t="b">
        <v>0</v>
      </c>
    </row>
    <row r="1383">
      <c r="A1383" s="16"/>
      <c r="B1383" s="17"/>
      <c r="C1383" s="24"/>
      <c r="D1383" s="44"/>
      <c r="E1383" s="19"/>
      <c r="F1383" s="35"/>
      <c r="G1383" s="20">
        <v>1899.0</v>
      </c>
      <c r="H1383" s="21"/>
      <c r="I1383" s="21"/>
      <c r="J1383" s="21"/>
      <c r="K1383" s="16"/>
      <c r="L1383" s="22"/>
      <c r="M1383" s="55"/>
      <c r="N1383" s="23" t="s">
        <v>200</v>
      </c>
      <c r="O1383" s="23" t="s">
        <v>200</v>
      </c>
      <c r="P1383" s="24"/>
      <c r="Q1383" s="23"/>
      <c r="R1383" s="25"/>
      <c r="S1383" s="26"/>
      <c r="T1383" s="16" t="b">
        <v>0</v>
      </c>
    </row>
    <row r="1384">
      <c r="A1384" s="4"/>
      <c r="B1384" s="5"/>
      <c r="C1384" s="13"/>
      <c r="D1384" s="39"/>
      <c r="E1384" s="7"/>
      <c r="F1384" s="34"/>
      <c r="G1384" s="8">
        <v>1899.0</v>
      </c>
      <c r="H1384" s="9"/>
      <c r="I1384" s="9"/>
      <c r="J1384" s="9"/>
      <c r="K1384" s="4"/>
      <c r="L1384" s="10"/>
      <c r="M1384" s="54"/>
      <c r="N1384" s="12" t="s">
        <v>200</v>
      </c>
      <c r="O1384" s="12" t="s">
        <v>200</v>
      </c>
      <c r="P1384" s="13"/>
      <c r="Q1384" s="12"/>
      <c r="R1384" s="14"/>
      <c r="S1384" s="15"/>
      <c r="T1384" s="4" t="b">
        <v>0</v>
      </c>
    </row>
    <row r="1385">
      <c r="A1385" s="16"/>
      <c r="B1385" s="17"/>
      <c r="C1385" s="24"/>
      <c r="D1385" s="44"/>
      <c r="E1385" s="19"/>
      <c r="F1385" s="35"/>
      <c r="G1385" s="20">
        <v>1899.0</v>
      </c>
      <c r="H1385" s="21"/>
      <c r="I1385" s="21"/>
      <c r="J1385" s="21"/>
      <c r="K1385" s="16"/>
      <c r="L1385" s="22"/>
      <c r="M1385" s="55"/>
      <c r="N1385" s="23" t="s">
        <v>200</v>
      </c>
      <c r="O1385" s="23" t="s">
        <v>200</v>
      </c>
      <c r="P1385" s="24"/>
      <c r="Q1385" s="23"/>
      <c r="R1385" s="25"/>
      <c r="S1385" s="26"/>
      <c r="T1385" s="16" t="b">
        <v>0</v>
      </c>
    </row>
    <row r="1386">
      <c r="A1386" s="4"/>
      <c r="B1386" s="5"/>
      <c r="C1386" s="13"/>
      <c r="D1386" s="39"/>
      <c r="E1386" s="7"/>
      <c r="F1386" s="34"/>
      <c r="G1386" s="8">
        <v>1899.0</v>
      </c>
      <c r="H1386" s="9"/>
      <c r="I1386" s="9"/>
      <c r="J1386" s="9"/>
      <c r="K1386" s="4"/>
      <c r="L1386" s="10"/>
      <c r="M1386" s="54"/>
      <c r="N1386" s="12" t="s">
        <v>200</v>
      </c>
      <c r="O1386" s="12" t="s">
        <v>200</v>
      </c>
      <c r="P1386" s="13"/>
      <c r="Q1386" s="12"/>
      <c r="R1386" s="14"/>
      <c r="S1386" s="15"/>
      <c r="T1386" s="4" t="b">
        <v>0</v>
      </c>
    </row>
    <row r="1387">
      <c r="A1387" s="16"/>
      <c r="B1387" s="17"/>
      <c r="C1387" s="24"/>
      <c r="D1387" s="44"/>
      <c r="E1387" s="19"/>
      <c r="F1387" s="35"/>
      <c r="G1387" s="20">
        <v>1899.0</v>
      </c>
      <c r="H1387" s="21"/>
      <c r="I1387" s="21"/>
      <c r="J1387" s="21"/>
      <c r="K1387" s="16"/>
      <c r="L1387" s="22"/>
      <c r="M1387" s="55"/>
      <c r="N1387" s="23" t="s">
        <v>200</v>
      </c>
      <c r="O1387" s="23" t="s">
        <v>200</v>
      </c>
      <c r="P1387" s="24"/>
      <c r="Q1387" s="23"/>
      <c r="R1387" s="25"/>
      <c r="S1387" s="26"/>
      <c r="T1387" s="16" t="b">
        <v>0</v>
      </c>
    </row>
    <row r="1388">
      <c r="A1388" s="4"/>
      <c r="B1388" s="5"/>
      <c r="C1388" s="13"/>
      <c r="D1388" s="39"/>
      <c r="E1388" s="7"/>
      <c r="F1388" s="34"/>
      <c r="G1388" s="8">
        <v>1899.0</v>
      </c>
      <c r="H1388" s="9"/>
      <c r="I1388" s="9"/>
      <c r="J1388" s="9"/>
      <c r="K1388" s="4"/>
      <c r="L1388" s="10"/>
      <c r="M1388" s="54"/>
      <c r="N1388" s="12" t="s">
        <v>200</v>
      </c>
      <c r="O1388" s="12" t="s">
        <v>200</v>
      </c>
      <c r="P1388" s="13"/>
      <c r="Q1388" s="12"/>
      <c r="R1388" s="14"/>
      <c r="S1388" s="15"/>
      <c r="T1388" s="4" t="b">
        <v>0</v>
      </c>
    </row>
    <row r="1389">
      <c r="A1389" s="16"/>
      <c r="B1389" s="17"/>
      <c r="C1389" s="24"/>
      <c r="D1389" s="44"/>
      <c r="E1389" s="19"/>
      <c r="F1389" s="35"/>
      <c r="G1389" s="20">
        <v>1899.0</v>
      </c>
      <c r="H1389" s="21"/>
      <c r="I1389" s="21"/>
      <c r="J1389" s="21"/>
      <c r="K1389" s="16"/>
      <c r="L1389" s="22"/>
      <c r="M1389" s="55"/>
      <c r="N1389" s="23" t="s">
        <v>200</v>
      </c>
      <c r="O1389" s="23" t="s">
        <v>200</v>
      </c>
      <c r="P1389" s="24"/>
      <c r="Q1389" s="23"/>
      <c r="R1389" s="25"/>
      <c r="S1389" s="26"/>
      <c r="T1389" s="16" t="b">
        <v>0</v>
      </c>
    </row>
    <row r="1390">
      <c r="A1390" s="4"/>
      <c r="B1390" s="5"/>
      <c r="C1390" s="13"/>
      <c r="D1390" s="39"/>
      <c r="E1390" s="7"/>
      <c r="F1390" s="34"/>
      <c r="G1390" s="8">
        <v>1899.0</v>
      </c>
      <c r="H1390" s="9"/>
      <c r="I1390" s="9"/>
      <c r="J1390" s="9"/>
      <c r="K1390" s="4"/>
      <c r="L1390" s="10"/>
      <c r="M1390" s="54"/>
      <c r="N1390" s="12" t="s">
        <v>200</v>
      </c>
      <c r="O1390" s="12" t="s">
        <v>200</v>
      </c>
      <c r="P1390" s="13"/>
      <c r="Q1390" s="12"/>
      <c r="R1390" s="14"/>
      <c r="S1390" s="15"/>
      <c r="T1390" s="4" t="b">
        <v>0</v>
      </c>
    </row>
    <row r="1391">
      <c r="A1391" s="16"/>
      <c r="B1391" s="17"/>
      <c r="C1391" s="24"/>
      <c r="D1391" s="44"/>
      <c r="E1391" s="19"/>
      <c r="F1391" s="35"/>
      <c r="G1391" s="20">
        <v>1899.0</v>
      </c>
      <c r="H1391" s="21"/>
      <c r="I1391" s="21"/>
      <c r="J1391" s="21"/>
      <c r="K1391" s="16"/>
      <c r="L1391" s="22"/>
      <c r="M1391" s="55"/>
      <c r="N1391" s="23" t="s">
        <v>200</v>
      </c>
      <c r="O1391" s="23" t="s">
        <v>200</v>
      </c>
      <c r="P1391" s="24"/>
      <c r="Q1391" s="23"/>
      <c r="R1391" s="25"/>
      <c r="S1391" s="26"/>
      <c r="T1391" s="16" t="b">
        <v>0</v>
      </c>
    </row>
    <row r="1392">
      <c r="A1392" s="4"/>
      <c r="B1392" s="5"/>
      <c r="C1392" s="13"/>
      <c r="D1392" s="39"/>
      <c r="E1392" s="7"/>
      <c r="F1392" s="34"/>
      <c r="G1392" s="8">
        <v>1899.0</v>
      </c>
      <c r="H1392" s="9"/>
      <c r="I1392" s="9"/>
      <c r="J1392" s="9"/>
      <c r="K1392" s="4"/>
      <c r="L1392" s="10"/>
      <c r="M1392" s="54"/>
      <c r="N1392" s="12" t="s">
        <v>200</v>
      </c>
      <c r="O1392" s="12" t="s">
        <v>200</v>
      </c>
      <c r="P1392" s="13"/>
      <c r="Q1392" s="12"/>
      <c r="R1392" s="14"/>
      <c r="S1392" s="15"/>
      <c r="T1392" s="4" t="b">
        <v>0</v>
      </c>
    </row>
    <row r="1393">
      <c r="A1393" s="16"/>
      <c r="B1393" s="17"/>
      <c r="C1393" s="24"/>
      <c r="D1393" s="44"/>
      <c r="E1393" s="19"/>
      <c r="F1393" s="35"/>
      <c r="G1393" s="20">
        <v>1899.0</v>
      </c>
      <c r="H1393" s="21"/>
      <c r="I1393" s="21"/>
      <c r="J1393" s="21"/>
      <c r="K1393" s="16"/>
      <c r="L1393" s="22"/>
      <c r="M1393" s="55"/>
      <c r="N1393" s="23" t="s">
        <v>200</v>
      </c>
      <c r="O1393" s="23" t="s">
        <v>200</v>
      </c>
      <c r="P1393" s="24"/>
      <c r="Q1393" s="23"/>
      <c r="R1393" s="25"/>
      <c r="S1393" s="26"/>
      <c r="T1393" s="16" t="b">
        <v>0</v>
      </c>
    </row>
    <row r="1394">
      <c r="A1394" s="4"/>
      <c r="B1394" s="5"/>
      <c r="C1394" s="13"/>
      <c r="D1394" s="39"/>
      <c r="E1394" s="7"/>
      <c r="F1394" s="34"/>
      <c r="G1394" s="8">
        <v>1899.0</v>
      </c>
      <c r="H1394" s="9"/>
      <c r="I1394" s="9"/>
      <c r="J1394" s="9"/>
      <c r="K1394" s="4"/>
      <c r="L1394" s="10"/>
      <c r="M1394" s="54"/>
      <c r="N1394" s="12" t="s">
        <v>200</v>
      </c>
      <c r="O1394" s="12" t="s">
        <v>200</v>
      </c>
      <c r="P1394" s="13"/>
      <c r="Q1394" s="12"/>
      <c r="R1394" s="14"/>
      <c r="S1394" s="15"/>
      <c r="T1394" s="4" t="b">
        <v>0</v>
      </c>
    </row>
    <row r="1395">
      <c r="A1395" s="16"/>
      <c r="B1395" s="17"/>
      <c r="C1395" s="24"/>
      <c r="D1395" s="44"/>
      <c r="E1395" s="19"/>
      <c r="F1395" s="35"/>
      <c r="G1395" s="20">
        <v>1899.0</v>
      </c>
      <c r="H1395" s="21"/>
      <c r="I1395" s="21"/>
      <c r="J1395" s="21"/>
      <c r="K1395" s="16"/>
      <c r="L1395" s="22"/>
      <c r="M1395" s="55"/>
      <c r="N1395" s="23" t="s">
        <v>200</v>
      </c>
      <c r="O1395" s="23" t="s">
        <v>200</v>
      </c>
      <c r="P1395" s="24"/>
      <c r="Q1395" s="23"/>
      <c r="R1395" s="25"/>
      <c r="S1395" s="26"/>
      <c r="T1395" s="16" t="b">
        <v>0</v>
      </c>
    </row>
    <row r="1396">
      <c r="A1396" s="4"/>
      <c r="B1396" s="5"/>
      <c r="C1396" s="13"/>
      <c r="D1396" s="39"/>
      <c r="E1396" s="7"/>
      <c r="F1396" s="34"/>
      <c r="G1396" s="8">
        <v>1899.0</v>
      </c>
      <c r="H1396" s="9"/>
      <c r="I1396" s="9"/>
      <c r="J1396" s="9"/>
      <c r="K1396" s="4"/>
      <c r="L1396" s="10"/>
      <c r="M1396" s="54"/>
      <c r="N1396" s="12" t="s">
        <v>200</v>
      </c>
      <c r="O1396" s="12" t="s">
        <v>200</v>
      </c>
      <c r="P1396" s="13"/>
      <c r="Q1396" s="12"/>
      <c r="R1396" s="14"/>
      <c r="S1396" s="15"/>
      <c r="T1396" s="4" t="b">
        <v>0</v>
      </c>
    </row>
    <row r="1397">
      <c r="A1397" s="16"/>
      <c r="B1397" s="17"/>
      <c r="C1397" s="24"/>
      <c r="D1397" s="44"/>
      <c r="E1397" s="19"/>
      <c r="F1397" s="35"/>
      <c r="G1397" s="20">
        <v>1899.0</v>
      </c>
      <c r="H1397" s="21"/>
      <c r="I1397" s="21"/>
      <c r="J1397" s="21"/>
      <c r="K1397" s="16"/>
      <c r="L1397" s="22"/>
      <c r="M1397" s="55"/>
      <c r="N1397" s="23" t="s">
        <v>200</v>
      </c>
      <c r="O1397" s="23" t="s">
        <v>200</v>
      </c>
      <c r="P1397" s="24"/>
      <c r="Q1397" s="23"/>
      <c r="R1397" s="25"/>
      <c r="S1397" s="26"/>
      <c r="T1397" s="16" t="b">
        <v>0</v>
      </c>
    </row>
    <row r="1398">
      <c r="A1398" s="4"/>
      <c r="B1398" s="5"/>
      <c r="C1398" s="13"/>
      <c r="D1398" s="39"/>
      <c r="E1398" s="7"/>
      <c r="F1398" s="34"/>
      <c r="G1398" s="8">
        <v>1899.0</v>
      </c>
      <c r="H1398" s="9"/>
      <c r="I1398" s="9"/>
      <c r="J1398" s="9"/>
      <c r="K1398" s="4"/>
      <c r="L1398" s="10"/>
      <c r="M1398" s="54"/>
      <c r="N1398" s="12" t="s">
        <v>200</v>
      </c>
      <c r="O1398" s="12" t="s">
        <v>200</v>
      </c>
      <c r="P1398" s="13"/>
      <c r="Q1398" s="12"/>
      <c r="R1398" s="14"/>
      <c r="S1398" s="15"/>
      <c r="T1398" s="4" t="b">
        <v>0</v>
      </c>
    </row>
    <row r="1399">
      <c r="A1399" s="16"/>
      <c r="B1399" s="17"/>
      <c r="C1399" s="24"/>
      <c r="D1399" s="44"/>
      <c r="E1399" s="19"/>
      <c r="F1399" s="35"/>
      <c r="G1399" s="20">
        <v>1899.0</v>
      </c>
      <c r="H1399" s="21"/>
      <c r="I1399" s="21"/>
      <c r="J1399" s="21"/>
      <c r="K1399" s="16"/>
      <c r="L1399" s="22"/>
      <c r="M1399" s="55"/>
      <c r="N1399" s="23" t="s">
        <v>200</v>
      </c>
      <c r="O1399" s="23" t="s">
        <v>200</v>
      </c>
      <c r="P1399" s="24"/>
      <c r="Q1399" s="23"/>
      <c r="R1399" s="25"/>
      <c r="S1399" s="26"/>
      <c r="T1399" s="16" t="b">
        <v>0</v>
      </c>
    </row>
    <row r="1400">
      <c r="A1400" s="4"/>
      <c r="B1400" s="5"/>
      <c r="C1400" s="13"/>
      <c r="D1400" s="39"/>
      <c r="E1400" s="7"/>
      <c r="F1400" s="34"/>
      <c r="G1400" s="8">
        <v>1899.0</v>
      </c>
      <c r="H1400" s="9"/>
      <c r="I1400" s="9"/>
      <c r="J1400" s="9"/>
      <c r="K1400" s="4"/>
      <c r="L1400" s="10"/>
      <c r="M1400" s="54"/>
      <c r="N1400" s="12" t="s">
        <v>200</v>
      </c>
      <c r="O1400" s="12" t="s">
        <v>200</v>
      </c>
      <c r="P1400" s="13"/>
      <c r="Q1400" s="12"/>
      <c r="R1400" s="14"/>
      <c r="S1400" s="15"/>
      <c r="T1400" s="4" t="b">
        <v>0</v>
      </c>
    </row>
    <row r="1401">
      <c r="A1401" s="16"/>
      <c r="B1401" s="17"/>
      <c r="C1401" s="24"/>
      <c r="D1401" s="44"/>
      <c r="E1401" s="19"/>
      <c r="F1401" s="35"/>
      <c r="G1401" s="20">
        <v>1899.0</v>
      </c>
      <c r="H1401" s="21"/>
      <c r="I1401" s="21"/>
      <c r="J1401" s="21"/>
      <c r="K1401" s="16"/>
      <c r="L1401" s="22"/>
      <c r="M1401" s="55"/>
      <c r="N1401" s="23" t="s">
        <v>200</v>
      </c>
      <c r="O1401" s="23" t="s">
        <v>200</v>
      </c>
      <c r="P1401" s="24"/>
      <c r="Q1401" s="23"/>
      <c r="R1401" s="25"/>
      <c r="S1401" s="26"/>
      <c r="T1401" s="16" t="b">
        <v>0</v>
      </c>
    </row>
    <row r="1402">
      <c r="A1402" s="4"/>
      <c r="B1402" s="5"/>
      <c r="C1402" s="13"/>
      <c r="D1402" s="39"/>
      <c r="E1402" s="7"/>
      <c r="F1402" s="34"/>
      <c r="G1402" s="8">
        <v>1899.0</v>
      </c>
      <c r="H1402" s="9"/>
      <c r="I1402" s="9"/>
      <c r="J1402" s="9"/>
      <c r="K1402" s="4"/>
      <c r="L1402" s="10"/>
      <c r="M1402" s="54"/>
      <c r="N1402" s="12" t="s">
        <v>200</v>
      </c>
      <c r="O1402" s="12" t="s">
        <v>200</v>
      </c>
      <c r="P1402" s="13"/>
      <c r="Q1402" s="12"/>
      <c r="R1402" s="14"/>
      <c r="S1402" s="15"/>
      <c r="T1402" s="4" t="b">
        <v>0</v>
      </c>
    </row>
    <row r="1403">
      <c r="A1403" s="16"/>
      <c r="B1403" s="17"/>
      <c r="C1403" s="24"/>
      <c r="D1403" s="44"/>
      <c r="E1403" s="19"/>
      <c r="F1403" s="35"/>
      <c r="G1403" s="20">
        <v>1899.0</v>
      </c>
      <c r="H1403" s="21"/>
      <c r="I1403" s="21"/>
      <c r="J1403" s="21"/>
      <c r="K1403" s="16"/>
      <c r="L1403" s="22"/>
      <c r="M1403" s="55"/>
      <c r="N1403" s="23" t="s">
        <v>200</v>
      </c>
      <c r="O1403" s="23" t="s">
        <v>200</v>
      </c>
      <c r="P1403" s="24"/>
      <c r="Q1403" s="23"/>
      <c r="R1403" s="25"/>
      <c r="S1403" s="26"/>
      <c r="T1403" s="16" t="b">
        <v>0</v>
      </c>
    </row>
    <row r="1404">
      <c r="A1404" s="4"/>
      <c r="B1404" s="5"/>
      <c r="C1404" s="13"/>
      <c r="D1404" s="39"/>
      <c r="E1404" s="7"/>
      <c r="F1404" s="34"/>
      <c r="G1404" s="8">
        <v>1899.0</v>
      </c>
      <c r="H1404" s="9"/>
      <c r="I1404" s="9"/>
      <c r="J1404" s="9"/>
      <c r="K1404" s="4"/>
      <c r="L1404" s="10"/>
      <c r="M1404" s="54"/>
      <c r="N1404" s="12" t="s">
        <v>200</v>
      </c>
      <c r="O1404" s="12" t="s">
        <v>200</v>
      </c>
      <c r="P1404" s="13"/>
      <c r="Q1404" s="12"/>
      <c r="R1404" s="14"/>
      <c r="S1404" s="15"/>
      <c r="T1404" s="4" t="b">
        <v>0</v>
      </c>
    </row>
    <row r="1405">
      <c r="A1405" s="16"/>
      <c r="B1405" s="17"/>
      <c r="C1405" s="24"/>
      <c r="D1405" s="44"/>
      <c r="E1405" s="19"/>
      <c r="F1405" s="35"/>
      <c r="G1405" s="20">
        <v>1899.0</v>
      </c>
      <c r="H1405" s="21"/>
      <c r="I1405" s="21"/>
      <c r="J1405" s="21"/>
      <c r="K1405" s="16"/>
      <c r="L1405" s="22"/>
      <c r="M1405" s="55"/>
      <c r="N1405" s="23" t="s">
        <v>200</v>
      </c>
      <c r="O1405" s="23" t="s">
        <v>200</v>
      </c>
      <c r="P1405" s="24"/>
      <c r="Q1405" s="23"/>
      <c r="R1405" s="25"/>
      <c r="S1405" s="26"/>
      <c r="T1405" s="16" t="b">
        <v>0</v>
      </c>
    </row>
    <row r="1406">
      <c r="A1406" s="4"/>
      <c r="B1406" s="5"/>
      <c r="C1406" s="13"/>
      <c r="D1406" s="39"/>
      <c r="E1406" s="7"/>
      <c r="F1406" s="34"/>
      <c r="G1406" s="8">
        <v>1899.0</v>
      </c>
      <c r="H1406" s="9"/>
      <c r="I1406" s="9"/>
      <c r="J1406" s="9"/>
      <c r="K1406" s="4"/>
      <c r="L1406" s="10"/>
      <c r="M1406" s="54"/>
      <c r="N1406" s="12" t="s">
        <v>200</v>
      </c>
      <c r="O1406" s="12" t="s">
        <v>200</v>
      </c>
      <c r="P1406" s="13"/>
      <c r="Q1406" s="12"/>
      <c r="R1406" s="14"/>
      <c r="S1406" s="15"/>
      <c r="T1406" s="4" t="b">
        <v>0</v>
      </c>
    </row>
    <row r="1407">
      <c r="A1407" s="16"/>
      <c r="B1407" s="17"/>
      <c r="C1407" s="24"/>
      <c r="D1407" s="44"/>
      <c r="E1407" s="19"/>
      <c r="F1407" s="35"/>
      <c r="G1407" s="20">
        <v>1899.0</v>
      </c>
      <c r="H1407" s="21"/>
      <c r="I1407" s="21"/>
      <c r="J1407" s="21"/>
      <c r="K1407" s="16"/>
      <c r="L1407" s="22"/>
      <c r="M1407" s="55"/>
      <c r="N1407" s="23" t="s">
        <v>200</v>
      </c>
      <c r="O1407" s="23" t="s">
        <v>200</v>
      </c>
      <c r="P1407" s="24"/>
      <c r="Q1407" s="23"/>
      <c r="R1407" s="25"/>
      <c r="S1407" s="26"/>
      <c r="T1407" s="16" t="b">
        <v>0</v>
      </c>
    </row>
    <row r="1408">
      <c r="A1408" s="4"/>
      <c r="B1408" s="5"/>
      <c r="C1408" s="13"/>
      <c r="D1408" s="39"/>
      <c r="E1408" s="7"/>
      <c r="F1408" s="34"/>
      <c r="G1408" s="8">
        <v>1899.0</v>
      </c>
      <c r="H1408" s="9"/>
      <c r="I1408" s="9"/>
      <c r="J1408" s="9"/>
      <c r="K1408" s="4"/>
      <c r="L1408" s="10"/>
      <c r="M1408" s="54"/>
      <c r="N1408" s="12" t="s">
        <v>200</v>
      </c>
      <c r="O1408" s="12" t="s">
        <v>200</v>
      </c>
      <c r="P1408" s="13"/>
      <c r="Q1408" s="12"/>
      <c r="R1408" s="14"/>
      <c r="S1408" s="15"/>
      <c r="T1408" s="4" t="b">
        <v>0</v>
      </c>
    </row>
    <row r="1409">
      <c r="A1409" s="16"/>
      <c r="B1409" s="17"/>
      <c r="C1409" s="24"/>
      <c r="D1409" s="44"/>
      <c r="E1409" s="19"/>
      <c r="F1409" s="35"/>
      <c r="G1409" s="20">
        <v>1899.0</v>
      </c>
      <c r="H1409" s="21"/>
      <c r="I1409" s="21"/>
      <c r="J1409" s="21"/>
      <c r="K1409" s="16"/>
      <c r="L1409" s="22"/>
      <c r="M1409" s="55"/>
      <c r="N1409" s="23" t="s">
        <v>200</v>
      </c>
      <c r="O1409" s="23" t="s">
        <v>200</v>
      </c>
      <c r="P1409" s="24"/>
      <c r="Q1409" s="23"/>
      <c r="R1409" s="25"/>
      <c r="S1409" s="26"/>
      <c r="T1409" s="16" t="b">
        <v>0</v>
      </c>
    </row>
    <row r="1410">
      <c r="A1410" s="4"/>
      <c r="B1410" s="5"/>
      <c r="C1410" s="13"/>
      <c r="D1410" s="39"/>
      <c r="E1410" s="7"/>
      <c r="F1410" s="34"/>
      <c r="G1410" s="8">
        <v>1899.0</v>
      </c>
      <c r="H1410" s="9"/>
      <c r="I1410" s="9"/>
      <c r="J1410" s="9"/>
      <c r="K1410" s="4"/>
      <c r="L1410" s="10"/>
      <c r="M1410" s="54"/>
      <c r="N1410" s="12" t="s">
        <v>200</v>
      </c>
      <c r="O1410" s="12" t="s">
        <v>200</v>
      </c>
      <c r="P1410" s="13"/>
      <c r="Q1410" s="12"/>
      <c r="R1410" s="14"/>
      <c r="S1410" s="15"/>
      <c r="T1410" s="4" t="b">
        <v>0</v>
      </c>
    </row>
    <row r="1411">
      <c r="A1411" s="16"/>
      <c r="B1411" s="17"/>
      <c r="C1411" s="24"/>
      <c r="D1411" s="44"/>
      <c r="E1411" s="19"/>
      <c r="F1411" s="35"/>
      <c r="G1411" s="20">
        <v>1899.0</v>
      </c>
      <c r="H1411" s="21"/>
      <c r="I1411" s="21"/>
      <c r="J1411" s="21"/>
      <c r="K1411" s="16"/>
      <c r="L1411" s="22"/>
      <c r="M1411" s="55"/>
      <c r="N1411" s="23" t="s">
        <v>200</v>
      </c>
      <c r="O1411" s="23" t="s">
        <v>200</v>
      </c>
      <c r="P1411" s="24"/>
      <c r="Q1411" s="23"/>
      <c r="R1411" s="25"/>
      <c r="S1411" s="26"/>
      <c r="T1411" s="16" t="b">
        <v>0</v>
      </c>
    </row>
    <row r="1412">
      <c r="A1412" s="4"/>
      <c r="B1412" s="5"/>
      <c r="C1412" s="13"/>
      <c r="D1412" s="39"/>
      <c r="E1412" s="7"/>
      <c r="F1412" s="34"/>
      <c r="G1412" s="8">
        <v>1899.0</v>
      </c>
      <c r="H1412" s="9"/>
      <c r="I1412" s="9"/>
      <c r="J1412" s="9"/>
      <c r="K1412" s="4"/>
      <c r="L1412" s="10"/>
      <c r="M1412" s="54"/>
      <c r="N1412" s="12" t="s">
        <v>200</v>
      </c>
      <c r="O1412" s="12" t="s">
        <v>200</v>
      </c>
      <c r="P1412" s="13"/>
      <c r="Q1412" s="12"/>
      <c r="R1412" s="14"/>
      <c r="S1412" s="15"/>
      <c r="T1412" s="4" t="b">
        <v>0</v>
      </c>
    </row>
    <row r="1413">
      <c r="A1413" s="16"/>
      <c r="B1413" s="17"/>
      <c r="C1413" s="24"/>
      <c r="D1413" s="44"/>
      <c r="E1413" s="19"/>
      <c r="F1413" s="35"/>
      <c r="G1413" s="20">
        <v>1899.0</v>
      </c>
      <c r="H1413" s="21"/>
      <c r="I1413" s="21"/>
      <c r="J1413" s="21"/>
      <c r="K1413" s="16"/>
      <c r="L1413" s="22"/>
      <c r="M1413" s="55"/>
      <c r="N1413" s="23" t="s">
        <v>200</v>
      </c>
      <c r="O1413" s="23" t="s">
        <v>200</v>
      </c>
      <c r="P1413" s="24"/>
      <c r="Q1413" s="23"/>
      <c r="R1413" s="25"/>
      <c r="S1413" s="26"/>
      <c r="T1413" s="16" t="b">
        <v>0</v>
      </c>
    </row>
    <row r="1414">
      <c r="A1414" s="4"/>
      <c r="B1414" s="5"/>
      <c r="C1414" s="13"/>
      <c r="D1414" s="39"/>
      <c r="E1414" s="7"/>
      <c r="F1414" s="34"/>
      <c r="G1414" s="8">
        <v>1899.0</v>
      </c>
      <c r="H1414" s="9"/>
      <c r="I1414" s="9"/>
      <c r="J1414" s="9"/>
      <c r="K1414" s="4"/>
      <c r="L1414" s="10"/>
      <c r="M1414" s="54"/>
      <c r="N1414" s="12" t="s">
        <v>200</v>
      </c>
      <c r="O1414" s="12" t="s">
        <v>200</v>
      </c>
      <c r="P1414" s="13"/>
      <c r="Q1414" s="12"/>
      <c r="R1414" s="14"/>
      <c r="S1414" s="15"/>
      <c r="T1414" s="4" t="b">
        <v>0</v>
      </c>
    </row>
    <row r="1415">
      <c r="A1415" s="16"/>
      <c r="B1415" s="17"/>
      <c r="C1415" s="24"/>
      <c r="D1415" s="44"/>
      <c r="E1415" s="19"/>
      <c r="F1415" s="35"/>
      <c r="G1415" s="20">
        <v>1899.0</v>
      </c>
      <c r="H1415" s="21"/>
      <c r="I1415" s="21"/>
      <c r="J1415" s="21"/>
      <c r="K1415" s="16"/>
      <c r="L1415" s="22"/>
      <c r="M1415" s="55"/>
      <c r="N1415" s="23" t="s">
        <v>200</v>
      </c>
      <c r="O1415" s="23" t="s">
        <v>200</v>
      </c>
      <c r="P1415" s="24"/>
      <c r="Q1415" s="23"/>
      <c r="R1415" s="25"/>
      <c r="S1415" s="26"/>
      <c r="T1415" s="16" t="b">
        <v>0</v>
      </c>
    </row>
    <row r="1416">
      <c r="A1416" s="4"/>
      <c r="B1416" s="5"/>
      <c r="C1416" s="13"/>
      <c r="D1416" s="39"/>
      <c r="E1416" s="7"/>
      <c r="F1416" s="34"/>
      <c r="G1416" s="8">
        <v>1899.0</v>
      </c>
      <c r="H1416" s="9"/>
      <c r="I1416" s="9"/>
      <c r="J1416" s="9"/>
      <c r="K1416" s="4"/>
      <c r="L1416" s="10"/>
      <c r="M1416" s="54"/>
      <c r="N1416" s="12" t="s">
        <v>200</v>
      </c>
      <c r="O1416" s="12" t="s">
        <v>200</v>
      </c>
      <c r="P1416" s="13"/>
      <c r="Q1416" s="12"/>
      <c r="R1416" s="14"/>
      <c r="S1416" s="15"/>
      <c r="T1416" s="4" t="b">
        <v>0</v>
      </c>
    </row>
    <row r="1417">
      <c r="A1417" s="16"/>
      <c r="B1417" s="17"/>
      <c r="C1417" s="24"/>
      <c r="D1417" s="44"/>
      <c r="E1417" s="19"/>
      <c r="F1417" s="35"/>
      <c r="G1417" s="20">
        <v>1899.0</v>
      </c>
      <c r="H1417" s="21"/>
      <c r="I1417" s="21"/>
      <c r="J1417" s="21"/>
      <c r="K1417" s="16"/>
      <c r="L1417" s="22"/>
      <c r="M1417" s="55"/>
      <c r="N1417" s="23" t="s">
        <v>200</v>
      </c>
      <c r="O1417" s="23" t="s">
        <v>200</v>
      </c>
      <c r="P1417" s="24"/>
      <c r="Q1417" s="23"/>
      <c r="R1417" s="25"/>
      <c r="S1417" s="26"/>
      <c r="T1417" s="16" t="b">
        <v>0</v>
      </c>
    </row>
    <row r="1418">
      <c r="A1418" s="4"/>
      <c r="B1418" s="5"/>
      <c r="C1418" s="13"/>
      <c r="D1418" s="39"/>
      <c r="E1418" s="7"/>
      <c r="F1418" s="34"/>
      <c r="G1418" s="8">
        <v>1899.0</v>
      </c>
      <c r="H1418" s="9"/>
      <c r="I1418" s="9"/>
      <c r="J1418" s="9"/>
      <c r="K1418" s="4"/>
      <c r="L1418" s="10"/>
      <c r="M1418" s="54"/>
      <c r="N1418" s="12" t="s">
        <v>200</v>
      </c>
      <c r="O1418" s="12" t="s">
        <v>200</v>
      </c>
      <c r="P1418" s="13"/>
      <c r="Q1418" s="12"/>
      <c r="R1418" s="14"/>
      <c r="S1418" s="15"/>
      <c r="T1418" s="4" t="b">
        <v>0</v>
      </c>
    </row>
    <row r="1419">
      <c r="A1419" s="16"/>
      <c r="B1419" s="17"/>
      <c r="C1419" s="24"/>
      <c r="D1419" s="44"/>
      <c r="E1419" s="19"/>
      <c r="F1419" s="35"/>
      <c r="G1419" s="20">
        <v>1899.0</v>
      </c>
      <c r="H1419" s="21"/>
      <c r="I1419" s="21"/>
      <c r="J1419" s="21"/>
      <c r="K1419" s="16"/>
      <c r="L1419" s="22"/>
      <c r="M1419" s="55"/>
      <c r="N1419" s="23" t="s">
        <v>200</v>
      </c>
      <c r="O1419" s="23" t="s">
        <v>200</v>
      </c>
      <c r="P1419" s="24"/>
      <c r="Q1419" s="23"/>
      <c r="R1419" s="25"/>
      <c r="S1419" s="26"/>
      <c r="T1419" s="16" t="b">
        <v>0</v>
      </c>
    </row>
    <row r="1420">
      <c r="A1420" s="4"/>
      <c r="B1420" s="5"/>
      <c r="C1420" s="13"/>
      <c r="D1420" s="39"/>
      <c r="E1420" s="7"/>
      <c r="F1420" s="34"/>
      <c r="G1420" s="8">
        <v>1899.0</v>
      </c>
      <c r="H1420" s="9"/>
      <c r="I1420" s="9"/>
      <c r="J1420" s="9"/>
      <c r="K1420" s="4"/>
      <c r="L1420" s="10"/>
      <c r="M1420" s="54"/>
      <c r="N1420" s="12" t="s">
        <v>200</v>
      </c>
      <c r="O1420" s="12" t="s">
        <v>200</v>
      </c>
      <c r="P1420" s="13"/>
      <c r="Q1420" s="12"/>
      <c r="R1420" s="14"/>
      <c r="S1420" s="15"/>
      <c r="T1420" s="4" t="b">
        <v>0</v>
      </c>
    </row>
    <row r="1421">
      <c r="A1421" s="16"/>
      <c r="B1421" s="17"/>
      <c r="C1421" s="24"/>
      <c r="D1421" s="44"/>
      <c r="E1421" s="19"/>
      <c r="F1421" s="35"/>
      <c r="G1421" s="20">
        <v>1899.0</v>
      </c>
      <c r="H1421" s="21"/>
      <c r="I1421" s="21"/>
      <c r="J1421" s="21"/>
      <c r="K1421" s="16"/>
      <c r="L1421" s="22"/>
      <c r="M1421" s="55"/>
      <c r="N1421" s="23" t="s">
        <v>200</v>
      </c>
      <c r="O1421" s="23" t="s">
        <v>200</v>
      </c>
      <c r="P1421" s="24"/>
      <c r="Q1421" s="23"/>
      <c r="R1421" s="25"/>
      <c r="S1421" s="26"/>
      <c r="T1421" s="16" t="b">
        <v>0</v>
      </c>
    </row>
    <row r="1422">
      <c r="A1422" s="4"/>
      <c r="B1422" s="5"/>
      <c r="C1422" s="13"/>
      <c r="D1422" s="39"/>
      <c r="E1422" s="7"/>
      <c r="F1422" s="34"/>
      <c r="G1422" s="8">
        <v>1899.0</v>
      </c>
      <c r="H1422" s="9"/>
      <c r="I1422" s="9"/>
      <c r="J1422" s="9"/>
      <c r="K1422" s="4"/>
      <c r="L1422" s="10"/>
      <c r="M1422" s="54"/>
      <c r="N1422" s="12" t="s">
        <v>200</v>
      </c>
      <c r="O1422" s="12" t="s">
        <v>200</v>
      </c>
      <c r="P1422" s="13"/>
      <c r="Q1422" s="12"/>
      <c r="R1422" s="14"/>
      <c r="S1422" s="15"/>
      <c r="T1422" s="4" t="b">
        <v>0</v>
      </c>
    </row>
    <row r="1423">
      <c r="A1423" s="16"/>
      <c r="B1423" s="17"/>
      <c r="C1423" s="24"/>
      <c r="D1423" s="44"/>
      <c r="E1423" s="19"/>
      <c r="F1423" s="35"/>
      <c r="G1423" s="20">
        <v>1899.0</v>
      </c>
      <c r="H1423" s="21"/>
      <c r="I1423" s="21"/>
      <c r="J1423" s="21"/>
      <c r="K1423" s="16"/>
      <c r="L1423" s="22"/>
      <c r="M1423" s="55"/>
      <c r="N1423" s="23" t="s">
        <v>200</v>
      </c>
      <c r="O1423" s="23" t="s">
        <v>200</v>
      </c>
      <c r="P1423" s="24"/>
      <c r="Q1423" s="23"/>
      <c r="R1423" s="25"/>
      <c r="S1423" s="26"/>
      <c r="T1423" s="16" t="b">
        <v>0</v>
      </c>
    </row>
    <row r="1424">
      <c r="A1424" s="4"/>
      <c r="B1424" s="5"/>
      <c r="C1424" s="13"/>
      <c r="D1424" s="39"/>
      <c r="E1424" s="7"/>
      <c r="F1424" s="34"/>
      <c r="G1424" s="8">
        <v>1899.0</v>
      </c>
      <c r="H1424" s="9"/>
      <c r="I1424" s="9"/>
      <c r="J1424" s="9"/>
      <c r="K1424" s="4"/>
      <c r="L1424" s="10"/>
      <c r="M1424" s="54"/>
      <c r="N1424" s="12" t="s">
        <v>200</v>
      </c>
      <c r="O1424" s="12" t="s">
        <v>200</v>
      </c>
      <c r="P1424" s="13"/>
      <c r="Q1424" s="12"/>
      <c r="R1424" s="14"/>
      <c r="S1424" s="15"/>
      <c r="T1424" s="4" t="b">
        <v>0</v>
      </c>
    </row>
    <row r="1425">
      <c r="A1425" s="16"/>
      <c r="B1425" s="17"/>
      <c r="C1425" s="24"/>
      <c r="D1425" s="44"/>
      <c r="E1425" s="19"/>
      <c r="F1425" s="35"/>
      <c r="G1425" s="20">
        <v>1899.0</v>
      </c>
      <c r="H1425" s="21"/>
      <c r="I1425" s="21"/>
      <c r="J1425" s="21"/>
      <c r="K1425" s="16"/>
      <c r="L1425" s="22"/>
      <c r="M1425" s="55"/>
      <c r="N1425" s="23" t="s">
        <v>200</v>
      </c>
      <c r="O1425" s="23" t="s">
        <v>200</v>
      </c>
      <c r="P1425" s="24"/>
      <c r="Q1425" s="23"/>
      <c r="R1425" s="25"/>
      <c r="S1425" s="26"/>
      <c r="T1425" s="16" t="b">
        <v>0</v>
      </c>
    </row>
    <row r="1426">
      <c r="A1426" s="4"/>
      <c r="B1426" s="5"/>
      <c r="C1426" s="13"/>
      <c r="D1426" s="39"/>
      <c r="E1426" s="7"/>
      <c r="F1426" s="34"/>
      <c r="G1426" s="8">
        <v>1899.0</v>
      </c>
      <c r="H1426" s="9"/>
      <c r="I1426" s="9"/>
      <c r="J1426" s="9"/>
      <c r="K1426" s="4"/>
      <c r="L1426" s="10"/>
      <c r="M1426" s="54"/>
      <c r="N1426" s="12" t="s">
        <v>200</v>
      </c>
      <c r="O1426" s="12" t="s">
        <v>200</v>
      </c>
      <c r="P1426" s="13"/>
      <c r="Q1426" s="12"/>
      <c r="R1426" s="14"/>
      <c r="S1426" s="15"/>
      <c r="T1426" s="4" t="b">
        <v>0</v>
      </c>
    </row>
    <row r="1427">
      <c r="A1427" s="16"/>
      <c r="B1427" s="17"/>
      <c r="C1427" s="24"/>
      <c r="D1427" s="44"/>
      <c r="E1427" s="19"/>
      <c r="F1427" s="35"/>
      <c r="G1427" s="20">
        <v>1899.0</v>
      </c>
      <c r="H1427" s="21"/>
      <c r="I1427" s="21"/>
      <c r="J1427" s="21"/>
      <c r="K1427" s="16"/>
      <c r="L1427" s="22"/>
      <c r="M1427" s="55"/>
      <c r="N1427" s="23" t="s">
        <v>200</v>
      </c>
      <c r="O1427" s="23" t="s">
        <v>200</v>
      </c>
      <c r="P1427" s="24"/>
      <c r="Q1427" s="23"/>
      <c r="R1427" s="25"/>
      <c r="S1427" s="26"/>
      <c r="T1427" s="16" t="b">
        <v>0</v>
      </c>
    </row>
    <row r="1428">
      <c r="A1428" s="4"/>
      <c r="B1428" s="5"/>
      <c r="C1428" s="13"/>
      <c r="D1428" s="39"/>
      <c r="E1428" s="7"/>
      <c r="F1428" s="34"/>
      <c r="G1428" s="8">
        <v>1899.0</v>
      </c>
      <c r="H1428" s="9"/>
      <c r="I1428" s="9"/>
      <c r="J1428" s="9"/>
      <c r="K1428" s="4"/>
      <c r="L1428" s="10"/>
      <c r="M1428" s="54"/>
      <c r="N1428" s="12" t="s">
        <v>200</v>
      </c>
      <c r="O1428" s="12" t="s">
        <v>200</v>
      </c>
      <c r="P1428" s="13"/>
      <c r="Q1428" s="12"/>
      <c r="R1428" s="14"/>
      <c r="S1428" s="15"/>
      <c r="T1428" s="4" t="b">
        <v>0</v>
      </c>
    </row>
    <row r="1429">
      <c r="A1429" s="16"/>
      <c r="B1429" s="17"/>
      <c r="C1429" s="24"/>
      <c r="D1429" s="44"/>
      <c r="E1429" s="19"/>
      <c r="F1429" s="35"/>
      <c r="G1429" s="20">
        <v>1899.0</v>
      </c>
      <c r="H1429" s="21"/>
      <c r="I1429" s="21"/>
      <c r="J1429" s="21"/>
      <c r="K1429" s="16"/>
      <c r="L1429" s="22"/>
      <c r="M1429" s="55"/>
      <c r="N1429" s="23" t="s">
        <v>200</v>
      </c>
      <c r="O1429" s="23" t="s">
        <v>200</v>
      </c>
      <c r="P1429" s="24"/>
      <c r="Q1429" s="23"/>
      <c r="R1429" s="25"/>
      <c r="S1429" s="26"/>
      <c r="T1429" s="16" t="b">
        <v>0</v>
      </c>
    </row>
    <row r="1430">
      <c r="A1430" s="4"/>
      <c r="B1430" s="5"/>
      <c r="C1430" s="13"/>
      <c r="D1430" s="39"/>
      <c r="E1430" s="7"/>
      <c r="F1430" s="34"/>
      <c r="G1430" s="8">
        <v>1899.0</v>
      </c>
      <c r="H1430" s="9"/>
      <c r="I1430" s="9"/>
      <c r="J1430" s="9"/>
      <c r="K1430" s="4"/>
      <c r="L1430" s="10"/>
      <c r="M1430" s="54"/>
      <c r="N1430" s="12" t="s">
        <v>200</v>
      </c>
      <c r="O1430" s="12" t="s">
        <v>200</v>
      </c>
      <c r="P1430" s="13"/>
      <c r="Q1430" s="12"/>
      <c r="R1430" s="14"/>
      <c r="S1430" s="15"/>
      <c r="T1430" s="4" t="b">
        <v>0</v>
      </c>
    </row>
    <row r="1431">
      <c r="A1431" s="16"/>
      <c r="B1431" s="17"/>
      <c r="C1431" s="24"/>
      <c r="D1431" s="44"/>
      <c r="E1431" s="19"/>
      <c r="F1431" s="35"/>
      <c r="G1431" s="20">
        <v>1899.0</v>
      </c>
      <c r="H1431" s="21"/>
      <c r="I1431" s="21"/>
      <c r="J1431" s="21"/>
      <c r="K1431" s="16"/>
      <c r="L1431" s="22"/>
      <c r="M1431" s="55"/>
      <c r="N1431" s="23" t="s">
        <v>200</v>
      </c>
      <c r="O1431" s="23" t="s">
        <v>200</v>
      </c>
      <c r="P1431" s="24"/>
      <c r="Q1431" s="23"/>
      <c r="R1431" s="25"/>
      <c r="S1431" s="26"/>
      <c r="T1431" s="16" t="b">
        <v>0</v>
      </c>
    </row>
    <row r="1432">
      <c r="A1432" s="4"/>
      <c r="B1432" s="5"/>
      <c r="C1432" s="13"/>
      <c r="D1432" s="39"/>
      <c r="E1432" s="7"/>
      <c r="F1432" s="34"/>
      <c r="G1432" s="8">
        <v>1899.0</v>
      </c>
      <c r="H1432" s="9"/>
      <c r="I1432" s="9"/>
      <c r="J1432" s="9"/>
      <c r="K1432" s="4"/>
      <c r="L1432" s="10"/>
      <c r="M1432" s="54"/>
      <c r="N1432" s="12" t="s">
        <v>200</v>
      </c>
      <c r="O1432" s="12" t="s">
        <v>200</v>
      </c>
      <c r="P1432" s="13"/>
      <c r="Q1432" s="12"/>
      <c r="R1432" s="14"/>
      <c r="S1432" s="15"/>
      <c r="T1432" s="4" t="b">
        <v>0</v>
      </c>
    </row>
    <row r="1433">
      <c r="A1433" s="16"/>
      <c r="B1433" s="17"/>
      <c r="C1433" s="24"/>
      <c r="D1433" s="44"/>
      <c r="E1433" s="19"/>
      <c r="F1433" s="35"/>
      <c r="G1433" s="20">
        <v>1899.0</v>
      </c>
      <c r="H1433" s="21"/>
      <c r="I1433" s="21"/>
      <c r="J1433" s="21"/>
      <c r="K1433" s="16"/>
      <c r="L1433" s="22"/>
      <c r="M1433" s="55"/>
      <c r="N1433" s="23" t="s">
        <v>200</v>
      </c>
      <c r="O1433" s="23" t="s">
        <v>200</v>
      </c>
      <c r="P1433" s="24"/>
      <c r="Q1433" s="23"/>
      <c r="R1433" s="25"/>
      <c r="S1433" s="26"/>
      <c r="T1433" s="16" t="b">
        <v>0</v>
      </c>
    </row>
    <row r="1434">
      <c r="A1434" s="4"/>
      <c r="B1434" s="5"/>
      <c r="C1434" s="13"/>
      <c r="D1434" s="39"/>
      <c r="E1434" s="7"/>
      <c r="F1434" s="34"/>
      <c r="G1434" s="8">
        <v>1899.0</v>
      </c>
      <c r="H1434" s="9"/>
      <c r="I1434" s="9"/>
      <c r="J1434" s="9"/>
      <c r="K1434" s="4"/>
      <c r="L1434" s="10"/>
      <c r="M1434" s="54"/>
      <c r="N1434" s="12" t="s">
        <v>200</v>
      </c>
      <c r="O1434" s="12" t="s">
        <v>200</v>
      </c>
      <c r="P1434" s="13"/>
      <c r="Q1434" s="12"/>
      <c r="R1434" s="14"/>
      <c r="S1434" s="15"/>
      <c r="T1434" s="4" t="b">
        <v>0</v>
      </c>
    </row>
    <row r="1435">
      <c r="A1435" s="16"/>
      <c r="B1435" s="17"/>
      <c r="C1435" s="24"/>
      <c r="D1435" s="44"/>
      <c r="E1435" s="19"/>
      <c r="F1435" s="35"/>
      <c r="G1435" s="20">
        <v>1899.0</v>
      </c>
      <c r="H1435" s="21"/>
      <c r="I1435" s="21"/>
      <c r="J1435" s="21"/>
      <c r="K1435" s="16"/>
      <c r="L1435" s="22"/>
      <c r="M1435" s="55"/>
      <c r="N1435" s="23" t="s">
        <v>200</v>
      </c>
      <c r="O1435" s="23" t="s">
        <v>200</v>
      </c>
      <c r="P1435" s="24"/>
      <c r="Q1435" s="23"/>
      <c r="R1435" s="25"/>
      <c r="S1435" s="26"/>
      <c r="T1435" s="16" t="b">
        <v>0</v>
      </c>
    </row>
    <row r="1436">
      <c r="A1436" s="4"/>
      <c r="B1436" s="5"/>
      <c r="C1436" s="13"/>
      <c r="D1436" s="39"/>
      <c r="E1436" s="7"/>
      <c r="F1436" s="34"/>
      <c r="G1436" s="8">
        <v>1899.0</v>
      </c>
      <c r="H1436" s="9"/>
      <c r="I1436" s="9"/>
      <c r="J1436" s="9"/>
      <c r="K1436" s="4"/>
      <c r="L1436" s="10"/>
      <c r="M1436" s="54"/>
      <c r="N1436" s="12" t="s">
        <v>200</v>
      </c>
      <c r="O1436" s="12" t="s">
        <v>200</v>
      </c>
      <c r="P1436" s="13"/>
      <c r="Q1436" s="12"/>
      <c r="R1436" s="14"/>
      <c r="S1436" s="15"/>
      <c r="T1436" s="4" t="b">
        <v>0</v>
      </c>
    </row>
    <row r="1437">
      <c r="A1437" s="16"/>
      <c r="B1437" s="17"/>
      <c r="C1437" s="24"/>
      <c r="D1437" s="44"/>
      <c r="E1437" s="19"/>
      <c r="F1437" s="35"/>
      <c r="G1437" s="20">
        <v>1899.0</v>
      </c>
      <c r="H1437" s="21"/>
      <c r="I1437" s="21"/>
      <c r="J1437" s="21"/>
      <c r="K1437" s="16"/>
      <c r="L1437" s="22"/>
      <c r="M1437" s="55"/>
      <c r="N1437" s="23" t="s">
        <v>200</v>
      </c>
      <c r="O1437" s="23" t="s">
        <v>200</v>
      </c>
      <c r="P1437" s="24"/>
      <c r="Q1437" s="23"/>
      <c r="R1437" s="25"/>
      <c r="S1437" s="26"/>
      <c r="T1437" s="16" t="b">
        <v>0</v>
      </c>
    </row>
    <row r="1438">
      <c r="A1438" s="4"/>
      <c r="B1438" s="5"/>
      <c r="C1438" s="13"/>
      <c r="D1438" s="39"/>
      <c r="E1438" s="7"/>
      <c r="F1438" s="34"/>
      <c r="G1438" s="8">
        <v>1899.0</v>
      </c>
      <c r="H1438" s="9"/>
      <c r="I1438" s="9"/>
      <c r="J1438" s="9"/>
      <c r="K1438" s="4"/>
      <c r="L1438" s="10"/>
      <c r="M1438" s="54"/>
      <c r="N1438" s="12" t="s">
        <v>200</v>
      </c>
      <c r="O1438" s="12" t="s">
        <v>200</v>
      </c>
      <c r="P1438" s="13"/>
      <c r="Q1438" s="12"/>
      <c r="R1438" s="14"/>
      <c r="S1438" s="15"/>
      <c r="T1438" s="4" t="b">
        <v>0</v>
      </c>
    </row>
    <row r="1439">
      <c r="A1439" s="16"/>
      <c r="B1439" s="17"/>
      <c r="C1439" s="24"/>
      <c r="D1439" s="44"/>
      <c r="E1439" s="19"/>
      <c r="F1439" s="35"/>
      <c r="G1439" s="20">
        <v>1899.0</v>
      </c>
      <c r="H1439" s="21"/>
      <c r="I1439" s="21"/>
      <c r="J1439" s="21"/>
      <c r="K1439" s="16"/>
      <c r="L1439" s="22"/>
      <c r="M1439" s="55"/>
      <c r="N1439" s="23" t="s">
        <v>200</v>
      </c>
      <c r="O1439" s="23" t="s">
        <v>200</v>
      </c>
      <c r="P1439" s="24"/>
      <c r="Q1439" s="23"/>
      <c r="R1439" s="25"/>
      <c r="S1439" s="26"/>
      <c r="T1439" s="16" t="b">
        <v>0</v>
      </c>
    </row>
    <row r="1440">
      <c r="A1440" s="4"/>
      <c r="B1440" s="5"/>
      <c r="C1440" s="13"/>
      <c r="D1440" s="39"/>
      <c r="E1440" s="7"/>
      <c r="F1440" s="34"/>
      <c r="G1440" s="8">
        <v>1899.0</v>
      </c>
      <c r="H1440" s="9"/>
      <c r="I1440" s="9"/>
      <c r="J1440" s="9"/>
      <c r="K1440" s="4"/>
      <c r="L1440" s="10"/>
      <c r="M1440" s="54"/>
      <c r="N1440" s="12" t="s">
        <v>200</v>
      </c>
      <c r="O1440" s="12" t="s">
        <v>200</v>
      </c>
      <c r="P1440" s="13"/>
      <c r="Q1440" s="12"/>
      <c r="R1440" s="14"/>
      <c r="S1440" s="15"/>
      <c r="T1440" s="4" t="b">
        <v>0</v>
      </c>
    </row>
    <row r="1441">
      <c r="A1441" s="16"/>
      <c r="B1441" s="17"/>
      <c r="C1441" s="24"/>
      <c r="D1441" s="44"/>
      <c r="E1441" s="19"/>
      <c r="F1441" s="35"/>
      <c r="G1441" s="20">
        <v>1899.0</v>
      </c>
      <c r="H1441" s="21"/>
      <c r="I1441" s="21"/>
      <c r="J1441" s="21"/>
      <c r="K1441" s="16"/>
      <c r="L1441" s="22"/>
      <c r="M1441" s="55"/>
      <c r="N1441" s="23" t="s">
        <v>200</v>
      </c>
      <c r="O1441" s="23" t="s">
        <v>200</v>
      </c>
      <c r="P1441" s="24"/>
      <c r="Q1441" s="23"/>
      <c r="R1441" s="25"/>
      <c r="S1441" s="26"/>
      <c r="T1441" s="16" t="b">
        <v>0</v>
      </c>
    </row>
    <row r="1442">
      <c r="A1442" s="4"/>
      <c r="B1442" s="5"/>
      <c r="C1442" s="13"/>
      <c r="D1442" s="39"/>
      <c r="E1442" s="7"/>
      <c r="F1442" s="34"/>
      <c r="G1442" s="8">
        <v>1899.0</v>
      </c>
      <c r="H1442" s="9"/>
      <c r="I1442" s="9"/>
      <c r="J1442" s="9"/>
      <c r="K1442" s="4"/>
      <c r="L1442" s="10"/>
      <c r="M1442" s="54"/>
      <c r="N1442" s="12" t="s">
        <v>200</v>
      </c>
      <c r="O1442" s="12" t="s">
        <v>200</v>
      </c>
      <c r="P1442" s="13"/>
      <c r="Q1442" s="12"/>
      <c r="R1442" s="14"/>
      <c r="S1442" s="15"/>
      <c r="T1442" s="4" t="b">
        <v>0</v>
      </c>
    </row>
    <row r="1443">
      <c r="A1443" s="16"/>
      <c r="B1443" s="17"/>
      <c r="C1443" s="24"/>
      <c r="D1443" s="44"/>
      <c r="E1443" s="19"/>
      <c r="F1443" s="35"/>
      <c r="G1443" s="20">
        <v>1899.0</v>
      </c>
      <c r="H1443" s="21"/>
      <c r="I1443" s="21"/>
      <c r="J1443" s="21"/>
      <c r="K1443" s="16"/>
      <c r="L1443" s="22"/>
      <c r="M1443" s="55"/>
      <c r="N1443" s="23" t="s">
        <v>200</v>
      </c>
      <c r="O1443" s="23" t="s">
        <v>200</v>
      </c>
      <c r="P1443" s="24"/>
      <c r="Q1443" s="23"/>
      <c r="R1443" s="25"/>
      <c r="S1443" s="26"/>
      <c r="T1443" s="16" t="b">
        <v>0</v>
      </c>
    </row>
    <row r="1444">
      <c r="A1444" s="4"/>
      <c r="B1444" s="5"/>
      <c r="C1444" s="13"/>
      <c r="D1444" s="39"/>
      <c r="E1444" s="7"/>
      <c r="F1444" s="34"/>
      <c r="G1444" s="8">
        <v>1899.0</v>
      </c>
      <c r="H1444" s="9"/>
      <c r="I1444" s="9"/>
      <c r="J1444" s="9"/>
      <c r="K1444" s="4"/>
      <c r="L1444" s="10"/>
      <c r="M1444" s="54"/>
      <c r="N1444" s="12" t="s">
        <v>200</v>
      </c>
      <c r="O1444" s="12" t="s">
        <v>200</v>
      </c>
      <c r="P1444" s="13"/>
      <c r="Q1444" s="12"/>
      <c r="R1444" s="14"/>
      <c r="S1444" s="15"/>
      <c r="T1444" s="4" t="b">
        <v>0</v>
      </c>
    </row>
    <row r="1445">
      <c r="A1445" s="16"/>
      <c r="B1445" s="17"/>
      <c r="C1445" s="24"/>
      <c r="D1445" s="44"/>
      <c r="E1445" s="19"/>
      <c r="F1445" s="35"/>
      <c r="G1445" s="20">
        <v>1899.0</v>
      </c>
      <c r="H1445" s="21"/>
      <c r="I1445" s="21"/>
      <c r="J1445" s="21"/>
      <c r="K1445" s="16"/>
      <c r="L1445" s="22"/>
      <c r="M1445" s="55"/>
      <c r="N1445" s="23" t="s">
        <v>200</v>
      </c>
      <c r="O1445" s="23" t="s">
        <v>200</v>
      </c>
      <c r="P1445" s="24"/>
      <c r="Q1445" s="23"/>
      <c r="R1445" s="25"/>
      <c r="S1445" s="26"/>
      <c r="T1445" s="16" t="b">
        <v>0</v>
      </c>
    </row>
    <row r="1446">
      <c r="A1446" s="4"/>
      <c r="B1446" s="5"/>
      <c r="C1446" s="13"/>
      <c r="D1446" s="39"/>
      <c r="E1446" s="7"/>
      <c r="F1446" s="34"/>
      <c r="G1446" s="8">
        <v>1899.0</v>
      </c>
      <c r="H1446" s="9"/>
      <c r="I1446" s="9"/>
      <c r="J1446" s="9"/>
      <c r="K1446" s="4"/>
      <c r="L1446" s="10"/>
      <c r="M1446" s="54"/>
      <c r="N1446" s="12" t="s">
        <v>200</v>
      </c>
      <c r="O1446" s="12" t="s">
        <v>200</v>
      </c>
      <c r="P1446" s="13"/>
      <c r="Q1446" s="12"/>
      <c r="R1446" s="14"/>
      <c r="S1446" s="15"/>
      <c r="T1446" s="4" t="b">
        <v>0</v>
      </c>
    </row>
    <row r="1447">
      <c r="A1447" s="16"/>
      <c r="B1447" s="17"/>
      <c r="C1447" s="24"/>
      <c r="D1447" s="44"/>
      <c r="E1447" s="19"/>
      <c r="F1447" s="35"/>
      <c r="G1447" s="20">
        <v>1899.0</v>
      </c>
      <c r="H1447" s="21"/>
      <c r="I1447" s="21"/>
      <c r="J1447" s="21"/>
      <c r="K1447" s="16"/>
      <c r="L1447" s="22"/>
      <c r="M1447" s="55"/>
      <c r="N1447" s="23" t="s">
        <v>200</v>
      </c>
      <c r="O1447" s="23" t="s">
        <v>200</v>
      </c>
      <c r="P1447" s="24"/>
      <c r="Q1447" s="23"/>
      <c r="R1447" s="25"/>
      <c r="S1447" s="26"/>
      <c r="T1447" s="16" t="b">
        <v>0</v>
      </c>
    </row>
    <row r="1448">
      <c r="A1448" s="4"/>
      <c r="B1448" s="5"/>
      <c r="C1448" s="13"/>
      <c r="D1448" s="39"/>
      <c r="E1448" s="7"/>
      <c r="F1448" s="34"/>
      <c r="G1448" s="8">
        <v>1899.0</v>
      </c>
      <c r="H1448" s="9"/>
      <c r="I1448" s="9"/>
      <c r="J1448" s="9"/>
      <c r="K1448" s="4"/>
      <c r="L1448" s="10"/>
      <c r="M1448" s="54"/>
      <c r="N1448" s="12" t="s">
        <v>200</v>
      </c>
      <c r="O1448" s="12" t="s">
        <v>200</v>
      </c>
      <c r="P1448" s="13"/>
      <c r="Q1448" s="12"/>
      <c r="R1448" s="14"/>
      <c r="S1448" s="15"/>
      <c r="T1448" s="4" t="b">
        <v>0</v>
      </c>
    </row>
    <row r="1449">
      <c r="A1449" s="16"/>
      <c r="B1449" s="17"/>
      <c r="C1449" s="24"/>
      <c r="D1449" s="44"/>
      <c r="E1449" s="19"/>
      <c r="F1449" s="35"/>
      <c r="G1449" s="20">
        <v>1899.0</v>
      </c>
      <c r="H1449" s="21"/>
      <c r="I1449" s="21"/>
      <c r="J1449" s="21"/>
      <c r="K1449" s="16"/>
      <c r="L1449" s="22"/>
      <c r="M1449" s="55"/>
      <c r="N1449" s="23" t="s">
        <v>200</v>
      </c>
      <c r="O1449" s="23" t="s">
        <v>200</v>
      </c>
      <c r="P1449" s="24"/>
      <c r="Q1449" s="23"/>
      <c r="R1449" s="25"/>
      <c r="S1449" s="26"/>
      <c r="T1449" s="16" t="b">
        <v>0</v>
      </c>
    </row>
    <row r="1450">
      <c r="A1450" s="4"/>
      <c r="B1450" s="5"/>
      <c r="C1450" s="13"/>
      <c r="D1450" s="39"/>
      <c r="E1450" s="7"/>
      <c r="F1450" s="34"/>
      <c r="G1450" s="8">
        <v>1899.0</v>
      </c>
      <c r="H1450" s="9"/>
      <c r="I1450" s="9"/>
      <c r="J1450" s="9"/>
      <c r="K1450" s="4"/>
      <c r="L1450" s="10"/>
      <c r="M1450" s="54"/>
      <c r="N1450" s="12" t="s">
        <v>200</v>
      </c>
      <c r="O1450" s="12" t="s">
        <v>200</v>
      </c>
      <c r="P1450" s="13"/>
      <c r="Q1450" s="12"/>
      <c r="R1450" s="14"/>
      <c r="S1450" s="15"/>
      <c r="T1450" s="4" t="b">
        <v>0</v>
      </c>
    </row>
    <row r="1451">
      <c r="A1451" s="16"/>
      <c r="B1451" s="17"/>
      <c r="C1451" s="24"/>
      <c r="D1451" s="44"/>
      <c r="E1451" s="19"/>
      <c r="F1451" s="35"/>
      <c r="G1451" s="20">
        <v>1899.0</v>
      </c>
      <c r="H1451" s="21"/>
      <c r="I1451" s="21"/>
      <c r="J1451" s="21"/>
      <c r="K1451" s="16"/>
      <c r="L1451" s="22"/>
      <c r="M1451" s="55"/>
      <c r="N1451" s="23" t="s">
        <v>200</v>
      </c>
      <c r="O1451" s="23" t="s">
        <v>200</v>
      </c>
      <c r="P1451" s="24"/>
      <c r="Q1451" s="23"/>
      <c r="R1451" s="25"/>
      <c r="S1451" s="26"/>
      <c r="T1451" s="16" t="b">
        <v>0</v>
      </c>
    </row>
    <row r="1452">
      <c r="A1452" s="4"/>
      <c r="B1452" s="5"/>
      <c r="C1452" s="13"/>
      <c r="D1452" s="39"/>
      <c r="E1452" s="7"/>
      <c r="F1452" s="34"/>
      <c r="G1452" s="8">
        <v>1899.0</v>
      </c>
      <c r="H1452" s="9"/>
      <c r="I1452" s="9"/>
      <c r="J1452" s="9"/>
      <c r="K1452" s="4"/>
      <c r="L1452" s="10"/>
      <c r="M1452" s="54"/>
      <c r="N1452" s="12" t="s">
        <v>200</v>
      </c>
      <c r="O1452" s="12" t="s">
        <v>200</v>
      </c>
      <c r="P1452" s="13"/>
      <c r="Q1452" s="12"/>
      <c r="R1452" s="14"/>
      <c r="S1452" s="15"/>
      <c r="T1452" s="4" t="b">
        <v>0</v>
      </c>
    </row>
    <row r="1453">
      <c r="A1453" s="16"/>
      <c r="B1453" s="17"/>
      <c r="C1453" s="24"/>
      <c r="D1453" s="44"/>
      <c r="E1453" s="19"/>
      <c r="F1453" s="35"/>
      <c r="G1453" s="20">
        <v>1899.0</v>
      </c>
      <c r="H1453" s="21"/>
      <c r="I1453" s="21"/>
      <c r="J1453" s="21"/>
      <c r="K1453" s="16"/>
      <c r="L1453" s="22"/>
      <c r="M1453" s="55"/>
      <c r="N1453" s="23" t="s">
        <v>200</v>
      </c>
      <c r="O1453" s="23" t="s">
        <v>200</v>
      </c>
      <c r="P1453" s="24"/>
      <c r="Q1453" s="23"/>
      <c r="R1453" s="25"/>
      <c r="S1453" s="26"/>
      <c r="T1453" s="16" t="b">
        <v>0</v>
      </c>
    </row>
    <row r="1454">
      <c r="A1454" s="4"/>
      <c r="B1454" s="5"/>
      <c r="C1454" s="13"/>
      <c r="D1454" s="39"/>
      <c r="E1454" s="7"/>
      <c r="F1454" s="34"/>
      <c r="G1454" s="8">
        <v>1899.0</v>
      </c>
      <c r="H1454" s="9"/>
      <c r="I1454" s="9"/>
      <c r="J1454" s="9"/>
      <c r="K1454" s="4"/>
      <c r="L1454" s="10"/>
      <c r="M1454" s="54"/>
      <c r="N1454" s="12" t="s">
        <v>200</v>
      </c>
      <c r="O1454" s="12" t="s">
        <v>200</v>
      </c>
      <c r="P1454" s="13"/>
      <c r="Q1454" s="12"/>
      <c r="R1454" s="14"/>
      <c r="S1454" s="15"/>
      <c r="T1454" s="4" t="b">
        <v>0</v>
      </c>
    </row>
    <row r="1455">
      <c r="A1455" s="16"/>
      <c r="B1455" s="17"/>
      <c r="C1455" s="24"/>
      <c r="D1455" s="44"/>
      <c r="E1455" s="19"/>
      <c r="F1455" s="35"/>
      <c r="G1455" s="20">
        <v>1899.0</v>
      </c>
      <c r="H1455" s="21"/>
      <c r="I1455" s="21"/>
      <c r="J1455" s="21"/>
      <c r="K1455" s="16"/>
      <c r="L1455" s="22"/>
      <c r="M1455" s="55"/>
      <c r="N1455" s="23" t="s">
        <v>200</v>
      </c>
      <c r="O1455" s="23" t="s">
        <v>200</v>
      </c>
      <c r="P1455" s="24"/>
      <c r="Q1455" s="23"/>
      <c r="R1455" s="25"/>
      <c r="S1455" s="26"/>
      <c r="T1455" s="16" t="b">
        <v>0</v>
      </c>
    </row>
    <row r="1456">
      <c r="A1456" s="4"/>
      <c r="B1456" s="5"/>
      <c r="C1456" s="13"/>
      <c r="D1456" s="39"/>
      <c r="E1456" s="7"/>
      <c r="F1456" s="34"/>
      <c r="G1456" s="8">
        <v>1899.0</v>
      </c>
      <c r="H1456" s="9"/>
      <c r="I1456" s="9"/>
      <c r="J1456" s="9"/>
      <c r="K1456" s="4"/>
      <c r="L1456" s="10"/>
      <c r="M1456" s="54"/>
      <c r="N1456" s="12" t="s">
        <v>200</v>
      </c>
      <c r="O1456" s="12" t="s">
        <v>200</v>
      </c>
      <c r="P1456" s="13"/>
      <c r="Q1456" s="12"/>
      <c r="R1456" s="14"/>
      <c r="S1456" s="15"/>
      <c r="T1456" s="4" t="b">
        <v>0</v>
      </c>
    </row>
    <row r="1457">
      <c r="A1457" s="16"/>
      <c r="B1457" s="17"/>
      <c r="C1457" s="24"/>
      <c r="D1457" s="44"/>
      <c r="E1457" s="19"/>
      <c r="F1457" s="35"/>
      <c r="G1457" s="20">
        <v>1899.0</v>
      </c>
      <c r="H1457" s="21"/>
      <c r="I1457" s="21"/>
      <c r="J1457" s="21"/>
      <c r="K1457" s="16"/>
      <c r="L1457" s="22"/>
      <c r="M1457" s="55"/>
      <c r="N1457" s="23" t="s">
        <v>200</v>
      </c>
      <c r="O1457" s="23" t="s">
        <v>200</v>
      </c>
      <c r="P1457" s="24"/>
      <c r="Q1457" s="23"/>
      <c r="R1457" s="25"/>
      <c r="S1457" s="26"/>
      <c r="T1457" s="16" t="b">
        <v>0</v>
      </c>
    </row>
    <row r="1458">
      <c r="A1458" s="4"/>
      <c r="B1458" s="5"/>
      <c r="C1458" s="13"/>
      <c r="D1458" s="39"/>
      <c r="E1458" s="7"/>
      <c r="F1458" s="34"/>
      <c r="G1458" s="8">
        <v>1899.0</v>
      </c>
      <c r="H1458" s="9"/>
      <c r="I1458" s="9"/>
      <c r="J1458" s="9"/>
      <c r="K1458" s="4"/>
      <c r="L1458" s="10"/>
      <c r="M1458" s="54"/>
      <c r="N1458" s="12" t="s">
        <v>200</v>
      </c>
      <c r="O1458" s="12" t="s">
        <v>200</v>
      </c>
      <c r="P1458" s="13"/>
      <c r="Q1458" s="12"/>
      <c r="R1458" s="14"/>
      <c r="S1458" s="15"/>
      <c r="T1458" s="4" t="b">
        <v>0</v>
      </c>
    </row>
    <row r="1459">
      <c r="A1459" s="16"/>
      <c r="B1459" s="17"/>
      <c r="C1459" s="24"/>
      <c r="D1459" s="44"/>
      <c r="E1459" s="19"/>
      <c r="F1459" s="35"/>
      <c r="G1459" s="20">
        <v>1899.0</v>
      </c>
      <c r="H1459" s="21"/>
      <c r="I1459" s="21"/>
      <c r="J1459" s="21"/>
      <c r="K1459" s="16"/>
      <c r="L1459" s="22"/>
      <c r="M1459" s="55"/>
      <c r="N1459" s="23" t="s">
        <v>200</v>
      </c>
      <c r="O1459" s="23" t="s">
        <v>200</v>
      </c>
      <c r="P1459" s="24"/>
      <c r="Q1459" s="23"/>
      <c r="R1459" s="25"/>
      <c r="S1459" s="26"/>
      <c r="T1459" s="16" t="b">
        <v>0</v>
      </c>
    </row>
    <row r="1460">
      <c r="A1460" s="4"/>
      <c r="B1460" s="5"/>
      <c r="C1460" s="13"/>
      <c r="D1460" s="39"/>
      <c r="E1460" s="7"/>
      <c r="F1460" s="34"/>
      <c r="G1460" s="8">
        <v>1899.0</v>
      </c>
      <c r="H1460" s="9"/>
      <c r="I1460" s="9"/>
      <c r="J1460" s="9"/>
      <c r="K1460" s="4"/>
      <c r="L1460" s="10"/>
      <c r="M1460" s="54"/>
      <c r="N1460" s="12" t="s">
        <v>200</v>
      </c>
      <c r="O1460" s="12" t="s">
        <v>200</v>
      </c>
      <c r="P1460" s="13"/>
      <c r="Q1460" s="12"/>
      <c r="R1460" s="14"/>
      <c r="S1460" s="15"/>
      <c r="T1460" s="4" t="b">
        <v>0</v>
      </c>
    </row>
    <row r="1461">
      <c r="A1461" s="16"/>
      <c r="B1461" s="17"/>
      <c r="C1461" s="24"/>
      <c r="D1461" s="44"/>
      <c r="E1461" s="19"/>
      <c r="F1461" s="35"/>
      <c r="G1461" s="20">
        <v>1899.0</v>
      </c>
      <c r="H1461" s="21"/>
      <c r="I1461" s="21"/>
      <c r="J1461" s="21"/>
      <c r="K1461" s="16"/>
      <c r="L1461" s="22"/>
      <c r="M1461" s="55"/>
      <c r="N1461" s="23" t="s">
        <v>200</v>
      </c>
      <c r="O1461" s="23" t="s">
        <v>200</v>
      </c>
      <c r="P1461" s="24"/>
      <c r="Q1461" s="23"/>
      <c r="R1461" s="25"/>
      <c r="S1461" s="26"/>
      <c r="T1461" s="16" t="b">
        <v>0</v>
      </c>
    </row>
    <row r="1462">
      <c r="A1462" s="4"/>
      <c r="B1462" s="5"/>
      <c r="C1462" s="13"/>
      <c r="D1462" s="39"/>
      <c r="E1462" s="7"/>
      <c r="F1462" s="34"/>
      <c r="G1462" s="8">
        <v>1899.0</v>
      </c>
      <c r="H1462" s="9"/>
      <c r="I1462" s="9"/>
      <c r="J1462" s="9"/>
      <c r="K1462" s="4"/>
      <c r="L1462" s="10"/>
      <c r="M1462" s="54"/>
      <c r="N1462" s="12" t="s">
        <v>200</v>
      </c>
      <c r="O1462" s="12" t="s">
        <v>200</v>
      </c>
      <c r="P1462" s="13"/>
      <c r="Q1462" s="12"/>
      <c r="R1462" s="14"/>
      <c r="S1462" s="15"/>
      <c r="T1462" s="4" t="b">
        <v>0</v>
      </c>
    </row>
    <row r="1463">
      <c r="A1463" s="16"/>
      <c r="B1463" s="17"/>
      <c r="C1463" s="24"/>
      <c r="D1463" s="44"/>
      <c r="E1463" s="19"/>
      <c r="F1463" s="35"/>
      <c r="G1463" s="20">
        <v>1899.0</v>
      </c>
      <c r="H1463" s="21"/>
      <c r="I1463" s="21"/>
      <c r="J1463" s="21"/>
      <c r="K1463" s="16"/>
      <c r="L1463" s="22"/>
      <c r="M1463" s="55"/>
      <c r="N1463" s="23" t="s">
        <v>200</v>
      </c>
      <c r="O1463" s="23" t="s">
        <v>200</v>
      </c>
      <c r="P1463" s="24"/>
      <c r="Q1463" s="23"/>
      <c r="R1463" s="25"/>
      <c r="S1463" s="26"/>
      <c r="T1463" s="16" t="b">
        <v>0</v>
      </c>
    </row>
    <row r="1464">
      <c r="A1464" s="4"/>
      <c r="B1464" s="5"/>
      <c r="C1464" s="13"/>
      <c r="D1464" s="39"/>
      <c r="E1464" s="7"/>
      <c r="F1464" s="34"/>
      <c r="G1464" s="8">
        <v>1899.0</v>
      </c>
      <c r="H1464" s="9"/>
      <c r="I1464" s="9"/>
      <c r="J1464" s="9"/>
      <c r="K1464" s="4"/>
      <c r="L1464" s="10"/>
      <c r="M1464" s="54"/>
      <c r="N1464" s="12" t="s">
        <v>200</v>
      </c>
      <c r="O1464" s="12" t="s">
        <v>200</v>
      </c>
      <c r="P1464" s="13"/>
      <c r="Q1464" s="12"/>
      <c r="R1464" s="14"/>
      <c r="S1464" s="15"/>
      <c r="T1464" s="4" t="b">
        <v>0</v>
      </c>
    </row>
    <row r="1465">
      <c r="A1465" s="16"/>
      <c r="B1465" s="17"/>
      <c r="C1465" s="24"/>
      <c r="D1465" s="44"/>
      <c r="E1465" s="19"/>
      <c r="F1465" s="35"/>
      <c r="G1465" s="20">
        <v>1899.0</v>
      </c>
      <c r="H1465" s="21"/>
      <c r="I1465" s="21"/>
      <c r="J1465" s="21"/>
      <c r="K1465" s="16"/>
      <c r="L1465" s="22"/>
      <c r="M1465" s="55"/>
      <c r="N1465" s="23" t="s">
        <v>200</v>
      </c>
      <c r="O1465" s="23" t="s">
        <v>200</v>
      </c>
      <c r="P1465" s="24"/>
      <c r="Q1465" s="23"/>
      <c r="R1465" s="25"/>
      <c r="S1465" s="26"/>
      <c r="T1465" s="16" t="b">
        <v>0</v>
      </c>
    </row>
    <row r="1466">
      <c r="A1466" s="4"/>
      <c r="B1466" s="5"/>
      <c r="C1466" s="13"/>
      <c r="D1466" s="39"/>
      <c r="E1466" s="7"/>
      <c r="F1466" s="34"/>
      <c r="G1466" s="8">
        <v>1899.0</v>
      </c>
      <c r="H1466" s="9"/>
      <c r="I1466" s="9"/>
      <c r="J1466" s="9"/>
      <c r="K1466" s="4"/>
      <c r="L1466" s="10"/>
      <c r="M1466" s="54"/>
      <c r="N1466" s="12" t="s">
        <v>200</v>
      </c>
      <c r="O1466" s="12" t="s">
        <v>200</v>
      </c>
      <c r="P1466" s="13"/>
      <c r="Q1466" s="12"/>
      <c r="R1466" s="14"/>
      <c r="S1466" s="15"/>
      <c r="T1466" s="4" t="b">
        <v>0</v>
      </c>
    </row>
    <row r="1467">
      <c r="A1467" s="16"/>
      <c r="B1467" s="17"/>
      <c r="C1467" s="24"/>
      <c r="D1467" s="44"/>
      <c r="E1467" s="19"/>
      <c r="F1467" s="35"/>
      <c r="G1467" s="20">
        <v>1899.0</v>
      </c>
      <c r="H1467" s="21"/>
      <c r="I1467" s="21"/>
      <c r="J1467" s="21"/>
      <c r="K1467" s="16"/>
      <c r="L1467" s="22"/>
      <c r="M1467" s="55"/>
      <c r="N1467" s="23" t="s">
        <v>200</v>
      </c>
      <c r="O1467" s="23" t="s">
        <v>200</v>
      </c>
      <c r="P1467" s="24"/>
      <c r="Q1467" s="23"/>
      <c r="R1467" s="25"/>
      <c r="S1467" s="26"/>
      <c r="T1467" s="16" t="b">
        <v>0</v>
      </c>
    </row>
    <row r="1468">
      <c r="A1468" s="4"/>
      <c r="B1468" s="5"/>
      <c r="C1468" s="13"/>
      <c r="D1468" s="39"/>
      <c r="E1468" s="7"/>
      <c r="F1468" s="34"/>
      <c r="G1468" s="8">
        <v>1899.0</v>
      </c>
      <c r="H1468" s="9"/>
      <c r="I1468" s="9"/>
      <c r="J1468" s="9"/>
      <c r="K1468" s="4"/>
      <c r="L1468" s="10"/>
      <c r="M1468" s="54"/>
      <c r="N1468" s="12" t="s">
        <v>200</v>
      </c>
      <c r="O1468" s="12" t="s">
        <v>200</v>
      </c>
      <c r="P1468" s="13"/>
      <c r="Q1468" s="12"/>
      <c r="R1468" s="14"/>
      <c r="S1468" s="15"/>
      <c r="T1468" s="4" t="b">
        <v>0</v>
      </c>
    </row>
    <row r="1469">
      <c r="A1469" s="16"/>
      <c r="B1469" s="17"/>
      <c r="C1469" s="24"/>
      <c r="D1469" s="44"/>
      <c r="E1469" s="19"/>
      <c r="F1469" s="35"/>
      <c r="G1469" s="20">
        <v>1899.0</v>
      </c>
      <c r="H1469" s="21"/>
      <c r="I1469" s="21"/>
      <c r="J1469" s="21"/>
      <c r="K1469" s="16"/>
      <c r="L1469" s="22"/>
      <c r="M1469" s="55"/>
      <c r="N1469" s="23" t="s">
        <v>200</v>
      </c>
      <c r="O1469" s="23" t="s">
        <v>200</v>
      </c>
      <c r="P1469" s="24"/>
      <c r="Q1469" s="23"/>
      <c r="R1469" s="25"/>
      <c r="S1469" s="26"/>
      <c r="T1469" s="16" t="b">
        <v>0</v>
      </c>
    </row>
    <row r="1470">
      <c r="A1470" s="4"/>
      <c r="B1470" s="5"/>
      <c r="C1470" s="13"/>
      <c r="D1470" s="39"/>
      <c r="E1470" s="7"/>
      <c r="F1470" s="34"/>
      <c r="G1470" s="8">
        <v>1899.0</v>
      </c>
      <c r="H1470" s="9"/>
      <c r="I1470" s="9"/>
      <c r="J1470" s="9"/>
      <c r="K1470" s="4"/>
      <c r="L1470" s="10"/>
      <c r="M1470" s="54"/>
      <c r="N1470" s="12" t="s">
        <v>200</v>
      </c>
      <c r="O1470" s="12" t="s">
        <v>200</v>
      </c>
      <c r="P1470" s="13"/>
      <c r="Q1470" s="12"/>
      <c r="R1470" s="14"/>
      <c r="S1470" s="15"/>
      <c r="T1470" s="4" t="b">
        <v>0</v>
      </c>
    </row>
    <row r="1471">
      <c r="A1471" s="16"/>
      <c r="B1471" s="17"/>
      <c r="C1471" s="24"/>
      <c r="D1471" s="44"/>
      <c r="E1471" s="19"/>
      <c r="F1471" s="35"/>
      <c r="G1471" s="20">
        <v>1899.0</v>
      </c>
      <c r="H1471" s="21"/>
      <c r="I1471" s="21"/>
      <c r="J1471" s="21"/>
      <c r="K1471" s="16"/>
      <c r="L1471" s="22"/>
      <c r="M1471" s="55"/>
      <c r="N1471" s="23" t="s">
        <v>200</v>
      </c>
      <c r="O1471" s="23" t="s">
        <v>200</v>
      </c>
      <c r="P1471" s="24"/>
      <c r="Q1471" s="23"/>
      <c r="R1471" s="25"/>
      <c r="S1471" s="26"/>
      <c r="T1471" s="16" t="b">
        <v>0</v>
      </c>
    </row>
    <row r="1472">
      <c r="A1472" s="4"/>
      <c r="B1472" s="5"/>
      <c r="C1472" s="13"/>
      <c r="D1472" s="39"/>
      <c r="E1472" s="7"/>
      <c r="F1472" s="34"/>
      <c r="G1472" s="8">
        <v>1899.0</v>
      </c>
      <c r="H1472" s="9"/>
      <c r="I1472" s="9"/>
      <c r="J1472" s="9"/>
      <c r="K1472" s="4"/>
      <c r="L1472" s="10"/>
      <c r="M1472" s="54"/>
      <c r="N1472" s="12" t="s">
        <v>200</v>
      </c>
      <c r="O1472" s="12" t="s">
        <v>200</v>
      </c>
      <c r="P1472" s="13"/>
      <c r="Q1472" s="12"/>
      <c r="R1472" s="14"/>
      <c r="S1472" s="15"/>
      <c r="T1472" s="4" t="b">
        <v>0</v>
      </c>
    </row>
    <row r="1473">
      <c r="A1473" s="16"/>
      <c r="B1473" s="17"/>
      <c r="C1473" s="24"/>
      <c r="D1473" s="44"/>
      <c r="E1473" s="19"/>
      <c r="F1473" s="35"/>
      <c r="G1473" s="20">
        <v>1899.0</v>
      </c>
      <c r="H1473" s="21"/>
      <c r="I1473" s="21"/>
      <c r="J1473" s="21"/>
      <c r="K1473" s="16"/>
      <c r="L1473" s="22"/>
      <c r="M1473" s="55"/>
      <c r="N1473" s="23" t="s">
        <v>200</v>
      </c>
      <c r="O1473" s="23" t="s">
        <v>200</v>
      </c>
      <c r="P1473" s="24"/>
      <c r="Q1473" s="23"/>
      <c r="R1473" s="25"/>
      <c r="S1473" s="26"/>
      <c r="T1473" s="16" t="b">
        <v>0</v>
      </c>
    </row>
    <row r="1474">
      <c r="A1474" s="4"/>
      <c r="B1474" s="5"/>
      <c r="C1474" s="13"/>
      <c r="D1474" s="39"/>
      <c r="E1474" s="7"/>
      <c r="F1474" s="34"/>
      <c r="G1474" s="8">
        <v>1899.0</v>
      </c>
      <c r="H1474" s="9"/>
      <c r="I1474" s="9"/>
      <c r="J1474" s="9"/>
      <c r="K1474" s="4"/>
      <c r="L1474" s="10"/>
      <c r="M1474" s="54"/>
      <c r="N1474" s="12" t="s">
        <v>200</v>
      </c>
      <c r="O1474" s="12" t="s">
        <v>200</v>
      </c>
      <c r="P1474" s="13"/>
      <c r="Q1474" s="12"/>
      <c r="R1474" s="14"/>
      <c r="S1474" s="15"/>
      <c r="T1474" s="4" t="b">
        <v>0</v>
      </c>
    </row>
    <row r="1475">
      <c r="A1475" s="16"/>
      <c r="B1475" s="17"/>
      <c r="C1475" s="24"/>
      <c r="D1475" s="44"/>
      <c r="E1475" s="19"/>
      <c r="F1475" s="35"/>
      <c r="G1475" s="20">
        <v>1899.0</v>
      </c>
      <c r="H1475" s="21"/>
      <c r="I1475" s="21"/>
      <c r="J1475" s="21"/>
      <c r="K1475" s="16"/>
      <c r="L1475" s="22"/>
      <c r="M1475" s="55"/>
      <c r="N1475" s="23" t="s">
        <v>200</v>
      </c>
      <c r="O1475" s="23" t="s">
        <v>200</v>
      </c>
      <c r="P1475" s="24"/>
      <c r="Q1475" s="23"/>
      <c r="R1475" s="25"/>
      <c r="S1475" s="26"/>
      <c r="T1475" s="16" t="b">
        <v>0</v>
      </c>
    </row>
    <row r="1476">
      <c r="A1476" s="4"/>
      <c r="B1476" s="5"/>
      <c r="C1476" s="13"/>
      <c r="D1476" s="39"/>
      <c r="E1476" s="7"/>
      <c r="F1476" s="34"/>
      <c r="G1476" s="8">
        <v>1899.0</v>
      </c>
      <c r="H1476" s="9"/>
      <c r="I1476" s="9"/>
      <c r="J1476" s="9"/>
      <c r="K1476" s="4"/>
      <c r="L1476" s="10"/>
      <c r="M1476" s="54"/>
      <c r="N1476" s="12" t="s">
        <v>200</v>
      </c>
      <c r="O1476" s="12" t="s">
        <v>200</v>
      </c>
      <c r="P1476" s="13"/>
      <c r="Q1476" s="12"/>
      <c r="R1476" s="14"/>
      <c r="S1476" s="15"/>
      <c r="T1476" s="4" t="b">
        <v>0</v>
      </c>
    </row>
    <row r="1477">
      <c r="A1477" s="16"/>
      <c r="B1477" s="17"/>
      <c r="C1477" s="24"/>
      <c r="D1477" s="44"/>
      <c r="E1477" s="19"/>
      <c r="F1477" s="35"/>
      <c r="G1477" s="20">
        <v>1899.0</v>
      </c>
      <c r="H1477" s="21"/>
      <c r="I1477" s="21"/>
      <c r="J1477" s="21"/>
      <c r="K1477" s="16"/>
      <c r="L1477" s="22"/>
      <c r="M1477" s="55"/>
      <c r="N1477" s="23" t="s">
        <v>200</v>
      </c>
      <c r="O1477" s="23" t="s">
        <v>200</v>
      </c>
      <c r="P1477" s="24"/>
      <c r="Q1477" s="23"/>
      <c r="R1477" s="25"/>
      <c r="S1477" s="26"/>
      <c r="T1477" s="16" t="b">
        <v>0</v>
      </c>
    </row>
    <row r="1478">
      <c r="A1478" s="4"/>
      <c r="B1478" s="5"/>
      <c r="C1478" s="13"/>
      <c r="D1478" s="39"/>
      <c r="E1478" s="7"/>
      <c r="F1478" s="34"/>
      <c r="G1478" s="8">
        <v>1899.0</v>
      </c>
      <c r="H1478" s="9"/>
      <c r="I1478" s="9"/>
      <c r="J1478" s="9"/>
      <c r="K1478" s="4"/>
      <c r="L1478" s="10"/>
      <c r="M1478" s="54"/>
      <c r="N1478" s="12" t="s">
        <v>200</v>
      </c>
      <c r="O1478" s="12" t="s">
        <v>200</v>
      </c>
      <c r="P1478" s="13"/>
      <c r="Q1478" s="12"/>
      <c r="R1478" s="14"/>
      <c r="S1478" s="15"/>
      <c r="T1478" s="4" t="b">
        <v>0</v>
      </c>
    </row>
    <row r="1479">
      <c r="A1479" s="16"/>
      <c r="B1479" s="17"/>
      <c r="C1479" s="24"/>
      <c r="D1479" s="44"/>
      <c r="E1479" s="19"/>
      <c r="F1479" s="35"/>
      <c r="G1479" s="20">
        <v>1899.0</v>
      </c>
      <c r="H1479" s="21"/>
      <c r="I1479" s="21"/>
      <c r="J1479" s="21"/>
      <c r="K1479" s="16"/>
      <c r="L1479" s="22"/>
      <c r="M1479" s="55"/>
      <c r="N1479" s="23" t="s">
        <v>200</v>
      </c>
      <c r="O1479" s="23" t="s">
        <v>200</v>
      </c>
      <c r="P1479" s="24"/>
      <c r="Q1479" s="23"/>
      <c r="R1479" s="25"/>
      <c r="S1479" s="26"/>
      <c r="T1479" s="16" t="b">
        <v>0</v>
      </c>
    </row>
    <row r="1480">
      <c r="A1480" s="4"/>
      <c r="B1480" s="5"/>
      <c r="C1480" s="13"/>
      <c r="D1480" s="39"/>
      <c r="E1480" s="7"/>
      <c r="F1480" s="34"/>
      <c r="G1480" s="8">
        <v>1899.0</v>
      </c>
      <c r="H1480" s="9"/>
      <c r="I1480" s="9"/>
      <c r="J1480" s="9"/>
      <c r="K1480" s="4"/>
      <c r="L1480" s="10"/>
      <c r="M1480" s="54"/>
      <c r="N1480" s="12" t="s">
        <v>200</v>
      </c>
      <c r="O1480" s="12" t="s">
        <v>200</v>
      </c>
      <c r="P1480" s="13"/>
      <c r="Q1480" s="12"/>
      <c r="R1480" s="14"/>
      <c r="S1480" s="15"/>
      <c r="T1480" s="4" t="b">
        <v>0</v>
      </c>
    </row>
    <row r="1481">
      <c r="A1481" s="16"/>
      <c r="B1481" s="17"/>
      <c r="C1481" s="24"/>
      <c r="D1481" s="44"/>
      <c r="E1481" s="19"/>
      <c r="F1481" s="35"/>
      <c r="G1481" s="20">
        <v>1899.0</v>
      </c>
      <c r="H1481" s="21"/>
      <c r="I1481" s="21"/>
      <c r="J1481" s="21"/>
      <c r="K1481" s="16"/>
      <c r="L1481" s="22"/>
      <c r="M1481" s="55"/>
      <c r="N1481" s="23" t="s">
        <v>200</v>
      </c>
      <c r="O1481" s="23" t="s">
        <v>200</v>
      </c>
      <c r="P1481" s="24"/>
      <c r="Q1481" s="23"/>
      <c r="R1481" s="25"/>
      <c r="S1481" s="26"/>
      <c r="T1481" s="16" t="b">
        <v>0</v>
      </c>
    </row>
    <row r="1482">
      <c r="A1482" s="4"/>
      <c r="B1482" s="5"/>
      <c r="C1482" s="13"/>
      <c r="D1482" s="39"/>
      <c r="E1482" s="7"/>
      <c r="F1482" s="34"/>
      <c r="G1482" s="8">
        <v>1899.0</v>
      </c>
      <c r="H1482" s="9"/>
      <c r="I1482" s="9"/>
      <c r="J1482" s="9"/>
      <c r="K1482" s="4"/>
      <c r="L1482" s="10"/>
      <c r="M1482" s="54"/>
      <c r="N1482" s="12" t="s">
        <v>200</v>
      </c>
      <c r="O1482" s="12" t="s">
        <v>200</v>
      </c>
      <c r="P1482" s="13"/>
      <c r="Q1482" s="12"/>
      <c r="R1482" s="14"/>
      <c r="S1482" s="15"/>
      <c r="T1482" s="4" t="b">
        <v>0</v>
      </c>
    </row>
    <row r="1483">
      <c r="A1483" s="16"/>
      <c r="B1483" s="17"/>
      <c r="C1483" s="24"/>
      <c r="D1483" s="44"/>
      <c r="E1483" s="19"/>
      <c r="F1483" s="35"/>
      <c r="G1483" s="20">
        <v>1899.0</v>
      </c>
      <c r="H1483" s="21"/>
      <c r="I1483" s="21"/>
      <c r="J1483" s="21"/>
      <c r="K1483" s="16"/>
      <c r="L1483" s="22"/>
      <c r="M1483" s="55"/>
      <c r="N1483" s="23" t="s">
        <v>200</v>
      </c>
      <c r="O1483" s="23" t="s">
        <v>200</v>
      </c>
      <c r="P1483" s="24"/>
      <c r="Q1483" s="23"/>
      <c r="R1483" s="25"/>
      <c r="S1483" s="26"/>
      <c r="T1483" s="16" t="b">
        <v>0</v>
      </c>
    </row>
    <row r="1484">
      <c r="A1484" s="4"/>
      <c r="B1484" s="5"/>
      <c r="C1484" s="13"/>
      <c r="D1484" s="39"/>
      <c r="E1484" s="7"/>
      <c r="F1484" s="34"/>
      <c r="G1484" s="8">
        <v>1899.0</v>
      </c>
      <c r="H1484" s="9"/>
      <c r="I1484" s="9"/>
      <c r="J1484" s="9"/>
      <c r="K1484" s="4"/>
      <c r="L1484" s="10"/>
      <c r="M1484" s="54"/>
      <c r="N1484" s="12" t="s">
        <v>200</v>
      </c>
      <c r="O1484" s="12" t="s">
        <v>200</v>
      </c>
      <c r="P1484" s="13"/>
      <c r="Q1484" s="12"/>
      <c r="R1484" s="14"/>
      <c r="S1484" s="15"/>
      <c r="T1484" s="4" t="b">
        <v>0</v>
      </c>
    </row>
    <row r="1485">
      <c r="A1485" s="16"/>
      <c r="B1485" s="17"/>
      <c r="C1485" s="24"/>
      <c r="D1485" s="44"/>
      <c r="E1485" s="19"/>
      <c r="F1485" s="35"/>
      <c r="G1485" s="20">
        <v>1899.0</v>
      </c>
      <c r="H1485" s="21"/>
      <c r="I1485" s="21"/>
      <c r="J1485" s="21"/>
      <c r="K1485" s="16"/>
      <c r="L1485" s="22"/>
      <c r="M1485" s="55"/>
      <c r="N1485" s="23" t="s">
        <v>200</v>
      </c>
      <c r="O1485" s="23" t="s">
        <v>200</v>
      </c>
      <c r="P1485" s="24"/>
      <c r="Q1485" s="23"/>
      <c r="R1485" s="25"/>
      <c r="S1485" s="26"/>
      <c r="T1485" s="16" t="b">
        <v>0</v>
      </c>
    </row>
    <row r="1486">
      <c r="A1486" s="4"/>
      <c r="B1486" s="5"/>
      <c r="C1486" s="13"/>
      <c r="D1486" s="39"/>
      <c r="E1486" s="7"/>
      <c r="F1486" s="34"/>
      <c r="G1486" s="8">
        <v>1899.0</v>
      </c>
      <c r="H1486" s="9"/>
      <c r="I1486" s="9"/>
      <c r="J1486" s="9"/>
      <c r="K1486" s="4"/>
      <c r="L1486" s="10"/>
      <c r="M1486" s="54"/>
      <c r="N1486" s="12" t="s">
        <v>200</v>
      </c>
      <c r="O1486" s="12" t="s">
        <v>200</v>
      </c>
      <c r="P1486" s="13"/>
      <c r="Q1486" s="12"/>
      <c r="R1486" s="14"/>
      <c r="S1486" s="15"/>
      <c r="T1486" s="4" t="b">
        <v>0</v>
      </c>
    </row>
    <row r="1487">
      <c r="A1487" s="16"/>
      <c r="B1487" s="17"/>
      <c r="C1487" s="24"/>
      <c r="D1487" s="44"/>
      <c r="E1487" s="19"/>
      <c r="F1487" s="35"/>
      <c r="G1487" s="20">
        <v>1899.0</v>
      </c>
      <c r="H1487" s="21"/>
      <c r="I1487" s="21"/>
      <c r="J1487" s="21"/>
      <c r="K1487" s="16"/>
      <c r="L1487" s="22"/>
      <c r="M1487" s="55"/>
      <c r="N1487" s="23" t="s">
        <v>200</v>
      </c>
      <c r="O1487" s="23" t="s">
        <v>200</v>
      </c>
      <c r="P1487" s="24"/>
      <c r="Q1487" s="23"/>
      <c r="R1487" s="25"/>
      <c r="S1487" s="26"/>
      <c r="T1487" s="16" t="b">
        <v>0</v>
      </c>
    </row>
    <row r="1488">
      <c r="A1488" s="4"/>
      <c r="B1488" s="5"/>
      <c r="C1488" s="13"/>
      <c r="D1488" s="39"/>
      <c r="E1488" s="7"/>
      <c r="F1488" s="34"/>
      <c r="G1488" s="8">
        <v>1899.0</v>
      </c>
      <c r="H1488" s="9"/>
      <c r="I1488" s="9"/>
      <c r="J1488" s="9"/>
      <c r="K1488" s="4"/>
      <c r="L1488" s="10"/>
      <c r="M1488" s="54"/>
      <c r="N1488" s="12" t="s">
        <v>200</v>
      </c>
      <c r="O1488" s="12" t="s">
        <v>200</v>
      </c>
      <c r="P1488" s="13"/>
      <c r="Q1488" s="12"/>
      <c r="R1488" s="14"/>
      <c r="S1488" s="15"/>
      <c r="T1488" s="4" t="b">
        <v>0</v>
      </c>
    </row>
    <row r="1489">
      <c r="A1489" s="16"/>
      <c r="B1489" s="17"/>
      <c r="C1489" s="24"/>
      <c r="D1489" s="44"/>
      <c r="E1489" s="19"/>
      <c r="F1489" s="35"/>
      <c r="G1489" s="20">
        <v>1899.0</v>
      </c>
      <c r="H1489" s="21"/>
      <c r="I1489" s="21"/>
      <c r="J1489" s="21"/>
      <c r="K1489" s="16"/>
      <c r="L1489" s="22"/>
      <c r="M1489" s="55"/>
      <c r="N1489" s="23" t="s">
        <v>200</v>
      </c>
      <c r="O1489" s="23" t="s">
        <v>200</v>
      </c>
      <c r="P1489" s="24"/>
      <c r="Q1489" s="23"/>
      <c r="R1489" s="25"/>
      <c r="S1489" s="26"/>
      <c r="T1489" s="16" t="b">
        <v>0</v>
      </c>
    </row>
    <row r="1490">
      <c r="A1490" s="4"/>
      <c r="B1490" s="5"/>
      <c r="C1490" s="13"/>
      <c r="D1490" s="39"/>
      <c r="E1490" s="7"/>
      <c r="F1490" s="34"/>
      <c r="G1490" s="8">
        <v>1899.0</v>
      </c>
      <c r="H1490" s="9"/>
      <c r="I1490" s="9"/>
      <c r="J1490" s="9"/>
      <c r="K1490" s="4"/>
      <c r="L1490" s="10"/>
      <c r="M1490" s="54"/>
      <c r="N1490" s="12" t="s">
        <v>200</v>
      </c>
      <c r="O1490" s="12" t="s">
        <v>200</v>
      </c>
      <c r="P1490" s="13"/>
      <c r="Q1490" s="12"/>
      <c r="R1490" s="14"/>
      <c r="S1490" s="15"/>
      <c r="T1490" s="4" t="b">
        <v>0</v>
      </c>
    </row>
    <row r="1491">
      <c r="A1491" s="16"/>
      <c r="B1491" s="17"/>
      <c r="C1491" s="24"/>
      <c r="D1491" s="44"/>
      <c r="E1491" s="19"/>
      <c r="F1491" s="35"/>
      <c r="G1491" s="20">
        <v>1899.0</v>
      </c>
      <c r="H1491" s="21"/>
      <c r="I1491" s="21"/>
      <c r="J1491" s="21"/>
      <c r="K1491" s="16"/>
      <c r="L1491" s="22"/>
      <c r="M1491" s="55"/>
      <c r="N1491" s="23" t="s">
        <v>200</v>
      </c>
      <c r="O1491" s="23" t="s">
        <v>200</v>
      </c>
      <c r="P1491" s="24"/>
      <c r="Q1491" s="23"/>
      <c r="R1491" s="25"/>
      <c r="S1491" s="26"/>
      <c r="T1491" s="16" t="b">
        <v>0</v>
      </c>
    </row>
    <row r="1492">
      <c r="A1492" s="4"/>
      <c r="B1492" s="5"/>
      <c r="C1492" s="13"/>
      <c r="D1492" s="39"/>
      <c r="E1492" s="7"/>
      <c r="F1492" s="34"/>
      <c r="G1492" s="8">
        <v>1899.0</v>
      </c>
      <c r="H1492" s="9"/>
      <c r="I1492" s="9"/>
      <c r="J1492" s="9"/>
      <c r="K1492" s="4"/>
      <c r="L1492" s="10"/>
      <c r="M1492" s="54"/>
      <c r="N1492" s="12" t="s">
        <v>200</v>
      </c>
      <c r="O1492" s="12" t="s">
        <v>200</v>
      </c>
      <c r="P1492" s="13"/>
      <c r="Q1492" s="12"/>
      <c r="R1492" s="14"/>
      <c r="S1492" s="15"/>
      <c r="T1492" s="4" t="b">
        <v>0</v>
      </c>
    </row>
    <row r="1493">
      <c r="A1493" s="16"/>
      <c r="B1493" s="17"/>
      <c r="C1493" s="24"/>
      <c r="D1493" s="44"/>
      <c r="E1493" s="19"/>
      <c r="F1493" s="35"/>
      <c r="G1493" s="20">
        <v>1899.0</v>
      </c>
      <c r="H1493" s="21"/>
      <c r="I1493" s="21"/>
      <c r="J1493" s="21"/>
      <c r="K1493" s="16"/>
      <c r="L1493" s="22"/>
      <c r="M1493" s="55"/>
      <c r="N1493" s="23" t="s">
        <v>200</v>
      </c>
      <c r="O1493" s="23" t="s">
        <v>200</v>
      </c>
      <c r="P1493" s="24"/>
      <c r="Q1493" s="23"/>
      <c r="R1493" s="25"/>
      <c r="S1493" s="26"/>
      <c r="T1493" s="16" t="b">
        <v>0</v>
      </c>
    </row>
    <row r="1494">
      <c r="A1494" s="4"/>
      <c r="B1494" s="5"/>
      <c r="C1494" s="13"/>
      <c r="D1494" s="39"/>
      <c r="E1494" s="7"/>
      <c r="F1494" s="34"/>
      <c r="G1494" s="8">
        <v>1899.0</v>
      </c>
      <c r="H1494" s="9"/>
      <c r="I1494" s="9"/>
      <c r="J1494" s="9"/>
      <c r="K1494" s="4"/>
      <c r="L1494" s="10"/>
      <c r="M1494" s="54"/>
      <c r="N1494" s="12" t="s">
        <v>200</v>
      </c>
      <c r="O1494" s="12" t="s">
        <v>200</v>
      </c>
      <c r="P1494" s="13"/>
      <c r="Q1494" s="12"/>
      <c r="R1494" s="14"/>
      <c r="S1494" s="15"/>
      <c r="T1494" s="4" t="b">
        <v>0</v>
      </c>
    </row>
    <row r="1495">
      <c r="A1495" s="16"/>
      <c r="B1495" s="17"/>
      <c r="C1495" s="24"/>
      <c r="D1495" s="44"/>
      <c r="E1495" s="19"/>
      <c r="F1495" s="35"/>
      <c r="G1495" s="20">
        <v>1899.0</v>
      </c>
      <c r="H1495" s="21"/>
      <c r="I1495" s="21"/>
      <c r="J1495" s="21"/>
      <c r="K1495" s="16"/>
      <c r="L1495" s="22"/>
      <c r="M1495" s="55"/>
      <c r="N1495" s="23" t="s">
        <v>200</v>
      </c>
      <c r="O1495" s="23" t="s">
        <v>200</v>
      </c>
      <c r="P1495" s="24"/>
      <c r="Q1495" s="23"/>
      <c r="R1495" s="25"/>
      <c r="S1495" s="26"/>
      <c r="T1495" s="16" t="b">
        <v>0</v>
      </c>
    </row>
    <row r="1496">
      <c r="A1496" s="4"/>
      <c r="B1496" s="5"/>
      <c r="C1496" s="13"/>
      <c r="D1496" s="39"/>
      <c r="E1496" s="7"/>
      <c r="F1496" s="34"/>
      <c r="G1496" s="8">
        <v>1899.0</v>
      </c>
      <c r="H1496" s="9"/>
      <c r="I1496" s="9"/>
      <c r="J1496" s="9"/>
      <c r="K1496" s="4"/>
      <c r="L1496" s="10"/>
      <c r="M1496" s="54"/>
      <c r="N1496" s="12" t="s">
        <v>200</v>
      </c>
      <c r="O1496" s="12" t="s">
        <v>200</v>
      </c>
      <c r="P1496" s="13"/>
      <c r="Q1496" s="12"/>
      <c r="R1496" s="14"/>
      <c r="S1496" s="15"/>
      <c r="T1496" s="4" t="b">
        <v>0</v>
      </c>
    </row>
    <row r="1497">
      <c r="A1497" s="16"/>
      <c r="B1497" s="17"/>
      <c r="C1497" s="24"/>
      <c r="D1497" s="44"/>
      <c r="E1497" s="19"/>
      <c r="F1497" s="35"/>
      <c r="G1497" s="20">
        <v>1899.0</v>
      </c>
      <c r="H1497" s="21"/>
      <c r="I1497" s="21"/>
      <c r="J1497" s="21"/>
      <c r="K1497" s="16"/>
      <c r="L1497" s="22"/>
      <c r="M1497" s="55"/>
      <c r="N1497" s="23" t="s">
        <v>200</v>
      </c>
      <c r="O1497" s="23" t="s">
        <v>200</v>
      </c>
      <c r="P1497" s="24"/>
      <c r="Q1497" s="23"/>
      <c r="R1497" s="25"/>
      <c r="S1497" s="26"/>
      <c r="T1497" s="16" t="b">
        <v>0</v>
      </c>
    </row>
    <row r="1498">
      <c r="A1498" s="4"/>
      <c r="B1498" s="5"/>
      <c r="C1498" s="13"/>
      <c r="D1498" s="39"/>
      <c r="E1498" s="7"/>
      <c r="F1498" s="34"/>
      <c r="G1498" s="8">
        <v>1899.0</v>
      </c>
      <c r="H1498" s="9"/>
      <c r="I1498" s="9"/>
      <c r="J1498" s="9"/>
      <c r="K1498" s="4"/>
      <c r="L1498" s="10"/>
      <c r="M1498" s="54"/>
      <c r="N1498" s="12" t="s">
        <v>200</v>
      </c>
      <c r="O1498" s="12" t="s">
        <v>200</v>
      </c>
      <c r="P1498" s="13"/>
      <c r="Q1498" s="12"/>
      <c r="R1498" s="14"/>
      <c r="S1498" s="15"/>
      <c r="T1498" s="4" t="b">
        <v>0</v>
      </c>
    </row>
    <row r="1499">
      <c r="A1499" s="16"/>
      <c r="B1499" s="17"/>
      <c r="C1499" s="24"/>
      <c r="D1499" s="44"/>
      <c r="E1499" s="19"/>
      <c r="F1499" s="35"/>
      <c r="G1499" s="20">
        <v>1899.0</v>
      </c>
      <c r="H1499" s="21"/>
      <c r="I1499" s="21"/>
      <c r="J1499" s="21"/>
      <c r="K1499" s="16"/>
      <c r="L1499" s="22"/>
      <c r="M1499" s="55"/>
      <c r="N1499" s="23" t="s">
        <v>200</v>
      </c>
      <c r="O1499" s="23" t="s">
        <v>200</v>
      </c>
      <c r="P1499" s="24"/>
      <c r="Q1499" s="23"/>
      <c r="R1499" s="25"/>
      <c r="S1499" s="26"/>
      <c r="T1499" s="16" t="b">
        <v>0</v>
      </c>
    </row>
    <row r="1500">
      <c r="A1500" s="4"/>
      <c r="B1500" s="5"/>
      <c r="C1500" s="13"/>
      <c r="D1500" s="39"/>
      <c r="E1500" s="7"/>
      <c r="F1500" s="34"/>
      <c r="G1500" s="8">
        <v>1899.0</v>
      </c>
      <c r="H1500" s="9"/>
      <c r="I1500" s="9"/>
      <c r="J1500" s="9"/>
      <c r="K1500" s="4"/>
      <c r="L1500" s="10"/>
      <c r="M1500" s="54"/>
      <c r="N1500" s="12" t="s">
        <v>200</v>
      </c>
      <c r="O1500" s="12" t="s">
        <v>200</v>
      </c>
      <c r="P1500" s="13"/>
      <c r="Q1500" s="12"/>
      <c r="R1500" s="14"/>
      <c r="S1500" s="15"/>
      <c r="T1500" s="4" t="b">
        <v>0</v>
      </c>
    </row>
    <row r="1501">
      <c r="A1501" s="16"/>
      <c r="B1501" s="17"/>
      <c r="C1501" s="24"/>
      <c r="D1501" s="44"/>
      <c r="E1501" s="19"/>
      <c r="F1501" s="35"/>
      <c r="G1501" s="20">
        <v>1899.0</v>
      </c>
      <c r="H1501" s="21"/>
      <c r="I1501" s="21"/>
      <c r="J1501" s="21"/>
      <c r="K1501" s="16"/>
      <c r="L1501" s="22"/>
      <c r="M1501" s="55"/>
      <c r="N1501" s="23" t="s">
        <v>200</v>
      </c>
      <c r="O1501" s="23" t="s">
        <v>200</v>
      </c>
      <c r="P1501" s="24"/>
      <c r="Q1501" s="23"/>
      <c r="R1501" s="25"/>
      <c r="S1501" s="26"/>
      <c r="T1501" s="16" t="b">
        <v>0</v>
      </c>
    </row>
    <row r="1502">
      <c r="A1502" s="4"/>
      <c r="B1502" s="5"/>
      <c r="C1502" s="13"/>
      <c r="D1502" s="39"/>
      <c r="E1502" s="7"/>
      <c r="F1502" s="34"/>
      <c r="G1502" s="8">
        <v>1899.0</v>
      </c>
      <c r="H1502" s="9"/>
      <c r="I1502" s="9"/>
      <c r="J1502" s="9"/>
      <c r="K1502" s="4"/>
      <c r="L1502" s="10"/>
      <c r="M1502" s="54"/>
      <c r="N1502" s="12" t="s">
        <v>200</v>
      </c>
      <c r="O1502" s="12" t="s">
        <v>200</v>
      </c>
      <c r="P1502" s="13"/>
      <c r="Q1502" s="12"/>
      <c r="R1502" s="14"/>
      <c r="S1502" s="15"/>
      <c r="T1502" s="4" t="b">
        <v>0</v>
      </c>
    </row>
    <row r="1503">
      <c r="A1503" s="16"/>
      <c r="B1503" s="17"/>
      <c r="C1503" s="24"/>
      <c r="D1503" s="44"/>
      <c r="E1503" s="19"/>
      <c r="F1503" s="35"/>
      <c r="G1503" s="20">
        <v>1899.0</v>
      </c>
      <c r="H1503" s="21"/>
      <c r="I1503" s="21"/>
      <c r="J1503" s="21"/>
      <c r="K1503" s="16"/>
      <c r="L1503" s="22"/>
      <c r="M1503" s="55"/>
      <c r="N1503" s="23" t="s">
        <v>200</v>
      </c>
      <c r="O1503" s="23" t="s">
        <v>200</v>
      </c>
      <c r="P1503" s="24"/>
      <c r="Q1503" s="23"/>
      <c r="R1503" s="25"/>
      <c r="S1503" s="26"/>
      <c r="T1503" s="16" t="b">
        <v>0</v>
      </c>
    </row>
    <row r="1504">
      <c r="A1504" s="4"/>
      <c r="B1504" s="5"/>
      <c r="C1504" s="13"/>
      <c r="D1504" s="39"/>
      <c r="E1504" s="7"/>
      <c r="F1504" s="34"/>
      <c r="G1504" s="8">
        <v>1899.0</v>
      </c>
      <c r="H1504" s="9"/>
      <c r="I1504" s="9"/>
      <c r="J1504" s="9"/>
      <c r="K1504" s="4"/>
      <c r="L1504" s="10"/>
      <c r="M1504" s="54"/>
      <c r="N1504" s="12" t="s">
        <v>200</v>
      </c>
      <c r="O1504" s="12" t="s">
        <v>200</v>
      </c>
      <c r="P1504" s="13"/>
      <c r="Q1504" s="12"/>
      <c r="R1504" s="14"/>
      <c r="S1504" s="15"/>
      <c r="T1504" s="4" t="b">
        <v>0</v>
      </c>
    </row>
    <row r="1505">
      <c r="A1505" s="16"/>
      <c r="B1505" s="17"/>
      <c r="C1505" s="24"/>
      <c r="D1505" s="44"/>
      <c r="E1505" s="19"/>
      <c r="F1505" s="35"/>
      <c r="G1505" s="20">
        <v>1899.0</v>
      </c>
      <c r="H1505" s="21"/>
      <c r="I1505" s="21"/>
      <c r="J1505" s="21"/>
      <c r="K1505" s="16"/>
      <c r="L1505" s="22"/>
      <c r="M1505" s="55"/>
      <c r="N1505" s="23" t="s">
        <v>200</v>
      </c>
      <c r="O1505" s="23" t="s">
        <v>200</v>
      </c>
      <c r="P1505" s="24"/>
      <c r="Q1505" s="23"/>
      <c r="R1505" s="25"/>
      <c r="S1505" s="26"/>
      <c r="T1505" s="16" t="b">
        <v>0</v>
      </c>
    </row>
    <row r="1506">
      <c r="A1506" s="4"/>
      <c r="B1506" s="5"/>
      <c r="C1506" s="13"/>
      <c r="D1506" s="39"/>
      <c r="E1506" s="7"/>
      <c r="F1506" s="34"/>
      <c r="G1506" s="8">
        <v>1899.0</v>
      </c>
      <c r="H1506" s="9"/>
      <c r="I1506" s="9"/>
      <c r="J1506" s="9"/>
      <c r="K1506" s="4"/>
      <c r="L1506" s="10"/>
      <c r="M1506" s="54"/>
      <c r="N1506" s="12" t="s">
        <v>200</v>
      </c>
      <c r="O1506" s="12" t="s">
        <v>200</v>
      </c>
      <c r="P1506" s="13"/>
      <c r="Q1506" s="12"/>
      <c r="R1506" s="14"/>
      <c r="S1506" s="15"/>
      <c r="T1506" s="4" t="b">
        <v>0</v>
      </c>
    </row>
    <row r="1507">
      <c r="A1507" s="16"/>
      <c r="B1507" s="17"/>
      <c r="C1507" s="24"/>
      <c r="D1507" s="44"/>
      <c r="E1507" s="19"/>
      <c r="F1507" s="35"/>
      <c r="G1507" s="20">
        <v>1899.0</v>
      </c>
      <c r="H1507" s="21"/>
      <c r="I1507" s="21"/>
      <c r="J1507" s="21"/>
      <c r="K1507" s="16"/>
      <c r="L1507" s="22"/>
      <c r="M1507" s="55"/>
      <c r="N1507" s="23" t="s">
        <v>200</v>
      </c>
      <c r="O1507" s="23" t="s">
        <v>200</v>
      </c>
      <c r="P1507" s="24"/>
      <c r="Q1507" s="23"/>
      <c r="R1507" s="25"/>
      <c r="S1507" s="26"/>
      <c r="T1507" s="16" t="b">
        <v>0</v>
      </c>
    </row>
    <row r="1508">
      <c r="A1508" s="4"/>
      <c r="B1508" s="5"/>
      <c r="C1508" s="13"/>
      <c r="D1508" s="39"/>
      <c r="E1508" s="7"/>
      <c r="F1508" s="34"/>
      <c r="G1508" s="8">
        <v>1899.0</v>
      </c>
      <c r="H1508" s="9"/>
      <c r="I1508" s="9"/>
      <c r="J1508" s="9"/>
      <c r="K1508" s="4"/>
      <c r="L1508" s="10"/>
      <c r="M1508" s="54"/>
      <c r="N1508" s="12" t="s">
        <v>200</v>
      </c>
      <c r="O1508" s="12" t="s">
        <v>200</v>
      </c>
      <c r="P1508" s="13"/>
      <c r="Q1508" s="12"/>
      <c r="R1508" s="14"/>
      <c r="S1508" s="15"/>
      <c r="T1508" s="4" t="b">
        <v>0</v>
      </c>
    </row>
    <row r="1509">
      <c r="A1509" s="16"/>
      <c r="B1509" s="17"/>
      <c r="C1509" s="24"/>
      <c r="D1509" s="44"/>
      <c r="E1509" s="19"/>
      <c r="F1509" s="35"/>
      <c r="G1509" s="20">
        <v>1899.0</v>
      </c>
      <c r="H1509" s="21"/>
      <c r="I1509" s="21"/>
      <c r="J1509" s="21"/>
      <c r="K1509" s="16"/>
      <c r="L1509" s="22"/>
      <c r="M1509" s="55"/>
      <c r="N1509" s="23" t="s">
        <v>200</v>
      </c>
      <c r="O1509" s="23" t="s">
        <v>200</v>
      </c>
      <c r="P1509" s="24"/>
      <c r="Q1509" s="23"/>
      <c r="R1509" s="25"/>
      <c r="S1509" s="26"/>
      <c r="T1509" s="16" t="b">
        <v>0</v>
      </c>
    </row>
    <row r="1510">
      <c r="A1510" s="4"/>
      <c r="B1510" s="5"/>
      <c r="C1510" s="13"/>
      <c r="D1510" s="39"/>
      <c r="E1510" s="7"/>
      <c r="F1510" s="34"/>
      <c r="G1510" s="8">
        <v>1899.0</v>
      </c>
      <c r="H1510" s="9"/>
      <c r="I1510" s="9"/>
      <c r="J1510" s="9"/>
      <c r="K1510" s="4"/>
      <c r="L1510" s="10"/>
      <c r="M1510" s="54"/>
      <c r="N1510" s="12" t="s">
        <v>200</v>
      </c>
      <c r="O1510" s="12" t="s">
        <v>200</v>
      </c>
      <c r="P1510" s="13"/>
      <c r="Q1510" s="12"/>
      <c r="R1510" s="14"/>
      <c r="S1510" s="15"/>
      <c r="T1510" s="4" t="b">
        <v>0</v>
      </c>
    </row>
    <row r="1511">
      <c r="A1511" s="16"/>
      <c r="B1511" s="17"/>
      <c r="C1511" s="24"/>
      <c r="D1511" s="44"/>
      <c r="E1511" s="19"/>
      <c r="F1511" s="35"/>
      <c r="G1511" s="20">
        <v>1899.0</v>
      </c>
      <c r="H1511" s="21"/>
      <c r="I1511" s="21"/>
      <c r="J1511" s="21"/>
      <c r="K1511" s="16"/>
      <c r="L1511" s="22"/>
      <c r="M1511" s="55"/>
      <c r="N1511" s="23" t="s">
        <v>200</v>
      </c>
      <c r="O1511" s="23" t="s">
        <v>200</v>
      </c>
      <c r="P1511" s="24"/>
      <c r="Q1511" s="23"/>
      <c r="R1511" s="25"/>
      <c r="S1511" s="26"/>
      <c r="T1511" s="16" t="b">
        <v>0</v>
      </c>
    </row>
    <row r="1512">
      <c r="A1512" s="4"/>
      <c r="B1512" s="5"/>
      <c r="C1512" s="13"/>
      <c r="D1512" s="39"/>
      <c r="E1512" s="7"/>
      <c r="F1512" s="34"/>
      <c r="G1512" s="8">
        <v>1899.0</v>
      </c>
      <c r="H1512" s="9"/>
      <c r="I1512" s="9"/>
      <c r="J1512" s="9"/>
      <c r="K1512" s="4"/>
      <c r="L1512" s="10"/>
      <c r="M1512" s="54"/>
      <c r="N1512" s="12" t="s">
        <v>200</v>
      </c>
      <c r="O1512" s="12" t="s">
        <v>200</v>
      </c>
      <c r="P1512" s="13"/>
      <c r="Q1512" s="12"/>
      <c r="R1512" s="14"/>
      <c r="S1512" s="15"/>
      <c r="T1512" s="4" t="b">
        <v>0</v>
      </c>
    </row>
    <row r="1513">
      <c r="A1513" s="16"/>
      <c r="B1513" s="17"/>
      <c r="C1513" s="24"/>
      <c r="D1513" s="44"/>
      <c r="E1513" s="19"/>
      <c r="F1513" s="35"/>
      <c r="G1513" s="20">
        <v>1899.0</v>
      </c>
      <c r="H1513" s="21"/>
      <c r="I1513" s="21"/>
      <c r="J1513" s="21"/>
      <c r="K1513" s="16"/>
      <c r="L1513" s="22"/>
      <c r="M1513" s="55"/>
      <c r="N1513" s="23" t="s">
        <v>200</v>
      </c>
      <c r="O1513" s="23" t="s">
        <v>200</v>
      </c>
      <c r="P1513" s="24"/>
      <c r="Q1513" s="23"/>
      <c r="R1513" s="25"/>
      <c r="S1513" s="26"/>
      <c r="T1513" s="16" t="b">
        <v>0</v>
      </c>
    </row>
    <row r="1514">
      <c r="A1514" s="4"/>
      <c r="B1514" s="5"/>
      <c r="C1514" s="13"/>
      <c r="D1514" s="39"/>
      <c r="E1514" s="7"/>
      <c r="F1514" s="34"/>
      <c r="G1514" s="8">
        <v>1899.0</v>
      </c>
      <c r="H1514" s="9"/>
      <c r="I1514" s="9"/>
      <c r="J1514" s="9"/>
      <c r="K1514" s="4"/>
      <c r="L1514" s="10"/>
      <c r="M1514" s="54"/>
      <c r="N1514" s="12" t="s">
        <v>200</v>
      </c>
      <c r="O1514" s="12" t="s">
        <v>200</v>
      </c>
      <c r="P1514" s="13"/>
      <c r="Q1514" s="12"/>
      <c r="R1514" s="14"/>
      <c r="S1514" s="15"/>
      <c r="T1514" s="4" t="b">
        <v>0</v>
      </c>
    </row>
    <row r="1515">
      <c r="A1515" s="16"/>
      <c r="B1515" s="17"/>
      <c r="C1515" s="24"/>
      <c r="D1515" s="44"/>
      <c r="E1515" s="19"/>
      <c r="F1515" s="35"/>
      <c r="G1515" s="20">
        <v>1899.0</v>
      </c>
      <c r="H1515" s="21"/>
      <c r="I1515" s="21"/>
      <c r="J1515" s="21"/>
      <c r="K1515" s="16"/>
      <c r="L1515" s="22"/>
      <c r="M1515" s="55"/>
      <c r="N1515" s="23" t="s">
        <v>200</v>
      </c>
      <c r="O1515" s="23" t="s">
        <v>200</v>
      </c>
      <c r="P1515" s="24"/>
      <c r="Q1515" s="23"/>
      <c r="R1515" s="25"/>
      <c r="S1515" s="26"/>
      <c r="T1515" s="16" t="b">
        <v>0</v>
      </c>
    </row>
    <row r="1516">
      <c r="A1516" s="4"/>
      <c r="B1516" s="5"/>
      <c r="C1516" s="13"/>
      <c r="D1516" s="39"/>
      <c r="E1516" s="7"/>
      <c r="F1516" s="34"/>
      <c r="G1516" s="8">
        <v>1899.0</v>
      </c>
      <c r="H1516" s="9"/>
      <c r="I1516" s="9"/>
      <c r="J1516" s="9"/>
      <c r="K1516" s="4"/>
      <c r="L1516" s="10"/>
      <c r="M1516" s="54"/>
      <c r="N1516" s="12" t="s">
        <v>200</v>
      </c>
      <c r="O1516" s="12" t="s">
        <v>200</v>
      </c>
      <c r="P1516" s="13"/>
      <c r="Q1516" s="12"/>
      <c r="R1516" s="14"/>
      <c r="S1516" s="15"/>
      <c r="T1516" s="4" t="b">
        <v>0</v>
      </c>
    </row>
    <row r="1517">
      <c r="A1517" s="16"/>
      <c r="B1517" s="17"/>
      <c r="C1517" s="24"/>
      <c r="D1517" s="44"/>
      <c r="E1517" s="19"/>
      <c r="F1517" s="35"/>
      <c r="G1517" s="20">
        <v>1899.0</v>
      </c>
      <c r="H1517" s="21"/>
      <c r="I1517" s="21"/>
      <c r="J1517" s="21"/>
      <c r="K1517" s="16"/>
      <c r="L1517" s="22"/>
      <c r="M1517" s="55"/>
      <c r="N1517" s="23" t="s">
        <v>200</v>
      </c>
      <c r="O1517" s="23" t="s">
        <v>200</v>
      </c>
      <c r="P1517" s="24"/>
      <c r="Q1517" s="23"/>
      <c r="R1517" s="25"/>
      <c r="S1517" s="26"/>
      <c r="T1517" s="16" t="b">
        <v>0</v>
      </c>
    </row>
    <row r="1518">
      <c r="A1518" s="4"/>
      <c r="B1518" s="5"/>
      <c r="C1518" s="13"/>
      <c r="D1518" s="39"/>
      <c r="E1518" s="7"/>
      <c r="F1518" s="34"/>
      <c r="G1518" s="8">
        <v>1899.0</v>
      </c>
      <c r="H1518" s="9"/>
      <c r="I1518" s="9"/>
      <c r="J1518" s="9"/>
      <c r="K1518" s="4"/>
      <c r="L1518" s="10"/>
      <c r="M1518" s="54"/>
      <c r="N1518" s="12" t="s">
        <v>200</v>
      </c>
      <c r="O1518" s="12" t="s">
        <v>200</v>
      </c>
      <c r="P1518" s="13"/>
      <c r="Q1518" s="12"/>
      <c r="R1518" s="14"/>
      <c r="S1518" s="15"/>
      <c r="T1518" s="4" t="b">
        <v>0</v>
      </c>
    </row>
    <row r="1519">
      <c r="A1519" s="16"/>
      <c r="B1519" s="17"/>
      <c r="C1519" s="24"/>
      <c r="D1519" s="44"/>
      <c r="E1519" s="19"/>
      <c r="F1519" s="35"/>
      <c r="G1519" s="20">
        <v>1899.0</v>
      </c>
      <c r="H1519" s="21"/>
      <c r="I1519" s="21"/>
      <c r="J1519" s="21"/>
      <c r="K1519" s="16"/>
      <c r="L1519" s="22"/>
      <c r="M1519" s="55"/>
      <c r="N1519" s="23" t="s">
        <v>200</v>
      </c>
      <c r="O1519" s="23" t="s">
        <v>200</v>
      </c>
      <c r="P1519" s="24"/>
      <c r="Q1519" s="23"/>
      <c r="R1519" s="25"/>
      <c r="S1519" s="26"/>
      <c r="T1519" s="16" t="b">
        <v>0</v>
      </c>
    </row>
    <row r="1520">
      <c r="A1520" s="4"/>
      <c r="B1520" s="5"/>
      <c r="C1520" s="13"/>
      <c r="D1520" s="39"/>
      <c r="E1520" s="7"/>
      <c r="F1520" s="34"/>
      <c r="G1520" s="8">
        <v>1899.0</v>
      </c>
      <c r="H1520" s="9"/>
      <c r="I1520" s="9"/>
      <c r="J1520" s="9"/>
      <c r="K1520" s="4"/>
      <c r="L1520" s="10"/>
      <c r="M1520" s="54"/>
      <c r="N1520" s="12" t="s">
        <v>200</v>
      </c>
      <c r="O1520" s="12" t="s">
        <v>200</v>
      </c>
      <c r="P1520" s="13"/>
      <c r="Q1520" s="12"/>
      <c r="R1520" s="14"/>
      <c r="S1520" s="15"/>
      <c r="T1520" s="4" t="b">
        <v>0</v>
      </c>
    </row>
    <row r="1521">
      <c r="A1521" s="16"/>
      <c r="B1521" s="17"/>
      <c r="C1521" s="24"/>
      <c r="D1521" s="44"/>
      <c r="E1521" s="19"/>
      <c r="F1521" s="35"/>
      <c r="G1521" s="20">
        <v>1899.0</v>
      </c>
      <c r="H1521" s="21"/>
      <c r="I1521" s="21"/>
      <c r="J1521" s="21"/>
      <c r="K1521" s="16"/>
      <c r="L1521" s="22"/>
      <c r="M1521" s="55"/>
      <c r="N1521" s="23" t="s">
        <v>200</v>
      </c>
      <c r="O1521" s="23" t="s">
        <v>200</v>
      </c>
      <c r="P1521" s="24"/>
      <c r="Q1521" s="23"/>
      <c r="R1521" s="25"/>
      <c r="S1521" s="26"/>
      <c r="T1521" s="16" t="b">
        <v>0</v>
      </c>
    </row>
    <row r="1522">
      <c r="A1522" s="4"/>
      <c r="B1522" s="5"/>
      <c r="C1522" s="13"/>
      <c r="D1522" s="39"/>
      <c r="E1522" s="7"/>
      <c r="F1522" s="34"/>
      <c r="G1522" s="8">
        <v>1899.0</v>
      </c>
      <c r="H1522" s="9"/>
      <c r="I1522" s="9"/>
      <c r="J1522" s="9"/>
      <c r="K1522" s="4"/>
      <c r="L1522" s="10"/>
      <c r="M1522" s="54"/>
      <c r="N1522" s="12" t="s">
        <v>200</v>
      </c>
      <c r="O1522" s="12" t="s">
        <v>200</v>
      </c>
      <c r="P1522" s="13"/>
      <c r="Q1522" s="12"/>
      <c r="R1522" s="14"/>
      <c r="S1522" s="15"/>
      <c r="T1522" s="4" t="b">
        <v>0</v>
      </c>
    </row>
    <row r="1523">
      <c r="A1523" s="16"/>
      <c r="B1523" s="17"/>
      <c r="C1523" s="24"/>
      <c r="D1523" s="44"/>
      <c r="E1523" s="19"/>
      <c r="F1523" s="35"/>
      <c r="G1523" s="20">
        <v>1899.0</v>
      </c>
      <c r="H1523" s="21"/>
      <c r="I1523" s="21"/>
      <c r="J1523" s="21"/>
      <c r="K1523" s="16"/>
      <c r="L1523" s="22"/>
      <c r="M1523" s="55"/>
      <c r="N1523" s="23" t="s">
        <v>200</v>
      </c>
      <c r="O1523" s="23" t="s">
        <v>200</v>
      </c>
      <c r="P1523" s="24"/>
      <c r="Q1523" s="23"/>
      <c r="R1523" s="25"/>
      <c r="S1523" s="26"/>
      <c r="T1523" s="16" t="b">
        <v>0</v>
      </c>
    </row>
    <row r="1524">
      <c r="A1524" s="4"/>
      <c r="B1524" s="5"/>
      <c r="C1524" s="13"/>
      <c r="D1524" s="39"/>
      <c r="E1524" s="7"/>
      <c r="F1524" s="34"/>
      <c r="G1524" s="8">
        <v>1899.0</v>
      </c>
      <c r="H1524" s="9"/>
      <c r="I1524" s="9"/>
      <c r="J1524" s="9"/>
      <c r="K1524" s="4"/>
      <c r="L1524" s="10"/>
      <c r="M1524" s="54"/>
      <c r="N1524" s="12" t="s">
        <v>200</v>
      </c>
      <c r="O1524" s="12" t="s">
        <v>200</v>
      </c>
      <c r="P1524" s="13"/>
      <c r="Q1524" s="12"/>
      <c r="R1524" s="14"/>
      <c r="S1524" s="15"/>
      <c r="T1524" s="4" t="b">
        <v>0</v>
      </c>
    </row>
    <row r="1525">
      <c r="A1525" s="16"/>
      <c r="B1525" s="17"/>
      <c r="C1525" s="24"/>
      <c r="D1525" s="44"/>
      <c r="E1525" s="19"/>
      <c r="F1525" s="35"/>
      <c r="G1525" s="20">
        <v>1899.0</v>
      </c>
      <c r="H1525" s="21"/>
      <c r="I1525" s="21"/>
      <c r="J1525" s="21"/>
      <c r="K1525" s="16"/>
      <c r="L1525" s="22"/>
      <c r="M1525" s="55"/>
      <c r="N1525" s="23" t="s">
        <v>200</v>
      </c>
      <c r="O1525" s="23" t="s">
        <v>200</v>
      </c>
      <c r="P1525" s="24"/>
      <c r="Q1525" s="23"/>
      <c r="R1525" s="25"/>
      <c r="S1525" s="26"/>
      <c r="T1525" s="16" t="b">
        <v>0</v>
      </c>
    </row>
    <row r="1526">
      <c r="A1526" s="4"/>
      <c r="B1526" s="5"/>
      <c r="C1526" s="13"/>
      <c r="D1526" s="39"/>
      <c r="E1526" s="7"/>
      <c r="F1526" s="34"/>
      <c r="G1526" s="8">
        <v>1899.0</v>
      </c>
      <c r="H1526" s="9"/>
      <c r="I1526" s="9"/>
      <c r="J1526" s="9"/>
      <c r="K1526" s="4"/>
      <c r="L1526" s="10"/>
      <c r="M1526" s="54"/>
      <c r="N1526" s="12" t="s">
        <v>200</v>
      </c>
      <c r="O1526" s="12" t="s">
        <v>200</v>
      </c>
      <c r="P1526" s="13"/>
      <c r="Q1526" s="12"/>
      <c r="R1526" s="14"/>
      <c r="S1526" s="15"/>
      <c r="T1526" s="4" t="b">
        <v>0</v>
      </c>
    </row>
    <row r="1527">
      <c r="A1527" s="16"/>
      <c r="B1527" s="17"/>
      <c r="C1527" s="24"/>
      <c r="D1527" s="44"/>
      <c r="E1527" s="19"/>
      <c r="F1527" s="35"/>
      <c r="G1527" s="20">
        <v>1899.0</v>
      </c>
      <c r="H1527" s="21"/>
      <c r="I1527" s="21"/>
      <c r="J1527" s="21"/>
      <c r="K1527" s="16"/>
      <c r="L1527" s="22"/>
      <c r="M1527" s="55"/>
      <c r="N1527" s="23" t="s">
        <v>200</v>
      </c>
      <c r="O1527" s="23" t="s">
        <v>200</v>
      </c>
      <c r="P1527" s="24"/>
      <c r="Q1527" s="23"/>
      <c r="R1527" s="25"/>
      <c r="S1527" s="26"/>
      <c r="T1527" s="16" t="b">
        <v>0</v>
      </c>
    </row>
    <row r="1528">
      <c r="A1528" s="4"/>
      <c r="B1528" s="5"/>
      <c r="C1528" s="13"/>
      <c r="D1528" s="39"/>
      <c r="E1528" s="7"/>
      <c r="F1528" s="34"/>
      <c r="G1528" s="8">
        <v>1899.0</v>
      </c>
      <c r="H1528" s="9"/>
      <c r="I1528" s="9"/>
      <c r="J1528" s="9"/>
      <c r="K1528" s="4"/>
      <c r="L1528" s="10"/>
      <c r="M1528" s="54"/>
      <c r="N1528" s="12" t="s">
        <v>200</v>
      </c>
      <c r="O1528" s="12" t="s">
        <v>200</v>
      </c>
      <c r="P1528" s="13"/>
      <c r="Q1528" s="12"/>
      <c r="R1528" s="14"/>
      <c r="S1528" s="15"/>
      <c r="T1528" s="4" t="b">
        <v>0</v>
      </c>
    </row>
    <row r="1529">
      <c r="A1529" s="16"/>
      <c r="B1529" s="17"/>
      <c r="C1529" s="24"/>
      <c r="D1529" s="44"/>
      <c r="E1529" s="19"/>
      <c r="F1529" s="35"/>
      <c r="G1529" s="20">
        <v>1899.0</v>
      </c>
      <c r="H1529" s="21"/>
      <c r="I1529" s="21"/>
      <c r="J1529" s="21"/>
      <c r="K1529" s="16"/>
      <c r="L1529" s="22"/>
      <c r="M1529" s="55"/>
      <c r="N1529" s="23" t="s">
        <v>200</v>
      </c>
      <c r="O1529" s="23" t="s">
        <v>200</v>
      </c>
      <c r="P1529" s="24"/>
      <c r="Q1529" s="23"/>
      <c r="R1529" s="25"/>
      <c r="S1529" s="26"/>
      <c r="T1529" s="16" t="b">
        <v>0</v>
      </c>
    </row>
    <row r="1530">
      <c r="A1530" s="4"/>
      <c r="B1530" s="5"/>
      <c r="C1530" s="13"/>
      <c r="D1530" s="39"/>
      <c r="E1530" s="7"/>
      <c r="F1530" s="34"/>
      <c r="G1530" s="8">
        <v>1899.0</v>
      </c>
      <c r="H1530" s="9"/>
      <c r="I1530" s="9"/>
      <c r="J1530" s="9"/>
      <c r="K1530" s="4"/>
      <c r="L1530" s="10"/>
      <c r="M1530" s="54"/>
      <c r="N1530" s="12" t="s">
        <v>200</v>
      </c>
      <c r="O1530" s="12" t="s">
        <v>200</v>
      </c>
      <c r="P1530" s="13"/>
      <c r="Q1530" s="12"/>
      <c r="R1530" s="14"/>
      <c r="S1530" s="15"/>
      <c r="T1530" s="4" t="b">
        <v>0</v>
      </c>
    </row>
    <row r="1531">
      <c r="A1531" s="16"/>
      <c r="B1531" s="17"/>
      <c r="C1531" s="24"/>
      <c r="D1531" s="44"/>
      <c r="E1531" s="19"/>
      <c r="F1531" s="35"/>
      <c r="G1531" s="20">
        <v>1899.0</v>
      </c>
      <c r="H1531" s="21"/>
      <c r="I1531" s="21"/>
      <c r="J1531" s="21"/>
      <c r="K1531" s="16"/>
      <c r="L1531" s="22"/>
      <c r="M1531" s="55"/>
      <c r="N1531" s="23" t="s">
        <v>200</v>
      </c>
      <c r="O1531" s="23" t="s">
        <v>200</v>
      </c>
      <c r="P1531" s="24"/>
      <c r="Q1531" s="23"/>
      <c r="R1531" s="25"/>
      <c r="S1531" s="26"/>
      <c r="T1531" s="16" t="b">
        <v>0</v>
      </c>
    </row>
    <row r="1532">
      <c r="A1532" s="4"/>
      <c r="B1532" s="5"/>
      <c r="C1532" s="13"/>
      <c r="D1532" s="39"/>
      <c r="E1532" s="7"/>
      <c r="F1532" s="34"/>
      <c r="G1532" s="8">
        <v>1899.0</v>
      </c>
      <c r="H1532" s="9"/>
      <c r="I1532" s="9"/>
      <c r="J1532" s="9"/>
      <c r="K1532" s="4"/>
      <c r="L1532" s="10"/>
      <c r="M1532" s="54"/>
      <c r="N1532" s="12" t="s">
        <v>200</v>
      </c>
      <c r="O1532" s="12" t="s">
        <v>200</v>
      </c>
      <c r="P1532" s="13"/>
      <c r="Q1532" s="12"/>
      <c r="R1532" s="14"/>
      <c r="S1532" s="15"/>
      <c r="T1532" s="4" t="b">
        <v>0</v>
      </c>
    </row>
    <row r="1533">
      <c r="A1533" s="16"/>
      <c r="B1533" s="17"/>
      <c r="C1533" s="24"/>
      <c r="D1533" s="44"/>
      <c r="E1533" s="19"/>
      <c r="F1533" s="35"/>
      <c r="G1533" s="20">
        <v>1899.0</v>
      </c>
      <c r="H1533" s="21"/>
      <c r="I1533" s="21"/>
      <c r="J1533" s="21"/>
      <c r="K1533" s="16"/>
      <c r="L1533" s="22"/>
      <c r="M1533" s="55"/>
      <c r="N1533" s="23" t="s">
        <v>200</v>
      </c>
      <c r="O1533" s="23" t="s">
        <v>200</v>
      </c>
      <c r="P1533" s="24"/>
      <c r="Q1533" s="23"/>
      <c r="R1533" s="25"/>
      <c r="S1533" s="26"/>
      <c r="T1533" s="16" t="b">
        <v>0</v>
      </c>
    </row>
    <row r="1534">
      <c r="A1534" s="4"/>
      <c r="B1534" s="5"/>
      <c r="C1534" s="13"/>
      <c r="D1534" s="39"/>
      <c r="E1534" s="7"/>
      <c r="F1534" s="34"/>
      <c r="G1534" s="8">
        <v>1899.0</v>
      </c>
      <c r="H1534" s="9"/>
      <c r="I1534" s="9"/>
      <c r="J1534" s="9"/>
      <c r="K1534" s="4"/>
      <c r="L1534" s="10"/>
      <c r="M1534" s="54"/>
      <c r="N1534" s="12" t="s">
        <v>200</v>
      </c>
      <c r="O1534" s="12" t="s">
        <v>200</v>
      </c>
      <c r="P1534" s="13"/>
      <c r="Q1534" s="12"/>
      <c r="R1534" s="14"/>
      <c r="S1534" s="15"/>
      <c r="T1534" s="4" t="b">
        <v>0</v>
      </c>
    </row>
    <row r="1535">
      <c r="A1535" s="16"/>
      <c r="B1535" s="17"/>
      <c r="C1535" s="24"/>
      <c r="D1535" s="44"/>
      <c r="E1535" s="19"/>
      <c r="F1535" s="35"/>
      <c r="G1535" s="20">
        <v>1899.0</v>
      </c>
      <c r="H1535" s="21"/>
      <c r="I1535" s="21"/>
      <c r="J1535" s="21"/>
      <c r="K1535" s="16"/>
      <c r="L1535" s="22"/>
      <c r="M1535" s="55"/>
      <c r="N1535" s="23" t="s">
        <v>200</v>
      </c>
      <c r="O1535" s="23" t="s">
        <v>200</v>
      </c>
      <c r="P1535" s="24"/>
      <c r="Q1535" s="23"/>
      <c r="R1535" s="25"/>
      <c r="S1535" s="26"/>
      <c r="T1535" s="16" t="b">
        <v>0</v>
      </c>
    </row>
    <row r="1536">
      <c r="A1536" s="4"/>
      <c r="B1536" s="5"/>
      <c r="C1536" s="13"/>
      <c r="D1536" s="39"/>
      <c r="E1536" s="7"/>
      <c r="F1536" s="34"/>
      <c r="G1536" s="8">
        <v>1899.0</v>
      </c>
      <c r="H1536" s="9"/>
      <c r="I1536" s="9"/>
      <c r="J1536" s="9"/>
      <c r="K1536" s="4"/>
      <c r="L1536" s="10"/>
      <c r="M1536" s="54"/>
      <c r="N1536" s="12" t="s">
        <v>200</v>
      </c>
      <c r="O1536" s="12" t="s">
        <v>200</v>
      </c>
      <c r="P1536" s="13"/>
      <c r="Q1536" s="12"/>
      <c r="R1536" s="14"/>
      <c r="S1536" s="15"/>
      <c r="T1536" s="4" t="b">
        <v>0</v>
      </c>
    </row>
    <row r="1537">
      <c r="A1537" s="16"/>
      <c r="B1537" s="17"/>
      <c r="C1537" s="24"/>
      <c r="D1537" s="44"/>
      <c r="E1537" s="19"/>
      <c r="F1537" s="35"/>
      <c r="G1537" s="20">
        <v>1899.0</v>
      </c>
      <c r="H1537" s="21"/>
      <c r="I1537" s="21"/>
      <c r="J1537" s="21"/>
      <c r="K1537" s="16"/>
      <c r="L1537" s="22"/>
      <c r="M1537" s="55"/>
      <c r="N1537" s="23" t="s">
        <v>200</v>
      </c>
      <c r="O1537" s="23" t="s">
        <v>200</v>
      </c>
      <c r="P1537" s="24"/>
      <c r="Q1537" s="23"/>
      <c r="R1537" s="25"/>
      <c r="S1537" s="26"/>
      <c r="T1537" s="16" t="b">
        <v>0</v>
      </c>
    </row>
    <row r="1538">
      <c r="A1538" s="4"/>
      <c r="B1538" s="5"/>
      <c r="C1538" s="13"/>
      <c r="D1538" s="39"/>
      <c r="E1538" s="7"/>
      <c r="F1538" s="34"/>
      <c r="G1538" s="8">
        <v>1899.0</v>
      </c>
      <c r="H1538" s="9"/>
      <c r="I1538" s="9"/>
      <c r="J1538" s="9"/>
      <c r="K1538" s="4"/>
      <c r="L1538" s="10"/>
      <c r="M1538" s="54"/>
      <c r="N1538" s="12" t="s">
        <v>200</v>
      </c>
      <c r="O1538" s="12" t="s">
        <v>200</v>
      </c>
      <c r="P1538" s="13"/>
      <c r="Q1538" s="12"/>
      <c r="R1538" s="14"/>
      <c r="S1538" s="15"/>
      <c r="T1538" s="4" t="b">
        <v>0</v>
      </c>
    </row>
    <row r="1539">
      <c r="A1539" s="16"/>
      <c r="B1539" s="17"/>
      <c r="C1539" s="24"/>
      <c r="D1539" s="44"/>
      <c r="E1539" s="19"/>
      <c r="F1539" s="35"/>
      <c r="G1539" s="20">
        <v>1899.0</v>
      </c>
      <c r="H1539" s="21"/>
      <c r="I1539" s="21"/>
      <c r="J1539" s="21"/>
      <c r="K1539" s="16"/>
      <c r="L1539" s="22"/>
      <c r="M1539" s="55"/>
      <c r="N1539" s="23" t="s">
        <v>200</v>
      </c>
      <c r="O1539" s="23" t="s">
        <v>200</v>
      </c>
      <c r="P1539" s="24"/>
      <c r="Q1539" s="23"/>
      <c r="R1539" s="25"/>
      <c r="S1539" s="26"/>
      <c r="T1539" s="16" t="b">
        <v>0</v>
      </c>
    </row>
    <row r="1540">
      <c r="A1540" s="4"/>
      <c r="B1540" s="5"/>
      <c r="C1540" s="13"/>
      <c r="D1540" s="39"/>
      <c r="E1540" s="7"/>
      <c r="F1540" s="34"/>
      <c r="G1540" s="8">
        <v>1899.0</v>
      </c>
      <c r="H1540" s="9"/>
      <c r="I1540" s="9"/>
      <c r="J1540" s="9"/>
      <c r="K1540" s="4"/>
      <c r="L1540" s="10"/>
      <c r="M1540" s="54"/>
      <c r="N1540" s="12" t="s">
        <v>200</v>
      </c>
      <c r="O1540" s="12" t="s">
        <v>200</v>
      </c>
      <c r="P1540" s="13"/>
      <c r="Q1540" s="12"/>
      <c r="R1540" s="14"/>
      <c r="S1540" s="15"/>
      <c r="T1540" s="4" t="b">
        <v>0</v>
      </c>
    </row>
    <row r="1541">
      <c r="A1541" s="16"/>
      <c r="B1541" s="17"/>
      <c r="C1541" s="24"/>
      <c r="D1541" s="44"/>
      <c r="E1541" s="19"/>
      <c r="F1541" s="35"/>
      <c r="G1541" s="20">
        <v>1899.0</v>
      </c>
      <c r="H1541" s="21"/>
      <c r="I1541" s="21"/>
      <c r="J1541" s="21"/>
      <c r="K1541" s="16"/>
      <c r="L1541" s="22"/>
      <c r="M1541" s="55"/>
      <c r="N1541" s="23" t="s">
        <v>200</v>
      </c>
      <c r="O1541" s="23" t="s">
        <v>200</v>
      </c>
      <c r="P1541" s="24"/>
      <c r="Q1541" s="23"/>
      <c r="R1541" s="25"/>
      <c r="S1541" s="26"/>
      <c r="T1541" s="16" t="b">
        <v>0</v>
      </c>
    </row>
    <row r="1542">
      <c r="A1542" s="4"/>
      <c r="B1542" s="5"/>
      <c r="C1542" s="13"/>
      <c r="D1542" s="39"/>
      <c r="E1542" s="7"/>
      <c r="F1542" s="34"/>
      <c r="G1542" s="8">
        <v>1899.0</v>
      </c>
      <c r="H1542" s="9"/>
      <c r="I1542" s="9"/>
      <c r="J1542" s="9"/>
      <c r="K1542" s="4"/>
      <c r="L1542" s="10"/>
      <c r="M1542" s="54"/>
      <c r="N1542" s="12" t="s">
        <v>200</v>
      </c>
      <c r="O1542" s="12" t="s">
        <v>200</v>
      </c>
      <c r="P1542" s="13"/>
      <c r="Q1542" s="12"/>
      <c r="R1542" s="14"/>
      <c r="S1542" s="15"/>
      <c r="T1542" s="4" t="b">
        <v>0</v>
      </c>
    </row>
    <row r="1543">
      <c r="A1543" s="16"/>
      <c r="B1543" s="17"/>
      <c r="C1543" s="24"/>
      <c r="D1543" s="44"/>
      <c r="E1543" s="19"/>
      <c r="F1543" s="35"/>
      <c r="G1543" s="20">
        <v>1899.0</v>
      </c>
      <c r="H1543" s="21"/>
      <c r="I1543" s="21"/>
      <c r="J1543" s="21"/>
      <c r="K1543" s="16"/>
      <c r="L1543" s="22"/>
      <c r="M1543" s="55"/>
      <c r="N1543" s="23" t="s">
        <v>200</v>
      </c>
      <c r="O1543" s="23" t="s">
        <v>200</v>
      </c>
      <c r="P1543" s="24"/>
      <c r="Q1543" s="23"/>
      <c r="R1543" s="25"/>
      <c r="S1543" s="26"/>
      <c r="T1543" s="16" t="b">
        <v>0</v>
      </c>
    </row>
    <row r="1544">
      <c r="A1544" s="4"/>
      <c r="B1544" s="5"/>
      <c r="C1544" s="13"/>
      <c r="D1544" s="39"/>
      <c r="E1544" s="7"/>
      <c r="F1544" s="34"/>
      <c r="G1544" s="8">
        <v>1899.0</v>
      </c>
      <c r="H1544" s="9"/>
      <c r="I1544" s="9"/>
      <c r="J1544" s="9"/>
      <c r="K1544" s="4"/>
      <c r="L1544" s="10"/>
      <c r="M1544" s="54"/>
      <c r="N1544" s="12" t="s">
        <v>200</v>
      </c>
      <c r="O1544" s="12" t="s">
        <v>200</v>
      </c>
      <c r="P1544" s="13"/>
      <c r="Q1544" s="12"/>
      <c r="R1544" s="14"/>
      <c r="S1544" s="15"/>
      <c r="T1544" s="4" t="b">
        <v>0</v>
      </c>
    </row>
    <row r="1545">
      <c r="A1545" s="16"/>
      <c r="B1545" s="17"/>
      <c r="C1545" s="24"/>
      <c r="D1545" s="44"/>
      <c r="E1545" s="19"/>
      <c r="F1545" s="35"/>
      <c r="G1545" s="20">
        <v>1899.0</v>
      </c>
      <c r="H1545" s="21"/>
      <c r="I1545" s="21"/>
      <c r="J1545" s="21"/>
      <c r="K1545" s="16"/>
      <c r="L1545" s="22"/>
      <c r="M1545" s="55"/>
      <c r="N1545" s="23" t="s">
        <v>200</v>
      </c>
      <c r="O1545" s="23" t="s">
        <v>200</v>
      </c>
      <c r="P1545" s="24"/>
      <c r="Q1545" s="23"/>
      <c r="R1545" s="25"/>
      <c r="S1545" s="26"/>
      <c r="T1545" s="16" t="b">
        <v>0</v>
      </c>
    </row>
    <row r="1546">
      <c r="A1546" s="4"/>
      <c r="B1546" s="5"/>
      <c r="C1546" s="13"/>
      <c r="D1546" s="39"/>
      <c r="E1546" s="7"/>
      <c r="F1546" s="34"/>
      <c r="G1546" s="8">
        <v>1899.0</v>
      </c>
      <c r="H1546" s="9"/>
      <c r="I1546" s="9"/>
      <c r="J1546" s="9"/>
      <c r="K1546" s="4"/>
      <c r="L1546" s="10"/>
      <c r="M1546" s="54"/>
      <c r="N1546" s="12" t="s">
        <v>200</v>
      </c>
      <c r="O1546" s="12" t="s">
        <v>200</v>
      </c>
      <c r="P1546" s="13"/>
      <c r="Q1546" s="12"/>
      <c r="R1546" s="14"/>
      <c r="S1546" s="15"/>
      <c r="T1546" s="4" t="b">
        <v>0</v>
      </c>
    </row>
    <row r="1547">
      <c r="A1547" s="16"/>
      <c r="B1547" s="17"/>
      <c r="C1547" s="24"/>
      <c r="D1547" s="44"/>
      <c r="E1547" s="19"/>
      <c r="F1547" s="35"/>
      <c r="G1547" s="20">
        <v>1899.0</v>
      </c>
      <c r="H1547" s="21"/>
      <c r="I1547" s="21"/>
      <c r="J1547" s="21"/>
      <c r="K1547" s="16"/>
      <c r="L1547" s="22"/>
      <c r="M1547" s="55"/>
      <c r="N1547" s="23" t="s">
        <v>200</v>
      </c>
      <c r="O1547" s="23" t="s">
        <v>200</v>
      </c>
      <c r="P1547" s="24"/>
      <c r="Q1547" s="23"/>
      <c r="R1547" s="25"/>
      <c r="S1547" s="26"/>
      <c r="T1547" s="16" t="b">
        <v>0</v>
      </c>
    </row>
    <row r="1548">
      <c r="A1548" s="4"/>
      <c r="B1548" s="5"/>
      <c r="C1548" s="13"/>
      <c r="D1548" s="39"/>
      <c r="E1548" s="7"/>
      <c r="F1548" s="34"/>
      <c r="G1548" s="8">
        <v>1899.0</v>
      </c>
      <c r="H1548" s="9"/>
      <c r="I1548" s="9"/>
      <c r="J1548" s="9"/>
      <c r="K1548" s="4"/>
      <c r="L1548" s="10"/>
      <c r="M1548" s="54"/>
      <c r="N1548" s="12" t="s">
        <v>200</v>
      </c>
      <c r="O1548" s="12" t="s">
        <v>200</v>
      </c>
      <c r="P1548" s="13"/>
      <c r="Q1548" s="12"/>
      <c r="R1548" s="14"/>
      <c r="S1548" s="15"/>
      <c r="T1548" s="4" t="b">
        <v>0</v>
      </c>
    </row>
    <row r="1549">
      <c r="A1549" s="16"/>
      <c r="B1549" s="17"/>
      <c r="C1549" s="24"/>
      <c r="D1549" s="44"/>
      <c r="E1549" s="19"/>
      <c r="F1549" s="35"/>
      <c r="G1549" s="20">
        <v>1899.0</v>
      </c>
      <c r="H1549" s="21"/>
      <c r="I1549" s="21"/>
      <c r="J1549" s="21"/>
      <c r="K1549" s="16"/>
      <c r="L1549" s="22"/>
      <c r="M1549" s="55"/>
      <c r="N1549" s="23" t="s">
        <v>200</v>
      </c>
      <c r="O1549" s="23" t="s">
        <v>200</v>
      </c>
      <c r="P1549" s="24"/>
      <c r="Q1549" s="23"/>
      <c r="R1549" s="25"/>
      <c r="S1549" s="26"/>
      <c r="T1549" s="16" t="b">
        <v>0</v>
      </c>
    </row>
    <row r="1550">
      <c r="A1550" s="4"/>
      <c r="B1550" s="5"/>
      <c r="C1550" s="13"/>
      <c r="D1550" s="39"/>
      <c r="E1550" s="7"/>
      <c r="F1550" s="34"/>
      <c r="G1550" s="8">
        <v>1899.0</v>
      </c>
      <c r="H1550" s="9"/>
      <c r="I1550" s="9"/>
      <c r="J1550" s="9"/>
      <c r="K1550" s="4"/>
      <c r="L1550" s="10"/>
      <c r="M1550" s="54"/>
      <c r="N1550" s="12" t="s">
        <v>200</v>
      </c>
      <c r="O1550" s="12" t="s">
        <v>200</v>
      </c>
      <c r="P1550" s="13"/>
      <c r="Q1550" s="12"/>
      <c r="R1550" s="14"/>
      <c r="S1550" s="15"/>
      <c r="T1550" s="4" t="b">
        <v>0</v>
      </c>
    </row>
    <row r="1551">
      <c r="A1551" s="16"/>
      <c r="B1551" s="17"/>
      <c r="C1551" s="24"/>
      <c r="D1551" s="44"/>
      <c r="E1551" s="19"/>
      <c r="F1551" s="35"/>
      <c r="G1551" s="20">
        <v>1899.0</v>
      </c>
      <c r="H1551" s="21"/>
      <c r="I1551" s="21"/>
      <c r="J1551" s="21"/>
      <c r="K1551" s="16"/>
      <c r="L1551" s="22"/>
      <c r="M1551" s="55"/>
      <c r="N1551" s="23" t="s">
        <v>200</v>
      </c>
      <c r="O1551" s="23" t="s">
        <v>200</v>
      </c>
      <c r="P1551" s="24"/>
      <c r="Q1551" s="23"/>
      <c r="R1551" s="25"/>
      <c r="S1551" s="26"/>
      <c r="T1551" s="16" t="b">
        <v>0</v>
      </c>
    </row>
    <row r="1552">
      <c r="A1552" s="4"/>
      <c r="B1552" s="5"/>
      <c r="C1552" s="13"/>
      <c r="D1552" s="39"/>
      <c r="E1552" s="7"/>
      <c r="F1552" s="34"/>
      <c r="G1552" s="8">
        <v>1899.0</v>
      </c>
      <c r="H1552" s="9"/>
      <c r="I1552" s="9"/>
      <c r="J1552" s="9"/>
      <c r="K1552" s="4"/>
      <c r="L1552" s="10"/>
      <c r="M1552" s="54"/>
      <c r="N1552" s="12" t="s">
        <v>200</v>
      </c>
      <c r="O1552" s="12" t="s">
        <v>200</v>
      </c>
      <c r="P1552" s="13"/>
      <c r="Q1552" s="12"/>
      <c r="R1552" s="14"/>
      <c r="S1552" s="15"/>
      <c r="T1552" s="4" t="b">
        <v>0</v>
      </c>
    </row>
    <row r="1553">
      <c r="A1553" s="16"/>
      <c r="B1553" s="17"/>
      <c r="C1553" s="24"/>
      <c r="D1553" s="44"/>
      <c r="E1553" s="19"/>
      <c r="F1553" s="35"/>
      <c r="G1553" s="20">
        <v>1899.0</v>
      </c>
      <c r="H1553" s="21"/>
      <c r="I1553" s="21"/>
      <c r="J1553" s="21"/>
      <c r="K1553" s="16"/>
      <c r="L1553" s="22"/>
      <c r="M1553" s="55"/>
      <c r="N1553" s="23" t="s">
        <v>200</v>
      </c>
      <c r="O1553" s="23" t="s">
        <v>200</v>
      </c>
      <c r="P1553" s="24"/>
      <c r="Q1553" s="23"/>
      <c r="R1553" s="25"/>
      <c r="S1553" s="26"/>
      <c r="T1553" s="16" t="b">
        <v>0</v>
      </c>
    </row>
    <row r="1554">
      <c r="A1554" s="4"/>
      <c r="B1554" s="5"/>
      <c r="C1554" s="13"/>
      <c r="D1554" s="39"/>
      <c r="E1554" s="7"/>
      <c r="F1554" s="34"/>
      <c r="G1554" s="8">
        <v>1899.0</v>
      </c>
      <c r="H1554" s="9"/>
      <c r="I1554" s="9"/>
      <c r="J1554" s="9"/>
      <c r="K1554" s="4"/>
      <c r="L1554" s="10"/>
      <c r="M1554" s="54"/>
      <c r="N1554" s="12" t="s">
        <v>200</v>
      </c>
      <c r="O1554" s="12" t="s">
        <v>200</v>
      </c>
      <c r="P1554" s="13"/>
      <c r="Q1554" s="12"/>
      <c r="R1554" s="14"/>
      <c r="S1554" s="15"/>
      <c r="T1554" s="4" t="b">
        <v>0</v>
      </c>
    </row>
    <row r="1555">
      <c r="A1555" s="16"/>
      <c r="B1555" s="17"/>
      <c r="C1555" s="24"/>
      <c r="D1555" s="44"/>
      <c r="E1555" s="19"/>
      <c r="F1555" s="35"/>
      <c r="G1555" s="20">
        <v>1899.0</v>
      </c>
      <c r="H1555" s="21"/>
      <c r="I1555" s="21"/>
      <c r="J1555" s="21"/>
      <c r="K1555" s="16"/>
      <c r="L1555" s="22"/>
      <c r="M1555" s="55"/>
      <c r="N1555" s="23" t="s">
        <v>200</v>
      </c>
      <c r="O1555" s="23" t="s">
        <v>200</v>
      </c>
      <c r="P1555" s="24"/>
      <c r="Q1555" s="23"/>
      <c r="R1555" s="25"/>
      <c r="S1555" s="26"/>
      <c r="T1555" s="16" t="b">
        <v>0</v>
      </c>
    </row>
    <row r="1556">
      <c r="A1556" s="4"/>
      <c r="B1556" s="5"/>
      <c r="C1556" s="13"/>
      <c r="D1556" s="39"/>
      <c r="E1556" s="7"/>
      <c r="F1556" s="34"/>
      <c r="G1556" s="8">
        <v>1899.0</v>
      </c>
      <c r="H1556" s="9"/>
      <c r="I1556" s="9"/>
      <c r="J1556" s="9"/>
      <c r="K1556" s="4"/>
      <c r="L1556" s="10"/>
      <c r="M1556" s="54"/>
      <c r="N1556" s="12" t="s">
        <v>200</v>
      </c>
      <c r="O1556" s="12" t="s">
        <v>200</v>
      </c>
      <c r="P1556" s="13"/>
      <c r="Q1556" s="12"/>
      <c r="R1556" s="14"/>
      <c r="S1556" s="15"/>
      <c r="T1556" s="4" t="b">
        <v>0</v>
      </c>
    </row>
    <row r="1557">
      <c r="A1557" s="16"/>
      <c r="B1557" s="17"/>
      <c r="C1557" s="24"/>
      <c r="D1557" s="44"/>
      <c r="E1557" s="19"/>
      <c r="F1557" s="35"/>
      <c r="G1557" s="20">
        <v>1899.0</v>
      </c>
      <c r="H1557" s="21"/>
      <c r="I1557" s="21"/>
      <c r="J1557" s="21"/>
      <c r="K1557" s="16"/>
      <c r="L1557" s="22"/>
      <c r="M1557" s="55"/>
      <c r="N1557" s="23" t="s">
        <v>200</v>
      </c>
      <c r="O1557" s="23" t="s">
        <v>200</v>
      </c>
      <c r="P1557" s="24"/>
      <c r="Q1557" s="23"/>
      <c r="R1557" s="25"/>
      <c r="S1557" s="26"/>
      <c r="T1557" s="16" t="b">
        <v>0</v>
      </c>
    </row>
    <row r="1558">
      <c r="A1558" s="4"/>
      <c r="B1558" s="5"/>
      <c r="C1558" s="13"/>
      <c r="D1558" s="39"/>
      <c r="E1558" s="7"/>
      <c r="F1558" s="34"/>
      <c r="G1558" s="8">
        <v>1899.0</v>
      </c>
      <c r="H1558" s="9"/>
      <c r="I1558" s="9"/>
      <c r="J1558" s="9"/>
      <c r="K1558" s="4"/>
      <c r="L1558" s="10"/>
      <c r="M1558" s="54"/>
      <c r="N1558" s="12" t="s">
        <v>200</v>
      </c>
      <c r="O1558" s="12" t="s">
        <v>200</v>
      </c>
      <c r="P1558" s="13"/>
      <c r="Q1558" s="12"/>
      <c r="R1558" s="14"/>
      <c r="S1558" s="15"/>
      <c r="T1558" s="4" t="b">
        <v>0</v>
      </c>
    </row>
    <row r="1559">
      <c r="A1559" s="16"/>
      <c r="B1559" s="17"/>
      <c r="C1559" s="24"/>
      <c r="D1559" s="44"/>
      <c r="E1559" s="19"/>
      <c r="F1559" s="35"/>
      <c r="G1559" s="20">
        <v>1899.0</v>
      </c>
      <c r="H1559" s="21"/>
      <c r="I1559" s="21"/>
      <c r="J1559" s="21"/>
      <c r="K1559" s="16"/>
      <c r="L1559" s="22"/>
      <c r="M1559" s="55"/>
      <c r="N1559" s="23" t="s">
        <v>200</v>
      </c>
      <c r="O1559" s="23" t="s">
        <v>200</v>
      </c>
      <c r="P1559" s="24"/>
      <c r="Q1559" s="23"/>
      <c r="R1559" s="25"/>
      <c r="S1559" s="26"/>
      <c r="T1559" s="16" t="b">
        <v>0</v>
      </c>
    </row>
    <row r="1560">
      <c r="A1560" s="4"/>
      <c r="B1560" s="5"/>
      <c r="C1560" s="13"/>
      <c r="D1560" s="39"/>
      <c r="E1560" s="7"/>
      <c r="F1560" s="34"/>
      <c r="G1560" s="8">
        <v>1899.0</v>
      </c>
      <c r="H1560" s="9"/>
      <c r="I1560" s="9"/>
      <c r="J1560" s="9"/>
      <c r="K1560" s="4"/>
      <c r="L1560" s="10"/>
      <c r="M1560" s="54"/>
      <c r="N1560" s="12" t="s">
        <v>200</v>
      </c>
      <c r="O1560" s="12" t="s">
        <v>200</v>
      </c>
      <c r="P1560" s="13"/>
      <c r="Q1560" s="12"/>
      <c r="R1560" s="14"/>
      <c r="S1560" s="15"/>
      <c r="T1560" s="4" t="b">
        <v>0</v>
      </c>
    </row>
    <row r="1561">
      <c r="A1561" s="16"/>
      <c r="B1561" s="17"/>
      <c r="C1561" s="24"/>
      <c r="D1561" s="44"/>
      <c r="E1561" s="19"/>
      <c r="F1561" s="35"/>
      <c r="G1561" s="20">
        <v>1899.0</v>
      </c>
      <c r="H1561" s="21"/>
      <c r="I1561" s="21"/>
      <c r="J1561" s="21"/>
      <c r="K1561" s="16"/>
      <c r="L1561" s="22"/>
      <c r="M1561" s="55"/>
      <c r="N1561" s="23" t="s">
        <v>200</v>
      </c>
      <c r="O1561" s="23" t="s">
        <v>200</v>
      </c>
      <c r="P1561" s="24"/>
      <c r="Q1561" s="23"/>
      <c r="R1561" s="25"/>
      <c r="S1561" s="26"/>
      <c r="T1561" s="16" t="b">
        <v>0</v>
      </c>
    </row>
    <row r="1562">
      <c r="A1562" s="4"/>
      <c r="B1562" s="5"/>
      <c r="C1562" s="13"/>
      <c r="D1562" s="39"/>
      <c r="E1562" s="7"/>
      <c r="F1562" s="34"/>
      <c r="G1562" s="8">
        <v>1899.0</v>
      </c>
      <c r="H1562" s="9"/>
      <c r="I1562" s="9"/>
      <c r="J1562" s="9"/>
      <c r="K1562" s="4"/>
      <c r="L1562" s="10"/>
      <c r="M1562" s="54"/>
      <c r="N1562" s="12" t="s">
        <v>200</v>
      </c>
      <c r="O1562" s="12" t="s">
        <v>200</v>
      </c>
      <c r="P1562" s="13"/>
      <c r="Q1562" s="12"/>
      <c r="R1562" s="14"/>
      <c r="S1562" s="15"/>
      <c r="T1562" s="4" t="b">
        <v>0</v>
      </c>
    </row>
    <row r="1563">
      <c r="A1563" s="16"/>
      <c r="B1563" s="17"/>
      <c r="C1563" s="24"/>
      <c r="D1563" s="44"/>
      <c r="E1563" s="19"/>
      <c r="F1563" s="35"/>
      <c r="G1563" s="20">
        <v>1899.0</v>
      </c>
      <c r="H1563" s="21"/>
      <c r="I1563" s="21"/>
      <c r="J1563" s="21"/>
      <c r="K1563" s="16"/>
      <c r="L1563" s="22"/>
      <c r="M1563" s="55"/>
      <c r="N1563" s="23" t="s">
        <v>200</v>
      </c>
      <c r="O1563" s="23" t="s">
        <v>200</v>
      </c>
      <c r="P1563" s="24"/>
      <c r="Q1563" s="23"/>
      <c r="R1563" s="25"/>
      <c r="S1563" s="26"/>
      <c r="T1563" s="16" t="b">
        <v>0</v>
      </c>
    </row>
    <row r="1564">
      <c r="A1564" s="4"/>
      <c r="B1564" s="5"/>
      <c r="C1564" s="13"/>
      <c r="D1564" s="39"/>
      <c r="E1564" s="7"/>
      <c r="F1564" s="34"/>
      <c r="G1564" s="8">
        <v>1899.0</v>
      </c>
      <c r="H1564" s="9"/>
      <c r="I1564" s="9"/>
      <c r="J1564" s="9"/>
      <c r="K1564" s="4"/>
      <c r="L1564" s="10"/>
      <c r="M1564" s="54"/>
      <c r="N1564" s="12" t="s">
        <v>200</v>
      </c>
      <c r="O1564" s="12" t="s">
        <v>200</v>
      </c>
      <c r="P1564" s="13"/>
      <c r="Q1564" s="12"/>
      <c r="R1564" s="14"/>
      <c r="S1564" s="15"/>
      <c r="T1564" s="4" t="b">
        <v>0</v>
      </c>
    </row>
    <row r="1565">
      <c r="A1565" s="16"/>
      <c r="B1565" s="17"/>
      <c r="C1565" s="24"/>
      <c r="D1565" s="44"/>
      <c r="E1565" s="19"/>
      <c r="F1565" s="35"/>
      <c r="G1565" s="20">
        <v>1899.0</v>
      </c>
      <c r="H1565" s="21"/>
      <c r="I1565" s="21"/>
      <c r="J1565" s="21"/>
      <c r="K1565" s="16"/>
      <c r="L1565" s="22"/>
      <c r="M1565" s="55"/>
      <c r="N1565" s="23" t="s">
        <v>200</v>
      </c>
      <c r="O1565" s="23" t="s">
        <v>200</v>
      </c>
      <c r="P1565" s="24"/>
      <c r="Q1565" s="23"/>
      <c r="R1565" s="25"/>
      <c r="S1565" s="26"/>
      <c r="T1565" s="16" t="b">
        <v>0</v>
      </c>
    </row>
    <row r="1566">
      <c r="A1566" s="4"/>
      <c r="B1566" s="5"/>
      <c r="C1566" s="13"/>
      <c r="D1566" s="39"/>
      <c r="E1566" s="7"/>
      <c r="F1566" s="34"/>
      <c r="G1566" s="8">
        <v>1899.0</v>
      </c>
      <c r="H1566" s="9"/>
      <c r="I1566" s="9"/>
      <c r="J1566" s="9"/>
      <c r="K1566" s="4"/>
      <c r="L1566" s="10"/>
      <c r="M1566" s="54"/>
      <c r="N1566" s="12" t="s">
        <v>200</v>
      </c>
      <c r="O1566" s="12" t="s">
        <v>200</v>
      </c>
      <c r="P1566" s="13"/>
      <c r="Q1566" s="12"/>
      <c r="R1566" s="14"/>
      <c r="S1566" s="15"/>
      <c r="T1566" s="4" t="b">
        <v>0</v>
      </c>
    </row>
    <row r="1567">
      <c r="A1567" s="16"/>
      <c r="B1567" s="17"/>
      <c r="C1567" s="24"/>
      <c r="D1567" s="44"/>
      <c r="E1567" s="19"/>
      <c r="F1567" s="35"/>
      <c r="G1567" s="20">
        <v>1899.0</v>
      </c>
      <c r="H1567" s="21"/>
      <c r="I1567" s="21"/>
      <c r="J1567" s="21"/>
      <c r="K1567" s="16"/>
      <c r="L1567" s="22"/>
      <c r="M1567" s="55"/>
      <c r="N1567" s="23" t="s">
        <v>200</v>
      </c>
      <c r="O1567" s="23" t="s">
        <v>200</v>
      </c>
      <c r="P1567" s="24"/>
      <c r="Q1567" s="23"/>
      <c r="R1567" s="25"/>
      <c r="S1567" s="26"/>
      <c r="T1567" s="16" t="b">
        <v>0</v>
      </c>
    </row>
    <row r="1568">
      <c r="A1568" s="4"/>
      <c r="B1568" s="5"/>
      <c r="C1568" s="13"/>
      <c r="D1568" s="39"/>
      <c r="E1568" s="7"/>
      <c r="F1568" s="34"/>
      <c r="G1568" s="8">
        <v>1899.0</v>
      </c>
      <c r="H1568" s="9"/>
      <c r="I1568" s="9"/>
      <c r="J1568" s="9"/>
      <c r="K1568" s="4"/>
      <c r="L1568" s="10"/>
      <c r="M1568" s="54"/>
      <c r="N1568" s="12" t="s">
        <v>200</v>
      </c>
      <c r="O1568" s="12" t="s">
        <v>200</v>
      </c>
      <c r="P1568" s="13"/>
      <c r="Q1568" s="12"/>
      <c r="R1568" s="14"/>
      <c r="S1568" s="15"/>
      <c r="T1568" s="4" t="b">
        <v>0</v>
      </c>
    </row>
    <row r="1569">
      <c r="A1569" s="16"/>
      <c r="B1569" s="17"/>
      <c r="C1569" s="24"/>
      <c r="D1569" s="44"/>
      <c r="E1569" s="19"/>
      <c r="F1569" s="35"/>
      <c r="G1569" s="20">
        <v>1899.0</v>
      </c>
      <c r="H1569" s="21"/>
      <c r="I1569" s="21"/>
      <c r="J1569" s="21"/>
      <c r="K1569" s="16"/>
      <c r="L1569" s="22"/>
      <c r="M1569" s="55"/>
      <c r="N1569" s="23" t="s">
        <v>200</v>
      </c>
      <c r="O1569" s="23" t="s">
        <v>200</v>
      </c>
      <c r="P1569" s="24"/>
      <c r="Q1569" s="23"/>
      <c r="R1569" s="25"/>
      <c r="S1569" s="26"/>
      <c r="T1569" s="16" t="b">
        <v>0</v>
      </c>
    </row>
    <row r="1570">
      <c r="A1570" s="4"/>
      <c r="B1570" s="5"/>
      <c r="C1570" s="13"/>
      <c r="D1570" s="39"/>
      <c r="E1570" s="7"/>
      <c r="F1570" s="34"/>
      <c r="G1570" s="8">
        <v>1899.0</v>
      </c>
      <c r="H1570" s="9"/>
      <c r="I1570" s="9"/>
      <c r="J1570" s="9"/>
      <c r="K1570" s="4"/>
      <c r="L1570" s="10"/>
      <c r="M1570" s="54"/>
      <c r="N1570" s="12" t="s">
        <v>200</v>
      </c>
      <c r="O1570" s="12" t="s">
        <v>200</v>
      </c>
      <c r="P1570" s="13"/>
      <c r="Q1570" s="12"/>
      <c r="R1570" s="14"/>
      <c r="S1570" s="15"/>
      <c r="T1570" s="4" t="b">
        <v>0</v>
      </c>
    </row>
    <row r="1571">
      <c r="A1571" s="16"/>
      <c r="B1571" s="17"/>
      <c r="C1571" s="24"/>
      <c r="D1571" s="44"/>
      <c r="E1571" s="19"/>
      <c r="F1571" s="35"/>
      <c r="G1571" s="20">
        <v>1899.0</v>
      </c>
      <c r="H1571" s="21"/>
      <c r="I1571" s="21"/>
      <c r="J1571" s="21"/>
      <c r="K1571" s="16"/>
      <c r="L1571" s="22"/>
      <c r="M1571" s="55"/>
      <c r="N1571" s="23" t="s">
        <v>200</v>
      </c>
      <c r="O1571" s="23" t="s">
        <v>200</v>
      </c>
      <c r="P1571" s="24"/>
      <c r="Q1571" s="23"/>
      <c r="R1571" s="25"/>
      <c r="S1571" s="26"/>
      <c r="T1571" s="16" t="b">
        <v>0</v>
      </c>
    </row>
    <row r="1572">
      <c r="A1572" s="4"/>
      <c r="B1572" s="5"/>
      <c r="C1572" s="13"/>
      <c r="D1572" s="39"/>
      <c r="E1572" s="7"/>
      <c r="F1572" s="34"/>
      <c r="G1572" s="8">
        <v>1899.0</v>
      </c>
      <c r="H1572" s="9"/>
      <c r="I1572" s="9"/>
      <c r="J1572" s="9"/>
      <c r="K1572" s="4"/>
      <c r="L1572" s="10"/>
      <c r="M1572" s="54"/>
      <c r="N1572" s="12" t="s">
        <v>200</v>
      </c>
      <c r="O1572" s="12" t="s">
        <v>200</v>
      </c>
      <c r="P1572" s="13"/>
      <c r="Q1572" s="12"/>
      <c r="R1572" s="14"/>
      <c r="S1572" s="15"/>
      <c r="T1572" s="4" t="b">
        <v>0</v>
      </c>
    </row>
    <row r="1573">
      <c r="A1573" s="16"/>
      <c r="B1573" s="17"/>
      <c r="C1573" s="24"/>
      <c r="D1573" s="44"/>
      <c r="E1573" s="19"/>
      <c r="F1573" s="35"/>
      <c r="G1573" s="20">
        <v>1899.0</v>
      </c>
      <c r="H1573" s="21"/>
      <c r="I1573" s="21"/>
      <c r="J1573" s="21"/>
      <c r="K1573" s="16"/>
      <c r="L1573" s="22"/>
      <c r="M1573" s="55"/>
      <c r="N1573" s="23" t="s">
        <v>200</v>
      </c>
      <c r="O1573" s="23" t="s">
        <v>200</v>
      </c>
      <c r="P1573" s="24"/>
      <c r="Q1573" s="23"/>
      <c r="R1573" s="25"/>
      <c r="S1573" s="26"/>
      <c r="T1573" s="16" t="b">
        <v>0</v>
      </c>
    </row>
    <row r="1574">
      <c r="A1574" s="4"/>
      <c r="B1574" s="5"/>
      <c r="C1574" s="13"/>
      <c r="D1574" s="39"/>
      <c r="E1574" s="7"/>
      <c r="F1574" s="34"/>
      <c r="G1574" s="8">
        <v>1899.0</v>
      </c>
      <c r="H1574" s="9"/>
      <c r="I1574" s="9"/>
      <c r="J1574" s="9"/>
      <c r="K1574" s="4"/>
      <c r="L1574" s="10"/>
      <c r="M1574" s="54"/>
      <c r="N1574" s="12" t="s">
        <v>200</v>
      </c>
      <c r="O1574" s="12" t="s">
        <v>200</v>
      </c>
      <c r="P1574" s="13"/>
      <c r="Q1574" s="12"/>
      <c r="R1574" s="14"/>
      <c r="S1574" s="15"/>
      <c r="T1574" s="4" t="b">
        <v>0</v>
      </c>
    </row>
    <row r="1575">
      <c r="A1575" s="16"/>
      <c r="B1575" s="17"/>
      <c r="C1575" s="24"/>
      <c r="D1575" s="44"/>
      <c r="E1575" s="19"/>
      <c r="F1575" s="35"/>
      <c r="G1575" s="20">
        <v>1899.0</v>
      </c>
      <c r="H1575" s="21"/>
      <c r="I1575" s="21"/>
      <c r="J1575" s="21"/>
      <c r="K1575" s="16"/>
      <c r="L1575" s="22"/>
      <c r="M1575" s="55"/>
      <c r="N1575" s="23" t="s">
        <v>200</v>
      </c>
      <c r="O1575" s="23" t="s">
        <v>200</v>
      </c>
      <c r="P1575" s="24"/>
      <c r="Q1575" s="23"/>
      <c r="R1575" s="25"/>
      <c r="S1575" s="26"/>
      <c r="T1575" s="16" t="b">
        <v>0</v>
      </c>
    </row>
    <row r="1576">
      <c r="A1576" s="4"/>
      <c r="B1576" s="5"/>
      <c r="C1576" s="13"/>
      <c r="D1576" s="39"/>
      <c r="E1576" s="7"/>
      <c r="F1576" s="34"/>
      <c r="G1576" s="8">
        <v>1899.0</v>
      </c>
      <c r="H1576" s="9"/>
      <c r="I1576" s="9"/>
      <c r="J1576" s="9"/>
      <c r="K1576" s="4"/>
      <c r="L1576" s="10"/>
      <c r="M1576" s="54"/>
      <c r="N1576" s="12" t="s">
        <v>200</v>
      </c>
      <c r="O1576" s="12" t="s">
        <v>200</v>
      </c>
      <c r="P1576" s="13"/>
      <c r="Q1576" s="12"/>
      <c r="R1576" s="14"/>
      <c r="S1576" s="15"/>
      <c r="T1576" s="4" t="b">
        <v>0</v>
      </c>
    </row>
    <row r="1577">
      <c r="A1577" s="16"/>
      <c r="B1577" s="17"/>
      <c r="C1577" s="24"/>
      <c r="D1577" s="44"/>
      <c r="E1577" s="19"/>
      <c r="F1577" s="35"/>
      <c r="G1577" s="20">
        <v>1899.0</v>
      </c>
      <c r="H1577" s="21"/>
      <c r="I1577" s="21"/>
      <c r="J1577" s="21"/>
      <c r="K1577" s="16"/>
      <c r="L1577" s="22"/>
      <c r="M1577" s="55"/>
      <c r="N1577" s="23" t="s">
        <v>200</v>
      </c>
      <c r="O1577" s="23" t="s">
        <v>200</v>
      </c>
      <c r="P1577" s="24"/>
      <c r="Q1577" s="23"/>
      <c r="R1577" s="25"/>
      <c r="S1577" s="26"/>
      <c r="T1577" s="16" t="b">
        <v>0</v>
      </c>
    </row>
    <row r="1578">
      <c r="A1578" s="4"/>
      <c r="B1578" s="5"/>
      <c r="C1578" s="13"/>
      <c r="D1578" s="39"/>
      <c r="E1578" s="7"/>
      <c r="F1578" s="34"/>
      <c r="G1578" s="8">
        <v>1899.0</v>
      </c>
      <c r="H1578" s="9"/>
      <c r="I1578" s="9"/>
      <c r="J1578" s="9"/>
      <c r="K1578" s="4"/>
      <c r="L1578" s="10"/>
      <c r="M1578" s="54"/>
      <c r="N1578" s="12" t="s">
        <v>200</v>
      </c>
      <c r="O1578" s="12" t="s">
        <v>200</v>
      </c>
      <c r="P1578" s="13"/>
      <c r="Q1578" s="12"/>
      <c r="R1578" s="14"/>
      <c r="S1578" s="15"/>
      <c r="T1578" s="4" t="b">
        <v>0</v>
      </c>
    </row>
    <row r="1579">
      <c r="A1579" s="16"/>
      <c r="B1579" s="17"/>
      <c r="C1579" s="24"/>
      <c r="D1579" s="44"/>
      <c r="E1579" s="19"/>
      <c r="F1579" s="35"/>
      <c r="G1579" s="20">
        <v>1899.0</v>
      </c>
      <c r="H1579" s="21"/>
      <c r="I1579" s="21"/>
      <c r="J1579" s="21"/>
      <c r="K1579" s="16"/>
      <c r="L1579" s="22"/>
      <c r="M1579" s="55"/>
      <c r="N1579" s="23" t="s">
        <v>200</v>
      </c>
      <c r="O1579" s="23" t="s">
        <v>200</v>
      </c>
      <c r="P1579" s="24"/>
      <c r="Q1579" s="23"/>
      <c r="R1579" s="25"/>
      <c r="S1579" s="26"/>
      <c r="T1579" s="16" t="b">
        <v>0</v>
      </c>
    </row>
    <row r="1580">
      <c r="A1580" s="4"/>
      <c r="B1580" s="5"/>
      <c r="C1580" s="13"/>
      <c r="D1580" s="39"/>
      <c r="E1580" s="7"/>
      <c r="F1580" s="34"/>
      <c r="G1580" s="8">
        <v>1899.0</v>
      </c>
      <c r="H1580" s="9"/>
      <c r="I1580" s="9"/>
      <c r="J1580" s="9"/>
      <c r="K1580" s="4"/>
      <c r="L1580" s="10"/>
      <c r="M1580" s="54"/>
      <c r="N1580" s="12" t="s">
        <v>200</v>
      </c>
      <c r="O1580" s="12" t="s">
        <v>200</v>
      </c>
      <c r="P1580" s="13"/>
      <c r="Q1580" s="12"/>
      <c r="R1580" s="14"/>
      <c r="S1580" s="15"/>
      <c r="T1580" s="4" t="b">
        <v>0</v>
      </c>
    </row>
    <row r="1581">
      <c r="A1581" s="16"/>
      <c r="B1581" s="17"/>
      <c r="C1581" s="24"/>
      <c r="D1581" s="44"/>
      <c r="E1581" s="19"/>
      <c r="F1581" s="35"/>
      <c r="G1581" s="20">
        <v>1899.0</v>
      </c>
      <c r="H1581" s="21"/>
      <c r="I1581" s="21"/>
      <c r="J1581" s="21"/>
      <c r="K1581" s="16"/>
      <c r="L1581" s="22"/>
      <c r="M1581" s="55"/>
      <c r="N1581" s="23" t="s">
        <v>200</v>
      </c>
      <c r="O1581" s="23" t="s">
        <v>200</v>
      </c>
      <c r="P1581" s="24"/>
      <c r="Q1581" s="23"/>
      <c r="R1581" s="25"/>
      <c r="S1581" s="26"/>
      <c r="T1581" s="16" t="b">
        <v>0</v>
      </c>
    </row>
    <row r="1582">
      <c r="A1582" s="4"/>
      <c r="B1582" s="5"/>
      <c r="C1582" s="13"/>
      <c r="D1582" s="39"/>
      <c r="E1582" s="7"/>
      <c r="F1582" s="34"/>
      <c r="G1582" s="8">
        <v>1899.0</v>
      </c>
      <c r="H1582" s="9"/>
      <c r="I1582" s="9"/>
      <c r="J1582" s="9"/>
      <c r="K1582" s="4"/>
      <c r="L1582" s="10"/>
      <c r="M1582" s="54"/>
      <c r="N1582" s="12" t="s">
        <v>200</v>
      </c>
      <c r="O1582" s="12" t="s">
        <v>200</v>
      </c>
      <c r="P1582" s="13"/>
      <c r="Q1582" s="12"/>
      <c r="R1582" s="14"/>
      <c r="S1582" s="15"/>
      <c r="T1582" s="4" t="b">
        <v>0</v>
      </c>
    </row>
    <row r="1583">
      <c r="A1583" s="16"/>
      <c r="B1583" s="17"/>
      <c r="C1583" s="24"/>
      <c r="D1583" s="44"/>
      <c r="E1583" s="19"/>
      <c r="F1583" s="35"/>
      <c r="G1583" s="20">
        <v>1899.0</v>
      </c>
      <c r="H1583" s="21"/>
      <c r="I1583" s="21"/>
      <c r="J1583" s="21"/>
      <c r="K1583" s="16"/>
      <c r="L1583" s="22"/>
      <c r="M1583" s="55"/>
      <c r="N1583" s="23" t="s">
        <v>200</v>
      </c>
      <c r="O1583" s="23" t="s">
        <v>200</v>
      </c>
      <c r="P1583" s="24"/>
      <c r="Q1583" s="23"/>
      <c r="R1583" s="25"/>
      <c r="S1583" s="26"/>
      <c r="T1583" s="16" t="b">
        <v>0</v>
      </c>
    </row>
    <row r="1584">
      <c r="A1584" s="4"/>
      <c r="B1584" s="5"/>
      <c r="C1584" s="13"/>
      <c r="D1584" s="39"/>
      <c r="E1584" s="7"/>
      <c r="F1584" s="34"/>
      <c r="G1584" s="8">
        <v>1899.0</v>
      </c>
      <c r="H1584" s="9"/>
      <c r="I1584" s="9"/>
      <c r="J1584" s="9"/>
      <c r="K1584" s="4"/>
      <c r="L1584" s="10"/>
      <c r="M1584" s="54"/>
      <c r="N1584" s="12" t="s">
        <v>200</v>
      </c>
      <c r="O1584" s="12" t="s">
        <v>200</v>
      </c>
      <c r="P1584" s="13"/>
      <c r="Q1584" s="12"/>
      <c r="R1584" s="14"/>
      <c r="S1584" s="15"/>
      <c r="T1584" s="4" t="b">
        <v>0</v>
      </c>
    </row>
    <row r="1585">
      <c r="A1585" s="16"/>
      <c r="B1585" s="17"/>
      <c r="C1585" s="24"/>
      <c r="D1585" s="44"/>
      <c r="E1585" s="19"/>
      <c r="F1585" s="35"/>
      <c r="G1585" s="20">
        <v>1899.0</v>
      </c>
      <c r="H1585" s="21"/>
      <c r="I1585" s="21"/>
      <c r="J1585" s="21"/>
      <c r="K1585" s="16"/>
      <c r="L1585" s="22"/>
      <c r="M1585" s="55"/>
      <c r="N1585" s="23" t="s">
        <v>200</v>
      </c>
      <c r="O1585" s="23" t="s">
        <v>200</v>
      </c>
      <c r="P1585" s="24"/>
      <c r="Q1585" s="23"/>
      <c r="R1585" s="25"/>
      <c r="S1585" s="26"/>
      <c r="T1585" s="16" t="b">
        <v>0</v>
      </c>
    </row>
    <row r="1586">
      <c r="A1586" s="4"/>
      <c r="B1586" s="5"/>
      <c r="C1586" s="13"/>
      <c r="D1586" s="39"/>
      <c r="E1586" s="7"/>
      <c r="F1586" s="34"/>
      <c r="G1586" s="8">
        <v>1899.0</v>
      </c>
      <c r="H1586" s="9"/>
      <c r="I1586" s="9"/>
      <c r="J1586" s="9"/>
      <c r="K1586" s="4"/>
      <c r="L1586" s="10"/>
      <c r="M1586" s="54"/>
      <c r="N1586" s="12" t="s">
        <v>200</v>
      </c>
      <c r="O1586" s="12" t="s">
        <v>200</v>
      </c>
      <c r="P1586" s="13"/>
      <c r="Q1586" s="12"/>
      <c r="R1586" s="14"/>
      <c r="S1586" s="15"/>
      <c r="T1586" s="4" t="b">
        <v>0</v>
      </c>
    </row>
    <row r="1587">
      <c r="A1587" s="16"/>
      <c r="B1587" s="17"/>
      <c r="C1587" s="24"/>
      <c r="D1587" s="44"/>
      <c r="E1587" s="19"/>
      <c r="F1587" s="35"/>
      <c r="G1587" s="20">
        <v>1899.0</v>
      </c>
      <c r="H1587" s="21"/>
      <c r="I1587" s="21"/>
      <c r="J1587" s="21"/>
      <c r="K1587" s="16"/>
      <c r="L1587" s="22"/>
      <c r="M1587" s="55"/>
      <c r="N1587" s="23" t="s">
        <v>200</v>
      </c>
      <c r="O1587" s="23" t="s">
        <v>200</v>
      </c>
      <c r="P1587" s="24"/>
      <c r="Q1587" s="23"/>
      <c r="R1587" s="25"/>
      <c r="S1587" s="26"/>
      <c r="T1587" s="16" t="b">
        <v>0</v>
      </c>
    </row>
    <row r="1588">
      <c r="A1588" s="4"/>
      <c r="B1588" s="5"/>
      <c r="C1588" s="13"/>
      <c r="D1588" s="39"/>
      <c r="E1588" s="7"/>
      <c r="F1588" s="34"/>
      <c r="G1588" s="8">
        <v>1899.0</v>
      </c>
      <c r="H1588" s="9"/>
      <c r="I1588" s="9"/>
      <c r="J1588" s="9"/>
      <c r="K1588" s="4"/>
      <c r="L1588" s="10"/>
      <c r="M1588" s="54"/>
      <c r="N1588" s="12" t="s">
        <v>200</v>
      </c>
      <c r="O1588" s="12" t="s">
        <v>200</v>
      </c>
      <c r="P1588" s="13"/>
      <c r="Q1588" s="12"/>
      <c r="R1588" s="14"/>
      <c r="S1588" s="15"/>
      <c r="T1588" s="4" t="b">
        <v>0</v>
      </c>
    </row>
    <row r="1589">
      <c r="A1589" s="16"/>
      <c r="B1589" s="17"/>
      <c r="C1589" s="24"/>
      <c r="D1589" s="44"/>
      <c r="E1589" s="19"/>
      <c r="F1589" s="35"/>
      <c r="G1589" s="20">
        <v>1899.0</v>
      </c>
      <c r="H1589" s="21"/>
      <c r="I1589" s="21"/>
      <c r="J1589" s="21"/>
      <c r="K1589" s="16"/>
      <c r="L1589" s="22"/>
      <c r="M1589" s="55"/>
      <c r="N1589" s="23" t="s">
        <v>200</v>
      </c>
      <c r="O1589" s="23" t="s">
        <v>200</v>
      </c>
      <c r="P1589" s="24"/>
      <c r="Q1589" s="23"/>
      <c r="R1589" s="25"/>
      <c r="S1589" s="26"/>
      <c r="T1589" s="16" t="b">
        <v>0</v>
      </c>
    </row>
    <row r="1590">
      <c r="A1590" s="4"/>
      <c r="B1590" s="5"/>
      <c r="C1590" s="13"/>
      <c r="D1590" s="39"/>
      <c r="E1590" s="7"/>
      <c r="F1590" s="34"/>
      <c r="G1590" s="8">
        <v>1899.0</v>
      </c>
      <c r="H1590" s="9"/>
      <c r="I1590" s="9"/>
      <c r="J1590" s="9"/>
      <c r="K1590" s="4"/>
      <c r="L1590" s="10"/>
      <c r="M1590" s="54"/>
      <c r="N1590" s="12" t="s">
        <v>200</v>
      </c>
      <c r="O1590" s="12" t="s">
        <v>200</v>
      </c>
      <c r="P1590" s="13"/>
      <c r="Q1590" s="12"/>
      <c r="R1590" s="14"/>
      <c r="S1590" s="15"/>
      <c r="T1590" s="4" t="b">
        <v>0</v>
      </c>
    </row>
    <row r="1591">
      <c r="A1591" s="16"/>
      <c r="B1591" s="17"/>
      <c r="C1591" s="24"/>
      <c r="D1591" s="44"/>
      <c r="E1591" s="19"/>
      <c r="F1591" s="35"/>
      <c r="G1591" s="20">
        <v>1899.0</v>
      </c>
      <c r="H1591" s="21"/>
      <c r="I1591" s="21"/>
      <c r="J1591" s="21"/>
      <c r="K1591" s="16"/>
      <c r="L1591" s="22"/>
      <c r="M1591" s="55"/>
      <c r="N1591" s="23" t="s">
        <v>200</v>
      </c>
      <c r="O1591" s="23" t="s">
        <v>200</v>
      </c>
      <c r="P1591" s="24"/>
      <c r="Q1591" s="23"/>
      <c r="R1591" s="25"/>
      <c r="S1591" s="26"/>
      <c r="T1591" s="16" t="b">
        <v>0</v>
      </c>
    </row>
    <row r="1592">
      <c r="A1592" s="4"/>
      <c r="B1592" s="5"/>
      <c r="C1592" s="13"/>
      <c r="D1592" s="39"/>
      <c r="E1592" s="7"/>
      <c r="F1592" s="34"/>
      <c r="G1592" s="8">
        <v>1899.0</v>
      </c>
      <c r="H1592" s="9"/>
      <c r="I1592" s="9"/>
      <c r="J1592" s="9"/>
      <c r="K1592" s="4"/>
      <c r="L1592" s="10"/>
      <c r="M1592" s="54"/>
      <c r="N1592" s="12" t="s">
        <v>200</v>
      </c>
      <c r="O1592" s="12" t="s">
        <v>200</v>
      </c>
      <c r="P1592" s="13"/>
      <c r="Q1592" s="12"/>
      <c r="R1592" s="14"/>
      <c r="S1592" s="15"/>
      <c r="T1592" s="4" t="b">
        <v>0</v>
      </c>
    </row>
    <row r="1593">
      <c r="A1593" s="16"/>
      <c r="B1593" s="17"/>
      <c r="C1593" s="24"/>
      <c r="D1593" s="44"/>
      <c r="E1593" s="19"/>
      <c r="F1593" s="35"/>
      <c r="G1593" s="20">
        <v>1899.0</v>
      </c>
      <c r="H1593" s="21"/>
      <c r="I1593" s="21"/>
      <c r="J1593" s="21"/>
      <c r="K1593" s="16"/>
      <c r="L1593" s="22"/>
      <c r="M1593" s="55"/>
      <c r="N1593" s="23" t="s">
        <v>200</v>
      </c>
      <c r="O1593" s="23" t="s">
        <v>200</v>
      </c>
      <c r="P1593" s="24"/>
      <c r="Q1593" s="23"/>
      <c r="R1593" s="25"/>
      <c r="S1593" s="26"/>
      <c r="T1593" s="16" t="b">
        <v>0</v>
      </c>
    </row>
    <row r="1594">
      <c r="A1594" s="4"/>
      <c r="B1594" s="5"/>
      <c r="C1594" s="13"/>
      <c r="D1594" s="39"/>
      <c r="E1594" s="7"/>
      <c r="F1594" s="34"/>
      <c r="G1594" s="8">
        <v>1899.0</v>
      </c>
      <c r="H1594" s="9"/>
      <c r="I1594" s="9"/>
      <c r="J1594" s="9"/>
      <c r="K1594" s="4"/>
      <c r="L1594" s="10"/>
      <c r="M1594" s="54"/>
      <c r="N1594" s="12" t="s">
        <v>200</v>
      </c>
      <c r="O1594" s="12" t="s">
        <v>200</v>
      </c>
      <c r="P1594" s="13"/>
      <c r="Q1594" s="12"/>
      <c r="R1594" s="14"/>
      <c r="S1594" s="15"/>
      <c r="T1594" s="4" t="b">
        <v>0</v>
      </c>
    </row>
    <row r="1595">
      <c r="A1595" s="16"/>
      <c r="B1595" s="17"/>
      <c r="C1595" s="24"/>
      <c r="D1595" s="44"/>
      <c r="E1595" s="19"/>
      <c r="F1595" s="35"/>
      <c r="G1595" s="20">
        <v>1899.0</v>
      </c>
      <c r="H1595" s="21"/>
      <c r="I1595" s="21"/>
      <c r="J1595" s="21"/>
      <c r="K1595" s="16"/>
      <c r="L1595" s="22"/>
      <c r="M1595" s="55"/>
      <c r="N1595" s="23" t="s">
        <v>200</v>
      </c>
      <c r="O1595" s="23" t="s">
        <v>200</v>
      </c>
      <c r="P1595" s="24"/>
      <c r="Q1595" s="23"/>
      <c r="R1595" s="25"/>
      <c r="S1595" s="26"/>
      <c r="T1595" s="16" t="b">
        <v>0</v>
      </c>
    </row>
    <row r="1596">
      <c r="A1596" s="4"/>
      <c r="B1596" s="5"/>
      <c r="C1596" s="13"/>
      <c r="D1596" s="39"/>
      <c r="E1596" s="7"/>
      <c r="F1596" s="34"/>
      <c r="G1596" s="8">
        <v>1899.0</v>
      </c>
      <c r="H1596" s="9"/>
      <c r="I1596" s="9"/>
      <c r="J1596" s="9"/>
      <c r="K1596" s="4"/>
      <c r="L1596" s="10"/>
      <c r="M1596" s="54"/>
      <c r="N1596" s="12" t="s">
        <v>200</v>
      </c>
      <c r="O1596" s="12" t="s">
        <v>200</v>
      </c>
      <c r="P1596" s="13"/>
      <c r="Q1596" s="12"/>
      <c r="R1596" s="14"/>
      <c r="S1596" s="15"/>
      <c r="T1596" s="4" t="b">
        <v>0</v>
      </c>
    </row>
    <row r="1597">
      <c r="A1597" s="16"/>
      <c r="B1597" s="17"/>
      <c r="C1597" s="24"/>
      <c r="D1597" s="44"/>
      <c r="E1597" s="19"/>
      <c r="F1597" s="35"/>
      <c r="G1597" s="20">
        <v>1899.0</v>
      </c>
      <c r="H1597" s="21"/>
      <c r="I1597" s="21"/>
      <c r="J1597" s="21"/>
      <c r="K1597" s="16"/>
      <c r="L1597" s="22"/>
      <c r="M1597" s="55"/>
      <c r="N1597" s="23" t="s">
        <v>200</v>
      </c>
      <c r="O1597" s="23" t="s">
        <v>200</v>
      </c>
      <c r="P1597" s="24"/>
      <c r="Q1597" s="23"/>
      <c r="R1597" s="25"/>
      <c r="S1597" s="26"/>
      <c r="T1597" s="16" t="b">
        <v>0</v>
      </c>
    </row>
    <row r="1598">
      <c r="A1598" s="4"/>
      <c r="B1598" s="5"/>
      <c r="C1598" s="13"/>
      <c r="D1598" s="39"/>
      <c r="E1598" s="7"/>
      <c r="F1598" s="34"/>
      <c r="G1598" s="8">
        <v>1899.0</v>
      </c>
      <c r="H1598" s="9"/>
      <c r="I1598" s="9"/>
      <c r="J1598" s="9"/>
      <c r="K1598" s="4"/>
      <c r="L1598" s="10"/>
      <c r="M1598" s="54"/>
      <c r="N1598" s="12" t="s">
        <v>200</v>
      </c>
      <c r="O1598" s="12" t="s">
        <v>200</v>
      </c>
      <c r="P1598" s="13"/>
      <c r="Q1598" s="12"/>
      <c r="R1598" s="14"/>
      <c r="S1598" s="15"/>
      <c r="T1598" s="4" t="b">
        <v>0</v>
      </c>
    </row>
    <row r="1599">
      <c r="A1599" s="16"/>
      <c r="B1599" s="17"/>
      <c r="C1599" s="24"/>
      <c r="D1599" s="44"/>
      <c r="E1599" s="19"/>
      <c r="F1599" s="35"/>
      <c r="G1599" s="20">
        <v>1899.0</v>
      </c>
      <c r="H1599" s="21"/>
      <c r="I1599" s="21"/>
      <c r="J1599" s="21"/>
      <c r="K1599" s="16"/>
      <c r="L1599" s="22"/>
      <c r="M1599" s="55"/>
      <c r="N1599" s="23" t="s">
        <v>200</v>
      </c>
      <c r="O1599" s="23" t="s">
        <v>200</v>
      </c>
      <c r="P1599" s="24"/>
      <c r="Q1599" s="23"/>
      <c r="R1599" s="25"/>
      <c r="S1599" s="26"/>
      <c r="T1599" s="16" t="b">
        <v>0</v>
      </c>
    </row>
    <row r="1600">
      <c r="A1600" s="4"/>
      <c r="B1600" s="5"/>
      <c r="C1600" s="13"/>
      <c r="D1600" s="39"/>
      <c r="E1600" s="7"/>
      <c r="F1600" s="34"/>
      <c r="G1600" s="8">
        <v>1899.0</v>
      </c>
      <c r="H1600" s="9"/>
      <c r="I1600" s="9"/>
      <c r="J1600" s="9"/>
      <c r="K1600" s="4"/>
      <c r="L1600" s="10"/>
      <c r="M1600" s="54"/>
      <c r="N1600" s="12" t="s">
        <v>200</v>
      </c>
      <c r="O1600" s="12" t="s">
        <v>200</v>
      </c>
      <c r="P1600" s="13"/>
      <c r="Q1600" s="12"/>
      <c r="R1600" s="14"/>
      <c r="S1600" s="15"/>
      <c r="T1600" s="4" t="b">
        <v>0</v>
      </c>
    </row>
    <row r="1601">
      <c r="A1601" s="16"/>
      <c r="B1601" s="17"/>
      <c r="C1601" s="24"/>
      <c r="D1601" s="44"/>
      <c r="E1601" s="19"/>
      <c r="F1601" s="35"/>
      <c r="G1601" s="20">
        <v>1899.0</v>
      </c>
      <c r="H1601" s="21"/>
      <c r="I1601" s="21"/>
      <c r="J1601" s="21"/>
      <c r="K1601" s="16"/>
      <c r="L1601" s="22"/>
      <c r="M1601" s="55"/>
      <c r="N1601" s="23" t="s">
        <v>200</v>
      </c>
      <c r="O1601" s="23" t="s">
        <v>200</v>
      </c>
      <c r="P1601" s="24"/>
      <c r="Q1601" s="23"/>
      <c r="R1601" s="25"/>
      <c r="S1601" s="26"/>
      <c r="T1601" s="16" t="b">
        <v>0</v>
      </c>
    </row>
    <row r="1602">
      <c r="A1602" s="4"/>
      <c r="B1602" s="5"/>
      <c r="C1602" s="13"/>
      <c r="D1602" s="39"/>
      <c r="E1602" s="7"/>
      <c r="F1602" s="34"/>
      <c r="G1602" s="8">
        <v>1899.0</v>
      </c>
      <c r="H1602" s="9"/>
      <c r="I1602" s="9"/>
      <c r="J1602" s="9"/>
      <c r="K1602" s="4"/>
      <c r="L1602" s="10"/>
      <c r="M1602" s="54"/>
      <c r="N1602" s="12" t="s">
        <v>200</v>
      </c>
      <c r="O1602" s="12" t="s">
        <v>200</v>
      </c>
      <c r="P1602" s="13"/>
      <c r="Q1602" s="12"/>
      <c r="R1602" s="14"/>
      <c r="S1602" s="15"/>
      <c r="T1602" s="4" t="b">
        <v>0</v>
      </c>
    </row>
    <row r="1603">
      <c r="A1603" s="16"/>
      <c r="B1603" s="17"/>
      <c r="C1603" s="24"/>
      <c r="D1603" s="44"/>
      <c r="E1603" s="19"/>
      <c r="F1603" s="35"/>
      <c r="G1603" s="20">
        <v>1899.0</v>
      </c>
      <c r="H1603" s="21"/>
      <c r="I1603" s="21"/>
      <c r="J1603" s="21"/>
      <c r="K1603" s="16"/>
      <c r="L1603" s="22"/>
      <c r="M1603" s="55"/>
      <c r="N1603" s="23" t="s">
        <v>200</v>
      </c>
      <c r="O1603" s="23" t="s">
        <v>200</v>
      </c>
      <c r="P1603" s="24"/>
      <c r="Q1603" s="23"/>
      <c r="R1603" s="25"/>
      <c r="S1603" s="26"/>
      <c r="T1603" s="16" t="b">
        <v>0</v>
      </c>
    </row>
    <row r="1604">
      <c r="A1604" s="4"/>
      <c r="B1604" s="5"/>
      <c r="C1604" s="13"/>
      <c r="D1604" s="39"/>
      <c r="E1604" s="7"/>
      <c r="F1604" s="34"/>
      <c r="G1604" s="8">
        <v>1899.0</v>
      </c>
      <c r="H1604" s="9"/>
      <c r="I1604" s="9"/>
      <c r="J1604" s="9"/>
      <c r="K1604" s="4"/>
      <c r="L1604" s="10"/>
      <c r="M1604" s="54"/>
      <c r="N1604" s="12" t="s">
        <v>200</v>
      </c>
      <c r="O1604" s="12" t="s">
        <v>200</v>
      </c>
      <c r="P1604" s="13"/>
      <c r="Q1604" s="12"/>
      <c r="R1604" s="14"/>
      <c r="S1604" s="15"/>
      <c r="T1604" s="4" t="b">
        <v>0</v>
      </c>
    </row>
    <row r="1605">
      <c r="A1605" s="16"/>
      <c r="B1605" s="17"/>
      <c r="C1605" s="24"/>
      <c r="D1605" s="44"/>
      <c r="E1605" s="19"/>
      <c r="F1605" s="35"/>
      <c r="G1605" s="20">
        <v>1899.0</v>
      </c>
      <c r="H1605" s="21"/>
      <c r="I1605" s="21"/>
      <c r="J1605" s="21"/>
      <c r="K1605" s="16"/>
      <c r="L1605" s="22"/>
      <c r="M1605" s="55"/>
      <c r="N1605" s="23" t="s">
        <v>200</v>
      </c>
      <c r="O1605" s="23" t="s">
        <v>200</v>
      </c>
      <c r="P1605" s="24"/>
      <c r="Q1605" s="23"/>
      <c r="R1605" s="25"/>
      <c r="S1605" s="26"/>
      <c r="T1605" s="16" t="b">
        <v>0</v>
      </c>
    </row>
    <row r="1606">
      <c r="A1606" s="4"/>
      <c r="B1606" s="5"/>
      <c r="C1606" s="13"/>
      <c r="D1606" s="39"/>
      <c r="E1606" s="7"/>
      <c r="F1606" s="34"/>
      <c r="G1606" s="8">
        <v>1899.0</v>
      </c>
      <c r="H1606" s="9"/>
      <c r="I1606" s="9"/>
      <c r="J1606" s="9"/>
      <c r="K1606" s="4"/>
      <c r="L1606" s="10"/>
      <c r="M1606" s="54"/>
      <c r="N1606" s="12" t="s">
        <v>200</v>
      </c>
      <c r="O1606" s="12" t="s">
        <v>200</v>
      </c>
      <c r="P1606" s="13"/>
      <c r="Q1606" s="12"/>
      <c r="R1606" s="14"/>
      <c r="S1606" s="15"/>
      <c r="T1606" s="4" t="b">
        <v>0</v>
      </c>
    </row>
    <row r="1607">
      <c r="A1607" s="16"/>
      <c r="B1607" s="17"/>
      <c r="C1607" s="24"/>
      <c r="D1607" s="44"/>
      <c r="E1607" s="19"/>
      <c r="F1607" s="35"/>
      <c r="G1607" s="20">
        <v>1899.0</v>
      </c>
      <c r="H1607" s="21"/>
      <c r="I1607" s="21"/>
      <c r="J1607" s="21"/>
      <c r="K1607" s="16"/>
      <c r="L1607" s="22"/>
      <c r="M1607" s="55"/>
      <c r="N1607" s="23" t="s">
        <v>200</v>
      </c>
      <c r="O1607" s="23" t="s">
        <v>200</v>
      </c>
      <c r="P1607" s="24"/>
      <c r="Q1607" s="23"/>
      <c r="R1607" s="25"/>
      <c r="S1607" s="26"/>
      <c r="T1607" s="16" t="b">
        <v>0</v>
      </c>
    </row>
    <row r="1608">
      <c r="A1608" s="4"/>
      <c r="B1608" s="5"/>
      <c r="C1608" s="13"/>
      <c r="D1608" s="39"/>
      <c r="E1608" s="7"/>
      <c r="F1608" s="34"/>
      <c r="G1608" s="8">
        <v>1899.0</v>
      </c>
      <c r="H1608" s="9"/>
      <c r="I1608" s="9"/>
      <c r="J1608" s="9"/>
      <c r="K1608" s="4"/>
      <c r="L1608" s="10"/>
      <c r="M1608" s="54"/>
      <c r="N1608" s="12" t="s">
        <v>200</v>
      </c>
      <c r="O1608" s="12" t="s">
        <v>200</v>
      </c>
      <c r="P1608" s="13"/>
      <c r="Q1608" s="12"/>
      <c r="R1608" s="14"/>
      <c r="S1608" s="15"/>
      <c r="T1608" s="4" t="b">
        <v>0</v>
      </c>
    </row>
    <row r="1609">
      <c r="A1609" s="16"/>
      <c r="B1609" s="17"/>
      <c r="C1609" s="24"/>
      <c r="D1609" s="44"/>
      <c r="E1609" s="19"/>
      <c r="F1609" s="35"/>
      <c r="G1609" s="20">
        <v>1899.0</v>
      </c>
      <c r="H1609" s="21"/>
      <c r="I1609" s="21"/>
      <c r="J1609" s="21"/>
      <c r="K1609" s="16"/>
      <c r="L1609" s="22"/>
      <c r="M1609" s="55"/>
      <c r="N1609" s="23" t="s">
        <v>200</v>
      </c>
      <c r="O1609" s="23" t="s">
        <v>200</v>
      </c>
      <c r="P1609" s="24"/>
      <c r="Q1609" s="23"/>
      <c r="R1609" s="25"/>
      <c r="S1609" s="26"/>
      <c r="T1609" s="16" t="b">
        <v>0</v>
      </c>
    </row>
    <row r="1610">
      <c r="A1610" s="4"/>
      <c r="B1610" s="5"/>
      <c r="C1610" s="13"/>
      <c r="D1610" s="39"/>
      <c r="E1610" s="7"/>
      <c r="F1610" s="34"/>
      <c r="G1610" s="8">
        <v>1899.0</v>
      </c>
      <c r="H1610" s="9"/>
      <c r="I1610" s="9"/>
      <c r="J1610" s="9"/>
      <c r="K1610" s="4"/>
      <c r="L1610" s="10"/>
      <c r="M1610" s="54"/>
      <c r="N1610" s="12" t="s">
        <v>200</v>
      </c>
      <c r="O1610" s="12" t="s">
        <v>200</v>
      </c>
      <c r="P1610" s="13"/>
      <c r="Q1610" s="12"/>
      <c r="R1610" s="14"/>
      <c r="S1610" s="15"/>
      <c r="T1610" s="4" t="b">
        <v>0</v>
      </c>
    </row>
    <row r="1611">
      <c r="A1611" s="16"/>
      <c r="B1611" s="17"/>
      <c r="C1611" s="24"/>
      <c r="D1611" s="44"/>
      <c r="E1611" s="19"/>
      <c r="F1611" s="35"/>
      <c r="G1611" s="20">
        <v>1899.0</v>
      </c>
      <c r="H1611" s="21"/>
      <c r="I1611" s="21"/>
      <c r="J1611" s="21"/>
      <c r="K1611" s="16"/>
      <c r="L1611" s="22"/>
      <c r="M1611" s="55"/>
      <c r="N1611" s="23" t="s">
        <v>200</v>
      </c>
      <c r="O1611" s="23" t="s">
        <v>200</v>
      </c>
      <c r="P1611" s="24"/>
      <c r="Q1611" s="23"/>
      <c r="R1611" s="25"/>
      <c r="S1611" s="26"/>
      <c r="T1611" s="16" t="b">
        <v>0</v>
      </c>
    </row>
    <row r="1612">
      <c r="A1612" s="4"/>
      <c r="B1612" s="5"/>
      <c r="C1612" s="13"/>
      <c r="D1612" s="39"/>
      <c r="E1612" s="7"/>
      <c r="F1612" s="34"/>
      <c r="G1612" s="8">
        <v>1899.0</v>
      </c>
      <c r="H1612" s="9"/>
      <c r="I1612" s="9"/>
      <c r="J1612" s="9"/>
      <c r="K1612" s="4"/>
      <c r="L1612" s="10"/>
      <c r="M1612" s="54"/>
      <c r="N1612" s="12" t="s">
        <v>200</v>
      </c>
      <c r="O1612" s="12" t="s">
        <v>200</v>
      </c>
      <c r="P1612" s="13"/>
      <c r="Q1612" s="12"/>
      <c r="R1612" s="14"/>
      <c r="S1612" s="15"/>
      <c r="T1612" s="4" t="b">
        <v>0</v>
      </c>
    </row>
    <row r="1613">
      <c r="A1613" s="16"/>
      <c r="B1613" s="17"/>
      <c r="C1613" s="24"/>
      <c r="D1613" s="44"/>
      <c r="E1613" s="19"/>
      <c r="F1613" s="35"/>
      <c r="G1613" s="20">
        <v>1899.0</v>
      </c>
      <c r="H1613" s="21"/>
      <c r="I1613" s="21"/>
      <c r="J1613" s="21"/>
      <c r="K1613" s="16"/>
      <c r="L1613" s="22"/>
      <c r="M1613" s="55"/>
      <c r="N1613" s="23" t="s">
        <v>200</v>
      </c>
      <c r="O1613" s="23" t="s">
        <v>200</v>
      </c>
      <c r="P1613" s="24"/>
      <c r="Q1613" s="23"/>
      <c r="R1613" s="25"/>
      <c r="S1613" s="26"/>
      <c r="T1613" s="16" t="b">
        <v>0</v>
      </c>
    </row>
    <row r="1614">
      <c r="A1614" s="4"/>
      <c r="B1614" s="5"/>
      <c r="C1614" s="13"/>
      <c r="D1614" s="39"/>
      <c r="E1614" s="7"/>
      <c r="F1614" s="34"/>
      <c r="G1614" s="8">
        <v>1899.0</v>
      </c>
      <c r="H1614" s="9"/>
      <c r="I1614" s="9"/>
      <c r="J1614" s="9"/>
      <c r="K1614" s="4"/>
      <c r="L1614" s="10"/>
      <c r="M1614" s="54"/>
      <c r="N1614" s="12" t="s">
        <v>200</v>
      </c>
      <c r="O1614" s="12" t="s">
        <v>200</v>
      </c>
      <c r="P1614" s="13"/>
      <c r="Q1614" s="12"/>
      <c r="R1614" s="14"/>
      <c r="S1614" s="15"/>
      <c r="T1614" s="4" t="b">
        <v>0</v>
      </c>
    </row>
    <row r="1615">
      <c r="A1615" s="16"/>
      <c r="B1615" s="17"/>
      <c r="C1615" s="24"/>
      <c r="D1615" s="44"/>
      <c r="E1615" s="19"/>
      <c r="F1615" s="35"/>
      <c r="G1615" s="20">
        <v>1899.0</v>
      </c>
      <c r="H1615" s="21"/>
      <c r="I1615" s="21"/>
      <c r="J1615" s="21"/>
      <c r="K1615" s="16"/>
      <c r="L1615" s="22"/>
      <c r="M1615" s="55"/>
      <c r="N1615" s="23" t="s">
        <v>200</v>
      </c>
      <c r="O1615" s="23" t="s">
        <v>200</v>
      </c>
      <c r="P1615" s="24"/>
      <c r="Q1615" s="23"/>
      <c r="R1615" s="25"/>
      <c r="S1615" s="26"/>
      <c r="T1615" s="16" t="b">
        <v>0</v>
      </c>
    </row>
    <row r="1616">
      <c r="A1616" s="4"/>
      <c r="B1616" s="5"/>
      <c r="C1616" s="13"/>
      <c r="D1616" s="39"/>
      <c r="E1616" s="7"/>
      <c r="F1616" s="34"/>
      <c r="G1616" s="8">
        <v>1899.0</v>
      </c>
      <c r="H1616" s="9"/>
      <c r="I1616" s="9"/>
      <c r="J1616" s="9"/>
      <c r="K1616" s="4"/>
      <c r="L1616" s="10"/>
      <c r="M1616" s="54"/>
      <c r="N1616" s="12" t="s">
        <v>200</v>
      </c>
      <c r="O1616" s="12" t="s">
        <v>200</v>
      </c>
      <c r="P1616" s="13"/>
      <c r="Q1616" s="12"/>
      <c r="R1616" s="14"/>
      <c r="S1616" s="15"/>
      <c r="T1616" s="4" t="b">
        <v>0</v>
      </c>
    </row>
    <row r="1617">
      <c r="A1617" s="16"/>
      <c r="B1617" s="17"/>
      <c r="C1617" s="24"/>
      <c r="D1617" s="44"/>
      <c r="E1617" s="19"/>
      <c r="F1617" s="35"/>
      <c r="G1617" s="20">
        <v>1899.0</v>
      </c>
      <c r="H1617" s="21"/>
      <c r="I1617" s="21"/>
      <c r="J1617" s="21"/>
      <c r="K1617" s="16"/>
      <c r="L1617" s="22"/>
      <c r="M1617" s="55"/>
      <c r="N1617" s="23" t="s">
        <v>200</v>
      </c>
      <c r="O1617" s="23" t="s">
        <v>200</v>
      </c>
      <c r="P1617" s="24"/>
      <c r="Q1617" s="23"/>
      <c r="R1617" s="25"/>
      <c r="S1617" s="26"/>
      <c r="T1617" s="16" t="b">
        <v>0</v>
      </c>
    </row>
    <row r="1618">
      <c r="A1618" s="4"/>
      <c r="B1618" s="5"/>
      <c r="C1618" s="13"/>
      <c r="D1618" s="39"/>
      <c r="E1618" s="7"/>
      <c r="F1618" s="34"/>
      <c r="G1618" s="8">
        <v>1899.0</v>
      </c>
      <c r="H1618" s="9"/>
      <c r="I1618" s="9"/>
      <c r="J1618" s="9"/>
      <c r="K1618" s="4"/>
      <c r="L1618" s="10"/>
      <c r="M1618" s="54"/>
      <c r="N1618" s="12" t="s">
        <v>200</v>
      </c>
      <c r="O1618" s="12" t="s">
        <v>200</v>
      </c>
      <c r="P1618" s="13"/>
      <c r="Q1618" s="12"/>
      <c r="R1618" s="14"/>
      <c r="S1618" s="15"/>
      <c r="T1618" s="4" t="b">
        <v>0</v>
      </c>
    </row>
    <row r="1619">
      <c r="A1619" s="16"/>
      <c r="B1619" s="17"/>
      <c r="C1619" s="24"/>
      <c r="D1619" s="44"/>
      <c r="E1619" s="19"/>
      <c r="F1619" s="35"/>
      <c r="G1619" s="20">
        <v>1899.0</v>
      </c>
      <c r="H1619" s="21"/>
      <c r="I1619" s="21"/>
      <c r="J1619" s="21"/>
      <c r="K1619" s="16"/>
      <c r="L1619" s="22"/>
      <c r="M1619" s="55"/>
      <c r="N1619" s="23" t="s">
        <v>200</v>
      </c>
      <c r="O1619" s="23" t="s">
        <v>200</v>
      </c>
      <c r="P1619" s="24"/>
      <c r="Q1619" s="23"/>
      <c r="R1619" s="25"/>
      <c r="S1619" s="26"/>
      <c r="T1619" s="16" t="b">
        <v>0</v>
      </c>
    </row>
    <row r="1620">
      <c r="A1620" s="4"/>
      <c r="B1620" s="5"/>
      <c r="C1620" s="13"/>
      <c r="D1620" s="39"/>
      <c r="E1620" s="7"/>
      <c r="F1620" s="34"/>
      <c r="G1620" s="8">
        <v>1899.0</v>
      </c>
      <c r="H1620" s="9"/>
      <c r="I1620" s="9"/>
      <c r="J1620" s="9"/>
      <c r="K1620" s="4"/>
      <c r="L1620" s="10"/>
      <c r="M1620" s="54"/>
      <c r="N1620" s="12" t="s">
        <v>200</v>
      </c>
      <c r="O1620" s="12" t="s">
        <v>200</v>
      </c>
      <c r="P1620" s="13"/>
      <c r="Q1620" s="12"/>
      <c r="R1620" s="14"/>
      <c r="S1620" s="15"/>
      <c r="T1620" s="4" t="b">
        <v>0</v>
      </c>
    </row>
    <row r="1621">
      <c r="A1621" s="16"/>
      <c r="B1621" s="17"/>
      <c r="C1621" s="24"/>
      <c r="D1621" s="44"/>
      <c r="E1621" s="19"/>
      <c r="F1621" s="35"/>
      <c r="G1621" s="20">
        <v>1899.0</v>
      </c>
      <c r="H1621" s="21"/>
      <c r="I1621" s="21"/>
      <c r="J1621" s="21"/>
      <c r="K1621" s="16"/>
      <c r="L1621" s="22"/>
      <c r="M1621" s="55"/>
      <c r="N1621" s="23" t="s">
        <v>200</v>
      </c>
      <c r="O1621" s="23" t="s">
        <v>200</v>
      </c>
      <c r="P1621" s="24"/>
      <c r="Q1621" s="23"/>
      <c r="R1621" s="25"/>
      <c r="S1621" s="26"/>
      <c r="T1621" s="16" t="b">
        <v>0</v>
      </c>
    </row>
    <row r="1622">
      <c r="A1622" s="4"/>
      <c r="B1622" s="5"/>
      <c r="C1622" s="13"/>
      <c r="D1622" s="39"/>
      <c r="E1622" s="7"/>
      <c r="F1622" s="34"/>
      <c r="G1622" s="8">
        <v>1899.0</v>
      </c>
      <c r="H1622" s="9"/>
      <c r="I1622" s="9"/>
      <c r="J1622" s="9"/>
      <c r="K1622" s="4"/>
      <c r="L1622" s="10"/>
      <c r="M1622" s="54"/>
      <c r="N1622" s="12" t="s">
        <v>200</v>
      </c>
      <c r="O1622" s="12" t="s">
        <v>200</v>
      </c>
      <c r="P1622" s="13"/>
      <c r="Q1622" s="12"/>
      <c r="R1622" s="14"/>
      <c r="S1622" s="15"/>
      <c r="T1622" s="4" t="b">
        <v>0</v>
      </c>
    </row>
    <row r="1623">
      <c r="A1623" s="16"/>
      <c r="B1623" s="17"/>
      <c r="C1623" s="24"/>
      <c r="D1623" s="44"/>
      <c r="E1623" s="19"/>
      <c r="F1623" s="35"/>
      <c r="G1623" s="20">
        <v>1899.0</v>
      </c>
      <c r="H1623" s="21"/>
      <c r="I1623" s="21"/>
      <c r="J1623" s="21"/>
      <c r="K1623" s="16"/>
      <c r="L1623" s="22"/>
      <c r="M1623" s="55"/>
      <c r="N1623" s="23" t="s">
        <v>200</v>
      </c>
      <c r="O1623" s="23" t="s">
        <v>200</v>
      </c>
      <c r="P1623" s="24"/>
      <c r="Q1623" s="23"/>
      <c r="R1623" s="25"/>
      <c r="S1623" s="26"/>
      <c r="T1623" s="16" t="b">
        <v>0</v>
      </c>
    </row>
    <row r="1624">
      <c r="A1624" s="4"/>
      <c r="B1624" s="5"/>
      <c r="C1624" s="13"/>
      <c r="D1624" s="39"/>
      <c r="E1624" s="7"/>
      <c r="F1624" s="34"/>
      <c r="G1624" s="8">
        <v>1899.0</v>
      </c>
      <c r="H1624" s="9"/>
      <c r="I1624" s="9"/>
      <c r="J1624" s="9"/>
      <c r="K1624" s="4"/>
      <c r="L1624" s="10"/>
      <c r="M1624" s="54"/>
      <c r="N1624" s="12" t="s">
        <v>200</v>
      </c>
      <c r="O1624" s="12" t="s">
        <v>200</v>
      </c>
      <c r="P1624" s="13"/>
      <c r="Q1624" s="12"/>
      <c r="R1624" s="14"/>
      <c r="S1624" s="15"/>
      <c r="T1624" s="4" t="b">
        <v>0</v>
      </c>
    </row>
    <row r="1625">
      <c r="A1625" s="16"/>
      <c r="B1625" s="17"/>
      <c r="C1625" s="24"/>
      <c r="D1625" s="44"/>
      <c r="E1625" s="19"/>
      <c r="F1625" s="35"/>
      <c r="G1625" s="20">
        <v>1899.0</v>
      </c>
      <c r="H1625" s="21"/>
      <c r="I1625" s="21"/>
      <c r="J1625" s="21"/>
      <c r="K1625" s="16"/>
      <c r="L1625" s="22"/>
      <c r="M1625" s="55"/>
      <c r="N1625" s="23" t="s">
        <v>200</v>
      </c>
      <c r="O1625" s="23" t="s">
        <v>200</v>
      </c>
      <c r="P1625" s="24"/>
      <c r="Q1625" s="23"/>
      <c r="R1625" s="25"/>
      <c r="S1625" s="26"/>
      <c r="T1625" s="16" t="b">
        <v>0</v>
      </c>
    </row>
    <row r="1626">
      <c r="A1626" s="4"/>
      <c r="B1626" s="5"/>
      <c r="C1626" s="13"/>
      <c r="D1626" s="39"/>
      <c r="E1626" s="7"/>
      <c r="F1626" s="34"/>
      <c r="G1626" s="8">
        <v>1899.0</v>
      </c>
      <c r="H1626" s="9"/>
      <c r="I1626" s="9"/>
      <c r="J1626" s="9"/>
      <c r="K1626" s="4"/>
      <c r="L1626" s="10"/>
      <c r="M1626" s="54"/>
      <c r="N1626" s="12" t="s">
        <v>200</v>
      </c>
      <c r="O1626" s="12" t="s">
        <v>200</v>
      </c>
      <c r="P1626" s="13"/>
      <c r="Q1626" s="12"/>
      <c r="R1626" s="14"/>
      <c r="S1626" s="15"/>
      <c r="T1626" s="4" t="b">
        <v>0</v>
      </c>
    </row>
    <row r="1627">
      <c r="A1627" s="16"/>
      <c r="B1627" s="17"/>
      <c r="C1627" s="24"/>
      <c r="D1627" s="44"/>
      <c r="E1627" s="19"/>
      <c r="F1627" s="35"/>
      <c r="G1627" s="20">
        <v>1899.0</v>
      </c>
      <c r="H1627" s="21"/>
      <c r="I1627" s="21"/>
      <c r="J1627" s="21"/>
      <c r="K1627" s="16"/>
      <c r="L1627" s="22"/>
      <c r="M1627" s="55"/>
      <c r="N1627" s="23" t="s">
        <v>200</v>
      </c>
      <c r="O1627" s="23" t="s">
        <v>200</v>
      </c>
      <c r="P1627" s="24"/>
      <c r="Q1627" s="23"/>
      <c r="R1627" s="25"/>
      <c r="S1627" s="26"/>
      <c r="T1627" s="16" t="b">
        <v>0</v>
      </c>
    </row>
    <row r="1628">
      <c r="A1628" s="4"/>
      <c r="B1628" s="5"/>
      <c r="C1628" s="13"/>
      <c r="D1628" s="39"/>
      <c r="E1628" s="7"/>
      <c r="F1628" s="34"/>
      <c r="G1628" s="8">
        <v>1899.0</v>
      </c>
      <c r="H1628" s="9"/>
      <c r="I1628" s="9"/>
      <c r="J1628" s="9"/>
      <c r="K1628" s="4"/>
      <c r="L1628" s="10"/>
      <c r="M1628" s="54"/>
      <c r="N1628" s="12" t="s">
        <v>200</v>
      </c>
      <c r="O1628" s="12" t="s">
        <v>200</v>
      </c>
      <c r="P1628" s="13"/>
      <c r="Q1628" s="12"/>
      <c r="R1628" s="14"/>
      <c r="S1628" s="15"/>
      <c r="T1628" s="4" t="b">
        <v>0</v>
      </c>
    </row>
    <row r="1629">
      <c r="A1629" s="16"/>
      <c r="B1629" s="17"/>
      <c r="C1629" s="24"/>
      <c r="D1629" s="44"/>
      <c r="E1629" s="19"/>
      <c r="F1629" s="35"/>
      <c r="G1629" s="20">
        <v>1899.0</v>
      </c>
      <c r="H1629" s="21"/>
      <c r="I1629" s="21"/>
      <c r="J1629" s="21"/>
      <c r="K1629" s="16"/>
      <c r="L1629" s="22"/>
      <c r="M1629" s="55"/>
      <c r="N1629" s="23" t="s">
        <v>200</v>
      </c>
      <c r="O1629" s="23" t="s">
        <v>200</v>
      </c>
      <c r="P1629" s="24"/>
      <c r="Q1629" s="23"/>
      <c r="R1629" s="25"/>
      <c r="S1629" s="26"/>
      <c r="T1629" s="16" t="b">
        <v>0</v>
      </c>
    </row>
    <row r="1630">
      <c r="A1630" s="4"/>
      <c r="B1630" s="5"/>
      <c r="C1630" s="13"/>
      <c r="D1630" s="39"/>
      <c r="E1630" s="7"/>
      <c r="F1630" s="34"/>
      <c r="G1630" s="8">
        <v>1899.0</v>
      </c>
      <c r="H1630" s="9"/>
      <c r="I1630" s="9"/>
      <c r="J1630" s="9"/>
      <c r="K1630" s="4"/>
      <c r="L1630" s="10"/>
      <c r="M1630" s="54"/>
      <c r="N1630" s="12" t="s">
        <v>200</v>
      </c>
      <c r="O1630" s="12" t="s">
        <v>200</v>
      </c>
      <c r="P1630" s="13"/>
      <c r="Q1630" s="12"/>
      <c r="R1630" s="14"/>
      <c r="S1630" s="15"/>
      <c r="T1630" s="4" t="b">
        <v>0</v>
      </c>
    </row>
    <row r="1631">
      <c r="A1631" s="16"/>
      <c r="B1631" s="17"/>
      <c r="C1631" s="24"/>
      <c r="D1631" s="44"/>
      <c r="E1631" s="19"/>
      <c r="F1631" s="35"/>
      <c r="G1631" s="20">
        <v>1899.0</v>
      </c>
      <c r="H1631" s="21"/>
      <c r="I1631" s="21"/>
      <c r="J1631" s="21"/>
      <c r="K1631" s="16"/>
      <c r="L1631" s="22"/>
      <c r="M1631" s="55"/>
      <c r="N1631" s="23" t="s">
        <v>200</v>
      </c>
      <c r="O1631" s="23" t="s">
        <v>200</v>
      </c>
      <c r="P1631" s="24"/>
      <c r="Q1631" s="23"/>
      <c r="R1631" s="25"/>
      <c r="S1631" s="26"/>
      <c r="T1631" s="16" t="b">
        <v>0</v>
      </c>
    </row>
    <row r="1632">
      <c r="A1632" s="4"/>
      <c r="B1632" s="5"/>
      <c r="C1632" s="13"/>
      <c r="D1632" s="39"/>
      <c r="E1632" s="7"/>
      <c r="F1632" s="34"/>
      <c r="G1632" s="8">
        <v>1899.0</v>
      </c>
      <c r="H1632" s="9"/>
      <c r="I1632" s="9"/>
      <c r="J1632" s="9"/>
      <c r="K1632" s="4"/>
      <c r="L1632" s="10"/>
      <c r="M1632" s="54"/>
      <c r="N1632" s="12" t="s">
        <v>200</v>
      </c>
      <c r="O1632" s="12" t="s">
        <v>200</v>
      </c>
      <c r="P1632" s="13"/>
      <c r="Q1632" s="12"/>
      <c r="R1632" s="14"/>
      <c r="S1632" s="15"/>
      <c r="T1632" s="4" t="b">
        <v>0</v>
      </c>
    </row>
    <row r="1633">
      <c r="A1633" s="16"/>
      <c r="B1633" s="17"/>
      <c r="C1633" s="24"/>
      <c r="D1633" s="44"/>
      <c r="E1633" s="19"/>
      <c r="F1633" s="35"/>
      <c r="G1633" s="20">
        <v>1899.0</v>
      </c>
      <c r="H1633" s="21"/>
      <c r="I1633" s="21"/>
      <c r="J1633" s="21"/>
      <c r="K1633" s="16"/>
      <c r="L1633" s="22"/>
      <c r="M1633" s="55"/>
      <c r="N1633" s="23" t="s">
        <v>200</v>
      </c>
      <c r="O1633" s="23" t="s">
        <v>200</v>
      </c>
      <c r="P1633" s="24"/>
      <c r="Q1633" s="23"/>
      <c r="R1633" s="25"/>
      <c r="S1633" s="26"/>
      <c r="T1633" s="16" t="b">
        <v>0</v>
      </c>
    </row>
    <row r="1634">
      <c r="A1634" s="4"/>
      <c r="B1634" s="5"/>
      <c r="C1634" s="13"/>
      <c r="D1634" s="39"/>
      <c r="E1634" s="7"/>
      <c r="F1634" s="34"/>
      <c r="G1634" s="8">
        <v>1899.0</v>
      </c>
      <c r="H1634" s="9"/>
      <c r="I1634" s="9"/>
      <c r="J1634" s="9"/>
      <c r="K1634" s="4"/>
      <c r="L1634" s="10"/>
      <c r="M1634" s="54"/>
      <c r="N1634" s="12" t="s">
        <v>200</v>
      </c>
      <c r="O1634" s="12" t="s">
        <v>200</v>
      </c>
      <c r="P1634" s="13"/>
      <c r="Q1634" s="12"/>
      <c r="R1634" s="14"/>
      <c r="S1634" s="15"/>
      <c r="T1634" s="4" t="b">
        <v>0</v>
      </c>
    </row>
    <row r="1635">
      <c r="A1635" s="16"/>
      <c r="B1635" s="17"/>
      <c r="C1635" s="24"/>
      <c r="D1635" s="44"/>
      <c r="E1635" s="19"/>
      <c r="F1635" s="35"/>
      <c r="G1635" s="20">
        <v>1899.0</v>
      </c>
      <c r="H1635" s="21"/>
      <c r="I1635" s="21"/>
      <c r="J1635" s="21"/>
      <c r="K1635" s="16"/>
      <c r="L1635" s="22"/>
      <c r="M1635" s="55"/>
      <c r="N1635" s="23" t="s">
        <v>200</v>
      </c>
      <c r="O1635" s="23" t="s">
        <v>200</v>
      </c>
      <c r="P1635" s="24"/>
      <c r="Q1635" s="23"/>
      <c r="R1635" s="25"/>
      <c r="S1635" s="26"/>
      <c r="T1635" s="16" t="b">
        <v>0</v>
      </c>
    </row>
    <row r="1636">
      <c r="A1636" s="4"/>
      <c r="B1636" s="5"/>
      <c r="C1636" s="13"/>
      <c r="D1636" s="39"/>
      <c r="E1636" s="7"/>
      <c r="F1636" s="34"/>
      <c r="G1636" s="8">
        <v>1899.0</v>
      </c>
      <c r="H1636" s="9"/>
      <c r="I1636" s="9"/>
      <c r="J1636" s="9"/>
      <c r="K1636" s="4"/>
      <c r="L1636" s="10"/>
      <c r="M1636" s="54"/>
      <c r="N1636" s="12" t="s">
        <v>200</v>
      </c>
      <c r="O1636" s="12" t="s">
        <v>200</v>
      </c>
      <c r="P1636" s="13"/>
      <c r="Q1636" s="12"/>
      <c r="R1636" s="14"/>
      <c r="S1636" s="15"/>
      <c r="T1636" s="4" t="b">
        <v>0</v>
      </c>
    </row>
    <row r="1637">
      <c r="A1637" s="16"/>
      <c r="B1637" s="17"/>
      <c r="C1637" s="24"/>
      <c r="D1637" s="44"/>
      <c r="E1637" s="19"/>
      <c r="F1637" s="35"/>
      <c r="G1637" s="20">
        <v>1899.0</v>
      </c>
      <c r="H1637" s="21"/>
      <c r="I1637" s="21"/>
      <c r="J1637" s="21"/>
      <c r="K1637" s="16"/>
      <c r="L1637" s="22"/>
      <c r="M1637" s="55"/>
      <c r="N1637" s="23" t="s">
        <v>200</v>
      </c>
      <c r="O1637" s="23" t="s">
        <v>200</v>
      </c>
      <c r="P1637" s="24"/>
      <c r="Q1637" s="23"/>
      <c r="R1637" s="25"/>
      <c r="S1637" s="26"/>
      <c r="T1637" s="16" t="b">
        <v>0</v>
      </c>
    </row>
    <row r="1638">
      <c r="A1638" s="4"/>
      <c r="B1638" s="5"/>
      <c r="C1638" s="13"/>
      <c r="D1638" s="39"/>
      <c r="E1638" s="7"/>
      <c r="F1638" s="34"/>
      <c r="G1638" s="8">
        <v>1899.0</v>
      </c>
      <c r="H1638" s="9"/>
      <c r="I1638" s="9"/>
      <c r="J1638" s="9"/>
      <c r="K1638" s="4"/>
      <c r="L1638" s="10"/>
      <c r="M1638" s="54"/>
      <c r="N1638" s="12" t="s">
        <v>200</v>
      </c>
      <c r="O1638" s="12" t="s">
        <v>200</v>
      </c>
      <c r="P1638" s="13"/>
      <c r="Q1638" s="12"/>
      <c r="R1638" s="14"/>
      <c r="S1638" s="15"/>
      <c r="T1638" s="4" t="b">
        <v>0</v>
      </c>
    </row>
    <row r="1639">
      <c r="A1639" s="16"/>
      <c r="B1639" s="17"/>
      <c r="C1639" s="24"/>
      <c r="D1639" s="44"/>
      <c r="E1639" s="19"/>
      <c r="F1639" s="35"/>
      <c r="G1639" s="20">
        <v>1899.0</v>
      </c>
      <c r="H1639" s="21"/>
      <c r="I1639" s="21"/>
      <c r="J1639" s="21"/>
      <c r="K1639" s="16"/>
      <c r="L1639" s="22"/>
      <c r="M1639" s="55"/>
      <c r="N1639" s="23" t="s">
        <v>200</v>
      </c>
      <c r="O1639" s="23" t="s">
        <v>200</v>
      </c>
      <c r="P1639" s="24"/>
      <c r="Q1639" s="23"/>
      <c r="R1639" s="25"/>
      <c r="S1639" s="26"/>
      <c r="T1639" s="16" t="b">
        <v>0</v>
      </c>
    </row>
    <row r="1640">
      <c r="A1640" s="4"/>
      <c r="B1640" s="5"/>
      <c r="C1640" s="13"/>
      <c r="D1640" s="39"/>
      <c r="E1640" s="7"/>
      <c r="F1640" s="34"/>
      <c r="G1640" s="8">
        <v>1899.0</v>
      </c>
      <c r="H1640" s="9"/>
      <c r="I1640" s="9"/>
      <c r="J1640" s="9"/>
      <c r="K1640" s="4"/>
      <c r="L1640" s="10"/>
      <c r="M1640" s="54"/>
      <c r="N1640" s="12" t="s">
        <v>200</v>
      </c>
      <c r="O1640" s="12" t="s">
        <v>200</v>
      </c>
      <c r="P1640" s="13"/>
      <c r="Q1640" s="12"/>
      <c r="R1640" s="14"/>
      <c r="S1640" s="15"/>
      <c r="T1640" s="4" t="b">
        <v>0</v>
      </c>
    </row>
    <row r="1641">
      <c r="A1641" s="16"/>
      <c r="B1641" s="17"/>
      <c r="C1641" s="24"/>
      <c r="D1641" s="44"/>
      <c r="E1641" s="19"/>
      <c r="F1641" s="35"/>
      <c r="G1641" s="20">
        <v>1899.0</v>
      </c>
      <c r="H1641" s="21"/>
      <c r="I1641" s="21"/>
      <c r="J1641" s="21"/>
      <c r="K1641" s="16"/>
      <c r="L1641" s="22"/>
      <c r="M1641" s="55"/>
      <c r="N1641" s="23" t="s">
        <v>200</v>
      </c>
      <c r="O1641" s="23" t="s">
        <v>200</v>
      </c>
      <c r="P1641" s="24"/>
      <c r="Q1641" s="23"/>
      <c r="R1641" s="25"/>
      <c r="S1641" s="26"/>
      <c r="T1641" s="16" t="b">
        <v>0</v>
      </c>
    </row>
    <row r="1642">
      <c r="A1642" s="4"/>
      <c r="B1642" s="5"/>
      <c r="C1642" s="13"/>
      <c r="D1642" s="39"/>
      <c r="E1642" s="7"/>
      <c r="F1642" s="34"/>
      <c r="G1642" s="8">
        <v>1899.0</v>
      </c>
      <c r="H1642" s="9"/>
      <c r="I1642" s="9"/>
      <c r="J1642" s="9"/>
      <c r="K1642" s="4"/>
      <c r="L1642" s="10"/>
      <c r="M1642" s="54"/>
      <c r="N1642" s="12" t="s">
        <v>200</v>
      </c>
      <c r="O1642" s="12" t="s">
        <v>200</v>
      </c>
      <c r="P1642" s="13"/>
      <c r="Q1642" s="12"/>
      <c r="R1642" s="14"/>
      <c r="S1642" s="15"/>
      <c r="T1642" s="4" t="b">
        <v>0</v>
      </c>
    </row>
    <row r="1643">
      <c r="A1643" s="16"/>
      <c r="B1643" s="17"/>
      <c r="C1643" s="24"/>
      <c r="D1643" s="44"/>
      <c r="E1643" s="19"/>
      <c r="F1643" s="35"/>
      <c r="G1643" s="20">
        <v>1899.0</v>
      </c>
      <c r="H1643" s="21"/>
      <c r="I1643" s="21"/>
      <c r="J1643" s="21"/>
      <c r="K1643" s="16"/>
      <c r="L1643" s="22"/>
      <c r="M1643" s="55"/>
      <c r="N1643" s="23" t="s">
        <v>200</v>
      </c>
      <c r="O1643" s="23" t="s">
        <v>200</v>
      </c>
      <c r="P1643" s="24"/>
      <c r="Q1643" s="23"/>
      <c r="R1643" s="25"/>
      <c r="S1643" s="26"/>
      <c r="T1643" s="16" t="b">
        <v>0</v>
      </c>
    </row>
    <row r="1644">
      <c r="A1644" s="4"/>
      <c r="B1644" s="5"/>
      <c r="C1644" s="13"/>
      <c r="D1644" s="39"/>
      <c r="E1644" s="7"/>
      <c r="F1644" s="34"/>
      <c r="G1644" s="8">
        <v>1899.0</v>
      </c>
      <c r="H1644" s="9"/>
      <c r="I1644" s="9"/>
      <c r="J1644" s="9"/>
      <c r="K1644" s="4"/>
      <c r="L1644" s="10"/>
      <c r="M1644" s="54"/>
      <c r="N1644" s="12" t="s">
        <v>200</v>
      </c>
      <c r="O1644" s="12" t="s">
        <v>200</v>
      </c>
      <c r="P1644" s="13"/>
      <c r="Q1644" s="12"/>
      <c r="R1644" s="14"/>
      <c r="S1644" s="15"/>
      <c r="T1644" s="4" t="b">
        <v>0</v>
      </c>
    </row>
    <row r="1645">
      <c r="A1645" s="16"/>
      <c r="B1645" s="17"/>
      <c r="C1645" s="24"/>
      <c r="D1645" s="44"/>
      <c r="E1645" s="19"/>
      <c r="F1645" s="35"/>
      <c r="G1645" s="20">
        <v>1899.0</v>
      </c>
      <c r="H1645" s="21"/>
      <c r="I1645" s="21"/>
      <c r="J1645" s="21"/>
      <c r="K1645" s="16"/>
      <c r="L1645" s="22"/>
      <c r="M1645" s="55"/>
      <c r="N1645" s="23" t="s">
        <v>200</v>
      </c>
      <c r="O1645" s="23" t="s">
        <v>200</v>
      </c>
      <c r="P1645" s="24"/>
      <c r="Q1645" s="23"/>
      <c r="R1645" s="25"/>
      <c r="S1645" s="26"/>
      <c r="T1645" s="16" t="b">
        <v>0</v>
      </c>
    </row>
    <row r="1646">
      <c r="A1646" s="4"/>
      <c r="B1646" s="5"/>
      <c r="C1646" s="13"/>
      <c r="D1646" s="39"/>
      <c r="E1646" s="7"/>
      <c r="F1646" s="34"/>
      <c r="G1646" s="8">
        <v>1899.0</v>
      </c>
      <c r="H1646" s="9"/>
      <c r="I1646" s="9"/>
      <c r="J1646" s="9"/>
      <c r="K1646" s="4"/>
      <c r="L1646" s="10"/>
      <c r="M1646" s="54"/>
      <c r="N1646" s="12" t="s">
        <v>200</v>
      </c>
      <c r="O1646" s="12" t="s">
        <v>200</v>
      </c>
      <c r="P1646" s="13"/>
      <c r="Q1646" s="12"/>
      <c r="R1646" s="14"/>
      <c r="S1646" s="15"/>
      <c r="T1646" s="4" t="b">
        <v>0</v>
      </c>
    </row>
    <row r="1647">
      <c r="A1647" s="16"/>
      <c r="B1647" s="17"/>
      <c r="C1647" s="24"/>
      <c r="D1647" s="44"/>
      <c r="E1647" s="19"/>
      <c r="F1647" s="35"/>
      <c r="G1647" s="20">
        <v>1899.0</v>
      </c>
      <c r="H1647" s="21"/>
      <c r="I1647" s="21"/>
      <c r="J1647" s="21"/>
      <c r="K1647" s="16"/>
      <c r="L1647" s="22"/>
      <c r="M1647" s="55"/>
      <c r="N1647" s="23" t="s">
        <v>200</v>
      </c>
      <c r="O1647" s="23" t="s">
        <v>200</v>
      </c>
      <c r="P1647" s="24"/>
      <c r="Q1647" s="23"/>
      <c r="R1647" s="25"/>
      <c r="S1647" s="26"/>
      <c r="T1647" s="16" t="b">
        <v>0</v>
      </c>
    </row>
    <row r="1648">
      <c r="A1648" s="4"/>
      <c r="B1648" s="5"/>
      <c r="C1648" s="13"/>
      <c r="D1648" s="39"/>
      <c r="E1648" s="7"/>
      <c r="F1648" s="34"/>
      <c r="G1648" s="8">
        <v>1899.0</v>
      </c>
      <c r="H1648" s="9"/>
      <c r="I1648" s="9"/>
      <c r="J1648" s="9"/>
      <c r="K1648" s="4"/>
      <c r="L1648" s="10"/>
      <c r="M1648" s="54"/>
      <c r="N1648" s="12" t="s">
        <v>200</v>
      </c>
      <c r="O1648" s="12" t="s">
        <v>200</v>
      </c>
      <c r="P1648" s="13"/>
      <c r="Q1648" s="12"/>
      <c r="R1648" s="14"/>
      <c r="S1648" s="15"/>
      <c r="T1648" s="4" t="b">
        <v>0</v>
      </c>
    </row>
    <row r="1649">
      <c r="A1649" s="16"/>
      <c r="B1649" s="17"/>
      <c r="C1649" s="24"/>
      <c r="D1649" s="44"/>
      <c r="E1649" s="19"/>
      <c r="F1649" s="35"/>
      <c r="G1649" s="20">
        <v>1899.0</v>
      </c>
      <c r="H1649" s="21"/>
      <c r="I1649" s="21"/>
      <c r="J1649" s="21"/>
      <c r="K1649" s="16"/>
      <c r="L1649" s="22"/>
      <c r="M1649" s="55"/>
      <c r="N1649" s="23" t="s">
        <v>200</v>
      </c>
      <c r="O1649" s="23" t="s">
        <v>200</v>
      </c>
      <c r="P1649" s="24"/>
      <c r="Q1649" s="23"/>
      <c r="R1649" s="25"/>
      <c r="S1649" s="26"/>
      <c r="T1649" s="16" t="b">
        <v>0</v>
      </c>
    </row>
    <row r="1650">
      <c r="A1650" s="4"/>
      <c r="B1650" s="5"/>
      <c r="C1650" s="13"/>
      <c r="D1650" s="39"/>
      <c r="E1650" s="7"/>
      <c r="F1650" s="34"/>
      <c r="G1650" s="8">
        <v>1899.0</v>
      </c>
      <c r="H1650" s="9"/>
      <c r="I1650" s="9"/>
      <c r="J1650" s="9"/>
      <c r="K1650" s="4"/>
      <c r="L1650" s="10"/>
      <c r="M1650" s="54"/>
      <c r="N1650" s="12" t="s">
        <v>200</v>
      </c>
      <c r="O1650" s="12" t="s">
        <v>200</v>
      </c>
      <c r="P1650" s="13"/>
      <c r="Q1650" s="12"/>
      <c r="R1650" s="14"/>
      <c r="S1650" s="15"/>
      <c r="T1650" s="4" t="b">
        <v>0</v>
      </c>
    </row>
    <row r="1651">
      <c r="A1651" s="16"/>
      <c r="B1651" s="17"/>
      <c r="C1651" s="24"/>
      <c r="D1651" s="44"/>
      <c r="E1651" s="19"/>
      <c r="F1651" s="35"/>
      <c r="G1651" s="20">
        <v>1899.0</v>
      </c>
      <c r="H1651" s="21"/>
      <c r="I1651" s="21"/>
      <c r="J1651" s="21"/>
      <c r="K1651" s="16"/>
      <c r="L1651" s="22"/>
      <c r="M1651" s="55"/>
      <c r="N1651" s="23" t="s">
        <v>200</v>
      </c>
      <c r="O1651" s="23" t="s">
        <v>200</v>
      </c>
      <c r="P1651" s="24"/>
      <c r="Q1651" s="23"/>
      <c r="R1651" s="25"/>
      <c r="S1651" s="26"/>
      <c r="T1651" s="16" t="b">
        <v>0</v>
      </c>
    </row>
    <row r="1652">
      <c r="A1652" s="4"/>
      <c r="B1652" s="5"/>
      <c r="C1652" s="13"/>
      <c r="D1652" s="39"/>
      <c r="E1652" s="7"/>
      <c r="F1652" s="34"/>
      <c r="G1652" s="8">
        <v>1899.0</v>
      </c>
      <c r="H1652" s="9"/>
      <c r="I1652" s="9"/>
      <c r="J1652" s="9"/>
      <c r="K1652" s="4"/>
      <c r="L1652" s="10"/>
      <c r="M1652" s="54"/>
      <c r="N1652" s="12" t="s">
        <v>200</v>
      </c>
      <c r="O1652" s="12" t="s">
        <v>200</v>
      </c>
      <c r="P1652" s="13"/>
      <c r="Q1652" s="12"/>
      <c r="R1652" s="14"/>
      <c r="S1652" s="15"/>
      <c r="T1652" s="4" t="b">
        <v>0</v>
      </c>
    </row>
    <row r="1653">
      <c r="A1653" s="16"/>
      <c r="B1653" s="17"/>
      <c r="C1653" s="24"/>
      <c r="D1653" s="44"/>
      <c r="E1653" s="19"/>
      <c r="F1653" s="35"/>
      <c r="G1653" s="20">
        <v>1899.0</v>
      </c>
      <c r="H1653" s="21"/>
      <c r="I1653" s="21"/>
      <c r="J1653" s="21"/>
      <c r="K1653" s="16"/>
      <c r="L1653" s="22"/>
      <c r="M1653" s="55"/>
      <c r="N1653" s="23" t="s">
        <v>200</v>
      </c>
      <c r="O1653" s="23" t="s">
        <v>200</v>
      </c>
      <c r="P1653" s="24"/>
      <c r="Q1653" s="23"/>
      <c r="R1653" s="25"/>
      <c r="S1653" s="26"/>
      <c r="T1653" s="16" t="b">
        <v>0</v>
      </c>
    </row>
    <row r="1654">
      <c r="A1654" s="4"/>
      <c r="B1654" s="5"/>
      <c r="C1654" s="13"/>
      <c r="D1654" s="39"/>
      <c r="E1654" s="7"/>
      <c r="F1654" s="34"/>
      <c r="G1654" s="8">
        <v>1899.0</v>
      </c>
      <c r="H1654" s="9"/>
      <c r="I1654" s="9"/>
      <c r="J1654" s="9"/>
      <c r="K1654" s="4"/>
      <c r="L1654" s="10"/>
      <c r="M1654" s="54"/>
      <c r="N1654" s="12" t="s">
        <v>200</v>
      </c>
      <c r="O1654" s="12" t="s">
        <v>200</v>
      </c>
      <c r="P1654" s="13"/>
      <c r="Q1654" s="12"/>
      <c r="R1654" s="14"/>
      <c r="S1654" s="15"/>
      <c r="T1654" s="4" t="b">
        <v>0</v>
      </c>
    </row>
    <row r="1655">
      <c r="A1655" s="16"/>
      <c r="B1655" s="17"/>
      <c r="C1655" s="24"/>
      <c r="D1655" s="44"/>
      <c r="E1655" s="19"/>
      <c r="F1655" s="35"/>
      <c r="G1655" s="20">
        <v>1899.0</v>
      </c>
      <c r="H1655" s="21"/>
      <c r="I1655" s="21"/>
      <c r="J1655" s="21"/>
      <c r="K1655" s="16"/>
      <c r="L1655" s="22"/>
      <c r="M1655" s="55"/>
      <c r="N1655" s="23" t="s">
        <v>200</v>
      </c>
      <c r="O1655" s="23" t="s">
        <v>200</v>
      </c>
      <c r="P1655" s="24"/>
      <c r="Q1655" s="23"/>
      <c r="R1655" s="25"/>
      <c r="S1655" s="26"/>
      <c r="T1655" s="16" t="b">
        <v>0</v>
      </c>
    </row>
    <row r="1656">
      <c r="A1656" s="4"/>
      <c r="B1656" s="5"/>
      <c r="C1656" s="13"/>
      <c r="D1656" s="39"/>
      <c r="E1656" s="7"/>
      <c r="F1656" s="34"/>
      <c r="G1656" s="8">
        <v>1899.0</v>
      </c>
      <c r="H1656" s="9"/>
      <c r="I1656" s="9"/>
      <c r="J1656" s="9"/>
      <c r="K1656" s="4"/>
      <c r="L1656" s="10"/>
      <c r="M1656" s="54"/>
      <c r="N1656" s="12" t="s">
        <v>200</v>
      </c>
      <c r="O1656" s="12" t="s">
        <v>200</v>
      </c>
      <c r="P1656" s="13"/>
      <c r="Q1656" s="12"/>
      <c r="R1656" s="14"/>
      <c r="S1656" s="15"/>
      <c r="T1656" s="4" t="b">
        <v>0</v>
      </c>
    </row>
    <row r="1657">
      <c r="A1657" s="16"/>
      <c r="B1657" s="17"/>
      <c r="C1657" s="24"/>
      <c r="D1657" s="44"/>
      <c r="E1657" s="19"/>
      <c r="F1657" s="35"/>
      <c r="G1657" s="20">
        <v>1899.0</v>
      </c>
      <c r="H1657" s="21"/>
      <c r="I1657" s="21"/>
      <c r="J1657" s="21"/>
      <c r="K1657" s="16"/>
      <c r="L1657" s="22"/>
      <c r="M1657" s="55"/>
      <c r="N1657" s="23" t="s">
        <v>200</v>
      </c>
      <c r="O1657" s="23" t="s">
        <v>200</v>
      </c>
      <c r="P1657" s="24"/>
      <c r="Q1657" s="23"/>
      <c r="R1657" s="25"/>
      <c r="S1657" s="26"/>
      <c r="T1657" s="16" t="b">
        <v>0</v>
      </c>
    </row>
    <row r="1658">
      <c r="A1658" s="4"/>
      <c r="B1658" s="5"/>
      <c r="C1658" s="13"/>
      <c r="D1658" s="39"/>
      <c r="E1658" s="7"/>
      <c r="F1658" s="34"/>
      <c r="G1658" s="8">
        <v>1899.0</v>
      </c>
      <c r="H1658" s="9"/>
      <c r="I1658" s="9"/>
      <c r="J1658" s="9"/>
      <c r="K1658" s="4"/>
      <c r="L1658" s="10"/>
      <c r="M1658" s="54"/>
      <c r="N1658" s="12" t="s">
        <v>200</v>
      </c>
      <c r="O1658" s="12" t="s">
        <v>200</v>
      </c>
      <c r="P1658" s="13"/>
      <c r="Q1658" s="12"/>
      <c r="R1658" s="14"/>
      <c r="S1658" s="15"/>
      <c r="T1658" s="4" t="b">
        <v>0</v>
      </c>
    </row>
    <row r="1659">
      <c r="A1659" s="16"/>
      <c r="B1659" s="17"/>
      <c r="C1659" s="24"/>
      <c r="D1659" s="44"/>
      <c r="E1659" s="19"/>
      <c r="F1659" s="35"/>
      <c r="G1659" s="20">
        <v>1899.0</v>
      </c>
      <c r="H1659" s="21"/>
      <c r="I1659" s="21"/>
      <c r="J1659" s="21"/>
      <c r="K1659" s="16"/>
      <c r="L1659" s="22"/>
      <c r="M1659" s="55"/>
      <c r="N1659" s="23" t="s">
        <v>200</v>
      </c>
      <c r="O1659" s="23" t="s">
        <v>200</v>
      </c>
      <c r="P1659" s="24"/>
      <c r="Q1659" s="23"/>
      <c r="R1659" s="25"/>
      <c r="S1659" s="26"/>
      <c r="T1659" s="16" t="b">
        <v>0</v>
      </c>
    </row>
    <row r="1660">
      <c r="A1660" s="4"/>
      <c r="B1660" s="5"/>
      <c r="C1660" s="13"/>
      <c r="D1660" s="39"/>
      <c r="E1660" s="7"/>
      <c r="F1660" s="34"/>
      <c r="G1660" s="8">
        <v>1899.0</v>
      </c>
      <c r="H1660" s="9"/>
      <c r="I1660" s="9"/>
      <c r="J1660" s="9"/>
      <c r="K1660" s="4"/>
      <c r="L1660" s="10"/>
      <c r="M1660" s="54"/>
      <c r="N1660" s="12" t="s">
        <v>200</v>
      </c>
      <c r="O1660" s="12" t="s">
        <v>200</v>
      </c>
      <c r="P1660" s="13"/>
      <c r="Q1660" s="12"/>
      <c r="R1660" s="14"/>
      <c r="S1660" s="15"/>
      <c r="T1660" s="4" t="b">
        <v>0</v>
      </c>
    </row>
    <row r="1661">
      <c r="A1661" s="16"/>
      <c r="B1661" s="17"/>
      <c r="C1661" s="24"/>
      <c r="D1661" s="44"/>
      <c r="E1661" s="19"/>
      <c r="F1661" s="35"/>
      <c r="G1661" s="20">
        <v>1899.0</v>
      </c>
      <c r="H1661" s="21"/>
      <c r="I1661" s="21"/>
      <c r="J1661" s="21"/>
      <c r="K1661" s="16"/>
      <c r="L1661" s="22"/>
      <c r="M1661" s="55"/>
      <c r="N1661" s="23" t="s">
        <v>200</v>
      </c>
      <c r="O1661" s="23" t="s">
        <v>200</v>
      </c>
      <c r="P1661" s="24"/>
      <c r="Q1661" s="23"/>
      <c r="R1661" s="25"/>
      <c r="S1661" s="26"/>
      <c r="T1661" s="16" t="b">
        <v>0</v>
      </c>
    </row>
    <row r="1662">
      <c r="A1662" s="4"/>
      <c r="B1662" s="5"/>
      <c r="C1662" s="13"/>
      <c r="D1662" s="39"/>
      <c r="E1662" s="7"/>
      <c r="F1662" s="34"/>
      <c r="G1662" s="8">
        <v>1899.0</v>
      </c>
      <c r="H1662" s="9"/>
      <c r="I1662" s="9"/>
      <c r="J1662" s="9"/>
      <c r="K1662" s="4"/>
      <c r="L1662" s="10"/>
      <c r="M1662" s="54"/>
      <c r="N1662" s="12" t="s">
        <v>200</v>
      </c>
      <c r="O1662" s="12" t="s">
        <v>200</v>
      </c>
      <c r="P1662" s="13"/>
      <c r="Q1662" s="12"/>
      <c r="R1662" s="14"/>
      <c r="S1662" s="15"/>
      <c r="T1662" s="4" t="b">
        <v>0</v>
      </c>
    </row>
    <row r="1663">
      <c r="A1663" s="16"/>
      <c r="B1663" s="17"/>
      <c r="C1663" s="24"/>
      <c r="D1663" s="44"/>
      <c r="E1663" s="19"/>
      <c r="F1663" s="35"/>
      <c r="G1663" s="20">
        <v>1899.0</v>
      </c>
      <c r="H1663" s="21"/>
      <c r="I1663" s="21"/>
      <c r="J1663" s="21"/>
      <c r="K1663" s="16"/>
      <c r="L1663" s="22"/>
      <c r="M1663" s="55"/>
      <c r="N1663" s="23" t="s">
        <v>200</v>
      </c>
      <c r="O1663" s="23" t="s">
        <v>200</v>
      </c>
      <c r="P1663" s="24"/>
      <c r="Q1663" s="23"/>
      <c r="R1663" s="25"/>
      <c r="S1663" s="26"/>
      <c r="T1663" s="16" t="b">
        <v>0</v>
      </c>
    </row>
    <row r="1664">
      <c r="A1664" s="4"/>
      <c r="B1664" s="5"/>
      <c r="C1664" s="13"/>
      <c r="D1664" s="39"/>
      <c r="E1664" s="7"/>
      <c r="F1664" s="34"/>
      <c r="G1664" s="8">
        <v>1899.0</v>
      </c>
      <c r="H1664" s="9"/>
      <c r="I1664" s="9"/>
      <c r="J1664" s="9"/>
      <c r="K1664" s="4"/>
      <c r="L1664" s="10"/>
      <c r="M1664" s="54"/>
      <c r="N1664" s="12" t="s">
        <v>200</v>
      </c>
      <c r="O1664" s="12" t="s">
        <v>200</v>
      </c>
      <c r="P1664" s="13"/>
      <c r="Q1664" s="12"/>
      <c r="R1664" s="14"/>
      <c r="S1664" s="15"/>
      <c r="T1664" s="4" t="b">
        <v>0</v>
      </c>
    </row>
    <row r="1665">
      <c r="A1665" s="16"/>
      <c r="B1665" s="17"/>
      <c r="C1665" s="24"/>
      <c r="D1665" s="44"/>
      <c r="E1665" s="19"/>
      <c r="F1665" s="35"/>
      <c r="G1665" s="20">
        <v>1899.0</v>
      </c>
      <c r="H1665" s="21"/>
      <c r="I1665" s="21"/>
      <c r="J1665" s="21"/>
      <c r="K1665" s="16"/>
      <c r="L1665" s="22"/>
      <c r="M1665" s="55"/>
      <c r="N1665" s="23" t="s">
        <v>200</v>
      </c>
      <c r="O1665" s="23" t="s">
        <v>200</v>
      </c>
      <c r="P1665" s="24"/>
      <c r="Q1665" s="23"/>
      <c r="R1665" s="25"/>
      <c r="S1665" s="26"/>
      <c r="T1665" s="16" t="b">
        <v>0</v>
      </c>
    </row>
    <row r="1666">
      <c r="A1666" s="4"/>
      <c r="B1666" s="5"/>
      <c r="C1666" s="13"/>
      <c r="D1666" s="39"/>
      <c r="E1666" s="7"/>
      <c r="F1666" s="34"/>
      <c r="G1666" s="8">
        <v>1899.0</v>
      </c>
      <c r="H1666" s="9"/>
      <c r="I1666" s="9"/>
      <c r="J1666" s="9"/>
      <c r="K1666" s="4"/>
      <c r="L1666" s="10"/>
      <c r="M1666" s="54"/>
      <c r="N1666" s="12" t="s">
        <v>200</v>
      </c>
      <c r="O1666" s="12" t="s">
        <v>200</v>
      </c>
      <c r="P1666" s="13"/>
      <c r="Q1666" s="12"/>
      <c r="R1666" s="14"/>
      <c r="S1666" s="15"/>
      <c r="T1666" s="4" t="b">
        <v>0</v>
      </c>
    </row>
    <row r="1667">
      <c r="A1667" s="16"/>
      <c r="B1667" s="17"/>
      <c r="C1667" s="24"/>
      <c r="D1667" s="44"/>
      <c r="E1667" s="19"/>
      <c r="F1667" s="35"/>
      <c r="G1667" s="20">
        <v>1899.0</v>
      </c>
      <c r="H1667" s="21"/>
      <c r="I1667" s="21"/>
      <c r="J1667" s="21"/>
      <c r="K1667" s="16"/>
      <c r="L1667" s="22"/>
      <c r="M1667" s="55"/>
      <c r="N1667" s="23" t="s">
        <v>200</v>
      </c>
      <c r="O1667" s="23" t="s">
        <v>200</v>
      </c>
      <c r="P1667" s="24"/>
      <c r="Q1667" s="23"/>
      <c r="R1667" s="25"/>
      <c r="S1667" s="26"/>
      <c r="T1667" s="16" t="b">
        <v>0</v>
      </c>
    </row>
    <row r="1668">
      <c r="A1668" s="4"/>
      <c r="B1668" s="5"/>
      <c r="C1668" s="13"/>
      <c r="D1668" s="39"/>
      <c r="E1668" s="7"/>
      <c r="F1668" s="34"/>
      <c r="G1668" s="8">
        <v>1899.0</v>
      </c>
      <c r="H1668" s="9"/>
      <c r="I1668" s="9"/>
      <c r="J1668" s="9"/>
      <c r="K1668" s="4"/>
      <c r="L1668" s="10"/>
      <c r="M1668" s="54"/>
      <c r="N1668" s="12" t="s">
        <v>200</v>
      </c>
      <c r="O1668" s="12" t="s">
        <v>200</v>
      </c>
      <c r="P1668" s="13"/>
      <c r="Q1668" s="12"/>
      <c r="R1668" s="14"/>
      <c r="S1668" s="15"/>
      <c r="T1668" s="4" t="b">
        <v>0</v>
      </c>
    </row>
    <row r="1669">
      <c r="A1669" s="16"/>
      <c r="B1669" s="17"/>
      <c r="C1669" s="24"/>
      <c r="D1669" s="44"/>
      <c r="E1669" s="19"/>
      <c r="F1669" s="35"/>
      <c r="G1669" s="20">
        <v>1899.0</v>
      </c>
      <c r="H1669" s="21"/>
      <c r="I1669" s="21"/>
      <c r="J1669" s="21"/>
      <c r="K1669" s="16"/>
      <c r="L1669" s="22"/>
      <c r="M1669" s="55"/>
      <c r="N1669" s="23" t="s">
        <v>200</v>
      </c>
      <c r="O1669" s="23" t="s">
        <v>200</v>
      </c>
      <c r="P1669" s="24"/>
      <c r="Q1669" s="23"/>
      <c r="R1669" s="25"/>
      <c r="S1669" s="26"/>
      <c r="T1669" s="16" t="b">
        <v>0</v>
      </c>
    </row>
    <row r="1670">
      <c r="A1670" s="4"/>
      <c r="B1670" s="5"/>
      <c r="C1670" s="13"/>
      <c r="D1670" s="39"/>
      <c r="E1670" s="7"/>
      <c r="F1670" s="34"/>
      <c r="G1670" s="8">
        <v>1899.0</v>
      </c>
      <c r="H1670" s="9"/>
      <c r="I1670" s="9"/>
      <c r="J1670" s="9"/>
      <c r="K1670" s="4"/>
      <c r="L1670" s="10"/>
      <c r="M1670" s="54"/>
      <c r="N1670" s="12" t="s">
        <v>200</v>
      </c>
      <c r="O1670" s="12" t="s">
        <v>200</v>
      </c>
      <c r="P1670" s="13"/>
      <c r="Q1670" s="12"/>
      <c r="R1670" s="14"/>
      <c r="S1670" s="15"/>
      <c r="T1670" s="4" t="b">
        <v>0</v>
      </c>
    </row>
    <row r="1671">
      <c r="A1671" s="16"/>
      <c r="B1671" s="17"/>
      <c r="C1671" s="24"/>
      <c r="D1671" s="44"/>
      <c r="E1671" s="19"/>
      <c r="F1671" s="35"/>
      <c r="G1671" s="20">
        <v>1899.0</v>
      </c>
      <c r="H1671" s="21"/>
      <c r="I1671" s="21"/>
      <c r="J1671" s="21"/>
      <c r="K1671" s="16"/>
      <c r="L1671" s="22"/>
      <c r="M1671" s="55"/>
      <c r="N1671" s="23" t="s">
        <v>200</v>
      </c>
      <c r="O1671" s="23" t="s">
        <v>200</v>
      </c>
      <c r="P1671" s="24"/>
      <c r="Q1671" s="23"/>
      <c r="R1671" s="25"/>
      <c r="S1671" s="26"/>
      <c r="T1671" s="16" t="b">
        <v>0</v>
      </c>
    </row>
    <row r="1672">
      <c r="A1672" s="4"/>
      <c r="B1672" s="5"/>
      <c r="C1672" s="13"/>
      <c r="D1672" s="39"/>
      <c r="E1672" s="7"/>
      <c r="F1672" s="34"/>
      <c r="G1672" s="8">
        <v>1899.0</v>
      </c>
      <c r="H1672" s="9"/>
      <c r="I1672" s="9"/>
      <c r="J1672" s="9"/>
      <c r="K1672" s="4"/>
      <c r="L1672" s="10"/>
      <c r="M1672" s="54"/>
      <c r="N1672" s="12" t="s">
        <v>200</v>
      </c>
      <c r="O1672" s="12" t="s">
        <v>200</v>
      </c>
      <c r="P1672" s="13"/>
      <c r="Q1672" s="12"/>
      <c r="R1672" s="14"/>
      <c r="S1672" s="15"/>
      <c r="T1672" s="4" t="b">
        <v>0</v>
      </c>
    </row>
    <row r="1673">
      <c r="A1673" s="16"/>
      <c r="B1673" s="17"/>
      <c r="C1673" s="24"/>
      <c r="D1673" s="44"/>
      <c r="E1673" s="19"/>
      <c r="F1673" s="35"/>
      <c r="G1673" s="20">
        <v>1899.0</v>
      </c>
      <c r="H1673" s="21"/>
      <c r="I1673" s="21"/>
      <c r="J1673" s="21"/>
      <c r="K1673" s="16"/>
      <c r="L1673" s="22"/>
      <c r="M1673" s="55"/>
      <c r="N1673" s="23" t="s">
        <v>200</v>
      </c>
      <c r="O1673" s="23" t="s">
        <v>200</v>
      </c>
      <c r="P1673" s="24"/>
      <c r="Q1673" s="23"/>
      <c r="R1673" s="25"/>
      <c r="S1673" s="26"/>
      <c r="T1673" s="16" t="b">
        <v>0</v>
      </c>
    </row>
    <row r="1674">
      <c r="A1674" s="4"/>
      <c r="B1674" s="5"/>
      <c r="C1674" s="13"/>
      <c r="D1674" s="39"/>
      <c r="E1674" s="7"/>
      <c r="F1674" s="34"/>
      <c r="G1674" s="8">
        <v>1899.0</v>
      </c>
      <c r="H1674" s="9"/>
      <c r="I1674" s="9"/>
      <c r="J1674" s="9"/>
      <c r="K1674" s="4"/>
      <c r="L1674" s="10"/>
      <c r="M1674" s="54"/>
      <c r="N1674" s="12" t="s">
        <v>200</v>
      </c>
      <c r="O1674" s="12" t="s">
        <v>200</v>
      </c>
      <c r="P1674" s="13"/>
      <c r="Q1674" s="12"/>
      <c r="R1674" s="14"/>
      <c r="S1674" s="15"/>
      <c r="T1674" s="4" t="b">
        <v>0</v>
      </c>
    </row>
    <row r="1675">
      <c r="A1675" s="16"/>
      <c r="B1675" s="17"/>
      <c r="C1675" s="24"/>
      <c r="D1675" s="44"/>
      <c r="E1675" s="19"/>
      <c r="F1675" s="35"/>
      <c r="G1675" s="20">
        <v>1899.0</v>
      </c>
      <c r="H1675" s="21"/>
      <c r="I1675" s="21"/>
      <c r="J1675" s="21"/>
      <c r="K1675" s="16"/>
      <c r="L1675" s="22"/>
      <c r="M1675" s="55"/>
      <c r="N1675" s="23" t="s">
        <v>200</v>
      </c>
      <c r="O1675" s="23" t="s">
        <v>200</v>
      </c>
      <c r="P1675" s="24"/>
      <c r="Q1675" s="23"/>
      <c r="R1675" s="25"/>
      <c r="S1675" s="26"/>
      <c r="T1675" s="16" t="b">
        <v>0</v>
      </c>
    </row>
    <row r="1676">
      <c r="A1676" s="4"/>
      <c r="B1676" s="5"/>
      <c r="C1676" s="13"/>
      <c r="D1676" s="39"/>
      <c r="E1676" s="7"/>
      <c r="F1676" s="34"/>
      <c r="G1676" s="8">
        <v>1899.0</v>
      </c>
      <c r="H1676" s="9"/>
      <c r="I1676" s="9"/>
      <c r="J1676" s="9"/>
      <c r="K1676" s="4"/>
      <c r="L1676" s="10"/>
      <c r="M1676" s="54"/>
      <c r="N1676" s="12" t="s">
        <v>200</v>
      </c>
      <c r="O1676" s="12" t="s">
        <v>200</v>
      </c>
      <c r="P1676" s="13"/>
      <c r="Q1676" s="12"/>
      <c r="R1676" s="14"/>
      <c r="S1676" s="15"/>
      <c r="T1676" s="4" t="b">
        <v>0</v>
      </c>
    </row>
    <row r="1677">
      <c r="A1677" s="16"/>
      <c r="B1677" s="17"/>
      <c r="C1677" s="24"/>
      <c r="D1677" s="44"/>
      <c r="E1677" s="19"/>
      <c r="F1677" s="35"/>
      <c r="G1677" s="20">
        <v>1899.0</v>
      </c>
      <c r="H1677" s="21"/>
      <c r="I1677" s="21"/>
      <c r="J1677" s="21"/>
      <c r="K1677" s="16"/>
      <c r="L1677" s="22"/>
      <c r="M1677" s="55"/>
      <c r="N1677" s="23" t="s">
        <v>200</v>
      </c>
      <c r="O1677" s="23" t="s">
        <v>200</v>
      </c>
      <c r="P1677" s="24"/>
      <c r="Q1677" s="23"/>
      <c r="R1677" s="25"/>
      <c r="S1677" s="26"/>
      <c r="T1677" s="16" t="b">
        <v>0</v>
      </c>
    </row>
    <row r="1678">
      <c r="A1678" s="4"/>
      <c r="B1678" s="5"/>
      <c r="C1678" s="13"/>
      <c r="D1678" s="39"/>
      <c r="E1678" s="7"/>
      <c r="F1678" s="34"/>
      <c r="G1678" s="8">
        <v>1899.0</v>
      </c>
      <c r="H1678" s="9"/>
      <c r="I1678" s="9"/>
      <c r="J1678" s="9"/>
      <c r="K1678" s="4"/>
      <c r="L1678" s="10"/>
      <c r="M1678" s="54"/>
      <c r="N1678" s="12" t="s">
        <v>200</v>
      </c>
      <c r="O1678" s="12" t="s">
        <v>200</v>
      </c>
      <c r="P1678" s="13"/>
      <c r="Q1678" s="12"/>
      <c r="R1678" s="14"/>
      <c r="S1678" s="15"/>
      <c r="T1678" s="4" t="b">
        <v>0</v>
      </c>
    </row>
    <row r="1679">
      <c r="A1679" s="16"/>
      <c r="B1679" s="17"/>
      <c r="C1679" s="24"/>
      <c r="D1679" s="44"/>
      <c r="E1679" s="19"/>
      <c r="F1679" s="35"/>
      <c r="G1679" s="20">
        <v>1899.0</v>
      </c>
      <c r="H1679" s="21"/>
      <c r="I1679" s="21"/>
      <c r="J1679" s="21"/>
      <c r="K1679" s="16"/>
      <c r="L1679" s="22"/>
      <c r="M1679" s="55"/>
      <c r="N1679" s="23" t="s">
        <v>200</v>
      </c>
      <c r="O1679" s="23" t="s">
        <v>200</v>
      </c>
      <c r="P1679" s="24"/>
      <c r="Q1679" s="23"/>
      <c r="R1679" s="25"/>
      <c r="S1679" s="26"/>
      <c r="T1679" s="16" t="b">
        <v>0</v>
      </c>
    </row>
    <row r="1680">
      <c r="A1680" s="4"/>
      <c r="B1680" s="5"/>
      <c r="C1680" s="13"/>
      <c r="D1680" s="39"/>
      <c r="E1680" s="7"/>
      <c r="F1680" s="34"/>
      <c r="G1680" s="8">
        <v>1899.0</v>
      </c>
      <c r="H1680" s="9"/>
      <c r="I1680" s="9"/>
      <c r="J1680" s="9"/>
      <c r="K1680" s="4"/>
      <c r="L1680" s="10"/>
      <c r="M1680" s="54"/>
      <c r="N1680" s="12" t="s">
        <v>200</v>
      </c>
      <c r="O1680" s="12" t="s">
        <v>200</v>
      </c>
      <c r="P1680" s="13"/>
      <c r="Q1680" s="12"/>
      <c r="R1680" s="14"/>
      <c r="S1680" s="15"/>
      <c r="T1680" s="4" t="b">
        <v>0</v>
      </c>
    </row>
    <row r="1681">
      <c r="A1681" s="16"/>
      <c r="B1681" s="17"/>
      <c r="C1681" s="24"/>
      <c r="D1681" s="44"/>
      <c r="E1681" s="19"/>
      <c r="F1681" s="35"/>
      <c r="G1681" s="20">
        <v>1899.0</v>
      </c>
      <c r="H1681" s="21"/>
      <c r="I1681" s="21"/>
      <c r="J1681" s="21"/>
      <c r="K1681" s="16"/>
      <c r="L1681" s="22"/>
      <c r="M1681" s="55"/>
      <c r="N1681" s="23" t="s">
        <v>200</v>
      </c>
      <c r="O1681" s="23" t="s">
        <v>200</v>
      </c>
      <c r="P1681" s="24"/>
      <c r="Q1681" s="23"/>
      <c r="R1681" s="25"/>
      <c r="S1681" s="26"/>
      <c r="T1681" s="16" t="b">
        <v>0</v>
      </c>
    </row>
    <row r="1682">
      <c r="A1682" s="4"/>
      <c r="B1682" s="5"/>
      <c r="C1682" s="13"/>
      <c r="D1682" s="39"/>
      <c r="E1682" s="7"/>
      <c r="F1682" s="34"/>
      <c r="G1682" s="8">
        <v>1899.0</v>
      </c>
      <c r="H1682" s="9"/>
      <c r="I1682" s="9"/>
      <c r="J1682" s="9"/>
      <c r="K1682" s="4"/>
      <c r="L1682" s="10"/>
      <c r="M1682" s="54"/>
      <c r="N1682" s="12" t="s">
        <v>200</v>
      </c>
      <c r="O1682" s="12" t="s">
        <v>200</v>
      </c>
      <c r="P1682" s="13"/>
      <c r="Q1682" s="12"/>
      <c r="R1682" s="14"/>
      <c r="S1682" s="15"/>
      <c r="T1682" s="4" t="b">
        <v>0</v>
      </c>
    </row>
    <row r="1683">
      <c r="A1683" s="16"/>
      <c r="B1683" s="17"/>
      <c r="C1683" s="24"/>
      <c r="D1683" s="44"/>
      <c r="E1683" s="19"/>
      <c r="F1683" s="35"/>
      <c r="G1683" s="20">
        <v>1899.0</v>
      </c>
      <c r="H1683" s="21"/>
      <c r="I1683" s="21"/>
      <c r="J1683" s="21"/>
      <c r="K1683" s="16"/>
      <c r="L1683" s="22"/>
      <c r="M1683" s="55"/>
      <c r="N1683" s="23" t="s">
        <v>200</v>
      </c>
      <c r="O1683" s="23" t="s">
        <v>200</v>
      </c>
      <c r="P1683" s="24"/>
      <c r="Q1683" s="23"/>
      <c r="R1683" s="25"/>
      <c r="S1683" s="26"/>
      <c r="T1683" s="16" t="b">
        <v>0</v>
      </c>
    </row>
    <row r="1684">
      <c r="A1684" s="4"/>
      <c r="B1684" s="5"/>
      <c r="C1684" s="13"/>
      <c r="D1684" s="39"/>
      <c r="E1684" s="7"/>
      <c r="F1684" s="34"/>
      <c r="G1684" s="8">
        <v>1899.0</v>
      </c>
      <c r="H1684" s="9"/>
      <c r="I1684" s="9"/>
      <c r="J1684" s="9"/>
      <c r="K1684" s="4"/>
      <c r="L1684" s="10"/>
      <c r="M1684" s="54"/>
      <c r="N1684" s="12" t="s">
        <v>200</v>
      </c>
      <c r="O1684" s="12" t="s">
        <v>200</v>
      </c>
      <c r="P1684" s="13"/>
      <c r="Q1684" s="12"/>
      <c r="R1684" s="14"/>
      <c r="S1684" s="15"/>
      <c r="T1684" s="4" t="b">
        <v>0</v>
      </c>
    </row>
    <row r="1685">
      <c r="A1685" s="16"/>
      <c r="B1685" s="17"/>
      <c r="C1685" s="24"/>
      <c r="D1685" s="44"/>
      <c r="E1685" s="19"/>
      <c r="F1685" s="35"/>
      <c r="G1685" s="20">
        <v>1899.0</v>
      </c>
      <c r="H1685" s="21"/>
      <c r="I1685" s="21"/>
      <c r="J1685" s="21"/>
      <c r="K1685" s="16"/>
      <c r="L1685" s="22"/>
      <c r="M1685" s="55"/>
      <c r="N1685" s="23" t="s">
        <v>200</v>
      </c>
      <c r="O1685" s="23" t="s">
        <v>200</v>
      </c>
      <c r="P1685" s="24"/>
      <c r="Q1685" s="23"/>
      <c r="R1685" s="25"/>
      <c r="S1685" s="26"/>
      <c r="T1685" s="16" t="b">
        <v>0</v>
      </c>
    </row>
    <row r="1686">
      <c r="A1686" s="4"/>
      <c r="B1686" s="5"/>
      <c r="C1686" s="13"/>
      <c r="D1686" s="39"/>
      <c r="E1686" s="7"/>
      <c r="F1686" s="34"/>
      <c r="G1686" s="8">
        <v>1899.0</v>
      </c>
      <c r="H1686" s="9"/>
      <c r="I1686" s="9"/>
      <c r="J1686" s="9"/>
      <c r="K1686" s="4"/>
      <c r="L1686" s="10"/>
      <c r="M1686" s="54"/>
      <c r="N1686" s="12" t="s">
        <v>200</v>
      </c>
      <c r="O1686" s="12" t="s">
        <v>200</v>
      </c>
      <c r="P1686" s="13"/>
      <c r="Q1686" s="12"/>
      <c r="R1686" s="14"/>
      <c r="S1686" s="15"/>
      <c r="T1686" s="4" t="b">
        <v>0</v>
      </c>
    </row>
    <row r="1687">
      <c r="A1687" s="16"/>
      <c r="B1687" s="17"/>
      <c r="C1687" s="24"/>
      <c r="D1687" s="44"/>
      <c r="E1687" s="19"/>
      <c r="F1687" s="35"/>
      <c r="G1687" s="20">
        <v>1899.0</v>
      </c>
      <c r="H1687" s="21"/>
      <c r="I1687" s="21"/>
      <c r="J1687" s="21"/>
      <c r="K1687" s="16"/>
      <c r="L1687" s="22"/>
      <c r="M1687" s="55"/>
      <c r="N1687" s="23" t="s">
        <v>200</v>
      </c>
      <c r="O1687" s="23" t="s">
        <v>200</v>
      </c>
      <c r="P1687" s="24"/>
      <c r="Q1687" s="23"/>
      <c r="R1687" s="25"/>
      <c r="S1687" s="26"/>
      <c r="T1687" s="16" t="b">
        <v>0</v>
      </c>
    </row>
    <row r="1688">
      <c r="A1688" s="4"/>
      <c r="B1688" s="5"/>
      <c r="C1688" s="13"/>
      <c r="D1688" s="39"/>
      <c r="E1688" s="7"/>
      <c r="F1688" s="34"/>
      <c r="G1688" s="8">
        <v>1899.0</v>
      </c>
      <c r="H1688" s="9"/>
      <c r="I1688" s="9"/>
      <c r="J1688" s="9"/>
      <c r="K1688" s="4"/>
      <c r="L1688" s="10"/>
      <c r="M1688" s="54"/>
      <c r="N1688" s="12" t="s">
        <v>200</v>
      </c>
      <c r="O1688" s="12" t="s">
        <v>200</v>
      </c>
      <c r="P1688" s="13"/>
      <c r="Q1688" s="12"/>
      <c r="R1688" s="14"/>
      <c r="S1688" s="15"/>
      <c r="T1688" s="4" t="b">
        <v>0</v>
      </c>
    </row>
    <row r="1689">
      <c r="A1689" s="16"/>
      <c r="B1689" s="17"/>
      <c r="C1689" s="24"/>
      <c r="D1689" s="44"/>
      <c r="E1689" s="19"/>
      <c r="F1689" s="35"/>
      <c r="G1689" s="20">
        <v>1899.0</v>
      </c>
      <c r="H1689" s="21"/>
      <c r="I1689" s="21"/>
      <c r="J1689" s="21"/>
      <c r="K1689" s="16"/>
      <c r="L1689" s="22"/>
      <c r="M1689" s="55"/>
      <c r="N1689" s="23" t="s">
        <v>200</v>
      </c>
      <c r="O1689" s="23" t="s">
        <v>200</v>
      </c>
      <c r="P1689" s="24"/>
      <c r="Q1689" s="23"/>
      <c r="R1689" s="25"/>
      <c r="S1689" s="26"/>
      <c r="T1689" s="16" t="b">
        <v>0</v>
      </c>
    </row>
    <row r="1690">
      <c r="A1690" s="4"/>
      <c r="B1690" s="5"/>
      <c r="C1690" s="13"/>
      <c r="D1690" s="39"/>
      <c r="E1690" s="7"/>
      <c r="F1690" s="34"/>
      <c r="G1690" s="8">
        <v>1899.0</v>
      </c>
      <c r="H1690" s="9"/>
      <c r="I1690" s="9"/>
      <c r="J1690" s="9"/>
      <c r="K1690" s="4"/>
      <c r="L1690" s="10"/>
      <c r="M1690" s="54"/>
      <c r="N1690" s="12" t="s">
        <v>200</v>
      </c>
      <c r="O1690" s="12" t="s">
        <v>200</v>
      </c>
      <c r="P1690" s="13"/>
      <c r="Q1690" s="12"/>
      <c r="R1690" s="14"/>
      <c r="S1690" s="15"/>
      <c r="T1690" s="4" t="b">
        <v>0</v>
      </c>
    </row>
    <row r="1691">
      <c r="A1691" s="16"/>
      <c r="B1691" s="17"/>
      <c r="C1691" s="24"/>
      <c r="D1691" s="44"/>
      <c r="E1691" s="19"/>
      <c r="F1691" s="35"/>
      <c r="G1691" s="20">
        <v>1899.0</v>
      </c>
      <c r="H1691" s="21"/>
      <c r="I1691" s="21"/>
      <c r="J1691" s="21"/>
      <c r="K1691" s="16"/>
      <c r="L1691" s="22"/>
      <c r="M1691" s="55"/>
      <c r="N1691" s="23" t="s">
        <v>200</v>
      </c>
      <c r="O1691" s="23" t="s">
        <v>200</v>
      </c>
      <c r="P1691" s="24"/>
      <c r="Q1691" s="23"/>
      <c r="R1691" s="25"/>
      <c r="S1691" s="26"/>
      <c r="T1691" s="16" t="b">
        <v>0</v>
      </c>
    </row>
    <row r="1692">
      <c r="A1692" s="4"/>
      <c r="B1692" s="5"/>
      <c r="C1692" s="13"/>
      <c r="D1692" s="39"/>
      <c r="E1692" s="7"/>
      <c r="F1692" s="34"/>
      <c r="G1692" s="8">
        <v>1899.0</v>
      </c>
      <c r="H1692" s="9"/>
      <c r="I1692" s="9"/>
      <c r="J1692" s="9"/>
      <c r="K1692" s="4"/>
      <c r="L1692" s="10"/>
      <c r="M1692" s="54"/>
      <c r="N1692" s="12" t="s">
        <v>200</v>
      </c>
      <c r="O1692" s="12" t="s">
        <v>200</v>
      </c>
      <c r="P1692" s="13"/>
      <c r="Q1692" s="12"/>
      <c r="R1692" s="14"/>
      <c r="S1692" s="15"/>
      <c r="T1692" s="4" t="b">
        <v>0</v>
      </c>
    </row>
    <row r="1693">
      <c r="A1693" s="16"/>
      <c r="B1693" s="17"/>
      <c r="C1693" s="24"/>
      <c r="D1693" s="44"/>
      <c r="E1693" s="19"/>
      <c r="F1693" s="35"/>
      <c r="G1693" s="20">
        <v>1899.0</v>
      </c>
      <c r="H1693" s="21"/>
      <c r="I1693" s="21"/>
      <c r="J1693" s="21"/>
      <c r="K1693" s="16"/>
      <c r="L1693" s="22"/>
      <c r="M1693" s="55"/>
      <c r="N1693" s="23" t="s">
        <v>200</v>
      </c>
      <c r="O1693" s="23" t="s">
        <v>200</v>
      </c>
      <c r="P1693" s="24"/>
      <c r="Q1693" s="23"/>
      <c r="R1693" s="25"/>
      <c r="S1693" s="26"/>
      <c r="T1693" s="16" t="b">
        <v>0</v>
      </c>
    </row>
    <row r="1694">
      <c r="A1694" s="4"/>
      <c r="B1694" s="5"/>
      <c r="C1694" s="13"/>
      <c r="D1694" s="39"/>
      <c r="E1694" s="7"/>
      <c r="F1694" s="34"/>
      <c r="G1694" s="8">
        <v>1899.0</v>
      </c>
      <c r="H1694" s="9"/>
      <c r="I1694" s="9"/>
      <c r="J1694" s="9"/>
      <c r="K1694" s="4"/>
      <c r="L1694" s="10"/>
      <c r="M1694" s="54"/>
      <c r="N1694" s="12" t="s">
        <v>200</v>
      </c>
      <c r="O1694" s="12" t="s">
        <v>200</v>
      </c>
      <c r="P1694" s="13"/>
      <c r="Q1694" s="12"/>
      <c r="R1694" s="14"/>
      <c r="S1694" s="15"/>
      <c r="T1694" s="4" t="b">
        <v>0</v>
      </c>
    </row>
    <row r="1695">
      <c r="A1695" s="16"/>
      <c r="B1695" s="17"/>
      <c r="C1695" s="24"/>
      <c r="D1695" s="44"/>
      <c r="E1695" s="19"/>
      <c r="F1695" s="35"/>
      <c r="G1695" s="20">
        <v>1899.0</v>
      </c>
      <c r="H1695" s="21"/>
      <c r="I1695" s="21"/>
      <c r="J1695" s="21"/>
      <c r="K1695" s="16"/>
      <c r="L1695" s="22"/>
      <c r="M1695" s="55"/>
      <c r="N1695" s="23" t="s">
        <v>200</v>
      </c>
      <c r="O1695" s="23" t="s">
        <v>200</v>
      </c>
      <c r="P1695" s="24"/>
      <c r="Q1695" s="23"/>
      <c r="R1695" s="25"/>
      <c r="S1695" s="26"/>
      <c r="T1695" s="16" t="b">
        <v>0</v>
      </c>
    </row>
    <row r="1696">
      <c r="A1696" s="4"/>
      <c r="B1696" s="5"/>
      <c r="C1696" s="13"/>
      <c r="D1696" s="39"/>
      <c r="E1696" s="7"/>
      <c r="F1696" s="34"/>
      <c r="G1696" s="8">
        <v>1899.0</v>
      </c>
      <c r="H1696" s="9"/>
      <c r="I1696" s="9"/>
      <c r="J1696" s="9"/>
      <c r="K1696" s="4"/>
      <c r="L1696" s="10"/>
      <c r="M1696" s="54"/>
      <c r="N1696" s="12" t="s">
        <v>200</v>
      </c>
      <c r="O1696" s="12" t="s">
        <v>200</v>
      </c>
      <c r="P1696" s="13"/>
      <c r="Q1696" s="12"/>
      <c r="R1696" s="14"/>
      <c r="S1696" s="15"/>
      <c r="T1696" s="4" t="b">
        <v>0</v>
      </c>
    </row>
    <row r="1697">
      <c r="A1697" s="16"/>
      <c r="B1697" s="17"/>
      <c r="C1697" s="24"/>
      <c r="D1697" s="44"/>
      <c r="E1697" s="19"/>
      <c r="F1697" s="35"/>
      <c r="G1697" s="20">
        <v>1899.0</v>
      </c>
      <c r="H1697" s="21"/>
      <c r="I1697" s="21"/>
      <c r="J1697" s="21"/>
      <c r="K1697" s="16"/>
      <c r="L1697" s="22"/>
      <c r="M1697" s="55"/>
      <c r="N1697" s="23" t="s">
        <v>200</v>
      </c>
      <c r="O1697" s="23" t="s">
        <v>200</v>
      </c>
      <c r="P1697" s="24"/>
      <c r="Q1697" s="23"/>
      <c r="R1697" s="25"/>
      <c r="S1697" s="26"/>
      <c r="T1697" s="16" t="b">
        <v>0</v>
      </c>
    </row>
    <row r="1698">
      <c r="A1698" s="4"/>
      <c r="B1698" s="5"/>
      <c r="C1698" s="13"/>
      <c r="D1698" s="39"/>
      <c r="E1698" s="7"/>
      <c r="F1698" s="34"/>
      <c r="G1698" s="8">
        <v>1899.0</v>
      </c>
      <c r="H1698" s="9"/>
      <c r="I1698" s="9"/>
      <c r="J1698" s="9"/>
      <c r="K1698" s="4"/>
      <c r="L1698" s="10"/>
      <c r="M1698" s="54"/>
      <c r="N1698" s="12" t="s">
        <v>200</v>
      </c>
      <c r="O1698" s="12" t="s">
        <v>200</v>
      </c>
      <c r="P1698" s="13"/>
      <c r="Q1698" s="12"/>
      <c r="R1698" s="14"/>
      <c r="S1698" s="15"/>
      <c r="T1698" s="4" t="b">
        <v>0</v>
      </c>
    </row>
    <row r="1699">
      <c r="A1699" s="16"/>
      <c r="B1699" s="17"/>
      <c r="C1699" s="24"/>
      <c r="D1699" s="44"/>
      <c r="E1699" s="19"/>
      <c r="F1699" s="35"/>
      <c r="G1699" s="20">
        <v>1899.0</v>
      </c>
      <c r="H1699" s="21"/>
      <c r="I1699" s="21"/>
      <c r="J1699" s="21"/>
      <c r="K1699" s="16"/>
      <c r="L1699" s="22"/>
      <c r="M1699" s="55"/>
      <c r="N1699" s="23" t="s">
        <v>200</v>
      </c>
      <c r="O1699" s="23" t="s">
        <v>200</v>
      </c>
      <c r="P1699" s="24"/>
      <c r="Q1699" s="23"/>
      <c r="R1699" s="25"/>
      <c r="S1699" s="26"/>
      <c r="T1699" s="16" t="b">
        <v>0</v>
      </c>
    </row>
    <row r="1700">
      <c r="A1700" s="4"/>
      <c r="B1700" s="5"/>
      <c r="C1700" s="13"/>
      <c r="D1700" s="39"/>
      <c r="E1700" s="7"/>
      <c r="F1700" s="34"/>
      <c r="G1700" s="8">
        <v>1899.0</v>
      </c>
      <c r="H1700" s="9"/>
      <c r="I1700" s="9"/>
      <c r="J1700" s="9"/>
      <c r="K1700" s="4"/>
      <c r="L1700" s="10"/>
      <c r="M1700" s="54"/>
      <c r="N1700" s="12" t="s">
        <v>200</v>
      </c>
      <c r="O1700" s="12" t="s">
        <v>200</v>
      </c>
      <c r="P1700" s="13"/>
      <c r="Q1700" s="12"/>
      <c r="R1700" s="14"/>
      <c r="S1700" s="15"/>
      <c r="T1700" s="4" t="b">
        <v>0</v>
      </c>
    </row>
    <row r="1701">
      <c r="A1701" s="16"/>
      <c r="B1701" s="17"/>
      <c r="C1701" s="24"/>
      <c r="D1701" s="44"/>
      <c r="E1701" s="19"/>
      <c r="F1701" s="35"/>
      <c r="G1701" s="20">
        <v>1899.0</v>
      </c>
      <c r="H1701" s="21"/>
      <c r="I1701" s="21"/>
      <c r="J1701" s="21"/>
      <c r="K1701" s="16"/>
      <c r="L1701" s="22"/>
      <c r="M1701" s="55"/>
      <c r="N1701" s="23" t="s">
        <v>200</v>
      </c>
      <c r="O1701" s="23" t="s">
        <v>200</v>
      </c>
      <c r="P1701" s="24"/>
      <c r="Q1701" s="23"/>
      <c r="R1701" s="25"/>
      <c r="S1701" s="26"/>
      <c r="T1701" s="16" t="b">
        <v>0</v>
      </c>
    </row>
    <row r="1702">
      <c r="A1702" s="4"/>
      <c r="B1702" s="5"/>
      <c r="C1702" s="13"/>
      <c r="D1702" s="39"/>
      <c r="E1702" s="7"/>
      <c r="F1702" s="34"/>
      <c r="G1702" s="8">
        <v>1899.0</v>
      </c>
      <c r="H1702" s="9"/>
      <c r="I1702" s="9"/>
      <c r="J1702" s="9"/>
      <c r="K1702" s="4"/>
      <c r="L1702" s="10"/>
      <c r="M1702" s="54"/>
      <c r="N1702" s="12" t="s">
        <v>200</v>
      </c>
      <c r="O1702" s="12" t="s">
        <v>200</v>
      </c>
      <c r="P1702" s="13"/>
      <c r="Q1702" s="12"/>
      <c r="R1702" s="14"/>
      <c r="S1702" s="15"/>
      <c r="T1702" s="4" t="b">
        <v>0</v>
      </c>
    </row>
    <row r="1703">
      <c r="A1703" s="16"/>
      <c r="B1703" s="17"/>
      <c r="C1703" s="24"/>
      <c r="D1703" s="44"/>
      <c r="E1703" s="19"/>
      <c r="F1703" s="35"/>
      <c r="G1703" s="20">
        <v>1899.0</v>
      </c>
      <c r="H1703" s="21"/>
      <c r="I1703" s="21"/>
      <c r="J1703" s="21"/>
      <c r="K1703" s="16"/>
      <c r="L1703" s="22"/>
      <c r="M1703" s="55"/>
      <c r="N1703" s="23" t="s">
        <v>200</v>
      </c>
      <c r="O1703" s="23" t="s">
        <v>200</v>
      </c>
      <c r="P1703" s="24"/>
      <c r="Q1703" s="23"/>
      <c r="R1703" s="25"/>
      <c r="S1703" s="26"/>
      <c r="T1703" s="16" t="b">
        <v>0</v>
      </c>
    </row>
    <row r="1704">
      <c r="A1704" s="4"/>
      <c r="B1704" s="5"/>
      <c r="C1704" s="13"/>
      <c r="D1704" s="39"/>
      <c r="E1704" s="7"/>
      <c r="F1704" s="34"/>
      <c r="G1704" s="8">
        <v>1899.0</v>
      </c>
      <c r="H1704" s="9"/>
      <c r="I1704" s="9"/>
      <c r="J1704" s="9"/>
      <c r="K1704" s="4"/>
      <c r="L1704" s="10"/>
      <c r="M1704" s="54"/>
      <c r="N1704" s="12" t="s">
        <v>200</v>
      </c>
      <c r="O1704" s="12" t="s">
        <v>200</v>
      </c>
      <c r="P1704" s="13"/>
      <c r="Q1704" s="12"/>
      <c r="R1704" s="14"/>
      <c r="S1704" s="15"/>
      <c r="T1704" s="4" t="b">
        <v>0</v>
      </c>
    </row>
    <row r="1705">
      <c r="A1705" s="16"/>
      <c r="B1705" s="17"/>
      <c r="C1705" s="24"/>
      <c r="D1705" s="44"/>
      <c r="E1705" s="19"/>
      <c r="F1705" s="35"/>
      <c r="G1705" s="20">
        <v>1899.0</v>
      </c>
      <c r="H1705" s="21"/>
      <c r="I1705" s="21"/>
      <c r="J1705" s="21"/>
      <c r="K1705" s="16"/>
      <c r="L1705" s="22"/>
      <c r="M1705" s="55"/>
      <c r="N1705" s="23" t="s">
        <v>200</v>
      </c>
      <c r="O1705" s="23" t="s">
        <v>200</v>
      </c>
      <c r="P1705" s="24"/>
      <c r="Q1705" s="23"/>
      <c r="R1705" s="25"/>
      <c r="S1705" s="26"/>
      <c r="T1705" s="16" t="b">
        <v>0</v>
      </c>
    </row>
    <row r="1706">
      <c r="A1706" s="4"/>
      <c r="B1706" s="5"/>
      <c r="C1706" s="13"/>
      <c r="D1706" s="39"/>
      <c r="E1706" s="7"/>
      <c r="F1706" s="34"/>
      <c r="G1706" s="8">
        <v>1899.0</v>
      </c>
      <c r="H1706" s="9"/>
      <c r="I1706" s="9"/>
      <c r="J1706" s="9"/>
      <c r="K1706" s="4"/>
      <c r="L1706" s="10"/>
      <c r="M1706" s="54"/>
      <c r="N1706" s="12" t="s">
        <v>200</v>
      </c>
      <c r="O1706" s="12" t="s">
        <v>200</v>
      </c>
      <c r="P1706" s="13"/>
      <c r="Q1706" s="12"/>
      <c r="R1706" s="14"/>
      <c r="S1706" s="15"/>
      <c r="T1706" s="4" t="b">
        <v>0</v>
      </c>
    </row>
    <row r="1707">
      <c r="A1707" s="16"/>
      <c r="B1707" s="17"/>
      <c r="C1707" s="24"/>
      <c r="D1707" s="44"/>
      <c r="E1707" s="19"/>
      <c r="F1707" s="35"/>
      <c r="G1707" s="20">
        <v>1899.0</v>
      </c>
      <c r="H1707" s="21"/>
      <c r="I1707" s="21"/>
      <c r="J1707" s="21"/>
      <c r="K1707" s="16"/>
      <c r="L1707" s="22"/>
      <c r="M1707" s="55"/>
      <c r="N1707" s="23" t="s">
        <v>200</v>
      </c>
      <c r="O1707" s="23" t="s">
        <v>200</v>
      </c>
      <c r="P1707" s="24"/>
      <c r="Q1707" s="23"/>
      <c r="R1707" s="25"/>
      <c r="S1707" s="26"/>
      <c r="T1707" s="16" t="b">
        <v>0</v>
      </c>
    </row>
    <row r="1708">
      <c r="A1708" s="4"/>
      <c r="B1708" s="5"/>
      <c r="C1708" s="13"/>
      <c r="D1708" s="39"/>
      <c r="E1708" s="7"/>
      <c r="F1708" s="34"/>
      <c r="G1708" s="8">
        <v>1899.0</v>
      </c>
      <c r="H1708" s="9"/>
      <c r="I1708" s="9"/>
      <c r="J1708" s="9"/>
      <c r="K1708" s="4"/>
      <c r="L1708" s="10"/>
      <c r="M1708" s="54"/>
      <c r="N1708" s="12" t="s">
        <v>200</v>
      </c>
      <c r="O1708" s="12" t="s">
        <v>200</v>
      </c>
      <c r="P1708" s="13"/>
      <c r="Q1708" s="12"/>
      <c r="R1708" s="14"/>
      <c r="S1708" s="15"/>
      <c r="T1708" s="4" t="b">
        <v>0</v>
      </c>
    </row>
    <row r="1709">
      <c r="A1709" s="16"/>
      <c r="B1709" s="17"/>
      <c r="C1709" s="24"/>
      <c r="D1709" s="44"/>
      <c r="E1709" s="19"/>
      <c r="F1709" s="35"/>
      <c r="G1709" s="20">
        <v>1899.0</v>
      </c>
      <c r="H1709" s="21"/>
      <c r="I1709" s="21"/>
      <c r="J1709" s="21"/>
      <c r="K1709" s="16"/>
      <c r="L1709" s="22"/>
      <c r="M1709" s="55"/>
      <c r="N1709" s="23" t="s">
        <v>200</v>
      </c>
      <c r="O1709" s="23" t="s">
        <v>200</v>
      </c>
      <c r="P1709" s="24"/>
      <c r="Q1709" s="23"/>
      <c r="R1709" s="25"/>
      <c r="S1709" s="26"/>
      <c r="T1709" s="16" t="b">
        <v>0</v>
      </c>
    </row>
    <row r="1710">
      <c r="A1710" s="4"/>
      <c r="B1710" s="5"/>
      <c r="C1710" s="13"/>
      <c r="D1710" s="39"/>
      <c r="E1710" s="7"/>
      <c r="F1710" s="34"/>
      <c r="G1710" s="8">
        <v>1899.0</v>
      </c>
      <c r="H1710" s="9"/>
      <c r="I1710" s="9"/>
      <c r="J1710" s="9"/>
      <c r="K1710" s="4"/>
      <c r="L1710" s="10"/>
      <c r="M1710" s="54"/>
      <c r="N1710" s="12" t="s">
        <v>200</v>
      </c>
      <c r="O1710" s="12" t="s">
        <v>200</v>
      </c>
      <c r="P1710" s="13"/>
      <c r="Q1710" s="12"/>
      <c r="R1710" s="14"/>
      <c r="S1710" s="15"/>
      <c r="T1710" s="4" t="b">
        <v>0</v>
      </c>
    </row>
    <row r="1711">
      <c r="A1711" s="16"/>
      <c r="B1711" s="17"/>
      <c r="C1711" s="24"/>
      <c r="D1711" s="44"/>
      <c r="E1711" s="19"/>
      <c r="F1711" s="35"/>
      <c r="G1711" s="20">
        <v>1899.0</v>
      </c>
      <c r="H1711" s="21"/>
      <c r="I1711" s="21"/>
      <c r="J1711" s="21"/>
      <c r="K1711" s="16"/>
      <c r="L1711" s="22"/>
      <c r="M1711" s="55"/>
      <c r="N1711" s="23" t="s">
        <v>200</v>
      </c>
      <c r="O1711" s="23" t="s">
        <v>200</v>
      </c>
      <c r="P1711" s="24"/>
      <c r="Q1711" s="23"/>
      <c r="R1711" s="25"/>
      <c r="S1711" s="26"/>
      <c r="T1711" s="16" t="b">
        <v>0</v>
      </c>
    </row>
    <row r="1712">
      <c r="A1712" s="4"/>
      <c r="B1712" s="5"/>
      <c r="C1712" s="13"/>
      <c r="D1712" s="39"/>
      <c r="E1712" s="7"/>
      <c r="F1712" s="34"/>
      <c r="G1712" s="8">
        <v>1899.0</v>
      </c>
      <c r="H1712" s="9"/>
      <c r="I1712" s="9"/>
      <c r="J1712" s="9"/>
      <c r="K1712" s="4"/>
      <c r="L1712" s="10"/>
      <c r="M1712" s="54"/>
      <c r="N1712" s="12" t="s">
        <v>200</v>
      </c>
      <c r="O1712" s="12" t="s">
        <v>200</v>
      </c>
      <c r="P1712" s="13"/>
      <c r="Q1712" s="12"/>
      <c r="R1712" s="14"/>
      <c r="S1712" s="15"/>
      <c r="T1712" s="4" t="b">
        <v>0</v>
      </c>
    </row>
    <row r="1713">
      <c r="A1713" s="16"/>
      <c r="B1713" s="17"/>
      <c r="C1713" s="24"/>
      <c r="D1713" s="44"/>
      <c r="E1713" s="19"/>
      <c r="F1713" s="35"/>
      <c r="G1713" s="20">
        <v>1899.0</v>
      </c>
      <c r="H1713" s="21"/>
      <c r="I1713" s="21"/>
      <c r="J1713" s="21"/>
      <c r="K1713" s="16"/>
      <c r="L1713" s="22"/>
      <c r="M1713" s="55"/>
      <c r="N1713" s="23" t="s">
        <v>200</v>
      </c>
      <c r="O1713" s="23" t="s">
        <v>200</v>
      </c>
      <c r="P1713" s="24"/>
      <c r="Q1713" s="23"/>
      <c r="R1713" s="25"/>
      <c r="S1713" s="26"/>
      <c r="T1713" s="16" t="b">
        <v>0</v>
      </c>
    </row>
    <row r="1714">
      <c r="A1714" s="4"/>
      <c r="B1714" s="5"/>
      <c r="C1714" s="13"/>
      <c r="D1714" s="39"/>
      <c r="E1714" s="7"/>
      <c r="F1714" s="34"/>
      <c r="G1714" s="8">
        <v>1899.0</v>
      </c>
      <c r="H1714" s="9"/>
      <c r="I1714" s="9"/>
      <c r="J1714" s="9"/>
      <c r="K1714" s="4"/>
      <c r="L1714" s="10"/>
      <c r="M1714" s="54"/>
      <c r="N1714" s="12" t="s">
        <v>200</v>
      </c>
      <c r="O1714" s="12" t="s">
        <v>200</v>
      </c>
      <c r="P1714" s="13"/>
      <c r="Q1714" s="12"/>
      <c r="R1714" s="14"/>
      <c r="S1714" s="15"/>
      <c r="T1714" s="4" t="b">
        <v>0</v>
      </c>
    </row>
    <row r="1715">
      <c r="A1715" s="16"/>
      <c r="B1715" s="17"/>
      <c r="C1715" s="24"/>
      <c r="D1715" s="44"/>
      <c r="E1715" s="19"/>
      <c r="F1715" s="35"/>
      <c r="G1715" s="20">
        <v>1899.0</v>
      </c>
      <c r="H1715" s="21"/>
      <c r="I1715" s="21"/>
      <c r="J1715" s="21"/>
      <c r="K1715" s="16"/>
      <c r="L1715" s="22"/>
      <c r="M1715" s="55"/>
      <c r="N1715" s="23" t="s">
        <v>200</v>
      </c>
      <c r="O1715" s="23" t="s">
        <v>200</v>
      </c>
      <c r="P1715" s="24"/>
      <c r="Q1715" s="23"/>
      <c r="R1715" s="25"/>
      <c r="S1715" s="26"/>
      <c r="T1715" s="16" t="b">
        <v>0</v>
      </c>
    </row>
    <row r="1716">
      <c r="A1716" s="4"/>
      <c r="B1716" s="5"/>
      <c r="C1716" s="13"/>
      <c r="D1716" s="39"/>
      <c r="E1716" s="7"/>
      <c r="F1716" s="34"/>
      <c r="G1716" s="8">
        <v>1899.0</v>
      </c>
      <c r="H1716" s="9"/>
      <c r="I1716" s="9"/>
      <c r="J1716" s="9"/>
      <c r="K1716" s="4"/>
      <c r="L1716" s="10"/>
      <c r="M1716" s="54"/>
      <c r="N1716" s="12" t="s">
        <v>200</v>
      </c>
      <c r="O1716" s="12" t="s">
        <v>200</v>
      </c>
      <c r="P1716" s="13"/>
      <c r="Q1716" s="12"/>
      <c r="R1716" s="14"/>
      <c r="S1716" s="15"/>
      <c r="T1716" s="4" t="b">
        <v>0</v>
      </c>
    </row>
    <row r="1717">
      <c r="A1717" s="16"/>
      <c r="B1717" s="17"/>
      <c r="C1717" s="24"/>
      <c r="D1717" s="44"/>
      <c r="E1717" s="19"/>
      <c r="F1717" s="35"/>
      <c r="G1717" s="20">
        <v>1899.0</v>
      </c>
      <c r="H1717" s="21"/>
      <c r="I1717" s="21"/>
      <c r="J1717" s="21"/>
      <c r="K1717" s="16"/>
      <c r="L1717" s="22"/>
      <c r="M1717" s="55"/>
      <c r="N1717" s="23" t="s">
        <v>200</v>
      </c>
      <c r="O1717" s="23" t="s">
        <v>200</v>
      </c>
      <c r="P1717" s="24"/>
      <c r="Q1717" s="23"/>
      <c r="R1717" s="25"/>
      <c r="S1717" s="26"/>
      <c r="T1717" s="16" t="b">
        <v>0</v>
      </c>
    </row>
    <row r="1718">
      <c r="A1718" s="4"/>
      <c r="B1718" s="5"/>
      <c r="C1718" s="13"/>
      <c r="D1718" s="39"/>
      <c r="E1718" s="7"/>
      <c r="F1718" s="34"/>
      <c r="G1718" s="8">
        <v>1899.0</v>
      </c>
      <c r="H1718" s="9"/>
      <c r="I1718" s="9"/>
      <c r="J1718" s="9"/>
      <c r="K1718" s="4"/>
      <c r="L1718" s="10"/>
      <c r="M1718" s="54"/>
      <c r="N1718" s="12" t="s">
        <v>200</v>
      </c>
      <c r="O1718" s="12" t="s">
        <v>200</v>
      </c>
      <c r="P1718" s="13"/>
      <c r="Q1718" s="12"/>
      <c r="R1718" s="14"/>
      <c r="S1718" s="15"/>
      <c r="T1718" s="4" t="b">
        <v>0</v>
      </c>
    </row>
    <row r="1719">
      <c r="A1719" s="16"/>
      <c r="B1719" s="17"/>
      <c r="C1719" s="24"/>
      <c r="D1719" s="44"/>
      <c r="E1719" s="19"/>
      <c r="F1719" s="35"/>
      <c r="G1719" s="20">
        <v>1899.0</v>
      </c>
      <c r="H1719" s="21"/>
      <c r="I1719" s="21"/>
      <c r="J1719" s="21"/>
      <c r="K1719" s="16"/>
      <c r="L1719" s="22"/>
      <c r="M1719" s="55"/>
      <c r="N1719" s="23" t="s">
        <v>200</v>
      </c>
      <c r="O1719" s="23" t="s">
        <v>200</v>
      </c>
      <c r="P1719" s="24"/>
      <c r="Q1719" s="23"/>
      <c r="R1719" s="25"/>
      <c r="S1719" s="26"/>
      <c r="T1719" s="16" t="b">
        <v>0</v>
      </c>
    </row>
    <row r="1720">
      <c r="A1720" s="4"/>
      <c r="B1720" s="5"/>
      <c r="C1720" s="13"/>
      <c r="D1720" s="39"/>
      <c r="E1720" s="7"/>
      <c r="F1720" s="34"/>
      <c r="G1720" s="8">
        <v>1899.0</v>
      </c>
      <c r="H1720" s="9"/>
      <c r="I1720" s="9"/>
      <c r="J1720" s="9"/>
      <c r="K1720" s="4"/>
      <c r="L1720" s="10"/>
      <c r="M1720" s="54"/>
      <c r="N1720" s="12" t="s">
        <v>200</v>
      </c>
      <c r="O1720" s="12" t="s">
        <v>200</v>
      </c>
      <c r="P1720" s="13"/>
      <c r="Q1720" s="12"/>
      <c r="R1720" s="14"/>
      <c r="S1720" s="15"/>
      <c r="T1720" s="4" t="b">
        <v>0</v>
      </c>
    </row>
    <row r="1721">
      <c r="A1721" s="16"/>
      <c r="B1721" s="17"/>
      <c r="C1721" s="24"/>
      <c r="D1721" s="44"/>
      <c r="E1721" s="19"/>
      <c r="F1721" s="35"/>
      <c r="G1721" s="20">
        <v>1899.0</v>
      </c>
      <c r="H1721" s="21"/>
      <c r="I1721" s="21"/>
      <c r="J1721" s="21"/>
      <c r="K1721" s="16"/>
      <c r="L1721" s="22"/>
      <c r="M1721" s="55"/>
      <c r="N1721" s="23" t="s">
        <v>200</v>
      </c>
      <c r="O1721" s="23" t="s">
        <v>200</v>
      </c>
      <c r="P1721" s="24"/>
      <c r="Q1721" s="23"/>
      <c r="R1721" s="25"/>
      <c r="S1721" s="26"/>
      <c r="T1721" s="16" t="b">
        <v>0</v>
      </c>
    </row>
    <row r="1722">
      <c r="A1722" s="4"/>
      <c r="B1722" s="5"/>
      <c r="C1722" s="13"/>
      <c r="D1722" s="39"/>
      <c r="E1722" s="7"/>
      <c r="F1722" s="34"/>
      <c r="G1722" s="8">
        <v>1899.0</v>
      </c>
      <c r="H1722" s="9"/>
      <c r="I1722" s="9"/>
      <c r="J1722" s="9"/>
      <c r="K1722" s="4"/>
      <c r="L1722" s="10"/>
      <c r="M1722" s="54"/>
      <c r="N1722" s="12" t="s">
        <v>200</v>
      </c>
      <c r="O1722" s="12" t="s">
        <v>200</v>
      </c>
      <c r="P1722" s="13"/>
      <c r="Q1722" s="12"/>
      <c r="R1722" s="14"/>
      <c r="S1722" s="15"/>
      <c r="T1722" s="4" t="b">
        <v>0</v>
      </c>
    </row>
    <row r="1723">
      <c r="A1723" s="16"/>
      <c r="B1723" s="17"/>
      <c r="C1723" s="24"/>
      <c r="D1723" s="44"/>
      <c r="E1723" s="19"/>
      <c r="F1723" s="35"/>
      <c r="G1723" s="20">
        <v>1899.0</v>
      </c>
      <c r="H1723" s="21"/>
      <c r="I1723" s="21"/>
      <c r="J1723" s="21"/>
      <c r="K1723" s="16"/>
      <c r="L1723" s="22"/>
      <c r="M1723" s="55"/>
      <c r="N1723" s="23" t="s">
        <v>200</v>
      </c>
      <c r="O1723" s="23" t="s">
        <v>200</v>
      </c>
      <c r="P1723" s="24"/>
      <c r="Q1723" s="23"/>
      <c r="R1723" s="25"/>
      <c r="S1723" s="26"/>
      <c r="T1723" s="16" t="b">
        <v>0</v>
      </c>
    </row>
    <row r="1724">
      <c r="A1724" s="4"/>
      <c r="B1724" s="5"/>
      <c r="C1724" s="13"/>
      <c r="D1724" s="39"/>
      <c r="E1724" s="7"/>
      <c r="F1724" s="34"/>
      <c r="G1724" s="8">
        <v>1899.0</v>
      </c>
      <c r="H1724" s="9"/>
      <c r="I1724" s="9"/>
      <c r="J1724" s="9"/>
      <c r="K1724" s="4"/>
      <c r="L1724" s="10"/>
      <c r="M1724" s="54"/>
      <c r="N1724" s="12" t="s">
        <v>200</v>
      </c>
      <c r="O1724" s="12" t="s">
        <v>200</v>
      </c>
      <c r="P1724" s="13"/>
      <c r="Q1724" s="12"/>
      <c r="R1724" s="14"/>
      <c r="S1724" s="15"/>
      <c r="T1724" s="4" t="b">
        <v>0</v>
      </c>
    </row>
    <row r="1725">
      <c r="A1725" s="16"/>
      <c r="B1725" s="17"/>
      <c r="C1725" s="24"/>
      <c r="D1725" s="44"/>
      <c r="E1725" s="19"/>
      <c r="F1725" s="35"/>
      <c r="G1725" s="20">
        <v>1899.0</v>
      </c>
      <c r="H1725" s="21"/>
      <c r="I1725" s="21"/>
      <c r="J1725" s="21"/>
      <c r="K1725" s="16"/>
      <c r="L1725" s="22"/>
      <c r="M1725" s="55"/>
      <c r="N1725" s="23" t="s">
        <v>200</v>
      </c>
      <c r="O1725" s="23" t="s">
        <v>200</v>
      </c>
      <c r="P1725" s="24"/>
      <c r="Q1725" s="23"/>
      <c r="R1725" s="25"/>
      <c r="S1725" s="26"/>
      <c r="T1725" s="16" t="b">
        <v>0</v>
      </c>
    </row>
    <row r="1726">
      <c r="A1726" s="4"/>
      <c r="B1726" s="5"/>
      <c r="C1726" s="13"/>
      <c r="D1726" s="39"/>
      <c r="E1726" s="7"/>
      <c r="F1726" s="34"/>
      <c r="G1726" s="8">
        <v>1899.0</v>
      </c>
      <c r="H1726" s="9"/>
      <c r="I1726" s="9"/>
      <c r="J1726" s="9"/>
      <c r="K1726" s="4"/>
      <c r="L1726" s="10"/>
      <c r="M1726" s="54"/>
      <c r="N1726" s="12" t="s">
        <v>200</v>
      </c>
      <c r="O1726" s="12" t="s">
        <v>200</v>
      </c>
      <c r="P1726" s="13"/>
      <c r="Q1726" s="12"/>
      <c r="R1726" s="14"/>
      <c r="S1726" s="15"/>
      <c r="T1726" s="4" t="b">
        <v>0</v>
      </c>
    </row>
    <row r="1727">
      <c r="A1727" s="16"/>
      <c r="B1727" s="17"/>
      <c r="C1727" s="24"/>
      <c r="D1727" s="44"/>
      <c r="E1727" s="19"/>
      <c r="F1727" s="35"/>
      <c r="G1727" s="20">
        <v>1899.0</v>
      </c>
      <c r="H1727" s="21"/>
      <c r="I1727" s="21"/>
      <c r="J1727" s="21"/>
      <c r="K1727" s="16"/>
      <c r="L1727" s="22"/>
      <c r="M1727" s="55"/>
      <c r="N1727" s="23" t="s">
        <v>200</v>
      </c>
      <c r="O1727" s="23" t="s">
        <v>200</v>
      </c>
      <c r="P1727" s="24"/>
      <c r="Q1727" s="23"/>
      <c r="R1727" s="25"/>
      <c r="S1727" s="26"/>
      <c r="T1727" s="16" t="b">
        <v>0</v>
      </c>
    </row>
    <row r="1728">
      <c r="A1728" s="4"/>
      <c r="B1728" s="5"/>
      <c r="C1728" s="13"/>
      <c r="D1728" s="39"/>
      <c r="E1728" s="7"/>
      <c r="F1728" s="34"/>
      <c r="G1728" s="8">
        <v>1899.0</v>
      </c>
      <c r="H1728" s="9"/>
      <c r="I1728" s="9"/>
      <c r="J1728" s="9"/>
      <c r="K1728" s="4"/>
      <c r="L1728" s="10"/>
      <c r="M1728" s="54"/>
      <c r="N1728" s="12" t="s">
        <v>200</v>
      </c>
      <c r="O1728" s="12" t="s">
        <v>200</v>
      </c>
      <c r="P1728" s="13"/>
      <c r="Q1728" s="12"/>
      <c r="R1728" s="14"/>
      <c r="S1728" s="15"/>
      <c r="T1728" s="4" t="b">
        <v>0</v>
      </c>
    </row>
    <row r="1729">
      <c r="A1729" s="16"/>
      <c r="B1729" s="17"/>
      <c r="C1729" s="24"/>
      <c r="D1729" s="44"/>
      <c r="E1729" s="19"/>
      <c r="F1729" s="35"/>
      <c r="G1729" s="20">
        <v>1899.0</v>
      </c>
      <c r="H1729" s="21"/>
      <c r="I1729" s="21"/>
      <c r="J1729" s="21"/>
      <c r="K1729" s="16"/>
      <c r="L1729" s="22"/>
      <c r="M1729" s="55"/>
      <c r="N1729" s="23" t="s">
        <v>200</v>
      </c>
      <c r="O1729" s="23" t="s">
        <v>200</v>
      </c>
      <c r="P1729" s="24"/>
      <c r="Q1729" s="23"/>
      <c r="R1729" s="25"/>
      <c r="S1729" s="26"/>
      <c r="T1729" s="16" t="b">
        <v>0</v>
      </c>
    </row>
    <row r="1730">
      <c r="A1730" s="4"/>
      <c r="B1730" s="5"/>
      <c r="C1730" s="13"/>
      <c r="D1730" s="39"/>
      <c r="E1730" s="7"/>
      <c r="F1730" s="34"/>
      <c r="G1730" s="8">
        <v>1899.0</v>
      </c>
      <c r="H1730" s="9"/>
      <c r="I1730" s="9"/>
      <c r="J1730" s="9"/>
      <c r="K1730" s="4"/>
      <c r="L1730" s="10"/>
      <c r="M1730" s="54"/>
      <c r="N1730" s="12" t="s">
        <v>200</v>
      </c>
      <c r="O1730" s="12" t="s">
        <v>200</v>
      </c>
      <c r="P1730" s="13"/>
      <c r="Q1730" s="12"/>
      <c r="R1730" s="14"/>
      <c r="S1730" s="15"/>
      <c r="T1730" s="4" t="b">
        <v>0</v>
      </c>
    </row>
    <row r="1731">
      <c r="A1731" s="16"/>
      <c r="B1731" s="17"/>
      <c r="C1731" s="24"/>
      <c r="D1731" s="44"/>
      <c r="E1731" s="19"/>
      <c r="F1731" s="35"/>
      <c r="G1731" s="20">
        <v>1899.0</v>
      </c>
      <c r="H1731" s="21"/>
      <c r="I1731" s="21"/>
      <c r="J1731" s="21"/>
      <c r="K1731" s="16"/>
      <c r="L1731" s="22"/>
      <c r="M1731" s="55"/>
      <c r="N1731" s="23" t="s">
        <v>200</v>
      </c>
      <c r="O1731" s="23" t="s">
        <v>200</v>
      </c>
      <c r="P1731" s="24"/>
      <c r="Q1731" s="23"/>
      <c r="R1731" s="25"/>
      <c r="S1731" s="26"/>
      <c r="T1731" s="16" t="b">
        <v>0</v>
      </c>
    </row>
    <row r="1732">
      <c r="A1732" s="4"/>
      <c r="B1732" s="5"/>
      <c r="C1732" s="13"/>
      <c r="D1732" s="39"/>
      <c r="E1732" s="7"/>
      <c r="F1732" s="34"/>
      <c r="G1732" s="8">
        <v>1899.0</v>
      </c>
      <c r="H1732" s="9"/>
      <c r="I1732" s="9"/>
      <c r="J1732" s="9"/>
      <c r="K1732" s="4"/>
      <c r="L1732" s="10"/>
      <c r="M1732" s="54"/>
      <c r="N1732" s="12" t="s">
        <v>200</v>
      </c>
      <c r="O1732" s="12" t="s">
        <v>200</v>
      </c>
      <c r="P1732" s="13"/>
      <c r="Q1732" s="12"/>
      <c r="R1732" s="14"/>
      <c r="S1732" s="15"/>
      <c r="T1732" s="4" t="b">
        <v>0</v>
      </c>
    </row>
    <row r="1733">
      <c r="A1733" s="16"/>
      <c r="B1733" s="17"/>
      <c r="C1733" s="24"/>
      <c r="D1733" s="44"/>
      <c r="E1733" s="19"/>
      <c r="F1733" s="35"/>
      <c r="G1733" s="20">
        <v>1899.0</v>
      </c>
      <c r="H1733" s="21"/>
      <c r="I1733" s="21"/>
      <c r="J1733" s="21"/>
      <c r="K1733" s="16"/>
      <c r="L1733" s="22"/>
      <c r="M1733" s="55"/>
      <c r="N1733" s="23" t="s">
        <v>200</v>
      </c>
      <c r="O1733" s="23" t="s">
        <v>200</v>
      </c>
      <c r="P1733" s="24"/>
      <c r="Q1733" s="23"/>
      <c r="R1733" s="25"/>
      <c r="S1733" s="26"/>
      <c r="T1733" s="16" t="b">
        <v>0</v>
      </c>
    </row>
    <row r="1734">
      <c r="A1734" s="4"/>
      <c r="B1734" s="5"/>
      <c r="C1734" s="13"/>
      <c r="D1734" s="39"/>
      <c r="E1734" s="7"/>
      <c r="F1734" s="34"/>
      <c r="G1734" s="8">
        <v>1899.0</v>
      </c>
      <c r="H1734" s="9"/>
      <c r="I1734" s="9"/>
      <c r="J1734" s="9"/>
      <c r="K1734" s="4"/>
      <c r="L1734" s="10"/>
      <c r="M1734" s="54"/>
      <c r="N1734" s="12" t="s">
        <v>200</v>
      </c>
      <c r="O1734" s="12" t="s">
        <v>200</v>
      </c>
      <c r="P1734" s="13"/>
      <c r="Q1734" s="12"/>
      <c r="R1734" s="14"/>
      <c r="S1734" s="15"/>
      <c r="T1734" s="4" t="b">
        <v>0</v>
      </c>
    </row>
    <row r="1735">
      <c r="A1735" s="16"/>
      <c r="B1735" s="17"/>
      <c r="C1735" s="24"/>
      <c r="D1735" s="44"/>
      <c r="E1735" s="19"/>
      <c r="F1735" s="35"/>
      <c r="G1735" s="20">
        <v>1899.0</v>
      </c>
      <c r="H1735" s="21"/>
      <c r="I1735" s="21"/>
      <c r="J1735" s="21"/>
      <c r="K1735" s="16"/>
      <c r="L1735" s="22"/>
      <c r="M1735" s="55"/>
      <c r="N1735" s="23" t="s">
        <v>200</v>
      </c>
      <c r="O1735" s="23" t="s">
        <v>200</v>
      </c>
      <c r="P1735" s="24"/>
      <c r="Q1735" s="23"/>
      <c r="R1735" s="25"/>
      <c r="S1735" s="26"/>
      <c r="T1735" s="16" t="b">
        <v>0</v>
      </c>
    </row>
    <row r="1736">
      <c r="A1736" s="4"/>
      <c r="B1736" s="5"/>
      <c r="C1736" s="13"/>
      <c r="D1736" s="39"/>
      <c r="E1736" s="7"/>
      <c r="F1736" s="34"/>
      <c r="G1736" s="8">
        <v>1899.0</v>
      </c>
      <c r="H1736" s="9"/>
      <c r="I1736" s="9"/>
      <c r="J1736" s="9"/>
      <c r="K1736" s="4"/>
      <c r="L1736" s="10"/>
      <c r="M1736" s="54"/>
      <c r="N1736" s="12" t="s">
        <v>200</v>
      </c>
      <c r="O1736" s="12" t="s">
        <v>200</v>
      </c>
      <c r="P1736" s="13"/>
      <c r="Q1736" s="12"/>
      <c r="R1736" s="14"/>
      <c r="S1736" s="15"/>
      <c r="T1736" s="4" t="b">
        <v>0</v>
      </c>
    </row>
    <row r="1737">
      <c r="A1737" s="16"/>
      <c r="B1737" s="17"/>
      <c r="C1737" s="24"/>
      <c r="D1737" s="44"/>
      <c r="E1737" s="19"/>
      <c r="F1737" s="35"/>
      <c r="G1737" s="20">
        <v>1899.0</v>
      </c>
      <c r="H1737" s="21"/>
      <c r="I1737" s="21"/>
      <c r="J1737" s="21"/>
      <c r="K1737" s="16"/>
      <c r="L1737" s="22"/>
      <c r="M1737" s="55"/>
      <c r="N1737" s="23" t="s">
        <v>200</v>
      </c>
      <c r="O1737" s="23" t="s">
        <v>200</v>
      </c>
      <c r="P1737" s="24"/>
      <c r="Q1737" s="23"/>
      <c r="R1737" s="25"/>
      <c r="S1737" s="26"/>
      <c r="T1737" s="16" t="b">
        <v>0</v>
      </c>
    </row>
    <row r="1738">
      <c r="A1738" s="4"/>
      <c r="B1738" s="5"/>
      <c r="C1738" s="13"/>
      <c r="D1738" s="39"/>
      <c r="E1738" s="7"/>
      <c r="F1738" s="34"/>
      <c r="G1738" s="8">
        <v>1899.0</v>
      </c>
      <c r="H1738" s="9"/>
      <c r="I1738" s="9"/>
      <c r="J1738" s="9"/>
      <c r="K1738" s="4"/>
      <c r="L1738" s="10"/>
      <c r="M1738" s="54"/>
      <c r="N1738" s="12" t="s">
        <v>200</v>
      </c>
      <c r="O1738" s="12" t="s">
        <v>200</v>
      </c>
      <c r="P1738" s="13"/>
      <c r="Q1738" s="12"/>
      <c r="R1738" s="14"/>
      <c r="S1738" s="15"/>
      <c r="T1738" s="4" t="b">
        <v>0</v>
      </c>
    </row>
    <row r="1739">
      <c r="A1739" s="16"/>
      <c r="B1739" s="17"/>
      <c r="C1739" s="24"/>
      <c r="D1739" s="44"/>
      <c r="E1739" s="19"/>
      <c r="F1739" s="35"/>
      <c r="G1739" s="20">
        <v>1899.0</v>
      </c>
      <c r="H1739" s="21"/>
      <c r="I1739" s="21"/>
      <c r="J1739" s="21"/>
      <c r="K1739" s="16"/>
      <c r="L1739" s="22"/>
      <c r="M1739" s="55"/>
      <c r="N1739" s="23" t="s">
        <v>200</v>
      </c>
      <c r="O1739" s="23" t="s">
        <v>200</v>
      </c>
      <c r="P1739" s="24"/>
      <c r="Q1739" s="23"/>
      <c r="R1739" s="25"/>
      <c r="S1739" s="26"/>
      <c r="T1739" s="16" t="b">
        <v>0</v>
      </c>
    </row>
    <row r="1740">
      <c r="A1740" s="4"/>
      <c r="B1740" s="5"/>
      <c r="C1740" s="13"/>
      <c r="D1740" s="39"/>
      <c r="E1740" s="7"/>
      <c r="F1740" s="34"/>
      <c r="G1740" s="8">
        <v>1899.0</v>
      </c>
      <c r="H1740" s="9"/>
      <c r="I1740" s="9"/>
      <c r="J1740" s="9"/>
      <c r="K1740" s="4"/>
      <c r="L1740" s="10"/>
      <c r="M1740" s="54"/>
      <c r="N1740" s="12" t="s">
        <v>200</v>
      </c>
      <c r="O1740" s="12" t="s">
        <v>200</v>
      </c>
      <c r="P1740" s="13"/>
      <c r="Q1740" s="12"/>
      <c r="R1740" s="14"/>
      <c r="S1740" s="15"/>
      <c r="T1740" s="4" t="b">
        <v>0</v>
      </c>
    </row>
    <row r="1741">
      <c r="A1741" s="16"/>
      <c r="B1741" s="17"/>
      <c r="C1741" s="24"/>
      <c r="D1741" s="44"/>
      <c r="E1741" s="19"/>
      <c r="F1741" s="35"/>
      <c r="G1741" s="20">
        <v>1899.0</v>
      </c>
      <c r="H1741" s="21"/>
      <c r="I1741" s="21"/>
      <c r="J1741" s="21"/>
      <c r="K1741" s="16"/>
      <c r="L1741" s="22"/>
      <c r="M1741" s="55"/>
      <c r="N1741" s="23" t="s">
        <v>200</v>
      </c>
      <c r="O1741" s="23" t="s">
        <v>200</v>
      </c>
      <c r="P1741" s="24"/>
      <c r="Q1741" s="23"/>
      <c r="R1741" s="25"/>
      <c r="S1741" s="26"/>
      <c r="T1741" s="16" t="b">
        <v>0</v>
      </c>
    </row>
    <row r="1742">
      <c r="A1742" s="4"/>
      <c r="B1742" s="5"/>
      <c r="C1742" s="13"/>
      <c r="D1742" s="39"/>
      <c r="E1742" s="7"/>
      <c r="F1742" s="34"/>
      <c r="G1742" s="8">
        <v>1899.0</v>
      </c>
      <c r="H1742" s="9"/>
      <c r="I1742" s="9"/>
      <c r="J1742" s="9"/>
      <c r="K1742" s="4"/>
      <c r="L1742" s="10"/>
      <c r="M1742" s="54"/>
      <c r="N1742" s="12" t="s">
        <v>200</v>
      </c>
      <c r="O1742" s="12" t="s">
        <v>200</v>
      </c>
      <c r="P1742" s="13"/>
      <c r="Q1742" s="12"/>
      <c r="R1742" s="14"/>
      <c r="S1742" s="15"/>
      <c r="T1742" s="4" t="b">
        <v>0</v>
      </c>
    </row>
    <row r="1743">
      <c r="A1743" s="16"/>
      <c r="B1743" s="17"/>
      <c r="C1743" s="24"/>
      <c r="D1743" s="44"/>
      <c r="E1743" s="19"/>
      <c r="F1743" s="35"/>
      <c r="G1743" s="20">
        <v>1899.0</v>
      </c>
      <c r="H1743" s="21"/>
      <c r="I1743" s="21"/>
      <c r="J1743" s="21"/>
      <c r="K1743" s="16"/>
      <c r="L1743" s="22"/>
      <c r="M1743" s="55"/>
      <c r="N1743" s="23" t="s">
        <v>200</v>
      </c>
      <c r="O1743" s="23" t="s">
        <v>200</v>
      </c>
      <c r="P1743" s="24"/>
      <c r="Q1743" s="23"/>
      <c r="R1743" s="25"/>
      <c r="S1743" s="26"/>
      <c r="T1743" s="16" t="b">
        <v>0</v>
      </c>
    </row>
    <row r="1744">
      <c r="A1744" s="4"/>
      <c r="B1744" s="5"/>
      <c r="C1744" s="13"/>
      <c r="D1744" s="39"/>
      <c r="E1744" s="7"/>
      <c r="F1744" s="34"/>
      <c r="G1744" s="8">
        <v>1899.0</v>
      </c>
      <c r="H1744" s="9"/>
      <c r="I1744" s="9"/>
      <c r="J1744" s="9"/>
      <c r="K1744" s="4"/>
      <c r="L1744" s="10"/>
      <c r="M1744" s="54"/>
      <c r="N1744" s="12" t="s">
        <v>200</v>
      </c>
      <c r="O1744" s="12" t="s">
        <v>200</v>
      </c>
      <c r="P1744" s="13"/>
      <c r="Q1744" s="12"/>
      <c r="R1744" s="14"/>
      <c r="S1744" s="15"/>
      <c r="T1744" s="4" t="b">
        <v>0</v>
      </c>
    </row>
    <row r="1745">
      <c r="A1745" s="16"/>
      <c r="B1745" s="17"/>
      <c r="C1745" s="24"/>
      <c r="D1745" s="44"/>
      <c r="E1745" s="19"/>
      <c r="F1745" s="35"/>
      <c r="G1745" s="20">
        <v>1899.0</v>
      </c>
      <c r="H1745" s="21"/>
      <c r="I1745" s="21"/>
      <c r="J1745" s="21"/>
      <c r="K1745" s="16"/>
      <c r="L1745" s="22"/>
      <c r="M1745" s="55"/>
      <c r="N1745" s="23" t="s">
        <v>200</v>
      </c>
      <c r="O1745" s="23" t="s">
        <v>200</v>
      </c>
      <c r="P1745" s="24"/>
      <c r="Q1745" s="23"/>
      <c r="R1745" s="25"/>
      <c r="S1745" s="26"/>
      <c r="T1745" s="16" t="b">
        <v>0</v>
      </c>
    </row>
    <row r="1746">
      <c r="A1746" s="4"/>
      <c r="B1746" s="5"/>
      <c r="C1746" s="13"/>
      <c r="D1746" s="39"/>
      <c r="E1746" s="7"/>
      <c r="F1746" s="34"/>
      <c r="G1746" s="8">
        <v>1899.0</v>
      </c>
      <c r="H1746" s="9"/>
      <c r="I1746" s="9"/>
      <c r="J1746" s="9"/>
      <c r="K1746" s="4"/>
      <c r="L1746" s="10"/>
      <c r="M1746" s="54"/>
      <c r="N1746" s="12" t="s">
        <v>200</v>
      </c>
      <c r="O1746" s="12" t="s">
        <v>200</v>
      </c>
      <c r="P1746" s="13"/>
      <c r="Q1746" s="12"/>
      <c r="R1746" s="14"/>
      <c r="S1746" s="15"/>
      <c r="T1746" s="4" t="b">
        <v>0</v>
      </c>
    </row>
    <row r="1747">
      <c r="A1747" s="16"/>
      <c r="B1747" s="17"/>
      <c r="C1747" s="24"/>
      <c r="D1747" s="44"/>
      <c r="E1747" s="19"/>
      <c r="F1747" s="35"/>
      <c r="G1747" s="20">
        <v>1899.0</v>
      </c>
      <c r="H1747" s="21"/>
      <c r="I1747" s="21"/>
      <c r="J1747" s="21"/>
      <c r="K1747" s="16"/>
      <c r="L1747" s="22"/>
      <c r="M1747" s="55"/>
      <c r="N1747" s="23" t="s">
        <v>200</v>
      </c>
      <c r="O1747" s="23" t="s">
        <v>200</v>
      </c>
      <c r="P1747" s="24"/>
      <c r="Q1747" s="23"/>
      <c r="R1747" s="25"/>
      <c r="S1747" s="26"/>
      <c r="T1747" s="16" t="b">
        <v>0</v>
      </c>
    </row>
    <row r="1748">
      <c r="A1748" s="4"/>
      <c r="B1748" s="5"/>
      <c r="C1748" s="13"/>
      <c r="D1748" s="39"/>
      <c r="E1748" s="7"/>
      <c r="F1748" s="34"/>
      <c r="G1748" s="8">
        <v>1899.0</v>
      </c>
      <c r="H1748" s="9"/>
      <c r="I1748" s="9"/>
      <c r="J1748" s="9"/>
      <c r="K1748" s="4"/>
      <c r="L1748" s="10"/>
      <c r="M1748" s="54"/>
      <c r="N1748" s="12" t="s">
        <v>200</v>
      </c>
      <c r="O1748" s="12" t="s">
        <v>200</v>
      </c>
      <c r="P1748" s="13"/>
      <c r="Q1748" s="12"/>
      <c r="R1748" s="14"/>
      <c r="S1748" s="15"/>
      <c r="T1748" s="4" t="b">
        <v>0</v>
      </c>
    </row>
    <row r="1749">
      <c r="A1749" s="16"/>
      <c r="B1749" s="17"/>
      <c r="C1749" s="24"/>
      <c r="D1749" s="44"/>
      <c r="E1749" s="19"/>
      <c r="F1749" s="35"/>
      <c r="G1749" s="20">
        <v>1899.0</v>
      </c>
      <c r="H1749" s="21"/>
      <c r="I1749" s="21"/>
      <c r="J1749" s="21"/>
      <c r="K1749" s="16"/>
      <c r="L1749" s="22"/>
      <c r="M1749" s="55"/>
      <c r="N1749" s="23" t="s">
        <v>200</v>
      </c>
      <c r="O1749" s="23" t="s">
        <v>200</v>
      </c>
      <c r="P1749" s="24"/>
      <c r="Q1749" s="23"/>
      <c r="R1749" s="25"/>
      <c r="S1749" s="26"/>
      <c r="T1749" s="16" t="b">
        <v>0</v>
      </c>
    </row>
    <row r="1750">
      <c r="A1750" s="4"/>
      <c r="B1750" s="5"/>
      <c r="C1750" s="13"/>
      <c r="D1750" s="39"/>
      <c r="E1750" s="7"/>
      <c r="F1750" s="34"/>
      <c r="G1750" s="8">
        <v>1899.0</v>
      </c>
      <c r="H1750" s="9"/>
      <c r="I1750" s="9"/>
      <c r="J1750" s="9"/>
      <c r="K1750" s="4"/>
      <c r="L1750" s="10"/>
      <c r="M1750" s="54"/>
      <c r="N1750" s="12" t="s">
        <v>200</v>
      </c>
      <c r="O1750" s="12" t="s">
        <v>200</v>
      </c>
      <c r="P1750" s="13"/>
      <c r="Q1750" s="12"/>
      <c r="R1750" s="14"/>
      <c r="S1750" s="15"/>
      <c r="T1750" s="4" t="b">
        <v>0</v>
      </c>
    </row>
    <row r="1751">
      <c r="A1751" s="16"/>
      <c r="B1751" s="17"/>
      <c r="C1751" s="24"/>
      <c r="D1751" s="44"/>
      <c r="E1751" s="19"/>
      <c r="F1751" s="35"/>
      <c r="G1751" s="20">
        <v>1899.0</v>
      </c>
      <c r="H1751" s="21"/>
      <c r="I1751" s="21"/>
      <c r="J1751" s="21"/>
      <c r="K1751" s="16"/>
      <c r="L1751" s="22"/>
      <c r="M1751" s="55"/>
      <c r="N1751" s="23" t="s">
        <v>200</v>
      </c>
      <c r="O1751" s="23" t="s">
        <v>200</v>
      </c>
      <c r="P1751" s="24"/>
      <c r="Q1751" s="23"/>
      <c r="R1751" s="25"/>
      <c r="S1751" s="26"/>
      <c r="T1751" s="16" t="b">
        <v>0</v>
      </c>
    </row>
    <row r="1752">
      <c r="A1752" s="4"/>
      <c r="B1752" s="5"/>
      <c r="C1752" s="13"/>
      <c r="D1752" s="39"/>
      <c r="E1752" s="7"/>
      <c r="F1752" s="34"/>
      <c r="G1752" s="8">
        <v>1899.0</v>
      </c>
      <c r="H1752" s="9"/>
      <c r="I1752" s="9"/>
      <c r="J1752" s="9"/>
      <c r="K1752" s="4"/>
      <c r="L1752" s="10"/>
      <c r="M1752" s="54"/>
      <c r="N1752" s="12" t="s">
        <v>200</v>
      </c>
      <c r="O1752" s="12" t="s">
        <v>200</v>
      </c>
      <c r="P1752" s="13"/>
      <c r="Q1752" s="12"/>
      <c r="R1752" s="14"/>
      <c r="S1752" s="15"/>
      <c r="T1752" s="4" t="b">
        <v>0</v>
      </c>
    </row>
    <row r="1753">
      <c r="A1753" s="16"/>
      <c r="B1753" s="17"/>
      <c r="C1753" s="24"/>
      <c r="D1753" s="44"/>
      <c r="E1753" s="19"/>
      <c r="F1753" s="35"/>
      <c r="G1753" s="20">
        <v>1899.0</v>
      </c>
      <c r="H1753" s="21"/>
      <c r="I1753" s="21"/>
      <c r="J1753" s="21"/>
      <c r="K1753" s="16"/>
      <c r="L1753" s="22"/>
      <c r="M1753" s="55"/>
      <c r="N1753" s="23" t="s">
        <v>200</v>
      </c>
      <c r="O1753" s="23" t="s">
        <v>200</v>
      </c>
      <c r="P1753" s="24"/>
      <c r="Q1753" s="23"/>
      <c r="R1753" s="25"/>
      <c r="S1753" s="26"/>
      <c r="T1753" s="16" t="b">
        <v>0</v>
      </c>
    </row>
    <row r="1754">
      <c r="A1754" s="4"/>
      <c r="B1754" s="5"/>
      <c r="C1754" s="13"/>
      <c r="D1754" s="39"/>
      <c r="E1754" s="7"/>
      <c r="F1754" s="34"/>
      <c r="G1754" s="8">
        <v>1899.0</v>
      </c>
      <c r="H1754" s="9"/>
      <c r="I1754" s="9"/>
      <c r="J1754" s="9"/>
      <c r="K1754" s="4"/>
      <c r="L1754" s="10"/>
      <c r="M1754" s="54"/>
      <c r="N1754" s="12" t="s">
        <v>200</v>
      </c>
      <c r="O1754" s="12" t="s">
        <v>200</v>
      </c>
      <c r="P1754" s="13"/>
      <c r="Q1754" s="12"/>
      <c r="R1754" s="14"/>
      <c r="S1754" s="15"/>
      <c r="T1754" s="4" t="b">
        <v>0</v>
      </c>
    </row>
    <row r="1755">
      <c r="A1755" s="16"/>
      <c r="B1755" s="17"/>
      <c r="C1755" s="24"/>
      <c r="D1755" s="44"/>
      <c r="E1755" s="19"/>
      <c r="F1755" s="35"/>
      <c r="G1755" s="20">
        <v>1899.0</v>
      </c>
      <c r="H1755" s="21"/>
      <c r="I1755" s="21"/>
      <c r="J1755" s="21"/>
      <c r="K1755" s="16"/>
      <c r="L1755" s="22"/>
      <c r="M1755" s="55"/>
      <c r="N1755" s="23" t="s">
        <v>200</v>
      </c>
      <c r="O1755" s="23" t="s">
        <v>200</v>
      </c>
      <c r="P1755" s="24"/>
      <c r="Q1755" s="23"/>
      <c r="R1755" s="25"/>
      <c r="S1755" s="26"/>
      <c r="T1755" s="16" t="b">
        <v>0</v>
      </c>
    </row>
    <row r="1756">
      <c r="A1756" s="4"/>
      <c r="B1756" s="5"/>
      <c r="C1756" s="13"/>
      <c r="D1756" s="39"/>
      <c r="E1756" s="7"/>
      <c r="F1756" s="34"/>
      <c r="G1756" s="8">
        <v>1899.0</v>
      </c>
      <c r="H1756" s="9"/>
      <c r="I1756" s="9"/>
      <c r="J1756" s="9"/>
      <c r="K1756" s="4"/>
      <c r="L1756" s="10"/>
      <c r="M1756" s="54"/>
      <c r="N1756" s="12" t="s">
        <v>200</v>
      </c>
      <c r="O1756" s="12" t="s">
        <v>200</v>
      </c>
      <c r="P1756" s="13"/>
      <c r="Q1756" s="12"/>
      <c r="R1756" s="14"/>
      <c r="S1756" s="15"/>
      <c r="T1756" s="4" t="b">
        <v>0</v>
      </c>
    </row>
    <row r="1757">
      <c r="A1757" s="16"/>
      <c r="B1757" s="17"/>
      <c r="C1757" s="24"/>
      <c r="D1757" s="44"/>
      <c r="E1757" s="19"/>
      <c r="F1757" s="35"/>
      <c r="G1757" s="20">
        <v>1899.0</v>
      </c>
      <c r="H1757" s="21"/>
      <c r="I1757" s="21"/>
      <c r="J1757" s="21"/>
      <c r="K1757" s="16"/>
      <c r="L1757" s="22"/>
      <c r="M1757" s="55"/>
      <c r="N1757" s="23" t="s">
        <v>200</v>
      </c>
      <c r="O1757" s="23" t="s">
        <v>200</v>
      </c>
      <c r="P1757" s="24"/>
      <c r="Q1757" s="23"/>
      <c r="R1757" s="25"/>
      <c r="S1757" s="26"/>
      <c r="T1757" s="16" t="b">
        <v>0</v>
      </c>
    </row>
    <row r="1758">
      <c r="A1758" s="4"/>
      <c r="B1758" s="5"/>
      <c r="C1758" s="13"/>
      <c r="D1758" s="39"/>
      <c r="E1758" s="7"/>
      <c r="F1758" s="34"/>
      <c r="G1758" s="8">
        <v>1899.0</v>
      </c>
      <c r="H1758" s="9"/>
      <c r="I1758" s="9"/>
      <c r="J1758" s="9"/>
      <c r="K1758" s="4"/>
      <c r="L1758" s="10"/>
      <c r="M1758" s="54"/>
      <c r="N1758" s="12" t="s">
        <v>200</v>
      </c>
      <c r="O1758" s="12" t="s">
        <v>200</v>
      </c>
      <c r="P1758" s="13"/>
      <c r="Q1758" s="12"/>
      <c r="R1758" s="14"/>
      <c r="S1758" s="15"/>
      <c r="T1758" s="4" t="b">
        <v>0</v>
      </c>
    </row>
    <row r="1759">
      <c r="A1759" s="16"/>
      <c r="B1759" s="17"/>
      <c r="C1759" s="24"/>
      <c r="D1759" s="44"/>
      <c r="E1759" s="19"/>
      <c r="F1759" s="35"/>
      <c r="G1759" s="20">
        <v>1899.0</v>
      </c>
      <c r="H1759" s="21"/>
      <c r="I1759" s="21"/>
      <c r="J1759" s="21"/>
      <c r="K1759" s="16"/>
      <c r="L1759" s="22"/>
      <c r="M1759" s="55"/>
      <c r="N1759" s="23" t="s">
        <v>200</v>
      </c>
      <c r="O1759" s="23" t="s">
        <v>200</v>
      </c>
      <c r="P1759" s="24"/>
      <c r="Q1759" s="23"/>
      <c r="R1759" s="25"/>
      <c r="S1759" s="26"/>
      <c r="T1759" s="16" t="b">
        <v>0</v>
      </c>
    </row>
    <row r="1760">
      <c r="A1760" s="4"/>
      <c r="B1760" s="5"/>
      <c r="C1760" s="13"/>
      <c r="D1760" s="39"/>
      <c r="E1760" s="7"/>
      <c r="F1760" s="34"/>
      <c r="G1760" s="8">
        <v>1899.0</v>
      </c>
      <c r="H1760" s="9"/>
      <c r="I1760" s="9"/>
      <c r="J1760" s="9"/>
      <c r="K1760" s="4"/>
      <c r="L1760" s="10"/>
      <c r="M1760" s="54"/>
      <c r="N1760" s="12" t="s">
        <v>200</v>
      </c>
      <c r="O1760" s="12" t="s">
        <v>200</v>
      </c>
      <c r="P1760" s="13"/>
      <c r="Q1760" s="12"/>
      <c r="R1760" s="14"/>
      <c r="S1760" s="15"/>
      <c r="T1760" s="4" t="b">
        <v>0</v>
      </c>
    </row>
    <row r="1761">
      <c r="A1761" s="16"/>
      <c r="B1761" s="17"/>
      <c r="C1761" s="24"/>
      <c r="D1761" s="44"/>
      <c r="E1761" s="19"/>
      <c r="F1761" s="35"/>
      <c r="G1761" s="20">
        <v>1899.0</v>
      </c>
      <c r="H1761" s="21"/>
      <c r="I1761" s="21"/>
      <c r="J1761" s="21"/>
      <c r="K1761" s="16"/>
      <c r="L1761" s="22"/>
      <c r="M1761" s="55"/>
      <c r="N1761" s="23" t="s">
        <v>200</v>
      </c>
      <c r="O1761" s="23" t="s">
        <v>200</v>
      </c>
      <c r="P1761" s="24"/>
      <c r="Q1761" s="23"/>
      <c r="R1761" s="25"/>
      <c r="S1761" s="26"/>
      <c r="T1761" s="16" t="b">
        <v>0</v>
      </c>
    </row>
    <row r="1762">
      <c r="A1762" s="4"/>
      <c r="B1762" s="5"/>
      <c r="C1762" s="13"/>
      <c r="D1762" s="39"/>
      <c r="E1762" s="7"/>
      <c r="F1762" s="34"/>
      <c r="G1762" s="8">
        <v>1899.0</v>
      </c>
      <c r="H1762" s="9"/>
      <c r="I1762" s="9"/>
      <c r="J1762" s="9"/>
      <c r="K1762" s="4"/>
      <c r="L1762" s="10"/>
      <c r="M1762" s="54"/>
      <c r="N1762" s="12" t="s">
        <v>200</v>
      </c>
      <c r="O1762" s="12" t="s">
        <v>200</v>
      </c>
      <c r="P1762" s="13"/>
      <c r="Q1762" s="12"/>
      <c r="R1762" s="14"/>
      <c r="S1762" s="15"/>
      <c r="T1762" s="4" t="b">
        <v>0</v>
      </c>
    </row>
    <row r="1763">
      <c r="A1763" s="16"/>
      <c r="B1763" s="17"/>
      <c r="C1763" s="24"/>
      <c r="D1763" s="44"/>
      <c r="E1763" s="19"/>
      <c r="F1763" s="35"/>
      <c r="G1763" s="20">
        <v>1899.0</v>
      </c>
      <c r="H1763" s="21"/>
      <c r="I1763" s="21"/>
      <c r="J1763" s="21"/>
      <c r="K1763" s="16"/>
      <c r="L1763" s="22"/>
      <c r="M1763" s="55"/>
      <c r="N1763" s="23" t="s">
        <v>200</v>
      </c>
      <c r="O1763" s="23" t="s">
        <v>200</v>
      </c>
      <c r="P1763" s="24"/>
      <c r="Q1763" s="23"/>
      <c r="R1763" s="25"/>
      <c r="S1763" s="26"/>
      <c r="T1763" s="16" t="b">
        <v>0</v>
      </c>
    </row>
    <row r="1764">
      <c r="A1764" s="4"/>
      <c r="B1764" s="5"/>
      <c r="C1764" s="13"/>
      <c r="D1764" s="39"/>
      <c r="E1764" s="7"/>
      <c r="F1764" s="34"/>
      <c r="G1764" s="8">
        <v>1899.0</v>
      </c>
      <c r="H1764" s="9"/>
      <c r="I1764" s="9"/>
      <c r="J1764" s="9"/>
      <c r="K1764" s="4"/>
      <c r="L1764" s="10"/>
      <c r="M1764" s="54"/>
      <c r="N1764" s="12" t="s">
        <v>200</v>
      </c>
      <c r="O1764" s="12" t="s">
        <v>200</v>
      </c>
      <c r="P1764" s="13"/>
      <c r="Q1764" s="12"/>
      <c r="R1764" s="14"/>
      <c r="S1764" s="15"/>
      <c r="T1764" s="4" t="b">
        <v>0</v>
      </c>
    </row>
    <row r="1765">
      <c r="A1765" s="16"/>
      <c r="B1765" s="17"/>
      <c r="C1765" s="24"/>
      <c r="D1765" s="44"/>
      <c r="E1765" s="19"/>
      <c r="F1765" s="35"/>
      <c r="G1765" s="20">
        <v>1899.0</v>
      </c>
      <c r="H1765" s="21"/>
      <c r="I1765" s="21"/>
      <c r="J1765" s="21"/>
      <c r="K1765" s="16"/>
      <c r="L1765" s="22"/>
      <c r="M1765" s="55"/>
      <c r="N1765" s="23" t="s">
        <v>200</v>
      </c>
      <c r="O1765" s="23" t="s">
        <v>200</v>
      </c>
      <c r="P1765" s="24"/>
      <c r="Q1765" s="23"/>
      <c r="R1765" s="25"/>
      <c r="S1765" s="26"/>
      <c r="T1765" s="16" t="b">
        <v>0</v>
      </c>
    </row>
    <row r="1766">
      <c r="A1766" s="4"/>
      <c r="B1766" s="5"/>
      <c r="C1766" s="13"/>
      <c r="D1766" s="39"/>
      <c r="E1766" s="7"/>
      <c r="F1766" s="34"/>
      <c r="G1766" s="8">
        <v>1899.0</v>
      </c>
      <c r="H1766" s="9"/>
      <c r="I1766" s="9"/>
      <c r="J1766" s="9"/>
      <c r="K1766" s="4"/>
      <c r="L1766" s="10"/>
      <c r="M1766" s="54"/>
      <c r="N1766" s="12" t="s">
        <v>200</v>
      </c>
      <c r="O1766" s="12" t="s">
        <v>200</v>
      </c>
      <c r="P1766" s="13"/>
      <c r="Q1766" s="12"/>
      <c r="R1766" s="14"/>
      <c r="S1766" s="15"/>
      <c r="T1766" s="4" t="b">
        <v>0</v>
      </c>
    </row>
    <row r="1767">
      <c r="A1767" s="16"/>
      <c r="B1767" s="17"/>
      <c r="C1767" s="24"/>
      <c r="D1767" s="44"/>
      <c r="E1767" s="19"/>
      <c r="F1767" s="35"/>
      <c r="G1767" s="20">
        <v>1899.0</v>
      </c>
      <c r="H1767" s="21"/>
      <c r="I1767" s="21"/>
      <c r="J1767" s="21"/>
      <c r="K1767" s="16"/>
      <c r="L1767" s="22"/>
      <c r="M1767" s="55"/>
      <c r="N1767" s="23" t="s">
        <v>200</v>
      </c>
      <c r="O1767" s="23" t="s">
        <v>200</v>
      </c>
      <c r="P1767" s="24"/>
      <c r="Q1767" s="23"/>
      <c r="R1767" s="25"/>
      <c r="S1767" s="26"/>
      <c r="T1767" s="16" t="b">
        <v>0</v>
      </c>
    </row>
    <row r="1768">
      <c r="A1768" s="4"/>
      <c r="B1768" s="5"/>
      <c r="C1768" s="13"/>
      <c r="D1768" s="39"/>
      <c r="E1768" s="7"/>
      <c r="F1768" s="34"/>
      <c r="G1768" s="8">
        <v>1899.0</v>
      </c>
      <c r="H1768" s="9"/>
      <c r="I1768" s="9"/>
      <c r="J1768" s="9"/>
      <c r="K1768" s="4"/>
      <c r="L1768" s="10"/>
      <c r="M1768" s="54"/>
      <c r="N1768" s="12" t="s">
        <v>200</v>
      </c>
      <c r="O1768" s="12" t="s">
        <v>200</v>
      </c>
      <c r="P1768" s="13"/>
      <c r="Q1768" s="12"/>
      <c r="R1768" s="14"/>
      <c r="S1768" s="15"/>
      <c r="T1768" s="4" t="b">
        <v>0</v>
      </c>
    </row>
    <row r="1769">
      <c r="A1769" s="16"/>
      <c r="B1769" s="17"/>
      <c r="C1769" s="24"/>
      <c r="D1769" s="44"/>
      <c r="E1769" s="19"/>
      <c r="F1769" s="35"/>
      <c r="G1769" s="20">
        <v>1899.0</v>
      </c>
      <c r="H1769" s="21"/>
      <c r="I1769" s="21"/>
      <c r="J1769" s="21"/>
      <c r="K1769" s="16"/>
      <c r="L1769" s="22"/>
      <c r="M1769" s="55"/>
      <c r="N1769" s="23" t="s">
        <v>200</v>
      </c>
      <c r="O1769" s="23" t="s">
        <v>200</v>
      </c>
      <c r="P1769" s="24"/>
      <c r="Q1769" s="23"/>
      <c r="R1769" s="25"/>
      <c r="S1769" s="26"/>
      <c r="T1769" s="16" t="b">
        <v>0</v>
      </c>
    </row>
    <row r="1770">
      <c r="A1770" s="4"/>
      <c r="B1770" s="5"/>
      <c r="C1770" s="13"/>
      <c r="D1770" s="39"/>
      <c r="E1770" s="7"/>
      <c r="F1770" s="34"/>
      <c r="G1770" s="8">
        <v>1899.0</v>
      </c>
      <c r="H1770" s="9"/>
      <c r="I1770" s="9"/>
      <c r="J1770" s="9"/>
      <c r="K1770" s="4"/>
      <c r="L1770" s="10"/>
      <c r="M1770" s="54"/>
      <c r="N1770" s="12" t="s">
        <v>200</v>
      </c>
      <c r="O1770" s="12" t="s">
        <v>200</v>
      </c>
      <c r="P1770" s="13"/>
      <c r="Q1770" s="12"/>
      <c r="R1770" s="14"/>
      <c r="S1770" s="15"/>
      <c r="T1770" s="4" t="b">
        <v>0</v>
      </c>
    </row>
    <row r="1771">
      <c r="A1771" s="16"/>
      <c r="B1771" s="17"/>
      <c r="C1771" s="24"/>
      <c r="D1771" s="44"/>
      <c r="E1771" s="19"/>
      <c r="F1771" s="35"/>
      <c r="G1771" s="20">
        <v>1899.0</v>
      </c>
      <c r="H1771" s="21"/>
      <c r="I1771" s="21"/>
      <c r="J1771" s="21"/>
      <c r="K1771" s="16"/>
      <c r="L1771" s="22"/>
      <c r="M1771" s="55"/>
      <c r="N1771" s="23" t="s">
        <v>200</v>
      </c>
      <c r="O1771" s="23" t="s">
        <v>200</v>
      </c>
      <c r="P1771" s="24"/>
      <c r="Q1771" s="23"/>
      <c r="R1771" s="25"/>
      <c r="S1771" s="26"/>
      <c r="T1771" s="16" t="b">
        <v>0</v>
      </c>
    </row>
    <row r="1772">
      <c r="A1772" s="4"/>
      <c r="B1772" s="5"/>
      <c r="C1772" s="13"/>
      <c r="D1772" s="39"/>
      <c r="E1772" s="7"/>
      <c r="F1772" s="34"/>
      <c r="G1772" s="8">
        <v>1899.0</v>
      </c>
      <c r="H1772" s="9"/>
      <c r="I1772" s="9"/>
      <c r="J1772" s="9"/>
      <c r="K1772" s="4"/>
      <c r="L1772" s="10"/>
      <c r="M1772" s="54"/>
      <c r="N1772" s="12" t="s">
        <v>200</v>
      </c>
      <c r="O1772" s="12" t="s">
        <v>200</v>
      </c>
      <c r="P1772" s="13"/>
      <c r="Q1772" s="12"/>
      <c r="R1772" s="14"/>
      <c r="S1772" s="15"/>
      <c r="T1772" s="4" t="b">
        <v>0</v>
      </c>
    </row>
    <row r="1773">
      <c r="A1773" s="16"/>
      <c r="B1773" s="17"/>
      <c r="C1773" s="24"/>
      <c r="D1773" s="44"/>
      <c r="E1773" s="19"/>
      <c r="F1773" s="35"/>
      <c r="G1773" s="20">
        <v>1899.0</v>
      </c>
      <c r="H1773" s="21"/>
      <c r="I1773" s="21"/>
      <c r="J1773" s="21"/>
      <c r="K1773" s="16"/>
      <c r="L1773" s="22"/>
      <c r="M1773" s="55"/>
      <c r="N1773" s="23" t="s">
        <v>200</v>
      </c>
      <c r="O1773" s="23" t="s">
        <v>200</v>
      </c>
      <c r="P1773" s="24"/>
      <c r="Q1773" s="23"/>
      <c r="R1773" s="25"/>
      <c r="S1773" s="26"/>
      <c r="T1773" s="16" t="b">
        <v>0</v>
      </c>
    </row>
    <row r="1774">
      <c r="A1774" s="4"/>
      <c r="B1774" s="5"/>
      <c r="C1774" s="13"/>
      <c r="D1774" s="39"/>
      <c r="E1774" s="7"/>
      <c r="F1774" s="34"/>
      <c r="G1774" s="8">
        <v>1899.0</v>
      </c>
      <c r="H1774" s="9"/>
      <c r="I1774" s="9"/>
      <c r="J1774" s="9"/>
      <c r="K1774" s="4"/>
      <c r="L1774" s="10"/>
      <c r="M1774" s="54"/>
      <c r="N1774" s="12" t="s">
        <v>200</v>
      </c>
      <c r="O1774" s="12" t="s">
        <v>200</v>
      </c>
      <c r="P1774" s="13"/>
      <c r="Q1774" s="12"/>
      <c r="R1774" s="14"/>
      <c r="S1774" s="15"/>
      <c r="T1774" s="4" t="b">
        <v>0</v>
      </c>
    </row>
    <row r="1775">
      <c r="A1775" s="16"/>
      <c r="B1775" s="17"/>
      <c r="C1775" s="24"/>
      <c r="D1775" s="44"/>
      <c r="E1775" s="19"/>
      <c r="F1775" s="35"/>
      <c r="G1775" s="20">
        <v>1899.0</v>
      </c>
      <c r="H1775" s="21"/>
      <c r="I1775" s="21"/>
      <c r="J1775" s="21"/>
      <c r="K1775" s="16"/>
      <c r="L1775" s="22"/>
      <c r="M1775" s="55"/>
      <c r="N1775" s="23" t="s">
        <v>200</v>
      </c>
      <c r="O1775" s="23" t="s">
        <v>200</v>
      </c>
      <c r="P1775" s="24"/>
      <c r="Q1775" s="23"/>
      <c r="R1775" s="25"/>
      <c r="S1775" s="26"/>
      <c r="T1775" s="16" t="b">
        <v>0</v>
      </c>
    </row>
    <row r="1776">
      <c r="A1776" s="4"/>
      <c r="B1776" s="5"/>
      <c r="C1776" s="13"/>
      <c r="D1776" s="39"/>
      <c r="E1776" s="7"/>
      <c r="F1776" s="34"/>
      <c r="G1776" s="8">
        <v>1899.0</v>
      </c>
      <c r="H1776" s="9"/>
      <c r="I1776" s="9"/>
      <c r="J1776" s="9"/>
      <c r="K1776" s="4"/>
      <c r="L1776" s="10"/>
      <c r="M1776" s="54"/>
      <c r="N1776" s="12" t="s">
        <v>200</v>
      </c>
      <c r="O1776" s="12" t="s">
        <v>200</v>
      </c>
      <c r="P1776" s="13"/>
      <c r="Q1776" s="12"/>
      <c r="R1776" s="14"/>
      <c r="S1776" s="15"/>
      <c r="T1776" s="4" t="b">
        <v>0</v>
      </c>
    </row>
    <row r="1777">
      <c r="A1777" s="16"/>
      <c r="B1777" s="17"/>
      <c r="C1777" s="24"/>
      <c r="D1777" s="44"/>
      <c r="E1777" s="19"/>
      <c r="F1777" s="35"/>
      <c r="G1777" s="20">
        <v>1899.0</v>
      </c>
      <c r="H1777" s="21"/>
      <c r="I1777" s="21"/>
      <c r="J1777" s="21"/>
      <c r="K1777" s="16"/>
      <c r="L1777" s="22"/>
      <c r="M1777" s="55"/>
      <c r="N1777" s="23" t="s">
        <v>200</v>
      </c>
      <c r="O1777" s="23" t="s">
        <v>200</v>
      </c>
      <c r="P1777" s="24"/>
      <c r="Q1777" s="23"/>
      <c r="R1777" s="25"/>
      <c r="S1777" s="26"/>
      <c r="T1777" s="16" t="b">
        <v>0</v>
      </c>
    </row>
    <row r="1778">
      <c r="A1778" s="4"/>
      <c r="B1778" s="5"/>
      <c r="C1778" s="13"/>
      <c r="D1778" s="39"/>
      <c r="E1778" s="7"/>
      <c r="F1778" s="34"/>
      <c r="G1778" s="8">
        <v>1899.0</v>
      </c>
      <c r="H1778" s="9"/>
      <c r="I1778" s="9"/>
      <c r="J1778" s="9"/>
      <c r="K1778" s="4"/>
      <c r="L1778" s="10"/>
      <c r="M1778" s="54"/>
      <c r="N1778" s="12" t="s">
        <v>200</v>
      </c>
      <c r="O1778" s="12" t="s">
        <v>200</v>
      </c>
      <c r="P1778" s="13"/>
      <c r="Q1778" s="12"/>
      <c r="R1778" s="14"/>
      <c r="S1778" s="15"/>
      <c r="T1778" s="4" t="b">
        <v>0</v>
      </c>
    </row>
    <row r="1779">
      <c r="A1779" s="16"/>
      <c r="B1779" s="17"/>
      <c r="C1779" s="24"/>
      <c r="D1779" s="44"/>
      <c r="E1779" s="19"/>
      <c r="F1779" s="35"/>
      <c r="G1779" s="20">
        <v>1899.0</v>
      </c>
      <c r="H1779" s="21"/>
      <c r="I1779" s="21"/>
      <c r="J1779" s="21"/>
      <c r="K1779" s="16"/>
      <c r="L1779" s="22"/>
      <c r="M1779" s="55"/>
      <c r="N1779" s="23" t="s">
        <v>200</v>
      </c>
      <c r="O1779" s="23" t="s">
        <v>200</v>
      </c>
      <c r="P1779" s="24"/>
      <c r="Q1779" s="23"/>
      <c r="R1779" s="25"/>
      <c r="S1779" s="26"/>
      <c r="T1779" s="16" t="b">
        <v>0</v>
      </c>
    </row>
    <row r="1780">
      <c r="A1780" s="4"/>
      <c r="B1780" s="5"/>
      <c r="C1780" s="13"/>
      <c r="D1780" s="39"/>
      <c r="E1780" s="7"/>
      <c r="F1780" s="34"/>
      <c r="G1780" s="8">
        <v>1899.0</v>
      </c>
      <c r="H1780" s="9"/>
      <c r="I1780" s="9"/>
      <c r="J1780" s="9"/>
      <c r="K1780" s="4"/>
      <c r="L1780" s="10"/>
      <c r="M1780" s="54"/>
      <c r="N1780" s="12" t="s">
        <v>200</v>
      </c>
      <c r="O1780" s="12" t="s">
        <v>200</v>
      </c>
      <c r="P1780" s="13"/>
      <c r="Q1780" s="12"/>
      <c r="R1780" s="14"/>
      <c r="S1780" s="15"/>
      <c r="T1780" s="4" t="b">
        <v>0</v>
      </c>
    </row>
    <row r="1781">
      <c r="A1781" s="16"/>
      <c r="B1781" s="17"/>
      <c r="C1781" s="24"/>
      <c r="D1781" s="44"/>
      <c r="E1781" s="19"/>
      <c r="F1781" s="35"/>
      <c r="G1781" s="20">
        <v>1899.0</v>
      </c>
      <c r="H1781" s="21"/>
      <c r="I1781" s="21"/>
      <c r="J1781" s="21"/>
      <c r="K1781" s="16"/>
      <c r="L1781" s="22"/>
      <c r="M1781" s="55"/>
      <c r="N1781" s="23" t="s">
        <v>200</v>
      </c>
      <c r="O1781" s="23" t="s">
        <v>200</v>
      </c>
      <c r="P1781" s="24"/>
      <c r="Q1781" s="23"/>
      <c r="R1781" s="25"/>
      <c r="S1781" s="26"/>
      <c r="T1781" s="16" t="b">
        <v>0</v>
      </c>
    </row>
    <row r="1782">
      <c r="A1782" s="4"/>
      <c r="B1782" s="5"/>
      <c r="C1782" s="13"/>
      <c r="D1782" s="39"/>
      <c r="E1782" s="7"/>
      <c r="F1782" s="34"/>
      <c r="G1782" s="8">
        <v>1899.0</v>
      </c>
      <c r="H1782" s="9"/>
      <c r="I1782" s="9"/>
      <c r="J1782" s="9"/>
      <c r="K1782" s="4"/>
      <c r="L1782" s="10"/>
      <c r="M1782" s="54"/>
      <c r="N1782" s="12" t="s">
        <v>200</v>
      </c>
      <c r="O1782" s="12" t="s">
        <v>200</v>
      </c>
      <c r="P1782" s="13"/>
      <c r="Q1782" s="12"/>
      <c r="R1782" s="14"/>
      <c r="S1782" s="15"/>
      <c r="T1782" s="4" t="b">
        <v>0</v>
      </c>
    </row>
    <row r="1783">
      <c r="A1783" s="16"/>
      <c r="B1783" s="17"/>
      <c r="C1783" s="24"/>
      <c r="D1783" s="44"/>
      <c r="E1783" s="19"/>
      <c r="F1783" s="35"/>
      <c r="G1783" s="20">
        <v>1899.0</v>
      </c>
      <c r="H1783" s="21"/>
      <c r="I1783" s="21"/>
      <c r="J1783" s="21"/>
      <c r="K1783" s="16"/>
      <c r="L1783" s="22"/>
      <c r="M1783" s="55"/>
      <c r="N1783" s="23" t="s">
        <v>200</v>
      </c>
      <c r="O1783" s="23" t="s">
        <v>200</v>
      </c>
      <c r="P1783" s="24"/>
      <c r="Q1783" s="23"/>
      <c r="R1783" s="25"/>
      <c r="S1783" s="26"/>
      <c r="T1783" s="16" t="b">
        <v>0</v>
      </c>
    </row>
    <row r="1784">
      <c r="A1784" s="4"/>
      <c r="B1784" s="5"/>
      <c r="C1784" s="13"/>
      <c r="D1784" s="39"/>
      <c r="E1784" s="7"/>
      <c r="F1784" s="34"/>
      <c r="G1784" s="8">
        <v>1899.0</v>
      </c>
      <c r="H1784" s="9"/>
      <c r="I1784" s="9"/>
      <c r="J1784" s="9"/>
      <c r="K1784" s="4"/>
      <c r="L1784" s="10"/>
      <c r="M1784" s="54"/>
      <c r="N1784" s="12" t="s">
        <v>200</v>
      </c>
      <c r="O1784" s="12" t="s">
        <v>200</v>
      </c>
      <c r="P1784" s="13"/>
      <c r="Q1784" s="12"/>
      <c r="R1784" s="14"/>
      <c r="S1784" s="15"/>
      <c r="T1784" s="4" t="b">
        <v>0</v>
      </c>
    </row>
    <row r="1785">
      <c r="A1785" s="16"/>
      <c r="B1785" s="17"/>
      <c r="C1785" s="24"/>
      <c r="D1785" s="44"/>
      <c r="E1785" s="19"/>
      <c r="F1785" s="35"/>
      <c r="G1785" s="20">
        <v>1899.0</v>
      </c>
      <c r="H1785" s="21"/>
      <c r="I1785" s="21"/>
      <c r="J1785" s="21"/>
      <c r="K1785" s="16"/>
      <c r="L1785" s="22"/>
      <c r="M1785" s="55"/>
      <c r="N1785" s="23" t="s">
        <v>200</v>
      </c>
      <c r="O1785" s="23" t="s">
        <v>200</v>
      </c>
      <c r="P1785" s="24"/>
      <c r="Q1785" s="23"/>
      <c r="R1785" s="25"/>
      <c r="S1785" s="26"/>
      <c r="T1785" s="16" t="b">
        <v>0</v>
      </c>
    </row>
    <row r="1786">
      <c r="A1786" s="4"/>
      <c r="B1786" s="5"/>
      <c r="C1786" s="13"/>
      <c r="D1786" s="39"/>
      <c r="E1786" s="7"/>
      <c r="F1786" s="34"/>
      <c r="G1786" s="8">
        <v>1899.0</v>
      </c>
      <c r="H1786" s="9"/>
      <c r="I1786" s="9"/>
      <c r="J1786" s="9"/>
      <c r="K1786" s="4"/>
      <c r="L1786" s="10"/>
      <c r="M1786" s="54"/>
      <c r="N1786" s="12" t="s">
        <v>200</v>
      </c>
      <c r="O1786" s="12" t="s">
        <v>200</v>
      </c>
      <c r="P1786" s="13"/>
      <c r="Q1786" s="12"/>
      <c r="R1786" s="14"/>
      <c r="S1786" s="15"/>
      <c r="T1786" s="4" t="b">
        <v>0</v>
      </c>
    </row>
    <row r="1787">
      <c r="A1787" s="16"/>
      <c r="B1787" s="17"/>
      <c r="C1787" s="24"/>
      <c r="D1787" s="44"/>
      <c r="E1787" s="19"/>
      <c r="F1787" s="35"/>
      <c r="G1787" s="20">
        <v>1899.0</v>
      </c>
      <c r="H1787" s="21"/>
      <c r="I1787" s="21"/>
      <c r="J1787" s="21"/>
      <c r="K1787" s="16"/>
      <c r="L1787" s="22"/>
      <c r="M1787" s="55"/>
      <c r="N1787" s="23" t="s">
        <v>200</v>
      </c>
      <c r="O1787" s="23" t="s">
        <v>200</v>
      </c>
      <c r="P1787" s="24"/>
      <c r="Q1787" s="23"/>
      <c r="R1787" s="25"/>
      <c r="S1787" s="26"/>
      <c r="T1787" s="16" t="b">
        <v>0</v>
      </c>
    </row>
    <row r="1788">
      <c r="A1788" s="4"/>
      <c r="B1788" s="5"/>
      <c r="C1788" s="13"/>
      <c r="D1788" s="39"/>
      <c r="E1788" s="7"/>
      <c r="F1788" s="34"/>
      <c r="G1788" s="8">
        <v>1899.0</v>
      </c>
      <c r="H1788" s="9"/>
      <c r="I1788" s="9"/>
      <c r="J1788" s="9"/>
      <c r="K1788" s="4"/>
      <c r="L1788" s="10"/>
      <c r="M1788" s="54"/>
      <c r="N1788" s="12" t="s">
        <v>200</v>
      </c>
      <c r="O1788" s="12" t="s">
        <v>200</v>
      </c>
      <c r="P1788" s="13"/>
      <c r="Q1788" s="12"/>
      <c r="R1788" s="14"/>
      <c r="S1788" s="15"/>
      <c r="T1788" s="4" t="b">
        <v>0</v>
      </c>
    </row>
    <row r="1789">
      <c r="A1789" s="16"/>
      <c r="B1789" s="17"/>
      <c r="C1789" s="24"/>
      <c r="D1789" s="44"/>
      <c r="E1789" s="19"/>
      <c r="F1789" s="35"/>
      <c r="G1789" s="20">
        <v>1899.0</v>
      </c>
      <c r="H1789" s="21"/>
      <c r="I1789" s="21"/>
      <c r="J1789" s="21"/>
      <c r="K1789" s="16"/>
      <c r="L1789" s="22"/>
      <c r="M1789" s="55"/>
      <c r="N1789" s="23" t="s">
        <v>200</v>
      </c>
      <c r="O1789" s="23" t="s">
        <v>200</v>
      </c>
      <c r="P1789" s="24"/>
      <c r="Q1789" s="23"/>
      <c r="R1789" s="25"/>
      <c r="S1789" s="26"/>
      <c r="T1789" s="16" t="b">
        <v>0</v>
      </c>
    </row>
    <row r="1790">
      <c r="A1790" s="4"/>
      <c r="B1790" s="5"/>
      <c r="C1790" s="13"/>
      <c r="D1790" s="39"/>
      <c r="E1790" s="7"/>
      <c r="F1790" s="34"/>
      <c r="G1790" s="8">
        <v>1899.0</v>
      </c>
      <c r="H1790" s="9"/>
      <c r="I1790" s="9"/>
      <c r="J1790" s="9"/>
      <c r="K1790" s="4"/>
      <c r="L1790" s="10"/>
      <c r="M1790" s="54"/>
      <c r="N1790" s="12" t="s">
        <v>200</v>
      </c>
      <c r="O1790" s="12" t="s">
        <v>200</v>
      </c>
      <c r="P1790" s="13"/>
      <c r="Q1790" s="12"/>
      <c r="R1790" s="14"/>
      <c r="S1790" s="15"/>
      <c r="T1790" s="4" t="b">
        <v>0</v>
      </c>
    </row>
    <row r="1791">
      <c r="A1791" s="16"/>
      <c r="B1791" s="17"/>
      <c r="C1791" s="24"/>
      <c r="D1791" s="44"/>
      <c r="E1791" s="19"/>
      <c r="F1791" s="35"/>
      <c r="G1791" s="20">
        <v>1899.0</v>
      </c>
      <c r="H1791" s="21"/>
      <c r="I1791" s="21"/>
      <c r="J1791" s="21"/>
      <c r="K1791" s="16"/>
      <c r="L1791" s="22"/>
      <c r="M1791" s="55"/>
      <c r="N1791" s="23" t="s">
        <v>200</v>
      </c>
      <c r="O1791" s="23" t="s">
        <v>200</v>
      </c>
      <c r="P1791" s="24"/>
      <c r="Q1791" s="23"/>
      <c r="R1791" s="25"/>
      <c r="S1791" s="26"/>
      <c r="T1791" s="16" t="b">
        <v>0</v>
      </c>
    </row>
    <row r="1792">
      <c r="A1792" s="4"/>
      <c r="B1792" s="5"/>
      <c r="C1792" s="13"/>
      <c r="D1792" s="39"/>
      <c r="E1792" s="7"/>
      <c r="F1792" s="34"/>
      <c r="G1792" s="8">
        <v>1899.0</v>
      </c>
      <c r="H1792" s="9"/>
      <c r="I1792" s="9"/>
      <c r="J1792" s="9"/>
      <c r="K1792" s="4"/>
      <c r="L1792" s="10"/>
      <c r="M1792" s="54"/>
      <c r="N1792" s="12" t="s">
        <v>200</v>
      </c>
      <c r="O1792" s="12" t="s">
        <v>200</v>
      </c>
      <c r="P1792" s="13"/>
      <c r="Q1792" s="12"/>
      <c r="R1792" s="14"/>
      <c r="S1792" s="15"/>
      <c r="T1792" s="4" t="b">
        <v>0</v>
      </c>
    </row>
    <row r="1793">
      <c r="A1793" s="16"/>
      <c r="B1793" s="17"/>
      <c r="C1793" s="24"/>
      <c r="D1793" s="44"/>
      <c r="E1793" s="19"/>
      <c r="F1793" s="35"/>
      <c r="G1793" s="20">
        <v>1899.0</v>
      </c>
      <c r="H1793" s="21"/>
      <c r="I1793" s="21"/>
      <c r="J1793" s="21"/>
      <c r="K1793" s="16"/>
      <c r="L1793" s="22"/>
      <c r="M1793" s="55"/>
      <c r="N1793" s="23" t="s">
        <v>200</v>
      </c>
      <c r="O1793" s="23" t="s">
        <v>200</v>
      </c>
      <c r="P1793" s="24"/>
      <c r="Q1793" s="23"/>
      <c r="R1793" s="25"/>
      <c r="S1793" s="26"/>
      <c r="T1793" s="16" t="b">
        <v>0</v>
      </c>
    </row>
    <row r="1794">
      <c r="A1794" s="4"/>
      <c r="B1794" s="5"/>
      <c r="C1794" s="13"/>
      <c r="D1794" s="39"/>
      <c r="E1794" s="7"/>
      <c r="F1794" s="34"/>
      <c r="G1794" s="8">
        <v>1899.0</v>
      </c>
      <c r="H1794" s="9"/>
      <c r="I1794" s="9"/>
      <c r="J1794" s="9"/>
      <c r="K1794" s="4"/>
      <c r="L1794" s="10"/>
      <c r="M1794" s="54"/>
      <c r="N1794" s="12" t="s">
        <v>200</v>
      </c>
      <c r="O1794" s="12" t="s">
        <v>200</v>
      </c>
      <c r="P1794" s="13"/>
      <c r="Q1794" s="12"/>
      <c r="R1794" s="14"/>
      <c r="S1794" s="15"/>
      <c r="T1794" s="4" t="b">
        <v>0</v>
      </c>
    </row>
    <row r="1795">
      <c r="A1795" s="16"/>
      <c r="B1795" s="17"/>
      <c r="C1795" s="24"/>
      <c r="D1795" s="44"/>
      <c r="E1795" s="19"/>
      <c r="F1795" s="35"/>
      <c r="G1795" s="20">
        <v>1899.0</v>
      </c>
      <c r="H1795" s="21"/>
      <c r="I1795" s="21"/>
      <c r="J1795" s="21"/>
      <c r="K1795" s="16"/>
      <c r="L1795" s="22"/>
      <c r="M1795" s="55"/>
      <c r="N1795" s="23" t="s">
        <v>200</v>
      </c>
      <c r="O1795" s="23" t="s">
        <v>200</v>
      </c>
      <c r="P1795" s="24"/>
      <c r="Q1795" s="23"/>
      <c r="R1795" s="25"/>
      <c r="S1795" s="26"/>
      <c r="T1795" s="16" t="b">
        <v>0</v>
      </c>
    </row>
    <row r="1796">
      <c r="A1796" s="4"/>
      <c r="B1796" s="5"/>
      <c r="C1796" s="13"/>
      <c r="D1796" s="39"/>
      <c r="E1796" s="7"/>
      <c r="F1796" s="34"/>
      <c r="G1796" s="8">
        <v>1899.0</v>
      </c>
      <c r="H1796" s="9"/>
      <c r="I1796" s="9"/>
      <c r="J1796" s="9"/>
      <c r="K1796" s="4"/>
      <c r="L1796" s="10"/>
      <c r="M1796" s="54"/>
      <c r="N1796" s="12" t="s">
        <v>200</v>
      </c>
      <c r="O1796" s="12" t="s">
        <v>200</v>
      </c>
      <c r="P1796" s="13"/>
      <c r="Q1796" s="12"/>
      <c r="R1796" s="14"/>
      <c r="S1796" s="15"/>
      <c r="T1796" s="4" t="b">
        <v>0</v>
      </c>
    </row>
    <row r="1797">
      <c r="A1797" s="16"/>
      <c r="B1797" s="17"/>
      <c r="C1797" s="24"/>
      <c r="D1797" s="44"/>
      <c r="E1797" s="19"/>
      <c r="F1797" s="35"/>
      <c r="G1797" s="20">
        <v>1899.0</v>
      </c>
      <c r="H1797" s="21"/>
      <c r="I1797" s="21"/>
      <c r="J1797" s="21"/>
      <c r="K1797" s="16"/>
      <c r="L1797" s="22"/>
      <c r="M1797" s="55"/>
      <c r="N1797" s="23" t="s">
        <v>200</v>
      </c>
      <c r="O1797" s="23" t="s">
        <v>200</v>
      </c>
      <c r="P1797" s="24"/>
      <c r="Q1797" s="23"/>
      <c r="R1797" s="25"/>
      <c r="S1797" s="26"/>
      <c r="T1797" s="16" t="b">
        <v>0</v>
      </c>
    </row>
    <row r="1798">
      <c r="A1798" s="4"/>
      <c r="B1798" s="5"/>
      <c r="C1798" s="13"/>
      <c r="D1798" s="39"/>
      <c r="E1798" s="7"/>
      <c r="F1798" s="34"/>
      <c r="G1798" s="8">
        <v>1899.0</v>
      </c>
      <c r="H1798" s="9"/>
      <c r="I1798" s="9"/>
      <c r="J1798" s="9"/>
      <c r="K1798" s="4"/>
      <c r="L1798" s="10"/>
      <c r="M1798" s="54"/>
      <c r="N1798" s="12" t="s">
        <v>200</v>
      </c>
      <c r="O1798" s="12" t="s">
        <v>200</v>
      </c>
      <c r="P1798" s="13"/>
      <c r="Q1798" s="12"/>
      <c r="R1798" s="14"/>
      <c r="S1798" s="15"/>
      <c r="T1798" s="4" t="b">
        <v>0</v>
      </c>
    </row>
    <row r="1799">
      <c r="A1799" s="16"/>
      <c r="B1799" s="17"/>
      <c r="C1799" s="24"/>
      <c r="D1799" s="44"/>
      <c r="E1799" s="19"/>
      <c r="F1799" s="35"/>
      <c r="G1799" s="20">
        <v>1899.0</v>
      </c>
      <c r="H1799" s="21"/>
      <c r="I1799" s="21"/>
      <c r="J1799" s="21"/>
      <c r="K1799" s="16"/>
      <c r="L1799" s="22"/>
      <c r="M1799" s="55"/>
      <c r="N1799" s="23" t="s">
        <v>200</v>
      </c>
      <c r="O1799" s="23" t="s">
        <v>200</v>
      </c>
      <c r="P1799" s="24"/>
      <c r="Q1799" s="23"/>
      <c r="R1799" s="25"/>
      <c r="S1799" s="26"/>
      <c r="T1799" s="16" t="b">
        <v>0</v>
      </c>
    </row>
    <row r="1800">
      <c r="A1800" s="4"/>
      <c r="B1800" s="5"/>
      <c r="C1800" s="13"/>
      <c r="D1800" s="39"/>
      <c r="E1800" s="7"/>
      <c r="F1800" s="34"/>
      <c r="G1800" s="8">
        <v>1899.0</v>
      </c>
      <c r="H1800" s="9"/>
      <c r="I1800" s="9"/>
      <c r="J1800" s="9"/>
      <c r="K1800" s="4"/>
      <c r="L1800" s="10"/>
      <c r="M1800" s="54"/>
      <c r="N1800" s="12" t="s">
        <v>200</v>
      </c>
      <c r="O1800" s="12" t="s">
        <v>200</v>
      </c>
      <c r="P1800" s="13"/>
      <c r="Q1800" s="12"/>
      <c r="R1800" s="14"/>
      <c r="S1800" s="15"/>
      <c r="T1800" s="4" t="b">
        <v>0</v>
      </c>
    </row>
    <row r="1801">
      <c r="A1801" s="16"/>
      <c r="B1801" s="17"/>
      <c r="C1801" s="24"/>
      <c r="D1801" s="44"/>
      <c r="E1801" s="19"/>
      <c r="F1801" s="35"/>
      <c r="G1801" s="20">
        <v>1899.0</v>
      </c>
      <c r="H1801" s="21"/>
      <c r="I1801" s="21"/>
      <c r="J1801" s="21"/>
      <c r="K1801" s="16"/>
      <c r="L1801" s="22"/>
      <c r="M1801" s="55"/>
      <c r="N1801" s="23" t="s">
        <v>200</v>
      </c>
      <c r="O1801" s="23" t="s">
        <v>200</v>
      </c>
      <c r="P1801" s="24"/>
      <c r="Q1801" s="23"/>
      <c r="R1801" s="25"/>
      <c r="S1801" s="26"/>
      <c r="T1801" s="16" t="b">
        <v>0</v>
      </c>
    </row>
    <row r="1802">
      <c r="A1802" s="4"/>
      <c r="B1802" s="5"/>
      <c r="C1802" s="13"/>
      <c r="D1802" s="39"/>
      <c r="E1802" s="7"/>
      <c r="F1802" s="34"/>
      <c r="G1802" s="8">
        <v>1899.0</v>
      </c>
      <c r="H1802" s="9"/>
      <c r="I1802" s="9"/>
      <c r="J1802" s="9"/>
      <c r="K1802" s="4"/>
      <c r="L1802" s="10"/>
      <c r="M1802" s="54"/>
      <c r="N1802" s="12" t="s">
        <v>200</v>
      </c>
      <c r="O1802" s="12" t="s">
        <v>200</v>
      </c>
      <c r="P1802" s="13"/>
      <c r="Q1802" s="12"/>
      <c r="R1802" s="14"/>
      <c r="S1802" s="15"/>
      <c r="T1802" s="4" t="b">
        <v>0</v>
      </c>
    </row>
    <row r="1803">
      <c r="A1803" s="16"/>
      <c r="B1803" s="17"/>
      <c r="C1803" s="24"/>
      <c r="D1803" s="44"/>
      <c r="E1803" s="19"/>
      <c r="F1803" s="35"/>
      <c r="G1803" s="20">
        <v>1899.0</v>
      </c>
      <c r="H1803" s="21"/>
      <c r="I1803" s="21"/>
      <c r="J1803" s="21"/>
      <c r="K1803" s="16"/>
      <c r="L1803" s="22"/>
      <c r="M1803" s="55"/>
      <c r="N1803" s="23" t="s">
        <v>200</v>
      </c>
      <c r="O1803" s="23" t="s">
        <v>200</v>
      </c>
      <c r="P1803" s="24"/>
      <c r="Q1803" s="23"/>
      <c r="R1803" s="25"/>
      <c r="S1803" s="26"/>
      <c r="T1803" s="16" t="b">
        <v>0</v>
      </c>
    </row>
    <row r="1804">
      <c r="A1804" s="4"/>
      <c r="B1804" s="5"/>
      <c r="C1804" s="13"/>
      <c r="D1804" s="39"/>
      <c r="E1804" s="7"/>
      <c r="F1804" s="34"/>
      <c r="G1804" s="8">
        <v>1899.0</v>
      </c>
      <c r="H1804" s="9"/>
      <c r="I1804" s="9"/>
      <c r="J1804" s="9"/>
      <c r="K1804" s="4"/>
      <c r="L1804" s="10"/>
      <c r="M1804" s="54"/>
      <c r="N1804" s="12" t="s">
        <v>200</v>
      </c>
      <c r="O1804" s="12" t="s">
        <v>200</v>
      </c>
      <c r="P1804" s="13"/>
      <c r="Q1804" s="12"/>
      <c r="R1804" s="14"/>
      <c r="S1804" s="15"/>
      <c r="T1804" s="4" t="b">
        <v>0</v>
      </c>
    </row>
    <row r="1805">
      <c r="A1805" s="16"/>
      <c r="B1805" s="17"/>
      <c r="C1805" s="24"/>
      <c r="D1805" s="44"/>
      <c r="E1805" s="19"/>
      <c r="F1805" s="35"/>
      <c r="G1805" s="20">
        <v>1899.0</v>
      </c>
      <c r="H1805" s="21"/>
      <c r="I1805" s="21"/>
      <c r="J1805" s="21"/>
      <c r="K1805" s="16"/>
      <c r="L1805" s="22"/>
      <c r="M1805" s="55"/>
      <c r="N1805" s="23" t="s">
        <v>200</v>
      </c>
      <c r="O1805" s="23" t="s">
        <v>200</v>
      </c>
      <c r="P1805" s="24"/>
      <c r="Q1805" s="23"/>
      <c r="R1805" s="25"/>
      <c r="S1805" s="26"/>
      <c r="T1805" s="16" t="b">
        <v>0</v>
      </c>
    </row>
    <row r="1806">
      <c r="A1806" s="4"/>
      <c r="B1806" s="5"/>
      <c r="C1806" s="13"/>
      <c r="D1806" s="39"/>
      <c r="E1806" s="7"/>
      <c r="F1806" s="34"/>
      <c r="G1806" s="8">
        <v>1899.0</v>
      </c>
      <c r="H1806" s="9"/>
      <c r="I1806" s="9"/>
      <c r="J1806" s="9"/>
      <c r="K1806" s="4"/>
      <c r="L1806" s="10"/>
      <c r="M1806" s="54"/>
      <c r="N1806" s="12" t="s">
        <v>200</v>
      </c>
      <c r="O1806" s="12" t="s">
        <v>200</v>
      </c>
      <c r="P1806" s="13"/>
      <c r="Q1806" s="12"/>
      <c r="R1806" s="14"/>
      <c r="S1806" s="15"/>
      <c r="T1806" s="4" t="b">
        <v>0</v>
      </c>
    </row>
    <row r="1807">
      <c r="A1807" s="16"/>
      <c r="B1807" s="17"/>
      <c r="C1807" s="24"/>
      <c r="D1807" s="44"/>
      <c r="E1807" s="19"/>
      <c r="F1807" s="35"/>
      <c r="G1807" s="20">
        <v>1899.0</v>
      </c>
      <c r="H1807" s="21"/>
      <c r="I1807" s="21"/>
      <c r="J1807" s="21"/>
      <c r="K1807" s="16"/>
      <c r="L1807" s="22"/>
      <c r="M1807" s="55"/>
      <c r="N1807" s="23" t="s">
        <v>200</v>
      </c>
      <c r="O1807" s="23" t="s">
        <v>200</v>
      </c>
      <c r="P1807" s="24"/>
      <c r="Q1807" s="23"/>
      <c r="R1807" s="25"/>
      <c r="S1807" s="26"/>
      <c r="T1807" s="16" t="b">
        <v>0</v>
      </c>
    </row>
    <row r="1808">
      <c r="A1808" s="4"/>
      <c r="B1808" s="5"/>
      <c r="C1808" s="13"/>
      <c r="D1808" s="39"/>
      <c r="E1808" s="7"/>
      <c r="F1808" s="34"/>
      <c r="G1808" s="8">
        <v>1899.0</v>
      </c>
      <c r="H1808" s="9"/>
      <c r="I1808" s="9"/>
      <c r="J1808" s="9"/>
      <c r="K1808" s="4"/>
      <c r="L1808" s="10"/>
      <c r="M1808" s="54"/>
      <c r="N1808" s="12" t="s">
        <v>200</v>
      </c>
      <c r="O1808" s="12" t="s">
        <v>200</v>
      </c>
      <c r="P1808" s="13"/>
      <c r="Q1808" s="12"/>
      <c r="R1808" s="14"/>
      <c r="S1808" s="15"/>
      <c r="T1808" s="4" t="b">
        <v>0</v>
      </c>
    </row>
    <row r="1809">
      <c r="A1809" s="16"/>
      <c r="B1809" s="17"/>
      <c r="C1809" s="24"/>
      <c r="D1809" s="44"/>
      <c r="E1809" s="19"/>
      <c r="F1809" s="35"/>
      <c r="G1809" s="20">
        <v>1899.0</v>
      </c>
      <c r="H1809" s="21"/>
      <c r="I1809" s="21"/>
      <c r="J1809" s="21"/>
      <c r="K1809" s="16"/>
      <c r="L1809" s="22"/>
      <c r="M1809" s="55"/>
      <c r="N1809" s="23" t="s">
        <v>200</v>
      </c>
      <c r="O1809" s="23" t="s">
        <v>200</v>
      </c>
      <c r="P1809" s="24"/>
      <c r="Q1809" s="23"/>
      <c r="R1809" s="25"/>
      <c r="S1809" s="26"/>
      <c r="T1809" s="16" t="b">
        <v>0</v>
      </c>
    </row>
    <row r="1810">
      <c r="A1810" s="4"/>
      <c r="B1810" s="5"/>
      <c r="C1810" s="13"/>
      <c r="D1810" s="39"/>
      <c r="E1810" s="7"/>
      <c r="F1810" s="34"/>
      <c r="G1810" s="8">
        <v>1899.0</v>
      </c>
      <c r="H1810" s="9"/>
      <c r="I1810" s="9"/>
      <c r="J1810" s="9"/>
      <c r="K1810" s="4"/>
      <c r="L1810" s="10"/>
      <c r="M1810" s="54"/>
      <c r="N1810" s="12" t="s">
        <v>200</v>
      </c>
      <c r="O1810" s="12" t="s">
        <v>200</v>
      </c>
      <c r="P1810" s="13"/>
      <c r="Q1810" s="12"/>
      <c r="R1810" s="14"/>
      <c r="S1810" s="15"/>
      <c r="T1810" s="4" t="b">
        <v>0</v>
      </c>
    </row>
    <row r="1811">
      <c r="A1811" s="16"/>
      <c r="B1811" s="17"/>
      <c r="C1811" s="24"/>
      <c r="D1811" s="44"/>
      <c r="E1811" s="19"/>
      <c r="F1811" s="35"/>
      <c r="G1811" s="20">
        <v>1899.0</v>
      </c>
      <c r="H1811" s="21"/>
      <c r="I1811" s="21"/>
      <c r="J1811" s="21"/>
      <c r="K1811" s="16"/>
      <c r="L1811" s="22"/>
      <c r="M1811" s="55"/>
      <c r="N1811" s="23" t="s">
        <v>200</v>
      </c>
      <c r="O1811" s="23" t="s">
        <v>200</v>
      </c>
      <c r="P1811" s="24"/>
      <c r="Q1811" s="23"/>
      <c r="R1811" s="25"/>
      <c r="S1811" s="26"/>
      <c r="T1811" s="16" t="b">
        <v>0</v>
      </c>
    </row>
    <row r="1812">
      <c r="A1812" s="4"/>
      <c r="B1812" s="5"/>
      <c r="C1812" s="13"/>
      <c r="D1812" s="39"/>
      <c r="E1812" s="7"/>
      <c r="F1812" s="34"/>
      <c r="G1812" s="8">
        <v>1899.0</v>
      </c>
      <c r="H1812" s="9"/>
      <c r="I1812" s="9"/>
      <c r="J1812" s="9"/>
      <c r="K1812" s="4"/>
      <c r="L1812" s="10"/>
      <c r="M1812" s="54"/>
      <c r="N1812" s="12" t="s">
        <v>200</v>
      </c>
      <c r="O1812" s="12" t="s">
        <v>200</v>
      </c>
      <c r="P1812" s="13"/>
      <c r="Q1812" s="12"/>
      <c r="R1812" s="14"/>
      <c r="S1812" s="15"/>
      <c r="T1812" s="4" t="b">
        <v>0</v>
      </c>
    </row>
    <row r="1813">
      <c r="A1813" s="16"/>
      <c r="B1813" s="17"/>
      <c r="C1813" s="24"/>
      <c r="D1813" s="44"/>
      <c r="E1813" s="19"/>
      <c r="F1813" s="35"/>
      <c r="G1813" s="20">
        <v>1899.0</v>
      </c>
      <c r="H1813" s="21"/>
      <c r="I1813" s="21"/>
      <c r="J1813" s="21"/>
      <c r="K1813" s="16"/>
      <c r="L1813" s="22"/>
      <c r="M1813" s="55"/>
      <c r="N1813" s="23" t="s">
        <v>200</v>
      </c>
      <c r="O1813" s="23" t="s">
        <v>200</v>
      </c>
      <c r="P1813" s="24"/>
      <c r="Q1813" s="23"/>
      <c r="R1813" s="25"/>
      <c r="S1813" s="26"/>
      <c r="T1813" s="16" t="b">
        <v>0</v>
      </c>
    </row>
    <row r="1814">
      <c r="A1814" s="4"/>
      <c r="B1814" s="5"/>
      <c r="C1814" s="13"/>
      <c r="D1814" s="39"/>
      <c r="E1814" s="7"/>
      <c r="F1814" s="34"/>
      <c r="G1814" s="8">
        <v>1899.0</v>
      </c>
      <c r="H1814" s="9"/>
      <c r="I1814" s="9"/>
      <c r="J1814" s="9"/>
      <c r="K1814" s="4"/>
      <c r="L1814" s="10"/>
      <c r="M1814" s="54"/>
      <c r="N1814" s="12" t="s">
        <v>200</v>
      </c>
      <c r="O1814" s="12" t="s">
        <v>200</v>
      </c>
      <c r="P1814" s="13"/>
      <c r="Q1814" s="12"/>
      <c r="R1814" s="14"/>
      <c r="S1814" s="15"/>
      <c r="T1814" s="4" t="b">
        <v>0</v>
      </c>
    </row>
    <row r="1815">
      <c r="A1815" s="16"/>
      <c r="B1815" s="17"/>
      <c r="C1815" s="24"/>
      <c r="D1815" s="44"/>
      <c r="E1815" s="19"/>
      <c r="F1815" s="35"/>
      <c r="G1815" s="20">
        <v>1899.0</v>
      </c>
      <c r="H1815" s="21"/>
      <c r="I1815" s="21"/>
      <c r="J1815" s="21"/>
      <c r="K1815" s="16"/>
      <c r="L1815" s="22"/>
      <c r="M1815" s="55"/>
      <c r="N1815" s="23" t="s">
        <v>200</v>
      </c>
      <c r="O1815" s="23" t="s">
        <v>200</v>
      </c>
      <c r="P1815" s="24"/>
      <c r="Q1815" s="23"/>
      <c r="R1815" s="25"/>
      <c r="S1815" s="26"/>
      <c r="T1815" s="16" t="b">
        <v>0</v>
      </c>
    </row>
    <row r="1816">
      <c r="A1816" s="4"/>
      <c r="B1816" s="5"/>
      <c r="C1816" s="13"/>
      <c r="D1816" s="39"/>
      <c r="E1816" s="7"/>
      <c r="F1816" s="34"/>
      <c r="G1816" s="8">
        <v>1899.0</v>
      </c>
      <c r="H1816" s="9"/>
      <c r="I1816" s="9"/>
      <c r="J1816" s="9"/>
      <c r="K1816" s="4"/>
      <c r="L1816" s="10"/>
      <c r="M1816" s="54"/>
      <c r="N1816" s="12" t="s">
        <v>200</v>
      </c>
      <c r="O1816" s="12" t="s">
        <v>200</v>
      </c>
      <c r="P1816" s="13"/>
      <c r="Q1816" s="12"/>
      <c r="R1816" s="14"/>
      <c r="S1816" s="15"/>
      <c r="T1816" s="4" t="b">
        <v>0</v>
      </c>
    </row>
    <row r="1817">
      <c r="A1817" s="16"/>
      <c r="B1817" s="17"/>
      <c r="C1817" s="24"/>
      <c r="D1817" s="44"/>
      <c r="E1817" s="19"/>
      <c r="F1817" s="35"/>
      <c r="G1817" s="20">
        <v>1899.0</v>
      </c>
      <c r="H1817" s="21"/>
      <c r="I1817" s="21"/>
      <c r="J1817" s="21"/>
      <c r="K1817" s="16"/>
      <c r="L1817" s="22"/>
      <c r="M1817" s="55"/>
      <c r="N1817" s="23" t="s">
        <v>200</v>
      </c>
      <c r="O1817" s="23" t="s">
        <v>200</v>
      </c>
      <c r="P1817" s="24"/>
      <c r="Q1817" s="23"/>
      <c r="R1817" s="25"/>
      <c r="S1817" s="26"/>
      <c r="T1817" s="16" t="b">
        <v>0</v>
      </c>
    </row>
    <row r="1818">
      <c r="A1818" s="4"/>
      <c r="B1818" s="5"/>
      <c r="C1818" s="13"/>
      <c r="D1818" s="39"/>
      <c r="E1818" s="7"/>
      <c r="F1818" s="34"/>
      <c r="G1818" s="8">
        <v>1899.0</v>
      </c>
      <c r="H1818" s="9"/>
      <c r="I1818" s="9"/>
      <c r="J1818" s="9"/>
      <c r="K1818" s="4"/>
      <c r="L1818" s="10"/>
      <c r="M1818" s="54"/>
      <c r="N1818" s="12" t="s">
        <v>200</v>
      </c>
      <c r="O1818" s="12" t="s">
        <v>200</v>
      </c>
      <c r="P1818" s="13"/>
      <c r="Q1818" s="12"/>
      <c r="R1818" s="14"/>
      <c r="S1818" s="15"/>
      <c r="T1818" s="4" t="b">
        <v>0</v>
      </c>
    </row>
    <row r="1819">
      <c r="A1819" s="16"/>
      <c r="B1819" s="17"/>
      <c r="C1819" s="24"/>
      <c r="D1819" s="44"/>
      <c r="E1819" s="19"/>
      <c r="F1819" s="35"/>
      <c r="G1819" s="20">
        <v>1899.0</v>
      </c>
      <c r="H1819" s="21"/>
      <c r="I1819" s="21"/>
      <c r="J1819" s="21"/>
      <c r="K1819" s="16"/>
      <c r="L1819" s="22"/>
      <c r="M1819" s="55"/>
      <c r="N1819" s="23" t="s">
        <v>200</v>
      </c>
      <c r="O1819" s="23" t="s">
        <v>200</v>
      </c>
      <c r="P1819" s="24"/>
      <c r="Q1819" s="23"/>
      <c r="R1819" s="25"/>
      <c r="S1819" s="26"/>
      <c r="T1819" s="16" t="b">
        <v>0</v>
      </c>
    </row>
    <row r="1820">
      <c r="A1820" s="4"/>
      <c r="B1820" s="5"/>
      <c r="C1820" s="13"/>
      <c r="D1820" s="39"/>
      <c r="E1820" s="7"/>
      <c r="F1820" s="34"/>
      <c r="G1820" s="8">
        <v>1899.0</v>
      </c>
      <c r="H1820" s="9"/>
      <c r="I1820" s="9"/>
      <c r="J1820" s="9"/>
      <c r="K1820" s="4"/>
      <c r="L1820" s="10"/>
      <c r="M1820" s="54"/>
      <c r="N1820" s="12" t="s">
        <v>200</v>
      </c>
      <c r="O1820" s="12" t="s">
        <v>200</v>
      </c>
      <c r="P1820" s="13"/>
      <c r="Q1820" s="12"/>
      <c r="R1820" s="14"/>
      <c r="S1820" s="15"/>
      <c r="T1820" s="4" t="b">
        <v>0</v>
      </c>
    </row>
    <row r="1821">
      <c r="A1821" s="16"/>
      <c r="B1821" s="17"/>
      <c r="C1821" s="24"/>
      <c r="D1821" s="44"/>
      <c r="E1821" s="19"/>
      <c r="F1821" s="35"/>
      <c r="G1821" s="20">
        <v>1899.0</v>
      </c>
      <c r="H1821" s="21"/>
      <c r="I1821" s="21"/>
      <c r="J1821" s="21"/>
      <c r="K1821" s="16"/>
      <c r="L1821" s="22"/>
      <c r="M1821" s="55"/>
      <c r="N1821" s="23" t="s">
        <v>200</v>
      </c>
      <c r="O1821" s="23" t="s">
        <v>200</v>
      </c>
      <c r="P1821" s="24"/>
      <c r="Q1821" s="23"/>
      <c r="R1821" s="25"/>
      <c r="S1821" s="26"/>
      <c r="T1821" s="16" t="b">
        <v>0</v>
      </c>
    </row>
    <row r="1822">
      <c r="A1822" s="4"/>
      <c r="B1822" s="5"/>
      <c r="C1822" s="13"/>
      <c r="D1822" s="39"/>
      <c r="E1822" s="7"/>
      <c r="F1822" s="34"/>
      <c r="G1822" s="8">
        <v>1899.0</v>
      </c>
      <c r="H1822" s="9"/>
      <c r="I1822" s="9"/>
      <c r="J1822" s="9"/>
      <c r="K1822" s="4"/>
      <c r="L1822" s="10"/>
      <c r="M1822" s="54"/>
      <c r="N1822" s="12" t="s">
        <v>200</v>
      </c>
      <c r="O1822" s="12" t="s">
        <v>200</v>
      </c>
      <c r="P1822" s="13"/>
      <c r="Q1822" s="12"/>
      <c r="R1822" s="14"/>
      <c r="S1822" s="15"/>
      <c r="T1822" s="4" t="b">
        <v>0</v>
      </c>
    </row>
    <row r="1823">
      <c r="A1823" s="16"/>
      <c r="B1823" s="17"/>
      <c r="C1823" s="24"/>
      <c r="D1823" s="44"/>
      <c r="E1823" s="19"/>
      <c r="F1823" s="35"/>
      <c r="G1823" s="20">
        <v>1899.0</v>
      </c>
      <c r="H1823" s="21"/>
      <c r="I1823" s="21"/>
      <c r="J1823" s="21"/>
      <c r="K1823" s="16"/>
      <c r="L1823" s="22"/>
      <c r="M1823" s="55"/>
      <c r="N1823" s="23" t="s">
        <v>200</v>
      </c>
      <c r="O1823" s="23" t="s">
        <v>200</v>
      </c>
      <c r="P1823" s="24"/>
      <c r="Q1823" s="23"/>
      <c r="R1823" s="25"/>
      <c r="S1823" s="26"/>
      <c r="T1823" s="16" t="b">
        <v>0</v>
      </c>
    </row>
    <row r="1824">
      <c r="A1824" s="4"/>
      <c r="B1824" s="5"/>
      <c r="C1824" s="13"/>
      <c r="D1824" s="39"/>
      <c r="E1824" s="7"/>
      <c r="F1824" s="34"/>
      <c r="G1824" s="8">
        <v>1899.0</v>
      </c>
      <c r="H1824" s="9"/>
      <c r="I1824" s="9"/>
      <c r="J1824" s="9"/>
      <c r="K1824" s="4"/>
      <c r="L1824" s="10"/>
      <c r="M1824" s="54"/>
      <c r="N1824" s="12" t="s">
        <v>200</v>
      </c>
      <c r="O1824" s="12" t="s">
        <v>200</v>
      </c>
      <c r="P1824" s="13"/>
      <c r="Q1824" s="12"/>
      <c r="R1824" s="14"/>
      <c r="S1824" s="15"/>
      <c r="T1824" s="4" t="b">
        <v>0</v>
      </c>
    </row>
    <row r="1825">
      <c r="A1825" s="16"/>
      <c r="B1825" s="17"/>
      <c r="C1825" s="24"/>
      <c r="D1825" s="44"/>
      <c r="E1825" s="19"/>
      <c r="F1825" s="35"/>
      <c r="G1825" s="20">
        <v>1899.0</v>
      </c>
      <c r="H1825" s="21"/>
      <c r="I1825" s="21"/>
      <c r="J1825" s="21"/>
      <c r="K1825" s="16"/>
      <c r="L1825" s="22"/>
      <c r="M1825" s="55"/>
      <c r="N1825" s="23" t="s">
        <v>200</v>
      </c>
      <c r="O1825" s="23" t="s">
        <v>200</v>
      </c>
      <c r="P1825" s="24"/>
      <c r="Q1825" s="23"/>
      <c r="R1825" s="25"/>
      <c r="S1825" s="26"/>
      <c r="T1825" s="16" t="b">
        <v>0</v>
      </c>
    </row>
    <row r="1826">
      <c r="A1826" s="4"/>
      <c r="B1826" s="5"/>
      <c r="C1826" s="13"/>
      <c r="D1826" s="39"/>
      <c r="E1826" s="7"/>
      <c r="F1826" s="34"/>
      <c r="G1826" s="8">
        <v>1899.0</v>
      </c>
      <c r="H1826" s="9"/>
      <c r="I1826" s="9"/>
      <c r="J1826" s="9"/>
      <c r="K1826" s="4"/>
      <c r="L1826" s="10"/>
      <c r="M1826" s="54"/>
      <c r="N1826" s="12" t="s">
        <v>200</v>
      </c>
      <c r="O1826" s="12" t="s">
        <v>200</v>
      </c>
      <c r="P1826" s="13"/>
      <c r="Q1826" s="12"/>
      <c r="R1826" s="14"/>
      <c r="S1826" s="15"/>
      <c r="T1826" s="4" t="b">
        <v>0</v>
      </c>
    </row>
    <row r="1827">
      <c r="A1827" s="16"/>
      <c r="B1827" s="17"/>
      <c r="C1827" s="24"/>
      <c r="D1827" s="44"/>
      <c r="E1827" s="19"/>
      <c r="F1827" s="35"/>
      <c r="G1827" s="20">
        <v>1899.0</v>
      </c>
      <c r="H1827" s="21"/>
      <c r="I1827" s="21"/>
      <c r="J1827" s="21"/>
      <c r="K1827" s="16"/>
      <c r="L1827" s="22"/>
      <c r="M1827" s="55"/>
      <c r="N1827" s="23" t="s">
        <v>200</v>
      </c>
      <c r="O1827" s="23" t="s">
        <v>200</v>
      </c>
      <c r="P1827" s="24"/>
      <c r="Q1827" s="23"/>
      <c r="R1827" s="25"/>
      <c r="S1827" s="26"/>
      <c r="T1827" s="16" t="b">
        <v>0</v>
      </c>
    </row>
    <row r="1828">
      <c r="A1828" s="4"/>
      <c r="B1828" s="5"/>
      <c r="C1828" s="13"/>
      <c r="D1828" s="39"/>
      <c r="E1828" s="7"/>
      <c r="F1828" s="34"/>
      <c r="G1828" s="8">
        <v>1899.0</v>
      </c>
      <c r="H1828" s="9"/>
      <c r="I1828" s="9"/>
      <c r="J1828" s="9"/>
      <c r="K1828" s="4"/>
      <c r="L1828" s="10"/>
      <c r="M1828" s="54"/>
      <c r="N1828" s="12" t="s">
        <v>200</v>
      </c>
      <c r="O1828" s="12" t="s">
        <v>200</v>
      </c>
      <c r="P1828" s="13"/>
      <c r="Q1828" s="12"/>
      <c r="R1828" s="14"/>
      <c r="S1828" s="15"/>
      <c r="T1828" s="4" t="b">
        <v>0</v>
      </c>
    </row>
    <row r="1829">
      <c r="A1829" s="16"/>
      <c r="B1829" s="17"/>
      <c r="C1829" s="24"/>
      <c r="D1829" s="44"/>
      <c r="E1829" s="19"/>
      <c r="F1829" s="35"/>
      <c r="G1829" s="20">
        <v>1899.0</v>
      </c>
      <c r="H1829" s="21"/>
      <c r="I1829" s="21"/>
      <c r="J1829" s="21"/>
      <c r="K1829" s="16"/>
      <c r="L1829" s="22"/>
      <c r="M1829" s="55"/>
      <c r="N1829" s="23" t="s">
        <v>200</v>
      </c>
      <c r="O1829" s="23" t="s">
        <v>200</v>
      </c>
      <c r="P1829" s="24"/>
      <c r="Q1829" s="23"/>
      <c r="R1829" s="25"/>
      <c r="S1829" s="26"/>
      <c r="T1829" s="16" t="b">
        <v>0</v>
      </c>
    </row>
    <row r="1830">
      <c r="A1830" s="4"/>
      <c r="B1830" s="5"/>
      <c r="C1830" s="13"/>
      <c r="D1830" s="39"/>
      <c r="E1830" s="7"/>
      <c r="F1830" s="34"/>
      <c r="G1830" s="8">
        <v>1899.0</v>
      </c>
      <c r="H1830" s="9"/>
      <c r="I1830" s="9"/>
      <c r="J1830" s="9"/>
      <c r="K1830" s="4"/>
      <c r="L1830" s="10"/>
      <c r="M1830" s="54"/>
      <c r="N1830" s="12" t="s">
        <v>200</v>
      </c>
      <c r="O1830" s="12" t="s">
        <v>200</v>
      </c>
      <c r="P1830" s="13"/>
      <c r="Q1830" s="12"/>
      <c r="R1830" s="14"/>
      <c r="S1830" s="15"/>
      <c r="T1830" s="4" t="b">
        <v>0</v>
      </c>
    </row>
    <row r="1831">
      <c r="A1831" s="16"/>
      <c r="B1831" s="17"/>
      <c r="C1831" s="24"/>
      <c r="D1831" s="44"/>
      <c r="E1831" s="19"/>
      <c r="F1831" s="35"/>
      <c r="G1831" s="20">
        <v>1899.0</v>
      </c>
      <c r="H1831" s="21"/>
      <c r="I1831" s="21"/>
      <c r="J1831" s="21"/>
      <c r="K1831" s="16"/>
      <c r="L1831" s="22"/>
      <c r="M1831" s="55"/>
      <c r="N1831" s="23" t="s">
        <v>200</v>
      </c>
      <c r="O1831" s="23" t="s">
        <v>200</v>
      </c>
      <c r="P1831" s="24"/>
      <c r="Q1831" s="23"/>
      <c r="R1831" s="25"/>
      <c r="S1831" s="26"/>
      <c r="T1831" s="16" t="b">
        <v>0</v>
      </c>
    </row>
    <row r="1832">
      <c r="A1832" s="4"/>
      <c r="B1832" s="5"/>
      <c r="C1832" s="13"/>
      <c r="D1832" s="39"/>
      <c r="E1832" s="7"/>
      <c r="F1832" s="34"/>
      <c r="G1832" s="8">
        <v>1899.0</v>
      </c>
      <c r="H1832" s="9"/>
      <c r="I1832" s="9"/>
      <c r="J1832" s="9"/>
      <c r="K1832" s="4"/>
      <c r="L1832" s="10"/>
      <c r="M1832" s="54"/>
      <c r="N1832" s="12" t="s">
        <v>200</v>
      </c>
      <c r="O1832" s="12" t="s">
        <v>200</v>
      </c>
      <c r="P1832" s="13"/>
      <c r="Q1832" s="12"/>
      <c r="R1832" s="14"/>
      <c r="S1832" s="15"/>
      <c r="T1832" s="4" t="b">
        <v>0</v>
      </c>
    </row>
    <row r="1833">
      <c r="A1833" s="16"/>
      <c r="B1833" s="17"/>
      <c r="C1833" s="24"/>
      <c r="D1833" s="44"/>
      <c r="E1833" s="19"/>
      <c r="F1833" s="35"/>
      <c r="G1833" s="20">
        <v>1899.0</v>
      </c>
      <c r="H1833" s="21"/>
      <c r="I1833" s="21"/>
      <c r="J1833" s="21"/>
      <c r="K1833" s="16"/>
      <c r="L1833" s="22"/>
      <c r="M1833" s="55"/>
      <c r="N1833" s="23" t="s">
        <v>200</v>
      </c>
      <c r="O1833" s="23" t="s">
        <v>200</v>
      </c>
      <c r="P1833" s="24"/>
      <c r="Q1833" s="23"/>
      <c r="R1833" s="25"/>
      <c r="S1833" s="26"/>
      <c r="T1833" s="16" t="b">
        <v>0</v>
      </c>
    </row>
    <row r="1834">
      <c r="A1834" s="4"/>
      <c r="B1834" s="5"/>
      <c r="C1834" s="13"/>
      <c r="D1834" s="39"/>
      <c r="E1834" s="7"/>
      <c r="F1834" s="34"/>
      <c r="G1834" s="8">
        <v>1899.0</v>
      </c>
      <c r="H1834" s="9"/>
      <c r="I1834" s="9"/>
      <c r="J1834" s="9"/>
      <c r="K1834" s="4"/>
      <c r="L1834" s="10"/>
      <c r="M1834" s="54"/>
      <c r="N1834" s="12" t="s">
        <v>200</v>
      </c>
      <c r="O1834" s="12" t="s">
        <v>200</v>
      </c>
      <c r="P1834" s="13"/>
      <c r="Q1834" s="12"/>
      <c r="R1834" s="14"/>
      <c r="S1834" s="15"/>
      <c r="T1834" s="4" t="b">
        <v>0</v>
      </c>
    </row>
    <row r="1835">
      <c r="A1835" s="16"/>
      <c r="B1835" s="17"/>
      <c r="C1835" s="24"/>
      <c r="D1835" s="44"/>
      <c r="E1835" s="19"/>
      <c r="F1835" s="35"/>
      <c r="G1835" s="20">
        <v>1899.0</v>
      </c>
      <c r="H1835" s="21"/>
      <c r="I1835" s="21"/>
      <c r="J1835" s="21"/>
      <c r="K1835" s="16"/>
      <c r="L1835" s="22"/>
      <c r="M1835" s="55"/>
      <c r="N1835" s="23" t="s">
        <v>200</v>
      </c>
      <c r="O1835" s="23" t="s">
        <v>200</v>
      </c>
      <c r="P1835" s="24"/>
      <c r="Q1835" s="23"/>
      <c r="R1835" s="25"/>
      <c r="S1835" s="26"/>
      <c r="T1835" s="16" t="b">
        <v>0</v>
      </c>
    </row>
    <row r="1836">
      <c r="A1836" s="4"/>
      <c r="B1836" s="5"/>
      <c r="C1836" s="13"/>
      <c r="D1836" s="39"/>
      <c r="E1836" s="7"/>
      <c r="F1836" s="34"/>
      <c r="G1836" s="8">
        <v>1899.0</v>
      </c>
      <c r="H1836" s="9"/>
      <c r="I1836" s="9"/>
      <c r="J1836" s="9"/>
      <c r="K1836" s="4"/>
      <c r="L1836" s="10"/>
      <c r="M1836" s="54"/>
      <c r="N1836" s="12" t="s">
        <v>200</v>
      </c>
      <c r="O1836" s="12" t="s">
        <v>200</v>
      </c>
      <c r="P1836" s="13"/>
      <c r="Q1836" s="12"/>
      <c r="R1836" s="14"/>
      <c r="S1836" s="15"/>
      <c r="T1836" s="4" t="b">
        <v>0</v>
      </c>
    </row>
    <row r="1837">
      <c r="A1837" s="16"/>
      <c r="B1837" s="17"/>
      <c r="C1837" s="24"/>
      <c r="D1837" s="44"/>
      <c r="E1837" s="19"/>
      <c r="F1837" s="35"/>
      <c r="G1837" s="20">
        <v>1899.0</v>
      </c>
      <c r="H1837" s="21"/>
      <c r="I1837" s="21"/>
      <c r="J1837" s="21"/>
      <c r="K1837" s="16"/>
      <c r="L1837" s="22"/>
      <c r="M1837" s="55"/>
      <c r="N1837" s="23" t="s">
        <v>200</v>
      </c>
      <c r="O1837" s="23" t="s">
        <v>200</v>
      </c>
      <c r="P1837" s="24"/>
      <c r="Q1837" s="23"/>
      <c r="R1837" s="25"/>
      <c r="S1837" s="26"/>
      <c r="T1837" s="16" t="b">
        <v>0</v>
      </c>
    </row>
    <row r="1838">
      <c r="A1838" s="4"/>
      <c r="B1838" s="5"/>
      <c r="C1838" s="13"/>
      <c r="D1838" s="39"/>
      <c r="E1838" s="7"/>
      <c r="F1838" s="34"/>
      <c r="G1838" s="8">
        <v>1899.0</v>
      </c>
      <c r="H1838" s="9"/>
      <c r="I1838" s="9"/>
      <c r="J1838" s="9"/>
      <c r="K1838" s="4"/>
      <c r="L1838" s="10"/>
      <c r="M1838" s="54"/>
      <c r="N1838" s="12" t="s">
        <v>200</v>
      </c>
      <c r="O1838" s="12" t="s">
        <v>200</v>
      </c>
      <c r="P1838" s="13"/>
      <c r="Q1838" s="12"/>
      <c r="R1838" s="14"/>
      <c r="S1838" s="15"/>
      <c r="T1838" s="4" t="b">
        <v>0</v>
      </c>
    </row>
    <row r="1839">
      <c r="A1839" s="16"/>
      <c r="B1839" s="17"/>
      <c r="C1839" s="24"/>
      <c r="D1839" s="44"/>
      <c r="E1839" s="19"/>
      <c r="F1839" s="35"/>
      <c r="G1839" s="20">
        <v>1899.0</v>
      </c>
      <c r="H1839" s="21"/>
      <c r="I1839" s="21"/>
      <c r="J1839" s="21"/>
      <c r="K1839" s="16"/>
      <c r="L1839" s="22"/>
      <c r="M1839" s="55"/>
      <c r="N1839" s="23" t="s">
        <v>200</v>
      </c>
      <c r="O1839" s="23" t="s">
        <v>200</v>
      </c>
      <c r="P1839" s="24"/>
      <c r="Q1839" s="23"/>
      <c r="R1839" s="25"/>
      <c r="S1839" s="26"/>
      <c r="T1839" s="16" t="b">
        <v>0</v>
      </c>
    </row>
    <row r="1840">
      <c r="A1840" s="4"/>
      <c r="B1840" s="5"/>
      <c r="C1840" s="13"/>
      <c r="D1840" s="39"/>
      <c r="E1840" s="7"/>
      <c r="F1840" s="34"/>
      <c r="G1840" s="8">
        <v>1899.0</v>
      </c>
      <c r="H1840" s="9"/>
      <c r="I1840" s="9"/>
      <c r="J1840" s="9"/>
      <c r="K1840" s="4"/>
      <c r="L1840" s="10"/>
      <c r="M1840" s="54"/>
      <c r="N1840" s="12" t="s">
        <v>200</v>
      </c>
      <c r="O1840" s="12" t="s">
        <v>200</v>
      </c>
      <c r="P1840" s="13"/>
      <c r="Q1840" s="12"/>
      <c r="R1840" s="14"/>
      <c r="S1840" s="15"/>
      <c r="T1840" s="4" t="b">
        <v>0</v>
      </c>
    </row>
    <row r="1841">
      <c r="A1841" s="16"/>
      <c r="B1841" s="17"/>
      <c r="C1841" s="24"/>
      <c r="D1841" s="44"/>
      <c r="E1841" s="19"/>
      <c r="F1841" s="35"/>
      <c r="G1841" s="20">
        <v>1899.0</v>
      </c>
      <c r="H1841" s="21"/>
      <c r="I1841" s="21"/>
      <c r="J1841" s="21"/>
      <c r="K1841" s="16"/>
      <c r="L1841" s="22"/>
      <c r="M1841" s="55"/>
      <c r="N1841" s="23" t="s">
        <v>200</v>
      </c>
      <c r="O1841" s="23" t="s">
        <v>200</v>
      </c>
      <c r="P1841" s="24"/>
      <c r="Q1841" s="23"/>
      <c r="R1841" s="25"/>
      <c r="S1841" s="26"/>
      <c r="T1841" s="16" t="b">
        <v>0</v>
      </c>
    </row>
    <row r="1842">
      <c r="A1842" s="4"/>
      <c r="B1842" s="5"/>
      <c r="C1842" s="13"/>
      <c r="D1842" s="39"/>
      <c r="E1842" s="7"/>
      <c r="F1842" s="34"/>
      <c r="G1842" s="8">
        <v>1899.0</v>
      </c>
      <c r="H1842" s="9"/>
      <c r="I1842" s="9"/>
      <c r="J1842" s="9"/>
      <c r="K1842" s="4"/>
      <c r="L1842" s="10"/>
      <c r="M1842" s="54"/>
      <c r="N1842" s="12" t="s">
        <v>200</v>
      </c>
      <c r="O1842" s="12" t="s">
        <v>200</v>
      </c>
      <c r="P1842" s="13"/>
      <c r="Q1842" s="12"/>
      <c r="R1842" s="14"/>
      <c r="S1842" s="15"/>
      <c r="T1842" s="4" t="b">
        <v>0</v>
      </c>
    </row>
    <row r="1843">
      <c r="A1843" s="16"/>
      <c r="B1843" s="17"/>
      <c r="C1843" s="24"/>
      <c r="D1843" s="44"/>
      <c r="E1843" s="19"/>
      <c r="F1843" s="35"/>
      <c r="G1843" s="20">
        <v>1899.0</v>
      </c>
      <c r="H1843" s="21"/>
      <c r="I1843" s="21"/>
      <c r="J1843" s="21"/>
      <c r="K1843" s="16"/>
      <c r="L1843" s="22"/>
      <c r="M1843" s="55"/>
      <c r="N1843" s="23" t="s">
        <v>200</v>
      </c>
      <c r="O1843" s="23" t="s">
        <v>200</v>
      </c>
      <c r="P1843" s="24"/>
      <c r="Q1843" s="23"/>
      <c r="R1843" s="25"/>
      <c r="S1843" s="26"/>
      <c r="T1843" s="16" t="b">
        <v>0</v>
      </c>
    </row>
    <row r="1844">
      <c r="A1844" s="4"/>
      <c r="B1844" s="5"/>
      <c r="C1844" s="13"/>
      <c r="D1844" s="39"/>
      <c r="E1844" s="7"/>
      <c r="F1844" s="34"/>
      <c r="G1844" s="8">
        <v>1899.0</v>
      </c>
      <c r="H1844" s="9"/>
      <c r="I1844" s="9"/>
      <c r="J1844" s="9"/>
      <c r="K1844" s="4"/>
      <c r="L1844" s="10"/>
      <c r="M1844" s="54"/>
      <c r="N1844" s="12" t="s">
        <v>200</v>
      </c>
      <c r="O1844" s="12" t="s">
        <v>200</v>
      </c>
      <c r="P1844" s="13"/>
      <c r="Q1844" s="12"/>
      <c r="R1844" s="14"/>
      <c r="S1844" s="15"/>
      <c r="T1844" s="4" t="b">
        <v>0</v>
      </c>
    </row>
    <row r="1845">
      <c r="A1845" s="16"/>
      <c r="B1845" s="17"/>
      <c r="C1845" s="24"/>
      <c r="D1845" s="44"/>
      <c r="E1845" s="19"/>
      <c r="F1845" s="35"/>
      <c r="G1845" s="20">
        <v>1899.0</v>
      </c>
      <c r="H1845" s="21"/>
      <c r="I1845" s="21"/>
      <c r="J1845" s="21"/>
      <c r="K1845" s="16"/>
      <c r="L1845" s="22"/>
      <c r="M1845" s="55"/>
      <c r="N1845" s="23" t="s">
        <v>200</v>
      </c>
      <c r="O1845" s="23" t="s">
        <v>200</v>
      </c>
      <c r="P1845" s="24"/>
      <c r="Q1845" s="23"/>
      <c r="R1845" s="25"/>
      <c r="S1845" s="26"/>
      <c r="T1845" s="16" t="b">
        <v>0</v>
      </c>
    </row>
    <row r="1846">
      <c r="A1846" s="4"/>
      <c r="B1846" s="5"/>
      <c r="C1846" s="13"/>
      <c r="D1846" s="39"/>
      <c r="E1846" s="7"/>
      <c r="F1846" s="34"/>
      <c r="G1846" s="8">
        <v>1899.0</v>
      </c>
      <c r="H1846" s="9"/>
      <c r="I1846" s="9"/>
      <c r="J1846" s="9"/>
      <c r="K1846" s="4"/>
      <c r="L1846" s="10"/>
      <c r="M1846" s="54"/>
      <c r="N1846" s="12" t="s">
        <v>200</v>
      </c>
      <c r="O1846" s="12" t="s">
        <v>200</v>
      </c>
      <c r="P1846" s="13"/>
      <c r="Q1846" s="12"/>
      <c r="R1846" s="14"/>
      <c r="S1846" s="15"/>
      <c r="T1846" s="4" t="b">
        <v>0</v>
      </c>
    </row>
    <row r="1847">
      <c r="A1847" s="16"/>
      <c r="B1847" s="17"/>
      <c r="C1847" s="24"/>
      <c r="D1847" s="44"/>
      <c r="E1847" s="19"/>
      <c r="F1847" s="35"/>
      <c r="G1847" s="20">
        <v>1899.0</v>
      </c>
      <c r="H1847" s="21"/>
      <c r="I1847" s="21"/>
      <c r="J1847" s="21"/>
      <c r="K1847" s="16"/>
      <c r="L1847" s="22"/>
      <c r="M1847" s="55"/>
      <c r="N1847" s="23" t="s">
        <v>200</v>
      </c>
      <c r="O1847" s="23" t="s">
        <v>200</v>
      </c>
      <c r="P1847" s="24"/>
      <c r="Q1847" s="23"/>
      <c r="R1847" s="25"/>
      <c r="S1847" s="26"/>
      <c r="T1847" s="16" t="b">
        <v>0</v>
      </c>
    </row>
    <row r="1848">
      <c r="A1848" s="4"/>
      <c r="B1848" s="5"/>
      <c r="C1848" s="13"/>
      <c r="D1848" s="39"/>
      <c r="E1848" s="7"/>
      <c r="F1848" s="34"/>
      <c r="G1848" s="8">
        <v>1899.0</v>
      </c>
      <c r="H1848" s="9"/>
      <c r="I1848" s="9"/>
      <c r="J1848" s="9"/>
      <c r="K1848" s="4"/>
      <c r="L1848" s="10"/>
      <c r="M1848" s="54"/>
      <c r="N1848" s="12" t="s">
        <v>200</v>
      </c>
      <c r="O1848" s="12" t="s">
        <v>200</v>
      </c>
      <c r="P1848" s="13"/>
      <c r="Q1848" s="12"/>
      <c r="R1848" s="14"/>
      <c r="S1848" s="15"/>
      <c r="T1848" s="4" t="b">
        <v>0</v>
      </c>
    </row>
    <row r="1849">
      <c r="A1849" s="16"/>
      <c r="B1849" s="17"/>
      <c r="C1849" s="24"/>
      <c r="D1849" s="44"/>
      <c r="E1849" s="19"/>
      <c r="F1849" s="35"/>
      <c r="G1849" s="20">
        <v>1899.0</v>
      </c>
      <c r="H1849" s="21"/>
      <c r="I1849" s="21"/>
      <c r="J1849" s="21"/>
      <c r="K1849" s="16"/>
      <c r="L1849" s="22"/>
      <c r="M1849" s="55"/>
      <c r="N1849" s="23" t="s">
        <v>200</v>
      </c>
      <c r="O1849" s="23" t="s">
        <v>200</v>
      </c>
      <c r="P1849" s="24"/>
      <c r="Q1849" s="23"/>
      <c r="R1849" s="25"/>
      <c r="S1849" s="26"/>
      <c r="T1849" s="16" t="b">
        <v>0</v>
      </c>
    </row>
    <row r="1850">
      <c r="A1850" s="4"/>
      <c r="B1850" s="5"/>
      <c r="C1850" s="13"/>
      <c r="D1850" s="39"/>
      <c r="E1850" s="7"/>
      <c r="F1850" s="34"/>
      <c r="G1850" s="8">
        <v>1899.0</v>
      </c>
      <c r="H1850" s="9"/>
      <c r="I1850" s="9"/>
      <c r="J1850" s="9"/>
      <c r="K1850" s="4"/>
      <c r="L1850" s="10"/>
      <c r="M1850" s="54"/>
      <c r="N1850" s="12" t="s">
        <v>200</v>
      </c>
      <c r="O1850" s="12" t="s">
        <v>200</v>
      </c>
      <c r="P1850" s="13"/>
      <c r="Q1850" s="12"/>
      <c r="R1850" s="14"/>
      <c r="S1850" s="15"/>
      <c r="T1850" s="4" t="b">
        <v>0</v>
      </c>
    </row>
    <row r="1851">
      <c r="A1851" s="16"/>
      <c r="B1851" s="17"/>
      <c r="C1851" s="24"/>
      <c r="D1851" s="44"/>
      <c r="E1851" s="19"/>
      <c r="F1851" s="35"/>
      <c r="G1851" s="20">
        <v>1899.0</v>
      </c>
      <c r="H1851" s="21"/>
      <c r="I1851" s="21"/>
      <c r="J1851" s="21"/>
      <c r="K1851" s="16"/>
      <c r="L1851" s="22"/>
      <c r="M1851" s="55"/>
      <c r="N1851" s="23" t="s">
        <v>200</v>
      </c>
      <c r="O1851" s="23" t="s">
        <v>200</v>
      </c>
      <c r="P1851" s="24"/>
      <c r="Q1851" s="23"/>
      <c r="R1851" s="25"/>
      <c r="S1851" s="26"/>
      <c r="T1851" s="16" t="b">
        <v>0</v>
      </c>
    </row>
    <row r="1852">
      <c r="A1852" s="4"/>
      <c r="B1852" s="5"/>
      <c r="C1852" s="13"/>
      <c r="D1852" s="39"/>
      <c r="E1852" s="7"/>
      <c r="F1852" s="34"/>
      <c r="G1852" s="8">
        <v>1899.0</v>
      </c>
      <c r="H1852" s="9"/>
      <c r="I1852" s="9"/>
      <c r="J1852" s="9"/>
      <c r="K1852" s="4"/>
      <c r="L1852" s="10"/>
      <c r="M1852" s="54"/>
      <c r="N1852" s="12" t="s">
        <v>200</v>
      </c>
      <c r="O1852" s="12" t="s">
        <v>200</v>
      </c>
      <c r="P1852" s="13"/>
      <c r="Q1852" s="12"/>
      <c r="R1852" s="14"/>
      <c r="S1852" s="15"/>
      <c r="T1852" s="4" t="b">
        <v>0</v>
      </c>
    </row>
    <row r="1853">
      <c r="A1853" s="16"/>
      <c r="B1853" s="17"/>
      <c r="C1853" s="24"/>
      <c r="D1853" s="44"/>
      <c r="E1853" s="19"/>
      <c r="F1853" s="35"/>
      <c r="G1853" s="20">
        <v>1899.0</v>
      </c>
      <c r="H1853" s="21"/>
      <c r="I1853" s="21"/>
      <c r="J1853" s="21"/>
      <c r="K1853" s="16"/>
      <c r="L1853" s="22"/>
      <c r="M1853" s="55"/>
      <c r="N1853" s="23" t="s">
        <v>200</v>
      </c>
      <c r="O1853" s="23" t="s">
        <v>200</v>
      </c>
      <c r="P1853" s="24"/>
      <c r="Q1853" s="23"/>
      <c r="R1853" s="25"/>
      <c r="S1853" s="26"/>
      <c r="T1853" s="16" t="b">
        <v>0</v>
      </c>
    </row>
    <row r="1854">
      <c r="A1854" s="4"/>
      <c r="B1854" s="5"/>
      <c r="C1854" s="13"/>
      <c r="D1854" s="39"/>
      <c r="E1854" s="7"/>
      <c r="F1854" s="34"/>
      <c r="G1854" s="8">
        <v>1899.0</v>
      </c>
      <c r="H1854" s="9"/>
      <c r="I1854" s="9"/>
      <c r="J1854" s="9"/>
      <c r="K1854" s="4"/>
      <c r="L1854" s="10"/>
      <c r="M1854" s="54"/>
      <c r="N1854" s="12" t="s">
        <v>200</v>
      </c>
      <c r="O1854" s="12" t="s">
        <v>200</v>
      </c>
      <c r="P1854" s="13"/>
      <c r="Q1854" s="12"/>
      <c r="R1854" s="14"/>
      <c r="S1854" s="15"/>
      <c r="T1854" s="4" t="b">
        <v>0</v>
      </c>
    </row>
    <row r="1855">
      <c r="A1855" s="16"/>
      <c r="B1855" s="17"/>
      <c r="C1855" s="24"/>
      <c r="D1855" s="44"/>
      <c r="E1855" s="19"/>
      <c r="F1855" s="35"/>
      <c r="G1855" s="20">
        <v>1899.0</v>
      </c>
      <c r="H1855" s="21"/>
      <c r="I1855" s="21"/>
      <c r="J1855" s="21"/>
      <c r="K1855" s="16"/>
      <c r="L1855" s="22"/>
      <c r="M1855" s="55"/>
      <c r="N1855" s="23" t="s">
        <v>200</v>
      </c>
      <c r="O1855" s="23" t="s">
        <v>200</v>
      </c>
      <c r="P1855" s="24"/>
      <c r="Q1855" s="23"/>
      <c r="R1855" s="25"/>
      <c r="S1855" s="26"/>
      <c r="T1855" s="16" t="b">
        <v>0</v>
      </c>
    </row>
    <row r="1856">
      <c r="A1856" s="4"/>
      <c r="B1856" s="5"/>
      <c r="C1856" s="13"/>
      <c r="D1856" s="39"/>
      <c r="E1856" s="7"/>
      <c r="F1856" s="34"/>
      <c r="G1856" s="8">
        <v>1899.0</v>
      </c>
      <c r="H1856" s="9"/>
      <c r="I1856" s="9"/>
      <c r="J1856" s="9"/>
      <c r="K1856" s="4"/>
      <c r="L1856" s="10"/>
      <c r="M1856" s="54"/>
      <c r="N1856" s="12" t="s">
        <v>200</v>
      </c>
      <c r="O1856" s="12" t="s">
        <v>200</v>
      </c>
      <c r="P1856" s="13"/>
      <c r="Q1856" s="12"/>
      <c r="R1856" s="14"/>
      <c r="S1856" s="15"/>
      <c r="T1856" s="4" t="b">
        <v>0</v>
      </c>
    </row>
    <row r="1857">
      <c r="A1857" s="16"/>
      <c r="B1857" s="17"/>
      <c r="C1857" s="24"/>
      <c r="D1857" s="44"/>
      <c r="E1857" s="19"/>
      <c r="F1857" s="35"/>
      <c r="G1857" s="20">
        <v>1899.0</v>
      </c>
      <c r="H1857" s="21"/>
      <c r="I1857" s="21"/>
      <c r="J1857" s="21"/>
      <c r="K1857" s="16"/>
      <c r="L1857" s="22"/>
      <c r="M1857" s="55"/>
      <c r="N1857" s="23" t="s">
        <v>200</v>
      </c>
      <c r="O1857" s="23" t="s">
        <v>200</v>
      </c>
      <c r="P1857" s="24"/>
      <c r="Q1857" s="23"/>
      <c r="R1857" s="25"/>
      <c r="S1857" s="26"/>
      <c r="T1857" s="16" t="b">
        <v>0</v>
      </c>
    </row>
    <row r="1858">
      <c r="A1858" s="4"/>
      <c r="B1858" s="5"/>
      <c r="C1858" s="13"/>
      <c r="D1858" s="39"/>
      <c r="E1858" s="7"/>
      <c r="F1858" s="34"/>
      <c r="G1858" s="8">
        <v>1899.0</v>
      </c>
      <c r="H1858" s="9"/>
      <c r="I1858" s="9"/>
      <c r="J1858" s="9"/>
      <c r="K1858" s="4"/>
      <c r="L1858" s="10"/>
      <c r="M1858" s="54"/>
      <c r="N1858" s="12" t="s">
        <v>200</v>
      </c>
      <c r="O1858" s="12" t="s">
        <v>200</v>
      </c>
      <c r="P1858" s="13"/>
      <c r="Q1858" s="12"/>
      <c r="R1858" s="14"/>
      <c r="S1858" s="15"/>
      <c r="T1858" s="4" t="b">
        <v>0</v>
      </c>
    </row>
    <row r="1859">
      <c r="A1859" s="16"/>
      <c r="B1859" s="17"/>
      <c r="C1859" s="24"/>
      <c r="D1859" s="44"/>
      <c r="E1859" s="19"/>
      <c r="F1859" s="35"/>
      <c r="G1859" s="20">
        <v>1899.0</v>
      </c>
      <c r="H1859" s="21"/>
      <c r="I1859" s="21"/>
      <c r="J1859" s="21"/>
      <c r="K1859" s="16"/>
      <c r="L1859" s="22"/>
      <c r="M1859" s="55"/>
      <c r="N1859" s="23" t="s">
        <v>200</v>
      </c>
      <c r="O1859" s="23" t="s">
        <v>200</v>
      </c>
      <c r="P1859" s="24"/>
      <c r="Q1859" s="23"/>
      <c r="R1859" s="25"/>
      <c r="S1859" s="26"/>
      <c r="T1859" s="16" t="b">
        <v>0</v>
      </c>
    </row>
    <row r="1860">
      <c r="A1860" s="4"/>
      <c r="B1860" s="5"/>
      <c r="C1860" s="13"/>
      <c r="D1860" s="39"/>
      <c r="E1860" s="7"/>
      <c r="F1860" s="34"/>
      <c r="G1860" s="8">
        <v>1899.0</v>
      </c>
      <c r="H1860" s="9"/>
      <c r="I1860" s="9"/>
      <c r="J1860" s="9"/>
      <c r="K1860" s="4"/>
      <c r="L1860" s="10"/>
      <c r="M1860" s="54"/>
      <c r="N1860" s="12" t="s">
        <v>200</v>
      </c>
      <c r="O1860" s="12" t="s">
        <v>200</v>
      </c>
      <c r="P1860" s="13"/>
      <c r="Q1860" s="12"/>
      <c r="R1860" s="14"/>
      <c r="S1860" s="15"/>
      <c r="T1860" s="4" t="b">
        <v>0</v>
      </c>
    </row>
    <row r="1861">
      <c r="A1861" s="16"/>
      <c r="B1861" s="17"/>
      <c r="C1861" s="24"/>
      <c r="D1861" s="44"/>
      <c r="E1861" s="19"/>
      <c r="F1861" s="35"/>
      <c r="G1861" s="20">
        <v>1899.0</v>
      </c>
      <c r="H1861" s="21"/>
      <c r="I1861" s="21"/>
      <c r="J1861" s="21"/>
      <c r="K1861" s="16"/>
      <c r="L1861" s="22"/>
      <c r="M1861" s="55"/>
      <c r="N1861" s="23" t="s">
        <v>200</v>
      </c>
      <c r="O1861" s="23" t="s">
        <v>200</v>
      </c>
      <c r="P1861" s="24"/>
      <c r="Q1861" s="23"/>
      <c r="R1861" s="25"/>
      <c r="S1861" s="26"/>
      <c r="T1861" s="16" t="b">
        <v>0</v>
      </c>
    </row>
    <row r="1862">
      <c r="A1862" s="4"/>
      <c r="B1862" s="5"/>
      <c r="C1862" s="13"/>
      <c r="D1862" s="39"/>
      <c r="E1862" s="7"/>
      <c r="F1862" s="34"/>
      <c r="G1862" s="8">
        <v>1899.0</v>
      </c>
      <c r="H1862" s="9"/>
      <c r="I1862" s="9"/>
      <c r="J1862" s="9"/>
      <c r="K1862" s="4"/>
      <c r="L1862" s="10"/>
      <c r="M1862" s="54"/>
      <c r="N1862" s="12" t="s">
        <v>200</v>
      </c>
      <c r="O1862" s="12" t="s">
        <v>200</v>
      </c>
      <c r="P1862" s="13"/>
      <c r="Q1862" s="12"/>
      <c r="R1862" s="14"/>
      <c r="S1862" s="15"/>
      <c r="T1862" s="4" t="b">
        <v>0</v>
      </c>
    </row>
    <row r="1863">
      <c r="A1863" s="16"/>
      <c r="B1863" s="17"/>
      <c r="C1863" s="24"/>
      <c r="D1863" s="44"/>
      <c r="E1863" s="19"/>
      <c r="F1863" s="35"/>
      <c r="G1863" s="20">
        <v>1899.0</v>
      </c>
      <c r="H1863" s="21"/>
      <c r="I1863" s="21"/>
      <c r="J1863" s="21"/>
      <c r="K1863" s="16"/>
      <c r="L1863" s="22"/>
      <c r="M1863" s="55"/>
      <c r="N1863" s="23" t="s">
        <v>200</v>
      </c>
      <c r="O1863" s="23" t="s">
        <v>200</v>
      </c>
      <c r="P1863" s="24"/>
      <c r="Q1863" s="23"/>
      <c r="R1863" s="25"/>
      <c r="S1863" s="26"/>
      <c r="T1863" s="16" t="b">
        <v>0</v>
      </c>
    </row>
    <row r="1864">
      <c r="A1864" s="4"/>
      <c r="B1864" s="5"/>
      <c r="C1864" s="13"/>
      <c r="D1864" s="39"/>
      <c r="E1864" s="7"/>
      <c r="F1864" s="34"/>
      <c r="G1864" s="8">
        <v>1899.0</v>
      </c>
      <c r="H1864" s="9"/>
      <c r="I1864" s="9"/>
      <c r="J1864" s="9"/>
      <c r="K1864" s="4"/>
      <c r="L1864" s="10"/>
      <c r="M1864" s="54"/>
      <c r="N1864" s="12" t="s">
        <v>200</v>
      </c>
      <c r="O1864" s="12" t="s">
        <v>200</v>
      </c>
      <c r="P1864" s="13"/>
      <c r="Q1864" s="12"/>
      <c r="R1864" s="14"/>
      <c r="S1864" s="15"/>
      <c r="T1864" s="4" t="b">
        <v>0</v>
      </c>
    </row>
    <row r="1865">
      <c r="A1865" s="16"/>
      <c r="B1865" s="17"/>
      <c r="C1865" s="24"/>
      <c r="D1865" s="44"/>
      <c r="E1865" s="19"/>
      <c r="F1865" s="35"/>
      <c r="G1865" s="20">
        <v>1899.0</v>
      </c>
      <c r="H1865" s="21"/>
      <c r="I1865" s="21"/>
      <c r="J1865" s="21"/>
      <c r="K1865" s="16"/>
      <c r="L1865" s="22"/>
      <c r="M1865" s="55"/>
      <c r="N1865" s="23" t="s">
        <v>200</v>
      </c>
      <c r="O1865" s="23" t="s">
        <v>200</v>
      </c>
      <c r="P1865" s="24"/>
      <c r="Q1865" s="23"/>
      <c r="R1865" s="25"/>
      <c r="S1865" s="26"/>
      <c r="T1865" s="16" t="b">
        <v>0</v>
      </c>
    </row>
    <row r="1866">
      <c r="A1866" s="4"/>
      <c r="B1866" s="5"/>
      <c r="C1866" s="13"/>
      <c r="D1866" s="39"/>
      <c r="E1866" s="7"/>
      <c r="F1866" s="34"/>
      <c r="G1866" s="8">
        <v>1899.0</v>
      </c>
      <c r="H1866" s="9"/>
      <c r="I1866" s="9"/>
      <c r="J1866" s="9"/>
      <c r="K1866" s="4"/>
      <c r="L1866" s="10"/>
      <c r="M1866" s="54"/>
      <c r="N1866" s="12" t="s">
        <v>200</v>
      </c>
      <c r="O1866" s="12" t="s">
        <v>200</v>
      </c>
      <c r="P1866" s="13"/>
      <c r="Q1866" s="12"/>
      <c r="R1866" s="14"/>
      <c r="S1866" s="15"/>
      <c r="T1866" s="4" t="b">
        <v>0</v>
      </c>
    </row>
    <row r="1867">
      <c r="A1867" s="16"/>
      <c r="B1867" s="17"/>
      <c r="C1867" s="24"/>
      <c r="D1867" s="44"/>
      <c r="E1867" s="19"/>
      <c r="F1867" s="35"/>
      <c r="G1867" s="20">
        <v>1899.0</v>
      </c>
      <c r="H1867" s="21"/>
      <c r="I1867" s="21"/>
      <c r="J1867" s="21"/>
      <c r="K1867" s="16"/>
      <c r="L1867" s="22"/>
      <c r="M1867" s="55"/>
      <c r="N1867" s="23" t="s">
        <v>200</v>
      </c>
      <c r="O1867" s="23" t="s">
        <v>200</v>
      </c>
      <c r="P1867" s="24"/>
      <c r="Q1867" s="23"/>
      <c r="R1867" s="25"/>
      <c r="S1867" s="26"/>
      <c r="T1867" s="16" t="b">
        <v>0</v>
      </c>
    </row>
    <row r="1868">
      <c r="A1868" s="4"/>
      <c r="B1868" s="5"/>
      <c r="C1868" s="13"/>
      <c r="D1868" s="39"/>
      <c r="E1868" s="7"/>
      <c r="F1868" s="34"/>
      <c r="G1868" s="8">
        <v>1899.0</v>
      </c>
      <c r="H1868" s="9"/>
      <c r="I1868" s="9"/>
      <c r="J1868" s="9"/>
      <c r="K1868" s="4"/>
      <c r="L1868" s="10"/>
      <c r="M1868" s="54"/>
      <c r="N1868" s="12" t="s">
        <v>200</v>
      </c>
      <c r="O1868" s="12" t="s">
        <v>200</v>
      </c>
      <c r="P1868" s="13"/>
      <c r="Q1868" s="12"/>
      <c r="R1868" s="14"/>
      <c r="S1868" s="15"/>
      <c r="T1868" s="4" t="b">
        <v>0</v>
      </c>
    </row>
    <row r="1869">
      <c r="A1869" s="16"/>
      <c r="B1869" s="17"/>
      <c r="C1869" s="24"/>
      <c r="D1869" s="44"/>
      <c r="E1869" s="19"/>
      <c r="F1869" s="35"/>
      <c r="G1869" s="20">
        <v>1899.0</v>
      </c>
      <c r="H1869" s="21"/>
      <c r="I1869" s="21"/>
      <c r="J1869" s="21"/>
      <c r="K1869" s="16"/>
      <c r="L1869" s="22"/>
      <c r="M1869" s="55"/>
      <c r="N1869" s="23" t="s">
        <v>200</v>
      </c>
      <c r="O1869" s="23" t="s">
        <v>200</v>
      </c>
      <c r="P1869" s="24"/>
      <c r="Q1869" s="23"/>
      <c r="R1869" s="25"/>
      <c r="S1869" s="26"/>
      <c r="T1869" s="16" t="b">
        <v>0</v>
      </c>
    </row>
    <row r="1870">
      <c r="A1870" s="4"/>
      <c r="B1870" s="5"/>
      <c r="C1870" s="13"/>
      <c r="D1870" s="39"/>
      <c r="E1870" s="7"/>
      <c r="F1870" s="34"/>
      <c r="G1870" s="8">
        <v>1899.0</v>
      </c>
      <c r="H1870" s="9"/>
      <c r="I1870" s="9"/>
      <c r="J1870" s="9"/>
      <c r="K1870" s="4"/>
      <c r="L1870" s="10"/>
      <c r="M1870" s="54"/>
      <c r="N1870" s="12" t="s">
        <v>200</v>
      </c>
      <c r="O1870" s="12" t="s">
        <v>200</v>
      </c>
      <c r="P1870" s="13"/>
      <c r="Q1870" s="12"/>
      <c r="R1870" s="14"/>
      <c r="S1870" s="15"/>
      <c r="T1870" s="4" t="b">
        <v>0</v>
      </c>
    </row>
    <row r="1871">
      <c r="A1871" s="16"/>
      <c r="B1871" s="17"/>
      <c r="C1871" s="24"/>
      <c r="D1871" s="44"/>
      <c r="E1871" s="19"/>
      <c r="F1871" s="35"/>
      <c r="G1871" s="20">
        <v>1899.0</v>
      </c>
      <c r="H1871" s="21"/>
      <c r="I1871" s="21"/>
      <c r="J1871" s="21"/>
      <c r="K1871" s="16"/>
      <c r="L1871" s="22"/>
      <c r="M1871" s="55"/>
      <c r="N1871" s="23" t="s">
        <v>200</v>
      </c>
      <c r="O1871" s="23" t="s">
        <v>200</v>
      </c>
      <c r="P1871" s="24"/>
      <c r="Q1871" s="23"/>
      <c r="R1871" s="25"/>
      <c r="S1871" s="26"/>
      <c r="T1871" s="16" t="b">
        <v>0</v>
      </c>
    </row>
    <row r="1872">
      <c r="A1872" s="4"/>
      <c r="B1872" s="5"/>
      <c r="C1872" s="13"/>
      <c r="D1872" s="39"/>
      <c r="E1872" s="7"/>
      <c r="F1872" s="34"/>
      <c r="G1872" s="8">
        <v>1899.0</v>
      </c>
      <c r="H1872" s="9"/>
      <c r="I1872" s="9"/>
      <c r="J1872" s="9"/>
      <c r="K1872" s="4"/>
      <c r="L1872" s="10"/>
      <c r="M1872" s="54"/>
      <c r="N1872" s="12" t="s">
        <v>200</v>
      </c>
      <c r="O1872" s="12" t="s">
        <v>200</v>
      </c>
      <c r="P1872" s="13"/>
      <c r="Q1872" s="12"/>
      <c r="R1872" s="14"/>
      <c r="S1872" s="15"/>
      <c r="T1872" s="4" t="b">
        <v>0</v>
      </c>
    </row>
    <row r="1873">
      <c r="A1873" s="16"/>
      <c r="B1873" s="17"/>
      <c r="C1873" s="24"/>
      <c r="D1873" s="44"/>
      <c r="E1873" s="19"/>
      <c r="F1873" s="35"/>
      <c r="G1873" s="20">
        <v>1899.0</v>
      </c>
      <c r="H1873" s="21"/>
      <c r="I1873" s="21"/>
      <c r="J1873" s="21"/>
      <c r="K1873" s="16"/>
      <c r="L1873" s="22"/>
      <c r="M1873" s="55"/>
      <c r="N1873" s="23" t="s">
        <v>200</v>
      </c>
      <c r="O1873" s="23" t="s">
        <v>200</v>
      </c>
      <c r="P1873" s="24"/>
      <c r="Q1873" s="23"/>
      <c r="R1873" s="25"/>
      <c r="S1873" s="26"/>
      <c r="T1873" s="16" t="b">
        <v>0</v>
      </c>
    </row>
    <row r="1874">
      <c r="A1874" s="4"/>
      <c r="B1874" s="5"/>
      <c r="C1874" s="13"/>
      <c r="D1874" s="39"/>
      <c r="E1874" s="7"/>
      <c r="F1874" s="34"/>
      <c r="G1874" s="8">
        <v>1899.0</v>
      </c>
      <c r="H1874" s="9"/>
      <c r="I1874" s="9"/>
      <c r="J1874" s="9"/>
      <c r="K1874" s="4"/>
      <c r="L1874" s="10"/>
      <c r="M1874" s="54"/>
      <c r="N1874" s="12" t="s">
        <v>200</v>
      </c>
      <c r="O1874" s="12" t="s">
        <v>200</v>
      </c>
      <c r="P1874" s="13"/>
      <c r="Q1874" s="12"/>
      <c r="R1874" s="14"/>
      <c r="S1874" s="15"/>
      <c r="T1874" s="4" t="b">
        <v>0</v>
      </c>
    </row>
    <row r="1875">
      <c r="A1875" s="16"/>
      <c r="B1875" s="17"/>
      <c r="C1875" s="24"/>
      <c r="D1875" s="44"/>
      <c r="E1875" s="19"/>
      <c r="F1875" s="35"/>
      <c r="G1875" s="20">
        <v>1899.0</v>
      </c>
      <c r="H1875" s="21"/>
      <c r="I1875" s="21"/>
      <c r="J1875" s="21"/>
      <c r="K1875" s="16"/>
      <c r="L1875" s="22"/>
      <c r="M1875" s="55"/>
      <c r="N1875" s="23" t="s">
        <v>200</v>
      </c>
      <c r="O1875" s="23" t="s">
        <v>200</v>
      </c>
      <c r="P1875" s="24"/>
      <c r="Q1875" s="23"/>
      <c r="R1875" s="25"/>
      <c r="S1875" s="26"/>
      <c r="T1875" s="16" t="b">
        <v>0</v>
      </c>
    </row>
    <row r="1876">
      <c r="A1876" s="4"/>
      <c r="B1876" s="5"/>
      <c r="C1876" s="13"/>
      <c r="D1876" s="39"/>
      <c r="E1876" s="7"/>
      <c r="F1876" s="34"/>
      <c r="G1876" s="8">
        <v>1899.0</v>
      </c>
      <c r="H1876" s="9"/>
      <c r="I1876" s="9"/>
      <c r="J1876" s="9"/>
      <c r="K1876" s="4"/>
      <c r="L1876" s="10"/>
      <c r="M1876" s="54"/>
      <c r="N1876" s="12" t="s">
        <v>200</v>
      </c>
      <c r="O1876" s="12" t="s">
        <v>200</v>
      </c>
      <c r="P1876" s="13"/>
      <c r="Q1876" s="12"/>
      <c r="R1876" s="14"/>
      <c r="S1876" s="15"/>
      <c r="T1876" s="4" t="b">
        <v>0</v>
      </c>
    </row>
    <row r="1877">
      <c r="A1877" s="16"/>
      <c r="B1877" s="17"/>
      <c r="C1877" s="24"/>
      <c r="D1877" s="44"/>
      <c r="E1877" s="19"/>
      <c r="F1877" s="35"/>
      <c r="G1877" s="20">
        <v>1899.0</v>
      </c>
      <c r="H1877" s="21"/>
      <c r="I1877" s="21"/>
      <c r="J1877" s="21"/>
      <c r="K1877" s="16"/>
      <c r="L1877" s="22"/>
      <c r="M1877" s="55"/>
      <c r="N1877" s="23" t="s">
        <v>200</v>
      </c>
      <c r="O1877" s="23" t="s">
        <v>200</v>
      </c>
      <c r="P1877" s="24"/>
      <c r="Q1877" s="23"/>
      <c r="R1877" s="25"/>
      <c r="S1877" s="26"/>
      <c r="T1877" s="16" t="b">
        <v>0</v>
      </c>
    </row>
    <row r="1878">
      <c r="A1878" s="4"/>
      <c r="B1878" s="5"/>
      <c r="C1878" s="13"/>
      <c r="D1878" s="39"/>
      <c r="E1878" s="7"/>
      <c r="F1878" s="34"/>
      <c r="G1878" s="8">
        <v>1899.0</v>
      </c>
      <c r="H1878" s="9"/>
      <c r="I1878" s="9"/>
      <c r="J1878" s="9"/>
      <c r="K1878" s="4"/>
      <c r="L1878" s="10"/>
      <c r="M1878" s="54"/>
      <c r="N1878" s="12" t="s">
        <v>200</v>
      </c>
      <c r="O1878" s="12" t="s">
        <v>200</v>
      </c>
      <c r="P1878" s="13"/>
      <c r="Q1878" s="12"/>
      <c r="R1878" s="14"/>
      <c r="S1878" s="15"/>
      <c r="T1878" s="4" t="b">
        <v>0</v>
      </c>
    </row>
    <row r="1879">
      <c r="A1879" s="16"/>
      <c r="B1879" s="17"/>
      <c r="C1879" s="24"/>
      <c r="D1879" s="44"/>
      <c r="E1879" s="19"/>
      <c r="F1879" s="35"/>
      <c r="G1879" s="20">
        <v>1899.0</v>
      </c>
      <c r="H1879" s="21"/>
      <c r="I1879" s="21"/>
      <c r="J1879" s="21"/>
      <c r="K1879" s="16"/>
      <c r="L1879" s="22"/>
      <c r="M1879" s="55"/>
      <c r="N1879" s="23" t="s">
        <v>200</v>
      </c>
      <c r="O1879" s="23" t="s">
        <v>200</v>
      </c>
      <c r="P1879" s="24"/>
      <c r="Q1879" s="23"/>
      <c r="R1879" s="25"/>
      <c r="S1879" s="26"/>
      <c r="T1879" s="16" t="b">
        <v>0</v>
      </c>
    </row>
    <row r="1880">
      <c r="A1880" s="4"/>
      <c r="B1880" s="5"/>
      <c r="C1880" s="13"/>
      <c r="D1880" s="39"/>
      <c r="E1880" s="7"/>
      <c r="F1880" s="34"/>
      <c r="G1880" s="8">
        <v>1899.0</v>
      </c>
      <c r="H1880" s="9"/>
      <c r="I1880" s="9"/>
      <c r="J1880" s="9"/>
      <c r="K1880" s="4"/>
      <c r="L1880" s="10"/>
      <c r="M1880" s="54"/>
      <c r="N1880" s="12" t="s">
        <v>200</v>
      </c>
      <c r="O1880" s="12" t="s">
        <v>200</v>
      </c>
      <c r="P1880" s="13"/>
      <c r="Q1880" s="12"/>
      <c r="R1880" s="14"/>
      <c r="S1880" s="15"/>
      <c r="T1880" s="4" t="b">
        <v>0</v>
      </c>
    </row>
    <row r="1881">
      <c r="A1881" s="16"/>
      <c r="B1881" s="17"/>
      <c r="C1881" s="24"/>
      <c r="D1881" s="44"/>
      <c r="E1881" s="19"/>
      <c r="F1881" s="35"/>
      <c r="G1881" s="20">
        <v>1899.0</v>
      </c>
      <c r="H1881" s="21"/>
      <c r="I1881" s="21"/>
      <c r="J1881" s="21"/>
      <c r="K1881" s="16"/>
      <c r="L1881" s="22"/>
      <c r="M1881" s="55"/>
      <c r="N1881" s="23" t="s">
        <v>200</v>
      </c>
      <c r="O1881" s="23" t="s">
        <v>200</v>
      </c>
      <c r="P1881" s="24"/>
      <c r="Q1881" s="23"/>
      <c r="R1881" s="25"/>
      <c r="S1881" s="26"/>
      <c r="T1881" s="16" t="b">
        <v>0</v>
      </c>
    </row>
    <row r="1882">
      <c r="A1882" s="4"/>
      <c r="B1882" s="5"/>
      <c r="C1882" s="13"/>
      <c r="D1882" s="39"/>
      <c r="E1882" s="7"/>
      <c r="F1882" s="34"/>
      <c r="G1882" s="8">
        <v>1899.0</v>
      </c>
      <c r="H1882" s="9"/>
      <c r="I1882" s="9"/>
      <c r="J1882" s="9"/>
      <c r="K1882" s="4"/>
      <c r="L1882" s="10"/>
      <c r="M1882" s="54"/>
      <c r="N1882" s="12" t="s">
        <v>200</v>
      </c>
      <c r="O1882" s="12" t="s">
        <v>200</v>
      </c>
      <c r="P1882" s="13"/>
      <c r="Q1882" s="12"/>
      <c r="R1882" s="14"/>
      <c r="S1882" s="15"/>
      <c r="T1882" s="4" t="b">
        <v>0</v>
      </c>
    </row>
    <row r="1883">
      <c r="A1883" s="16"/>
      <c r="B1883" s="17"/>
      <c r="C1883" s="24"/>
      <c r="D1883" s="44"/>
      <c r="E1883" s="19"/>
      <c r="F1883" s="35"/>
      <c r="G1883" s="20">
        <v>1899.0</v>
      </c>
      <c r="H1883" s="21"/>
      <c r="I1883" s="21"/>
      <c r="J1883" s="21"/>
      <c r="K1883" s="16"/>
      <c r="L1883" s="22"/>
      <c r="M1883" s="55"/>
      <c r="N1883" s="23" t="s">
        <v>200</v>
      </c>
      <c r="O1883" s="23" t="s">
        <v>200</v>
      </c>
      <c r="P1883" s="24"/>
      <c r="Q1883" s="23"/>
      <c r="R1883" s="25"/>
      <c r="S1883" s="26"/>
      <c r="T1883" s="16" t="b">
        <v>0</v>
      </c>
    </row>
    <row r="1884">
      <c r="A1884" s="4"/>
      <c r="B1884" s="5"/>
      <c r="C1884" s="13"/>
      <c r="D1884" s="39"/>
      <c r="E1884" s="7"/>
      <c r="F1884" s="34"/>
      <c r="G1884" s="8">
        <v>1899.0</v>
      </c>
      <c r="H1884" s="9"/>
      <c r="I1884" s="9"/>
      <c r="J1884" s="9"/>
      <c r="K1884" s="4"/>
      <c r="L1884" s="10"/>
      <c r="M1884" s="54"/>
      <c r="N1884" s="12" t="s">
        <v>200</v>
      </c>
      <c r="O1884" s="12" t="s">
        <v>200</v>
      </c>
      <c r="P1884" s="13"/>
      <c r="Q1884" s="12"/>
      <c r="R1884" s="14"/>
      <c r="S1884" s="15"/>
      <c r="T1884" s="4" t="b">
        <v>0</v>
      </c>
    </row>
    <row r="1885">
      <c r="A1885" s="16"/>
      <c r="B1885" s="17"/>
      <c r="C1885" s="24"/>
      <c r="D1885" s="44"/>
      <c r="E1885" s="19"/>
      <c r="F1885" s="35"/>
      <c r="G1885" s="20">
        <v>1899.0</v>
      </c>
      <c r="H1885" s="21"/>
      <c r="I1885" s="21"/>
      <c r="J1885" s="21"/>
      <c r="K1885" s="16"/>
      <c r="L1885" s="22"/>
      <c r="M1885" s="55"/>
      <c r="N1885" s="23" t="s">
        <v>200</v>
      </c>
      <c r="O1885" s="23" t="s">
        <v>200</v>
      </c>
      <c r="P1885" s="24"/>
      <c r="Q1885" s="23"/>
      <c r="R1885" s="25"/>
      <c r="S1885" s="26"/>
      <c r="T1885" s="16" t="b">
        <v>0</v>
      </c>
    </row>
    <row r="1886">
      <c r="A1886" s="4"/>
      <c r="B1886" s="5"/>
      <c r="C1886" s="13"/>
      <c r="D1886" s="39"/>
      <c r="E1886" s="7"/>
      <c r="F1886" s="34"/>
      <c r="G1886" s="8">
        <v>1899.0</v>
      </c>
      <c r="H1886" s="9"/>
      <c r="I1886" s="9"/>
      <c r="J1886" s="9"/>
      <c r="K1886" s="4"/>
      <c r="L1886" s="10"/>
      <c r="M1886" s="54"/>
      <c r="N1886" s="12" t="s">
        <v>200</v>
      </c>
      <c r="O1886" s="12" t="s">
        <v>200</v>
      </c>
      <c r="P1886" s="13"/>
      <c r="Q1886" s="12"/>
      <c r="R1886" s="14"/>
      <c r="S1886" s="15"/>
      <c r="T1886" s="4" t="b">
        <v>0</v>
      </c>
    </row>
    <row r="1887">
      <c r="A1887" s="16"/>
      <c r="B1887" s="17"/>
      <c r="C1887" s="24"/>
      <c r="D1887" s="44"/>
      <c r="E1887" s="19"/>
      <c r="F1887" s="35"/>
      <c r="G1887" s="20">
        <v>1899.0</v>
      </c>
      <c r="H1887" s="21"/>
      <c r="I1887" s="21"/>
      <c r="J1887" s="21"/>
      <c r="K1887" s="16"/>
      <c r="L1887" s="22"/>
      <c r="M1887" s="55"/>
      <c r="N1887" s="23" t="s">
        <v>200</v>
      </c>
      <c r="O1887" s="23" t="s">
        <v>200</v>
      </c>
      <c r="P1887" s="24"/>
      <c r="Q1887" s="23"/>
      <c r="R1887" s="25"/>
      <c r="S1887" s="26"/>
      <c r="T1887" s="16" t="b">
        <v>0</v>
      </c>
    </row>
    <row r="1888">
      <c r="A1888" s="4"/>
      <c r="B1888" s="5"/>
      <c r="C1888" s="13"/>
      <c r="D1888" s="39"/>
      <c r="E1888" s="7"/>
      <c r="F1888" s="34"/>
      <c r="G1888" s="8">
        <v>1899.0</v>
      </c>
      <c r="H1888" s="9"/>
      <c r="I1888" s="9"/>
      <c r="J1888" s="9"/>
      <c r="K1888" s="4"/>
      <c r="L1888" s="10"/>
      <c r="M1888" s="54"/>
      <c r="N1888" s="12" t="s">
        <v>200</v>
      </c>
      <c r="O1888" s="12" t="s">
        <v>200</v>
      </c>
      <c r="P1888" s="13"/>
      <c r="Q1888" s="12"/>
      <c r="R1888" s="14"/>
      <c r="S1888" s="15"/>
      <c r="T1888" s="4" t="b">
        <v>0</v>
      </c>
    </row>
    <row r="1889">
      <c r="A1889" s="16"/>
      <c r="B1889" s="17"/>
      <c r="C1889" s="24"/>
      <c r="D1889" s="44"/>
      <c r="E1889" s="19"/>
      <c r="F1889" s="35"/>
      <c r="G1889" s="20">
        <v>1899.0</v>
      </c>
      <c r="H1889" s="21"/>
      <c r="I1889" s="21"/>
      <c r="J1889" s="21"/>
      <c r="K1889" s="16"/>
      <c r="L1889" s="22"/>
      <c r="M1889" s="55"/>
      <c r="N1889" s="23" t="s">
        <v>200</v>
      </c>
      <c r="O1889" s="23" t="s">
        <v>200</v>
      </c>
      <c r="P1889" s="24"/>
      <c r="Q1889" s="23"/>
      <c r="R1889" s="25"/>
      <c r="S1889" s="26"/>
      <c r="T1889" s="16" t="b">
        <v>0</v>
      </c>
    </row>
    <row r="1890">
      <c r="A1890" s="4"/>
      <c r="B1890" s="5"/>
      <c r="C1890" s="13"/>
      <c r="D1890" s="39"/>
      <c r="E1890" s="7"/>
      <c r="F1890" s="34"/>
      <c r="G1890" s="8">
        <v>1899.0</v>
      </c>
      <c r="H1890" s="9"/>
      <c r="I1890" s="9"/>
      <c r="J1890" s="9"/>
      <c r="K1890" s="4"/>
      <c r="L1890" s="10"/>
      <c r="M1890" s="54"/>
      <c r="N1890" s="12" t="s">
        <v>200</v>
      </c>
      <c r="O1890" s="12" t="s">
        <v>200</v>
      </c>
      <c r="P1890" s="13"/>
      <c r="Q1890" s="12"/>
      <c r="R1890" s="14"/>
      <c r="S1890" s="15"/>
      <c r="T1890" s="4" t="b">
        <v>0</v>
      </c>
    </row>
    <row r="1891">
      <c r="A1891" s="16"/>
      <c r="B1891" s="17"/>
      <c r="C1891" s="24"/>
      <c r="D1891" s="44"/>
      <c r="E1891" s="19"/>
      <c r="F1891" s="35"/>
      <c r="G1891" s="20">
        <v>1899.0</v>
      </c>
      <c r="H1891" s="21"/>
      <c r="I1891" s="21"/>
      <c r="J1891" s="21"/>
      <c r="K1891" s="16"/>
      <c r="L1891" s="22"/>
      <c r="M1891" s="55"/>
      <c r="N1891" s="23" t="s">
        <v>200</v>
      </c>
      <c r="O1891" s="23" t="s">
        <v>200</v>
      </c>
      <c r="P1891" s="24"/>
      <c r="Q1891" s="23"/>
      <c r="R1891" s="25"/>
      <c r="S1891" s="26"/>
      <c r="T1891" s="16" t="b">
        <v>0</v>
      </c>
    </row>
    <row r="1892">
      <c r="A1892" s="4"/>
      <c r="B1892" s="5"/>
      <c r="C1892" s="13"/>
      <c r="D1892" s="39"/>
      <c r="E1892" s="7"/>
      <c r="F1892" s="34"/>
      <c r="G1892" s="8">
        <v>1899.0</v>
      </c>
      <c r="H1892" s="9"/>
      <c r="I1892" s="9"/>
      <c r="J1892" s="9"/>
      <c r="K1892" s="4"/>
      <c r="L1892" s="10"/>
      <c r="M1892" s="54"/>
      <c r="N1892" s="12" t="s">
        <v>200</v>
      </c>
      <c r="O1892" s="12" t="s">
        <v>200</v>
      </c>
      <c r="P1892" s="13"/>
      <c r="Q1892" s="12"/>
      <c r="R1892" s="14"/>
      <c r="S1892" s="15"/>
      <c r="T1892" s="4" t="b">
        <v>0</v>
      </c>
    </row>
    <row r="1893">
      <c r="A1893" s="16"/>
      <c r="B1893" s="17"/>
      <c r="C1893" s="24"/>
      <c r="D1893" s="44"/>
      <c r="E1893" s="19"/>
      <c r="F1893" s="35"/>
      <c r="G1893" s="20">
        <v>1899.0</v>
      </c>
      <c r="H1893" s="21"/>
      <c r="I1893" s="21"/>
      <c r="J1893" s="21"/>
      <c r="K1893" s="16"/>
      <c r="L1893" s="22"/>
      <c r="M1893" s="55"/>
      <c r="N1893" s="23" t="s">
        <v>200</v>
      </c>
      <c r="O1893" s="23" t="s">
        <v>200</v>
      </c>
      <c r="P1893" s="24"/>
      <c r="Q1893" s="23"/>
      <c r="R1893" s="25"/>
      <c r="S1893" s="26"/>
      <c r="T1893" s="16" t="b">
        <v>0</v>
      </c>
    </row>
    <row r="1894">
      <c r="A1894" s="4"/>
      <c r="B1894" s="5"/>
      <c r="C1894" s="13"/>
      <c r="D1894" s="39"/>
      <c r="E1894" s="7"/>
      <c r="F1894" s="34"/>
      <c r="G1894" s="8">
        <v>1899.0</v>
      </c>
      <c r="H1894" s="9"/>
      <c r="I1894" s="9"/>
      <c r="J1894" s="9"/>
      <c r="K1894" s="4"/>
      <c r="L1894" s="10"/>
      <c r="M1894" s="54"/>
      <c r="N1894" s="12" t="s">
        <v>200</v>
      </c>
      <c r="O1894" s="12" t="s">
        <v>200</v>
      </c>
      <c r="P1894" s="13"/>
      <c r="Q1894" s="12"/>
      <c r="R1894" s="14"/>
      <c r="S1894" s="15"/>
      <c r="T1894" s="4" t="b">
        <v>0</v>
      </c>
    </row>
    <row r="1895">
      <c r="A1895" s="16"/>
      <c r="B1895" s="17"/>
      <c r="C1895" s="24"/>
      <c r="D1895" s="44"/>
      <c r="E1895" s="19"/>
      <c r="F1895" s="35"/>
      <c r="G1895" s="20">
        <v>1899.0</v>
      </c>
      <c r="H1895" s="21"/>
      <c r="I1895" s="21"/>
      <c r="J1895" s="21"/>
      <c r="K1895" s="16"/>
      <c r="L1895" s="22"/>
      <c r="M1895" s="55"/>
      <c r="N1895" s="23" t="s">
        <v>200</v>
      </c>
      <c r="O1895" s="23" t="s">
        <v>200</v>
      </c>
      <c r="P1895" s="24"/>
      <c r="Q1895" s="23"/>
      <c r="R1895" s="25"/>
      <c r="S1895" s="26"/>
      <c r="T1895" s="16" t="b">
        <v>0</v>
      </c>
    </row>
    <row r="1896">
      <c r="A1896" s="4"/>
      <c r="B1896" s="5"/>
      <c r="C1896" s="13"/>
      <c r="D1896" s="39"/>
      <c r="E1896" s="7"/>
      <c r="F1896" s="34"/>
      <c r="G1896" s="8">
        <v>1899.0</v>
      </c>
      <c r="H1896" s="9"/>
      <c r="I1896" s="9"/>
      <c r="J1896" s="9"/>
      <c r="K1896" s="4"/>
      <c r="L1896" s="10"/>
      <c r="M1896" s="54"/>
      <c r="N1896" s="12" t="s">
        <v>200</v>
      </c>
      <c r="O1896" s="12" t="s">
        <v>200</v>
      </c>
      <c r="P1896" s="13"/>
      <c r="Q1896" s="12"/>
      <c r="R1896" s="14"/>
      <c r="S1896" s="15"/>
      <c r="T1896" s="4" t="b">
        <v>0</v>
      </c>
    </row>
    <row r="1897">
      <c r="A1897" s="16"/>
      <c r="B1897" s="17"/>
      <c r="C1897" s="24"/>
      <c r="D1897" s="44"/>
      <c r="E1897" s="19"/>
      <c r="F1897" s="35"/>
      <c r="G1897" s="20">
        <v>1899.0</v>
      </c>
      <c r="H1897" s="21"/>
      <c r="I1897" s="21"/>
      <c r="J1897" s="21"/>
      <c r="K1897" s="16"/>
      <c r="L1897" s="22"/>
      <c r="M1897" s="55"/>
      <c r="N1897" s="23" t="s">
        <v>200</v>
      </c>
      <c r="O1897" s="23" t="s">
        <v>200</v>
      </c>
      <c r="P1897" s="24"/>
      <c r="Q1897" s="23"/>
      <c r="R1897" s="25"/>
      <c r="S1897" s="26"/>
      <c r="T1897" s="16" t="b">
        <v>0</v>
      </c>
    </row>
    <row r="1898">
      <c r="A1898" s="4"/>
      <c r="B1898" s="5"/>
      <c r="C1898" s="13"/>
      <c r="D1898" s="39"/>
      <c r="E1898" s="7"/>
      <c r="F1898" s="34"/>
      <c r="G1898" s="8">
        <v>1899.0</v>
      </c>
      <c r="H1898" s="9"/>
      <c r="I1898" s="9"/>
      <c r="J1898" s="9"/>
      <c r="K1898" s="4"/>
      <c r="L1898" s="10"/>
      <c r="M1898" s="54"/>
      <c r="N1898" s="12" t="s">
        <v>200</v>
      </c>
      <c r="O1898" s="12" t="s">
        <v>200</v>
      </c>
      <c r="P1898" s="13"/>
      <c r="Q1898" s="12"/>
      <c r="R1898" s="14"/>
      <c r="S1898" s="15"/>
      <c r="T1898" s="4" t="b">
        <v>0</v>
      </c>
    </row>
    <row r="1899">
      <c r="A1899" s="16"/>
      <c r="B1899" s="17"/>
      <c r="C1899" s="24"/>
      <c r="D1899" s="44"/>
      <c r="E1899" s="19"/>
      <c r="F1899" s="35"/>
      <c r="G1899" s="20">
        <v>1899.0</v>
      </c>
      <c r="H1899" s="21"/>
      <c r="I1899" s="21"/>
      <c r="J1899" s="21"/>
      <c r="K1899" s="16"/>
      <c r="L1899" s="22"/>
      <c r="M1899" s="55"/>
      <c r="N1899" s="23" t="s">
        <v>200</v>
      </c>
      <c r="O1899" s="23" t="s">
        <v>200</v>
      </c>
      <c r="P1899" s="24"/>
      <c r="Q1899" s="23"/>
      <c r="R1899" s="25"/>
      <c r="S1899" s="26"/>
      <c r="T1899" s="16" t="b">
        <v>0</v>
      </c>
    </row>
    <row r="1900">
      <c r="A1900" s="4"/>
      <c r="B1900" s="5"/>
      <c r="C1900" s="13"/>
      <c r="D1900" s="39"/>
      <c r="E1900" s="7"/>
      <c r="F1900" s="34"/>
      <c r="G1900" s="8">
        <v>1899.0</v>
      </c>
      <c r="H1900" s="9"/>
      <c r="I1900" s="9"/>
      <c r="J1900" s="9"/>
      <c r="K1900" s="4"/>
      <c r="L1900" s="10"/>
      <c r="M1900" s="54"/>
      <c r="N1900" s="12" t="s">
        <v>200</v>
      </c>
      <c r="O1900" s="12" t="s">
        <v>200</v>
      </c>
      <c r="P1900" s="13"/>
      <c r="Q1900" s="12"/>
      <c r="R1900" s="14"/>
      <c r="S1900" s="15"/>
      <c r="T1900" s="4" t="b">
        <v>0</v>
      </c>
    </row>
    <row r="1901">
      <c r="A1901" s="16"/>
      <c r="B1901" s="17"/>
      <c r="C1901" s="24"/>
      <c r="D1901" s="44"/>
      <c r="E1901" s="19"/>
      <c r="F1901" s="35"/>
      <c r="G1901" s="20">
        <v>1899.0</v>
      </c>
      <c r="H1901" s="21"/>
      <c r="I1901" s="21"/>
      <c r="J1901" s="21"/>
      <c r="K1901" s="16"/>
      <c r="L1901" s="22"/>
      <c r="M1901" s="55"/>
      <c r="N1901" s="23" t="s">
        <v>200</v>
      </c>
      <c r="O1901" s="23" t="s">
        <v>200</v>
      </c>
      <c r="P1901" s="24"/>
      <c r="Q1901" s="23"/>
      <c r="R1901" s="25"/>
      <c r="S1901" s="26"/>
      <c r="T1901" s="16" t="b">
        <v>0</v>
      </c>
    </row>
    <row r="1902">
      <c r="A1902" s="4"/>
      <c r="B1902" s="5"/>
      <c r="C1902" s="13"/>
      <c r="D1902" s="39"/>
      <c r="E1902" s="7"/>
      <c r="F1902" s="34"/>
      <c r="G1902" s="8">
        <v>1899.0</v>
      </c>
      <c r="H1902" s="9"/>
      <c r="I1902" s="9"/>
      <c r="J1902" s="9"/>
      <c r="K1902" s="4"/>
      <c r="L1902" s="10"/>
      <c r="M1902" s="54"/>
      <c r="N1902" s="12" t="s">
        <v>200</v>
      </c>
      <c r="O1902" s="12" t="s">
        <v>200</v>
      </c>
      <c r="P1902" s="13"/>
      <c r="Q1902" s="12"/>
      <c r="R1902" s="14"/>
      <c r="S1902" s="15"/>
      <c r="T1902" s="4" t="b">
        <v>0</v>
      </c>
    </row>
    <row r="1903">
      <c r="A1903" s="16"/>
      <c r="B1903" s="17"/>
      <c r="C1903" s="24"/>
      <c r="D1903" s="44"/>
      <c r="E1903" s="19"/>
      <c r="F1903" s="35"/>
      <c r="G1903" s="20">
        <v>1899.0</v>
      </c>
      <c r="H1903" s="21"/>
      <c r="I1903" s="21"/>
      <c r="J1903" s="21"/>
      <c r="K1903" s="16"/>
      <c r="L1903" s="22"/>
      <c r="M1903" s="55"/>
      <c r="N1903" s="23" t="s">
        <v>200</v>
      </c>
      <c r="O1903" s="23" t="s">
        <v>200</v>
      </c>
      <c r="P1903" s="24"/>
      <c r="Q1903" s="23"/>
      <c r="R1903" s="25"/>
      <c r="S1903" s="26"/>
      <c r="T1903" s="16" t="b">
        <v>0</v>
      </c>
    </row>
    <row r="1904">
      <c r="A1904" s="4"/>
      <c r="B1904" s="5"/>
      <c r="C1904" s="13"/>
      <c r="D1904" s="39"/>
      <c r="E1904" s="7"/>
      <c r="F1904" s="34"/>
      <c r="G1904" s="8">
        <v>1899.0</v>
      </c>
      <c r="H1904" s="9"/>
      <c r="I1904" s="9"/>
      <c r="J1904" s="9"/>
      <c r="K1904" s="4"/>
      <c r="L1904" s="10"/>
      <c r="M1904" s="54"/>
      <c r="N1904" s="12" t="s">
        <v>200</v>
      </c>
      <c r="O1904" s="12" t="s">
        <v>200</v>
      </c>
      <c r="P1904" s="13"/>
      <c r="Q1904" s="12"/>
      <c r="R1904" s="14"/>
      <c r="S1904" s="15"/>
      <c r="T1904" s="4" t="b">
        <v>0</v>
      </c>
    </row>
    <row r="1905">
      <c r="A1905" s="16"/>
      <c r="B1905" s="17"/>
      <c r="C1905" s="24"/>
      <c r="D1905" s="44"/>
      <c r="E1905" s="19"/>
      <c r="F1905" s="35"/>
      <c r="G1905" s="20">
        <v>1899.0</v>
      </c>
      <c r="H1905" s="21"/>
      <c r="I1905" s="21"/>
      <c r="J1905" s="21"/>
      <c r="K1905" s="16"/>
      <c r="L1905" s="22"/>
      <c r="M1905" s="55"/>
      <c r="N1905" s="23" t="s">
        <v>200</v>
      </c>
      <c r="O1905" s="23" t="s">
        <v>200</v>
      </c>
      <c r="P1905" s="24"/>
      <c r="Q1905" s="23"/>
      <c r="R1905" s="25"/>
      <c r="S1905" s="26"/>
      <c r="T1905" s="16" t="b">
        <v>0</v>
      </c>
    </row>
    <row r="1906">
      <c r="A1906" s="4"/>
      <c r="B1906" s="5"/>
      <c r="C1906" s="13"/>
      <c r="D1906" s="39"/>
      <c r="E1906" s="7"/>
      <c r="F1906" s="34"/>
      <c r="G1906" s="8">
        <v>1899.0</v>
      </c>
      <c r="H1906" s="9"/>
      <c r="I1906" s="9"/>
      <c r="J1906" s="9"/>
      <c r="K1906" s="4"/>
      <c r="L1906" s="10"/>
      <c r="M1906" s="54"/>
      <c r="N1906" s="12" t="s">
        <v>200</v>
      </c>
      <c r="O1906" s="12" t="s">
        <v>200</v>
      </c>
      <c r="P1906" s="13"/>
      <c r="Q1906" s="12"/>
      <c r="R1906" s="14"/>
      <c r="S1906" s="15"/>
      <c r="T1906" s="4" t="b">
        <v>0</v>
      </c>
    </row>
    <row r="1907">
      <c r="A1907" s="16"/>
      <c r="B1907" s="17"/>
      <c r="C1907" s="24"/>
      <c r="D1907" s="44"/>
      <c r="E1907" s="19"/>
      <c r="F1907" s="35"/>
      <c r="G1907" s="20">
        <v>1899.0</v>
      </c>
      <c r="H1907" s="21"/>
      <c r="I1907" s="21"/>
      <c r="J1907" s="21"/>
      <c r="K1907" s="16"/>
      <c r="L1907" s="22"/>
      <c r="M1907" s="55"/>
      <c r="N1907" s="23" t="s">
        <v>200</v>
      </c>
      <c r="O1907" s="23" t="s">
        <v>200</v>
      </c>
      <c r="P1907" s="24"/>
      <c r="Q1907" s="23"/>
      <c r="R1907" s="25"/>
      <c r="S1907" s="26"/>
      <c r="T1907" s="16" t="b">
        <v>0</v>
      </c>
    </row>
    <row r="1908">
      <c r="A1908" s="4"/>
      <c r="B1908" s="5"/>
      <c r="C1908" s="13"/>
      <c r="D1908" s="39"/>
      <c r="E1908" s="7"/>
      <c r="F1908" s="34"/>
      <c r="G1908" s="8">
        <v>1899.0</v>
      </c>
      <c r="H1908" s="9"/>
      <c r="I1908" s="9"/>
      <c r="J1908" s="9"/>
      <c r="K1908" s="4"/>
      <c r="L1908" s="10"/>
      <c r="M1908" s="54"/>
      <c r="N1908" s="12" t="s">
        <v>200</v>
      </c>
      <c r="O1908" s="12" t="s">
        <v>200</v>
      </c>
      <c r="P1908" s="13"/>
      <c r="Q1908" s="12"/>
      <c r="R1908" s="14"/>
      <c r="S1908" s="15"/>
      <c r="T1908" s="4" t="b">
        <v>0</v>
      </c>
    </row>
    <row r="1909">
      <c r="A1909" s="16"/>
      <c r="B1909" s="17"/>
      <c r="C1909" s="24"/>
      <c r="D1909" s="44"/>
      <c r="E1909" s="19"/>
      <c r="F1909" s="35"/>
      <c r="G1909" s="20">
        <v>1899.0</v>
      </c>
      <c r="H1909" s="21"/>
      <c r="I1909" s="21"/>
      <c r="J1909" s="21"/>
      <c r="K1909" s="16"/>
      <c r="L1909" s="22"/>
      <c r="M1909" s="55"/>
      <c r="N1909" s="23" t="s">
        <v>200</v>
      </c>
      <c r="O1909" s="23" t="s">
        <v>200</v>
      </c>
      <c r="P1909" s="24"/>
      <c r="Q1909" s="23"/>
      <c r="R1909" s="25"/>
      <c r="S1909" s="26"/>
      <c r="T1909" s="16" t="b">
        <v>0</v>
      </c>
    </row>
    <row r="1910">
      <c r="A1910" s="4"/>
      <c r="B1910" s="5"/>
      <c r="C1910" s="13"/>
      <c r="D1910" s="39"/>
      <c r="E1910" s="7"/>
      <c r="F1910" s="34"/>
      <c r="G1910" s="8">
        <v>1899.0</v>
      </c>
      <c r="H1910" s="9"/>
      <c r="I1910" s="9"/>
      <c r="J1910" s="9"/>
      <c r="K1910" s="4"/>
      <c r="L1910" s="10"/>
      <c r="M1910" s="54"/>
      <c r="N1910" s="12" t="s">
        <v>200</v>
      </c>
      <c r="O1910" s="12" t="s">
        <v>200</v>
      </c>
      <c r="P1910" s="13"/>
      <c r="Q1910" s="12"/>
      <c r="R1910" s="14"/>
      <c r="S1910" s="15"/>
      <c r="T1910" s="4" t="b">
        <v>0</v>
      </c>
    </row>
    <row r="1911">
      <c r="A1911" s="16"/>
      <c r="B1911" s="17"/>
      <c r="C1911" s="24"/>
      <c r="D1911" s="44"/>
      <c r="E1911" s="19"/>
      <c r="F1911" s="35"/>
      <c r="G1911" s="20">
        <v>1899.0</v>
      </c>
      <c r="H1911" s="21"/>
      <c r="I1911" s="21"/>
      <c r="J1911" s="21"/>
      <c r="K1911" s="16"/>
      <c r="L1911" s="22"/>
      <c r="M1911" s="55"/>
      <c r="N1911" s="23" t="s">
        <v>200</v>
      </c>
      <c r="O1911" s="23" t="s">
        <v>200</v>
      </c>
      <c r="P1911" s="24"/>
      <c r="Q1911" s="23"/>
      <c r="R1911" s="25"/>
      <c r="S1911" s="26"/>
      <c r="T1911" s="16" t="b">
        <v>0</v>
      </c>
    </row>
    <row r="1912">
      <c r="A1912" s="4"/>
      <c r="B1912" s="5"/>
      <c r="C1912" s="13"/>
      <c r="D1912" s="39"/>
      <c r="E1912" s="7"/>
      <c r="F1912" s="34"/>
      <c r="G1912" s="8">
        <v>1899.0</v>
      </c>
      <c r="H1912" s="9"/>
      <c r="I1912" s="9"/>
      <c r="J1912" s="9"/>
      <c r="K1912" s="4"/>
      <c r="L1912" s="10"/>
      <c r="M1912" s="54"/>
      <c r="N1912" s="12" t="s">
        <v>200</v>
      </c>
      <c r="O1912" s="12" t="s">
        <v>200</v>
      </c>
      <c r="P1912" s="13"/>
      <c r="Q1912" s="12"/>
      <c r="R1912" s="14"/>
      <c r="S1912" s="15"/>
      <c r="T1912" s="4" t="b">
        <v>0</v>
      </c>
    </row>
    <row r="1913">
      <c r="A1913" s="16"/>
      <c r="B1913" s="17"/>
      <c r="C1913" s="24"/>
      <c r="D1913" s="44"/>
      <c r="E1913" s="19"/>
      <c r="F1913" s="35"/>
      <c r="G1913" s="20">
        <v>1899.0</v>
      </c>
      <c r="H1913" s="21"/>
      <c r="I1913" s="21"/>
      <c r="J1913" s="21"/>
      <c r="K1913" s="16"/>
      <c r="L1913" s="22"/>
      <c r="M1913" s="55"/>
      <c r="N1913" s="23" t="s">
        <v>200</v>
      </c>
      <c r="O1913" s="23" t="s">
        <v>200</v>
      </c>
      <c r="P1913" s="24"/>
      <c r="Q1913" s="23"/>
      <c r="R1913" s="25"/>
      <c r="S1913" s="26"/>
      <c r="T1913" s="16" t="b">
        <v>0</v>
      </c>
    </row>
    <row r="1914">
      <c r="A1914" s="4"/>
      <c r="B1914" s="5"/>
      <c r="C1914" s="13"/>
      <c r="D1914" s="39"/>
      <c r="E1914" s="7"/>
      <c r="F1914" s="34"/>
      <c r="G1914" s="8">
        <v>1899.0</v>
      </c>
      <c r="H1914" s="9"/>
      <c r="I1914" s="9"/>
      <c r="J1914" s="9"/>
      <c r="K1914" s="4"/>
      <c r="L1914" s="10"/>
      <c r="M1914" s="54"/>
      <c r="N1914" s="12" t="s">
        <v>200</v>
      </c>
      <c r="O1914" s="12" t="s">
        <v>200</v>
      </c>
      <c r="P1914" s="13"/>
      <c r="Q1914" s="12"/>
      <c r="R1914" s="14"/>
      <c r="S1914" s="15"/>
      <c r="T1914" s="4" t="b">
        <v>0</v>
      </c>
    </row>
    <row r="1915">
      <c r="A1915" s="16"/>
      <c r="B1915" s="17"/>
      <c r="C1915" s="24"/>
      <c r="D1915" s="44"/>
      <c r="E1915" s="19"/>
      <c r="F1915" s="35"/>
      <c r="G1915" s="20">
        <v>1899.0</v>
      </c>
      <c r="H1915" s="21"/>
      <c r="I1915" s="21"/>
      <c r="J1915" s="21"/>
      <c r="K1915" s="16"/>
      <c r="L1915" s="22"/>
      <c r="M1915" s="55"/>
      <c r="N1915" s="23" t="s">
        <v>200</v>
      </c>
      <c r="O1915" s="23" t="s">
        <v>200</v>
      </c>
      <c r="P1915" s="24"/>
      <c r="Q1915" s="23"/>
      <c r="R1915" s="25"/>
      <c r="S1915" s="26"/>
      <c r="T1915" s="16" t="b">
        <v>0</v>
      </c>
    </row>
    <row r="1916">
      <c r="A1916" s="4"/>
      <c r="B1916" s="5"/>
      <c r="C1916" s="13"/>
      <c r="D1916" s="39"/>
      <c r="E1916" s="7"/>
      <c r="F1916" s="34"/>
      <c r="G1916" s="8">
        <v>1899.0</v>
      </c>
      <c r="H1916" s="9"/>
      <c r="I1916" s="9"/>
      <c r="J1916" s="9"/>
      <c r="K1916" s="4"/>
      <c r="L1916" s="10"/>
      <c r="M1916" s="54"/>
      <c r="N1916" s="12" t="s">
        <v>200</v>
      </c>
      <c r="O1916" s="12" t="s">
        <v>200</v>
      </c>
      <c r="P1916" s="13"/>
      <c r="Q1916" s="12"/>
      <c r="R1916" s="14"/>
      <c r="S1916" s="15"/>
      <c r="T1916" s="4" t="b">
        <v>0</v>
      </c>
    </row>
    <row r="1917">
      <c r="A1917" s="16"/>
      <c r="B1917" s="17"/>
      <c r="C1917" s="24"/>
      <c r="D1917" s="44"/>
      <c r="E1917" s="19"/>
      <c r="F1917" s="35"/>
      <c r="G1917" s="20">
        <v>1899.0</v>
      </c>
      <c r="H1917" s="21"/>
      <c r="I1917" s="21"/>
      <c r="J1917" s="21"/>
      <c r="K1917" s="16"/>
      <c r="L1917" s="22"/>
      <c r="M1917" s="55"/>
      <c r="N1917" s="23" t="s">
        <v>200</v>
      </c>
      <c r="O1917" s="23" t="s">
        <v>200</v>
      </c>
      <c r="P1917" s="24"/>
      <c r="Q1917" s="23"/>
      <c r="R1917" s="25"/>
      <c r="S1917" s="26"/>
      <c r="T1917" s="16" t="b">
        <v>0</v>
      </c>
    </row>
    <row r="1918">
      <c r="A1918" s="4"/>
      <c r="B1918" s="5"/>
      <c r="C1918" s="13"/>
      <c r="D1918" s="39"/>
      <c r="E1918" s="7"/>
      <c r="F1918" s="34"/>
      <c r="G1918" s="8">
        <v>1899.0</v>
      </c>
      <c r="H1918" s="9"/>
      <c r="I1918" s="9"/>
      <c r="J1918" s="9"/>
      <c r="K1918" s="4"/>
      <c r="L1918" s="10"/>
      <c r="M1918" s="54"/>
      <c r="N1918" s="12" t="s">
        <v>200</v>
      </c>
      <c r="O1918" s="12" t="s">
        <v>200</v>
      </c>
      <c r="P1918" s="13"/>
      <c r="Q1918" s="12"/>
      <c r="R1918" s="14"/>
      <c r="S1918" s="15"/>
      <c r="T1918" s="4" t="b">
        <v>0</v>
      </c>
    </row>
    <row r="1919">
      <c r="A1919" s="16"/>
      <c r="B1919" s="17"/>
      <c r="C1919" s="24"/>
      <c r="D1919" s="44"/>
      <c r="E1919" s="19"/>
      <c r="F1919" s="35"/>
      <c r="G1919" s="20">
        <v>1899.0</v>
      </c>
      <c r="H1919" s="21"/>
      <c r="I1919" s="21"/>
      <c r="J1919" s="21"/>
      <c r="K1919" s="16"/>
      <c r="L1919" s="22"/>
      <c r="M1919" s="55"/>
      <c r="N1919" s="23" t="s">
        <v>200</v>
      </c>
      <c r="O1919" s="23" t="s">
        <v>200</v>
      </c>
      <c r="P1919" s="24"/>
      <c r="Q1919" s="23"/>
      <c r="R1919" s="25"/>
      <c r="S1919" s="26"/>
      <c r="T1919" s="16" t="b">
        <v>0</v>
      </c>
    </row>
    <row r="1920">
      <c r="A1920" s="4"/>
      <c r="B1920" s="5"/>
      <c r="C1920" s="13"/>
      <c r="D1920" s="39"/>
      <c r="E1920" s="7"/>
      <c r="F1920" s="34"/>
      <c r="G1920" s="8">
        <v>1899.0</v>
      </c>
      <c r="H1920" s="9"/>
      <c r="I1920" s="9"/>
      <c r="J1920" s="9"/>
      <c r="K1920" s="4"/>
      <c r="L1920" s="10"/>
      <c r="M1920" s="54"/>
      <c r="N1920" s="12" t="s">
        <v>200</v>
      </c>
      <c r="O1920" s="12" t="s">
        <v>200</v>
      </c>
      <c r="P1920" s="13"/>
      <c r="Q1920" s="12"/>
      <c r="R1920" s="14"/>
      <c r="S1920" s="15"/>
      <c r="T1920" s="4" t="b">
        <v>0</v>
      </c>
    </row>
    <row r="1921">
      <c r="A1921" s="16"/>
      <c r="B1921" s="17"/>
      <c r="C1921" s="24"/>
      <c r="D1921" s="44"/>
      <c r="E1921" s="19"/>
      <c r="F1921" s="35"/>
      <c r="G1921" s="20">
        <v>1899.0</v>
      </c>
      <c r="H1921" s="21"/>
      <c r="I1921" s="21"/>
      <c r="J1921" s="21"/>
      <c r="K1921" s="16"/>
      <c r="L1921" s="22"/>
      <c r="M1921" s="55"/>
      <c r="N1921" s="23" t="s">
        <v>200</v>
      </c>
      <c r="O1921" s="23" t="s">
        <v>200</v>
      </c>
      <c r="P1921" s="24"/>
      <c r="Q1921" s="23"/>
      <c r="R1921" s="25"/>
      <c r="S1921" s="26"/>
      <c r="T1921" s="16" t="b">
        <v>0</v>
      </c>
    </row>
    <row r="1922">
      <c r="A1922" s="4"/>
      <c r="B1922" s="5"/>
      <c r="C1922" s="13"/>
      <c r="D1922" s="39"/>
      <c r="E1922" s="7"/>
      <c r="F1922" s="34"/>
      <c r="G1922" s="8">
        <v>1899.0</v>
      </c>
      <c r="H1922" s="9"/>
      <c r="I1922" s="9"/>
      <c r="J1922" s="9"/>
      <c r="K1922" s="4"/>
      <c r="L1922" s="10"/>
      <c r="M1922" s="54"/>
      <c r="N1922" s="12" t="s">
        <v>200</v>
      </c>
      <c r="O1922" s="12" t="s">
        <v>200</v>
      </c>
      <c r="P1922" s="13"/>
      <c r="Q1922" s="12"/>
      <c r="R1922" s="14"/>
      <c r="S1922" s="15"/>
      <c r="T1922" s="4" t="b">
        <v>0</v>
      </c>
    </row>
    <row r="1923">
      <c r="A1923" s="16"/>
      <c r="B1923" s="17"/>
      <c r="C1923" s="24"/>
      <c r="D1923" s="44"/>
      <c r="E1923" s="19"/>
      <c r="F1923" s="35"/>
      <c r="G1923" s="20">
        <v>1899.0</v>
      </c>
      <c r="H1923" s="21"/>
      <c r="I1923" s="21"/>
      <c r="J1923" s="21"/>
      <c r="K1923" s="16"/>
      <c r="L1923" s="22"/>
      <c r="M1923" s="55"/>
      <c r="N1923" s="23" t="s">
        <v>200</v>
      </c>
      <c r="O1923" s="23" t="s">
        <v>200</v>
      </c>
      <c r="P1923" s="24"/>
      <c r="Q1923" s="23"/>
      <c r="R1923" s="25"/>
      <c r="S1923" s="26"/>
      <c r="T1923" s="16" t="b">
        <v>0</v>
      </c>
    </row>
    <row r="1924">
      <c r="A1924" s="4"/>
      <c r="B1924" s="5"/>
      <c r="C1924" s="13"/>
      <c r="D1924" s="39"/>
      <c r="E1924" s="7"/>
      <c r="F1924" s="34"/>
      <c r="G1924" s="8">
        <v>1899.0</v>
      </c>
      <c r="H1924" s="9"/>
      <c r="I1924" s="9"/>
      <c r="J1924" s="9"/>
      <c r="K1924" s="4"/>
      <c r="L1924" s="10"/>
      <c r="M1924" s="54"/>
      <c r="N1924" s="12" t="s">
        <v>200</v>
      </c>
      <c r="O1924" s="12" t="s">
        <v>200</v>
      </c>
      <c r="P1924" s="13"/>
      <c r="Q1924" s="12"/>
      <c r="R1924" s="14"/>
      <c r="S1924" s="15"/>
      <c r="T1924" s="4" t="b">
        <v>0</v>
      </c>
    </row>
    <row r="1925">
      <c r="A1925" s="16"/>
      <c r="B1925" s="17"/>
      <c r="C1925" s="24"/>
      <c r="D1925" s="44"/>
      <c r="E1925" s="19"/>
      <c r="F1925" s="35"/>
      <c r="G1925" s="20">
        <v>1899.0</v>
      </c>
      <c r="H1925" s="21"/>
      <c r="I1925" s="21"/>
      <c r="J1925" s="21"/>
      <c r="K1925" s="16"/>
      <c r="L1925" s="22"/>
      <c r="M1925" s="55"/>
      <c r="N1925" s="23" t="s">
        <v>200</v>
      </c>
      <c r="O1925" s="23" t="s">
        <v>200</v>
      </c>
      <c r="P1925" s="24"/>
      <c r="Q1925" s="23"/>
      <c r="R1925" s="25"/>
      <c r="S1925" s="26"/>
      <c r="T1925" s="16" t="b">
        <v>0</v>
      </c>
    </row>
    <row r="1926">
      <c r="A1926" s="4"/>
      <c r="B1926" s="5"/>
      <c r="C1926" s="13"/>
      <c r="D1926" s="39"/>
      <c r="E1926" s="7"/>
      <c r="F1926" s="34"/>
      <c r="G1926" s="8">
        <v>1899.0</v>
      </c>
      <c r="H1926" s="9"/>
      <c r="I1926" s="9"/>
      <c r="J1926" s="9"/>
      <c r="K1926" s="4"/>
      <c r="L1926" s="10"/>
      <c r="M1926" s="54"/>
      <c r="N1926" s="12" t="s">
        <v>200</v>
      </c>
      <c r="O1926" s="12" t="s">
        <v>200</v>
      </c>
      <c r="P1926" s="13"/>
      <c r="Q1926" s="12"/>
      <c r="R1926" s="14"/>
      <c r="S1926" s="15"/>
      <c r="T1926" s="4" t="b">
        <v>0</v>
      </c>
    </row>
    <row r="1927">
      <c r="A1927" s="16"/>
      <c r="B1927" s="17"/>
      <c r="C1927" s="24"/>
      <c r="D1927" s="44"/>
      <c r="E1927" s="19"/>
      <c r="F1927" s="35"/>
      <c r="G1927" s="20">
        <v>1899.0</v>
      </c>
      <c r="H1927" s="21"/>
      <c r="I1927" s="21"/>
      <c r="J1927" s="21"/>
      <c r="K1927" s="16"/>
      <c r="L1927" s="22"/>
      <c r="M1927" s="55"/>
      <c r="N1927" s="23" t="s">
        <v>200</v>
      </c>
      <c r="O1927" s="23" t="s">
        <v>200</v>
      </c>
      <c r="P1927" s="24"/>
      <c r="Q1927" s="23"/>
      <c r="R1927" s="25"/>
      <c r="S1927" s="26"/>
      <c r="T1927" s="16" t="b">
        <v>0</v>
      </c>
    </row>
    <row r="1928">
      <c r="A1928" s="4"/>
      <c r="B1928" s="5"/>
      <c r="C1928" s="13"/>
      <c r="D1928" s="39"/>
      <c r="E1928" s="7"/>
      <c r="F1928" s="34"/>
      <c r="G1928" s="8">
        <v>1899.0</v>
      </c>
      <c r="H1928" s="9"/>
      <c r="I1928" s="9"/>
      <c r="J1928" s="9"/>
      <c r="K1928" s="4"/>
      <c r="L1928" s="10"/>
      <c r="M1928" s="54"/>
      <c r="N1928" s="12" t="s">
        <v>200</v>
      </c>
      <c r="O1928" s="12" t="s">
        <v>200</v>
      </c>
      <c r="P1928" s="13"/>
      <c r="Q1928" s="12"/>
      <c r="R1928" s="14"/>
      <c r="S1928" s="15"/>
      <c r="T1928" s="4" t="b">
        <v>0</v>
      </c>
    </row>
    <row r="1929">
      <c r="A1929" s="16"/>
      <c r="B1929" s="17"/>
      <c r="C1929" s="24"/>
      <c r="D1929" s="44"/>
      <c r="E1929" s="19"/>
      <c r="F1929" s="35"/>
      <c r="G1929" s="20">
        <v>1899.0</v>
      </c>
      <c r="H1929" s="21"/>
      <c r="I1929" s="21"/>
      <c r="J1929" s="21"/>
      <c r="K1929" s="16"/>
      <c r="L1929" s="22"/>
      <c r="M1929" s="55"/>
      <c r="N1929" s="23" t="s">
        <v>200</v>
      </c>
      <c r="O1929" s="23" t="s">
        <v>200</v>
      </c>
      <c r="P1929" s="24"/>
      <c r="Q1929" s="23"/>
      <c r="R1929" s="25"/>
      <c r="S1929" s="26"/>
      <c r="T1929" s="16" t="b">
        <v>0</v>
      </c>
    </row>
    <row r="1930">
      <c r="A1930" s="4"/>
      <c r="B1930" s="5"/>
      <c r="C1930" s="13"/>
      <c r="D1930" s="39"/>
      <c r="E1930" s="7"/>
      <c r="F1930" s="34"/>
      <c r="G1930" s="8">
        <v>1899.0</v>
      </c>
      <c r="H1930" s="9"/>
      <c r="I1930" s="9"/>
      <c r="J1930" s="9"/>
      <c r="K1930" s="4"/>
      <c r="L1930" s="10"/>
      <c r="M1930" s="54"/>
      <c r="N1930" s="12" t="s">
        <v>200</v>
      </c>
      <c r="O1930" s="12" t="s">
        <v>200</v>
      </c>
      <c r="P1930" s="13"/>
      <c r="Q1930" s="12"/>
      <c r="R1930" s="14"/>
      <c r="S1930" s="15"/>
      <c r="T1930" s="4" t="b">
        <v>0</v>
      </c>
    </row>
    <row r="1931">
      <c r="A1931" s="16"/>
      <c r="B1931" s="17"/>
      <c r="C1931" s="24"/>
      <c r="D1931" s="44"/>
      <c r="E1931" s="19"/>
      <c r="F1931" s="35"/>
      <c r="G1931" s="20">
        <v>1899.0</v>
      </c>
      <c r="H1931" s="21"/>
      <c r="I1931" s="21"/>
      <c r="J1931" s="21"/>
      <c r="K1931" s="16"/>
      <c r="L1931" s="22"/>
      <c r="M1931" s="55"/>
      <c r="N1931" s="23" t="s">
        <v>200</v>
      </c>
      <c r="O1931" s="23" t="s">
        <v>200</v>
      </c>
      <c r="P1931" s="24"/>
      <c r="Q1931" s="23"/>
      <c r="R1931" s="25"/>
      <c r="S1931" s="26"/>
      <c r="T1931" s="16" t="b">
        <v>0</v>
      </c>
    </row>
    <row r="1932">
      <c r="A1932" s="4"/>
      <c r="B1932" s="5"/>
      <c r="C1932" s="13"/>
      <c r="D1932" s="39"/>
      <c r="E1932" s="7"/>
      <c r="F1932" s="34"/>
      <c r="G1932" s="8">
        <v>1899.0</v>
      </c>
      <c r="H1932" s="9"/>
      <c r="I1932" s="9"/>
      <c r="J1932" s="9"/>
      <c r="K1932" s="4"/>
      <c r="L1932" s="10"/>
      <c r="M1932" s="54"/>
      <c r="N1932" s="12" t="s">
        <v>200</v>
      </c>
      <c r="O1932" s="12" t="s">
        <v>200</v>
      </c>
      <c r="P1932" s="13"/>
      <c r="Q1932" s="12"/>
      <c r="R1932" s="14"/>
      <c r="S1932" s="15"/>
      <c r="T1932" s="4" t="b">
        <v>0</v>
      </c>
    </row>
    <row r="1933">
      <c r="A1933" s="16"/>
      <c r="B1933" s="17"/>
      <c r="C1933" s="24"/>
      <c r="D1933" s="44"/>
      <c r="E1933" s="19"/>
      <c r="F1933" s="35"/>
      <c r="G1933" s="20">
        <v>1899.0</v>
      </c>
      <c r="H1933" s="21"/>
      <c r="I1933" s="21"/>
      <c r="J1933" s="21"/>
      <c r="K1933" s="16"/>
      <c r="L1933" s="22"/>
      <c r="M1933" s="55"/>
      <c r="N1933" s="23" t="s">
        <v>200</v>
      </c>
      <c r="O1933" s="23" t="s">
        <v>200</v>
      </c>
      <c r="P1933" s="24"/>
      <c r="Q1933" s="23"/>
      <c r="R1933" s="25"/>
      <c r="S1933" s="26"/>
      <c r="T1933" s="16" t="b">
        <v>0</v>
      </c>
    </row>
    <row r="1934">
      <c r="A1934" s="4"/>
      <c r="B1934" s="5"/>
      <c r="C1934" s="13"/>
      <c r="D1934" s="39"/>
      <c r="E1934" s="7"/>
      <c r="F1934" s="34"/>
      <c r="G1934" s="8">
        <v>1899.0</v>
      </c>
      <c r="H1934" s="9"/>
      <c r="I1934" s="9"/>
      <c r="J1934" s="9"/>
      <c r="K1934" s="4"/>
      <c r="L1934" s="10"/>
      <c r="M1934" s="54"/>
      <c r="N1934" s="12" t="s">
        <v>200</v>
      </c>
      <c r="O1934" s="12" t="s">
        <v>200</v>
      </c>
      <c r="P1934" s="13"/>
      <c r="Q1934" s="12"/>
      <c r="R1934" s="14"/>
      <c r="S1934" s="15"/>
      <c r="T1934" s="4" t="b">
        <v>0</v>
      </c>
    </row>
    <row r="1935">
      <c r="A1935" s="16"/>
      <c r="B1935" s="17"/>
      <c r="C1935" s="24"/>
      <c r="D1935" s="44"/>
      <c r="E1935" s="19"/>
      <c r="F1935" s="35"/>
      <c r="G1935" s="20">
        <v>1899.0</v>
      </c>
      <c r="H1935" s="21"/>
      <c r="I1935" s="21"/>
      <c r="J1935" s="21"/>
      <c r="K1935" s="16"/>
      <c r="L1935" s="22"/>
      <c r="M1935" s="55"/>
      <c r="N1935" s="23" t="s">
        <v>200</v>
      </c>
      <c r="O1935" s="23" t="s">
        <v>200</v>
      </c>
      <c r="P1935" s="24"/>
      <c r="Q1935" s="23"/>
      <c r="R1935" s="25"/>
      <c r="S1935" s="26"/>
      <c r="T1935" s="16" t="b">
        <v>0</v>
      </c>
    </row>
    <row r="1936">
      <c r="A1936" s="4"/>
      <c r="B1936" s="5"/>
      <c r="C1936" s="13"/>
      <c r="D1936" s="39"/>
      <c r="E1936" s="7"/>
      <c r="F1936" s="34"/>
      <c r="G1936" s="8">
        <v>1899.0</v>
      </c>
      <c r="H1936" s="9"/>
      <c r="I1936" s="9"/>
      <c r="J1936" s="9"/>
      <c r="K1936" s="4"/>
      <c r="L1936" s="10"/>
      <c r="M1936" s="54"/>
      <c r="N1936" s="12" t="s">
        <v>200</v>
      </c>
      <c r="O1936" s="12" t="s">
        <v>200</v>
      </c>
      <c r="P1936" s="13"/>
      <c r="Q1936" s="12"/>
      <c r="R1936" s="14"/>
      <c r="S1936" s="15"/>
      <c r="T1936" s="4" t="b">
        <v>0</v>
      </c>
    </row>
    <row r="1937">
      <c r="A1937" s="16"/>
      <c r="B1937" s="17"/>
      <c r="C1937" s="24"/>
      <c r="D1937" s="44"/>
      <c r="E1937" s="19"/>
      <c r="F1937" s="35"/>
      <c r="G1937" s="20">
        <v>1899.0</v>
      </c>
      <c r="H1937" s="21"/>
      <c r="I1937" s="21"/>
      <c r="J1937" s="21"/>
      <c r="K1937" s="16"/>
      <c r="L1937" s="22"/>
      <c r="M1937" s="55"/>
      <c r="N1937" s="23" t="s">
        <v>200</v>
      </c>
      <c r="O1937" s="23" t="s">
        <v>200</v>
      </c>
      <c r="P1937" s="24"/>
      <c r="Q1937" s="23"/>
      <c r="R1937" s="25"/>
      <c r="S1937" s="26"/>
      <c r="T1937" s="16" t="b">
        <v>0</v>
      </c>
    </row>
    <row r="1938">
      <c r="A1938" s="4"/>
      <c r="B1938" s="5"/>
      <c r="C1938" s="13"/>
      <c r="D1938" s="39"/>
      <c r="E1938" s="7"/>
      <c r="F1938" s="34"/>
      <c r="G1938" s="8">
        <v>1899.0</v>
      </c>
      <c r="H1938" s="9"/>
      <c r="I1938" s="9"/>
      <c r="J1938" s="9"/>
      <c r="K1938" s="4"/>
      <c r="L1938" s="10"/>
      <c r="M1938" s="54"/>
      <c r="N1938" s="12" t="s">
        <v>200</v>
      </c>
      <c r="O1938" s="12" t="s">
        <v>200</v>
      </c>
      <c r="P1938" s="13"/>
      <c r="Q1938" s="12"/>
      <c r="R1938" s="14"/>
      <c r="S1938" s="15"/>
      <c r="T1938" s="4" t="b">
        <v>0</v>
      </c>
    </row>
    <row r="1939">
      <c r="A1939" s="16"/>
      <c r="B1939" s="17"/>
      <c r="C1939" s="24"/>
      <c r="D1939" s="44"/>
      <c r="E1939" s="19"/>
      <c r="F1939" s="35"/>
      <c r="G1939" s="20">
        <v>1899.0</v>
      </c>
      <c r="H1939" s="21"/>
      <c r="I1939" s="21"/>
      <c r="J1939" s="21"/>
      <c r="K1939" s="16"/>
      <c r="L1939" s="22"/>
      <c r="M1939" s="55"/>
      <c r="N1939" s="23" t="s">
        <v>200</v>
      </c>
      <c r="O1939" s="23" t="s">
        <v>200</v>
      </c>
      <c r="P1939" s="24"/>
      <c r="Q1939" s="23"/>
      <c r="R1939" s="25"/>
      <c r="S1939" s="26"/>
      <c r="T1939" s="16" t="b">
        <v>0</v>
      </c>
    </row>
    <row r="1940">
      <c r="A1940" s="4"/>
      <c r="B1940" s="5"/>
      <c r="C1940" s="13"/>
      <c r="D1940" s="39"/>
      <c r="E1940" s="7"/>
      <c r="F1940" s="34"/>
      <c r="G1940" s="8">
        <v>1899.0</v>
      </c>
      <c r="H1940" s="9"/>
      <c r="I1940" s="9"/>
      <c r="J1940" s="9"/>
      <c r="K1940" s="4"/>
      <c r="L1940" s="10"/>
      <c r="M1940" s="54"/>
      <c r="N1940" s="12" t="s">
        <v>200</v>
      </c>
      <c r="O1940" s="12" t="s">
        <v>200</v>
      </c>
      <c r="P1940" s="13"/>
      <c r="Q1940" s="12"/>
      <c r="R1940" s="14"/>
      <c r="S1940" s="15"/>
      <c r="T1940" s="4" t="b">
        <v>0</v>
      </c>
    </row>
    <row r="1941">
      <c r="A1941" s="16"/>
      <c r="B1941" s="17"/>
      <c r="C1941" s="24"/>
      <c r="D1941" s="44"/>
      <c r="E1941" s="19"/>
      <c r="F1941" s="35"/>
      <c r="G1941" s="20">
        <v>1899.0</v>
      </c>
      <c r="H1941" s="21"/>
      <c r="I1941" s="21"/>
      <c r="J1941" s="21"/>
      <c r="K1941" s="16"/>
      <c r="L1941" s="22"/>
      <c r="M1941" s="55"/>
      <c r="N1941" s="23" t="s">
        <v>200</v>
      </c>
      <c r="O1941" s="23" t="s">
        <v>200</v>
      </c>
      <c r="P1941" s="24"/>
      <c r="Q1941" s="23"/>
      <c r="R1941" s="25"/>
      <c r="S1941" s="26"/>
      <c r="T1941" s="16" t="b">
        <v>0</v>
      </c>
    </row>
    <row r="1942">
      <c r="A1942" s="4"/>
      <c r="B1942" s="5"/>
      <c r="C1942" s="13"/>
      <c r="D1942" s="39"/>
      <c r="E1942" s="7"/>
      <c r="F1942" s="34"/>
      <c r="G1942" s="8">
        <v>1899.0</v>
      </c>
      <c r="H1942" s="9"/>
      <c r="I1942" s="9"/>
      <c r="J1942" s="9"/>
      <c r="K1942" s="4"/>
      <c r="L1942" s="10"/>
      <c r="M1942" s="54"/>
      <c r="N1942" s="12" t="s">
        <v>200</v>
      </c>
      <c r="O1942" s="12" t="s">
        <v>200</v>
      </c>
      <c r="P1942" s="13"/>
      <c r="Q1942" s="12"/>
      <c r="R1942" s="14"/>
      <c r="S1942" s="15"/>
      <c r="T1942" s="4" t="b">
        <v>0</v>
      </c>
    </row>
    <row r="1943">
      <c r="A1943" s="16"/>
      <c r="B1943" s="17"/>
      <c r="C1943" s="24"/>
      <c r="D1943" s="44"/>
      <c r="E1943" s="19"/>
      <c r="F1943" s="35"/>
      <c r="G1943" s="20">
        <v>1899.0</v>
      </c>
      <c r="H1943" s="21"/>
      <c r="I1943" s="21"/>
      <c r="J1943" s="21"/>
      <c r="K1943" s="16"/>
      <c r="L1943" s="22"/>
      <c r="M1943" s="55"/>
      <c r="N1943" s="23" t="s">
        <v>200</v>
      </c>
      <c r="O1943" s="23" t="s">
        <v>200</v>
      </c>
      <c r="P1943" s="24"/>
      <c r="Q1943" s="23"/>
      <c r="R1943" s="25"/>
      <c r="S1943" s="26"/>
      <c r="T1943" s="16" t="b">
        <v>0</v>
      </c>
    </row>
    <row r="1944">
      <c r="A1944" s="4"/>
      <c r="B1944" s="5"/>
      <c r="C1944" s="13"/>
      <c r="D1944" s="39"/>
      <c r="E1944" s="7"/>
      <c r="F1944" s="34"/>
      <c r="G1944" s="8">
        <v>1899.0</v>
      </c>
      <c r="H1944" s="9"/>
      <c r="I1944" s="9"/>
      <c r="J1944" s="9"/>
      <c r="K1944" s="4"/>
      <c r="L1944" s="10"/>
      <c r="M1944" s="54"/>
      <c r="N1944" s="12" t="s">
        <v>200</v>
      </c>
      <c r="O1944" s="12" t="s">
        <v>200</v>
      </c>
      <c r="P1944" s="13"/>
      <c r="Q1944" s="12"/>
      <c r="R1944" s="14"/>
      <c r="S1944" s="15"/>
      <c r="T1944" s="4" t="b">
        <v>0</v>
      </c>
    </row>
    <row r="1945">
      <c r="A1945" s="16"/>
      <c r="B1945" s="17"/>
      <c r="C1945" s="24"/>
      <c r="D1945" s="44"/>
      <c r="E1945" s="19"/>
      <c r="F1945" s="35"/>
      <c r="G1945" s="20">
        <v>1899.0</v>
      </c>
      <c r="H1945" s="21"/>
      <c r="I1945" s="21"/>
      <c r="J1945" s="21"/>
      <c r="K1945" s="16"/>
      <c r="L1945" s="22"/>
      <c r="M1945" s="55"/>
      <c r="N1945" s="23" t="s">
        <v>200</v>
      </c>
      <c r="O1945" s="23" t="s">
        <v>200</v>
      </c>
      <c r="P1945" s="24"/>
      <c r="Q1945" s="23"/>
      <c r="R1945" s="25"/>
      <c r="S1945" s="26"/>
      <c r="T1945" s="16" t="b">
        <v>0</v>
      </c>
    </row>
    <row r="1946">
      <c r="A1946" s="4"/>
      <c r="B1946" s="5"/>
      <c r="C1946" s="13"/>
      <c r="D1946" s="39"/>
      <c r="E1946" s="7"/>
      <c r="F1946" s="34"/>
      <c r="G1946" s="8">
        <v>1899.0</v>
      </c>
      <c r="H1946" s="9"/>
      <c r="I1946" s="9"/>
      <c r="J1946" s="9"/>
      <c r="K1946" s="4"/>
      <c r="L1946" s="10"/>
      <c r="M1946" s="54"/>
      <c r="N1946" s="12" t="s">
        <v>200</v>
      </c>
      <c r="O1946" s="12" t="s">
        <v>200</v>
      </c>
      <c r="P1946" s="13"/>
      <c r="Q1946" s="12"/>
      <c r="R1946" s="14"/>
      <c r="S1946" s="15"/>
      <c r="T1946" s="4" t="b">
        <v>0</v>
      </c>
    </row>
    <row r="1947">
      <c r="A1947" s="16"/>
      <c r="B1947" s="17"/>
      <c r="C1947" s="24"/>
      <c r="D1947" s="44"/>
      <c r="E1947" s="19"/>
      <c r="F1947" s="35"/>
      <c r="G1947" s="20">
        <v>1899.0</v>
      </c>
      <c r="H1947" s="21"/>
      <c r="I1947" s="21"/>
      <c r="J1947" s="21"/>
      <c r="K1947" s="16"/>
      <c r="L1947" s="22"/>
      <c r="M1947" s="55"/>
      <c r="N1947" s="23" t="s">
        <v>200</v>
      </c>
      <c r="O1947" s="23" t="s">
        <v>200</v>
      </c>
      <c r="P1947" s="24"/>
      <c r="Q1947" s="23"/>
      <c r="R1947" s="25"/>
      <c r="S1947" s="26"/>
      <c r="T1947" s="16" t="b">
        <v>0</v>
      </c>
    </row>
    <row r="1948">
      <c r="A1948" s="4"/>
      <c r="B1948" s="5"/>
      <c r="C1948" s="13"/>
      <c r="D1948" s="39"/>
      <c r="E1948" s="7"/>
      <c r="F1948" s="34"/>
      <c r="G1948" s="8">
        <v>1899.0</v>
      </c>
      <c r="H1948" s="9"/>
      <c r="I1948" s="9"/>
      <c r="J1948" s="9"/>
      <c r="K1948" s="4"/>
      <c r="L1948" s="10"/>
      <c r="M1948" s="54"/>
      <c r="N1948" s="12" t="s">
        <v>200</v>
      </c>
      <c r="O1948" s="12" t="s">
        <v>200</v>
      </c>
      <c r="P1948" s="13"/>
      <c r="Q1948" s="12"/>
      <c r="R1948" s="14"/>
      <c r="S1948" s="15"/>
      <c r="T1948" s="4" t="b">
        <v>0</v>
      </c>
    </row>
    <row r="1949">
      <c r="A1949" s="16"/>
      <c r="B1949" s="17"/>
      <c r="C1949" s="24"/>
      <c r="D1949" s="44"/>
      <c r="E1949" s="19"/>
      <c r="F1949" s="35"/>
      <c r="G1949" s="20">
        <v>1899.0</v>
      </c>
      <c r="H1949" s="21"/>
      <c r="I1949" s="21"/>
      <c r="J1949" s="21"/>
      <c r="K1949" s="16"/>
      <c r="L1949" s="22"/>
      <c r="M1949" s="55"/>
      <c r="N1949" s="23" t="s">
        <v>200</v>
      </c>
      <c r="O1949" s="23" t="s">
        <v>200</v>
      </c>
      <c r="P1949" s="24"/>
      <c r="Q1949" s="23"/>
      <c r="R1949" s="25"/>
      <c r="S1949" s="26"/>
      <c r="T1949" s="16" t="b">
        <v>0</v>
      </c>
    </row>
    <row r="1950">
      <c r="A1950" s="4"/>
      <c r="B1950" s="5"/>
      <c r="C1950" s="13"/>
      <c r="D1950" s="39"/>
      <c r="E1950" s="7"/>
      <c r="F1950" s="34"/>
      <c r="G1950" s="8">
        <v>1899.0</v>
      </c>
      <c r="H1950" s="9"/>
      <c r="I1950" s="9"/>
      <c r="J1950" s="9"/>
      <c r="K1950" s="4"/>
      <c r="L1950" s="10"/>
      <c r="M1950" s="54"/>
      <c r="N1950" s="12" t="s">
        <v>200</v>
      </c>
      <c r="O1950" s="12" t="s">
        <v>200</v>
      </c>
      <c r="P1950" s="13"/>
      <c r="Q1950" s="12"/>
      <c r="R1950" s="14"/>
      <c r="S1950" s="15"/>
      <c r="T1950" s="4" t="b">
        <v>0</v>
      </c>
    </row>
    <row r="1951">
      <c r="A1951" s="16"/>
      <c r="B1951" s="17"/>
      <c r="C1951" s="24"/>
      <c r="D1951" s="44"/>
      <c r="E1951" s="19"/>
      <c r="F1951" s="35"/>
      <c r="G1951" s="20">
        <v>1899.0</v>
      </c>
      <c r="H1951" s="21"/>
      <c r="I1951" s="21"/>
      <c r="J1951" s="21"/>
      <c r="K1951" s="16"/>
      <c r="L1951" s="22"/>
      <c r="M1951" s="55"/>
      <c r="N1951" s="23" t="s">
        <v>200</v>
      </c>
      <c r="O1951" s="23" t="s">
        <v>200</v>
      </c>
      <c r="P1951" s="24"/>
      <c r="Q1951" s="23"/>
      <c r="R1951" s="25"/>
      <c r="S1951" s="26"/>
      <c r="T1951" s="16" t="b">
        <v>0</v>
      </c>
    </row>
    <row r="1952">
      <c r="A1952" s="4"/>
      <c r="B1952" s="5"/>
      <c r="C1952" s="13"/>
      <c r="D1952" s="39"/>
      <c r="E1952" s="7"/>
      <c r="F1952" s="34"/>
      <c r="G1952" s="8">
        <v>1899.0</v>
      </c>
      <c r="H1952" s="9"/>
      <c r="I1952" s="9"/>
      <c r="J1952" s="9"/>
      <c r="K1952" s="4"/>
      <c r="L1952" s="10"/>
      <c r="M1952" s="54"/>
      <c r="N1952" s="12" t="s">
        <v>200</v>
      </c>
      <c r="O1952" s="12" t="s">
        <v>200</v>
      </c>
      <c r="P1952" s="13"/>
      <c r="Q1952" s="12"/>
      <c r="R1952" s="14"/>
      <c r="S1952" s="15"/>
      <c r="T1952" s="4" t="b">
        <v>0</v>
      </c>
    </row>
    <row r="1953">
      <c r="A1953" s="16"/>
      <c r="B1953" s="17"/>
      <c r="C1953" s="24"/>
      <c r="D1953" s="44"/>
      <c r="E1953" s="19"/>
      <c r="F1953" s="35"/>
      <c r="G1953" s="20">
        <v>1899.0</v>
      </c>
      <c r="H1953" s="21"/>
      <c r="I1953" s="21"/>
      <c r="J1953" s="21"/>
      <c r="K1953" s="16"/>
      <c r="L1953" s="22"/>
      <c r="M1953" s="55"/>
      <c r="N1953" s="23" t="s">
        <v>200</v>
      </c>
      <c r="O1953" s="23" t="s">
        <v>200</v>
      </c>
      <c r="P1953" s="24"/>
      <c r="Q1953" s="23"/>
      <c r="R1953" s="25"/>
      <c r="S1953" s="26"/>
      <c r="T1953" s="16" t="b">
        <v>0</v>
      </c>
    </row>
    <row r="1954">
      <c r="A1954" s="4"/>
      <c r="B1954" s="5"/>
      <c r="C1954" s="13"/>
      <c r="D1954" s="39"/>
      <c r="E1954" s="7"/>
      <c r="F1954" s="34"/>
      <c r="G1954" s="8">
        <v>1899.0</v>
      </c>
      <c r="H1954" s="9"/>
      <c r="I1954" s="9"/>
      <c r="J1954" s="9"/>
      <c r="K1954" s="4"/>
      <c r="L1954" s="10"/>
      <c r="M1954" s="54"/>
      <c r="N1954" s="12" t="s">
        <v>200</v>
      </c>
      <c r="O1954" s="12" t="s">
        <v>200</v>
      </c>
      <c r="P1954" s="13"/>
      <c r="Q1954" s="12"/>
      <c r="R1954" s="14"/>
      <c r="S1954" s="15"/>
      <c r="T1954" s="4" t="b">
        <v>0</v>
      </c>
    </row>
    <row r="1955">
      <c r="G1955" s="97">
        <v>1899.0</v>
      </c>
      <c r="N1955" s="97" t="s">
        <v>200</v>
      </c>
      <c r="O1955" s="97" t="s">
        <v>200</v>
      </c>
      <c r="P1955" s="24"/>
      <c r="Q1955" s="23"/>
      <c r="R1955" s="25"/>
      <c r="S1955" s="26"/>
      <c r="T1955" s="16" t="b">
        <v>0</v>
      </c>
    </row>
    <row r="1956">
      <c r="A1956" s="4"/>
      <c r="B1956" s="5"/>
      <c r="C1956" s="13"/>
      <c r="D1956" s="39"/>
      <c r="E1956" s="7"/>
      <c r="F1956" s="34"/>
      <c r="G1956" s="8">
        <v>1899.0</v>
      </c>
      <c r="H1956" s="9"/>
      <c r="I1956" s="9"/>
      <c r="J1956" s="9"/>
      <c r="K1956" s="4"/>
      <c r="L1956" s="10"/>
      <c r="M1956" s="54"/>
      <c r="N1956" s="12" t="s">
        <v>200</v>
      </c>
      <c r="O1956" s="12" t="s">
        <v>200</v>
      </c>
      <c r="P1956" s="13"/>
      <c r="Q1956" s="12"/>
      <c r="R1956" s="14"/>
      <c r="S1956" s="15"/>
      <c r="T1956" s="4" t="b">
        <v>0</v>
      </c>
    </row>
    <row r="1957">
      <c r="A1957" s="16"/>
      <c r="B1957" s="17"/>
      <c r="C1957" s="24"/>
      <c r="D1957" s="44"/>
      <c r="E1957" s="19"/>
      <c r="F1957" s="35"/>
      <c r="G1957" s="20">
        <v>1899.0</v>
      </c>
      <c r="H1957" s="21"/>
      <c r="I1957" s="21"/>
      <c r="J1957" s="21"/>
      <c r="K1957" s="16"/>
      <c r="L1957" s="22"/>
      <c r="M1957" s="55"/>
      <c r="N1957" s="23" t="s">
        <v>200</v>
      </c>
      <c r="O1957" s="23" t="s">
        <v>200</v>
      </c>
      <c r="P1957" s="24"/>
      <c r="Q1957" s="23"/>
      <c r="R1957" s="25"/>
      <c r="S1957" s="26"/>
      <c r="T1957" s="16" t="b">
        <v>0</v>
      </c>
    </row>
    <row r="1958">
      <c r="A1958" s="4"/>
      <c r="B1958" s="5"/>
      <c r="C1958" s="13"/>
      <c r="D1958" s="39"/>
      <c r="E1958" s="7"/>
      <c r="F1958" s="34"/>
      <c r="G1958" s="8">
        <v>1899.0</v>
      </c>
      <c r="H1958" s="9"/>
      <c r="I1958" s="9"/>
      <c r="J1958" s="9"/>
      <c r="K1958" s="4"/>
      <c r="L1958" s="10"/>
      <c r="M1958" s="54"/>
      <c r="N1958" s="12" t="s">
        <v>200</v>
      </c>
      <c r="O1958" s="12" t="s">
        <v>200</v>
      </c>
      <c r="P1958" s="13"/>
      <c r="Q1958" s="12"/>
      <c r="R1958" s="14"/>
      <c r="S1958" s="15"/>
      <c r="T1958" s="4" t="b">
        <v>0</v>
      </c>
    </row>
    <row r="1959">
      <c r="A1959" s="16"/>
      <c r="B1959" s="17"/>
      <c r="C1959" s="24"/>
      <c r="D1959" s="44"/>
      <c r="E1959" s="19"/>
      <c r="F1959" s="35"/>
      <c r="G1959" s="20">
        <v>1899.0</v>
      </c>
      <c r="H1959" s="21"/>
      <c r="I1959" s="21"/>
      <c r="J1959" s="21"/>
      <c r="K1959" s="16"/>
      <c r="L1959" s="22"/>
      <c r="M1959" s="55"/>
      <c r="N1959" s="23" t="s">
        <v>200</v>
      </c>
      <c r="O1959" s="23" t="s">
        <v>200</v>
      </c>
      <c r="P1959" s="24"/>
      <c r="Q1959" s="23"/>
      <c r="R1959" s="25"/>
      <c r="S1959" s="26"/>
      <c r="T1959" s="16" t="b">
        <v>0</v>
      </c>
    </row>
    <row r="1960">
      <c r="A1960" s="4"/>
      <c r="B1960" s="5"/>
      <c r="C1960" s="13"/>
      <c r="D1960" s="39"/>
      <c r="E1960" s="7"/>
      <c r="F1960" s="34"/>
      <c r="G1960" s="8">
        <v>1899.0</v>
      </c>
      <c r="H1960" s="9"/>
      <c r="I1960" s="9"/>
      <c r="J1960" s="9"/>
      <c r="K1960" s="4"/>
      <c r="L1960" s="10"/>
      <c r="M1960" s="54"/>
      <c r="N1960" s="12" t="s">
        <v>200</v>
      </c>
      <c r="O1960" s="12" t="s">
        <v>200</v>
      </c>
      <c r="P1960" s="13"/>
      <c r="Q1960" s="12"/>
      <c r="R1960" s="14"/>
      <c r="S1960" s="15"/>
      <c r="T1960" s="4" t="b">
        <v>0</v>
      </c>
    </row>
    <row r="1961">
      <c r="A1961" s="16"/>
      <c r="B1961" s="17"/>
      <c r="C1961" s="24"/>
      <c r="D1961" s="44"/>
      <c r="E1961" s="19"/>
      <c r="F1961" s="35"/>
      <c r="G1961" s="20">
        <v>1899.0</v>
      </c>
      <c r="H1961" s="21"/>
      <c r="I1961" s="21"/>
      <c r="J1961" s="21"/>
      <c r="K1961" s="16"/>
      <c r="L1961" s="22"/>
      <c r="M1961" s="55"/>
      <c r="N1961" s="23" t="s">
        <v>200</v>
      </c>
      <c r="O1961" s="23" t="s">
        <v>200</v>
      </c>
      <c r="P1961" s="24"/>
      <c r="Q1961" s="23"/>
      <c r="R1961" s="25"/>
      <c r="S1961" s="26"/>
      <c r="T1961" s="16" t="b">
        <v>0</v>
      </c>
    </row>
    <row r="1962">
      <c r="A1962" s="4"/>
      <c r="B1962" s="5"/>
      <c r="C1962" s="13"/>
      <c r="D1962" s="39"/>
      <c r="E1962" s="7"/>
      <c r="F1962" s="34"/>
      <c r="G1962" s="8">
        <v>1899.0</v>
      </c>
      <c r="H1962" s="9"/>
      <c r="I1962" s="9"/>
      <c r="J1962" s="9"/>
      <c r="K1962" s="4"/>
      <c r="L1962" s="10"/>
      <c r="M1962" s="54"/>
      <c r="N1962" s="12" t="s">
        <v>200</v>
      </c>
      <c r="O1962" s="12" t="s">
        <v>200</v>
      </c>
      <c r="P1962" s="13"/>
      <c r="Q1962" s="12"/>
      <c r="R1962" s="14"/>
      <c r="S1962" s="15"/>
      <c r="T1962" s="4" t="b">
        <v>0</v>
      </c>
    </row>
    <row r="1963">
      <c r="A1963" s="16"/>
      <c r="B1963" s="17"/>
      <c r="C1963" s="24"/>
      <c r="D1963" s="44"/>
      <c r="E1963" s="19"/>
      <c r="F1963" s="35"/>
      <c r="G1963" s="20">
        <v>1899.0</v>
      </c>
      <c r="H1963" s="21"/>
      <c r="I1963" s="21"/>
      <c r="J1963" s="21"/>
      <c r="K1963" s="16"/>
      <c r="L1963" s="22"/>
      <c r="M1963" s="55"/>
      <c r="N1963" s="23" t="s">
        <v>200</v>
      </c>
      <c r="O1963" s="23" t="s">
        <v>200</v>
      </c>
      <c r="P1963" s="24"/>
      <c r="Q1963" s="23"/>
      <c r="R1963" s="25"/>
      <c r="S1963" s="26"/>
      <c r="T1963" s="16" t="b">
        <v>0</v>
      </c>
    </row>
    <row r="1964">
      <c r="A1964" s="4"/>
      <c r="B1964" s="5"/>
      <c r="C1964" s="13"/>
      <c r="D1964" s="39"/>
      <c r="E1964" s="7"/>
      <c r="F1964" s="34"/>
      <c r="G1964" s="8">
        <v>1899.0</v>
      </c>
      <c r="H1964" s="9"/>
      <c r="I1964" s="9"/>
      <c r="J1964" s="9"/>
      <c r="K1964" s="4"/>
      <c r="L1964" s="10"/>
      <c r="M1964" s="54"/>
      <c r="N1964" s="12" t="s">
        <v>200</v>
      </c>
      <c r="O1964" s="12" t="s">
        <v>200</v>
      </c>
      <c r="P1964" s="13"/>
      <c r="Q1964" s="12"/>
      <c r="R1964" s="14"/>
      <c r="S1964" s="15"/>
      <c r="T1964" s="4" t="b">
        <v>0</v>
      </c>
    </row>
    <row r="1965">
      <c r="A1965" s="16"/>
      <c r="B1965" s="17"/>
      <c r="C1965" s="24"/>
      <c r="D1965" s="44"/>
      <c r="E1965" s="19"/>
      <c r="F1965" s="35"/>
      <c r="G1965" s="20">
        <v>1899.0</v>
      </c>
      <c r="H1965" s="21"/>
      <c r="I1965" s="21"/>
      <c r="J1965" s="21"/>
      <c r="K1965" s="16"/>
      <c r="L1965" s="22"/>
      <c r="M1965" s="55"/>
      <c r="N1965" s="23" t="s">
        <v>200</v>
      </c>
      <c r="O1965" s="23" t="s">
        <v>200</v>
      </c>
      <c r="P1965" s="24"/>
      <c r="Q1965" s="23"/>
      <c r="R1965" s="25"/>
      <c r="S1965" s="26"/>
      <c r="T1965" s="16" t="b">
        <v>0</v>
      </c>
    </row>
    <row r="1966">
      <c r="A1966" s="4"/>
      <c r="B1966" s="5"/>
      <c r="C1966" s="13"/>
      <c r="D1966" s="39"/>
      <c r="E1966" s="7"/>
      <c r="F1966" s="34"/>
      <c r="G1966" s="8">
        <v>1899.0</v>
      </c>
      <c r="H1966" s="9"/>
      <c r="I1966" s="9"/>
      <c r="J1966" s="9"/>
      <c r="K1966" s="4"/>
      <c r="L1966" s="10"/>
      <c r="M1966" s="54"/>
      <c r="N1966" s="12" t="s">
        <v>200</v>
      </c>
      <c r="O1966" s="12" t="s">
        <v>200</v>
      </c>
      <c r="P1966" s="13"/>
      <c r="Q1966" s="12"/>
      <c r="R1966" s="14"/>
      <c r="S1966" s="15"/>
      <c r="T1966" s="4" t="b">
        <v>0</v>
      </c>
    </row>
    <row r="1967">
      <c r="A1967" s="16"/>
      <c r="B1967" s="17"/>
      <c r="C1967" s="24"/>
      <c r="D1967" s="44"/>
      <c r="E1967" s="19"/>
      <c r="F1967" s="35"/>
      <c r="G1967" s="20">
        <v>1899.0</v>
      </c>
      <c r="H1967" s="21"/>
      <c r="I1967" s="21"/>
      <c r="J1967" s="21"/>
      <c r="K1967" s="16"/>
      <c r="L1967" s="22"/>
      <c r="M1967" s="55"/>
      <c r="N1967" s="23" t="s">
        <v>200</v>
      </c>
      <c r="O1967" s="23" t="s">
        <v>200</v>
      </c>
      <c r="P1967" s="24"/>
      <c r="Q1967" s="23"/>
      <c r="R1967" s="25"/>
      <c r="S1967" s="26"/>
      <c r="T1967" s="16" t="b">
        <v>0</v>
      </c>
    </row>
    <row r="1968">
      <c r="A1968" s="4"/>
      <c r="B1968" s="5"/>
      <c r="C1968" s="13"/>
      <c r="D1968" s="39"/>
      <c r="E1968" s="7"/>
      <c r="F1968" s="34"/>
      <c r="G1968" s="8">
        <v>1899.0</v>
      </c>
      <c r="H1968" s="9"/>
      <c r="I1968" s="9"/>
      <c r="J1968" s="9"/>
      <c r="K1968" s="4"/>
      <c r="L1968" s="10"/>
      <c r="M1968" s="54"/>
      <c r="N1968" s="12" t="s">
        <v>200</v>
      </c>
      <c r="O1968" s="12" t="s">
        <v>200</v>
      </c>
      <c r="P1968" s="13"/>
      <c r="Q1968" s="12"/>
      <c r="R1968" s="14"/>
      <c r="S1968" s="15"/>
      <c r="T1968" s="4" t="b">
        <v>0</v>
      </c>
    </row>
    <row r="1969">
      <c r="A1969" s="16"/>
      <c r="B1969" s="17"/>
      <c r="C1969" s="24"/>
      <c r="D1969" s="44"/>
      <c r="E1969" s="19"/>
      <c r="F1969" s="35"/>
      <c r="G1969" s="20">
        <v>1899.0</v>
      </c>
      <c r="H1969" s="21"/>
      <c r="I1969" s="21"/>
      <c r="J1969" s="21"/>
      <c r="K1969" s="16"/>
      <c r="L1969" s="22"/>
      <c r="M1969" s="55"/>
      <c r="N1969" s="23" t="s">
        <v>200</v>
      </c>
      <c r="O1969" s="23" t="s">
        <v>200</v>
      </c>
      <c r="P1969" s="24"/>
      <c r="Q1969" s="23"/>
      <c r="R1969" s="25"/>
      <c r="S1969" s="26"/>
      <c r="T1969" s="16" t="b">
        <v>0</v>
      </c>
    </row>
    <row r="1970">
      <c r="A1970" s="4"/>
      <c r="B1970" s="5"/>
      <c r="C1970" s="13"/>
      <c r="D1970" s="39"/>
      <c r="E1970" s="7"/>
      <c r="F1970" s="34"/>
      <c r="G1970" s="8">
        <v>1899.0</v>
      </c>
      <c r="H1970" s="9"/>
      <c r="I1970" s="9"/>
      <c r="J1970" s="9"/>
      <c r="K1970" s="4"/>
      <c r="L1970" s="10"/>
      <c r="M1970" s="54"/>
      <c r="N1970" s="12" t="s">
        <v>200</v>
      </c>
      <c r="O1970" s="12" t="s">
        <v>200</v>
      </c>
      <c r="P1970" s="13"/>
      <c r="Q1970" s="12"/>
      <c r="R1970" s="14"/>
      <c r="S1970" s="15"/>
      <c r="T1970" s="4" t="b">
        <v>0</v>
      </c>
    </row>
    <row r="1971">
      <c r="A1971" s="16"/>
      <c r="B1971" s="17"/>
      <c r="C1971" s="24"/>
      <c r="D1971" s="44"/>
      <c r="E1971" s="19"/>
      <c r="F1971" s="35"/>
      <c r="G1971" s="20">
        <v>1899.0</v>
      </c>
      <c r="H1971" s="21"/>
      <c r="I1971" s="21"/>
      <c r="J1971" s="21"/>
      <c r="K1971" s="16"/>
      <c r="L1971" s="22"/>
      <c r="M1971" s="55"/>
      <c r="N1971" s="23" t="s">
        <v>200</v>
      </c>
      <c r="O1971" s="23" t="s">
        <v>200</v>
      </c>
      <c r="P1971" s="24"/>
      <c r="Q1971" s="23"/>
      <c r="R1971" s="25"/>
      <c r="S1971" s="26"/>
      <c r="T1971" s="16" t="b">
        <v>0</v>
      </c>
    </row>
    <row r="1972">
      <c r="A1972" s="4"/>
      <c r="B1972" s="5"/>
      <c r="C1972" s="13"/>
      <c r="D1972" s="39"/>
      <c r="E1972" s="7"/>
      <c r="F1972" s="34"/>
      <c r="G1972" s="8">
        <v>1899.0</v>
      </c>
      <c r="H1972" s="9"/>
      <c r="I1972" s="9"/>
      <c r="J1972" s="9"/>
      <c r="K1972" s="4"/>
      <c r="L1972" s="10"/>
      <c r="M1972" s="54"/>
      <c r="N1972" s="12" t="s">
        <v>200</v>
      </c>
      <c r="O1972" s="12" t="s">
        <v>200</v>
      </c>
      <c r="P1972" s="13"/>
      <c r="Q1972" s="12"/>
      <c r="R1972" s="14"/>
      <c r="S1972" s="15"/>
      <c r="T1972" s="4" t="b">
        <v>0</v>
      </c>
    </row>
    <row r="1973">
      <c r="A1973" s="16"/>
      <c r="B1973" s="17"/>
      <c r="C1973" s="24"/>
      <c r="D1973" s="44"/>
      <c r="E1973" s="19"/>
      <c r="F1973" s="35"/>
      <c r="G1973" s="20">
        <v>1899.0</v>
      </c>
      <c r="H1973" s="21"/>
      <c r="I1973" s="21"/>
      <c r="J1973" s="21"/>
      <c r="K1973" s="16"/>
      <c r="L1973" s="22"/>
      <c r="M1973" s="55"/>
      <c r="N1973" s="23" t="s">
        <v>200</v>
      </c>
      <c r="O1973" s="23" t="s">
        <v>200</v>
      </c>
      <c r="P1973" s="24"/>
      <c r="Q1973" s="23"/>
      <c r="R1973" s="25"/>
      <c r="S1973" s="26"/>
      <c r="T1973" s="16" t="b">
        <v>0</v>
      </c>
    </row>
    <row r="1974">
      <c r="A1974" s="4"/>
      <c r="B1974" s="5"/>
      <c r="C1974" s="13"/>
      <c r="D1974" s="39"/>
      <c r="E1974" s="7"/>
      <c r="F1974" s="34"/>
      <c r="G1974" s="8">
        <v>1899.0</v>
      </c>
      <c r="H1974" s="9"/>
      <c r="I1974" s="9"/>
      <c r="J1974" s="9"/>
      <c r="K1974" s="4"/>
      <c r="L1974" s="10"/>
      <c r="M1974" s="54"/>
      <c r="N1974" s="12" t="s">
        <v>200</v>
      </c>
      <c r="O1974" s="12" t="s">
        <v>200</v>
      </c>
      <c r="P1974" s="13"/>
      <c r="Q1974" s="12"/>
      <c r="R1974" s="14"/>
      <c r="S1974" s="15"/>
      <c r="T1974" s="4" t="b">
        <v>0</v>
      </c>
    </row>
    <row r="1975">
      <c r="A1975" s="16"/>
      <c r="B1975" s="17"/>
      <c r="C1975" s="24"/>
      <c r="D1975" s="44"/>
      <c r="E1975" s="19"/>
      <c r="F1975" s="35"/>
      <c r="G1975" s="20">
        <v>1899.0</v>
      </c>
      <c r="H1975" s="21"/>
      <c r="I1975" s="21"/>
      <c r="J1975" s="21"/>
      <c r="K1975" s="16"/>
      <c r="L1975" s="22"/>
      <c r="M1975" s="55"/>
      <c r="N1975" s="23" t="s">
        <v>200</v>
      </c>
      <c r="O1975" s="23" t="s">
        <v>200</v>
      </c>
      <c r="P1975" s="24"/>
      <c r="Q1975" s="23"/>
      <c r="R1975" s="25"/>
      <c r="S1975" s="26"/>
      <c r="T1975" s="16" t="b">
        <v>0</v>
      </c>
    </row>
    <row r="1976">
      <c r="A1976" s="4"/>
      <c r="B1976" s="5"/>
      <c r="C1976" s="13"/>
      <c r="D1976" s="39"/>
      <c r="E1976" s="7"/>
      <c r="F1976" s="34"/>
      <c r="G1976" s="8">
        <v>1899.0</v>
      </c>
      <c r="H1976" s="9"/>
      <c r="I1976" s="9"/>
      <c r="J1976" s="9"/>
      <c r="K1976" s="4"/>
      <c r="L1976" s="10"/>
      <c r="M1976" s="54"/>
      <c r="N1976" s="12" t="s">
        <v>200</v>
      </c>
      <c r="O1976" s="12" t="s">
        <v>200</v>
      </c>
      <c r="P1976" s="13"/>
      <c r="Q1976" s="12"/>
      <c r="R1976" s="14"/>
      <c r="S1976" s="15"/>
      <c r="T1976" s="4" t="b">
        <v>0</v>
      </c>
    </row>
    <row r="1977">
      <c r="A1977" s="16"/>
      <c r="B1977" s="17"/>
      <c r="C1977" s="24"/>
      <c r="D1977" s="44"/>
      <c r="E1977" s="19"/>
      <c r="F1977" s="35"/>
      <c r="G1977" s="20">
        <v>1899.0</v>
      </c>
      <c r="H1977" s="21"/>
      <c r="I1977" s="21"/>
      <c r="J1977" s="21"/>
      <c r="K1977" s="16"/>
      <c r="L1977" s="22"/>
      <c r="M1977" s="55"/>
      <c r="N1977" s="23" t="s">
        <v>200</v>
      </c>
      <c r="O1977" s="23" t="s">
        <v>200</v>
      </c>
      <c r="P1977" s="24"/>
      <c r="Q1977" s="23"/>
      <c r="R1977" s="25"/>
      <c r="S1977" s="26"/>
      <c r="T1977" s="16" t="b">
        <v>0</v>
      </c>
    </row>
    <row r="1978">
      <c r="A1978" s="4"/>
      <c r="B1978" s="5"/>
      <c r="C1978" s="13"/>
      <c r="D1978" s="39"/>
      <c r="E1978" s="7"/>
      <c r="F1978" s="34"/>
      <c r="G1978" s="8">
        <v>1899.0</v>
      </c>
      <c r="H1978" s="9"/>
      <c r="I1978" s="9"/>
      <c r="J1978" s="9"/>
      <c r="K1978" s="4"/>
      <c r="L1978" s="10"/>
      <c r="M1978" s="54"/>
      <c r="N1978" s="12" t="s">
        <v>200</v>
      </c>
      <c r="O1978" s="12" t="s">
        <v>200</v>
      </c>
      <c r="P1978" s="13"/>
      <c r="Q1978" s="12"/>
      <c r="R1978" s="14"/>
      <c r="S1978" s="15"/>
      <c r="T1978" s="4" t="b">
        <v>0</v>
      </c>
    </row>
    <row r="1979">
      <c r="A1979" s="16"/>
      <c r="B1979" s="17"/>
      <c r="C1979" s="24"/>
      <c r="D1979" s="44"/>
      <c r="E1979" s="19"/>
      <c r="F1979" s="35"/>
      <c r="G1979" s="20">
        <v>1899.0</v>
      </c>
      <c r="H1979" s="21"/>
      <c r="I1979" s="21"/>
      <c r="J1979" s="21"/>
      <c r="K1979" s="16"/>
      <c r="L1979" s="22"/>
      <c r="M1979" s="55"/>
      <c r="N1979" s="23" t="s">
        <v>200</v>
      </c>
      <c r="O1979" s="23" t="s">
        <v>200</v>
      </c>
      <c r="P1979" s="24"/>
      <c r="Q1979" s="23"/>
      <c r="R1979" s="25"/>
      <c r="S1979" s="26"/>
      <c r="T1979" s="16" t="b">
        <v>0</v>
      </c>
    </row>
    <row r="1980">
      <c r="A1980" s="4"/>
      <c r="B1980" s="5"/>
      <c r="C1980" s="13"/>
      <c r="D1980" s="39"/>
      <c r="E1980" s="7"/>
      <c r="F1980" s="34"/>
      <c r="G1980" s="8">
        <v>1899.0</v>
      </c>
      <c r="H1980" s="9"/>
      <c r="I1980" s="9"/>
      <c r="J1980" s="9"/>
      <c r="K1980" s="4"/>
      <c r="L1980" s="10"/>
      <c r="M1980" s="54"/>
      <c r="N1980" s="12" t="s">
        <v>200</v>
      </c>
      <c r="O1980" s="12" t="s">
        <v>200</v>
      </c>
      <c r="P1980" s="13"/>
      <c r="Q1980" s="12"/>
      <c r="R1980" s="14"/>
      <c r="S1980" s="15"/>
      <c r="T1980" s="4" t="b">
        <v>0</v>
      </c>
    </row>
    <row r="1981">
      <c r="A1981" s="16"/>
      <c r="B1981" s="17"/>
      <c r="C1981" s="24"/>
      <c r="D1981" s="44"/>
      <c r="E1981" s="19"/>
      <c r="F1981" s="35"/>
      <c r="G1981" s="20">
        <v>1899.0</v>
      </c>
      <c r="H1981" s="21"/>
      <c r="I1981" s="21"/>
      <c r="J1981" s="21"/>
      <c r="K1981" s="16"/>
      <c r="L1981" s="22"/>
      <c r="M1981" s="55"/>
      <c r="N1981" s="23" t="s">
        <v>200</v>
      </c>
      <c r="O1981" s="23" t="s">
        <v>200</v>
      </c>
      <c r="P1981" s="24"/>
      <c r="Q1981" s="23"/>
      <c r="R1981" s="25"/>
      <c r="S1981" s="26"/>
      <c r="T1981" s="16" t="b">
        <v>0</v>
      </c>
    </row>
    <row r="1982">
      <c r="A1982" s="4"/>
      <c r="B1982" s="5"/>
      <c r="C1982" s="13"/>
      <c r="D1982" s="39"/>
      <c r="E1982" s="7"/>
      <c r="F1982" s="34"/>
      <c r="G1982" s="8">
        <v>1899.0</v>
      </c>
      <c r="H1982" s="9"/>
      <c r="I1982" s="9"/>
      <c r="J1982" s="9"/>
      <c r="K1982" s="4"/>
      <c r="L1982" s="10"/>
      <c r="M1982" s="54"/>
      <c r="N1982" s="12" t="s">
        <v>200</v>
      </c>
      <c r="O1982" s="12" t="s">
        <v>200</v>
      </c>
      <c r="P1982" s="13"/>
      <c r="Q1982" s="12"/>
      <c r="R1982" s="14"/>
      <c r="S1982" s="15"/>
      <c r="T1982" s="4" t="b">
        <v>0</v>
      </c>
    </row>
    <row r="1983">
      <c r="A1983" s="16"/>
      <c r="B1983" s="17"/>
      <c r="C1983" s="24"/>
      <c r="D1983" s="44"/>
      <c r="E1983" s="19"/>
      <c r="F1983" s="35"/>
      <c r="G1983" s="20">
        <v>1899.0</v>
      </c>
      <c r="H1983" s="21"/>
      <c r="I1983" s="21"/>
      <c r="J1983" s="21"/>
      <c r="K1983" s="16"/>
      <c r="L1983" s="22"/>
      <c r="M1983" s="55"/>
      <c r="N1983" s="23" t="s">
        <v>200</v>
      </c>
      <c r="O1983" s="23" t="s">
        <v>200</v>
      </c>
      <c r="P1983" s="24"/>
      <c r="Q1983" s="23"/>
      <c r="R1983" s="25"/>
      <c r="S1983" s="26"/>
      <c r="T1983" s="16" t="b">
        <v>0</v>
      </c>
    </row>
    <row r="1984">
      <c r="A1984" s="4"/>
      <c r="B1984" s="5"/>
      <c r="C1984" s="13"/>
      <c r="D1984" s="39"/>
      <c r="E1984" s="7"/>
      <c r="F1984" s="34"/>
      <c r="G1984" s="8">
        <v>1899.0</v>
      </c>
      <c r="H1984" s="9"/>
      <c r="I1984" s="9"/>
      <c r="J1984" s="9"/>
      <c r="K1984" s="4"/>
      <c r="L1984" s="10"/>
      <c r="M1984" s="54"/>
      <c r="N1984" s="12" t="s">
        <v>200</v>
      </c>
      <c r="O1984" s="12" t="s">
        <v>200</v>
      </c>
      <c r="P1984" s="13"/>
      <c r="Q1984" s="12"/>
      <c r="R1984" s="14"/>
      <c r="S1984" s="15"/>
      <c r="T1984" s="4" t="b">
        <v>0</v>
      </c>
    </row>
    <row r="1985">
      <c r="A1985" s="16"/>
      <c r="B1985" s="17"/>
      <c r="C1985" s="24"/>
      <c r="D1985" s="44"/>
      <c r="E1985" s="19"/>
      <c r="F1985" s="35"/>
      <c r="G1985" s="20">
        <v>1899.0</v>
      </c>
      <c r="H1985" s="21"/>
      <c r="I1985" s="21"/>
      <c r="J1985" s="21"/>
      <c r="K1985" s="16"/>
      <c r="L1985" s="22"/>
      <c r="M1985" s="55"/>
      <c r="N1985" s="23" t="s">
        <v>200</v>
      </c>
      <c r="O1985" s="23" t="s">
        <v>200</v>
      </c>
      <c r="P1985" s="24"/>
      <c r="Q1985" s="23"/>
      <c r="R1985" s="25"/>
      <c r="S1985" s="26"/>
      <c r="T1985" s="16" t="b">
        <v>0</v>
      </c>
    </row>
    <row r="1986">
      <c r="A1986" s="4"/>
      <c r="B1986" s="5"/>
      <c r="C1986" s="13"/>
      <c r="D1986" s="39"/>
      <c r="E1986" s="7"/>
      <c r="F1986" s="34"/>
      <c r="G1986" s="8">
        <v>1899.0</v>
      </c>
      <c r="H1986" s="9"/>
      <c r="I1986" s="9"/>
      <c r="J1986" s="9"/>
      <c r="K1986" s="4"/>
      <c r="L1986" s="10"/>
      <c r="M1986" s="54"/>
      <c r="N1986" s="12" t="s">
        <v>200</v>
      </c>
      <c r="O1986" s="12" t="s">
        <v>200</v>
      </c>
      <c r="P1986" s="13"/>
      <c r="Q1986" s="12"/>
      <c r="R1986" s="14"/>
      <c r="S1986" s="15"/>
      <c r="T1986" s="4" t="b">
        <v>0</v>
      </c>
    </row>
    <row r="1987">
      <c r="A1987" s="16"/>
      <c r="B1987" s="17"/>
      <c r="C1987" s="24"/>
      <c r="D1987" s="44"/>
      <c r="E1987" s="19"/>
      <c r="F1987" s="35"/>
      <c r="G1987" s="20">
        <v>1899.0</v>
      </c>
      <c r="H1987" s="21"/>
      <c r="I1987" s="21"/>
      <c r="J1987" s="21"/>
      <c r="K1987" s="16"/>
      <c r="L1987" s="22"/>
      <c r="M1987" s="55"/>
      <c r="N1987" s="23" t="s">
        <v>200</v>
      </c>
      <c r="O1987" s="23" t="s">
        <v>200</v>
      </c>
      <c r="P1987" s="24"/>
      <c r="Q1987" s="23"/>
      <c r="R1987" s="25"/>
      <c r="S1987" s="26"/>
      <c r="T1987" s="16" t="b">
        <v>0</v>
      </c>
    </row>
    <row r="1988">
      <c r="A1988" s="4"/>
      <c r="B1988" s="5"/>
      <c r="C1988" s="13"/>
      <c r="D1988" s="39"/>
      <c r="E1988" s="7"/>
      <c r="F1988" s="34"/>
      <c r="G1988" s="8">
        <v>1899.0</v>
      </c>
      <c r="H1988" s="9"/>
      <c r="I1988" s="9"/>
      <c r="J1988" s="9"/>
      <c r="K1988" s="4"/>
      <c r="L1988" s="10"/>
      <c r="M1988" s="54"/>
      <c r="N1988" s="12" t="s">
        <v>200</v>
      </c>
      <c r="O1988" s="12" t="s">
        <v>200</v>
      </c>
      <c r="P1988" s="13"/>
      <c r="Q1988" s="12"/>
      <c r="R1988" s="14"/>
      <c r="S1988" s="15"/>
      <c r="T1988" s="4" t="b">
        <v>0</v>
      </c>
    </row>
    <row r="1989">
      <c r="A1989" s="16"/>
      <c r="B1989" s="17"/>
      <c r="C1989" s="24"/>
      <c r="D1989" s="44"/>
      <c r="E1989" s="19"/>
      <c r="F1989" s="35"/>
      <c r="G1989" s="20">
        <v>1899.0</v>
      </c>
      <c r="H1989" s="21"/>
      <c r="I1989" s="21"/>
      <c r="J1989" s="21"/>
      <c r="K1989" s="16"/>
      <c r="L1989" s="22"/>
      <c r="M1989" s="55"/>
      <c r="N1989" s="23" t="s">
        <v>200</v>
      </c>
      <c r="O1989" s="23" t="s">
        <v>200</v>
      </c>
      <c r="P1989" s="24"/>
      <c r="Q1989" s="23"/>
      <c r="R1989" s="25"/>
      <c r="S1989" s="26"/>
      <c r="T1989" s="16" t="b">
        <v>0</v>
      </c>
    </row>
    <row r="1990">
      <c r="A1990" s="4"/>
      <c r="B1990" s="5"/>
      <c r="C1990" s="13"/>
      <c r="D1990" s="39"/>
      <c r="E1990" s="7"/>
      <c r="F1990" s="34"/>
      <c r="G1990" s="8">
        <v>1899.0</v>
      </c>
      <c r="H1990" s="9"/>
      <c r="I1990" s="9"/>
      <c r="J1990" s="9"/>
      <c r="K1990" s="4"/>
      <c r="L1990" s="10"/>
      <c r="M1990" s="54"/>
      <c r="N1990" s="12" t="s">
        <v>200</v>
      </c>
      <c r="O1990" s="12" t="s">
        <v>200</v>
      </c>
      <c r="P1990" s="13"/>
      <c r="Q1990" s="12"/>
      <c r="R1990" s="14"/>
      <c r="S1990" s="15"/>
      <c r="T1990" s="4" t="b">
        <v>0</v>
      </c>
    </row>
    <row r="1991">
      <c r="A1991" s="16"/>
      <c r="B1991" s="17"/>
      <c r="C1991" s="24"/>
      <c r="D1991" s="44"/>
      <c r="E1991" s="19"/>
      <c r="F1991" s="35"/>
      <c r="G1991" s="20">
        <v>1899.0</v>
      </c>
      <c r="H1991" s="21"/>
      <c r="I1991" s="21"/>
      <c r="J1991" s="21"/>
      <c r="K1991" s="16"/>
      <c r="L1991" s="22"/>
      <c r="M1991" s="55"/>
      <c r="N1991" s="23" t="s">
        <v>200</v>
      </c>
      <c r="O1991" s="23" t="s">
        <v>200</v>
      </c>
      <c r="P1991" s="24"/>
      <c r="Q1991" s="23"/>
      <c r="R1991" s="25"/>
      <c r="S1991" s="26"/>
      <c r="T1991" s="16" t="b">
        <v>0</v>
      </c>
    </row>
    <row r="1992">
      <c r="A1992" s="4"/>
      <c r="B1992" s="5"/>
      <c r="C1992" s="13"/>
      <c r="D1992" s="39"/>
      <c r="E1992" s="7"/>
      <c r="F1992" s="34"/>
      <c r="G1992" s="8">
        <v>1899.0</v>
      </c>
      <c r="H1992" s="9"/>
      <c r="I1992" s="9"/>
      <c r="J1992" s="9"/>
      <c r="K1992" s="4"/>
      <c r="L1992" s="10"/>
      <c r="M1992" s="54"/>
      <c r="N1992" s="12" t="s">
        <v>200</v>
      </c>
      <c r="O1992" s="12" t="s">
        <v>200</v>
      </c>
      <c r="P1992" s="13"/>
      <c r="Q1992" s="12"/>
      <c r="R1992" s="14"/>
      <c r="S1992" s="15"/>
      <c r="T1992" s="4" t="b">
        <v>0</v>
      </c>
    </row>
    <row r="1993">
      <c r="A1993" s="16"/>
      <c r="B1993" s="17"/>
      <c r="C1993" s="24"/>
      <c r="D1993" s="44"/>
      <c r="E1993" s="19"/>
      <c r="F1993" s="35"/>
      <c r="G1993" s="20">
        <v>1899.0</v>
      </c>
      <c r="H1993" s="21"/>
      <c r="I1993" s="21"/>
      <c r="J1993" s="21"/>
      <c r="K1993" s="16"/>
      <c r="L1993" s="22"/>
      <c r="M1993" s="55"/>
      <c r="N1993" s="23" t="s">
        <v>200</v>
      </c>
      <c r="O1993" s="23" t="s">
        <v>200</v>
      </c>
      <c r="P1993" s="24"/>
      <c r="Q1993" s="23"/>
      <c r="R1993" s="25"/>
      <c r="S1993" s="26"/>
      <c r="T1993" s="16" t="b">
        <v>0</v>
      </c>
    </row>
    <row r="1994">
      <c r="A1994" s="4"/>
      <c r="B1994" s="5"/>
      <c r="C1994" s="13"/>
      <c r="D1994" s="39"/>
      <c r="E1994" s="7"/>
      <c r="F1994" s="34"/>
      <c r="G1994" s="8">
        <v>1899.0</v>
      </c>
      <c r="H1994" s="9"/>
      <c r="I1994" s="9"/>
      <c r="J1994" s="9"/>
      <c r="K1994" s="4"/>
      <c r="L1994" s="10"/>
      <c r="M1994" s="54"/>
      <c r="N1994" s="12" t="s">
        <v>200</v>
      </c>
      <c r="O1994" s="12" t="s">
        <v>200</v>
      </c>
      <c r="P1994" s="13"/>
      <c r="Q1994" s="12"/>
      <c r="R1994" s="14"/>
      <c r="S1994" s="15"/>
      <c r="T1994" s="4" t="b">
        <v>0</v>
      </c>
    </row>
    <row r="1995">
      <c r="A1995" s="16"/>
      <c r="B1995" s="17"/>
      <c r="C1995" s="24"/>
      <c r="D1995" s="44"/>
      <c r="E1995" s="19"/>
      <c r="F1995" s="35"/>
      <c r="G1995" s="20">
        <v>1899.0</v>
      </c>
      <c r="H1995" s="21"/>
      <c r="I1995" s="21"/>
      <c r="J1995" s="21"/>
      <c r="K1995" s="16"/>
      <c r="L1995" s="22"/>
      <c r="M1995" s="55"/>
      <c r="N1995" s="23" t="s">
        <v>200</v>
      </c>
      <c r="O1995" s="23" t="s">
        <v>200</v>
      </c>
      <c r="P1995" s="24"/>
      <c r="Q1995" s="23"/>
      <c r="R1995" s="25"/>
      <c r="S1995" s="26"/>
      <c r="T1995" s="16" t="b">
        <v>0</v>
      </c>
    </row>
    <row r="1996">
      <c r="A1996" s="4"/>
      <c r="B1996" s="5"/>
      <c r="C1996" s="13"/>
      <c r="D1996" s="39"/>
      <c r="E1996" s="7"/>
      <c r="F1996" s="34"/>
      <c r="G1996" s="8">
        <v>1899.0</v>
      </c>
      <c r="H1996" s="9"/>
      <c r="I1996" s="9"/>
      <c r="J1996" s="9"/>
      <c r="K1996" s="4"/>
      <c r="L1996" s="10"/>
      <c r="M1996" s="54"/>
      <c r="N1996" s="12" t="s">
        <v>200</v>
      </c>
      <c r="O1996" s="12" t="s">
        <v>200</v>
      </c>
      <c r="P1996" s="13"/>
      <c r="Q1996" s="12"/>
      <c r="R1996" s="14"/>
      <c r="S1996" s="15"/>
      <c r="T1996" s="4" t="b">
        <v>0</v>
      </c>
    </row>
    <row r="1997">
      <c r="A1997" s="16"/>
      <c r="B1997" s="17"/>
      <c r="C1997" s="24"/>
      <c r="D1997" s="44"/>
      <c r="E1997" s="19"/>
      <c r="F1997" s="35"/>
      <c r="G1997" s="20">
        <v>1899.0</v>
      </c>
      <c r="H1997" s="21"/>
      <c r="I1997" s="21"/>
      <c r="J1997" s="21"/>
      <c r="K1997" s="16"/>
      <c r="L1997" s="22"/>
      <c r="M1997" s="55"/>
      <c r="N1997" s="23" t="s">
        <v>200</v>
      </c>
      <c r="O1997" s="23" t="s">
        <v>200</v>
      </c>
      <c r="P1997" s="24"/>
      <c r="Q1997" s="23"/>
      <c r="R1997" s="25"/>
      <c r="S1997" s="26"/>
      <c r="T1997" s="16" t="b">
        <v>0</v>
      </c>
    </row>
    <row r="1998">
      <c r="A1998" s="4"/>
      <c r="B1998" s="5"/>
      <c r="C1998" s="13"/>
      <c r="D1998" s="39"/>
      <c r="E1998" s="7"/>
      <c r="F1998" s="34"/>
      <c r="G1998" s="8">
        <v>1899.0</v>
      </c>
      <c r="H1998" s="9"/>
      <c r="I1998" s="9"/>
      <c r="J1998" s="9"/>
      <c r="K1998" s="4"/>
      <c r="L1998" s="10"/>
      <c r="M1998" s="54"/>
      <c r="N1998" s="12" t="s">
        <v>200</v>
      </c>
      <c r="O1998" s="12" t="s">
        <v>200</v>
      </c>
      <c r="P1998" s="13"/>
      <c r="Q1998" s="12"/>
      <c r="R1998" s="14"/>
      <c r="S1998" s="15"/>
      <c r="T1998" s="4" t="b">
        <v>0</v>
      </c>
    </row>
    <row r="1999">
      <c r="A1999" s="16"/>
      <c r="B1999" s="17"/>
      <c r="C1999" s="24"/>
      <c r="D1999" s="44"/>
      <c r="E1999" s="19"/>
      <c r="F1999" s="35"/>
      <c r="G1999" s="20">
        <v>1899.0</v>
      </c>
      <c r="H1999" s="21"/>
      <c r="I1999" s="21"/>
      <c r="J1999" s="21"/>
      <c r="K1999" s="16"/>
      <c r="L1999" s="22"/>
      <c r="M1999" s="55"/>
      <c r="N1999" s="23" t="s">
        <v>200</v>
      </c>
      <c r="O1999" s="23" t="s">
        <v>200</v>
      </c>
      <c r="P1999" s="24"/>
      <c r="Q1999" s="23"/>
      <c r="R1999" s="25"/>
      <c r="S1999" s="26"/>
      <c r="T1999" s="16" t="b">
        <v>0</v>
      </c>
    </row>
    <row r="2000">
      <c r="A2000" s="4"/>
      <c r="B2000" s="5"/>
      <c r="C2000" s="13"/>
      <c r="D2000" s="39"/>
      <c r="E2000" s="7"/>
      <c r="F2000" s="34"/>
      <c r="G2000" s="8">
        <v>1899.0</v>
      </c>
      <c r="H2000" s="9"/>
      <c r="I2000" s="9"/>
      <c r="J2000" s="9"/>
      <c r="K2000" s="4"/>
      <c r="L2000" s="10"/>
      <c r="M2000" s="54"/>
      <c r="N2000" s="12" t="s">
        <v>200</v>
      </c>
      <c r="O2000" s="12" t="s">
        <v>200</v>
      </c>
      <c r="P2000" s="13"/>
      <c r="Q2000" s="12"/>
      <c r="R2000" s="14"/>
      <c r="S2000" s="15"/>
      <c r="T2000" s="4" t="b">
        <v>0</v>
      </c>
    </row>
    <row r="2001">
      <c r="A2001" s="16"/>
      <c r="B2001" s="17"/>
      <c r="C2001" s="24"/>
      <c r="D2001" s="44"/>
      <c r="E2001" s="19"/>
      <c r="F2001" s="35"/>
      <c r="G2001" s="20">
        <v>1899.0</v>
      </c>
      <c r="H2001" s="21"/>
      <c r="I2001" s="21"/>
      <c r="J2001" s="21"/>
      <c r="K2001" s="16"/>
      <c r="L2001" s="22"/>
      <c r="M2001" s="55"/>
      <c r="N2001" s="23" t="s">
        <v>200</v>
      </c>
      <c r="O2001" s="23" t="s">
        <v>200</v>
      </c>
      <c r="P2001" s="24"/>
      <c r="Q2001" s="23"/>
      <c r="R2001" s="25"/>
      <c r="S2001" s="26"/>
      <c r="T2001" s="16" t="b">
        <v>0</v>
      </c>
    </row>
    <row r="2002">
      <c r="A2002" s="4"/>
      <c r="B2002" s="5"/>
      <c r="C2002" s="13"/>
      <c r="D2002" s="39"/>
      <c r="E2002" s="7"/>
      <c r="F2002" s="34"/>
      <c r="G2002" s="8">
        <v>1899.0</v>
      </c>
      <c r="H2002" s="9"/>
      <c r="I2002" s="9"/>
      <c r="J2002" s="9"/>
      <c r="K2002" s="4"/>
      <c r="L2002" s="10"/>
      <c r="M2002" s="54"/>
      <c r="N2002" s="12" t="s">
        <v>200</v>
      </c>
      <c r="O2002" s="12" t="s">
        <v>200</v>
      </c>
      <c r="P2002" s="13"/>
      <c r="Q2002" s="12"/>
      <c r="R2002" s="14"/>
      <c r="S2002" s="15"/>
      <c r="T2002" s="4" t="b">
        <v>0</v>
      </c>
    </row>
    <row r="2003">
      <c r="A2003" s="16"/>
      <c r="B2003" s="17"/>
      <c r="C2003" s="24"/>
      <c r="D2003" s="44"/>
      <c r="E2003" s="19"/>
      <c r="F2003" s="35"/>
      <c r="G2003" s="20">
        <v>1899.0</v>
      </c>
      <c r="H2003" s="21"/>
      <c r="I2003" s="21"/>
      <c r="J2003" s="21"/>
      <c r="K2003" s="16"/>
      <c r="L2003" s="22"/>
      <c r="M2003" s="55"/>
      <c r="N2003" s="23" t="s">
        <v>200</v>
      </c>
      <c r="O2003" s="23" t="s">
        <v>200</v>
      </c>
      <c r="P2003" s="24"/>
      <c r="Q2003" s="23"/>
      <c r="R2003" s="25"/>
      <c r="S2003" s="26"/>
      <c r="T2003" s="16" t="b">
        <v>0</v>
      </c>
    </row>
    <row r="2004">
      <c r="A2004" s="4"/>
      <c r="B2004" s="5"/>
      <c r="C2004" s="13"/>
      <c r="D2004" s="39"/>
      <c r="E2004" s="7"/>
      <c r="F2004" s="34"/>
      <c r="G2004" s="8">
        <v>1899.0</v>
      </c>
      <c r="H2004" s="9"/>
      <c r="I2004" s="9"/>
      <c r="J2004" s="9"/>
      <c r="K2004" s="4"/>
      <c r="L2004" s="10"/>
      <c r="M2004" s="54"/>
      <c r="N2004" s="12" t="s">
        <v>200</v>
      </c>
      <c r="O2004" s="12" t="s">
        <v>200</v>
      </c>
      <c r="P2004" s="13"/>
      <c r="Q2004" s="12"/>
      <c r="R2004" s="14"/>
      <c r="S2004" s="15"/>
      <c r="T2004" s="4" t="b">
        <v>0</v>
      </c>
    </row>
    <row r="2005">
      <c r="A2005" s="16"/>
      <c r="B2005" s="17"/>
      <c r="C2005" s="24"/>
      <c r="D2005" s="44"/>
      <c r="E2005" s="19"/>
      <c r="F2005" s="35"/>
      <c r="G2005" s="20">
        <v>1899.0</v>
      </c>
      <c r="H2005" s="21"/>
      <c r="I2005" s="21"/>
      <c r="J2005" s="21"/>
      <c r="K2005" s="16"/>
      <c r="L2005" s="22"/>
      <c r="M2005" s="55"/>
      <c r="N2005" s="23" t="s">
        <v>200</v>
      </c>
      <c r="O2005" s="23" t="s">
        <v>200</v>
      </c>
      <c r="P2005" s="24"/>
      <c r="Q2005" s="23"/>
      <c r="R2005" s="25"/>
      <c r="S2005" s="26"/>
      <c r="T2005" s="16" t="b">
        <v>0</v>
      </c>
    </row>
    <row r="2006">
      <c r="A2006" s="4"/>
      <c r="B2006" s="5"/>
      <c r="C2006" s="13"/>
      <c r="D2006" s="39"/>
      <c r="E2006" s="7"/>
      <c r="F2006" s="34"/>
      <c r="G2006" s="8">
        <v>1899.0</v>
      </c>
      <c r="H2006" s="9"/>
      <c r="I2006" s="9"/>
      <c r="J2006" s="9"/>
      <c r="K2006" s="4"/>
      <c r="L2006" s="10"/>
      <c r="M2006" s="54"/>
      <c r="N2006" s="12" t="s">
        <v>200</v>
      </c>
      <c r="O2006" s="12" t="s">
        <v>200</v>
      </c>
      <c r="P2006" s="13"/>
      <c r="Q2006" s="12"/>
      <c r="R2006" s="14"/>
      <c r="S2006" s="15"/>
      <c r="T2006" s="4" t="b">
        <v>0</v>
      </c>
    </row>
    <row r="2007">
      <c r="A2007" s="16"/>
      <c r="B2007" s="17"/>
      <c r="C2007" s="24"/>
      <c r="D2007" s="44"/>
      <c r="E2007" s="19"/>
      <c r="F2007" s="35"/>
      <c r="G2007" s="20">
        <v>1899.0</v>
      </c>
      <c r="H2007" s="21"/>
      <c r="I2007" s="21"/>
      <c r="J2007" s="21"/>
      <c r="K2007" s="16"/>
      <c r="L2007" s="22"/>
      <c r="M2007" s="55"/>
      <c r="N2007" s="23" t="s">
        <v>200</v>
      </c>
      <c r="O2007" s="23" t="s">
        <v>200</v>
      </c>
      <c r="P2007" s="24"/>
      <c r="Q2007" s="23"/>
      <c r="R2007" s="25"/>
      <c r="S2007" s="26"/>
      <c r="T2007" s="16" t="b">
        <v>0</v>
      </c>
    </row>
    <row r="2008">
      <c r="A2008" s="4"/>
      <c r="B2008" s="5"/>
      <c r="C2008" s="13"/>
      <c r="D2008" s="39"/>
      <c r="E2008" s="7"/>
      <c r="F2008" s="34"/>
      <c r="G2008" s="8">
        <v>1899.0</v>
      </c>
      <c r="H2008" s="9"/>
      <c r="I2008" s="9"/>
      <c r="J2008" s="9"/>
      <c r="K2008" s="4"/>
      <c r="L2008" s="10"/>
      <c r="M2008" s="54"/>
      <c r="N2008" s="12" t="s">
        <v>200</v>
      </c>
      <c r="O2008" s="12" t="s">
        <v>200</v>
      </c>
      <c r="P2008" s="13"/>
      <c r="Q2008" s="12"/>
      <c r="R2008" s="14"/>
      <c r="S2008" s="15"/>
      <c r="T2008" s="4" t="b">
        <v>0</v>
      </c>
    </row>
    <row r="2009">
      <c r="A2009" s="16"/>
      <c r="B2009" s="17"/>
      <c r="C2009" s="24"/>
      <c r="D2009" s="44"/>
      <c r="E2009" s="19"/>
      <c r="F2009" s="35"/>
      <c r="G2009" s="20">
        <v>1899.0</v>
      </c>
      <c r="H2009" s="21"/>
      <c r="I2009" s="21"/>
      <c r="J2009" s="21"/>
      <c r="K2009" s="16"/>
      <c r="L2009" s="22"/>
      <c r="M2009" s="55"/>
      <c r="N2009" s="23" t="s">
        <v>200</v>
      </c>
      <c r="O2009" s="23" t="s">
        <v>200</v>
      </c>
      <c r="P2009" s="24"/>
      <c r="Q2009" s="23"/>
      <c r="R2009" s="25"/>
      <c r="S2009" s="26"/>
      <c r="T2009" s="16" t="b">
        <v>0</v>
      </c>
    </row>
    <row r="2010">
      <c r="A2010" s="4"/>
      <c r="B2010" s="5"/>
      <c r="C2010" s="13"/>
      <c r="D2010" s="39"/>
      <c r="E2010" s="7"/>
      <c r="F2010" s="34"/>
      <c r="G2010" s="8">
        <v>1899.0</v>
      </c>
      <c r="H2010" s="9"/>
      <c r="I2010" s="9"/>
      <c r="J2010" s="9"/>
      <c r="K2010" s="4"/>
      <c r="L2010" s="10"/>
      <c r="M2010" s="54"/>
      <c r="N2010" s="12" t="s">
        <v>200</v>
      </c>
      <c r="O2010" s="12" t="s">
        <v>200</v>
      </c>
      <c r="P2010" s="13"/>
      <c r="Q2010" s="12"/>
      <c r="R2010" s="14"/>
      <c r="S2010" s="15"/>
      <c r="T2010" s="4" t="b">
        <v>0</v>
      </c>
    </row>
    <row r="2011">
      <c r="A2011" s="16"/>
      <c r="B2011" s="17"/>
      <c r="C2011" s="24"/>
      <c r="D2011" s="44"/>
      <c r="E2011" s="19"/>
      <c r="F2011" s="35"/>
      <c r="G2011" s="20">
        <v>1899.0</v>
      </c>
      <c r="H2011" s="21"/>
      <c r="I2011" s="21"/>
      <c r="J2011" s="21"/>
      <c r="K2011" s="16"/>
      <c r="L2011" s="22"/>
      <c r="M2011" s="55"/>
      <c r="N2011" s="23" t="s">
        <v>200</v>
      </c>
      <c r="O2011" s="23" t="s">
        <v>200</v>
      </c>
      <c r="P2011" s="24"/>
      <c r="Q2011" s="23"/>
      <c r="R2011" s="25"/>
      <c r="S2011" s="26"/>
      <c r="T2011" s="16" t="b">
        <v>0</v>
      </c>
    </row>
    <row r="2012">
      <c r="A2012" s="4"/>
      <c r="B2012" s="5"/>
      <c r="C2012" s="13"/>
      <c r="D2012" s="39"/>
      <c r="E2012" s="7"/>
      <c r="F2012" s="34"/>
      <c r="G2012" s="8">
        <v>1899.0</v>
      </c>
      <c r="H2012" s="9"/>
      <c r="I2012" s="9"/>
      <c r="J2012" s="9"/>
      <c r="K2012" s="4"/>
      <c r="L2012" s="10"/>
      <c r="M2012" s="54"/>
      <c r="N2012" s="12" t="s">
        <v>200</v>
      </c>
      <c r="O2012" s="12" t="s">
        <v>200</v>
      </c>
      <c r="P2012" s="13"/>
      <c r="Q2012" s="12"/>
      <c r="R2012" s="14"/>
      <c r="S2012" s="15"/>
      <c r="T2012" s="4" t="b">
        <v>0</v>
      </c>
    </row>
    <row r="2013">
      <c r="A2013" s="16"/>
      <c r="B2013" s="17"/>
      <c r="C2013" s="24"/>
      <c r="D2013" s="44"/>
      <c r="E2013" s="19"/>
      <c r="F2013" s="35"/>
      <c r="G2013" s="20">
        <v>1899.0</v>
      </c>
      <c r="H2013" s="21"/>
      <c r="I2013" s="21"/>
      <c r="J2013" s="21"/>
      <c r="K2013" s="16"/>
      <c r="L2013" s="22"/>
      <c r="M2013" s="55"/>
      <c r="N2013" s="23" t="s">
        <v>200</v>
      </c>
      <c r="O2013" s="23" t="s">
        <v>200</v>
      </c>
      <c r="P2013" s="24"/>
      <c r="Q2013" s="23"/>
      <c r="R2013" s="25"/>
      <c r="S2013" s="26"/>
      <c r="T2013" s="16" t="b">
        <v>0</v>
      </c>
    </row>
    <row r="2014">
      <c r="A2014" s="4"/>
      <c r="B2014" s="5"/>
      <c r="C2014" s="13"/>
      <c r="D2014" s="39"/>
      <c r="E2014" s="7"/>
      <c r="F2014" s="34"/>
      <c r="G2014" s="8">
        <v>1899.0</v>
      </c>
      <c r="H2014" s="9"/>
      <c r="I2014" s="9"/>
      <c r="J2014" s="9"/>
      <c r="K2014" s="4"/>
      <c r="L2014" s="10"/>
      <c r="M2014" s="54"/>
      <c r="N2014" s="12" t="s">
        <v>200</v>
      </c>
      <c r="O2014" s="12" t="s">
        <v>200</v>
      </c>
      <c r="P2014" s="13"/>
      <c r="Q2014" s="12"/>
      <c r="R2014" s="14"/>
      <c r="S2014" s="15"/>
      <c r="T2014" s="4" t="b">
        <v>0</v>
      </c>
    </row>
    <row r="2015">
      <c r="A2015" s="16"/>
      <c r="B2015" s="17"/>
      <c r="C2015" s="24"/>
      <c r="D2015" s="44"/>
      <c r="E2015" s="19"/>
      <c r="F2015" s="35"/>
      <c r="G2015" s="20">
        <v>1899.0</v>
      </c>
      <c r="H2015" s="21"/>
      <c r="I2015" s="21"/>
      <c r="J2015" s="21"/>
      <c r="K2015" s="16"/>
      <c r="L2015" s="22"/>
      <c r="M2015" s="55"/>
      <c r="N2015" s="23" t="s">
        <v>200</v>
      </c>
      <c r="O2015" s="23" t="s">
        <v>200</v>
      </c>
      <c r="P2015" s="24"/>
      <c r="Q2015" s="23"/>
      <c r="R2015" s="25"/>
      <c r="S2015" s="26"/>
      <c r="T2015" s="16" t="b">
        <v>0</v>
      </c>
    </row>
    <row r="2016">
      <c r="A2016" s="4"/>
      <c r="B2016" s="5"/>
      <c r="C2016" s="13"/>
      <c r="D2016" s="39"/>
      <c r="E2016" s="7"/>
      <c r="F2016" s="34"/>
      <c r="G2016" s="8">
        <v>1899.0</v>
      </c>
      <c r="H2016" s="9"/>
      <c r="I2016" s="9"/>
      <c r="J2016" s="9"/>
      <c r="K2016" s="4"/>
      <c r="L2016" s="10"/>
      <c r="M2016" s="54"/>
      <c r="N2016" s="12" t="s">
        <v>200</v>
      </c>
      <c r="O2016" s="12" t="s">
        <v>200</v>
      </c>
      <c r="P2016" s="13"/>
      <c r="Q2016" s="12"/>
      <c r="R2016" s="14"/>
      <c r="S2016" s="15"/>
      <c r="T2016" s="4" t="b">
        <v>0</v>
      </c>
    </row>
    <row r="2017">
      <c r="A2017" s="16"/>
      <c r="B2017" s="17"/>
      <c r="C2017" s="24"/>
      <c r="D2017" s="44"/>
      <c r="E2017" s="19"/>
      <c r="F2017" s="35"/>
      <c r="G2017" s="20">
        <v>1899.0</v>
      </c>
      <c r="H2017" s="21"/>
      <c r="I2017" s="21"/>
      <c r="J2017" s="21"/>
      <c r="K2017" s="16"/>
      <c r="L2017" s="22"/>
      <c r="M2017" s="55"/>
      <c r="N2017" s="23" t="s">
        <v>200</v>
      </c>
      <c r="O2017" s="23" t="s">
        <v>200</v>
      </c>
      <c r="P2017" s="24"/>
      <c r="Q2017" s="23"/>
      <c r="R2017" s="25"/>
      <c r="S2017" s="26"/>
      <c r="T2017" s="16" t="b">
        <v>0</v>
      </c>
    </row>
    <row r="2018">
      <c r="A2018" s="4"/>
      <c r="B2018" s="5"/>
      <c r="C2018" s="13"/>
      <c r="D2018" s="39"/>
      <c r="E2018" s="7"/>
      <c r="F2018" s="34"/>
      <c r="G2018" s="8">
        <v>1899.0</v>
      </c>
      <c r="H2018" s="9"/>
      <c r="I2018" s="9"/>
      <c r="J2018" s="9"/>
      <c r="K2018" s="4"/>
      <c r="L2018" s="10"/>
      <c r="M2018" s="54"/>
      <c r="N2018" s="12" t="s">
        <v>200</v>
      </c>
      <c r="O2018" s="12" t="s">
        <v>200</v>
      </c>
      <c r="P2018" s="13"/>
      <c r="Q2018" s="12"/>
      <c r="R2018" s="14"/>
      <c r="S2018" s="15"/>
      <c r="T2018" s="4" t="b">
        <v>0</v>
      </c>
    </row>
    <row r="2019">
      <c r="A2019" s="16"/>
      <c r="B2019" s="17"/>
      <c r="C2019" s="24"/>
      <c r="D2019" s="44"/>
      <c r="E2019" s="19"/>
      <c r="F2019" s="35"/>
      <c r="G2019" s="20">
        <v>1899.0</v>
      </c>
      <c r="H2019" s="21"/>
      <c r="I2019" s="21"/>
      <c r="J2019" s="21"/>
      <c r="K2019" s="16"/>
      <c r="L2019" s="22"/>
      <c r="M2019" s="55"/>
      <c r="N2019" s="23" t="s">
        <v>200</v>
      </c>
      <c r="O2019" s="23" t="s">
        <v>200</v>
      </c>
      <c r="P2019" s="24"/>
      <c r="Q2019" s="23"/>
      <c r="R2019" s="25"/>
      <c r="S2019" s="26"/>
      <c r="T2019" s="16" t="b">
        <v>0</v>
      </c>
    </row>
    <row r="2020">
      <c r="A2020" s="4"/>
      <c r="B2020" s="5"/>
      <c r="C2020" s="13"/>
      <c r="D2020" s="39"/>
      <c r="E2020" s="7"/>
      <c r="F2020" s="34"/>
      <c r="G2020" s="8">
        <v>1899.0</v>
      </c>
      <c r="H2020" s="9"/>
      <c r="I2020" s="9"/>
      <c r="J2020" s="9"/>
      <c r="K2020" s="4"/>
      <c r="L2020" s="10"/>
      <c r="M2020" s="54"/>
      <c r="N2020" s="12" t="s">
        <v>200</v>
      </c>
      <c r="O2020" s="12" t="s">
        <v>200</v>
      </c>
      <c r="P2020" s="13"/>
      <c r="Q2020" s="12"/>
      <c r="R2020" s="14"/>
      <c r="S2020" s="15"/>
      <c r="T2020" s="4" t="b">
        <v>0</v>
      </c>
    </row>
    <row r="2021">
      <c r="A2021" s="16"/>
      <c r="B2021" s="17"/>
      <c r="C2021" s="24"/>
      <c r="D2021" s="44"/>
      <c r="E2021" s="19"/>
      <c r="F2021" s="35"/>
      <c r="G2021" s="20">
        <v>1899.0</v>
      </c>
      <c r="H2021" s="21"/>
      <c r="I2021" s="21"/>
      <c r="J2021" s="21"/>
      <c r="K2021" s="16"/>
      <c r="L2021" s="22"/>
      <c r="M2021" s="55"/>
      <c r="N2021" s="23" t="s">
        <v>200</v>
      </c>
      <c r="O2021" s="23" t="s">
        <v>200</v>
      </c>
      <c r="P2021" s="24"/>
      <c r="Q2021" s="23"/>
      <c r="R2021" s="25"/>
      <c r="S2021" s="26"/>
      <c r="T2021" s="16" t="b">
        <v>0</v>
      </c>
    </row>
    <row r="2022">
      <c r="A2022" s="4"/>
      <c r="B2022" s="5"/>
      <c r="C2022" s="13"/>
      <c r="D2022" s="39"/>
      <c r="E2022" s="7"/>
      <c r="F2022" s="34"/>
      <c r="G2022" s="8">
        <v>1899.0</v>
      </c>
      <c r="H2022" s="9"/>
      <c r="I2022" s="9"/>
      <c r="J2022" s="9"/>
      <c r="K2022" s="4"/>
      <c r="L2022" s="10"/>
      <c r="M2022" s="54"/>
      <c r="N2022" s="12" t="s">
        <v>200</v>
      </c>
      <c r="O2022" s="12" t="s">
        <v>200</v>
      </c>
      <c r="P2022" s="13"/>
      <c r="Q2022" s="12"/>
      <c r="R2022" s="14"/>
      <c r="S2022" s="15"/>
      <c r="T2022" s="4" t="b">
        <v>0</v>
      </c>
    </row>
    <row r="2023">
      <c r="A2023" s="16"/>
      <c r="B2023" s="17"/>
      <c r="C2023" s="24"/>
      <c r="D2023" s="44"/>
      <c r="E2023" s="19"/>
      <c r="F2023" s="35"/>
      <c r="G2023" s="20">
        <v>1899.0</v>
      </c>
      <c r="H2023" s="21"/>
      <c r="I2023" s="21"/>
      <c r="J2023" s="21"/>
      <c r="K2023" s="16"/>
      <c r="L2023" s="22"/>
      <c r="M2023" s="55"/>
      <c r="N2023" s="23" t="s">
        <v>200</v>
      </c>
      <c r="O2023" s="23" t="s">
        <v>200</v>
      </c>
      <c r="P2023" s="24"/>
      <c r="Q2023" s="23"/>
      <c r="R2023" s="25"/>
      <c r="S2023" s="26"/>
      <c r="T2023" s="16" t="b">
        <v>0</v>
      </c>
    </row>
    <row r="2024">
      <c r="A2024" s="4"/>
      <c r="B2024" s="5"/>
      <c r="C2024" s="13"/>
      <c r="D2024" s="39"/>
      <c r="E2024" s="7"/>
      <c r="F2024" s="34"/>
      <c r="G2024" s="8">
        <v>1899.0</v>
      </c>
      <c r="H2024" s="9"/>
      <c r="I2024" s="9"/>
      <c r="J2024" s="9"/>
      <c r="K2024" s="4"/>
      <c r="L2024" s="10"/>
      <c r="M2024" s="54"/>
      <c r="N2024" s="12" t="s">
        <v>200</v>
      </c>
      <c r="O2024" s="12" t="s">
        <v>200</v>
      </c>
      <c r="P2024" s="13"/>
      <c r="Q2024" s="12"/>
      <c r="R2024" s="14"/>
      <c r="S2024" s="15"/>
      <c r="T2024" s="4" t="b">
        <v>0</v>
      </c>
    </row>
    <row r="2025">
      <c r="A2025" s="16"/>
      <c r="B2025" s="17"/>
      <c r="C2025" s="24"/>
      <c r="D2025" s="44"/>
      <c r="E2025" s="19"/>
      <c r="F2025" s="35"/>
      <c r="G2025" s="20">
        <v>1899.0</v>
      </c>
      <c r="H2025" s="21"/>
      <c r="I2025" s="21"/>
      <c r="J2025" s="21"/>
      <c r="K2025" s="16"/>
      <c r="L2025" s="22"/>
      <c r="M2025" s="55"/>
      <c r="N2025" s="23" t="s">
        <v>200</v>
      </c>
      <c r="O2025" s="23" t="s">
        <v>200</v>
      </c>
      <c r="P2025" s="24"/>
      <c r="Q2025" s="23"/>
      <c r="R2025" s="25"/>
      <c r="S2025" s="26"/>
      <c r="T2025" s="16" t="b">
        <v>0</v>
      </c>
    </row>
    <row r="2026">
      <c r="A2026" s="4"/>
      <c r="B2026" s="5"/>
      <c r="C2026" s="13"/>
      <c r="D2026" s="39"/>
      <c r="E2026" s="7"/>
      <c r="F2026" s="34"/>
      <c r="G2026" s="8">
        <v>1899.0</v>
      </c>
      <c r="H2026" s="9"/>
      <c r="I2026" s="9"/>
      <c r="J2026" s="9"/>
      <c r="K2026" s="4"/>
      <c r="L2026" s="10"/>
      <c r="M2026" s="54"/>
      <c r="N2026" s="12" t="s">
        <v>200</v>
      </c>
      <c r="O2026" s="12" t="s">
        <v>200</v>
      </c>
      <c r="P2026" s="13"/>
      <c r="Q2026" s="12"/>
      <c r="R2026" s="14"/>
      <c r="S2026" s="15"/>
      <c r="T2026" s="4" t="b">
        <v>0</v>
      </c>
    </row>
    <row r="2027">
      <c r="A2027" s="16"/>
      <c r="B2027" s="17"/>
      <c r="C2027" s="24"/>
      <c r="D2027" s="44"/>
      <c r="E2027" s="19"/>
      <c r="F2027" s="35"/>
      <c r="G2027" s="20">
        <v>1899.0</v>
      </c>
      <c r="H2027" s="21"/>
      <c r="I2027" s="21"/>
      <c r="J2027" s="21"/>
      <c r="K2027" s="16"/>
      <c r="L2027" s="22"/>
      <c r="M2027" s="55"/>
      <c r="N2027" s="23" t="s">
        <v>200</v>
      </c>
      <c r="O2027" s="23" t="s">
        <v>200</v>
      </c>
      <c r="P2027" s="24"/>
      <c r="Q2027" s="23"/>
      <c r="R2027" s="25"/>
      <c r="S2027" s="26"/>
      <c r="T2027" s="16" t="b">
        <v>0</v>
      </c>
    </row>
    <row r="2028">
      <c r="A2028" s="4"/>
      <c r="B2028" s="5"/>
      <c r="C2028" s="13"/>
      <c r="D2028" s="39"/>
      <c r="E2028" s="7"/>
      <c r="F2028" s="34"/>
      <c r="G2028" s="8">
        <v>1899.0</v>
      </c>
      <c r="H2028" s="9"/>
      <c r="I2028" s="9"/>
      <c r="J2028" s="9"/>
      <c r="K2028" s="4"/>
      <c r="L2028" s="10"/>
      <c r="M2028" s="54"/>
      <c r="N2028" s="12" t="s">
        <v>200</v>
      </c>
      <c r="O2028" s="12" t="s">
        <v>200</v>
      </c>
      <c r="P2028" s="13"/>
      <c r="Q2028" s="12"/>
      <c r="R2028" s="14"/>
      <c r="S2028" s="15"/>
      <c r="T2028" s="4" t="b">
        <v>0</v>
      </c>
    </row>
    <row r="2029">
      <c r="A2029" s="16"/>
      <c r="B2029" s="17"/>
      <c r="C2029" s="24"/>
      <c r="D2029" s="44"/>
      <c r="E2029" s="19"/>
      <c r="F2029" s="35"/>
      <c r="G2029" s="20">
        <v>1899.0</v>
      </c>
      <c r="H2029" s="21"/>
      <c r="I2029" s="21"/>
      <c r="J2029" s="21"/>
      <c r="K2029" s="16"/>
      <c r="L2029" s="22"/>
      <c r="M2029" s="55"/>
      <c r="N2029" s="23" t="s">
        <v>200</v>
      </c>
      <c r="O2029" s="23" t="s">
        <v>200</v>
      </c>
      <c r="P2029" s="24"/>
      <c r="Q2029" s="23"/>
      <c r="R2029" s="25"/>
      <c r="S2029" s="26"/>
      <c r="T2029" s="16" t="b">
        <v>0</v>
      </c>
    </row>
    <row r="2030">
      <c r="A2030" s="4"/>
      <c r="B2030" s="5"/>
      <c r="C2030" s="13"/>
      <c r="D2030" s="39"/>
      <c r="E2030" s="7"/>
      <c r="F2030" s="34"/>
      <c r="G2030" s="8">
        <v>1899.0</v>
      </c>
      <c r="H2030" s="9"/>
      <c r="I2030" s="9"/>
      <c r="J2030" s="9"/>
      <c r="K2030" s="4"/>
      <c r="L2030" s="10"/>
      <c r="M2030" s="54"/>
      <c r="N2030" s="12" t="s">
        <v>200</v>
      </c>
      <c r="O2030" s="12" t="s">
        <v>200</v>
      </c>
      <c r="P2030" s="13"/>
      <c r="Q2030" s="12"/>
      <c r="R2030" s="14"/>
      <c r="S2030" s="15"/>
      <c r="T2030" s="4" t="b">
        <v>0</v>
      </c>
    </row>
    <row r="2031">
      <c r="A2031" s="16"/>
      <c r="B2031" s="17"/>
      <c r="C2031" s="24"/>
      <c r="D2031" s="44"/>
      <c r="E2031" s="19"/>
      <c r="F2031" s="35"/>
      <c r="G2031" s="20">
        <v>1899.0</v>
      </c>
      <c r="H2031" s="21"/>
      <c r="I2031" s="21"/>
      <c r="J2031" s="21"/>
      <c r="K2031" s="16"/>
      <c r="L2031" s="22"/>
      <c r="M2031" s="55"/>
      <c r="N2031" s="23" t="s">
        <v>200</v>
      </c>
      <c r="O2031" s="23" t="s">
        <v>200</v>
      </c>
      <c r="P2031" s="24"/>
      <c r="Q2031" s="23"/>
      <c r="R2031" s="25"/>
      <c r="S2031" s="26"/>
      <c r="T2031" s="16" t="b">
        <v>0</v>
      </c>
    </row>
    <row r="2032">
      <c r="A2032" s="4"/>
      <c r="B2032" s="5"/>
      <c r="C2032" s="13"/>
      <c r="D2032" s="39"/>
      <c r="E2032" s="7"/>
      <c r="F2032" s="34"/>
      <c r="G2032" s="8">
        <v>1899.0</v>
      </c>
      <c r="H2032" s="9"/>
      <c r="I2032" s="9"/>
      <c r="J2032" s="9"/>
      <c r="K2032" s="4"/>
      <c r="L2032" s="10"/>
      <c r="M2032" s="54"/>
      <c r="N2032" s="12" t="s">
        <v>200</v>
      </c>
      <c r="O2032" s="12" t="s">
        <v>200</v>
      </c>
      <c r="P2032" s="13"/>
      <c r="Q2032" s="12"/>
      <c r="R2032" s="14"/>
      <c r="S2032" s="15"/>
      <c r="T2032" s="4" t="b">
        <v>0</v>
      </c>
    </row>
    <row r="2033">
      <c r="A2033" s="16"/>
      <c r="B2033" s="17"/>
      <c r="C2033" s="24"/>
      <c r="D2033" s="44"/>
      <c r="E2033" s="19"/>
      <c r="F2033" s="35"/>
      <c r="G2033" s="20">
        <v>1899.0</v>
      </c>
      <c r="H2033" s="21"/>
      <c r="I2033" s="21"/>
      <c r="J2033" s="21"/>
      <c r="K2033" s="16"/>
      <c r="L2033" s="22"/>
      <c r="M2033" s="55"/>
      <c r="N2033" s="23" t="s">
        <v>200</v>
      </c>
      <c r="O2033" s="23" t="s">
        <v>200</v>
      </c>
      <c r="P2033" s="24"/>
      <c r="Q2033" s="23"/>
      <c r="R2033" s="25"/>
      <c r="S2033" s="26"/>
      <c r="T2033" s="16" t="b">
        <v>0</v>
      </c>
    </row>
    <row r="2034">
      <c r="A2034" s="4"/>
      <c r="B2034" s="5"/>
      <c r="C2034" s="13"/>
      <c r="D2034" s="39"/>
      <c r="E2034" s="7"/>
      <c r="F2034" s="34"/>
      <c r="G2034" s="8">
        <v>1899.0</v>
      </c>
      <c r="H2034" s="9"/>
      <c r="I2034" s="9"/>
      <c r="J2034" s="9"/>
      <c r="K2034" s="4"/>
      <c r="L2034" s="10"/>
      <c r="M2034" s="54"/>
      <c r="N2034" s="12" t="s">
        <v>200</v>
      </c>
      <c r="O2034" s="12" t="s">
        <v>200</v>
      </c>
      <c r="P2034" s="13"/>
      <c r="Q2034" s="12"/>
      <c r="R2034" s="14"/>
      <c r="S2034" s="15"/>
      <c r="T2034" s="4" t="b">
        <v>0</v>
      </c>
    </row>
    <row r="2035">
      <c r="A2035" s="16"/>
      <c r="B2035" s="17"/>
      <c r="C2035" s="24"/>
      <c r="D2035" s="44"/>
      <c r="E2035" s="19"/>
      <c r="F2035" s="35"/>
      <c r="G2035" s="20">
        <v>1899.0</v>
      </c>
      <c r="H2035" s="21"/>
      <c r="I2035" s="21"/>
      <c r="J2035" s="21"/>
      <c r="K2035" s="16"/>
      <c r="L2035" s="22"/>
      <c r="M2035" s="55"/>
      <c r="N2035" s="23" t="s">
        <v>200</v>
      </c>
      <c r="O2035" s="23" t="s">
        <v>200</v>
      </c>
      <c r="P2035" s="24"/>
      <c r="Q2035" s="23"/>
      <c r="R2035" s="25"/>
      <c r="S2035" s="26"/>
      <c r="T2035" s="16" t="b">
        <v>0</v>
      </c>
    </row>
    <row r="2036">
      <c r="A2036" s="4"/>
      <c r="B2036" s="5"/>
      <c r="C2036" s="13"/>
      <c r="D2036" s="39"/>
      <c r="E2036" s="7"/>
      <c r="F2036" s="34"/>
      <c r="G2036" s="8">
        <v>1899.0</v>
      </c>
      <c r="H2036" s="9"/>
      <c r="I2036" s="9"/>
      <c r="J2036" s="9"/>
      <c r="K2036" s="4"/>
      <c r="L2036" s="10"/>
      <c r="M2036" s="54"/>
      <c r="N2036" s="12" t="s">
        <v>200</v>
      </c>
      <c r="O2036" s="12" t="s">
        <v>200</v>
      </c>
      <c r="P2036" s="13"/>
      <c r="Q2036" s="12"/>
      <c r="R2036" s="14"/>
      <c r="S2036" s="15"/>
      <c r="T2036" s="4" t="b">
        <v>0</v>
      </c>
    </row>
    <row r="2037">
      <c r="A2037" s="16"/>
      <c r="B2037" s="17"/>
      <c r="C2037" s="24"/>
      <c r="D2037" s="44"/>
      <c r="E2037" s="19"/>
      <c r="F2037" s="35"/>
      <c r="G2037" s="20">
        <v>1899.0</v>
      </c>
      <c r="H2037" s="21"/>
      <c r="I2037" s="21"/>
      <c r="J2037" s="21"/>
      <c r="K2037" s="16"/>
      <c r="L2037" s="22"/>
      <c r="M2037" s="55"/>
      <c r="N2037" s="23" t="s">
        <v>200</v>
      </c>
      <c r="O2037" s="23" t="s">
        <v>200</v>
      </c>
      <c r="P2037" s="24"/>
      <c r="Q2037" s="23"/>
      <c r="R2037" s="25"/>
      <c r="S2037" s="26"/>
      <c r="T2037" s="16" t="b">
        <v>0</v>
      </c>
    </row>
    <row r="2038">
      <c r="A2038" s="4"/>
      <c r="B2038" s="5"/>
      <c r="C2038" s="13"/>
      <c r="D2038" s="39"/>
      <c r="E2038" s="7"/>
      <c r="F2038" s="34"/>
      <c r="G2038" s="8">
        <v>1899.0</v>
      </c>
      <c r="H2038" s="9"/>
      <c r="I2038" s="9"/>
      <c r="J2038" s="9"/>
      <c r="K2038" s="4"/>
      <c r="L2038" s="10"/>
      <c r="M2038" s="54"/>
      <c r="N2038" s="12" t="s">
        <v>200</v>
      </c>
      <c r="O2038" s="12" t="s">
        <v>200</v>
      </c>
      <c r="P2038" s="13"/>
      <c r="Q2038" s="12"/>
      <c r="R2038" s="14"/>
      <c r="S2038" s="15"/>
      <c r="T2038" s="4" t="b">
        <v>0</v>
      </c>
    </row>
    <row r="2039">
      <c r="A2039" s="16"/>
      <c r="B2039" s="17"/>
      <c r="C2039" s="24"/>
      <c r="D2039" s="44"/>
      <c r="E2039" s="19"/>
      <c r="F2039" s="35"/>
      <c r="G2039" s="20">
        <v>1899.0</v>
      </c>
      <c r="H2039" s="21"/>
      <c r="I2039" s="21"/>
      <c r="J2039" s="21"/>
      <c r="K2039" s="16"/>
      <c r="L2039" s="22"/>
      <c r="M2039" s="55"/>
      <c r="N2039" s="23" t="s">
        <v>200</v>
      </c>
      <c r="O2039" s="23" t="s">
        <v>200</v>
      </c>
      <c r="P2039" s="24"/>
      <c r="Q2039" s="23"/>
      <c r="R2039" s="25"/>
      <c r="S2039" s="26"/>
      <c r="T2039" s="16" t="b">
        <v>0</v>
      </c>
    </row>
    <row r="2040">
      <c r="A2040" s="4"/>
      <c r="B2040" s="5"/>
      <c r="C2040" s="13"/>
      <c r="D2040" s="39"/>
      <c r="E2040" s="7"/>
      <c r="F2040" s="34"/>
      <c r="G2040" s="8">
        <v>1899.0</v>
      </c>
      <c r="H2040" s="9"/>
      <c r="I2040" s="9"/>
      <c r="J2040" s="9"/>
      <c r="K2040" s="4"/>
      <c r="L2040" s="10"/>
      <c r="M2040" s="54"/>
      <c r="N2040" s="12" t="s">
        <v>200</v>
      </c>
      <c r="O2040" s="12" t="s">
        <v>200</v>
      </c>
      <c r="P2040" s="13"/>
      <c r="Q2040" s="12"/>
      <c r="R2040" s="14"/>
      <c r="S2040" s="15"/>
      <c r="T2040" s="4" t="b">
        <v>0</v>
      </c>
    </row>
    <row r="2041">
      <c r="A2041" s="16"/>
      <c r="B2041" s="17"/>
      <c r="C2041" s="24"/>
      <c r="D2041" s="44"/>
      <c r="E2041" s="19"/>
      <c r="F2041" s="35"/>
      <c r="G2041" s="20">
        <v>1899.0</v>
      </c>
      <c r="H2041" s="21"/>
      <c r="I2041" s="21"/>
      <c r="J2041" s="21"/>
      <c r="K2041" s="16"/>
      <c r="L2041" s="22"/>
      <c r="M2041" s="55"/>
      <c r="N2041" s="23" t="s">
        <v>200</v>
      </c>
      <c r="O2041" s="23" t="s">
        <v>200</v>
      </c>
      <c r="P2041" s="24"/>
      <c r="Q2041" s="23"/>
      <c r="R2041" s="25"/>
      <c r="S2041" s="26"/>
      <c r="T2041" s="16" t="b">
        <v>0</v>
      </c>
    </row>
    <row r="2042">
      <c r="A2042" s="4"/>
      <c r="B2042" s="5"/>
      <c r="C2042" s="13"/>
      <c r="D2042" s="39"/>
      <c r="E2042" s="7"/>
      <c r="F2042" s="34"/>
      <c r="G2042" s="8">
        <v>1899.0</v>
      </c>
      <c r="H2042" s="9"/>
      <c r="I2042" s="9"/>
      <c r="J2042" s="9"/>
      <c r="K2042" s="4"/>
      <c r="L2042" s="10"/>
      <c r="M2042" s="54"/>
      <c r="N2042" s="12" t="s">
        <v>200</v>
      </c>
      <c r="O2042" s="12" t="s">
        <v>200</v>
      </c>
      <c r="P2042" s="13"/>
      <c r="Q2042" s="12"/>
      <c r="R2042" s="14"/>
      <c r="S2042" s="15"/>
      <c r="T2042" s="4" t="b">
        <v>0</v>
      </c>
    </row>
    <row r="2043">
      <c r="A2043" s="16"/>
      <c r="B2043" s="17"/>
      <c r="C2043" s="24"/>
      <c r="D2043" s="44"/>
      <c r="E2043" s="19"/>
      <c r="F2043" s="35"/>
      <c r="G2043" s="20">
        <v>1899.0</v>
      </c>
      <c r="H2043" s="21"/>
      <c r="I2043" s="21"/>
      <c r="J2043" s="21"/>
      <c r="K2043" s="16"/>
      <c r="L2043" s="22"/>
      <c r="M2043" s="55"/>
      <c r="N2043" s="23" t="s">
        <v>200</v>
      </c>
      <c r="O2043" s="23" t="s">
        <v>200</v>
      </c>
      <c r="P2043" s="24"/>
      <c r="Q2043" s="23"/>
      <c r="R2043" s="25"/>
      <c r="S2043" s="26"/>
      <c r="T2043" s="16" t="b">
        <v>0</v>
      </c>
    </row>
    <row r="2044">
      <c r="A2044" s="4"/>
      <c r="B2044" s="5"/>
      <c r="C2044" s="13"/>
      <c r="D2044" s="39"/>
      <c r="E2044" s="7"/>
      <c r="F2044" s="34"/>
      <c r="G2044" s="8">
        <v>1899.0</v>
      </c>
      <c r="H2044" s="9"/>
      <c r="I2044" s="9"/>
      <c r="J2044" s="9"/>
      <c r="K2044" s="4"/>
      <c r="L2044" s="10"/>
      <c r="M2044" s="54"/>
      <c r="N2044" s="12" t="s">
        <v>200</v>
      </c>
      <c r="O2044" s="12" t="s">
        <v>200</v>
      </c>
      <c r="P2044" s="13"/>
      <c r="Q2044" s="12"/>
      <c r="R2044" s="14"/>
      <c r="S2044" s="15"/>
      <c r="T2044" s="4" t="b">
        <v>0</v>
      </c>
    </row>
    <row r="2045">
      <c r="A2045" s="16"/>
      <c r="B2045" s="17"/>
      <c r="C2045" s="24"/>
      <c r="D2045" s="44"/>
      <c r="E2045" s="19"/>
      <c r="F2045" s="35"/>
      <c r="G2045" s="20">
        <v>1899.0</v>
      </c>
      <c r="H2045" s="21"/>
      <c r="I2045" s="21"/>
      <c r="J2045" s="21"/>
      <c r="K2045" s="16"/>
      <c r="L2045" s="22"/>
      <c r="M2045" s="55"/>
      <c r="N2045" s="23" t="s">
        <v>200</v>
      </c>
      <c r="O2045" s="23" t="s">
        <v>200</v>
      </c>
      <c r="P2045" s="24"/>
      <c r="Q2045" s="23"/>
      <c r="R2045" s="25"/>
      <c r="S2045" s="26"/>
      <c r="T2045" s="16" t="b">
        <v>0</v>
      </c>
    </row>
    <row r="2046">
      <c r="A2046" s="4"/>
      <c r="B2046" s="5"/>
      <c r="C2046" s="13"/>
      <c r="D2046" s="39"/>
      <c r="E2046" s="7"/>
      <c r="F2046" s="34"/>
      <c r="G2046" s="8">
        <v>1899.0</v>
      </c>
      <c r="H2046" s="9"/>
      <c r="I2046" s="9"/>
      <c r="J2046" s="9"/>
      <c r="K2046" s="4"/>
      <c r="L2046" s="10"/>
      <c r="M2046" s="54"/>
      <c r="N2046" s="12" t="s">
        <v>200</v>
      </c>
      <c r="O2046" s="12" t="s">
        <v>200</v>
      </c>
      <c r="P2046" s="13"/>
      <c r="Q2046" s="12"/>
      <c r="R2046" s="14"/>
      <c r="S2046" s="15"/>
      <c r="T2046" s="4" t="b">
        <v>0</v>
      </c>
    </row>
    <row r="2047">
      <c r="A2047" s="16"/>
      <c r="B2047" s="17"/>
      <c r="C2047" s="24"/>
      <c r="D2047" s="44"/>
      <c r="E2047" s="19"/>
      <c r="F2047" s="35"/>
      <c r="G2047" s="20">
        <v>1899.0</v>
      </c>
      <c r="H2047" s="21"/>
      <c r="I2047" s="21"/>
      <c r="J2047" s="21"/>
      <c r="K2047" s="16"/>
      <c r="L2047" s="22"/>
      <c r="M2047" s="55"/>
      <c r="N2047" s="23" t="s">
        <v>200</v>
      </c>
      <c r="O2047" s="23" t="s">
        <v>200</v>
      </c>
      <c r="P2047" s="24"/>
      <c r="Q2047" s="23"/>
      <c r="R2047" s="25"/>
      <c r="S2047" s="26"/>
      <c r="T2047" s="16" t="b">
        <v>0</v>
      </c>
    </row>
    <row r="2048">
      <c r="A2048" s="4"/>
      <c r="B2048" s="5"/>
      <c r="C2048" s="13"/>
      <c r="D2048" s="39"/>
      <c r="E2048" s="7"/>
      <c r="F2048" s="34"/>
      <c r="G2048" s="8">
        <v>1899.0</v>
      </c>
      <c r="H2048" s="9"/>
      <c r="I2048" s="9"/>
      <c r="J2048" s="9"/>
      <c r="K2048" s="4"/>
      <c r="L2048" s="10"/>
      <c r="M2048" s="54"/>
      <c r="N2048" s="12" t="s">
        <v>200</v>
      </c>
      <c r="O2048" s="12" t="s">
        <v>200</v>
      </c>
      <c r="P2048" s="13"/>
      <c r="Q2048" s="12"/>
      <c r="R2048" s="14"/>
      <c r="S2048" s="15"/>
      <c r="T2048" s="4" t="b">
        <v>0</v>
      </c>
    </row>
    <row r="2049">
      <c r="A2049" s="16"/>
      <c r="B2049" s="17"/>
      <c r="C2049" s="24"/>
      <c r="D2049" s="44"/>
      <c r="E2049" s="19"/>
      <c r="F2049" s="35"/>
      <c r="G2049" s="20">
        <v>1899.0</v>
      </c>
      <c r="H2049" s="21"/>
      <c r="I2049" s="21"/>
      <c r="J2049" s="21"/>
      <c r="K2049" s="16"/>
      <c r="L2049" s="22"/>
      <c r="M2049" s="55"/>
      <c r="N2049" s="23" t="s">
        <v>200</v>
      </c>
      <c r="O2049" s="23" t="s">
        <v>200</v>
      </c>
      <c r="P2049" s="24"/>
      <c r="Q2049" s="23"/>
      <c r="R2049" s="25"/>
      <c r="S2049" s="26"/>
      <c r="T2049" s="16" t="b">
        <v>0</v>
      </c>
    </row>
    <row r="2050">
      <c r="A2050" s="4"/>
      <c r="B2050" s="5"/>
      <c r="C2050" s="13"/>
      <c r="D2050" s="39"/>
      <c r="E2050" s="7"/>
      <c r="F2050" s="34"/>
      <c r="G2050" s="8">
        <v>1899.0</v>
      </c>
      <c r="H2050" s="9"/>
      <c r="I2050" s="9"/>
      <c r="J2050" s="9"/>
      <c r="K2050" s="4"/>
      <c r="L2050" s="10"/>
      <c r="M2050" s="54"/>
      <c r="N2050" s="12" t="s">
        <v>200</v>
      </c>
      <c r="O2050" s="12" t="s">
        <v>200</v>
      </c>
      <c r="P2050" s="13"/>
      <c r="Q2050" s="12"/>
      <c r="R2050" s="14"/>
      <c r="S2050" s="15"/>
      <c r="T2050" s="4" t="b">
        <v>0</v>
      </c>
    </row>
    <row r="2051">
      <c r="A2051" s="16"/>
      <c r="B2051" s="17"/>
      <c r="C2051" s="24"/>
      <c r="D2051" s="44"/>
      <c r="E2051" s="19"/>
      <c r="F2051" s="35"/>
      <c r="G2051" s="20">
        <v>1899.0</v>
      </c>
      <c r="H2051" s="21"/>
      <c r="I2051" s="21"/>
      <c r="J2051" s="21"/>
      <c r="K2051" s="16"/>
      <c r="L2051" s="22"/>
      <c r="M2051" s="55"/>
      <c r="N2051" s="23" t="s">
        <v>200</v>
      </c>
      <c r="O2051" s="23" t="s">
        <v>200</v>
      </c>
      <c r="P2051" s="24"/>
      <c r="Q2051" s="23"/>
      <c r="R2051" s="25"/>
      <c r="S2051" s="26"/>
      <c r="T2051" s="16" t="b">
        <v>0</v>
      </c>
    </row>
    <row r="2052">
      <c r="A2052" s="4"/>
      <c r="B2052" s="5"/>
      <c r="C2052" s="13"/>
      <c r="D2052" s="39"/>
      <c r="E2052" s="7"/>
      <c r="F2052" s="34"/>
      <c r="G2052" s="8">
        <v>1899.0</v>
      </c>
      <c r="H2052" s="9"/>
      <c r="I2052" s="9"/>
      <c r="J2052" s="9"/>
      <c r="K2052" s="4"/>
      <c r="L2052" s="10"/>
      <c r="M2052" s="54"/>
      <c r="N2052" s="12" t="s">
        <v>200</v>
      </c>
      <c r="O2052" s="12" t="s">
        <v>200</v>
      </c>
      <c r="P2052" s="13"/>
      <c r="Q2052" s="12"/>
      <c r="R2052" s="14"/>
      <c r="S2052" s="15"/>
      <c r="T2052" s="4" t="b">
        <v>0</v>
      </c>
    </row>
    <row r="2053">
      <c r="A2053" s="16"/>
      <c r="B2053" s="17"/>
      <c r="C2053" s="24"/>
      <c r="D2053" s="44"/>
      <c r="E2053" s="19"/>
      <c r="F2053" s="35"/>
      <c r="G2053" s="20">
        <v>1899.0</v>
      </c>
      <c r="H2053" s="21"/>
      <c r="I2053" s="21"/>
      <c r="J2053" s="21"/>
      <c r="K2053" s="16"/>
      <c r="L2053" s="22"/>
      <c r="M2053" s="55"/>
      <c r="N2053" s="23" t="s">
        <v>200</v>
      </c>
      <c r="O2053" s="23" t="s">
        <v>200</v>
      </c>
      <c r="P2053" s="24"/>
      <c r="Q2053" s="23"/>
      <c r="R2053" s="25"/>
      <c r="S2053" s="26"/>
      <c r="T2053" s="16" t="b">
        <v>0</v>
      </c>
    </row>
    <row r="2054">
      <c r="A2054" s="4"/>
      <c r="B2054" s="5"/>
      <c r="C2054" s="13"/>
      <c r="D2054" s="39"/>
      <c r="E2054" s="7"/>
      <c r="F2054" s="34"/>
      <c r="G2054" s="8">
        <v>1899.0</v>
      </c>
      <c r="H2054" s="9"/>
      <c r="I2054" s="9"/>
      <c r="J2054" s="9"/>
      <c r="K2054" s="4"/>
      <c r="L2054" s="10"/>
      <c r="M2054" s="54"/>
      <c r="N2054" s="12" t="s">
        <v>200</v>
      </c>
      <c r="O2054" s="12" t="s">
        <v>200</v>
      </c>
      <c r="P2054" s="13"/>
      <c r="Q2054" s="12"/>
      <c r="R2054" s="14"/>
      <c r="S2054" s="15"/>
      <c r="T2054" s="4" t="b">
        <v>0</v>
      </c>
    </row>
    <row r="2055">
      <c r="A2055" s="16"/>
      <c r="B2055" s="17"/>
      <c r="C2055" s="24"/>
      <c r="D2055" s="44"/>
      <c r="E2055" s="19"/>
      <c r="F2055" s="35"/>
      <c r="G2055" s="20">
        <v>1899.0</v>
      </c>
      <c r="H2055" s="21"/>
      <c r="I2055" s="21"/>
      <c r="J2055" s="21"/>
      <c r="K2055" s="16"/>
      <c r="L2055" s="22"/>
      <c r="M2055" s="55"/>
      <c r="N2055" s="23" t="s">
        <v>200</v>
      </c>
      <c r="O2055" s="23" t="s">
        <v>200</v>
      </c>
      <c r="P2055" s="24"/>
      <c r="Q2055" s="23"/>
      <c r="R2055" s="25"/>
      <c r="S2055" s="26"/>
      <c r="T2055" s="16" t="b">
        <v>0</v>
      </c>
    </row>
    <row r="2056">
      <c r="A2056" s="4"/>
      <c r="B2056" s="5"/>
      <c r="C2056" s="13"/>
      <c r="D2056" s="39"/>
      <c r="E2056" s="7"/>
      <c r="F2056" s="34"/>
      <c r="G2056" s="8">
        <v>1899.0</v>
      </c>
      <c r="H2056" s="9"/>
      <c r="I2056" s="9"/>
      <c r="J2056" s="9"/>
      <c r="K2056" s="4"/>
      <c r="L2056" s="10"/>
      <c r="M2056" s="54"/>
      <c r="N2056" s="12" t="s">
        <v>200</v>
      </c>
      <c r="O2056" s="12" t="s">
        <v>200</v>
      </c>
      <c r="P2056" s="13"/>
      <c r="Q2056" s="12"/>
      <c r="R2056" s="14"/>
      <c r="S2056" s="15"/>
      <c r="T2056" s="4" t="b">
        <v>0</v>
      </c>
    </row>
    <row r="2057">
      <c r="A2057" s="16"/>
      <c r="B2057" s="17"/>
      <c r="C2057" s="24"/>
      <c r="D2057" s="44"/>
      <c r="E2057" s="19"/>
      <c r="F2057" s="35"/>
      <c r="G2057" s="20">
        <v>1899.0</v>
      </c>
      <c r="H2057" s="21"/>
      <c r="I2057" s="21"/>
      <c r="J2057" s="21"/>
      <c r="K2057" s="16"/>
      <c r="L2057" s="22"/>
      <c r="M2057" s="55"/>
      <c r="N2057" s="23" t="s">
        <v>200</v>
      </c>
      <c r="O2057" s="23" t="s">
        <v>200</v>
      </c>
      <c r="P2057" s="24"/>
      <c r="Q2057" s="23"/>
      <c r="R2057" s="25"/>
      <c r="S2057" s="26"/>
      <c r="T2057" s="16" t="b">
        <v>0</v>
      </c>
    </row>
    <row r="2058">
      <c r="A2058" s="4"/>
      <c r="B2058" s="5"/>
      <c r="C2058" s="13"/>
      <c r="D2058" s="39"/>
      <c r="E2058" s="7"/>
      <c r="F2058" s="34"/>
      <c r="G2058" s="8">
        <v>1899.0</v>
      </c>
      <c r="H2058" s="9"/>
      <c r="I2058" s="9"/>
      <c r="J2058" s="9"/>
      <c r="K2058" s="4"/>
      <c r="L2058" s="10"/>
      <c r="M2058" s="54"/>
      <c r="N2058" s="12" t="s">
        <v>200</v>
      </c>
      <c r="O2058" s="12" t="s">
        <v>200</v>
      </c>
      <c r="P2058" s="13"/>
      <c r="Q2058" s="12"/>
      <c r="R2058" s="14"/>
      <c r="S2058" s="15"/>
      <c r="T2058" s="4" t="b">
        <v>0</v>
      </c>
    </row>
    <row r="2059">
      <c r="A2059" s="16"/>
      <c r="B2059" s="17"/>
      <c r="C2059" s="24"/>
      <c r="D2059" s="44"/>
      <c r="E2059" s="19"/>
      <c r="F2059" s="35"/>
      <c r="G2059" s="20">
        <v>1899.0</v>
      </c>
      <c r="H2059" s="21"/>
      <c r="I2059" s="21"/>
      <c r="J2059" s="21"/>
      <c r="K2059" s="16"/>
      <c r="L2059" s="22"/>
      <c r="M2059" s="55"/>
      <c r="N2059" s="23" t="s">
        <v>200</v>
      </c>
      <c r="O2059" s="23" t="s">
        <v>200</v>
      </c>
      <c r="P2059" s="24"/>
      <c r="Q2059" s="23"/>
      <c r="R2059" s="25"/>
      <c r="S2059" s="26"/>
      <c r="T2059" s="16" t="b">
        <v>0</v>
      </c>
    </row>
    <row r="2060">
      <c r="A2060" s="4"/>
      <c r="B2060" s="5"/>
      <c r="C2060" s="13"/>
      <c r="D2060" s="39"/>
      <c r="E2060" s="7"/>
      <c r="F2060" s="34"/>
      <c r="G2060" s="8">
        <v>1899.0</v>
      </c>
      <c r="H2060" s="9"/>
      <c r="I2060" s="9"/>
      <c r="J2060" s="9"/>
      <c r="K2060" s="4"/>
      <c r="L2060" s="10"/>
      <c r="M2060" s="54"/>
      <c r="N2060" s="12" t="s">
        <v>200</v>
      </c>
      <c r="O2060" s="12" t="s">
        <v>200</v>
      </c>
      <c r="P2060" s="13"/>
      <c r="Q2060" s="12"/>
      <c r="R2060" s="14"/>
      <c r="S2060" s="15"/>
      <c r="T2060" s="4" t="b">
        <v>0</v>
      </c>
    </row>
    <row r="2061">
      <c r="A2061" s="16"/>
      <c r="B2061" s="17"/>
      <c r="C2061" s="24"/>
      <c r="D2061" s="44"/>
      <c r="E2061" s="19"/>
      <c r="F2061" s="35"/>
      <c r="G2061" s="20">
        <v>1899.0</v>
      </c>
      <c r="H2061" s="21"/>
      <c r="I2061" s="21"/>
      <c r="J2061" s="21"/>
      <c r="K2061" s="16"/>
      <c r="L2061" s="22"/>
      <c r="M2061" s="55"/>
      <c r="N2061" s="23" t="s">
        <v>200</v>
      </c>
      <c r="O2061" s="23" t="s">
        <v>200</v>
      </c>
      <c r="P2061" s="24"/>
      <c r="Q2061" s="23"/>
      <c r="R2061" s="25"/>
      <c r="S2061" s="26"/>
      <c r="T2061" s="16" t="b">
        <v>0</v>
      </c>
    </row>
    <row r="2062">
      <c r="A2062" s="4"/>
      <c r="B2062" s="5"/>
      <c r="C2062" s="13"/>
      <c r="D2062" s="39"/>
      <c r="E2062" s="7"/>
      <c r="F2062" s="34"/>
      <c r="G2062" s="8">
        <v>1899.0</v>
      </c>
      <c r="H2062" s="9"/>
      <c r="I2062" s="9"/>
      <c r="J2062" s="9"/>
      <c r="K2062" s="4"/>
      <c r="L2062" s="10"/>
      <c r="M2062" s="54"/>
      <c r="N2062" s="12" t="s">
        <v>200</v>
      </c>
      <c r="O2062" s="12" t="s">
        <v>200</v>
      </c>
      <c r="P2062" s="13"/>
      <c r="Q2062" s="12"/>
      <c r="R2062" s="14"/>
      <c r="S2062" s="15"/>
      <c r="T2062" s="4" t="b">
        <v>0</v>
      </c>
    </row>
    <row r="2063">
      <c r="A2063" s="16"/>
      <c r="B2063" s="17"/>
      <c r="C2063" s="24"/>
      <c r="D2063" s="44"/>
      <c r="E2063" s="19"/>
      <c r="F2063" s="35"/>
      <c r="G2063" s="20">
        <v>1899.0</v>
      </c>
      <c r="H2063" s="21"/>
      <c r="I2063" s="21"/>
      <c r="J2063" s="21"/>
      <c r="K2063" s="16"/>
      <c r="L2063" s="22"/>
      <c r="M2063" s="55"/>
      <c r="N2063" s="23" t="s">
        <v>200</v>
      </c>
      <c r="O2063" s="23" t="s">
        <v>200</v>
      </c>
      <c r="P2063" s="24"/>
      <c r="Q2063" s="23"/>
      <c r="R2063" s="25"/>
      <c r="S2063" s="26"/>
      <c r="T2063" s="16" t="b">
        <v>0</v>
      </c>
    </row>
    <row r="2064">
      <c r="A2064" s="4"/>
      <c r="B2064" s="5"/>
      <c r="C2064" s="13"/>
      <c r="D2064" s="39"/>
      <c r="E2064" s="7"/>
      <c r="F2064" s="34"/>
      <c r="G2064" s="8">
        <v>1899.0</v>
      </c>
      <c r="H2064" s="9"/>
      <c r="I2064" s="9"/>
      <c r="J2064" s="9"/>
      <c r="K2064" s="4"/>
      <c r="L2064" s="10"/>
      <c r="M2064" s="54"/>
      <c r="N2064" s="12" t="s">
        <v>200</v>
      </c>
      <c r="O2064" s="12" t="s">
        <v>200</v>
      </c>
      <c r="P2064" s="13"/>
      <c r="Q2064" s="12"/>
      <c r="R2064" s="14"/>
      <c r="S2064" s="15"/>
      <c r="T2064" s="4" t="b">
        <v>0</v>
      </c>
    </row>
    <row r="2065">
      <c r="A2065" s="16"/>
      <c r="B2065" s="17"/>
      <c r="C2065" s="24"/>
      <c r="D2065" s="44"/>
      <c r="E2065" s="19"/>
      <c r="F2065" s="35"/>
      <c r="G2065" s="20">
        <v>1899.0</v>
      </c>
      <c r="H2065" s="21"/>
      <c r="I2065" s="21"/>
      <c r="J2065" s="21"/>
      <c r="K2065" s="16"/>
      <c r="L2065" s="22"/>
      <c r="M2065" s="55"/>
      <c r="N2065" s="23" t="s">
        <v>200</v>
      </c>
      <c r="O2065" s="23" t="s">
        <v>200</v>
      </c>
      <c r="P2065" s="24"/>
      <c r="Q2065" s="23"/>
      <c r="R2065" s="25"/>
      <c r="S2065" s="26"/>
      <c r="T2065" s="16" t="b">
        <v>0</v>
      </c>
    </row>
    <row r="2066">
      <c r="A2066" s="4"/>
      <c r="B2066" s="5"/>
      <c r="C2066" s="13"/>
      <c r="D2066" s="39"/>
      <c r="E2066" s="7"/>
      <c r="F2066" s="34"/>
      <c r="G2066" s="8">
        <v>1899.0</v>
      </c>
      <c r="H2066" s="9"/>
      <c r="I2066" s="9"/>
      <c r="J2066" s="9"/>
      <c r="K2066" s="4"/>
      <c r="L2066" s="10"/>
      <c r="M2066" s="54"/>
      <c r="N2066" s="12" t="s">
        <v>200</v>
      </c>
      <c r="O2066" s="12" t="s">
        <v>200</v>
      </c>
      <c r="P2066" s="13"/>
      <c r="Q2066" s="12"/>
      <c r="R2066" s="14"/>
      <c r="S2066" s="15"/>
      <c r="T2066" s="4" t="b">
        <v>0</v>
      </c>
    </row>
    <row r="2067">
      <c r="A2067" s="16"/>
      <c r="B2067" s="17"/>
      <c r="C2067" s="24"/>
      <c r="D2067" s="44"/>
      <c r="E2067" s="19"/>
      <c r="F2067" s="35"/>
      <c r="G2067" s="20">
        <v>1899.0</v>
      </c>
      <c r="H2067" s="21"/>
      <c r="I2067" s="21"/>
      <c r="J2067" s="21"/>
      <c r="K2067" s="16"/>
      <c r="L2067" s="22"/>
      <c r="M2067" s="55"/>
      <c r="N2067" s="23" t="s">
        <v>200</v>
      </c>
      <c r="O2067" s="23" t="s">
        <v>200</v>
      </c>
      <c r="P2067" s="24"/>
      <c r="Q2067" s="23"/>
      <c r="R2067" s="25"/>
      <c r="S2067" s="26"/>
      <c r="T2067" s="16" t="b">
        <v>0</v>
      </c>
    </row>
    <row r="2068">
      <c r="A2068" s="4"/>
      <c r="B2068" s="5"/>
      <c r="C2068" s="13"/>
      <c r="D2068" s="39"/>
      <c r="E2068" s="7"/>
      <c r="F2068" s="34"/>
      <c r="G2068" s="8">
        <v>1899.0</v>
      </c>
      <c r="H2068" s="9"/>
      <c r="I2068" s="9"/>
      <c r="J2068" s="9"/>
      <c r="K2068" s="4"/>
      <c r="L2068" s="10"/>
      <c r="M2068" s="54"/>
      <c r="N2068" s="12" t="s">
        <v>200</v>
      </c>
      <c r="O2068" s="12" t="s">
        <v>200</v>
      </c>
      <c r="P2068" s="13"/>
      <c r="Q2068" s="12"/>
      <c r="R2068" s="14"/>
      <c r="S2068" s="15"/>
      <c r="T2068" s="4" t="b">
        <v>0</v>
      </c>
    </row>
    <row r="2069">
      <c r="A2069" s="16"/>
      <c r="B2069" s="17"/>
      <c r="C2069" s="24"/>
      <c r="D2069" s="44"/>
      <c r="E2069" s="19"/>
      <c r="F2069" s="35"/>
      <c r="G2069" s="20">
        <v>1899.0</v>
      </c>
      <c r="H2069" s="21"/>
      <c r="I2069" s="21"/>
      <c r="J2069" s="21"/>
      <c r="K2069" s="16"/>
      <c r="L2069" s="22"/>
      <c r="M2069" s="55"/>
      <c r="N2069" s="23" t="s">
        <v>200</v>
      </c>
      <c r="O2069" s="23" t="s">
        <v>200</v>
      </c>
      <c r="P2069" s="24"/>
      <c r="Q2069" s="23"/>
      <c r="R2069" s="25"/>
      <c r="S2069" s="26"/>
      <c r="T2069" s="16" t="b">
        <v>0</v>
      </c>
    </row>
    <row r="2070">
      <c r="A2070" s="4"/>
      <c r="B2070" s="5"/>
      <c r="C2070" s="13"/>
      <c r="D2070" s="39"/>
      <c r="E2070" s="7"/>
      <c r="F2070" s="34"/>
      <c r="G2070" s="8">
        <v>1899.0</v>
      </c>
      <c r="H2070" s="9"/>
      <c r="I2070" s="9"/>
      <c r="J2070" s="9"/>
      <c r="K2070" s="4"/>
      <c r="L2070" s="10"/>
      <c r="M2070" s="54"/>
      <c r="N2070" s="12" t="s">
        <v>200</v>
      </c>
      <c r="O2070" s="12" t="s">
        <v>200</v>
      </c>
      <c r="P2070" s="13"/>
      <c r="Q2070" s="12"/>
      <c r="R2070" s="14"/>
      <c r="S2070" s="15"/>
      <c r="T2070" s="4" t="b">
        <v>0</v>
      </c>
    </row>
    <row r="2071">
      <c r="A2071" s="16"/>
      <c r="B2071" s="17"/>
      <c r="C2071" s="24"/>
      <c r="D2071" s="44"/>
      <c r="E2071" s="19"/>
      <c r="F2071" s="35"/>
      <c r="G2071" s="20">
        <v>1899.0</v>
      </c>
      <c r="H2071" s="21"/>
      <c r="I2071" s="21"/>
      <c r="J2071" s="21"/>
      <c r="K2071" s="16"/>
      <c r="L2071" s="22"/>
      <c r="M2071" s="55"/>
      <c r="N2071" s="23" t="s">
        <v>200</v>
      </c>
      <c r="O2071" s="23" t="s">
        <v>200</v>
      </c>
      <c r="P2071" s="24"/>
      <c r="Q2071" s="23"/>
      <c r="R2071" s="25"/>
      <c r="S2071" s="26"/>
      <c r="T2071" s="16" t="b">
        <v>0</v>
      </c>
    </row>
    <row r="2072">
      <c r="A2072" s="4"/>
      <c r="B2072" s="5"/>
      <c r="C2072" s="13"/>
      <c r="D2072" s="39"/>
      <c r="E2072" s="7"/>
      <c r="F2072" s="34"/>
      <c r="G2072" s="8">
        <v>1899.0</v>
      </c>
      <c r="H2072" s="9"/>
      <c r="I2072" s="9"/>
      <c r="J2072" s="9"/>
      <c r="K2072" s="4"/>
      <c r="L2072" s="10"/>
      <c r="M2072" s="54"/>
      <c r="N2072" s="12" t="s">
        <v>200</v>
      </c>
      <c r="O2072" s="12" t="s">
        <v>200</v>
      </c>
      <c r="P2072" s="13"/>
      <c r="Q2072" s="12"/>
      <c r="R2072" s="14"/>
      <c r="S2072" s="15"/>
      <c r="T2072" s="4" t="b">
        <v>0</v>
      </c>
    </row>
    <row r="2073">
      <c r="A2073" s="16"/>
      <c r="B2073" s="17"/>
      <c r="C2073" s="24"/>
      <c r="D2073" s="44"/>
      <c r="E2073" s="19"/>
      <c r="F2073" s="35"/>
      <c r="G2073" s="20">
        <v>1899.0</v>
      </c>
      <c r="H2073" s="21"/>
      <c r="I2073" s="21"/>
      <c r="J2073" s="21"/>
      <c r="K2073" s="16"/>
      <c r="L2073" s="22"/>
      <c r="M2073" s="55"/>
      <c r="N2073" s="23" t="s">
        <v>200</v>
      </c>
      <c r="O2073" s="23" t="s">
        <v>200</v>
      </c>
      <c r="P2073" s="24"/>
      <c r="Q2073" s="23"/>
      <c r="R2073" s="25"/>
      <c r="S2073" s="26"/>
      <c r="T2073" s="16" t="b">
        <v>0</v>
      </c>
    </row>
    <row r="2074">
      <c r="A2074" s="4"/>
      <c r="B2074" s="5"/>
      <c r="C2074" s="13"/>
      <c r="D2074" s="39"/>
      <c r="E2074" s="7"/>
      <c r="F2074" s="34"/>
      <c r="G2074" s="8">
        <v>1899.0</v>
      </c>
      <c r="H2074" s="9"/>
      <c r="I2074" s="9"/>
      <c r="J2074" s="9"/>
      <c r="K2074" s="4"/>
      <c r="L2074" s="10"/>
      <c r="M2074" s="54"/>
      <c r="N2074" s="12" t="s">
        <v>200</v>
      </c>
      <c r="O2074" s="12" t="s">
        <v>200</v>
      </c>
      <c r="P2074" s="13"/>
      <c r="Q2074" s="12"/>
      <c r="R2074" s="14"/>
      <c r="S2074" s="15"/>
      <c r="T2074" s="4" t="b">
        <v>0</v>
      </c>
    </row>
    <row r="2075">
      <c r="A2075" s="16"/>
      <c r="B2075" s="17"/>
      <c r="C2075" s="24"/>
      <c r="D2075" s="44"/>
      <c r="E2075" s="19"/>
      <c r="F2075" s="35"/>
      <c r="G2075" s="20">
        <v>1899.0</v>
      </c>
      <c r="H2075" s="21"/>
      <c r="I2075" s="21"/>
      <c r="J2075" s="21"/>
      <c r="K2075" s="16"/>
      <c r="L2075" s="22"/>
      <c r="M2075" s="55"/>
      <c r="N2075" s="23" t="s">
        <v>200</v>
      </c>
      <c r="O2075" s="23" t="s">
        <v>200</v>
      </c>
      <c r="P2075" s="24"/>
      <c r="Q2075" s="23"/>
      <c r="R2075" s="25"/>
      <c r="S2075" s="26"/>
      <c r="T2075" s="16" t="b">
        <v>0</v>
      </c>
    </row>
    <row r="2076">
      <c r="A2076" s="4"/>
      <c r="B2076" s="5"/>
      <c r="C2076" s="13"/>
      <c r="D2076" s="39"/>
      <c r="E2076" s="7"/>
      <c r="F2076" s="34"/>
      <c r="G2076" s="8">
        <v>1899.0</v>
      </c>
      <c r="H2076" s="9"/>
      <c r="I2076" s="9"/>
      <c r="J2076" s="9"/>
      <c r="K2076" s="4"/>
      <c r="L2076" s="10"/>
      <c r="M2076" s="54"/>
      <c r="N2076" s="12" t="s">
        <v>200</v>
      </c>
      <c r="O2076" s="12" t="s">
        <v>200</v>
      </c>
      <c r="P2076" s="13"/>
      <c r="Q2076" s="12"/>
      <c r="R2076" s="14"/>
      <c r="S2076" s="15"/>
      <c r="T2076" s="4" t="b">
        <v>0</v>
      </c>
    </row>
    <row r="2077">
      <c r="A2077" s="16"/>
      <c r="B2077" s="17"/>
      <c r="C2077" s="24"/>
      <c r="D2077" s="44"/>
      <c r="E2077" s="19"/>
      <c r="F2077" s="35"/>
      <c r="G2077" s="20">
        <v>1899.0</v>
      </c>
      <c r="H2077" s="21"/>
      <c r="I2077" s="21"/>
      <c r="J2077" s="21"/>
      <c r="K2077" s="16"/>
      <c r="L2077" s="22"/>
      <c r="M2077" s="55"/>
      <c r="N2077" s="23" t="s">
        <v>200</v>
      </c>
      <c r="O2077" s="23" t="s">
        <v>200</v>
      </c>
      <c r="P2077" s="24"/>
      <c r="Q2077" s="23"/>
      <c r="R2077" s="25"/>
      <c r="S2077" s="26"/>
      <c r="T2077" s="16" t="b">
        <v>0</v>
      </c>
    </row>
    <row r="2078">
      <c r="A2078" s="4"/>
      <c r="B2078" s="5"/>
      <c r="C2078" s="13"/>
      <c r="D2078" s="39"/>
      <c r="E2078" s="7"/>
      <c r="F2078" s="34"/>
      <c r="G2078" s="8">
        <v>1899.0</v>
      </c>
      <c r="H2078" s="9"/>
      <c r="I2078" s="9"/>
      <c r="J2078" s="9"/>
      <c r="K2078" s="4"/>
      <c r="L2078" s="10"/>
      <c r="M2078" s="54"/>
      <c r="N2078" s="12" t="s">
        <v>200</v>
      </c>
      <c r="O2078" s="12" t="s">
        <v>200</v>
      </c>
      <c r="P2078" s="13"/>
      <c r="Q2078" s="12"/>
      <c r="R2078" s="14"/>
      <c r="S2078" s="15"/>
      <c r="T2078" s="4" t="b">
        <v>0</v>
      </c>
    </row>
    <row r="2079">
      <c r="A2079" s="16"/>
      <c r="B2079" s="17"/>
      <c r="C2079" s="24"/>
      <c r="D2079" s="44"/>
      <c r="E2079" s="19"/>
      <c r="F2079" s="35"/>
      <c r="G2079" s="20">
        <v>1899.0</v>
      </c>
      <c r="H2079" s="21"/>
      <c r="I2079" s="21"/>
      <c r="J2079" s="21"/>
      <c r="K2079" s="16"/>
      <c r="L2079" s="22"/>
      <c r="M2079" s="55"/>
      <c r="N2079" s="23" t="s">
        <v>200</v>
      </c>
      <c r="O2079" s="23" t="s">
        <v>200</v>
      </c>
      <c r="P2079" s="24"/>
      <c r="Q2079" s="23"/>
      <c r="R2079" s="25"/>
      <c r="S2079" s="26"/>
      <c r="T2079" s="16" t="b">
        <v>0</v>
      </c>
    </row>
    <row r="2080">
      <c r="A2080" s="4"/>
      <c r="B2080" s="5"/>
      <c r="C2080" s="13"/>
      <c r="D2080" s="39"/>
      <c r="E2080" s="7"/>
      <c r="F2080" s="34"/>
      <c r="G2080" s="8">
        <v>1899.0</v>
      </c>
      <c r="H2080" s="9"/>
      <c r="I2080" s="9"/>
      <c r="J2080" s="9"/>
      <c r="K2080" s="4"/>
      <c r="L2080" s="10"/>
      <c r="M2080" s="54"/>
      <c r="N2080" s="12" t="s">
        <v>200</v>
      </c>
      <c r="O2080" s="12" t="s">
        <v>200</v>
      </c>
      <c r="P2080" s="13"/>
      <c r="Q2080" s="12"/>
      <c r="R2080" s="14"/>
      <c r="S2080" s="15"/>
      <c r="T2080" s="4" t="b">
        <v>0</v>
      </c>
    </row>
    <row r="2081">
      <c r="A2081" s="16"/>
      <c r="B2081" s="17"/>
      <c r="C2081" s="24"/>
      <c r="D2081" s="44"/>
      <c r="E2081" s="19"/>
      <c r="F2081" s="35"/>
      <c r="G2081" s="20">
        <v>1899.0</v>
      </c>
      <c r="H2081" s="21"/>
      <c r="I2081" s="21"/>
      <c r="J2081" s="21"/>
      <c r="K2081" s="16"/>
      <c r="L2081" s="22"/>
      <c r="M2081" s="55"/>
      <c r="N2081" s="23" t="s">
        <v>200</v>
      </c>
      <c r="O2081" s="23" t="s">
        <v>200</v>
      </c>
      <c r="P2081" s="24"/>
      <c r="Q2081" s="23"/>
      <c r="R2081" s="25"/>
      <c r="S2081" s="26"/>
      <c r="T2081" s="16" t="b">
        <v>0</v>
      </c>
    </row>
    <row r="2082">
      <c r="A2082" s="4"/>
      <c r="B2082" s="5"/>
      <c r="C2082" s="13"/>
      <c r="D2082" s="39"/>
      <c r="E2082" s="7"/>
      <c r="F2082" s="34"/>
      <c r="G2082" s="8">
        <v>1899.0</v>
      </c>
      <c r="H2082" s="9"/>
      <c r="I2082" s="9"/>
      <c r="J2082" s="9"/>
      <c r="K2082" s="4"/>
      <c r="L2082" s="10"/>
      <c r="M2082" s="54"/>
      <c r="N2082" s="12" t="s">
        <v>200</v>
      </c>
      <c r="O2082" s="12" t="s">
        <v>200</v>
      </c>
      <c r="P2082" s="13"/>
      <c r="Q2082" s="12"/>
      <c r="R2082" s="14"/>
      <c r="S2082" s="15"/>
      <c r="T2082" s="4" t="b">
        <v>0</v>
      </c>
    </row>
    <row r="2083">
      <c r="A2083" s="16"/>
      <c r="B2083" s="17"/>
      <c r="C2083" s="24"/>
      <c r="D2083" s="44"/>
      <c r="E2083" s="19"/>
      <c r="F2083" s="35"/>
      <c r="G2083" s="20">
        <v>1899.0</v>
      </c>
      <c r="H2083" s="21"/>
      <c r="I2083" s="21"/>
      <c r="J2083" s="21"/>
      <c r="K2083" s="16"/>
      <c r="L2083" s="22"/>
      <c r="M2083" s="55"/>
      <c r="N2083" s="23" t="s">
        <v>200</v>
      </c>
      <c r="O2083" s="23" t="s">
        <v>200</v>
      </c>
      <c r="P2083" s="24"/>
      <c r="Q2083" s="23"/>
      <c r="R2083" s="25"/>
      <c r="S2083" s="26"/>
      <c r="T2083" s="16" t="b">
        <v>0</v>
      </c>
    </row>
    <row r="2084">
      <c r="A2084" s="4"/>
      <c r="B2084" s="5"/>
      <c r="C2084" s="13"/>
      <c r="D2084" s="39"/>
      <c r="E2084" s="7"/>
      <c r="F2084" s="34"/>
      <c r="G2084" s="8">
        <v>1899.0</v>
      </c>
      <c r="H2084" s="9"/>
      <c r="I2084" s="9"/>
      <c r="J2084" s="9"/>
      <c r="K2084" s="4"/>
      <c r="L2084" s="10"/>
      <c r="M2084" s="54"/>
      <c r="N2084" s="12" t="s">
        <v>200</v>
      </c>
      <c r="O2084" s="12" t="s">
        <v>200</v>
      </c>
      <c r="P2084" s="13"/>
      <c r="Q2084" s="12"/>
      <c r="R2084" s="14"/>
      <c r="S2084" s="15"/>
      <c r="T2084" s="4" t="b">
        <v>0</v>
      </c>
    </row>
    <row r="2085">
      <c r="A2085" s="16"/>
      <c r="B2085" s="17"/>
      <c r="C2085" s="24"/>
      <c r="D2085" s="44"/>
      <c r="E2085" s="19"/>
      <c r="F2085" s="35"/>
      <c r="G2085" s="20">
        <v>1899.0</v>
      </c>
      <c r="H2085" s="21"/>
      <c r="I2085" s="21"/>
      <c r="J2085" s="21"/>
      <c r="K2085" s="16"/>
      <c r="L2085" s="22"/>
      <c r="M2085" s="55"/>
      <c r="N2085" s="23" t="s">
        <v>200</v>
      </c>
      <c r="O2085" s="23" t="s">
        <v>200</v>
      </c>
      <c r="P2085" s="24"/>
      <c r="Q2085" s="23"/>
      <c r="R2085" s="25"/>
      <c r="S2085" s="26"/>
      <c r="T2085" s="16" t="b">
        <v>0</v>
      </c>
    </row>
    <row r="2086">
      <c r="A2086" s="4"/>
      <c r="B2086" s="5"/>
      <c r="C2086" s="13"/>
      <c r="D2086" s="39"/>
      <c r="E2086" s="7"/>
      <c r="F2086" s="34"/>
      <c r="G2086" s="8">
        <v>1899.0</v>
      </c>
      <c r="H2086" s="9"/>
      <c r="I2086" s="9"/>
      <c r="J2086" s="9"/>
      <c r="K2086" s="4"/>
      <c r="L2086" s="10"/>
      <c r="M2086" s="54"/>
      <c r="N2086" s="12" t="s">
        <v>200</v>
      </c>
      <c r="O2086" s="12" t="s">
        <v>200</v>
      </c>
      <c r="P2086" s="13"/>
      <c r="Q2086" s="12"/>
      <c r="R2086" s="14"/>
      <c r="S2086" s="15"/>
      <c r="T2086" s="4" t="b">
        <v>0</v>
      </c>
    </row>
    <row r="2087">
      <c r="A2087" s="16"/>
      <c r="B2087" s="17"/>
      <c r="C2087" s="24"/>
      <c r="D2087" s="44"/>
      <c r="E2087" s="19"/>
      <c r="F2087" s="35"/>
      <c r="G2087" s="20">
        <v>1899.0</v>
      </c>
      <c r="H2087" s="21"/>
      <c r="I2087" s="21"/>
      <c r="J2087" s="21"/>
      <c r="K2087" s="16"/>
      <c r="L2087" s="22"/>
      <c r="M2087" s="55"/>
      <c r="N2087" s="23" t="s">
        <v>200</v>
      </c>
      <c r="O2087" s="23" t="s">
        <v>200</v>
      </c>
      <c r="P2087" s="24"/>
      <c r="Q2087" s="23"/>
      <c r="R2087" s="25"/>
      <c r="S2087" s="26"/>
      <c r="T2087" s="16" t="b">
        <v>0</v>
      </c>
    </row>
    <row r="2088">
      <c r="A2088" s="4"/>
      <c r="B2088" s="5"/>
      <c r="C2088" s="13"/>
      <c r="D2088" s="39"/>
      <c r="E2088" s="7"/>
      <c r="F2088" s="34"/>
      <c r="G2088" s="8">
        <v>1899.0</v>
      </c>
      <c r="H2088" s="9"/>
      <c r="I2088" s="9"/>
      <c r="J2088" s="9"/>
      <c r="K2088" s="4"/>
      <c r="L2088" s="10"/>
      <c r="M2088" s="54"/>
      <c r="N2088" s="12" t="s">
        <v>200</v>
      </c>
      <c r="O2088" s="12" t="s">
        <v>200</v>
      </c>
      <c r="P2088" s="13"/>
      <c r="Q2088" s="12"/>
      <c r="R2088" s="14"/>
      <c r="S2088" s="15"/>
      <c r="T2088" s="4" t="b">
        <v>0</v>
      </c>
    </row>
    <row r="2089">
      <c r="A2089" s="16"/>
      <c r="B2089" s="17"/>
      <c r="C2089" s="24"/>
      <c r="D2089" s="44"/>
      <c r="E2089" s="19"/>
      <c r="F2089" s="35"/>
      <c r="G2089" s="20">
        <v>1899.0</v>
      </c>
      <c r="H2089" s="21"/>
      <c r="I2089" s="21"/>
      <c r="J2089" s="21"/>
      <c r="K2089" s="16"/>
      <c r="L2089" s="22"/>
      <c r="M2089" s="55"/>
      <c r="N2089" s="23" t="s">
        <v>200</v>
      </c>
      <c r="O2089" s="23" t="s">
        <v>200</v>
      </c>
      <c r="P2089" s="24"/>
      <c r="Q2089" s="23"/>
      <c r="R2089" s="25"/>
      <c r="S2089" s="26"/>
      <c r="T2089" s="16" t="b">
        <v>0</v>
      </c>
    </row>
    <row r="2090">
      <c r="A2090" s="4"/>
      <c r="B2090" s="5"/>
      <c r="C2090" s="13"/>
      <c r="D2090" s="39"/>
      <c r="E2090" s="7"/>
      <c r="F2090" s="34"/>
      <c r="G2090" s="8">
        <v>1899.0</v>
      </c>
      <c r="H2090" s="9"/>
      <c r="I2090" s="9"/>
      <c r="J2090" s="9"/>
      <c r="K2090" s="4"/>
      <c r="L2090" s="10"/>
      <c r="M2090" s="54"/>
      <c r="N2090" s="12" t="s">
        <v>200</v>
      </c>
      <c r="O2090" s="12" t="s">
        <v>200</v>
      </c>
      <c r="P2090" s="13"/>
      <c r="Q2090" s="12"/>
      <c r="R2090" s="14"/>
      <c r="S2090" s="15"/>
      <c r="T2090" s="4" t="b">
        <v>0</v>
      </c>
    </row>
    <row r="2091">
      <c r="A2091" s="16"/>
      <c r="B2091" s="17"/>
      <c r="C2091" s="24"/>
      <c r="D2091" s="44"/>
      <c r="E2091" s="19"/>
      <c r="F2091" s="35"/>
      <c r="G2091" s="20">
        <v>1899.0</v>
      </c>
      <c r="H2091" s="21"/>
      <c r="I2091" s="21"/>
      <c r="J2091" s="21"/>
      <c r="K2091" s="16"/>
      <c r="L2091" s="22"/>
      <c r="M2091" s="55"/>
      <c r="N2091" s="23" t="s">
        <v>200</v>
      </c>
      <c r="O2091" s="23" t="s">
        <v>200</v>
      </c>
      <c r="P2091" s="24"/>
      <c r="Q2091" s="23"/>
      <c r="R2091" s="25"/>
      <c r="S2091" s="26"/>
      <c r="T2091" s="16" t="b">
        <v>0</v>
      </c>
    </row>
    <row r="2092">
      <c r="A2092" s="4"/>
      <c r="B2092" s="5"/>
      <c r="C2092" s="13"/>
      <c r="D2092" s="39"/>
      <c r="E2092" s="7"/>
      <c r="F2092" s="34"/>
      <c r="G2092" s="8">
        <v>1899.0</v>
      </c>
      <c r="H2092" s="9"/>
      <c r="I2092" s="9"/>
      <c r="J2092" s="9"/>
      <c r="K2092" s="4"/>
      <c r="L2092" s="10"/>
      <c r="M2092" s="54"/>
      <c r="N2092" s="12" t="s">
        <v>200</v>
      </c>
      <c r="O2092" s="12" t="s">
        <v>200</v>
      </c>
      <c r="P2092" s="13"/>
      <c r="Q2092" s="12"/>
      <c r="R2092" s="14"/>
      <c r="S2092" s="15"/>
      <c r="T2092" s="4" t="b">
        <v>0</v>
      </c>
    </row>
    <row r="2093">
      <c r="A2093" s="16"/>
      <c r="B2093" s="17"/>
      <c r="C2093" s="24"/>
      <c r="D2093" s="44"/>
      <c r="E2093" s="19"/>
      <c r="F2093" s="35"/>
      <c r="G2093" s="20">
        <v>1899.0</v>
      </c>
      <c r="H2093" s="21"/>
      <c r="I2093" s="21"/>
      <c r="J2093" s="21"/>
      <c r="K2093" s="16"/>
      <c r="L2093" s="22"/>
      <c r="M2093" s="55"/>
      <c r="N2093" s="23" t="s">
        <v>200</v>
      </c>
      <c r="O2093" s="23" t="s">
        <v>200</v>
      </c>
      <c r="P2093" s="24"/>
      <c r="Q2093" s="23"/>
      <c r="R2093" s="25"/>
      <c r="S2093" s="26"/>
      <c r="T2093" s="16" t="b">
        <v>0</v>
      </c>
    </row>
    <row r="2094">
      <c r="A2094" s="4"/>
      <c r="B2094" s="5"/>
      <c r="C2094" s="13"/>
      <c r="D2094" s="39"/>
      <c r="E2094" s="7"/>
      <c r="F2094" s="34"/>
      <c r="G2094" s="8">
        <v>1899.0</v>
      </c>
      <c r="H2094" s="9"/>
      <c r="I2094" s="9"/>
      <c r="J2094" s="9"/>
      <c r="K2094" s="4"/>
      <c r="L2094" s="10"/>
      <c r="M2094" s="54"/>
      <c r="N2094" s="12" t="s">
        <v>200</v>
      </c>
      <c r="O2094" s="12" t="s">
        <v>200</v>
      </c>
      <c r="P2094" s="13"/>
      <c r="Q2094" s="12"/>
      <c r="R2094" s="14"/>
      <c r="S2094" s="15"/>
      <c r="T2094" s="4" t="b">
        <v>0</v>
      </c>
    </row>
    <row r="2095">
      <c r="A2095" s="16"/>
      <c r="B2095" s="17"/>
      <c r="C2095" s="24"/>
      <c r="D2095" s="44"/>
      <c r="E2095" s="19"/>
      <c r="F2095" s="35"/>
      <c r="G2095" s="20">
        <v>1899.0</v>
      </c>
      <c r="H2095" s="21"/>
      <c r="I2095" s="21"/>
      <c r="J2095" s="21"/>
      <c r="K2095" s="16"/>
      <c r="L2095" s="22"/>
      <c r="M2095" s="55"/>
      <c r="N2095" s="23" t="s">
        <v>200</v>
      </c>
      <c r="O2095" s="23" t="s">
        <v>200</v>
      </c>
      <c r="P2095" s="24"/>
      <c r="Q2095" s="23"/>
      <c r="R2095" s="25"/>
      <c r="S2095" s="26"/>
      <c r="T2095" s="16" t="b">
        <v>0</v>
      </c>
    </row>
    <row r="2096">
      <c r="A2096" s="4"/>
      <c r="B2096" s="5"/>
      <c r="C2096" s="13"/>
      <c r="D2096" s="39"/>
      <c r="E2096" s="7"/>
      <c r="F2096" s="34"/>
      <c r="G2096" s="8">
        <v>1899.0</v>
      </c>
      <c r="H2096" s="9"/>
      <c r="I2096" s="9"/>
      <c r="J2096" s="9"/>
      <c r="K2096" s="4"/>
      <c r="L2096" s="10"/>
      <c r="M2096" s="54"/>
      <c r="N2096" s="12" t="s">
        <v>200</v>
      </c>
      <c r="O2096" s="12" t="s">
        <v>200</v>
      </c>
      <c r="P2096" s="13"/>
      <c r="Q2096" s="12"/>
      <c r="R2096" s="14"/>
      <c r="S2096" s="15"/>
      <c r="T2096" s="4" t="b">
        <v>0</v>
      </c>
    </row>
    <row r="2097">
      <c r="A2097" s="16"/>
      <c r="B2097" s="17"/>
      <c r="C2097" s="24"/>
      <c r="D2097" s="44"/>
      <c r="E2097" s="19"/>
      <c r="F2097" s="35"/>
      <c r="G2097" s="20">
        <v>1899.0</v>
      </c>
      <c r="H2097" s="21"/>
      <c r="I2097" s="21"/>
      <c r="J2097" s="21"/>
      <c r="K2097" s="16"/>
      <c r="L2097" s="22"/>
      <c r="M2097" s="55"/>
      <c r="N2097" s="23" t="s">
        <v>200</v>
      </c>
      <c r="O2097" s="23" t="s">
        <v>200</v>
      </c>
      <c r="P2097" s="24"/>
      <c r="Q2097" s="23"/>
      <c r="R2097" s="25"/>
      <c r="S2097" s="26"/>
      <c r="T2097" s="16" t="b">
        <v>0</v>
      </c>
    </row>
    <row r="2098">
      <c r="A2098" s="4"/>
      <c r="B2098" s="5"/>
      <c r="C2098" s="13"/>
      <c r="D2098" s="39"/>
      <c r="E2098" s="7"/>
      <c r="F2098" s="34"/>
      <c r="G2098" s="8">
        <v>1899.0</v>
      </c>
      <c r="H2098" s="9"/>
      <c r="I2098" s="9"/>
      <c r="J2098" s="9"/>
      <c r="K2098" s="4"/>
      <c r="L2098" s="10"/>
      <c r="M2098" s="54"/>
      <c r="N2098" s="12" t="s">
        <v>200</v>
      </c>
      <c r="O2098" s="12" t="s">
        <v>200</v>
      </c>
      <c r="P2098" s="13"/>
      <c r="Q2098" s="12"/>
      <c r="R2098" s="14"/>
      <c r="S2098" s="15"/>
      <c r="T2098" s="4" t="b">
        <v>0</v>
      </c>
    </row>
    <row r="2099">
      <c r="A2099" s="16"/>
      <c r="B2099" s="17"/>
      <c r="C2099" s="24"/>
      <c r="D2099" s="44"/>
      <c r="E2099" s="19"/>
      <c r="F2099" s="35"/>
      <c r="G2099" s="20">
        <v>1899.0</v>
      </c>
      <c r="H2099" s="21"/>
      <c r="I2099" s="21"/>
      <c r="J2099" s="21"/>
      <c r="K2099" s="16"/>
      <c r="L2099" s="22"/>
      <c r="M2099" s="55"/>
      <c r="N2099" s="23" t="s">
        <v>200</v>
      </c>
      <c r="O2099" s="23" t="s">
        <v>200</v>
      </c>
      <c r="P2099" s="24"/>
      <c r="Q2099" s="23"/>
      <c r="R2099" s="25"/>
      <c r="S2099" s="26"/>
      <c r="T2099" s="16" t="b">
        <v>0</v>
      </c>
    </row>
    <row r="2100">
      <c r="A2100" s="4"/>
      <c r="B2100" s="5"/>
      <c r="C2100" s="13"/>
      <c r="D2100" s="39"/>
      <c r="E2100" s="7"/>
      <c r="F2100" s="34"/>
      <c r="G2100" s="8">
        <v>1899.0</v>
      </c>
      <c r="H2100" s="9"/>
      <c r="I2100" s="9"/>
      <c r="J2100" s="9"/>
      <c r="K2100" s="4"/>
      <c r="L2100" s="10"/>
      <c r="M2100" s="54"/>
      <c r="N2100" s="12" t="s">
        <v>200</v>
      </c>
      <c r="O2100" s="12" t="s">
        <v>200</v>
      </c>
      <c r="P2100" s="13"/>
      <c r="Q2100" s="12"/>
      <c r="R2100" s="14"/>
      <c r="S2100" s="15"/>
      <c r="T2100" s="4" t="b">
        <v>0</v>
      </c>
    </row>
    <row r="2101">
      <c r="A2101" s="16"/>
      <c r="B2101" s="17"/>
      <c r="C2101" s="24"/>
      <c r="D2101" s="44"/>
      <c r="E2101" s="19"/>
      <c r="F2101" s="35"/>
      <c r="G2101" s="20">
        <v>1899.0</v>
      </c>
      <c r="H2101" s="21"/>
      <c r="I2101" s="21"/>
      <c r="J2101" s="21"/>
      <c r="K2101" s="16"/>
      <c r="L2101" s="22"/>
      <c r="M2101" s="55"/>
      <c r="N2101" s="23" t="s">
        <v>200</v>
      </c>
      <c r="O2101" s="23" t="s">
        <v>200</v>
      </c>
      <c r="P2101" s="24"/>
      <c r="Q2101" s="23"/>
      <c r="R2101" s="25"/>
      <c r="S2101" s="26"/>
      <c r="T2101" s="16" t="b">
        <v>0</v>
      </c>
    </row>
    <row r="2102">
      <c r="A2102" s="4"/>
      <c r="B2102" s="5"/>
      <c r="C2102" s="13"/>
      <c r="D2102" s="39"/>
      <c r="E2102" s="7"/>
      <c r="F2102" s="34"/>
      <c r="G2102" s="8">
        <v>1899.0</v>
      </c>
      <c r="H2102" s="9"/>
      <c r="I2102" s="9"/>
      <c r="J2102" s="9"/>
      <c r="K2102" s="4"/>
      <c r="L2102" s="10"/>
      <c r="M2102" s="54"/>
      <c r="N2102" s="12" t="s">
        <v>200</v>
      </c>
      <c r="O2102" s="12" t="s">
        <v>200</v>
      </c>
      <c r="P2102" s="13"/>
      <c r="Q2102" s="12"/>
      <c r="R2102" s="14"/>
      <c r="S2102" s="15"/>
      <c r="T2102" s="4" t="b">
        <v>0</v>
      </c>
    </row>
    <row r="2103">
      <c r="A2103" s="16"/>
      <c r="B2103" s="17"/>
      <c r="C2103" s="24"/>
      <c r="D2103" s="44"/>
      <c r="E2103" s="19"/>
      <c r="F2103" s="35"/>
      <c r="G2103" s="20">
        <v>1899.0</v>
      </c>
      <c r="H2103" s="21"/>
      <c r="I2103" s="21"/>
      <c r="J2103" s="21"/>
      <c r="K2103" s="16"/>
      <c r="L2103" s="22"/>
      <c r="M2103" s="55"/>
      <c r="N2103" s="23" t="s">
        <v>200</v>
      </c>
      <c r="O2103" s="23" t="s">
        <v>200</v>
      </c>
      <c r="P2103" s="24"/>
      <c r="Q2103" s="23"/>
      <c r="R2103" s="25"/>
      <c r="S2103" s="26"/>
      <c r="T2103" s="16" t="b">
        <v>0</v>
      </c>
    </row>
    <row r="2104">
      <c r="A2104" s="4"/>
      <c r="B2104" s="5"/>
      <c r="C2104" s="13"/>
      <c r="D2104" s="39"/>
      <c r="E2104" s="7"/>
      <c r="F2104" s="34"/>
      <c r="G2104" s="8">
        <v>1899.0</v>
      </c>
      <c r="H2104" s="9"/>
      <c r="I2104" s="9"/>
      <c r="J2104" s="9"/>
      <c r="K2104" s="4"/>
      <c r="L2104" s="10"/>
      <c r="M2104" s="54"/>
      <c r="N2104" s="12" t="s">
        <v>200</v>
      </c>
      <c r="O2104" s="12" t="s">
        <v>200</v>
      </c>
      <c r="P2104" s="13"/>
      <c r="Q2104" s="12"/>
      <c r="R2104" s="14"/>
      <c r="S2104" s="15"/>
      <c r="T2104" s="4" t="b">
        <v>0</v>
      </c>
    </row>
    <row r="2105">
      <c r="A2105" s="16"/>
      <c r="B2105" s="17"/>
      <c r="C2105" s="24"/>
      <c r="D2105" s="44"/>
      <c r="E2105" s="19"/>
      <c r="F2105" s="35"/>
      <c r="G2105" s="20">
        <v>1899.0</v>
      </c>
      <c r="H2105" s="21"/>
      <c r="I2105" s="21"/>
      <c r="J2105" s="21"/>
      <c r="K2105" s="16"/>
      <c r="L2105" s="22"/>
      <c r="M2105" s="55"/>
      <c r="N2105" s="23" t="s">
        <v>200</v>
      </c>
      <c r="O2105" s="23" t="s">
        <v>200</v>
      </c>
      <c r="P2105" s="24"/>
      <c r="Q2105" s="23"/>
      <c r="R2105" s="25"/>
      <c r="S2105" s="26"/>
      <c r="T2105" s="16" t="b">
        <v>0</v>
      </c>
    </row>
    <row r="2106">
      <c r="A2106" s="4"/>
      <c r="B2106" s="5"/>
      <c r="C2106" s="13"/>
      <c r="D2106" s="39"/>
      <c r="E2106" s="7"/>
      <c r="F2106" s="34"/>
      <c r="G2106" s="8">
        <v>1899.0</v>
      </c>
      <c r="H2106" s="9"/>
      <c r="I2106" s="9"/>
      <c r="J2106" s="9"/>
      <c r="K2106" s="4"/>
      <c r="L2106" s="10"/>
      <c r="M2106" s="54"/>
      <c r="N2106" s="12" t="s">
        <v>200</v>
      </c>
      <c r="O2106" s="12" t="s">
        <v>200</v>
      </c>
      <c r="P2106" s="13"/>
      <c r="Q2106" s="12"/>
      <c r="R2106" s="14"/>
      <c r="S2106" s="15"/>
      <c r="T2106" s="4" t="b">
        <v>0</v>
      </c>
    </row>
    <row r="2107">
      <c r="A2107" s="16"/>
      <c r="B2107" s="17"/>
      <c r="C2107" s="24"/>
      <c r="D2107" s="44"/>
      <c r="E2107" s="19"/>
      <c r="F2107" s="35"/>
      <c r="G2107" s="20">
        <v>1899.0</v>
      </c>
      <c r="H2107" s="21"/>
      <c r="I2107" s="21"/>
      <c r="J2107" s="21"/>
      <c r="K2107" s="16"/>
      <c r="L2107" s="22"/>
      <c r="M2107" s="55"/>
      <c r="N2107" s="23" t="s">
        <v>200</v>
      </c>
      <c r="O2107" s="23" t="s">
        <v>200</v>
      </c>
      <c r="P2107" s="24"/>
      <c r="Q2107" s="23"/>
      <c r="R2107" s="25"/>
      <c r="S2107" s="26"/>
      <c r="T2107" s="16" t="b">
        <v>0</v>
      </c>
    </row>
    <row r="2108">
      <c r="A2108" s="4"/>
      <c r="B2108" s="5"/>
      <c r="C2108" s="13"/>
      <c r="D2108" s="39"/>
      <c r="E2108" s="7"/>
      <c r="F2108" s="34"/>
      <c r="G2108" s="8">
        <v>1899.0</v>
      </c>
      <c r="H2108" s="9"/>
      <c r="I2108" s="9"/>
      <c r="J2108" s="9"/>
      <c r="K2108" s="4"/>
      <c r="L2108" s="10"/>
      <c r="M2108" s="54"/>
      <c r="N2108" s="12" t="s">
        <v>200</v>
      </c>
      <c r="O2108" s="12" t="s">
        <v>200</v>
      </c>
      <c r="P2108" s="13"/>
      <c r="Q2108" s="12"/>
      <c r="R2108" s="14"/>
      <c r="S2108" s="15"/>
      <c r="T2108" s="4" t="b">
        <v>0</v>
      </c>
    </row>
    <row r="2109">
      <c r="A2109" s="16"/>
      <c r="B2109" s="17"/>
      <c r="C2109" s="24"/>
      <c r="D2109" s="44"/>
      <c r="E2109" s="19"/>
      <c r="F2109" s="35"/>
      <c r="G2109" s="20">
        <v>1899.0</v>
      </c>
      <c r="H2109" s="21"/>
      <c r="I2109" s="21"/>
      <c r="J2109" s="21"/>
      <c r="K2109" s="16"/>
      <c r="L2109" s="22"/>
      <c r="M2109" s="55"/>
      <c r="N2109" s="23" t="s">
        <v>200</v>
      </c>
      <c r="O2109" s="23" t="s">
        <v>200</v>
      </c>
      <c r="P2109" s="24"/>
      <c r="Q2109" s="23"/>
      <c r="R2109" s="25"/>
      <c r="S2109" s="26"/>
      <c r="T2109" s="16" t="b">
        <v>0</v>
      </c>
    </row>
    <row r="2110">
      <c r="A2110" s="4"/>
      <c r="B2110" s="5"/>
      <c r="C2110" s="13"/>
      <c r="D2110" s="39"/>
      <c r="E2110" s="7"/>
      <c r="F2110" s="34"/>
      <c r="G2110" s="8">
        <v>1899.0</v>
      </c>
      <c r="H2110" s="9"/>
      <c r="I2110" s="9"/>
      <c r="J2110" s="9"/>
      <c r="K2110" s="4"/>
      <c r="L2110" s="10"/>
      <c r="M2110" s="54"/>
      <c r="N2110" s="12" t="s">
        <v>200</v>
      </c>
      <c r="O2110" s="12" t="s">
        <v>200</v>
      </c>
      <c r="P2110" s="13"/>
      <c r="Q2110" s="12"/>
      <c r="R2110" s="14"/>
      <c r="S2110" s="15"/>
      <c r="T2110" s="4" t="b">
        <v>0</v>
      </c>
    </row>
    <row r="2111">
      <c r="A2111" s="16"/>
      <c r="B2111" s="17"/>
      <c r="C2111" s="24"/>
      <c r="D2111" s="44"/>
      <c r="E2111" s="19"/>
      <c r="F2111" s="35"/>
      <c r="G2111" s="20">
        <v>1899.0</v>
      </c>
      <c r="H2111" s="21"/>
      <c r="I2111" s="21"/>
      <c r="J2111" s="21"/>
      <c r="K2111" s="16"/>
      <c r="L2111" s="22"/>
      <c r="M2111" s="55"/>
      <c r="N2111" s="23" t="s">
        <v>200</v>
      </c>
      <c r="O2111" s="23" t="s">
        <v>200</v>
      </c>
      <c r="P2111" s="24"/>
      <c r="Q2111" s="23"/>
      <c r="R2111" s="25"/>
      <c r="S2111" s="26"/>
      <c r="T2111" s="16" t="b">
        <v>0</v>
      </c>
    </row>
    <row r="2112">
      <c r="A2112" s="4"/>
      <c r="B2112" s="5"/>
      <c r="C2112" s="13"/>
      <c r="D2112" s="39"/>
      <c r="E2112" s="7"/>
      <c r="F2112" s="34"/>
      <c r="G2112" s="8">
        <v>1899.0</v>
      </c>
      <c r="H2112" s="9"/>
      <c r="I2112" s="9"/>
      <c r="J2112" s="9"/>
      <c r="K2112" s="4"/>
      <c r="L2112" s="10"/>
      <c r="M2112" s="54"/>
      <c r="N2112" s="12" t="s">
        <v>200</v>
      </c>
      <c r="O2112" s="12" t="s">
        <v>200</v>
      </c>
      <c r="P2112" s="13"/>
      <c r="Q2112" s="12"/>
      <c r="R2112" s="14"/>
      <c r="S2112" s="15"/>
      <c r="T2112" s="4" t="b">
        <v>0</v>
      </c>
    </row>
    <row r="2113">
      <c r="A2113" s="16"/>
      <c r="B2113" s="17"/>
      <c r="C2113" s="24"/>
      <c r="D2113" s="44"/>
      <c r="E2113" s="19"/>
      <c r="F2113" s="35"/>
      <c r="G2113" s="20">
        <v>1899.0</v>
      </c>
      <c r="H2113" s="21"/>
      <c r="I2113" s="21"/>
      <c r="J2113" s="21"/>
      <c r="K2113" s="16"/>
      <c r="L2113" s="22"/>
      <c r="M2113" s="55"/>
      <c r="N2113" s="23" t="s">
        <v>200</v>
      </c>
      <c r="O2113" s="23" t="s">
        <v>200</v>
      </c>
      <c r="P2113" s="24"/>
      <c r="Q2113" s="23"/>
      <c r="R2113" s="25"/>
      <c r="S2113" s="26"/>
      <c r="T2113" s="16" t="b">
        <v>0</v>
      </c>
    </row>
    <row r="2114">
      <c r="A2114" s="4"/>
      <c r="B2114" s="5"/>
      <c r="C2114" s="13"/>
      <c r="D2114" s="39"/>
      <c r="E2114" s="7"/>
      <c r="F2114" s="34"/>
      <c r="G2114" s="8">
        <v>1899.0</v>
      </c>
      <c r="H2114" s="9"/>
      <c r="I2114" s="9"/>
      <c r="J2114" s="9"/>
      <c r="K2114" s="4"/>
      <c r="L2114" s="10"/>
      <c r="M2114" s="54"/>
      <c r="N2114" s="12" t="s">
        <v>200</v>
      </c>
      <c r="O2114" s="12" t="s">
        <v>200</v>
      </c>
      <c r="P2114" s="13"/>
      <c r="Q2114" s="12"/>
      <c r="R2114" s="14"/>
      <c r="S2114" s="15"/>
      <c r="T2114" s="4" t="b">
        <v>0</v>
      </c>
    </row>
    <row r="2115">
      <c r="A2115" s="16"/>
      <c r="B2115" s="17"/>
      <c r="C2115" s="24"/>
      <c r="D2115" s="44"/>
      <c r="E2115" s="19"/>
      <c r="F2115" s="35"/>
      <c r="G2115" s="20">
        <v>1899.0</v>
      </c>
      <c r="H2115" s="21"/>
      <c r="I2115" s="21"/>
      <c r="J2115" s="21"/>
      <c r="K2115" s="16"/>
      <c r="L2115" s="22"/>
      <c r="M2115" s="55"/>
      <c r="N2115" s="23" t="s">
        <v>200</v>
      </c>
      <c r="O2115" s="23" t="s">
        <v>200</v>
      </c>
      <c r="P2115" s="24"/>
      <c r="Q2115" s="23"/>
      <c r="R2115" s="25"/>
      <c r="S2115" s="26"/>
      <c r="T2115" s="16" t="b">
        <v>0</v>
      </c>
    </row>
    <row r="2116">
      <c r="A2116" s="4"/>
      <c r="B2116" s="5"/>
      <c r="C2116" s="13"/>
      <c r="D2116" s="39"/>
      <c r="E2116" s="7"/>
      <c r="F2116" s="34"/>
      <c r="G2116" s="8">
        <v>1899.0</v>
      </c>
      <c r="H2116" s="9"/>
      <c r="I2116" s="9"/>
      <c r="J2116" s="9"/>
      <c r="K2116" s="4"/>
      <c r="L2116" s="10"/>
      <c r="M2116" s="54"/>
      <c r="N2116" s="12" t="s">
        <v>200</v>
      </c>
      <c r="O2116" s="12" t="s">
        <v>200</v>
      </c>
      <c r="P2116" s="13"/>
      <c r="Q2116" s="12"/>
      <c r="R2116" s="14"/>
      <c r="S2116" s="15"/>
      <c r="T2116" s="4" t="b">
        <v>0</v>
      </c>
    </row>
    <row r="2117">
      <c r="A2117" s="16"/>
      <c r="B2117" s="17"/>
      <c r="C2117" s="24"/>
      <c r="D2117" s="44"/>
      <c r="E2117" s="19"/>
      <c r="F2117" s="35"/>
      <c r="G2117" s="20">
        <v>1899.0</v>
      </c>
      <c r="H2117" s="21"/>
      <c r="I2117" s="21"/>
      <c r="J2117" s="21"/>
      <c r="K2117" s="16"/>
      <c r="L2117" s="22"/>
      <c r="M2117" s="55"/>
      <c r="N2117" s="23" t="s">
        <v>200</v>
      </c>
      <c r="O2117" s="23" t="s">
        <v>200</v>
      </c>
      <c r="P2117" s="24"/>
      <c r="Q2117" s="23"/>
      <c r="R2117" s="25"/>
      <c r="S2117" s="26"/>
      <c r="T2117" s="16" t="b">
        <v>0</v>
      </c>
    </row>
    <row r="2118">
      <c r="A2118" s="4"/>
      <c r="B2118" s="5"/>
      <c r="C2118" s="13"/>
      <c r="D2118" s="39"/>
      <c r="E2118" s="7"/>
      <c r="F2118" s="34"/>
      <c r="G2118" s="8">
        <v>1899.0</v>
      </c>
      <c r="H2118" s="9"/>
      <c r="I2118" s="9"/>
      <c r="J2118" s="9"/>
      <c r="K2118" s="4"/>
      <c r="L2118" s="10"/>
      <c r="M2118" s="54"/>
      <c r="N2118" s="12" t="s">
        <v>200</v>
      </c>
      <c r="O2118" s="12" t="s">
        <v>200</v>
      </c>
      <c r="P2118" s="13"/>
      <c r="Q2118" s="12"/>
      <c r="R2118" s="14"/>
      <c r="S2118" s="15"/>
      <c r="T2118" s="4" t="b">
        <v>0</v>
      </c>
    </row>
    <row r="2119">
      <c r="A2119" s="16"/>
      <c r="B2119" s="17"/>
      <c r="C2119" s="24"/>
      <c r="D2119" s="44"/>
      <c r="E2119" s="19"/>
      <c r="F2119" s="35"/>
      <c r="G2119" s="20">
        <v>1899.0</v>
      </c>
      <c r="H2119" s="21"/>
      <c r="I2119" s="21"/>
      <c r="J2119" s="21"/>
      <c r="K2119" s="16"/>
      <c r="L2119" s="22"/>
      <c r="M2119" s="55"/>
      <c r="N2119" s="23" t="s">
        <v>200</v>
      </c>
      <c r="O2119" s="23" t="s">
        <v>200</v>
      </c>
      <c r="P2119" s="24"/>
      <c r="Q2119" s="23"/>
      <c r="R2119" s="25"/>
      <c r="S2119" s="26"/>
      <c r="T2119" s="16" t="b">
        <v>0</v>
      </c>
    </row>
    <row r="2120">
      <c r="A2120" s="4"/>
      <c r="B2120" s="5"/>
      <c r="C2120" s="13"/>
      <c r="D2120" s="39"/>
      <c r="E2120" s="7"/>
      <c r="F2120" s="34"/>
      <c r="G2120" s="8">
        <v>1899.0</v>
      </c>
      <c r="H2120" s="9"/>
      <c r="I2120" s="9"/>
      <c r="J2120" s="9"/>
      <c r="K2120" s="4"/>
      <c r="L2120" s="10"/>
      <c r="M2120" s="54"/>
      <c r="N2120" s="12" t="s">
        <v>200</v>
      </c>
      <c r="O2120" s="12" t="s">
        <v>200</v>
      </c>
      <c r="P2120" s="13"/>
      <c r="Q2120" s="12"/>
      <c r="R2120" s="14"/>
      <c r="S2120" s="15"/>
      <c r="T2120" s="4" t="b">
        <v>0</v>
      </c>
    </row>
    <row r="2121">
      <c r="A2121" s="16"/>
      <c r="B2121" s="17"/>
      <c r="C2121" s="24"/>
      <c r="D2121" s="44"/>
      <c r="E2121" s="19"/>
      <c r="F2121" s="35"/>
      <c r="G2121" s="20">
        <v>1899.0</v>
      </c>
      <c r="H2121" s="21"/>
      <c r="I2121" s="21"/>
      <c r="J2121" s="21"/>
      <c r="K2121" s="16"/>
      <c r="L2121" s="22"/>
      <c r="M2121" s="55"/>
      <c r="N2121" s="23" t="s">
        <v>200</v>
      </c>
      <c r="O2121" s="23" t="s">
        <v>200</v>
      </c>
      <c r="P2121" s="24"/>
      <c r="Q2121" s="23"/>
      <c r="R2121" s="25"/>
      <c r="S2121" s="26"/>
      <c r="T2121" s="16" t="b">
        <v>0</v>
      </c>
    </row>
    <row r="2122">
      <c r="A2122" s="4"/>
      <c r="B2122" s="5"/>
      <c r="C2122" s="13"/>
      <c r="D2122" s="39"/>
      <c r="E2122" s="7"/>
      <c r="F2122" s="34"/>
      <c r="G2122" s="8">
        <v>1899.0</v>
      </c>
      <c r="H2122" s="9"/>
      <c r="I2122" s="9"/>
      <c r="J2122" s="9"/>
      <c r="K2122" s="4"/>
      <c r="L2122" s="10"/>
      <c r="M2122" s="54"/>
      <c r="N2122" s="12" t="s">
        <v>200</v>
      </c>
      <c r="O2122" s="12" t="s">
        <v>200</v>
      </c>
      <c r="P2122" s="13"/>
      <c r="Q2122" s="12"/>
      <c r="R2122" s="14"/>
      <c r="S2122" s="15"/>
      <c r="T2122" s="4" t="b">
        <v>0</v>
      </c>
    </row>
    <row r="2123">
      <c r="A2123" s="16"/>
      <c r="B2123" s="17"/>
      <c r="C2123" s="24"/>
      <c r="D2123" s="44"/>
      <c r="E2123" s="19"/>
      <c r="F2123" s="35"/>
      <c r="G2123" s="20">
        <v>1899.0</v>
      </c>
      <c r="H2123" s="21"/>
      <c r="I2123" s="21"/>
      <c r="J2123" s="21"/>
      <c r="K2123" s="16"/>
      <c r="L2123" s="22"/>
      <c r="M2123" s="55"/>
      <c r="N2123" s="23" t="s">
        <v>200</v>
      </c>
      <c r="O2123" s="23" t="s">
        <v>200</v>
      </c>
      <c r="P2123" s="24"/>
      <c r="Q2123" s="23"/>
      <c r="R2123" s="25"/>
      <c r="S2123" s="26"/>
      <c r="T2123" s="16" t="b">
        <v>0</v>
      </c>
    </row>
    <row r="2124">
      <c r="A2124" s="4"/>
      <c r="B2124" s="5"/>
      <c r="C2124" s="13"/>
      <c r="D2124" s="39"/>
      <c r="E2124" s="7"/>
      <c r="F2124" s="34"/>
      <c r="G2124" s="8">
        <v>1899.0</v>
      </c>
      <c r="H2124" s="9"/>
      <c r="I2124" s="9"/>
      <c r="J2124" s="9"/>
      <c r="K2124" s="4"/>
      <c r="L2124" s="10"/>
      <c r="M2124" s="54"/>
      <c r="N2124" s="12" t="s">
        <v>200</v>
      </c>
      <c r="O2124" s="12" t="s">
        <v>200</v>
      </c>
      <c r="P2124" s="13"/>
      <c r="Q2124" s="12"/>
      <c r="R2124" s="14"/>
      <c r="S2124" s="15"/>
      <c r="T2124" s="4" t="b">
        <v>0</v>
      </c>
    </row>
    <row r="2125">
      <c r="A2125" s="16"/>
      <c r="B2125" s="17"/>
      <c r="C2125" s="24"/>
      <c r="D2125" s="44"/>
      <c r="E2125" s="19"/>
      <c r="F2125" s="35"/>
      <c r="G2125" s="20">
        <v>1899.0</v>
      </c>
      <c r="H2125" s="21"/>
      <c r="I2125" s="21"/>
      <c r="J2125" s="21"/>
      <c r="K2125" s="16"/>
      <c r="L2125" s="22"/>
      <c r="M2125" s="55"/>
      <c r="N2125" s="23" t="s">
        <v>200</v>
      </c>
      <c r="O2125" s="23" t="s">
        <v>200</v>
      </c>
      <c r="P2125" s="24"/>
      <c r="Q2125" s="23"/>
      <c r="R2125" s="25"/>
      <c r="S2125" s="26"/>
      <c r="T2125" s="16" t="b">
        <v>0</v>
      </c>
    </row>
    <row r="2126">
      <c r="A2126" s="4"/>
      <c r="B2126" s="5"/>
      <c r="C2126" s="13"/>
      <c r="D2126" s="39"/>
      <c r="E2126" s="7"/>
      <c r="F2126" s="34"/>
      <c r="G2126" s="8">
        <v>1899.0</v>
      </c>
      <c r="H2126" s="9"/>
      <c r="I2126" s="9"/>
      <c r="J2126" s="9"/>
      <c r="K2126" s="4"/>
      <c r="L2126" s="10"/>
      <c r="M2126" s="54"/>
      <c r="N2126" s="12" t="s">
        <v>200</v>
      </c>
      <c r="O2126" s="12" t="s">
        <v>200</v>
      </c>
      <c r="P2126" s="13"/>
      <c r="Q2126" s="12"/>
      <c r="R2126" s="14"/>
      <c r="S2126" s="15"/>
      <c r="T2126" s="4" t="b">
        <v>0</v>
      </c>
    </row>
    <row r="2127">
      <c r="A2127" s="16"/>
      <c r="B2127" s="17"/>
      <c r="C2127" s="24"/>
      <c r="D2127" s="44"/>
      <c r="E2127" s="19"/>
      <c r="F2127" s="35"/>
      <c r="G2127" s="20">
        <v>1899.0</v>
      </c>
      <c r="H2127" s="21"/>
      <c r="I2127" s="21"/>
      <c r="J2127" s="21"/>
      <c r="K2127" s="16"/>
      <c r="L2127" s="22"/>
      <c r="M2127" s="55"/>
      <c r="N2127" s="23" t="s">
        <v>200</v>
      </c>
      <c r="O2127" s="23" t="s">
        <v>200</v>
      </c>
      <c r="P2127" s="24"/>
      <c r="Q2127" s="23"/>
      <c r="R2127" s="25"/>
      <c r="S2127" s="26"/>
      <c r="T2127" s="16" t="b">
        <v>0</v>
      </c>
    </row>
    <row r="2128">
      <c r="A2128" s="4"/>
      <c r="B2128" s="5"/>
      <c r="C2128" s="13"/>
      <c r="D2128" s="39"/>
      <c r="E2128" s="7"/>
      <c r="F2128" s="34"/>
      <c r="G2128" s="8">
        <v>1899.0</v>
      </c>
      <c r="H2128" s="9"/>
      <c r="I2128" s="9"/>
      <c r="J2128" s="9"/>
      <c r="K2128" s="4"/>
      <c r="L2128" s="10"/>
      <c r="M2128" s="54"/>
      <c r="N2128" s="12" t="s">
        <v>200</v>
      </c>
      <c r="O2128" s="12" t="s">
        <v>200</v>
      </c>
      <c r="P2128" s="13"/>
      <c r="Q2128" s="12"/>
      <c r="R2128" s="14"/>
      <c r="S2128" s="15"/>
      <c r="T2128" s="4" t="b">
        <v>0</v>
      </c>
    </row>
    <row r="2129">
      <c r="A2129" s="16"/>
      <c r="B2129" s="17"/>
      <c r="C2129" s="24"/>
      <c r="D2129" s="44"/>
      <c r="E2129" s="19"/>
      <c r="F2129" s="35"/>
      <c r="G2129" s="20">
        <v>1899.0</v>
      </c>
      <c r="H2129" s="21"/>
      <c r="I2129" s="21"/>
      <c r="J2129" s="21"/>
      <c r="K2129" s="16"/>
      <c r="L2129" s="22"/>
      <c r="M2129" s="55"/>
      <c r="N2129" s="23" t="s">
        <v>200</v>
      </c>
      <c r="O2129" s="23" t="s">
        <v>200</v>
      </c>
      <c r="P2129" s="24"/>
      <c r="Q2129" s="23"/>
      <c r="R2129" s="25"/>
      <c r="S2129" s="26"/>
      <c r="T2129" s="16" t="b">
        <v>0</v>
      </c>
    </row>
    <row r="2130">
      <c r="A2130" s="4"/>
      <c r="B2130" s="5"/>
      <c r="C2130" s="13"/>
      <c r="D2130" s="39"/>
      <c r="E2130" s="7"/>
      <c r="F2130" s="34"/>
      <c r="G2130" s="8">
        <v>1899.0</v>
      </c>
      <c r="H2130" s="9"/>
      <c r="I2130" s="9"/>
      <c r="J2130" s="9"/>
      <c r="K2130" s="4"/>
      <c r="L2130" s="10"/>
      <c r="M2130" s="54"/>
      <c r="N2130" s="12" t="s">
        <v>200</v>
      </c>
      <c r="O2130" s="12" t="s">
        <v>200</v>
      </c>
      <c r="P2130" s="13"/>
      <c r="Q2130" s="12"/>
      <c r="R2130" s="14"/>
      <c r="S2130" s="15"/>
      <c r="T2130" s="4" t="b">
        <v>0</v>
      </c>
    </row>
    <row r="2131">
      <c r="A2131" s="16"/>
      <c r="B2131" s="17"/>
      <c r="C2131" s="24"/>
      <c r="D2131" s="44"/>
      <c r="E2131" s="19"/>
      <c r="F2131" s="35"/>
      <c r="G2131" s="20">
        <v>1899.0</v>
      </c>
      <c r="H2131" s="21"/>
      <c r="I2131" s="21"/>
      <c r="J2131" s="21"/>
      <c r="K2131" s="16"/>
      <c r="L2131" s="22"/>
      <c r="M2131" s="55"/>
      <c r="N2131" s="23" t="s">
        <v>200</v>
      </c>
      <c r="O2131" s="23" t="s">
        <v>200</v>
      </c>
      <c r="P2131" s="24"/>
      <c r="Q2131" s="23"/>
      <c r="R2131" s="25"/>
      <c r="S2131" s="26"/>
      <c r="T2131" s="16" t="b">
        <v>0</v>
      </c>
    </row>
    <row r="2132">
      <c r="A2132" s="4"/>
      <c r="B2132" s="5"/>
      <c r="C2132" s="13"/>
      <c r="D2132" s="39"/>
      <c r="E2132" s="7"/>
      <c r="F2132" s="34"/>
      <c r="G2132" s="8">
        <v>1899.0</v>
      </c>
      <c r="H2132" s="9"/>
      <c r="I2132" s="9"/>
      <c r="J2132" s="9"/>
      <c r="K2132" s="4"/>
      <c r="L2132" s="10"/>
      <c r="M2132" s="54"/>
      <c r="N2132" s="12" t="s">
        <v>200</v>
      </c>
      <c r="O2132" s="12" t="s">
        <v>200</v>
      </c>
      <c r="P2132" s="13"/>
      <c r="Q2132" s="12"/>
      <c r="R2132" s="14"/>
      <c r="S2132" s="15"/>
      <c r="T2132" s="4" t="b">
        <v>0</v>
      </c>
    </row>
    <row r="2133">
      <c r="A2133" s="16"/>
      <c r="B2133" s="17"/>
      <c r="C2133" s="24"/>
      <c r="D2133" s="44"/>
      <c r="E2133" s="19"/>
      <c r="F2133" s="35"/>
      <c r="G2133" s="20">
        <v>1899.0</v>
      </c>
      <c r="H2133" s="21"/>
      <c r="I2133" s="21"/>
      <c r="J2133" s="21"/>
      <c r="K2133" s="16"/>
      <c r="L2133" s="22"/>
      <c r="M2133" s="55"/>
      <c r="N2133" s="23" t="s">
        <v>200</v>
      </c>
      <c r="O2133" s="23" t="s">
        <v>200</v>
      </c>
      <c r="P2133" s="24"/>
      <c r="Q2133" s="23"/>
      <c r="R2133" s="25"/>
      <c r="S2133" s="26"/>
      <c r="T2133" s="16" t="b">
        <v>0</v>
      </c>
    </row>
    <row r="2134">
      <c r="A2134" s="4"/>
      <c r="B2134" s="5"/>
      <c r="C2134" s="13"/>
      <c r="D2134" s="39"/>
      <c r="E2134" s="7"/>
      <c r="F2134" s="34"/>
      <c r="G2134" s="8">
        <v>1899.0</v>
      </c>
      <c r="H2134" s="9"/>
      <c r="I2134" s="9"/>
      <c r="J2134" s="9"/>
      <c r="K2134" s="4"/>
      <c r="L2134" s="10"/>
      <c r="M2134" s="54"/>
      <c r="N2134" s="12" t="s">
        <v>200</v>
      </c>
      <c r="O2134" s="12" t="s">
        <v>200</v>
      </c>
      <c r="P2134" s="13"/>
      <c r="Q2134" s="12"/>
      <c r="R2134" s="14"/>
      <c r="S2134" s="15"/>
      <c r="T2134" s="4" t="b">
        <v>0</v>
      </c>
    </row>
    <row r="2135">
      <c r="A2135" s="16"/>
      <c r="B2135" s="17"/>
      <c r="C2135" s="24"/>
      <c r="D2135" s="44"/>
      <c r="E2135" s="19"/>
      <c r="F2135" s="35"/>
      <c r="G2135" s="20">
        <v>1899.0</v>
      </c>
      <c r="H2135" s="21"/>
      <c r="I2135" s="21"/>
      <c r="J2135" s="21"/>
      <c r="K2135" s="16"/>
      <c r="L2135" s="22"/>
      <c r="M2135" s="55"/>
      <c r="N2135" s="23" t="s">
        <v>200</v>
      </c>
      <c r="O2135" s="23" t="s">
        <v>200</v>
      </c>
      <c r="P2135" s="24"/>
      <c r="Q2135" s="23"/>
      <c r="R2135" s="25"/>
      <c r="S2135" s="26"/>
      <c r="T2135" s="16" t="b">
        <v>0</v>
      </c>
    </row>
    <row r="2136">
      <c r="A2136" s="4"/>
      <c r="B2136" s="5"/>
      <c r="C2136" s="13"/>
      <c r="D2136" s="39"/>
      <c r="E2136" s="7"/>
      <c r="F2136" s="34"/>
      <c r="G2136" s="8">
        <v>1899.0</v>
      </c>
      <c r="H2136" s="9"/>
      <c r="I2136" s="9"/>
      <c r="J2136" s="9"/>
      <c r="K2136" s="4"/>
      <c r="L2136" s="10"/>
      <c r="M2136" s="54"/>
      <c r="N2136" s="12" t="s">
        <v>200</v>
      </c>
      <c r="O2136" s="12" t="s">
        <v>200</v>
      </c>
      <c r="P2136" s="13"/>
      <c r="Q2136" s="12"/>
      <c r="R2136" s="14"/>
      <c r="S2136" s="15"/>
      <c r="T2136" s="4" t="b">
        <v>0</v>
      </c>
    </row>
    <row r="2137">
      <c r="A2137" s="16"/>
      <c r="B2137" s="17"/>
      <c r="C2137" s="24"/>
      <c r="D2137" s="44"/>
      <c r="E2137" s="19"/>
      <c r="F2137" s="35"/>
      <c r="G2137" s="20">
        <v>1899.0</v>
      </c>
      <c r="H2137" s="21"/>
      <c r="I2137" s="21"/>
      <c r="J2137" s="21"/>
      <c r="K2137" s="16"/>
      <c r="L2137" s="22"/>
      <c r="M2137" s="55"/>
      <c r="N2137" s="23" t="s">
        <v>200</v>
      </c>
      <c r="O2137" s="23" t="s">
        <v>200</v>
      </c>
      <c r="P2137" s="24"/>
      <c r="Q2137" s="23"/>
      <c r="R2137" s="25"/>
      <c r="S2137" s="26"/>
      <c r="T2137" s="16" t="b">
        <v>0</v>
      </c>
    </row>
    <row r="2138">
      <c r="A2138" s="4"/>
      <c r="B2138" s="5"/>
      <c r="C2138" s="13"/>
      <c r="D2138" s="39"/>
      <c r="E2138" s="7"/>
      <c r="F2138" s="34"/>
      <c r="G2138" s="8">
        <v>1899.0</v>
      </c>
      <c r="H2138" s="9"/>
      <c r="I2138" s="9"/>
      <c r="J2138" s="9"/>
      <c r="K2138" s="4"/>
      <c r="L2138" s="10"/>
      <c r="M2138" s="54"/>
      <c r="N2138" s="12" t="s">
        <v>200</v>
      </c>
      <c r="O2138" s="12" t="s">
        <v>200</v>
      </c>
      <c r="P2138" s="13"/>
      <c r="Q2138" s="12"/>
      <c r="R2138" s="14"/>
      <c r="S2138" s="15"/>
      <c r="T2138" s="4" t="b">
        <v>0</v>
      </c>
    </row>
    <row r="2139">
      <c r="A2139" s="16"/>
      <c r="B2139" s="17"/>
      <c r="C2139" s="24"/>
      <c r="D2139" s="44"/>
      <c r="E2139" s="19"/>
      <c r="F2139" s="35"/>
      <c r="G2139" s="20">
        <v>1899.0</v>
      </c>
      <c r="H2139" s="21"/>
      <c r="I2139" s="21"/>
      <c r="J2139" s="21"/>
      <c r="K2139" s="16"/>
      <c r="L2139" s="22"/>
      <c r="M2139" s="55"/>
      <c r="N2139" s="23" t="s">
        <v>200</v>
      </c>
      <c r="O2139" s="23" t="s">
        <v>200</v>
      </c>
      <c r="P2139" s="24"/>
      <c r="Q2139" s="23"/>
      <c r="R2139" s="25"/>
      <c r="S2139" s="26"/>
      <c r="T2139" s="16" t="b">
        <v>0</v>
      </c>
    </row>
    <row r="2140">
      <c r="A2140" s="4"/>
      <c r="B2140" s="5"/>
      <c r="C2140" s="13"/>
      <c r="D2140" s="39"/>
      <c r="E2140" s="7"/>
      <c r="F2140" s="34"/>
      <c r="G2140" s="8">
        <v>1899.0</v>
      </c>
      <c r="H2140" s="9"/>
      <c r="I2140" s="9"/>
      <c r="J2140" s="9"/>
      <c r="K2140" s="4"/>
      <c r="L2140" s="10"/>
      <c r="M2140" s="54"/>
      <c r="N2140" s="12" t="s">
        <v>200</v>
      </c>
      <c r="O2140" s="12" t="s">
        <v>200</v>
      </c>
      <c r="P2140" s="13"/>
      <c r="Q2140" s="12"/>
      <c r="R2140" s="14"/>
      <c r="S2140" s="15"/>
      <c r="T2140" s="4" t="b">
        <v>0</v>
      </c>
    </row>
    <row r="2141">
      <c r="A2141" s="16"/>
      <c r="B2141" s="17"/>
      <c r="C2141" s="24"/>
      <c r="D2141" s="44"/>
      <c r="E2141" s="19"/>
      <c r="F2141" s="35"/>
      <c r="G2141" s="20">
        <v>1899.0</v>
      </c>
      <c r="H2141" s="21"/>
      <c r="I2141" s="21"/>
      <c r="J2141" s="21"/>
      <c r="K2141" s="16"/>
      <c r="L2141" s="22"/>
      <c r="M2141" s="55"/>
      <c r="N2141" s="23" t="s">
        <v>200</v>
      </c>
      <c r="O2141" s="23" t="s">
        <v>200</v>
      </c>
      <c r="P2141" s="24"/>
      <c r="Q2141" s="23"/>
      <c r="R2141" s="25"/>
      <c r="S2141" s="26"/>
      <c r="T2141" s="16" t="b">
        <v>0</v>
      </c>
    </row>
    <row r="2142">
      <c r="A2142" s="4"/>
      <c r="B2142" s="5"/>
      <c r="C2142" s="13"/>
      <c r="D2142" s="39"/>
      <c r="E2142" s="7"/>
      <c r="F2142" s="34"/>
      <c r="G2142" s="8">
        <v>1899.0</v>
      </c>
      <c r="H2142" s="9"/>
      <c r="I2142" s="9"/>
      <c r="J2142" s="9"/>
      <c r="K2142" s="4"/>
      <c r="L2142" s="10"/>
      <c r="M2142" s="54"/>
      <c r="N2142" s="12" t="s">
        <v>200</v>
      </c>
      <c r="O2142" s="12" t="s">
        <v>200</v>
      </c>
      <c r="P2142" s="13"/>
      <c r="Q2142" s="12"/>
      <c r="R2142" s="14"/>
      <c r="S2142" s="15"/>
      <c r="T2142" s="4" t="b">
        <v>0</v>
      </c>
    </row>
    <row r="2143">
      <c r="A2143" s="16"/>
      <c r="B2143" s="17"/>
      <c r="C2143" s="24"/>
      <c r="D2143" s="44"/>
      <c r="E2143" s="19"/>
      <c r="F2143" s="35"/>
      <c r="G2143" s="20">
        <v>1899.0</v>
      </c>
      <c r="H2143" s="21"/>
      <c r="I2143" s="21"/>
      <c r="J2143" s="21"/>
      <c r="K2143" s="16"/>
      <c r="L2143" s="22"/>
      <c r="M2143" s="55"/>
      <c r="N2143" s="23" t="s">
        <v>200</v>
      </c>
      <c r="O2143" s="23" t="s">
        <v>200</v>
      </c>
      <c r="P2143" s="24"/>
      <c r="Q2143" s="23"/>
      <c r="R2143" s="25"/>
      <c r="S2143" s="26"/>
      <c r="T2143" s="16" t="b">
        <v>0</v>
      </c>
    </row>
    <row r="2144">
      <c r="A2144" s="4"/>
      <c r="B2144" s="5"/>
      <c r="C2144" s="13"/>
      <c r="D2144" s="39"/>
      <c r="E2144" s="7"/>
      <c r="F2144" s="34"/>
      <c r="G2144" s="8">
        <v>1899.0</v>
      </c>
      <c r="H2144" s="9"/>
      <c r="I2144" s="9"/>
      <c r="J2144" s="9"/>
      <c r="K2144" s="4"/>
      <c r="L2144" s="10"/>
      <c r="M2144" s="54"/>
      <c r="N2144" s="12" t="s">
        <v>200</v>
      </c>
      <c r="O2144" s="12" t="s">
        <v>200</v>
      </c>
      <c r="P2144" s="13"/>
      <c r="Q2144" s="12"/>
      <c r="R2144" s="14"/>
      <c r="S2144" s="15"/>
      <c r="T2144" s="4" t="b">
        <v>0</v>
      </c>
    </row>
    <row r="2145">
      <c r="A2145" s="16"/>
      <c r="B2145" s="17"/>
      <c r="C2145" s="24"/>
      <c r="D2145" s="44"/>
      <c r="E2145" s="19"/>
      <c r="F2145" s="35"/>
      <c r="G2145" s="20">
        <v>1899.0</v>
      </c>
      <c r="H2145" s="21"/>
      <c r="I2145" s="21"/>
      <c r="J2145" s="21"/>
      <c r="K2145" s="16"/>
      <c r="L2145" s="22"/>
      <c r="M2145" s="55"/>
      <c r="N2145" s="23" t="s">
        <v>200</v>
      </c>
      <c r="O2145" s="23" t="s">
        <v>200</v>
      </c>
      <c r="P2145" s="24"/>
      <c r="Q2145" s="23"/>
      <c r="R2145" s="25"/>
      <c r="S2145" s="26"/>
      <c r="T2145" s="16" t="b">
        <v>0</v>
      </c>
    </row>
    <row r="2146">
      <c r="A2146" s="4"/>
      <c r="B2146" s="5"/>
      <c r="C2146" s="13"/>
      <c r="D2146" s="39"/>
      <c r="E2146" s="7"/>
      <c r="F2146" s="34"/>
      <c r="G2146" s="8">
        <v>1899.0</v>
      </c>
      <c r="H2146" s="9"/>
      <c r="I2146" s="9"/>
      <c r="J2146" s="9"/>
      <c r="K2146" s="4"/>
      <c r="L2146" s="10"/>
      <c r="M2146" s="54"/>
      <c r="N2146" s="12" t="s">
        <v>200</v>
      </c>
      <c r="O2146" s="12" t="s">
        <v>200</v>
      </c>
      <c r="P2146" s="13"/>
      <c r="Q2146" s="12"/>
      <c r="R2146" s="14"/>
      <c r="S2146" s="15"/>
      <c r="T2146" s="4" t="b">
        <v>0</v>
      </c>
    </row>
    <row r="2147">
      <c r="A2147" s="16"/>
      <c r="B2147" s="17"/>
      <c r="C2147" s="24"/>
      <c r="D2147" s="44"/>
      <c r="E2147" s="19"/>
      <c r="F2147" s="35"/>
      <c r="G2147" s="20">
        <v>1899.0</v>
      </c>
      <c r="H2147" s="21"/>
      <c r="I2147" s="21"/>
      <c r="J2147" s="21"/>
      <c r="K2147" s="16"/>
      <c r="L2147" s="22"/>
      <c r="M2147" s="55"/>
      <c r="N2147" s="23" t="s">
        <v>200</v>
      </c>
      <c r="O2147" s="23" t="s">
        <v>200</v>
      </c>
      <c r="P2147" s="24"/>
      <c r="Q2147" s="23"/>
      <c r="R2147" s="25"/>
      <c r="S2147" s="26"/>
      <c r="T2147" s="16" t="b">
        <v>0</v>
      </c>
    </row>
    <row r="2148">
      <c r="A2148" s="4"/>
      <c r="B2148" s="5"/>
      <c r="C2148" s="13"/>
      <c r="D2148" s="39"/>
      <c r="E2148" s="7"/>
      <c r="F2148" s="34"/>
      <c r="G2148" s="8">
        <v>1899.0</v>
      </c>
      <c r="H2148" s="9"/>
      <c r="I2148" s="9"/>
      <c r="J2148" s="9"/>
      <c r="K2148" s="4"/>
      <c r="L2148" s="10"/>
      <c r="M2148" s="54"/>
      <c r="N2148" s="12" t="s">
        <v>200</v>
      </c>
      <c r="O2148" s="12" t="s">
        <v>200</v>
      </c>
      <c r="P2148" s="13"/>
      <c r="Q2148" s="12"/>
      <c r="R2148" s="14"/>
      <c r="S2148" s="15"/>
      <c r="T2148" s="4" t="b">
        <v>0</v>
      </c>
    </row>
    <row r="2149">
      <c r="A2149" s="16"/>
      <c r="B2149" s="17"/>
      <c r="C2149" s="24"/>
      <c r="D2149" s="44"/>
      <c r="E2149" s="19"/>
      <c r="F2149" s="35"/>
      <c r="G2149" s="20">
        <v>1899.0</v>
      </c>
      <c r="H2149" s="21"/>
      <c r="I2149" s="21"/>
      <c r="J2149" s="21"/>
      <c r="K2149" s="16"/>
      <c r="L2149" s="22"/>
      <c r="M2149" s="55"/>
      <c r="N2149" s="23" t="s">
        <v>200</v>
      </c>
      <c r="O2149" s="23" t="s">
        <v>200</v>
      </c>
      <c r="P2149" s="24"/>
      <c r="Q2149" s="23"/>
      <c r="R2149" s="25"/>
      <c r="S2149" s="26"/>
      <c r="T2149" s="16" t="b">
        <v>0</v>
      </c>
    </row>
    <row r="2150">
      <c r="A2150" s="4"/>
      <c r="B2150" s="5"/>
      <c r="C2150" s="13"/>
      <c r="D2150" s="39"/>
      <c r="E2150" s="7"/>
      <c r="F2150" s="34"/>
      <c r="G2150" s="8">
        <v>1899.0</v>
      </c>
      <c r="H2150" s="9"/>
      <c r="I2150" s="9"/>
      <c r="J2150" s="9"/>
      <c r="K2150" s="4"/>
      <c r="L2150" s="10"/>
      <c r="M2150" s="54"/>
      <c r="N2150" s="12" t="s">
        <v>200</v>
      </c>
      <c r="O2150" s="12" t="s">
        <v>200</v>
      </c>
      <c r="P2150" s="13"/>
      <c r="Q2150" s="12"/>
      <c r="R2150" s="14"/>
      <c r="S2150" s="15"/>
      <c r="T2150" s="4" t="b">
        <v>0</v>
      </c>
    </row>
    <row r="2151">
      <c r="A2151" s="16"/>
      <c r="B2151" s="17"/>
      <c r="C2151" s="24"/>
      <c r="D2151" s="44"/>
      <c r="E2151" s="19"/>
      <c r="F2151" s="35"/>
      <c r="G2151" s="20">
        <v>1899.0</v>
      </c>
      <c r="H2151" s="21"/>
      <c r="I2151" s="21"/>
      <c r="J2151" s="21"/>
      <c r="K2151" s="16"/>
      <c r="L2151" s="22"/>
      <c r="M2151" s="55"/>
      <c r="N2151" s="23" t="s">
        <v>200</v>
      </c>
      <c r="O2151" s="23" t="s">
        <v>200</v>
      </c>
      <c r="P2151" s="24"/>
      <c r="Q2151" s="23"/>
      <c r="R2151" s="25"/>
      <c r="S2151" s="26"/>
      <c r="T2151" s="16" t="b">
        <v>0</v>
      </c>
    </row>
    <row r="2152">
      <c r="A2152" s="4"/>
      <c r="B2152" s="5"/>
      <c r="C2152" s="13"/>
      <c r="D2152" s="39"/>
      <c r="E2152" s="7"/>
      <c r="F2152" s="34"/>
      <c r="G2152" s="8">
        <v>1899.0</v>
      </c>
      <c r="H2152" s="9"/>
      <c r="I2152" s="9"/>
      <c r="J2152" s="9"/>
      <c r="K2152" s="4"/>
      <c r="L2152" s="10"/>
      <c r="M2152" s="54"/>
      <c r="N2152" s="12" t="s">
        <v>200</v>
      </c>
      <c r="O2152" s="12" t="s">
        <v>200</v>
      </c>
      <c r="P2152" s="13"/>
      <c r="Q2152" s="12"/>
      <c r="R2152" s="14"/>
      <c r="S2152" s="15"/>
      <c r="T2152" s="4" t="b">
        <v>0</v>
      </c>
    </row>
    <row r="2153">
      <c r="A2153" s="16"/>
      <c r="B2153" s="17"/>
      <c r="C2153" s="24"/>
      <c r="D2153" s="44"/>
      <c r="E2153" s="19"/>
      <c r="F2153" s="35"/>
      <c r="G2153" s="20">
        <v>1899.0</v>
      </c>
      <c r="H2153" s="21"/>
      <c r="I2153" s="21"/>
      <c r="J2153" s="21"/>
      <c r="K2153" s="16"/>
      <c r="L2153" s="22"/>
      <c r="M2153" s="55"/>
      <c r="N2153" s="23" t="s">
        <v>200</v>
      </c>
      <c r="O2153" s="23" t="s">
        <v>200</v>
      </c>
      <c r="P2153" s="24"/>
      <c r="Q2153" s="23"/>
      <c r="R2153" s="25"/>
      <c r="S2153" s="26"/>
      <c r="T2153" s="16" t="b">
        <v>0</v>
      </c>
    </row>
    <row r="2154">
      <c r="A2154" s="4"/>
      <c r="B2154" s="5"/>
      <c r="C2154" s="13"/>
      <c r="D2154" s="39"/>
      <c r="E2154" s="7"/>
      <c r="F2154" s="34"/>
      <c r="G2154" s="8">
        <v>1899.0</v>
      </c>
      <c r="H2154" s="9"/>
      <c r="I2154" s="9"/>
      <c r="J2154" s="9"/>
      <c r="K2154" s="4"/>
      <c r="L2154" s="10"/>
      <c r="M2154" s="54"/>
      <c r="N2154" s="12" t="s">
        <v>200</v>
      </c>
      <c r="O2154" s="12" t="s">
        <v>200</v>
      </c>
      <c r="P2154" s="13"/>
      <c r="Q2154" s="12"/>
      <c r="R2154" s="14"/>
      <c r="S2154" s="15"/>
      <c r="T2154" s="4" t="b">
        <v>0</v>
      </c>
    </row>
    <row r="2155">
      <c r="A2155" s="16"/>
      <c r="B2155" s="17"/>
      <c r="C2155" s="24"/>
      <c r="D2155" s="44"/>
      <c r="E2155" s="19"/>
      <c r="F2155" s="35"/>
      <c r="G2155" s="20">
        <v>1899.0</v>
      </c>
      <c r="H2155" s="21"/>
      <c r="I2155" s="21"/>
      <c r="J2155" s="21"/>
      <c r="K2155" s="16"/>
      <c r="L2155" s="22"/>
      <c r="M2155" s="55"/>
      <c r="N2155" s="23" t="s">
        <v>200</v>
      </c>
      <c r="O2155" s="23" t="s">
        <v>200</v>
      </c>
      <c r="P2155" s="24"/>
      <c r="Q2155" s="23"/>
      <c r="R2155" s="25"/>
      <c r="S2155" s="26"/>
      <c r="T2155" s="16" t="b">
        <v>0</v>
      </c>
    </row>
    <row r="2156">
      <c r="A2156" s="4"/>
      <c r="B2156" s="5"/>
      <c r="C2156" s="13"/>
      <c r="D2156" s="39"/>
      <c r="E2156" s="7"/>
      <c r="F2156" s="34"/>
      <c r="G2156" s="8">
        <v>1899.0</v>
      </c>
      <c r="H2156" s="9"/>
      <c r="I2156" s="9"/>
      <c r="J2156" s="9"/>
      <c r="K2156" s="4"/>
      <c r="L2156" s="10"/>
      <c r="M2156" s="54"/>
      <c r="N2156" s="12" t="s">
        <v>200</v>
      </c>
      <c r="O2156" s="12" t="s">
        <v>200</v>
      </c>
      <c r="P2156" s="13"/>
      <c r="Q2156" s="12"/>
      <c r="R2156" s="14"/>
      <c r="S2156" s="15"/>
      <c r="T2156" s="4" t="b">
        <v>0</v>
      </c>
    </row>
    <row r="2157">
      <c r="A2157" s="16"/>
      <c r="B2157" s="17"/>
      <c r="C2157" s="24"/>
      <c r="D2157" s="44"/>
      <c r="E2157" s="19"/>
      <c r="F2157" s="35"/>
      <c r="G2157" s="20">
        <v>1899.0</v>
      </c>
      <c r="H2157" s="21"/>
      <c r="I2157" s="21"/>
      <c r="J2157" s="21"/>
      <c r="K2157" s="16"/>
      <c r="L2157" s="22"/>
      <c r="M2157" s="55"/>
      <c r="N2157" s="23" t="s">
        <v>200</v>
      </c>
      <c r="O2157" s="23" t="s">
        <v>200</v>
      </c>
      <c r="P2157" s="24"/>
      <c r="Q2157" s="23"/>
      <c r="R2157" s="25"/>
      <c r="S2157" s="26"/>
      <c r="T2157" s="16" t="b">
        <v>0</v>
      </c>
    </row>
    <row r="2158">
      <c r="A2158" s="4"/>
      <c r="B2158" s="5"/>
      <c r="C2158" s="13"/>
      <c r="D2158" s="39"/>
      <c r="E2158" s="7"/>
      <c r="F2158" s="34"/>
      <c r="G2158" s="8">
        <v>1899.0</v>
      </c>
      <c r="H2158" s="9"/>
      <c r="I2158" s="9"/>
      <c r="J2158" s="9"/>
      <c r="K2158" s="4"/>
      <c r="L2158" s="10"/>
      <c r="M2158" s="54"/>
      <c r="N2158" s="12" t="s">
        <v>200</v>
      </c>
      <c r="O2158" s="12" t="s">
        <v>200</v>
      </c>
      <c r="P2158" s="13"/>
      <c r="Q2158" s="12"/>
      <c r="R2158" s="14"/>
      <c r="S2158" s="15"/>
      <c r="T2158" s="4" t="b">
        <v>0</v>
      </c>
    </row>
    <row r="2159">
      <c r="A2159" s="16"/>
      <c r="B2159" s="17"/>
      <c r="C2159" s="24"/>
      <c r="D2159" s="44"/>
      <c r="E2159" s="19"/>
      <c r="F2159" s="35"/>
      <c r="G2159" s="20">
        <v>1899.0</v>
      </c>
      <c r="H2159" s="21"/>
      <c r="I2159" s="21"/>
      <c r="J2159" s="21"/>
      <c r="K2159" s="16"/>
      <c r="L2159" s="22"/>
      <c r="M2159" s="55"/>
      <c r="N2159" s="23" t="s">
        <v>200</v>
      </c>
      <c r="O2159" s="23" t="s">
        <v>200</v>
      </c>
      <c r="P2159" s="24"/>
      <c r="Q2159" s="23"/>
      <c r="R2159" s="25"/>
      <c r="S2159" s="26"/>
      <c r="T2159" s="16" t="b">
        <v>0</v>
      </c>
    </row>
    <row r="2160">
      <c r="A2160" s="4"/>
      <c r="B2160" s="5"/>
      <c r="C2160" s="13"/>
      <c r="D2160" s="39"/>
      <c r="E2160" s="7"/>
      <c r="F2160" s="34"/>
      <c r="G2160" s="8">
        <v>1899.0</v>
      </c>
      <c r="H2160" s="9"/>
      <c r="I2160" s="9"/>
      <c r="J2160" s="9"/>
      <c r="K2160" s="4"/>
      <c r="L2160" s="10"/>
      <c r="M2160" s="54"/>
      <c r="N2160" s="12" t="s">
        <v>200</v>
      </c>
      <c r="O2160" s="12" t="s">
        <v>200</v>
      </c>
      <c r="P2160" s="13"/>
      <c r="Q2160" s="12"/>
      <c r="R2160" s="14"/>
      <c r="S2160" s="15"/>
      <c r="T2160" s="4" t="b">
        <v>0</v>
      </c>
    </row>
    <row r="2161">
      <c r="A2161" s="16"/>
      <c r="B2161" s="17"/>
      <c r="C2161" s="24"/>
      <c r="D2161" s="44"/>
      <c r="E2161" s="19"/>
      <c r="F2161" s="35"/>
      <c r="G2161" s="20">
        <v>1899.0</v>
      </c>
      <c r="H2161" s="21"/>
      <c r="I2161" s="21"/>
      <c r="J2161" s="21"/>
      <c r="K2161" s="16"/>
      <c r="L2161" s="22"/>
      <c r="M2161" s="55"/>
      <c r="N2161" s="23" t="s">
        <v>200</v>
      </c>
      <c r="O2161" s="23" t="s">
        <v>200</v>
      </c>
      <c r="P2161" s="24"/>
      <c r="Q2161" s="23"/>
      <c r="R2161" s="25"/>
      <c r="S2161" s="26"/>
      <c r="T2161" s="16" t="b">
        <v>0</v>
      </c>
    </row>
    <row r="2162">
      <c r="A2162" s="4"/>
      <c r="B2162" s="5"/>
      <c r="C2162" s="13"/>
      <c r="D2162" s="39"/>
      <c r="E2162" s="7"/>
      <c r="F2162" s="34"/>
      <c r="G2162" s="8">
        <v>1899.0</v>
      </c>
      <c r="H2162" s="9"/>
      <c r="I2162" s="9"/>
      <c r="J2162" s="9"/>
      <c r="K2162" s="4"/>
      <c r="L2162" s="10"/>
      <c r="M2162" s="54"/>
      <c r="N2162" s="12" t="s">
        <v>200</v>
      </c>
      <c r="O2162" s="12" t="s">
        <v>200</v>
      </c>
      <c r="P2162" s="13"/>
      <c r="Q2162" s="12"/>
      <c r="R2162" s="14"/>
      <c r="S2162" s="15"/>
      <c r="T2162" s="4" t="b">
        <v>0</v>
      </c>
    </row>
    <row r="2163">
      <c r="A2163" s="16"/>
      <c r="B2163" s="17"/>
      <c r="C2163" s="24"/>
      <c r="D2163" s="44"/>
      <c r="E2163" s="19"/>
      <c r="F2163" s="35"/>
      <c r="G2163" s="20">
        <v>1899.0</v>
      </c>
      <c r="H2163" s="21"/>
      <c r="I2163" s="21"/>
      <c r="J2163" s="21"/>
      <c r="K2163" s="16"/>
      <c r="L2163" s="22"/>
      <c r="M2163" s="55"/>
      <c r="N2163" s="23" t="s">
        <v>200</v>
      </c>
      <c r="O2163" s="23" t="s">
        <v>200</v>
      </c>
      <c r="P2163" s="24"/>
      <c r="Q2163" s="23"/>
      <c r="R2163" s="25"/>
      <c r="S2163" s="26"/>
      <c r="T2163" s="16" t="b">
        <v>0</v>
      </c>
    </row>
    <row r="2164">
      <c r="A2164" s="4"/>
      <c r="B2164" s="5"/>
      <c r="C2164" s="13"/>
      <c r="D2164" s="39"/>
      <c r="E2164" s="7"/>
      <c r="F2164" s="34"/>
      <c r="G2164" s="8">
        <v>1899.0</v>
      </c>
      <c r="H2164" s="9"/>
      <c r="I2164" s="9"/>
      <c r="J2164" s="9"/>
      <c r="K2164" s="4"/>
      <c r="L2164" s="10"/>
      <c r="M2164" s="54"/>
      <c r="N2164" s="12" t="s">
        <v>200</v>
      </c>
      <c r="O2164" s="12" t="s">
        <v>200</v>
      </c>
      <c r="P2164" s="13"/>
      <c r="Q2164" s="12"/>
      <c r="R2164" s="14"/>
      <c r="S2164" s="15"/>
      <c r="T2164" s="4" t="b">
        <v>0</v>
      </c>
    </row>
    <row r="2165">
      <c r="A2165" s="16"/>
      <c r="B2165" s="17"/>
      <c r="C2165" s="24"/>
      <c r="D2165" s="44"/>
      <c r="E2165" s="19"/>
      <c r="F2165" s="35"/>
      <c r="G2165" s="20">
        <v>1899.0</v>
      </c>
      <c r="H2165" s="21"/>
      <c r="I2165" s="21"/>
      <c r="J2165" s="21"/>
      <c r="K2165" s="16"/>
      <c r="L2165" s="22"/>
      <c r="M2165" s="55"/>
      <c r="N2165" s="23" t="s">
        <v>200</v>
      </c>
      <c r="O2165" s="23" t="s">
        <v>200</v>
      </c>
      <c r="P2165" s="24"/>
      <c r="Q2165" s="23"/>
      <c r="R2165" s="25"/>
      <c r="S2165" s="26"/>
      <c r="T2165" s="16" t="b">
        <v>0</v>
      </c>
    </row>
    <row r="2166">
      <c r="A2166" s="4"/>
      <c r="B2166" s="5"/>
      <c r="C2166" s="13"/>
      <c r="D2166" s="39"/>
      <c r="E2166" s="7"/>
      <c r="F2166" s="34"/>
      <c r="G2166" s="8">
        <v>1899.0</v>
      </c>
      <c r="H2166" s="9"/>
      <c r="I2166" s="9"/>
      <c r="J2166" s="9"/>
      <c r="K2166" s="4"/>
      <c r="L2166" s="10"/>
      <c r="M2166" s="54"/>
      <c r="N2166" s="12" t="s">
        <v>200</v>
      </c>
      <c r="O2166" s="12" t="s">
        <v>200</v>
      </c>
      <c r="P2166" s="13"/>
      <c r="Q2166" s="12"/>
      <c r="R2166" s="14"/>
      <c r="S2166" s="15"/>
      <c r="T2166" s="4" t="b">
        <v>0</v>
      </c>
    </row>
    <row r="2167">
      <c r="A2167" s="16"/>
      <c r="B2167" s="17"/>
      <c r="C2167" s="24"/>
      <c r="D2167" s="44"/>
      <c r="E2167" s="19"/>
      <c r="F2167" s="35"/>
      <c r="G2167" s="20">
        <v>1899.0</v>
      </c>
      <c r="H2167" s="21"/>
      <c r="I2167" s="21"/>
      <c r="J2167" s="21"/>
      <c r="K2167" s="16"/>
      <c r="L2167" s="22"/>
      <c r="M2167" s="55"/>
      <c r="N2167" s="23" t="s">
        <v>200</v>
      </c>
      <c r="O2167" s="23" t="s">
        <v>200</v>
      </c>
      <c r="P2167" s="24"/>
      <c r="Q2167" s="23"/>
      <c r="R2167" s="25"/>
      <c r="S2167" s="26"/>
      <c r="T2167" s="16" t="b">
        <v>0</v>
      </c>
    </row>
    <row r="2168">
      <c r="A2168" s="4"/>
      <c r="B2168" s="5"/>
      <c r="C2168" s="13"/>
      <c r="D2168" s="39"/>
      <c r="E2168" s="7"/>
      <c r="F2168" s="34"/>
      <c r="G2168" s="8">
        <v>1899.0</v>
      </c>
      <c r="H2168" s="9"/>
      <c r="I2168" s="9"/>
      <c r="J2168" s="9"/>
      <c r="K2168" s="4"/>
      <c r="L2168" s="10"/>
      <c r="M2168" s="54"/>
      <c r="N2168" s="12" t="s">
        <v>200</v>
      </c>
      <c r="O2168" s="12" t="s">
        <v>200</v>
      </c>
      <c r="P2168" s="13"/>
      <c r="Q2168" s="12"/>
      <c r="R2168" s="14"/>
      <c r="S2168" s="15"/>
      <c r="T2168" s="4" t="b">
        <v>0</v>
      </c>
    </row>
    <row r="2169">
      <c r="A2169" s="16"/>
      <c r="B2169" s="17"/>
      <c r="C2169" s="24"/>
      <c r="D2169" s="44"/>
      <c r="E2169" s="19"/>
      <c r="F2169" s="35"/>
      <c r="G2169" s="20">
        <v>1899.0</v>
      </c>
      <c r="H2169" s="21"/>
      <c r="I2169" s="21"/>
      <c r="J2169" s="21"/>
      <c r="K2169" s="16"/>
      <c r="L2169" s="22"/>
      <c r="M2169" s="55"/>
      <c r="N2169" s="23" t="s">
        <v>200</v>
      </c>
      <c r="O2169" s="23" t="s">
        <v>200</v>
      </c>
      <c r="P2169" s="24"/>
      <c r="Q2169" s="23"/>
      <c r="R2169" s="25"/>
      <c r="S2169" s="26"/>
      <c r="T2169" s="16" t="b">
        <v>0</v>
      </c>
    </row>
    <row r="2170">
      <c r="A2170" s="4"/>
      <c r="B2170" s="5"/>
      <c r="C2170" s="13"/>
      <c r="D2170" s="39"/>
      <c r="E2170" s="7"/>
      <c r="F2170" s="34"/>
      <c r="G2170" s="8">
        <v>1899.0</v>
      </c>
      <c r="H2170" s="9"/>
      <c r="I2170" s="9"/>
      <c r="J2170" s="9"/>
      <c r="K2170" s="4"/>
      <c r="L2170" s="10"/>
      <c r="M2170" s="54"/>
      <c r="N2170" s="12" t="s">
        <v>200</v>
      </c>
      <c r="O2170" s="12" t="s">
        <v>200</v>
      </c>
      <c r="P2170" s="13"/>
      <c r="Q2170" s="12"/>
      <c r="R2170" s="14"/>
      <c r="S2170" s="15"/>
      <c r="T2170" s="4" t="b">
        <v>0</v>
      </c>
    </row>
    <row r="2171">
      <c r="A2171" s="16"/>
      <c r="B2171" s="17"/>
      <c r="C2171" s="24"/>
      <c r="D2171" s="44"/>
      <c r="E2171" s="19"/>
      <c r="F2171" s="35"/>
      <c r="G2171" s="20">
        <v>1899.0</v>
      </c>
      <c r="H2171" s="21"/>
      <c r="I2171" s="21"/>
      <c r="J2171" s="21"/>
      <c r="K2171" s="16"/>
      <c r="L2171" s="22"/>
      <c r="M2171" s="55"/>
      <c r="N2171" s="23" t="s">
        <v>200</v>
      </c>
      <c r="O2171" s="23" t="s">
        <v>200</v>
      </c>
      <c r="P2171" s="24"/>
      <c r="Q2171" s="23"/>
      <c r="R2171" s="25"/>
      <c r="S2171" s="26"/>
      <c r="T2171" s="16" t="b">
        <v>0</v>
      </c>
    </row>
    <row r="2172">
      <c r="A2172" s="4"/>
      <c r="B2172" s="5"/>
      <c r="C2172" s="13"/>
      <c r="D2172" s="39"/>
      <c r="E2172" s="7"/>
      <c r="F2172" s="34"/>
      <c r="G2172" s="8">
        <v>1899.0</v>
      </c>
      <c r="H2172" s="9"/>
      <c r="I2172" s="9"/>
      <c r="J2172" s="9"/>
      <c r="K2172" s="4"/>
      <c r="L2172" s="10"/>
      <c r="M2172" s="54"/>
      <c r="N2172" s="12" t="s">
        <v>200</v>
      </c>
      <c r="O2172" s="12" t="s">
        <v>200</v>
      </c>
      <c r="P2172" s="13"/>
      <c r="Q2172" s="12"/>
      <c r="R2172" s="14"/>
      <c r="S2172" s="15"/>
      <c r="T2172" s="4" t="b">
        <v>0</v>
      </c>
    </row>
    <row r="2173">
      <c r="A2173" s="16"/>
      <c r="B2173" s="17"/>
      <c r="C2173" s="24"/>
      <c r="D2173" s="44"/>
      <c r="E2173" s="19"/>
      <c r="F2173" s="35"/>
      <c r="G2173" s="20">
        <v>1899.0</v>
      </c>
      <c r="H2173" s="21"/>
      <c r="I2173" s="21"/>
      <c r="J2173" s="21"/>
      <c r="K2173" s="16"/>
      <c r="L2173" s="22"/>
      <c r="M2173" s="55"/>
      <c r="N2173" s="23" t="s">
        <v>200</v>
      </c>
      <c r="O2173" s="23" t="s">
        <v>200</v>
      </c>
      <c r="P2173" s="24"/>
      <c r="Q2173" s="23"/>
      <c r="R2173" s="25"/>
      <c r="S2173" s="26"/>
      <c r="T2173" s="16" t="b">
        <v>0</v>
      </c>
    </row>
    <row r="2174">
      <c r="A2174" s="4"/>
      <c r="B2174" s="5"/>
      <c r="C2174" s="13"/>
      <c r="D2174" s="39"/>
      <c r="E2174" s="7"/>
      <c r="F2174" s="34"/>
      <c r="G2174" s="8">
        <v>1899.0</v>
      </c>
      <c r="H2174" s="9"/>
      <c r="I2174" s="9"/>
      <c r="J2174" s="9"/>
      <c r="K2174" s="4"/>
      <c r="L2174" s="10"/>
      <c r="M2174" s="54"/>
      <c r="N2174" s="12" t="s">
        <v>200</v>
      </c>
      <c r="O2174" s="12" t="s">
        <v>200</v>
      </c>
      <c r="P2174" s="13"/>
      <c r="Q2174" s="12"/>
      <c r="R2174" s="14"/>
      <c r="S2174" s="15"/>
      <c r="T2174" s="4" t="b">
        <v>0</v>
      </c>
    </row>
    <row r="2175">
      <c r="A2175" s="16"/>
      <c r="B2175" s="17"/>
      <c r="C2175" s="24"/>
      <c r="D2175" s="44"/>
      <c r="E2175" s="19"/>
      <c r="F2175" s="35"/>
      <c r="G2175" s="20">
        <v>1899.0</v>
      </c>
      <c r="H2175" s="21"/>
      <c r="I2175" s="21"/>
      <c r="J2175" s="21"/>
      <c r="K2175" s="16"/>
      <c r="L2175" s="22"/>
      <c r="M2175" s="55"/>
      <c r="N2175" s="23" t="s">
        <v>200</v>
      </c>
      <c r="O2175" s="23" t="s">
        <v>200</v>
      </c>
      <c r="P2175" s="24"/>
      <c r="Q2175" s="23"/>
      <c r="R2175" s="25"/>
      <c r="S2175" s="26"/>
      <c r="T2175" s="16" t="b">
        <v>0</v>
      </c>
    </row>
    <row r="2176">
      <c r="A2176" s="4"/>
      <c r="B2176" s="5"/>
      <c r="C2176" s="13"/>
      <c r="D2176" s="39"/>
      <c r="E2176" s="7"/>
      <c r="F2176" s="34"/>
      <c r="G2176" s="8">
        <v>1899.0</v>
      </c>
      <c r="H2176" s="9"/>
      <c r="I2176" s="9"/>
      <c r="J2176" s="9"/>
      <c r="K2176" s="4"/>
      <c r="L2176" s="10"/>
      <c r="M2176" s="54"/>
      <c r="N2176" s="12" t="s">
        <v>200</v>
      </c>
      <c r="O2176" s="12" t="s">
        <v>200</v>
      </c>
      <c r="P2176" s="13"/>
      <c r="Q2176" s="12"/>
      <c r="R2176" s="14"/>
      <c r="S2176" s="15"/>
      <c r="T2176" s="4" t="b">
        <v>0</v>
      </c>
    </row>
    <row r="2177">
      <c r="A2177" s="16"/>
      <c r="B2177" s="17"/>
      <c r="C2177" s="24"/>
      <c r="D2177" s="44"/>
      <c r="E2177" s="19"/>
      <c r="F2177" s="35"/>
      <c r="G2177" s="20">
        <v>1899.0</v>
      </c>
      <c r="H2177" s="21"/>
      <c r="I2177" s="21"/>
      <c r="J2177" s="21"/>
      <c r="K2177" s="16"/>
      <c r="L2177" s="22"/>
      <c r="M2177" s="55"/>
      <c r="N2177" s="23" t="s">
        <v>200</v>
      </c>
      <c r="O2177" s="23" t="s">
        <v>200</v>
      </c>
      <c r="P2177" s="24"/>
      <c r="Q2177" s="23"/>
      <c r="R2177" s="25"/>
      <c r="S2177" s="26"/>
      <c r="T2177" s="16" t="b">
        <v>0</v>
      </c>
    </row>
    <row r="2178">
      <c r="A2178" s="4"/>
      <c r="B2178" s="5"/>
      <c r="C2178" s="13"/>
      <c r="D2178" s="39"/>
      <c r="E2178" s="7"/>
      <c r="F2178" s="34"/>
      <c r="G2178" s="8">
        <v>1899.0</v>
      </c>
      <c r="H2178" s="9"/>
      <c r="I2178" s="9"/>
      <c r="J2178" s="9"/>
      <c r="K2178" s="4"/>
      <c r="L2178" s="10"/>
      <c r="M2178" s="54"/>
      <c r="N2178" s="12" t="s">
        <v>200</v>
      </c>
      <c r="O2178" s="12" t="s">
        <v>200</v>
      </c>
      <c r="P2178" s="13"/>
      <c r="Q2178" s="12"/>
      <c r="R2178" s="14"/>
      <c r="S2178" s="15"/>
      <c r="T2178" s="4" t="b">
        <v>0</v>
      </c>
    </row>
    <row r="2179">
      <c r="A2179" s="16"/>
      <c r="B2179" s="17"/>
      <c r="C2179" s="24"/>
      <c r="D2179" s="44"/>
      <c r="E2179" s="19"/>
      <c r="F2179" s="35"/>
      <c r="G2179" s="20">
        <v>1899.0</v>
      </c>
      <c r="H2179" s="21"/>
      <c r="I2179" s="21"/>
      <c r="J2179" s="21"/>
      <c r="K2179" s="16"/>
      <c r="L2179" s="22"/>
      <c r="M2179" s="55"/>
      <c r="N2179" s="23" t="s">
        <v>200</v>
      </c>
      <c r="O2179" s="23" t="s">
        <v>200</v>
      </c>
      <c r="P2179" s="24"/>
      <c r="Q2179" s="23"/>
      <c r="R2179" s="25"/>
      <c r="S2179" s="26"/>
      <c r="T2179" s="16" t="b">
        <v>0</v>
      </c>
    </row>
    <row r="2180">
      <c r="A2180" s="4"/>
      <c r="B2180" s="5"/>
      <c r="C2180" s="13"/>
      <c r="D2180" s="39"/>
      <c r="E2180" s="7"/>
      <c r="F2180" s="34"/>
      <c r="G2180" s="8">
        <v>1899.0</v>
      </c>
      <c r="H2180" s="9"/>
      <c r="I2180" s="9"/>
      <c r="J2180" s="9"/>
      <c r="K2180" s="4"/>
      <c r="L2180" s="10"/>
      <c r="M2180" s="54"/>
      <c r="N2180" s="12" t="s">
        <v>200</v>
      </c>
      <c r="O2180" s="12" t="s">
        <v>200</v>
      </c>
      <c r="P2180" s="13"/>
      <c r="Q2180" s="12"/>
      <c r="R2180" s="14"/>
      <c r="S2180" s="15"/>
      <c r="T2180" s="4" t="b">
        <v>0</v>
      </c>
    </row>
    <row r="2181">
      <c r="A2181" s="16"/>
      <c r="B2181" s="17"/>
      <c r="C2181" s="24"/>
      <c r="D2181" s="44"/>
      <c r="E2181" s="19"/>
      <c r="F2181" s="35"/>
      <c r="G2181" s="20">
        <v>1899.0</v>
      </c>
      <c r="H2181" s="21"/>
      <c r="I2181" s="21"/>
      <c r="J2181" s="21"/>
      <c r="K2181" s="16"/>
      <c r="L2181" s="22"/>
      <c r="M2181" s="55"/>
      <c r="N2181" s="23" t="s">
        <v>200</v>
      </c>
      <c r="O2181" s="23" t="s">
        <v>200</v>
      </c>
      <c r="P2181" s="24"/>
      <c r="Q2181" s="23"/>
      <c r="R2181" s="25"/>
      <c r="S2181" s="26"/>
      <c r="T2181" s="16" t="b">
        <v>0</v>
      </c>
    </row>
    <row r="2182">
      <c r="A2182" s="4"/>
      <c r="B2182" s="5"/>
      <c r="C2182" s="13"/>
      <c r="D2182" s="39"/>
      <c r="E2182" s="7"/>
      <c r="F2182" s="34"/>
      <c r="G2182" s="8">
        <v>1899.0</v>
      </c>
      <c r="H2182" s="9"/>
      <c r="I2182" s="9"/>
      <c r="J2182" s="9"/>
      <c r="K2182" s="4"/>
      <c r="L2182" s="10"/>
      <c r="M2182" s="54"/>
      <c r="N2182" s="12" t="s">
        <v>200</v>
      </c>
      <c r="O2182" s="12" t="s">
        <v>200</v>
      </c>
      <c r="P2182" s="13"/>
      <c r="Q2182" s="12"/>
      <c r="R2182" s="14"/>
      <c r="S2182" s="15"/>
      <c r="T2182" s="4" t="b">
        <v>0</v>
      </c>
    </row>
    <row r="2183">
      <c r="A2183" s="16"/>
      <c r="B2183" s="17"/>
      <c r="C2183" s="24"/>
      <c r="D2183" s="44"/>
      <c r="E2183" s="19"/>
      <c r="F2183" s="35"/>
      <c r="G2183" s="20">
        <v>1899.0</v>
      </c>
      <c r="H2183" s="21"/>
      <c r="I2183" s="21"/>
      <c r="J2183" s="21"/>
      <c r="K2183" s="16"/>
      <c r="L2183" s="22"/>
      <c r="M2183" s="55"/>
      <c r="N2183" s="23" t="s">
        <v>200</v>
      </c>
      <c r="O2183" s="23" t="s">
        <v>200</v>
      </c>
      <c r="P2183" s="24"/>
      <c r="Q2183" s="23"/>
      <c r="R2183" s="25"/>
      <c r="S2183" s="26"/>
      <c r="T2183" s="16" t="b">
        <v>0</v>
      </c>
    </row>
    <row r="2184">
      <c r="A2184" s="4"/>
      <c r="B2184" s="5"/>
      <c r="C2184" s="13"/>
      <c r="D2184" s="39"/>
      <c r="E2184" s="7"/>
      <c r="F2184" s="34"/>
      <c r="G2184" s="8">
        <v>1899.0</v>
      </c>
      <c r="H2184" s="9"/>
      <c r="I2184" s="9"/>
      <c r="J2184" s="9"/>
      <c r="K2184" s="4"/>
      <c r="L2184" s="10"/>
      <c r="M2184" s="54"/>
      <c r="N2184" s="12" t="s">
        <v>200</v>
      </c>
      <c r="O2184" s="12" t="s">
        <v>200</v>
      </c>
      <c r="P2184" s="13"/>
      <c r="Q2184" s="12"/>
      <c r="R2184" s="14"/>
      <c r="S2184" s="15"/>
      <c r="T2184" s="4" t="b">
        <v>0</v>
      </c>
    </row>
    <row r="2185">
      <c r="A2185" s="16"/>
      <c r="B2185" s="17"/>
      <c r="C2185" s="24"/>
      <c r="D2185" s="44"/>
      <c r="E2185" s="19"/>
      <c r="F2185" s="35"/>
      <c r="G2185" s="20">
        <v>1899.0</v>
      </c>
      <c r="H2185" s="21"/>
      <c r="I2185" s="21"/>
      <c r="J2185" s="21"/>
      <c r="K2185" s="16"/>
      <c r="L2185" s="22"/>
      <c r="M2185" s="55"/>
      <c r="N2185" s="23" t="s">
        <v>200</v>
      </c>
      <c r="O2185" s="23" t="s">
        <v>200</v>
      </c>
      <c r="P2185" s="24"/>
      <c r="Q2185" s="23"/>
      <c r="R2185" s="25"/>
      <c r="S2185" s="26"/>
      <c r="T2185" s="16" t="b">
        <v>0</v>
      </c>
    </row>
    <row r="2186">
      <c r="A2186" s="4"/>
      <c r="B2186" s="5"/>
      <c r="C2186" s="13"/>
      <c r="D2186" s="39"/>
      <c r="E2186" s="7"/>
      <c r="F2186" s="34"/>
      <c r="G2186" s="8">
        <v>1899.0</v>
      </c>
      <c r="H2186" s="9"/>
      <c r="I2186" s="9"/>
      <c r="J2186" s="9"/>
      <c r="K2186" s="4"/>
      <c r="L2186" s="10"/>
      <c r="M2186" s="54"/>
      <c r="N2186" s="12" t="s">
        <v>200</v>
      </c>
      <c r="O2186" s="12" t="s">
        <v>200</v>
      </c>
      <c r="P2186" s="13"/>
      <c r="Q2186" s="12"/>
      <c r="R2186" s="14"/>
      <c r="S2186" s="15"/>
      <c r="T2186" s="4" t="b">
        <v>0</v>
      </c>
    </row>
    <row r="2187">
      <c r="A2187" s="16"/>
      <c r="B2187" s="17"/>
      <c r="C2187" s="24"/>
      <c r="D2187" s="44"/>
      <c r="E2187" s="19"/>
      <c r="F2187" s="35"/>
      <c r="G2187" s="20">
        <v>1899.0</v>
      </c>
      <c r="H2187" s="21"/>
      <c r="I2187" s="21"/>
      <c r="J2187" s="21"/>
      <c r="K2187" s="16"/>
      <c r="L2187" s="22"/>
      <c r="M2187" s="55"/>
      <c r="N2187" s="23" t="s">
        <v>200</v>
      </c>
      <c r="O2187" s="23" t="s">
        <v>200</v>
      </c>
      <c r="P2187" s="24"/>
      <c r="Q2187" s="23"/>
      <c r="R2187" s="25"/>
      <c r="S2187" s="26"/>
      <c r="T2187" s="16" t="b">
        <v>0</v>
      </c>
    </row>
    <row r="2188">
      <c r="A2188" s="4"/>
      <c r="B2188" s="5"/>
      <c r="C2188" s="13"/>
      <c r="D2188" s="39"/>
      <c r="E2188" s="7"/>
      <c r="F2188" s="34"/>
      <c r="G2188" s="8">
        <v>1899.0</v>
      </c>
      <c r="H2188" s="9"/>
      <c r="I2188" s="9"/>
      <c r="J2188" s="9"/>
      <c r="K2188" s="4"/>
      <c r="L2188" s="10"/>
      <c r="M2188" s="54"/>
      <c r="N2188" s="12" t="s">
        <v>200</v>
      </c>
      <c r="O2188" s="12" t="s">
        <v>200</v>
      </c>
      <c r="P2188" s="13"/>
      <c r="Q2188" s="12"/>
      <c r="R2188" s="14"/>
      <c r="S2188" s="15"/>
      <c r="T2188" s="4" t="b">
        <v>0</v>
      </c>
    </row>
    <row r="2189">
      <c r="A2189" s="16"/>
      <c r="B2189" s="17"/>
      <c r="C2189" s="24"/>
      <c r="D2189" s="44"/>
      <c r="E2189" s="19"/>
      <c r="F2189" s="35"/>
      <c r="G2189" s="20">
        <v>1899.0</v>
      </c>
      <c r="H2189" s="21"/>
      <c r="I2189" s="21"/>
      <c r="J2189" s="21"/>
      <c r="K2189" s="16"/>
      <c r="L2189" s="22"/>
      <c r="M2189" s="55"/>
      <c r="N2189" s="23" t="s">
        <v>200</v>
      </c>
      <c r="O2189" s="23" t="s">
        <v>200</v>
      </c>
      <c r="P2189" s="24"/>
      <c r="Q2189" s="23"/>
      <c r="R2189" s="25"/>
      <c r="S2189" s="26"/>
      <c r="T2189" s="16" t="b">
        <v>0</v>
      </c>
    </row>
    <row r="2190">
      <c r="A2190" s="4"/>
      <c r="B2190" s="5"/>
      <c r="C2190" s="13"/>
      <c r="D2190" s="39"/>
      <c r="E2190" s="7"/>
      <c r="F2190" s="34"/>
      <c r="G2190" s="8">
        <v>1899.0</v>
      </c>
      <c r="H2190" s="9"/>
      <c r="I2190" s="9"/>
      <c r="J2190" s="9"/>
      <c r="K2190" s="4"/>
      <c r="L2190" s="10"/>
      <c r="M2190" s="54"/>
      <c r="N2190" s="12" t="s">
        <v>200</v>
      </c>
      <c r="O2190" s="12" t="s">
        <v>200</v>
      </c>
      <c r="P2190" s="13"/>
      <c r="Q2190" s="12"/>
      <c r="R2190" s="14"/>
      <c r="S2190" s="15"/>
      <c r="T2190" s="4" t="b">
        <v>0</v>
      </c>
    </row>
    <row r="2191">
      <c r="A2191" s="16"/>
      <c r="B2191" s="17"/>
      <c r="C2191" s="24"/>
      <c r="D2191" s="44"/>
      <c r="E2191" s="19"/>
      <c r="F2191" s="35"/>
      <c r="G2191" s="20">
        <v>1899.0</v>
      </c>
      <c r="H2191" s="21"/>
      <c r="I2191" s="21"/>
      <c r="J2191" s="21"/>
      <c r="K2191" s="16"/>
      <c r="L2191" s="22"/>
      <c r="M2191" s="55"/>
      <c r="N2191" s="23" t="s">
        <v>200</v>
      </c>
      <c r="O2191" s="23" t="s">
        <v>200</v>
      </c>
      <c r="P2191" s="24"/>
      <c r="Q2191" s="23"/>
      <c r="R2191" s="25"/>
      <c r="S2191" s="26"/>
      <c r="T2191" s="16" t="b">
        <v>0</v>
      </c>
    </row>
    <row r="2192">
      <c r="A2192" s="4"/>
      <c r="B2192" s="5"/>
      <c r="C2192" s="13"/>
      <c r="D2192" s="39"/>
      <c r="E2192" s="7"/>
      <c r="F2192" s="34"/>
      <c r="G2192" s="8">
        <v>1899.0</v>
      </c>
      <c r="H2192" s="9"/>
      <c r="I2192" s="9"/>
      <c r="J2192" s="9"/>
      <c r="K2192" s="4"/>
      <c r="L2192" s="10"/>
      <c r="M2192" s="54"/>
      <c r="N2192" s="12" t="s">
        <v>200</v>
      </c>
      <c r="O2192" s="12" t="s">
        <v>200</v>
      </c>
      <c r="P2192" s="13"/>
      <c r="Q2192" s="12"/>
      <c r="R2192" s="14"/>
      <c r="S2192" s="15"/>
      <c r="T2192" s="4" t="b">
        <v>0</v>
      </c>
    </row>
    <row r="2193">
      <c r="A2193" s="16"/>
      <c r="B2193" s="17"/>
      <c r="C2193" s="24"/>
      <c r="D2193" s="44"/>
      <c r="E2193" s="19"/>
      <c r="F2193" s="35"/>
      <c r="G2193" s="20">
        <v>1899.0</v>
      </c>
      <c r="H2193" s="21"/>
      <c r="I2193" s="21"/>
      <c r="J2193" s="21"/>
      <c r="K2193" s="16"/>
      <c r="L2193" s="22"/>
      <c r="M2193" s="55"/>
      <c r="N2193" s="23" t="s">
        <v>200</v>
      </c>
      <c r="O2193" s="23" t="s">
        <v>200</v>
      </c>
      <c r="P2193" s="24"/>
      <c r="Q2193" s="23"/>
      <c r="R2193" s="25"/>
      <c r="S2193" s="26"/>
      <c r="T2193" s="16" t="b">
        <v>0</v>
      </c>
    </row>
    <row r="2194">
      <c r="A2194" s="4"/>
      <c r="B2194" s="5"/>
      <c r="C2194" s="13"/>
      <c r="D2194" s="39"/>
      <c r="E2194" s="7"/>
      <c r="F2194" s="34"/>
      <c r="G2194" s="8">
        <v>1899.0</v>
      </c>
      <c r="H2194" s="9"/>
      <c r="I2194" s="9"/>
      <c r="J2194" s="9"/>
      <c r="K2194" s="4"/>
      <c r="L2194" s="10"/>
      <c r="M2194" s="54"/>
      <c r="N2194" s="12" t="s">
        <v>200</v>
      </c>
      <c r="O2194" s="12" t="s">
        <v>200</v>
      </c>
      <c r="P2194" s="13"/>
      <c r="Q2194" s="12"/>
      <c r="R2194" s="14"/>
      <c r="S2194" s="15"/>
      <c r="T2194" s="4" t="b">
        <v>0</v>
      </c>
    </row>
    <row r="2195">
      <c r="A2195" s="16"/>
      <c r="B2195" s="17"/>
      <c r="C2195" s="24"/>
      <c r="D2195" s="44"/>
      <c r="E2195" s="19"/>
      <c r="F2195" s="35"/>
      <c r="G2195" s="20">
        <v>1899.0</v>
      </c>
      <c r="H2195" s="21"/>
      <c r="I2195" s="21"/>
      <c r="J2195" s="21"/>
      <c r="K2195" s="16"/>
      <c r="L2195" s="22"/>
      <c r="M2195" s="55"/>
      <c r="N2195" s="23" t="s">
        <v>200</v>
      </c>
      <c r="O2195" s="23" t="s">
        <v>200</v>
      </c>
      <c r="P2195" s="24"/>
      <c r="Q2195" s="23"/>
      <c r="R2195" s="25"/>
      <c r="S2195" s="26"/>
      <c r="T2195" s="16" t="b">
        <v>0</v>
      </c>
    </row>
    <row r="2196">
      <c r="A2196" s="4"/>
      <c r="B2196" s="5"/>
      <c r="C2196" s="13"/>
      <c r="D2196" s="39"/>
      <c r="E2196" s="7"/>
      <c r="F2196" s="34"/>
      <c r="G2196" s="8">
        <v>1899.0</v>
      </c>
      <c r="H2196" s="9"/>
      <c r="I2196" s="9"/>
      <c r="J2196" s="9"/>
      <c r="K2196" s="4"/>
      <c r="L2196" s="10"/>
      <c r="M2196" s="54"/>
      <c r="N2196" s="12" t="s">
        <v>200</v>
      </c>
      <c r="O2196" s="12" t="s">
        <v>200</v>
      </c>
      <c r="P2196" s="13"/>
      <c r="Q2196" s="12"/>
      <c r="R2196" s="14"/>
      <c r="S2196" s="15"/>
      <c r="T2196" s="4" t="b">
        <v>0</v>
      </c>
    </row>
    <row r="2197">
      <c r="A2197" s="16"/>
      <c r="B2197" s="17"/>
      <c r="C2197" s="24"/>
      <c r="D2197" s="44"/>
      <c r="E2197" s="19"/>
      <c r="F2197" s="35"/>
      <c r="G2197" s="20">
        <v>1899.0</v>
      </c>
      <c r="H2197" s="21"/>
      <c r="I2197" s="21"/>
      <c r="J2197" s="21"/>
      <c r="K2197" s="16"/>
      <c r="L2197" s="22"/>
      <c r="M2197" s="55"/>
      <c r="N2197" s="23" t="s">
        <v>200</v>
      </c>
      <c r="O2197" s="23" t="s">
        <v>200</v>
      </c>
      <c r="P2197" s="24"/>
      <c r="Q2197" s="23"/>
      <c r="R2197" s="25"/>
      <c r="S2197" s="26"/>
      <c r="T2197" s="16" t="b">
        <v>0</v>
      </c>
    </row>
    <row r="2198">
      <c r="A2198" s="4"/>
      <c r="B2198" s="5"/>
      <c r="C2198" s="13"/>
      <c r="D2198" s="39"/>
      <c r="E2198" s="7"/>
      <c r="F2198" s="34"/>
      <c r="G2198" s="8">
        <v>1899.0</v>
      </c>
      <c r="H2198" s="9"/>
      <c r="I2198" s="9"/>
      <c r="J2198" s="9"/>
      <c r="K2198" s="4"/>
      <c r="L2198" s="10"/>
      <c r="M2198" s="54"/>
      <c r="N2198" s="12" t="s">
        <v>200</v>
      </c>
      <c r="O2198" s="12" t="s">
        <v>200</v>
      </c>
      <c r="P2198" s="13"/>
      <c r="Q2198" s="12"/>
      <c r="R2198" s="14"/>
      <c r="S2198" s="15"/>
      <c r="T2198" s="4" t="b">
        <v>0</v>
      </c>
    </row>
    <row r="2199">
      <c r="A2199" s="16"/>
      <c r="B2199" s="17"/>
      <c r="C2199" s="24"/>
      <c r="D2199" s="44"/>
      <c r="E2199" s="19"/>
      <c r="F2199" s="35"/>
      <c r="G2199" s="20">
        <v>1899.0</v>
      </c>
      <c r="H2199" s="21"/>
      <c r="I2199" s="21"/>
      <c r="J2199" s="21"/>
      <c r="K2199" s="16"/>
      <c r="L2199" s="22"/>
      <c r="M2199" s="55"/>
      <c r="N2199" s="23" t="s">
        <v>200</v>
      </c>
      <c r="O2199" s="23" t="s">
        <v>200</v>
      </c>
      <c r="P2199" s="24"/>
      <c r="Q2199" s="23"/>
      <c r="R2199" s="25"/>
      <c r="S2199" s="26"/>
      <c r="T2199" s="16" t="b">
        <v>0</v>
      </c>
    </row>
    <row r="2200">
      <c r="A2200" s="4"/>
      <c r="B2200" s="5"/>
      <c r="C2200" s="13"/>
      <c r="D2200" s="39"/>
      <c r="E2200" s="7"/>
      <c r="F2200" s="34"/>
      <c r="G2200" s="8">
        <v>1899.0</v>
      </c>
      <c r="H2200" s="9"/>
      <c r="I2200" s="9"/>
      <c r="J2200" s="9"/>
      <c r="K2200" s="4"/>
      <c r="L2200" s="10"/>
      <c r="M2200" s="54"/>
      <c r="N2200" s="12" t="s">
        <v>200</v>
      </c>
      <c r="O2200" s="12" t="s">
        <v>200</v>
      </c>
      <c r="P2200" s="13"/>
      <c r="Q2200" s="12"/>
      <c r="R2200" s="14"/>
      <c r="S2200" s="15"/>
      <c r="T2200" s="4" t="b">
        <v>0</v>
      </c>
    </row>
    <row r="2201">
      <c r="A2201" s="16"/>
      <c r="B2201" s="17"/>
      <c r="C2201" s="24"/>
      <c r="D2201" s="44"/>
      <c r="E2201" s="19"/>
      <c r="F2201" s="35"/>
      <c r="G2201" s="20">
        <v>1899.0</v>
      </c>
      <c r="H2201" s="21"/>
      <c r="I2201" s="21"/>
      <c r="J2201" s="21"/>
      <c r="K2201" s="16"/>
      <c r="L2201" s="22"/>
      <c r="M2201" s="55"/>
      <c r="N2201" s="23" t="s">
        <v>200</v>
      </c>
      <c r="O2201" s="23" t="s">
        <v>200</v>
      </c>
      <c r="P2201" s="24"/>
      <c r="Q2201" s="23"/>
      <c r="R2201" s="25"/>
      <c r="S2201" s="26"/>
      <c r="T2201" s="16" t="b">
        <v>0</v>
      </c>
    </row>
    <row r="2202">
      <c r="A2202" s="4"/>
      <c r="B2202" s="5"/>
      <c r="C2202" s="13"/>
      <c r="D2202" s="39"/>
      <c r="E2202" s="7"/>
      <c r="F2202" s="34"/>
      <c r="G2202" s="8">
        <v>1899.0</v>
      </c>
      <c r="H2202" s="9"/>
      <c r="I2202" s="9"/>
      <c r="J2202" s="9"/>
      <c r="K2202" s="4"/>
      <c r="L2202" s="10"/>
      <c r="M2202" s="54"/>
      <c r="N2202" s="12" t="s">
        <v>200</v>
      </c>
      <c r="O2202" s="12" t="s">
        <v>200</v>
      </c>
      <c r="P2202" s="13"/>
      <c r="Q2202" s="12"/>
      <c r="R2202" s="14"/>
      <c r="S2202" s="15"/>
      <c r="T2202" s="4" t="b">
        <v>0</v>
      </c>
    </row>
    <row r="2203">
      <c r="A2203" s="16"/>
      <c r="B2203" s="17"/>
      <c r="C2203" s="24"/>
      <c r="D2203" s="44"/>
      <c r="E2203" s="19"/>
      <c r="F2203" s="35"/>
      <c r="G2203" s="20">
        <v>1899.0</v>
      </c>
      <c r="H2203" s="21"/>
      <c r="I2203" s="21"/>
      <c r="J2203" s="21"/>
      <c r="K2203" s="16"/>
      <c r="L2203" s="22"/>
      <c r="M2203" s="55"/>
      <c r="N2203" s="23" t="s">
        <v>200</v>
      </c>
      <c r="O2203" s="23" t="s">
        <v>200</v>
      </c>
      <c r="P2203" s="24"/>
      <c r="Q2203" s="23"/>
      <c r="R2203" s="25"/>
      <c r="S2203" s="26"/>
      <c r="T2203" s="16" t="b">
        <v>0</v>
      </c>
    </row>
    <row r="2204">
      <c r="A2204" s="4"/>
      <c r="B2204" s="5"/>
      <c r="C2204" s="13"/>
      <c r="D2204" s="39"/>
      <c r="E2204" s="7"/>
      <c r="F2204" s="34"/>
      <c r="G2204" s="8">
        <v>1899.0</v>
      </c>
      <c r="H2204" s="9"/>
      <c r="I2204" s="9"/>
      <c r="J2204" s="9"/>
      <c r="K2204" s="4"/>
      <c r="L2204" s="10"/>
      <c r="M2204" s="54"/>
      <c r="N2204" s="12" t="s">
        <v>200</v>
      </c>
      <c r="O2204" s="12" t="s">
        <v>200</v>
      </c>
      <c r="P2204" s="13"/>
      <c r="Q2204" s="12"/>
      <c r="R2204" s="14"/>
      <c r="S2204" s="15"/>
      <c r="T2204" s="4" t="b">
        <v>0</v>
      </c>
    </row>
    <row r="2205">
      <c r="A2205" s="16"/>
      <c r="B2205" s="17"/>
      <c r="C2205" s="24"/>
      <c r="D2205" s="44"/>
      <c r="E2205" s="19"/>
      <c r="F2205" s="35"/>
      <c r="G2205" s="20">
        <v>1899.0</v>
      </c>
      <c r="H2205" s="21"/>
      <c r="I2205" s="21"/>
      <c r="J2205" s="21"/>
      <c r="K2205" s="16"/>
      <c r="L2205" s="22"/>
      <c r="M2205" s="55"/>
      <c r="N2205" s="23" t="s">
        <v>200</v>
      </c>
      <c r="O2205" s="23" t="s">
        <v>200</v>
      </c>
      <c r="P2205" s="24"/>
      <c r="Q2205" s="23"/>
      <c r="R2205" s="25"/>
      <c r="S2205" s="26"/>
      <c r="T2205" s="16" t="b">
        <v>0</v>
      </c>
    </row>
    <row r="2206">
      <c r="A2206" s="4"/>
      <c r="B2206" s="5"/>
      <c r="C2206" s="13"/>
      <c r="D2206" s="39"/>
      <c r="E2206" s="7"/>
      <c r="F2206" s="34"/>
      <c r="G2206" s="8">
        <v>1899.0</v>
      </c>
      <c r="H2206" s="9"/>
      <c r="I2206" s="9"/>
      <c r="J2206" s="9"/>
      <c r="K2206" s="4"/>
      <c r="L2206" s="10"/>
      <c r="M2206" s="54"/>
      <c r="N2206" s="12" t="s">
        <v>200</v>
      </c>
      <c r="O2206" s="12" t="s">
        <v>200</v>
      </c>
      <c r="P2206" s="13"/>
      <c r="Q2206" s="12"/>
      <c r="R2206" s="14"/>
      <c r="S2206" s="15"/>
      <c r="T2206" s="4" t="b">
        <v>0</v>
      </c>
    </row>
    <row r="2207">
      <c r="A2207" s="16"/>
      <c r="B2207" s="17"/>
      <c r="C2207" s="24"/>
      <c r="D2207" s="44"/>
      <c r="E2207" s="19"/>
      <c r="F2207" s="35"/>
      <c r="G2207" s="20">
        <v>1899.0</v>
      </c>
      <c r="H2207" s="21"/>
      <c r="I2207" s="21"/>
      <c r="J2207" s="21"/>
      <c r="K2207" s="16"/>
      <c r="L2207" s="22"/>
      <c r="M2207" s="55"/>
      <c r="N2207" s="23" t="s">
        <v>200</v>
      </c>
      <c r="O2207" s="23" t="s">
        <v>200</v>
      </c>
      <c r="P2207" s="24"/>
      <c r="Q2207" s="23"/>
      <c r="R2207" s="25"/>
      <c r="S2207" s="26"/>
      <c r="T2207" s="16" t="b">
        <v>0</v>
      </c>
    </row>
    <row r="2208">
      <c r="A2208" s="4"/>
      <c r="B2208" s="5"/>
      <c r="C2208" s="13"/>
      <c r="D2208" s="39"/>
      <c r="E2208" s="7"/>
      <c r="F2208" s="34"/>
      <c r="G2208" s="8">
        <v>1899.0</v>
      </c>
      <c r="H2208" s="9"/>
      <c r="I2208" s="9"/>
      <c r="J2208" s="9"/>
      <c r="K2208" s="4"/>
      <c r="L2208" s="10"/>
      <c r="M2208" s="54"/>
      <c r="N2208" s="12" t="s">
        <v>200</v>
      </c>
      <c r="O2208" s="12" t="s">
        <v>200</v>
      </c>
      <c r="P2208" s="13"/>
      <c r="Q2208" s="12"/>
      <c r="R2208" s="14"/>
      <c r="S2208" s="15"/>
      <c r="T2208" s="4" t="b">
        <v>0</v>
      </c>
    </row>
    <row r="2209">
      <c r="A2209" s="16"/>
      <c r="B2209" s="17"/>
      <c r="C2209" s="24"/>
      <c r="D2209" s="44"/>
      <c r="E2209" s="19"/>
      <c r="F2209" s="35"/>
      <c r="G2209" s="20">
        <v>1899.0</v>
      </c>
      <c r="H2209" s="21"/>
      <c r="I2209" s="21"/>
      <c r="J2209" s="21"/>
      <c r="K2209" s="16"/>
      <c r="L2209" s="22"/>
      <c r="M2209" s="55"/>
      <c r="N2209" s="23" t="s">
        <v>200</v>
      </c>
      <c r="O2209" s="23" t="s">
        <v>200</v>
      </c>
      <c r="P2209" s="24"/>
      <c r="Q2209" s="23"/>
      <c r="R2209" s="25"/>
      <c r="S2209" s="26"/>
      <c r="T2209" s="16" t="b">
        <v>0</v>
      </c>
    </row>
    <row r="2210">
      <c r="A2210" s="4"/>
      <c r="B2210" s="5"/>
      <c r="C2210" s="13"/>
      <c r="D2210" s="39"/>
      <c r="E2210" s="7"/>
      <c r="F2210" s="34"/>
      <c r="G2210" s="8">
        <v>1899.0</v>
      </c>
      <c r="H2210" s="9"/>
      <c r="I2210" s="9"/>
      <c r="J2210" s="9"/>
      <c r="K2210" s="4"/>
      <c r="L2210" s="10"/>
      <c r="M2210" s="54"/>
      <c r="N2210" s="12" t="s">
        <v>200</v>
      </c>
      <c r="O2210" s="12" t="s">
        <v>200</v>
      </c>
      <c r="P2210" s="13"/>
      <c r="Q2210" s="12"/>
      <c r="R2210" s="14"/>
      <c r="S2210" s="15"/>
      <c r="T2210" s="4" t="b">
        <v>0</v>
      </c>
    </row>
    <row r="2211">
      <c r="A2211" s="16"/>
      <c r="B2211" s="17"/>
      <c r="C2211" s="24"/>
      <c r="D2211" s="44"/>
      <c r="E2211" s="19"/>
      <c r="F2211" s="35"/>
      <c r="G2211" s="20">
        <v>1899.0</v>
      </c>
      <c r="H2211" s="21"/>
      <c r="I2211" s="21"/>
      <c r="J2211" s="21"/>
      <c r="K2211" s="16"/>
      <c r="L2211" s="22"/>
      <c r="M2211" s="55"/>
      <c r="N2211" s="23" t="s">
        <v>200</v>
      </c>
      <c r="O2211" s="23" t="s">
        <v>200</v>
      </c>
      <c r="P2211" s="24"/>
      <c r="Q2211" s="23"/>
      <c r="R2211" s="25"/>
      <c r="S2211" s="26"/>
      <c r="T2211" s="16" t="b">
        <v>0</v>
      </c>
    </row>
    <row r="2212">
      <c r="A2212" s="4"/>
      <c r="B2212" s="5"/>
      <c r="C2212" s="13"/>
      <c r="D2212" s="39"/>
      <c r="E2212" s="7"/>
      <c r="F2212" s="34"/>
      <c r="G2212" s="8">
        <v>1899.0</v>
      </c>
      <c r="H2212" s="9"/>
      <c r="I2212" s="9"/>
      <c r="J2212" s="9"/>
      <c r="K2212" s="4"/>
      <c r="L2212" s="10"/>
      <c r="M2212" s="54"/>
      <c r="N2212" s="12" t="s">
        <v>200</v>
      </c>
      <c r="O2212" s="12" t="s">
        <v>200</v>
      </c>
      <c r="P2212" s="13"/>
      <c r="Q2212" s="12"/>
      <c r="R2212" s="14"/>
      <c r="S2212" s="15"/>
      <c r="T2212" s="4" t="b">
        <v>0</v>
      </c>
    </row>
    <row r="2213">
      <c r="A2213" s="16"/>
      <c r="B2213" s="17"/>
      <c r="C2213" s="24"/>
      <c r="D2213" s="44"/>
      <c r="E2213" s="19"/>
      <c r="F2213" s="35"/>
      <c r="G2213" s="20">
        <v>1899.0</v>
      </c>
      <c r="H2213" s="21"/>
      <c r="I2213" s="21"/>
      <c r="J2213" s="21"/>
      <c r="K2213" s="16"/>
      <c r="L2213" s="22"/>
      <c r="M2213" s="55"/>
      <c r="N2213" s="23" t="s">
        <v>200</v>
      </c>
      <c r="O2213" s="23" t="s">
        <v>200</v>
      </c>
      <c r="P2213" s="24"/>
      <c r="Q2213" s="23"/>
      <c r="R2213" s="25"/>
      <c r="S2213" s="26"/>
      <c r="T2213" s="16" t="b">
        <v>0</v>
      </c>
    </row>
    <row r="2214">
      <c r="A2214" s="4"/>
      <c r="B2214" s="5"/>
      <c r="C2214" s="13"/>
      <c r="D2214" s="39"/>
      <c r="E2214" s="7"/>
      <c r="F2214" s="34"/>
      <c r="G2214" s="8">
        <v>1899.0</v>
      </c>
      <c r="H2214" s="9"/>
      <c r="I2214" s="9"/>
      <c r="J2214" s="9"/>
      <c r="K2214" s="4"/>
      <c r="L2214" s="10"/>
      <c r="M2214" s="54"/>
      <c r="N2214" s="12" t="s">
        <v>200</v>
      </c>
      <c r="O2214" s="12" t="s">
        <v>200</v>
      </c>
      <c r="P2214" s="13"/>
      <c r="Q2214" s="12"/>
      <c r="R2214" s="14"/>
      <c r="S2214" s="15"/>
      <c r="T2214" s="4" t="b">
        <v>0</v>
      </c>
    </row>
    <row r="2215">
      <c r="A2215" s="16"/>
      <c r="B2215" s="17"/>
      <c r="C2215" s="24"/>
      <c r="D2215" s="44"/>
      <c r="E2215" s="19"/>
      <c r="F2215" s="35"/>
      <c r="G2215" s="20">
        <v>1899.0</v>
      </c>
      <c r="H2215" s="21"/>
      <c r="I2215" s="21"/>
      <c r="J2215" s="21"/>
      <c r="K2215" s="16"/>
      <c r="L2215" s="22"/>
      <c r="M2215" s="55"/>
      <c r="N2215" s="23" t="s">
        <v>200</v>
      </c>
      <c r="O2215" s="23" t="s">
        <v>200</v>
      </c>
      <c r="P2215" s="24"/>
      <c r="Q2215" s="23"/>
      <c r="R2215" s="25"/>
      <c r="S2215" s="26"/>
      <c r="T2215" s="16" t="b">
        <v>0</v>
      </c>
    </row>
    <row r="2216">
      <c r="A2216" s="4"/>
      <c r="B2216" s="5"/>
      <c r="C2216" s="13"/>
      <c r="D2216" s="39"/>
      <c r="E2216" s="7"/>
      <c r="F2216" s="34"/>
      <c r="G2216" s="8">
        <v>1899.0</v>
      </c>
      <c r="H2216" s="9"/>
      <c r="I2216" s="9"/>
      <c r="J2216" s="9"/>
      <c r="K2216" s="4"/>
      <c r="L2216" s="10"/>
      <c r="M2216" s="54"/>
      <c r="N2216" s="12" t="s">
        <v>200</v>
      </c>
      <c r="O2216" s="12" t="s">
        <v>200</v>
      </c>
      <c r="P2216" s="13"/>
      <c r="Q2216" s="12"/>
      <c r="R2216" s="14"/>
      <c r="S2216" s="15"/>
      <c r="T2216" s="4" t="b">
        <v>0</v>
      </c>
    </row>
    <row r="2217">
      <c r="A2217" s="16"/>
      <c r="B2217" s="17"/>
      <c r="C2217" s="24"/>
      <c r="D2217" s="44"/>
      <c r="E2217" s="19"/>
      <c r="F2217" s="35"/>
      <c r="G2217" s="20">
        <v>1899.0</v>
      </c>
      <c r="H2217" s="21"/>
      <c r="I2217" s="21"/>
      <c r="J2217" s="21"/>
      <c r="K2217" s="16"/>
      <c r="L2217" s="22"/>
      <c r="M2217" s="55"/>
      <c r="N2217" s="23" t="s">
        <v>200</v>
      </c>
      <c r="O2217" s="23" t="s">
        <v>200</v>
      </c>
      <c r="P2217" s="24"/>
      <c r="Q2217" s="23"/>
      <c r="R2217" s="25"/>
      <c r="S2217" s="26"/>
      <c r="T2217" s="16" t="b">
        <v>0</v>
      </c>
    </row>
    <row r="2218">
      <c r="A2218" s="4"/>
      <c r="B2218" s="5"/>
      <c r="C2218" s="13"/>
      <c r="D2218" s="39"/>
      <c r="E2218" s="7"/>
      <c r="F2218" s="34"/>
      <c r="G2218" s="8">
        <v>1899.0</v>
      </c>
      <c r="H2218" s="9"/>
      <c r="I2218" s="9"/>
      <c r="J2218" s="9"/>
      <c r="K2218" s="4"/>
      <c r="L2218" s="10"/>
      <c r="M2218" s="54"/>
      <c r="N2218" s="12" t="s">
        <v>200</v>
      </c>
      <c r="O2218" s="12" t="s">
        <v>200</v>
      </c>
      <c r="P2218" s="13"/>
      <c r="Q2218" s="12"/>
      <c r="R2218" s="14"/>
      <c r="S2218" s="15"/>
      <c r="T2218" s="4" t="b">
        <v>0</v>
      </c>
    </row>
    <row r="2219">
      <c r="A2219" s="16"/>
      <c r="B2219" s="17"/>
      <c r="C2219" s="24"/>
      <c r="D2219" s="44"/>
      <c r="E2219" s="19"/>
      <c r="F2219" s="35"/>
      <c r="G2219" s="20">
        <v>1899.0</v>
      </c>
      <c r="H2219" s="21"/>
      <c r="I2219" s="21"/>
      <c r="J2219" s="21"/>
      <c r="K2219" s="16"/>
      <c r="L2219" s="22"/>
      <c r="M2219" s="55"/>
      <c r="N2219" s="23" t="s">
        <v>200</v>
      </c>
      <c r="O2219" s="23" t="s">
        <v>200</v>
      </c>
      <c r="P2219" s="24"/>
      <c r="Q2219" s="23"/>
      <c r="R2219" s="25"/>
      <c r="S2219" s="26"/>
      <c r="T2219" s="16" t="b">
        <v>0</v>
      </c>
    </row>
    <row r="2220">
      <c r="A2220" s="4"/>
      <c r="B2220" s="5"/>
      <c r="C2220" s="13"/>
      <c r="D2220" s="39"/>
      <c r="E2220" s="7"/>
      <c r="F2220" s="34"/>
      <c r="G2220" s="8">
        <v>1899.0</v>
      </c>
      <c r="H2220" s="9"/>
      <c r="I2220" s="9"/>
      <c r="J2220" s="9"/>
      <c r="K2220" s="4"/>
      <c r="L2220" s="10"/>
      <c r="M2220" s="54"/>
      <c r="N2220" s="12" t="s">
        <v>200</v>
      </c>
      <c r="O2220" s="12" t="s">
        <v>200</v>
      </c>
      <c r="P2220" s="13"/>
      <c r="Q2220" s="12"/>
      <c r="R2220" s="14"/>
      <c r="S2220" s="15"/>
      <c r="T2220" s="4" t="b">
        <v>0</v>
      </c>
    </row>
    <row r="2221">
      <c r="A2221" s="16"/>
      <c r="B2221" s="17"/>
      <c r="C2221" s="24"/>
      <c r="D2221" s="44"/>
      <c r="E2221" s="19"/>
      <c r="F2221" s="35"/>
      <c r="G2221" s="20">
        <v>1899.0</v>
      </c>
      <c r="H2221" s="21"/>
      <c r="I2221" s="21"/>
      <c r="J2221" s="21"/>
      <c r="K2221" s="16"/>
      <c r="L2221" s="22"/>
      <c r="M2221" s="55"/>
      <c r="N2221" s="23" t="s">
        <v>200</v>
      </c>
      <c r="O2221" s="23" t="s">
        <v>200</v>
      </c>
      <c r="P2221" s="24"/>
      <c r="Q2221" s="23"/>
      <c r="R2221" s="25"/>
      <c r="S2221" s="26"/>
      <c r="T2221" s="16" t="b">
        <v>0</v>
      </c>
    </row>
    <row r="2222">
      <c r="A2222" s="4"/>
      <c r="B2222" s="5"/>
      <c r="C2222" s="13"/>
      <c r="D2222" s="39"/>
      <c r="E2222" s="7"/>
      <c r="F2222" s="34"/>
      <c r="G2222" s="8">
        <v>1899.0</v>
      </c>
      <c r="H2222" s="9"/>
      <c r="I2222" s="9"/>
      <c r="J2222" s="9"/>
      <c r="K2222" s="4"/>
      <c r="L2222" s="10"/>
      <c r="M2222" s="54"/>
      <c r="N2222" s="12" t="s">
        <v>200</v>
      </c>
      <c r="O2222" s="12" t="s">
        <v>200</v>
      </c>
      <c r="P2222" s="13"/>
      <c r="Q2222" s="12"/>
      <c r="R2222" s="14"/>
      <c r="S2222" s="15"/>
      <c r="T2222" s="4" t="b">
        <v>0</v>
      </c>
    </row>
    <row r="2223">
      <c r="A2223" s="16"/>
      <c r="B2223" s="17"/>
      <c r="C2223" s="24"/>
      <c r="D2223" s="44"/>
      <c r="E2223" s="19"/>
      <c r="F2223" s="35"/>
      <c r="G2223" s="20">
        <v>1899.0</v>
      </c>
      <c r="H2223" s="21"/>
      <c r="I2223" s="21"/>
      <c r="J2223" s="21"/>
      <c r="K2223" s="16"/>
      <c r="L2223" s="22"/>
      <c r="M2223" s="55"/>
      <c r="N2223" s="23" t="s">
        <v>200</v>
      </c>
      <c r="O2223" s="23" t="s">
        <v>200</v>
      </c>
      <c r="P2223" s="24"/>
      <c r="Q2223" s="23"/>
      <c r="R2223" s="25"/>
      <c r="S2223" s="26"/>
      <c r="T2223" s="16" t="b">
        <v>0</v>
      </c>
    </row>
    <row r="2224">
      <c r="A2224" s="4"/>
      <c r="B2224" s="5"/>
      <c r="C2224" s="13"/>
      <c r="D2224" s="39"/>
      <c r="E2224" s="7"/>
      <c r="F2224" s="34"/>
      <c r="G2224" s="8">
        <v>1899.0</v>
      </c>
      <c r="H2224" s="9"/>
      <c r="I2224" s="9"/>
      <c r="J2224" s="9"/>
      <c r="K2224" s="4"/>
      <c r="L2224" s="10"/>
      <c r="M2224" s="54"/>
      <c r="N2224" s="12" t="s">
        <v>200</v>
      </c>
      <c r="O2224" s="12" t="s">
        <v>200</v>
      </c>
      <c r="P2224" s="13"/>
      <c r="Q2224" s="12"/>
      <c r="R2224" s="14"/>
      <c r="S2224" s="15"/>
      <c r="T2224" s="4" t="b">
        <v>0</v>
      </c>
    </row>
    <row r="2225">
      <c r="A2225" s="16"/>
      <c r="B2225" s="17"/>
      <c r="C2225" s="24"/>
      <c r="D2225" s="44"/>
      <c r="E2225" s="19"/>
      <c r="F2225" s="35"/>
      <c r="G2225" s="20">
        <v>1899.0</v>
      </c>
      <c r="H2225" s="21"/>
      <c r="I2225" s="21"/>
      <c r="J2225" s="21"/>
      <c r="K2225" s="16"/>
      <c r="L2225" s="22"/>
      <c r="M2225" s="55"/>
      <c r="N2225" s="23" t="s">
        <v>200</v>
      </c>
      <c r="O2225" s="23" t="s">
        <v>200</v>
      </c>
      <c r="P2225" s="24"/>
      <c r="Q2225" s="23"/>
      <c r="R2225" s="25"/>
      <c r="S2225" s="26"/>
      <c r="T2225" s="16" t="b">
        <v>0</v>
      </c>
    </row>
    <row r="2226">
      <c r="A2226" s="4"/>
      <c r="B2226" s="5"/>
      <c r="C2226" s="13"/>
      <c r="D2226" s="39"/>
      <c r="E2226" s="7"/>
      <c r="F2226" s="34"/>
      <c r="G2226" s="8">
        <v>1899.0</v>
      </c>
      <c r="H2226" s="9"/>
      <c r="I2226" s="9"/>
      <c r="J2226" s="9"/>
      <c r="K2226" s="4"/>
      <c r="L2226" s="10"/>
      <c r="M2226" s="54"/>
      <c r="N2226" s="12" t="s">
        <v>200</v>
      </c>
      <c r="O2226" s="12" t="s">
        <v>200</v>
      </c>
      <c r="P2226" s="13"/>
      <c r="Q2226" s="12"/>
      <c r="R2226" s="14"/>
      <c r="S2226" s="15"/>
      <c r="T2226" s="4" t="b">
        <v>0</v>
      </c>
    </row>
    <row r="2227">
      <c r="A2227" s="16"/>
      <c r="B2227" s="17"/>
      <c r="C2227" s="24"/>
      <c r="D2227" s="44"/>
      <c r="E2227" s="19"/>
      <c r="F2227" s="35"/>
      <c r="G2227" s="20">
        <v>1899.0</v>
      </c>
      <c r="H2227" s="21"/>
      <c r="I2227" s="21"/>
      <c r="J2227" s="21"/>
      <c r="K2227" s="16"/>
      <c r="L2227" s="22"/>
      <c r="M2227" s="55"/>
      <c r="N2227" s="23" t="s">
        <v>200</v>
      </c>
      <c r="O2227" s="23" t="s">
        <v>200</v>
      </c>
      <c r="P2227" s="24"/>
      <c r="Q2227" s="23"/>
      <c r="R2227" s="25"/>
      <c r="S2227" s="26"/>
      <c r="T2227" s="16" t="b">
        <v>0</v>
      </c>
    </row>
    <row r="2228">
      <c r="A2228" s="4"/>
      <c r="B2228" s="5"/>
      <c r="C2228" s="13"/>
      <c r="D2228" s="39"/>
      <c r="E2228" s="7"/>
      <c r="F2228" s="34"/>
      <c r="G2228" s="8">
        <v>1899.0</v>
      </c>
      <c r="H2228" s="9"/>
      <c r="I2228" s="9"/>
      <c r="J2228" s="9"/>
      <c r="K2228" s="4"/>
      <c r="L2228" s="10"/>
      <c r="M2228" s="54"/>
      <c r="N2228" s="12" t="s">
        <v>200</v>
      </c>
      <c r="O2228" s="12" t="s">
        <v>200</v>
      </c>
      <c r="P2228" s="13"/>
      <c r="Q2228" s="12"/>
      <c r="R2228" s="14"/>
      <c r="S2228" s="15"/>
      <c r="T2228" s="4" t="b">
        <v>0</v>
      </c>
    </row>
    <row r="2229">
      <c r="A2229" s="16"/>
      <c r="B2229" s="17"/>
      <c r="C2229" s="24"/>
      <c r="D2229" s="44"/>
      <c r="E2229" s="19"/>
      <c r="F2229" s="35"/>
      <c r="G2229" s="20">
        <v>1899.0</v>
      </c>
      <c r="H2229" s="21"/>
      <c r="I2229" s="21"/>
      <c r="J2229" s="21"/>
      <c r="K2229" s="16"/>
      <c r="L2229" s="22"/>
      <c r="M2229" s="55"/>
      <c r="N2229" s="23" t="s">
        <v>200</v>
      </c>
      <c r="O2229" s="23" t="s">
        <v>200</v>
      </c>
      <c r="P2229" s="24"/>
      <c r="Q2229" s="23"/>
      <c r="R2229" s="25"/>
      <c r="S2229" s="26"/>
      <c r="T2229" s="16" t="b">
        <v>0</v>
      </c>
    </row>
    <row r="2230">
      <c r="A2230" s="4"/>
      <c r="B2230" s="5"/>
      <c r="C2230" s="13"/>
      <c r="D2230" s="39"/>
      <c r="E2230" s="7"/>
      <c r="F2230" s="34"/>
      <c r="G2230" s="8">
        <v>1899.0</v>
      </c>
      <c r="H2230" s="9"/>
      <c r="I2230" s="9"/>
      <c r="J2230" s="9"/>
      <c r="K2230" s="4"/>
      <c r="L2230" s="10"/>
      <c r="M2230" s="54"/>
      <c r="N2230" s="12" t="s">
        <v>200</v>
      </c>
      <c r="O2230" s="12" t="s">
        <v>200</v>
      </c>
      <c r="P2230" s="13"/>
      <c r="Q2230" s="12"/>
      <c r="R2230" s="14"/>
      <c r="S2230" s="15"/>
      <c r="T2230" s="4" t="b">
        <v>0</v>
      </c>
    </row>
    <row r="2231">
      <c r="A2231" s="16"/>
      <c r="B2231" s="17"/>
      <c r="C2231" s="24"/>
      <c r="D2231" s="44"/>
      <c r="E2231" s="19"/>
      <c r="F2231" s="35"/>
      <c r="G2231" s="20">
        <v>1899.0</v>
      </c>
      <c r="H2231" s="21"/>
      <c r="I2231" s="21"/>
      <c r="J2231" s="21"/>
      <c r="K2231" s="16"/>
      <c r="L2231" s="22"/>
      <c r="M2231" s="55"/>
      <c r="N2231" s="23" t="s">
        <v>200</v>
      </c>
      <c r="O2231" s="23" t="s">
        <v>200</v>
      </c>
      <c r="P2231" s="24"/>
      <c r="Q2231" s="23"/>
      <c r="R2231" s="25"/>
      <c r="S2231" s="26"/>
      <c r="T2231" s="16" t="b">
        <v>0</v>
      </c>
    </row>
    <row r="2232">
      <c r="A2232" s="4"/>
      <c r="B2232" s="5"/>
      <c r="C2232" s="13"/>
      <c r="D2232" s="39"/>
      <c r="E2232" s="7"/>
      <c r="F2232" s="34"/>
      <c r="G2232" s="8">
        <v>1899.0</v>
      </c>
      <c r="H2232" s="9"/>
      <c r="I2232" s="9"/>
      <c r="J2232" s="9"/>
      <c r="K2232" s="4"/>
      <c r="L2232" s="10"/>
      <c r="M2232" s="54"/>
      <c r="N2232" s="12" t="s">
        <v>200</v>
      </c>
      <c r="O2232" s="12" t="s">
        <v>200</v>
      </c>
      <c r="P2232" s="13"/>
      <c r="Q2232" s="12"/>
      <c r="R2232" s="14"/>
      <c r="S2232" s="15"/>
      <c r="T2232" s="4" t="b">
        <v>0</v>
      </c>
    </row>
    <row r="2233">
      <c r="A2233" s="16"/>
      <c r="B2233" s="17"/>
      <c r="C2233" s="24"/>
      <c r="D2233" s="44"/>
      <c r="E2233" s="19"/>
      <c r="F2233" s="35"/>
      <c r="G2233" s="20">
        <v>1899.0</v>
      </c>
      <c r="H2233" s="21"/>
      <c r="I2233" s="21"/>
      <c r="J2233" s="21"/>
      <c r="K2233" s="16"/>
      <c r="L2233" s="22"/>
      <c r="M2233" s="55"/>
      <c r="N2233" s="23" t="s">
        <v>200</v>
      </c>
      <c r="O2233" s="23" t="s">
        <v>200</v>
      </c>
      <c r="P2233" s="24"/>
      <c r="Q2233" s="23"/>
      <c r="R2233" s="25"/>
      <c r="S2233" s="26"/>
      <c r="T2233" s="16" t="b">
        <v>0</v>
      </c>
    </row>
    <row r="2234">
      <c r="A2234" s="4"/>
      <c r="B2234" s="5"/>
      <c r="C2234" s="13"/>
      <c r="D2234" s="39"/>
      <c r="E2234" s="7"/>
      <c r="F2234" s="34"/>
      <c r="G2234" s="8">
        <v>1899.0</v>
      </c>
      <c r="H2234" s="9"/>
      <c r="I2234" s="9"/>
      <c r="J2234" s="9"/>
      <c r="K2234" s="4"/>
      <c r="L2234" s="10"/>
      <c r="M2234" s="54"/>
      <c r="N2234" s="12" t="s">
        <v>200</v>
      </c>
      <c r="O2234" s="12" t="s">
        <v>200</v>
      </c>
      <c r="P2234" s="13"/>
      <c r="Q2234" s="12"/>
      <c r="R2234" s="14"/>
      <c r="S2234" s="15"/>
      <c r="T2234" s="4" t="b">
        <v>0</v>
      </c>
    </row>
    <row r="2235">
      <c r="A2235" s="16"/>
      <c r="B2235" s="17"/>
      <c r="C2235" s="24"/>
      <c r="D2235" s="44"/>
      <c r="E2235" s="19"/>
      <c r="F2235" s="35"/>
      <c r="G2235" s="20">
        <v>1899.0</v>
      </c>
      <c r="H2235" s="21"/>
      <c r="I2235" s="21"/>
      <c r="J2235" s="21"/>
      <c r="K2235" s="16"/>
      <c r="L2235" s="22"/>
      <c r="M2235" s="55"/>
      <c r="N2235" s="23" t="s">
        <v>200</v>
      </c>
      <c r="O2235" s="23" t="s">
        <v>200</v>
      </c>
      <c r="P2235" s="24"/>
      <c r="Q2235" s="23"/>
      <c r="R2235" s="25"/>
      <c r="S2235" s="26"/>
      <c r="T2235" s="16" t="b">
        <v>0</v>
      </c>
    </row>
    <row r="2236">
      <c r="A2236" s="4"/>
      <c r="B2236" s="5"/>
      <c r="C2236" s="13"/>
      <c r="D2236" s="39"/>
      <c r="E2236" s="7"/>
      <c r="F2236" s="34"/>
      <c r="G2236" s="8">
        <v>1899.0</v>
      </c>
      <c r="H2236" s="9"/>
      <c r="I2236" s="9"/>
      <c r="J2236" s="9"/>
      <c r="K2236" s="4"/>
      <c r="L2236" s="10"/>
      <c r="M2236" s="54"/>
      <c r="N2236" s="12" t="s">
        <v>200</v>
      </c>
      <c r="O2236" s="12" t="s">
        <v>200</v>
      </c>
      <c r="P2236" s="13"/>
      <c r="Q2236" s="12"/>
      <c r="R2236" s="14"/>
      <c r="S2236" s="15"/>
      <c r="T2236" s="4" t="b">
        <v>0</v>
      </c>
    </row>
    <row r="2237">
      <c r="A2237" s="16"/>
      <c r="B2237" s="17"/>
      <c r="C2237" s="24"/>
      <c r="D2237" s="44"/>
      <c r="E2237" s="19"/>
      <c r="F2237" s="35"/>
      <c r="G2237" s="20">
        <v>1899.0</v>
      </c>
      <c r="H2237" s="21"/>
      <c r="I2237" s="21"/>
      <c r="J2237" s="21"/>
      <c r="K2237" s="16"/>
      <c r="L2237" s="22"/>
      <c r="M2237" s="55"/>
      <c r="N2237" s="23" t="s">
        <v>200</v>
      </c>
      <c r="O2237" s="23" t="s">
        <v>200</v>
      </c>
      <c r="P2237" s="24"/>
      <c r="Q2237" s="23"/>
      <c r="R2237" s="25"/>
      <c r="S2237" s="26"/>
      <c r="T2237" s="16" t="b">
        <v>0</v>
      </c>
    </row>
    <row r="2238">
      <c r="A2238" s="4"/>
      <c r="B2238" s="5"/>
      <c r="C2238" s="13"/>
      <c r="D2238" s="39"/>
      <c r="E2238" s="7"/>
      <c r="F2238" s="34"/>
      <c r="G2238" s="8">
        <v>1899.0</v>
      </c>
      <c r="H2238" s="9"/>
      <c r="I2238" s="9"/>
      <c r="J2238" s="9"/>
      <c r="K2238" s="4"/>
      <c r="L2238" s="10"/>
      <c r="M2238" s="54"/>
      <c r="N2238" s="12" t="s">
        <v>200</v>
      </c>
      <c r="O2238" s="12" t="s">
        <v>200</v>
      </c>
      <c r="P2238" s="13"/>
      <c r="Q2238" s="12"/>
      <c r="R2238" s="14"/>
      <c r="S2238" s="15"/>
      <c r="T2238" s="4" t="b">
        <v>0</v>
      </c>
    </row>
    <row r="2239">
      <c r="A2239" s="16"/>
      <c r="B2239" s="17"/>
      <c r="C2239" s="24"/>
      <c r="D2239" s="44"/>
      <c r="E2239" s="19"/>
      <c r="F2239" s="35"/>
      <c r="G2239" s="20">
        <v>1899.0</v>
      </c>
      <c r="H2239" s="21"/>
      <c r="I2239" s="21"/>
      <c r="J2239" s="21"/>
      <c r="K2239" s="16"/>
      <c r="L2239" s="22"/>
      <c r="M2239" s="55"/>
      <c r="N2239" s="23" t="s">
        <v>200</v>
      </c>
      <c r="O2239" s="23" t="s">
        <v>200</v>
      </c>
      <c r="P2239" s="24"/>
      <c r="Q2239" s="23"/>
      <c r="R2239" s="25"/>
      <c r="S2239" s="26"/>
      <c r="T2239" s="16" t="b">
        <v>0</v>
      </c>
    </row>
    <row r="2240">
      <c r="A2240" s="4"/>
      <c r="B2240" s="5"/>
      <c r="C2240" s="13"/>
      <c r="D2240" s="39"/>
      <c r="E2240" s="7"/>
      <c r="F2240" s="34"/>
      <c r="G2240" s="8">
        <v>1899.0</v>
      </c>
      <c r="H2240" s="9"/>
      <c r="I2240" s="9"/>
      <c r="J2240" s="9"/>
      <c r="K2240" s="4"/>
      <c r="L2240" s="10"/>
      <c r="M2240" s="54"/>
      <c r="N2240" s="12" t="s">
        <v>200</v>
      </c>
      <c r="O2240" s="12" t="s">
        <v>200</v>
      </c>
      <c r="P2240" s="13"/>
      <c r="Q2240" s="12"/>
      <c r="R2240" s="14"/>
      <c r="S2240" s="15"/>
      <c r="T2240" s="4" t="b">
        <v>0</v>
      </c>
    </row>
    <row r="2241">
      <c r="A2241" s="16"/>
      <c r="B2241" s="17"/>
      <c r="C2241" s="24"/>
      <c r="D2241" s="44"/>
      <c r="E2241" s="19"/>
      <c r="F2241" s="35"/>
      <c r="G2241" s="20">
        <v>1899.0</v>
      </c>
      <c r="H2241" s="21"/>
      <c r="I2241" s="21"/>
      <c r="J2241" s="21"/>
      <c r="K2241" s="16"/>
      <c r="L2241" s="22"/>
      <c r="M2241" s="55"/>
      <c r="N2241" s="23" t="s">
        <v>200</v>
      </c>
      <c r="O2241" s="23" t="s">
        <v>200</v>
      </c>
      <c r="P2241" s="24"/>
      <c r="Q2241" s="23"/>
      <c r="R2241" s="25"/>
      <c r="S2241" s="26"/>
      <c r="T2241" s="16" t="b">
        <v>0</v>
      </c>
    </row>
    <row r="2242">
      <c r="A2242" s="4"/>
      <c r="B2242" s="5"/>
      <c r="C2242" s="13"/>
      <c r="D2242" s="39"/>
      <c r="E2242" s="7"/>
      <c r="F2242" s="34"/>
      <c r="G2242" s="8">
        <v>1899.0</v>
      </c>
      <c r="H2242" s="9"/>
      <c r="I2242" s="9"/>
      <c r="J2242" s="9"/>
      <c r="K2242" s="4"/>
      <c r="L2242" s="10"/>
      <c r="M2242" s="54"/>
      <c r="N2242" s="12" t="s">
        <v>200</v>
      </c>
      <c r="O2242" s="12" t="s">
        <v>200</v>
      </c>
      <c r="P2242" s="13"/>
      <c r="Q2242" s="12"/>
      <c r="R2242" s="14"/>
      <c r="S2242" s="15"/>
      <c r="T2242" s="4" t="b">
        <v>0</v>
      </c>
    </row>
    <row r="2243">
      <c r="A2243" s="16"/>
      <c r="B2243" s="17"/>
      <c r="C2243" s="24"/>
      <c r="D2243" s="44"/>
      <c r="E2243" s="19"/>
      <c r="F2243" s="35"/>
      <c r="G2243" s="20">
        <v>1899.0</v>
      </c>
      <c r="H2243" s="21"/>
      <c r="I2243" s="21"/>
      <c r="J2243" s="21"/>
      <c r="K2243" s="16"/>
      <c r="L2243" s="22"/>
      <c r="M2243" s="55"/>
      <c r="N2243" s="23" t="s">
        <v>200</v>
      </c>
      <c r="O2243" s="23" t="s">
        <v>200</v>
      </c>
      <c r="P2243" s="24"/>
      <c r="Q2243" s="23"/>
      <c r="R2243" s="25"/>
      <c r="S2243" s="26"/>
      <c r="T2243" s="16" t="b">
        <v>0</v>
      </c>
    </row>
    <row r="2244">
      <c r="A2244" s="4"/>
      <c r="B2244" s="5"/>
      <c r="C2244" s="13"/>
      <c r="D2244" s="39"/>
      <c r="E2244" s="7"/>
      <c r="F2244" s="34"/>
      <c r="G2244" s="8">
        <v>1899.0</v>
      </c>
      <c r="H2244" s="9"/>
      <c r="I2244" s="9"/>
      <c r="J2244" s="9"/>
      <c r="K2244" s="4"/>
      <c r="L2244" s="10"/>
      <c r="M2244" s="54"/>
      <c r="N2244" s="12" t="s">
        <v>200</v>
      </c>
      <c r="O2244" s="12" t="s">
        <v>200</v>
      </c>
      <c r="P2244" s="13"/>
      <c r="Q2244" s="12"/>
      <c r="R2244" s="14"/>
      <c r="S2244" s="15"/>
      <c r="T2244" s="4" t="b">
        <v>0</v>
      </c>
    </row>
    <row r="2245">
      <c r="A2245" s="16"/>
      <c r="B2245" s="17"/>
      <c r="C2245" s="24"/>
      <c r="D2245" s="44"/>
      <c r="E2245" s="19"/>
      <c r="F2245" s="35"/>
      <c r="G2245" s="20">
        <v>1899.0</v>
      </c>
      <c r="H2245" s="21"/>
      <c r="I2245" s="21"/>
      <c r="J2245" s="21"/>
      <c r="K2245" s="16"/>
      <c r="L2245" s="22"/>
      <c r="M2245" s="55"/>
      <c r="N2245" s="23" t="s">
        <v>200</v>
      </c>
      <c r="O2245" s="23" t="s">
        <v>200</v>
      </c>
      <c r="P2245" s="24"/>
      <c r="Q2245" s="23"/>
      <c r="R2245" s="25"/>
      <c r="S2245" s="26"/>
      <c r="T2245" s="16" t="b">
        <v>0</v>
      </c>
    </row>
    <row r="2246">
      <c r="A2246" s="4"/>
      <c r="B2246" s="5"/>
      <c r="C2246" s="13"/>
      <c r="D2246" s="39"/>
      <c r="E2246" s="7"/>
      <c r="F2246" s="34"/>
      <c r="G2246" s="8">
        <v>1899.0</v>
      </c>
      <c r="H2246" s="9"/>
      <c r="I2246" s="9"/>
      <c r="J2246" s="9"/>
      <c r="K2246" s="4"/>
      <c r="L2246" s="10"/>
      <c r="M2246" s="54"/>
      <c r="N2246" s="12" t="s">
        <v>200</v>
      </c>
      <c r="O2246" s="12" t="s">
        <v>200</v>
      </c>
      <c r="P2246" s="13"/>
      <c r="Q2246" s="12"/>
      <c r="R2246" s="14"/>
      <c r="S2246" s="15"/>
      <c r="T2246" s="4" t="b">
        <v>0</v>
      </c>
    </row>
    <row r="2247">
      <c r="A2247" s="16"/>
      <c r="B2247" s="17"/>
      <c r="C2247" s="24"/>
      <c r="D2247" s="44"/>
      <c r="E2247" s="19"/>
      <c r="F2247" s="35"/>
      <c r="G2247" s="20">
        <v>1899.0</v>
      </c>
      <c r="H2247" s="21"/>
      <c r="I2247" s="21"/>
      <c r="J2247" s="21"/>
      <c r="K2247" s="16"/>
      <c r="L2247" s="22"/>
      <c r="M2247" s="55"/>
      <c r="N2247" s="23" t="s">
        <v>200</v>
      </c>
      <c r="O2247" s="23" t="s">
        <v>200</v>
      </c>
      <c r="P2247" s="24"/>
      <c r="Q2247" s="23"/>
      <c r="R2247" s="25"/>
      <c r="S2247" s="26"/>
      <c r="T2247" s="16" t="b">
        <v>0</v>
      </c>
    </row>
    <row r="2248">
      <c r="A2248" s="4"/>
      <c r="B2248" s="5"/>
      <c r="C2248" s="13"/>
      <c r="D2248" s="39"/>
      <c r="E2248" s="7"/>
      <c r="F2248" s="34"/>
      <c r="G2248" s="8">
        <v>1899.0</v>
      </c>
      <c r="H2248" s="9"/>
      <c r="I2248" s="9"/>
      <c r="J2248" s="9"/>
      <c r="K2248" s="4"/>
      <c r="L2248" s="10"/>
      <c r="M2248" s="54"/>
      <c r="N2248" s="12" t="s">
        <v>200</v>
      </c>
      <c r="O2248" s="12" t="s">
        <v>200</v>
      </c>
      <c r="P2248" s="13"/>
      <c r="Q2248" s="12"/>
      <c r="R2248" s="14"/>
      <c r="S2248" s="15"/>
      <c r="T2248" s="4" t="b">
        <v>0</v>
      </c>
    </row>
    <row r="2249">
      <c r="A2249" s="16"/>
      <c r="B2249" s="17"/>
      <c r="C2249" s="24"/>
      <c r="D2249" s="44"/>
      <c r="E2249" s="19"/>
      <c r="F2249" s="35"/>
      <c r="G2249" s="20">
        <v>1899.0</v>
      </c>
      <c r="H2249" s="21"/>
      <c r="I2249" s="21"/>
      <c r="J2249" s="21"/>
      <c r="K2249" s="16"/>
      <c r="L2249" s="22"/>
      <c r="M2249" s="55"/>
      <c r="N2249" s="23" t="s">
        <v>200</v>
      </c>
      <c r="O2249" s="23" t="s">
        <v>200</v>
      </c>
      <c r="P2249" s="24"/>
      <c r="Q2249" s="23"/>
      <c r="R2249" s="25"/>
      <c r="S2249" s="26"/>
      <c r="T2249" s="16" t="b">
        <v>0</v>
      </c>
    </row>
    <row r="2250">
      <c r="A2250" s="4"/>
      <c r="B2250" s="5"/>
      <c r="C2250" s="13"/>
      <c r="D2250" s="39"/>
      <c r="E2250" s="7"/>
      <c r="F2250" s="34"/>
      <c r="G2250" s="8">
        <v>1899.0</v>
      </c>
      <c r="H2250" s="9"/>
      <c r="I2250" s="9"/>
      <c r="J2250" s="9"/>
      <c r="K2250" s="4"/>
      <c r="L2250" s="10"/>
      <c r="M2250" s="54"/>
      <c r="N2250" s="12" t="s">
        <v>200</v>
      </c>
      <c r="O2250" s="12" t="s">
        <v>200</v>
      </c>
      <c r="P2250" s="13"/>
      <c r="Q2250" s="12"/>
      <c r="R2250" s="14"/>
      <c r="S2250" s="15"/>
      <c r="T2250" s="4" t="b">
        <v>0</v>
      </c>
    </row>
    <row r="2251">
      <c r="A2251" s="16"/>
      <c r="B2251" s="17"/>
      <c r="C2251" s="24"/>
      <c r="D2251" s="44"/>
      <c r="E2251" s="19"/>
      <c r="F2251" s="35"/>
      <c r="G2251" s="20">
        <v>1899.0</v>
      </c>
      <c r="H2251" s="21"/>
      <c r="I2251" s="21"/>
      <c r="J2251" s="21"/>
      <c r="K2251" s="16"/>
      <c r="L2251" s="22"/>
      <c r="M2251" s="55"/>
      <c r="N2251" s="23" t="s">
        <v>200</v>
      </c>
      <c r="O2251" s="23" t="s">
        <v>200</v>
      </c>
      <c r="P2251" s="24"/>
      <c r="Q2251" s="23"/>
      <c r="R2251" s="25"/>
      <c r="S2251" s="26"/>
      <c r="T2251" s="16" t="b">
        <v>0</v>
      </c>
    </row>
    <row r="2252">
      <c r="A2252" s="4"/>
      <c r="B2252" s="5"/>
      <c r="C2252" s="13"/>
      <c r="D2252" s="39"/>
      <c r="E2252" s="7"/>
      <c r="F2252" s="34"/>
      <c r="G2252" s="8">
        <v>1899.0</v>
      </c>
      <c r="H2252" s="9"/>
      <c r="I2252" s="9"/>
      <c r="J2252" s="9"/>
      <c r="K2252" s="4"/>
      <c r="L2252" s="10"/>
      <c r="M2252" s="54"/>
      <c r="N2252" s="12" t="s">
        <v>200</v>
      </c>
      <c r="O2252" s="12" t="s">
        <v>200</v>
      </c>
      <c r="P2252" s="13"/>
      <c r="Q2252" s="12"/>
      <c r="R2252" s="14"/>
      <c r="S2252" s="15"/>
      <c r="T2252" s="4" t="b">
        <v>0</v>
      </c>
    </row>
    <row r="2253">
      <c r="A2253" s="16"/>
      <c r="B2253" s="17"/>
      <c r="C2253" s="24"/>
      <c r="D2253" s="44"/>
      <c r="E2253" s="19"/>
      <c r="F2253" s="35"/>
      <c r="G2253" s="20">
        <v>1899.0</v>
      </c>
      <c r="H2253" s="21"/>
      <c r="I2253" s="21"/>
      <c r="J2253" s="21"/>
      <c r="K2253" s="16"/>
      <c r="L2253" s="22"/>
      <c r="M2253" s="55"/>
      <c r="N2253" s="23" t="s">
        <v>200</v>
      </c>
      <c r="O2253" s="23" t="s">
        <v>200</v>
      </c>
      <c r="P2253" s="24"/>
      <c r="Q2253" s="23"/>
      <c r="R2253" s="25"/>
      <c r="S2253" s="26"/>
      <c r="T2253" s="16" t="b">
        <v>0</v>
      </c>
    </row>
    <row r="2254">
      <c r="A2254" s="4"/>
      <c r="B2254" s="5"/>
      <c r="C2254" s="13"/>
      <c r="D2254" s="39"/>
      <c r="E2254" s="7"/>
      <c r="F2254" s="34"/>
      <c r="G2254" s="8">
        <v>1899.0</v>
      </c>
      <c r="H2254" s="9"/>
      <c r="I2254" s="9"/>
      <c r="J2254" s="9"/>
      <c r="K2254" s="4"/>
      <c r="L2254" s="10"/>
      <c r="M2254" s="54"/>
      <c r="N2254" s="12" t="s">
        <v>200</v>
      </c>
      <c r="O2254" s="12" t="s">
        <v>200</v>
      </c>
      <c r="P2254" s="13"/>
      <c r="Q2254" s="12"/>
      <c r="R2254" s="14"/>
      <c r="S2254" s="15"/>
      <c r="T2254" s="4" t="b">
        <v>0</v>
      </c>
    </row>
    <row r="2255">
      <c r="A2255" s="16"/>
      <c r="B2255" s="17"/>
      <c r="C2255" s="24"/>
      <c r="D2255" s="44"/>
      <c r="E2255" s="19"/>
      <c r="F2255" s="35"/>
      <c r="G2255" s="20">
        <v>1899.0</v>
      </c>
      <c r="H2255" s="21"/>
      <c r="I2255" s="21"/>
      <c r="J2255" s="21"/>
      <c r="K2255" s="16"/>
      <c r="L2255" s="22"/>
      <c r="M2255" s="55"/>
      <c r="N2255" s="23" t="s">
        <v>200</v>
      </c>
      <c r="O2255" s="23" t="s">
        <v>200</v>
      </c>
      <c r="P2255" s="24"/>
      <c r="Q2255" s="23"/>
      <c r="R2255" s="25"/>
      <c r="S2255" s="26"/>
      <c r="T2255" s="16" t="b">
        <v>0</v>
      </c>
    </row>
    <row r="2256">
      <c r="A2256" s="4"/>
      <c r="B2256" s="5"/>
      <c r="C2256" s="13"/>
      <c r="D2256" s="39"/>
      <c r="E2256" s="7"/>
      <c r="F2256" s="34"/>
      <c r="G2256" s="8">
        <v>1899.0</v>
      </c>
      <c r="H2256" s="9"/>
      <c r="I2256" s="9"/>
      <c r="J2256" s="9"/>
      <c r="K2256" s="4"/>
      <c r="L2256" s="10"/>
      <c r="M2256" s="54"/>
      <c r="N2256" s="12" t="s">
        <v>200</v>
      </c>
      <c r="O2256" s="12" t="s">
        <v>200</v>
      </c>
      <c r="P2256" s="13"/>
      <c r="Q2256" s="12"/>
      <c r="R2256" s="14"/>
      <c r="S2256" s="15"/>
      <c r="T2256" s="4" t="b">
        <v>0</v>
      </c>
    </row>
    <row r="2257">
      <c r="A2257" s="16"/>
      <c r="B2257" s="17"/>
      <c r="C2257" s="24"/>
      <c r="D2257" s="44"/>
      <c r="E2257" s="19"/>
      <c r="F2257" s="35"/>
      <c r="G2257" s="20">
        <v>1899.0</v>
      </c>
      <c r="H2257" s="21"/>
      <c r="I2257" s="21"/>
      <c r="J2257" s="21"/>
      <c r="K2257" s="16"/>
      <c r="L2257" s="22"/>
      <c r="M2257" s="55"/>
      <c r="N2257" s="23" t="s">
        <v>200</v>
      </c>
      <c r="O2257" s="23" t="s">
        <v>200</v>
      </c>
      <c r="P2257" s="24"/>
      <c r="Q2257" s="23"/>
      <c r="R2257" s="25"/>
      <c r="S2257" s="26"/>
      <c r="T2257" s="16" t="b">
        <v>0</v>
      </c>
    </row>
    <row r="2258">
      <c r="A2258" s="4"/>
      <c r="B2258" s="5"/>
      <c r="C2258" s="13"/>
      <c r="D2258" s="39"/>
      <c r="E2258" s="7"/>
      <c r="F2258" s="34"/>
      <c r="G2258" s="8">
        <v>1899.0</v>
      </c>
      <c r="H2258" s="9"/>
      <c r="I2258" s="9"/>
      <c r="J2258" s="9"/>
      <c r="K2258" s="4"/>
      <c r="L2258" s="10"/>
      <c r="M2258" s="54"/>
      <c r="N2258" s="12" t="s">
        <v>200</v>
      </c>
      <c r="O2258" s="12" t="s">
        <v>200</v>
      </c>
      <c r="P2258" s="13"/>
      <c r="Q2258" s="12"/>
      <c r="R2258" s="14"/>
      <c r="S2258" s="15"/>
      <c r="T2258" s="4" t="b">
        <v>0</v>
      </c>
    </row>
    <row r="2259">
      <c r="A2259" s="16"/>
      <c r="B2259" s="17"/>
      <c r="C2259" s="24"/>
      <c r="D2259" s="44"/>
      <c r="E2259" s="19"/>
      <c r="F2259" s="35"/>
      <c r="G2259" s="20">
        <v>1899.0</v>
      </c>
      <c r="H2259" s="21"/>
      <c r="I2259" s="21"/>
      <c r="J2259" s="21"/>
      <c r="K2259" s="16"/>
      <c r="L2259" s="22"/>
      <c r="M2259" s="55"/>
      <c r="N2259" s="23" t="s">
        <v>200</v>
      </c>
      <c r="O2259" s="23" t="s">
        <v>200</v>
      </c>
      <c r="P2259" s="24"/>
      <c r="Q2259" s="23"/>
      <c r="R2259" s="25"/>
      <c r="S2259" s="26"/>
      <c r="T2259" s="16" t="b">
        <v>0</v>
      </c>
    </row>
    <row r="2260">
      <c r="A2260" s="4"/>
      <c r="B2260" s="5"/>
      <c r="C2260" s="13"/>
      <c r="D2260" s="39"/>
      <c r="E2260" s="7"/>
      <c r="F2260" s="34"/>
      <c r="G2260" s="8">
        <v>1899.0</v>
      </c>
      <c r="H2260" s="9"/>
      <c r="I2260" s="9"/>
      <c r="J2260" s="9"/>
      <c r="K2260" s="4"/>
      <c r="L2260" s="10"/>
      <c r="M2260" s="54"/>
      <c r="N2260" s="12" t="s">
        <v>200</v>
      </c>
      <c r="O2260" s="12" t="s">
        <v>200</v>
      </c>
      <c r="P2260" s="13"/>
      <c r="Q2260" s="12"/>
      <c r="R2260" s="14"/>
      <c r="S2260" s="15"/>
      <c r="T2260" s="4" t="b">
        <v>0</v>
      </c>
    </row>
    <row r="2261">
      <c r="A2261" s="16"/>
      <c r="B2261" s="17"/>
      <c r="C2261" s="24"/>
      <c r="D2261" s="44"/>
      <c r="E2261" s="19"/>
      <c r="F2261" s="35"/>
      <c r="G2261" s="20">
        <v>1899.0</v>
      </c>
      <c r="H2261" s="21"/>
      <c r="I2261" s="21"/>
      <c r="J2261" s="21"/>
      <c r="K2261" s="16"/>
      <c r="L2261" s="22"/>
      <c r="M2261" s="55"/>
      <c r="N2261" s="23" t="s">
        <v>200</v>
      </c>
      <c r="O2261" s="23" t="s">
        <v>200</v>
      </c>
      <c r="P2261" s="24"/>
      <c r="Q2261" s="23"/>
      <c r="R2261" s="25"/>
      <c r="S2261" s="26"/>
      <c r="T2261" s="16" t="b">
        <v>0</v>
      </c>
    </row>
    <row r="2262">
      <c r="A2262" s="4"/>
      <c r="B2262" s="5"/>
      <c r="C2262" s="13"/>
      <c r="D2262" s="39"/>
      <c r="E2262" s="7"/>
      <c r="F2262" s="34"/>
      <c r="G2262" s="8">
        <v>1899.0</v>
      </c>
      <c r="H2262" s="9"/>
      <c r="I2262" s="9"/>
      <c r="J2262" s="9"/>
      <c r="K2262" s="4"/>
      <c r="L2262" s="10"/>
      <c r="M2262" s="54"/>
      <c r="N2262" s="12" t="s">
        <v>200</v>
      </c>
      <c r="O2262" s="12" t="s">
        <v>200</v>
      </c>
      <c r="P2262" s="13"/>
      <c r="Q2262" s="12"/>
      <c r="R2262" s="14"/>
      <c r="S2262" s="15"/>
      <c r="T2262" s="4" t="b">
        <v>0</v>
      </c>
    </row>
    <row r="2263">
      <c r="A2263" s="16"/>
      <c r="B2263" s="17"/>
      <c r="C2263" s="24"/>
      <c r="D2263" s="44"/>
      <c r="E2263" s="19"/>
      <c r="F2263" s="35"/>
      <c r="G2263" s="20">
        <v>1899.0</v>
      </c>
      <c r="H2263" s="21"/>
      <c r="I2263" s="21"/>
      <c r="J2263" s="21"/>
      <c r="K2263" s="16"/>
      <c r="L2263" s="22"/>
      <c r="M2263" s="55"/>
      <c r="N2263" s="23" t="s">
        <v>200</v>
      </c>
      <c r="O2263" s="23" t="s">
        <v>200</v>
      </c>
      <c r="P2263" s="24"/>
      <c r="Q2263" s="23"/>
      <c r="R2263" s="25"/>
      <c r="S2263" s="26"/>
      <c r="T2263" s="16" t="b">
        <v>0</v>
      </c>
    </row>
    <row r="2264">
      <c r="A2264" s="4"/>
      <c r="B2264" s="5"/>
      <c r="C2264" s="13"/>
      <c r="D2264" s="39"/>
      <c r="E2264" s="7"/>
      <c r="F2264" s="34"/>
      <c r="G2264" s="8">
        <v>1899.0</v>
      </c>
      <c r="H2264" s="9"/>
      <c r="I2264" s="9"/>
      <c r="J2264" s="9"/>
      <c r="K2264" s="4"/>
      <c r="L2264" s="10"/>
      <c r="M2264" s="54"/>
      <c r="N2264" s="12" t="s">
        <v>200</v>
      </c>
      <c r="O2264" s="12" t="s">
        <v>200</v>
      </c>
      <c r="P2264" s="13"/>
      <c r="Q2264" s="12"/>
      <c r="R2264" s="14"/>
      <c r="S2264" s="15"/>
      <c r="T2264" s="4" t="b">
        <v>0</v>
      </c>
    </row>
    <row r="2265">
      <c r="A2265" s="16"/>
      <c r="B2265" s="17"/>
      <c r="C2265" s="24"/>
      <c r="D2265" s="44"/>
      <c r="E2265" s="19"/>
      <c r="F2265" s="35"/>
      <c r="G2265" s="20">
        <v>1899.0</v>
      </c>
      <c r="H2265" s="21"/>
      <c r="I2265" s="21"/>
      <c r="J2265" s="21"/>
      <c r="K2265" s="16"/>
      <c r="L2265" s="22"/>
      <c r="M2265" s="55"/>
      <c r="N2265" s="23" t="s">
        <v>200</v>
      </c>
      <c r="O2265" s="23" t="s">
        <v>200</v>
      </c>
      <c r="P2265" s="24"/>
      <c r="Q2265" s="23"/>
      <c r="R2265" s="25"/>
      <c r="S2265" s="26"/>
      <c r="T2265" s="16" t="b">
        <v>0</v>
      </c>
    </row>
    <row r="2266">
      <c r="A2266" s="4"/>
      <c r="B2266" s="5"/>
      <c r="C2266" s="13"/>
      <c r="D2266" s="39"/>
      <c r="E2266" s="7"/>
      <c r="F2266" s="34"/>
      <c r="G2266" s="8">
        <v>1899.0</v>
      </c>
      <c r="H2266" s="9"/>
      <c r="I2266" s="9"/>
      <c r="J2266" s="9"/>
      <c r="K2266" s="4"/>
      <c r="L2266" s="10"/>
      <c r="M2266" s="54"/>
      <c r="N2266" s="12" t="s">
        <v>200</v>
      </c>
      <c r="O2266" s="12" t="s">
        <v>200</v>
      </c>
      <c r="P2266" s="13"/>
      <c r="Q2266" s="12"/>
      <c r="R2266" s="14"/>
      <c r="S2266" s="15"/>
      <c r="T2266" s="4" t="b">
        <v>0</v>
      </c>
    </row>
    <row r="2267">
      <c r="A2267" s="16"/>
      <c r="B2267" s="17"/>
      <c r="C2267" s="24"/>
      <c r="D2267" s="44"/>
      <c r="E2267" s="19"/>
      <c r="F2267" s="35"/>
      <c r="G2267" s="20">
        <v>1899.0</v>
      </c>
      <c r="H2267" s="21"/>
      <c r="I2267" s="21"/>
      <c r="J2267" s="21"/>
      <c r="K2267" s="16"/>
      <c r="L2267" s="22"/>
      <c r="M2267" s="55"/>
      <c r="N2267" s="23" t="s">
        <v>200</v>
      </c>
      <c r="O2267" s="23" t="s">
        <v>200</v>
      </c>
      <c r="P2267" s="24"/>
      <c r="Q2267" s="23"/>
      <c r="R2267" s="25"/>
      <c r="S2267" s="26"/>
      <c r="T2267" s="16" t="b">
        <v>0</v>
      </c>
    </row>
    <row r="2268">
      <c r="A2268" s="4"/>
      <c r="B2268" s="5"/>
      <c r="C2268" s="13"/>
      <c r="D2268" s="39"/>
      <c r="E2268" s="7"/>
      <c r="F2268" s="34"/>
      <c r="G2268" s="8">
        <v>1899.0</v>
      </c>
      <c r="H2268" s="9"/>
      <c r="I2268" s="9"/>
      <c r="J2268" s="9"/>
      <c r="K2268" s="4"/>
      <c r="L2268" s="10"/>
      <c r="M2268" s="54"/>
      <c r="N2268" s="12" t="s">
        <v>200</v>
      </c>
      <c r="O2268" s="12" t="s">
        <v>200</v>
      </c>
      <c r="P2268" s="13"/>
      <c r="Q2268" s="12"/>
      <c r="R2268" s="14"/>
      <c r="S2268" s="15"/>
      <c r="T2268" s="4" t="b">
        <v>0</v>
      </c>
    </row>
    <row r="2269">
      <c r="A2269" s="16"/>
      <c r="B2269" s="17"/>
      <c r="C2269" s="24"/>
      <c r="D2269" s="44"/>
      <c r="E2269" s="19"/>
      <c r="F2269" s="35"/>
      <c r="G2269" s="20">
        <v>1899.0</v>
      </c>
      <c r="H2269" s="21"/>
      <c r="I2269" s="21"/>
      <c r="J2269" s="21"/>
      <c r="K2269" s="16"/>
      <c r="L2269" s="22"/>
      <c r="M2269" s="55"/>
      <c r="N2269" s="23" t="s">
        <v>200</v>
      </c>
      <c r="O2269" s="23" t="s">
        <v>200</v>
      </c>
      <c r="P2269" s="24"/>
      <c r="Q2269" s="23"/>
      <c r="R2269" s="25"/>
      <c r="S2269" s="26"/>
      <c r="T2269" s="16" t="b">
        <v>0</v>
      </c>
    </row>
    <row r="2270">
      <c r="A2270" s="4"/>
      <c r="B2270" s="5"/>
      <c r="C2270" s="13"/>
      <c r="D2270" s="39"/>
      <c r="E2270" s="7"/>
      <c r="F2270" s="34"/>
      <c r="G2270" s="8">
        <v>1899.0</v>
      </c>
      <c r="H2270" s="9"/>
      <c r="I2270" s="9"/>
      <c r="J2270" s="9"/>
      <c r="K2270" s="4"/>
      <c r="L2270" s="10"/>
      <c r="M2270" s="54"/>
      <c r="N2270" s="12" t="s">
        <v>200</v>
      </c>
      <c r="O2270" s="12" t="s">
        <v>200</v>
      </c>
      <c r="P2270" s="13"/>
      <c r="Q2270" s="12"/>
      <c r="R2270" s="14"/>
      <c r="S2270" s="15"/>
      <c r="T2270" s="4" t="b">
        <v>0</v>
      </c>
    </row>
    <row r="2271">
      <c r="A2271" s="16"/>
      <c r="B2271" s="17"/>
      <c r="C2271" s="24"/>
      <c r="D2271" s="44"/>
      <c r="E2271" s="19"/>
      <c r="F2271" s="35"/>
      <c r="G2271" s="20">
        <v>1899.0</v>
      </c>
      <c r="H2271" s="21"/>
      <c r="I2271" s="21"/>
      <c r="J2271" s="21"/>
      <c r="K2271" s="16"/>
      <c r="L2271" s="22"/>
      <c r="M2271" s="55"/>
      <c r="N2271" s="23" t="s">
        <v>200</v>
      </c>
      <c r="O2271" s="23" t="s">
        <v>200</v>
      </c>
      <c r="P2271" s="24"/>
      <c r="Q2271" s="23"/>
      <c r="R2271" s="25"/>
      <c r="S2271" s="26"/>
      <c r="T2271" s="16" t="b">
        <v>0</v>
      </c>
    </row>
    <row r="2272">
      <c r="A2272" s="4"/>
      <c r="B2272" s="5"/>
      <c r="C2272" s="13"/>
      <c r="D2272" s="39"/>
      <c r="E2272" s="7"/>
      <c r="F2272" s="34"/>
      <c r="G2272" s="8">
        <v>1899.0</v>
      </c>
      <c r="H2272" s="9"/>
      <c r="I2272" s="9"/>
      <c r="J2272" s="9"/>
      <c r="K2272" s="4"/>
      <c r="L2272" s="10"/>
      <c r="M2272" s="54"/>
      <c r="N2272" s="12" t="s">
        <v>200</v>
      </c>
      <c r="O2272" s="12" t="s">
        <v>200</v>
      </c>
      <c r="P2272" s="13"/>
      <c r="Q2272" s="12"/>
      <c r="R2272" s="14"/>
      <c r="S2272" s="15"/>
      <c r="T2272" s="4" t="b">
        <v>0</v>
      </c>
    </row>
    <row r="2273">
      <c r="A2273" s="16"/>
      <c r="B2273" s="17"/>
      <c r="C2273" s="24"/>
      <c r="D2273" s="44"/>
      <c r="E2273" s="19"/>
      <c r="F2273" s="35"/>
      <c r="G2273" s="20">
        <v>1899.0</v>
      </c>
      <c r="H2273" s="21"/>
      <c r="I2273" s="21"/>
      <c r="J2273" s="21"/>
      <c r="K2273" s="16"/>
      <c r="L2273" s="22"/>
      <c r="M2273" s="55"/>
      <c r="N2273" s="23" t="s">
        <v>200</v>
      </c>
      <c r="O2273" s="23" t="s">
        <v>200</v>
      </c>
      <c r="P2273" s="24"/>
      <c r="Q2273" s="23"/>
      <c r="R2273" s="25"/>
      <c r="S2273" s="26"/>
      <c r="T2273" s="16" t="b">
        <v>0</v>
      </c>
    </row>
    <row r="2274">
      <c r="A2274" s="4"/>
      <c r="B2274" s="5"/>
      <c r="C2274" s="13"/>
      <c r="D2274" s="39"/>
      <c r="E2274" s="7"/>
      <c r="F2274" s="34"/>
      <c r="G2274" s="8">
        <v>1899.0</v>
      </c>
      <c r="H2274" s="9"/>
      <c r="I2274" s="9"/>
      <c r="J2274" s="9"/>
      <c r="K2274" s="4"/>
      <c r="L2274" s="10"/>
      <c r="M2274" s="54"/>
      <c r="N2274" s="12" t="s">
        <v>200</v>
      </c>
      <c r="O2274" s="12" t="s">
        <v>200</v>
      </c>
      <c r="P2274" s="13"/>
      <c r="Q2274" s="12"/>
      <c r="R2274" s="14"/>
      <c r="S2274" s="15"/>
      <c r="T2274" s="4" t="b">
        <v>0</v>
      </c>
    </row>
    <row r="2275">
      <c r="A2275" s="16"/>
      <c r="B2275" s="17"/>
      <c r="C2275" s="24"/>
      <c r="D2275" s="44"/>
      <c r="E2275" s="19"/>
      <c r="F2275" s="35"/>
      <c r="G2275" s="20">
        <v>1899.0</v>
      </c>
      <c r="H2275" s="21"/>
      <c r="I2275" s="21"/>
      <c r="J2275" s="21"/>
      <c r="K2275" s="16"/>
      <c r="L2275" s="22"/>
      <c r="M2275" s="55"/>
      <c r="N2275" s="23" t="s">
        <v>200</v>
      </c>
      <c r="O2275" s="23" t="s">
        <v>200</v>
      </c>
      <c r="P2275" s="24"/>
      <c r="Q2275" s="23"/>
      <c r="R2275" s="25"/>
      <c r="S2275" s="26"/>
      <c r="T2275" s="16" t="b">
        <v>0</v>
      </c>
    </row>
    <row r="2276">
      <c r="A2276" s="4"/>
      <c r="B2276" s="5"/>
      <c r="C2276" s="13"/>
      <c r="D2276" s="39"/>
      <c r="E2276" s="7"/>
      <c r="F2276" s="34"/>
      <c r="G2276" s="8">
        <v>1899.0</v>
      </c>
      <c r="H2276" s="9"/>
      <c r="I2276" s="9"/>
      <c r="J2276" s="9"/>
      <c r="K2276" s="4"/>
      <c r="L2276" s="10"/>
      <c r="M2276" s="54"/>
      <c r="N2276" s="12" t="s">
        <v>200</v>
      </c>
      <c r="O2276" s="12" t="s">
        <v>200</v>
      </c>
      <c r="P2276" s="13"/>
      <c r="Q2276" s="12"/>
      <c r="R2276" s="14"/>
      <c r="S2276" s="15"/>
      <c r="T2276" s="4" t="b">
        <v>0</v>
      </c>
    </row>
    <row r="2277">
      <c r="A2277" s="16"/>
      <c r="B2277" s="17"/>
      <c r="C2277" s="24"/>
      <c r="D2277" s="44"/>
      <c r="E2277" s="19"/>
      <c r="F2277" s="35"/>
      <c r="G2277" s="20">
        <v>1899.0</v>
      </c>
      <c r="H2277" s="21"/>
      <c r="I2277" s="21"/>
      <c r="J2277" s="21"/>
      <c r="K2277" s="16"/>
      <c r="L2277" s="22"/>
      <c r="M2277" s="55"/>
      <c r="N2277" s="23" t="s">
        <v>200</v>
      </c>
      <c r="O2277" s="23" t="s">
        <v>200</v>
      </c>
      <c r="P2277" s="24"/>
      <c r="Q2277" s="23"/>
      <c r="R2277" s="25"/>
      <c r="S2277" s="26"/>
      <c r="T2277" s="16" t="b">
        <v>0</v>
      </c>
    </row>
    <row r="2278">
      <c r="A2278" s="4"/>
      <c r="B2278" s="5"/>
      <c r="C2278" s="13"/>
      <c r="D2278" s="39"/>
      <c r="E2278" s="7"/>
      <c r="F2278" s="34"/>
      <c r="G2278" s="8">
        <v>1899.0</v>
      </c>
      <c r="H2278" s="9"/>
      <c r="I2278" s="9"/>
      <c r="J2278" s="9"/>
      <c r="K2278" s="4"/>
      <c r="L2278" s="10"/>
      <c r="M2278" s="54"/>
      <c r="N2278" s="12" t="s">
        <v>200</v>
      </c>
      <c r="O2278" s="12" t="s">
        <v>200</v>
      </c>
      <c r="P2278" s="13"/>
      <c r="Q2278" s="12"/>
      <c r="R2278" s="14"/>
      <c r="S2278" s="15"/>
      <c r="T2278" s="4" t="b">
        <v>0</v>
      </c>
    </row>
    <row r="2279">
      <c r="A2279" s="16"/>
      <c r="B2279" s="17"/>
      <c r="C2279" s="24"/>
      <c r="D2279" s="44"/>
      <c r="E2279" s="19"/>
      <c r="F2279" s="35"/>
      <c r="G2279" s="20">
        <v>1899.0</v>
      </c>
      <c r="H2279" s="21"/>
      <c r="I2279" s="21"/>
      <c r="J2279" s="21"/>
      <c r="K2279" s="16"/>
      <c r="L2279" s="22"/>
      <c r="M2279" s="55"/>
      <c r="N2279" s="23" t="s">
        <v>200</v>
      </c>
      <c r="O2279" s="23" t="s">
        <v>200</v>
      </c>
      <c r="P2279" s="24"/>
      <c r="Q2279" s="23"/>
      <c r="R2279" s="25"/>
      <c r="S2279" s="26"/>
      <c r="T2279" s="16" t="b">
        <v>0</v>
      </c>
    </row>
    <row r="2280">
      <c r="A2280" s="4"/>
      <c r="B2280" s="5"/>
      <c r="C2280" s="13"/>
      <c r="D2280" s="39"/>
      <c r="E2280" s="7"/>
      <c r="F2280" s="34"/>
      <c r="G2280" s="8">
        <v>1899.0</v>
      </c>
      <c r="H2280" s="9"/>
      <c r="I2280" s="9"/>
      <c r="J2280" s="9"/>
      <c r="K2280" s="4"/>
      <c r="L2280" s="10"/>
      <c r="M2280" s="54"/>
      <c r="N2280" s="12" t="s">
        <v>200</v>
      </c>
      <c r="O2280" s="12" t="s">
        <v>200</v>
      </c>
      <c r="P2280" s="13"/>
      <c r="Q2280" s="12"/>
      <c r="R2280" s="14"/>
      <c r="S2280" s="15"/>
      <c r="T2280" s="4" t="b">
        <v>0</v>
      </c>
    </row>
    <row r="2281">
      <c r="A2281" s="16"/>
      <c r="B2281" s="17"/>
      <c r="C2281" s="24"/>
      <c r="D2281" s="44"/>
      <c r="E2281" s="19"/>
      <c r="F2281" s="35"/>
      <c r="G2281" s="20">
        <v>1899.0</v>
      </c>
      <c r="H2281" s="21"/>
      <c r="I2281" s="21"/>
      <c r="J2281" s="21"/>
      <c r="K2281" s="16"/>
      <c r="L2281" s="22"/>
      <c r="M2281" s="55"/>
      <c r="N2281" s="23" t="s">
        <v>200</v>
      </c>
      <c r="O2281" s="23" t="s">
        <v>200</v>
      </c>
      <c r="P2281" s="24"/>
      <c r="Q2281" s="23"/>
      <c r="R2281" s="25"/>
      <c r="S2281" s="26"/>
      <c r="T2281" s="16" t="b">
        <v>0</v>
      </c>
    </row>
    <row r="2282">
      <c r="A2282" s="4"/>
      <c r="B2282" s="5"/>
      <c r="C2282" s="13"/>
      <c r="D2282" s="39"/>
      <c r="E2282" s="7"/>
      <c r="F2282" s="34"/>
      <c r="G2282" s="8">
        <v>1899.0</v>
      </c>
      <c r="H2282" s="9"/>
      <c r="I2282" s="9"/>
      <c r="J2282" s="9"/>
      <c r="K2282" s="4"/>
      <c r="L2282" s="10"/>
      <c r="M2282" s="54"/>
      <c r="N2282" s="12" t="s">
        <v>200</v>
      </c>
      <c r="O2282" s="12" t="s">
        <v>200</v>
      </c>
      <c r="P2282" s="13"/>
      <c r="Q2282" s="12"/>
      <c r="R2282" s="14"/>
      <c r="S2282" s="15"/>
      <c r="T2282" s="4" t="b">
        <v>0</v>
      </c>
    </row>
    <row r="2283">
      <c r="A2283" s="16"/>
      <c r="B2283" s="17"/>
      <c r="C2283" s="24"/>
      <c r="D2283" s="44"/>
      <c r="E2283" s="19"/>
      <c r="F2283" s="35"/>
      <c r="G2283" s="20">
        <v>1899.0</v>
      </c>
      <c r="H2283" s="21"/>
      <c r="I2283" s="21"/>
      <c r="J2283" s="21"/>
      <c r="K2283" s="16"/>
      <c r="L2283" s="22"/>
      <c r="M2283" s="55"/>
      <c r="N2283" s="23" t="s">
        <v>200</v>
      </c>
      <c r="O2283" s="23" t="s">
        <v>200</v>
      </c>
      <c r="P2283" s="24"/>
      <c r="Q2283" s="23"/>
      <c r="R2283" s="25"/>
      <c r="S2283" s="26"/>
      <c r="T2283" s="16" t="b">
        <v>0</v>
      </c>
    </row>
    <row r="2284">
      <c r="A2284" s="4"/>
      <c r="B2284" s="5"/>
      <c r="C2284" s="13"/>
      <c r="D2284" s="39"/>
      <c r="E2284" s="7"/>
      <c r="F2284" s="34"/>
      <c r="G2284" s="8">
        <v>1899.0</v>
      </c>
      <c r="H2284" s="9"/>
      <c r="I2284" s="9"/>
      <c r="J2284" s="9"/>
      <c r="K2284" s="4"/>
      <c r="L2284" s="10"/>
      <c r="M2284" s="54"/>
      <c r="N2284" s="12" t="s">
        <v>200</v>
      </c>
      <c r="O2284" s="12" t="s">
        <v>200</v>
      </c>
      <c r="P2284" s="13"/>
      <c r="Q2284" s="12"/>
      <c r="R2284" s="14"/>
      <c r="S2284" s="15"/>
      <c r="T2284" s="4" t="b">
        <v>0</v>
      </c>
    </row>
    <row r="2285">
      <c r="A2285" s="16"/>
      <c r="B2285" s="17"/>
      <c r="C2285" s="24"/>
      <c r="D2285" s="44"/>
      <c r="E2285" s="19"/>
      <c r="F2285" s="35"/>
      <c r="G2285" s="20">
        <v>1899.0</v>
      </c>
      <c r="H2285" s="21"/>
      <c r="I2285" s="21"/>
      <c r="J2285" s="21"/>
      <c r="K2285" s="16"/>
      <c r="L2285" s="22"/>
      <c r="M2285" s="55"/>
      <c r="N2285" s="23" t="s">
        <v>200</v>
      </c>
      <c r="O2285" s="23" t="s">
        <v>200</v>
      </c>
      <c r="P2285" s="24"/>
      <c r="Q2285" s="23"/>
      <c r="R2285" s="25"/>
      <c r="S2285" s="26"/>
      <c r="T2285" s="16" t="b">
        <v>0</v>
      </c>
    </row>
    <row r="2286">
      <c r="A2286" s="4"/>
      <c r="B2286" s="5"/>
      <c r="C2286" s="13"/>
      <c r="D2286" s="39"/>
      <c r="E2286" s="7"/>
      <c r="F2286" s="34"/>
      <c r="G2286" s="8">
        <v>1899.0</v>
      </c>
      <c r="H2286" s="9"/>
      <c r="I2286" s="9"/>
      <c r="J2286" s="9"/>
      <c r="K2286" s="4"/>
      <c r="L2286" s="10"/>
      <c r="M2286" s="54"/>
      <c r="N2286" s="12" t="s">
        <v>200</v>
      </c>
      <c r="O2286" s="12" t="s">
        <v>200</v>
      </c>
      <c r="P2286" s="13"/>
      <c r="Q2286" s="12"/>
      <c r="R2286" s="14"/>
      <c r="S2286" s="15"/>
      <c r="T2286" s="4" t="b">
        <v>0</v>
      </c>
    </row>
    <row r="2287">
      <c r="A2287" s="16"/>
      <c r="B2287" s="17"/>
      <c r="C2287" s="24"/>
      <c r="D2287" s="44"/>
      <c r="E2287" s="19"/>
      <c r="F2287" s="35"/>
      <c r="G2287" s="20">
        <v>1899.0</v>
      </c>
      <c r="H2287" s="21"/>
      <c r="I2287" s="21"/>
      <c r="J2287" s="21"/>
      <c r="K2287" s="16"/>
      <c r="L2287" s="22"/>
      <c r="M2287" s="55"/>
      <c r="N2287" s="23" t="s">
        <v>200</v>
      </c>
      <c r="O2287" s="23" t="s">
        <v>200</v>
      </c>
      <c r="P2287" s="24"/>
      <c r="Q2287" s="23"/>
      <c r="R2287" s="25"/>
      <c r="S2287" s="26"/>
      <c r="T2287" s="16" t="b">
        <v>0</v>
      </c>
    </row>
    <row r="2288">
      <c r="A2288" s="4"/>
      <c r="B2288" s="5"/>
      <c r="C2288" s="13"/>
      <c r="D2288" s="39"/>
      <c r="E2288" s="7"/>
      <c r="F2288" s="34"/>
      <c r="G2288" s="8">
        <v>1899.0</v>
      </c>
      <c r="H2288" s="9"/>
      <c r="I2288" s="9"/>
      <c r="J2288" s="9"/>
      <c r="K2288" s="4"/>
      <c r="L2288" s="10"/>
      <c r="M2288" s="54"/>
      <c r="N2288" s="12" t="s">
        <v>200</v>
      </c>
      <c r="O2288" s="12" t="s">
        <v>200</v>
      </c>
      <c r="P2288" s="13"/>
      <c r="Q2288" s="12"/>
      <c r="R2288" s="14"/>
      <c r="S2288" s="15"/>
      <c r="T2288" s="4" t="b">
        <v>0</v>
      </c>
    </row>
    <row r="2289">
      <c r="A2289" s="16"/>
      <c r="B2289" s="17"/>
      <c r="C2289" s="24"/>
      <c r="D2289" s="44"/>
      <c r="E2289" s="19"/>
      <c r="F2289" s="35"/>
      <c r="G2289" s="20">
        <v>1899.0</v>
      </c>
      <c r="H2289" s="21"/>
      <c r="I2289" s="21"/>
      <c r="J2289" s="21"/>
      <c r="K2289" s="16"/>
      <c r="L2289" s="22"/>
      <c r="M2289" s="55"/>
      <c r="N2289" s="23" t="s">
        <v>200</v>
      </c>
      <c r="O2289" s="23" t="s">
        <v>200</v>
      </c>
      <c r="P2289" s="24"/>
      <c r="Q2289" s="23"/>
      <c r="R2289" s="25"/>
      <c r="S2289" s="26"/>
      <c r="T2289" s="16" t="b">
        <v>0</v>
      </c>
    </row>
    <row r="2290">
      <c r="A2290" s="4"/>
      <c r="B2290" s="5"/>
      <c r="C2290" s="13"/>
      <c r="D2290" s="39"/>
      <c r="E2290" s="7"/>
      <c r="F2290" s="34"/>
      <c r="G2290" s="8">
        <v>1899.0</v>
      </c>
      <c r="H2290" s="9"/>
      <c r="I2290" s="9"/>
      <c r="J2290" s="9"/>
      <c r="K2290" s="4"/>
      <c r="L2290" s="10"/>
      <c r="M2290" s="54"/>
      <c r="N2290" s="12" t="s">
        <v>200</v>
      </c>
      <c r="O2290" s="12" t="s">
        <v>200</v>
      </c>
      <c r="P2290" s="13"/>
      <c r="Q2290" s="12"/>
      <c r="R2290" s="14"/>
      <c r="S2290" s="15"/>
      <c r="T2290" s="4" t="b">
        <v>0</v>
      </c>
    </row>
    <row r="2291">
      <c r="A2291" s="16"/>
      <c r="B2291" s="17"/>
      <c r="C2291" s="24"/>
      <c r="D2291" s="44"/>
      <c r="E2291" s="19"/>
      <c r="F2291" s="35"/>
      <c r="G2291" s="20">
        <v>1899.0</v>
      </c>
      <c r="H2291" s="21"/>
      <c r="I2291" s="21"/>
      <c r="J2291" s="21"/>
      <c r="K2291" s="16"/>
      <c r="L2291" s="22"/>
      <c r="M2291" s="55"/>
      <c r="N2291" s="23" t="s">
        <v>200</v>
      </c>
      <c r="O2291" s="23" t="s">
        <v>200</v>
      </c>
      <c r="P2291" s="24"/>
      <c r="Q2291" s="23"/>
      <c r="R2291" s="25"/>
      <c r="S2291" s="26"/>
      <c r="T2291" s="16" t="b">
        <v>0</v>
      </c>
    </row>
    <row r="2292">
      <c r="A2292" s="4"/>
      <c r="B2292" s="5"/>
      <c r="C2292" s="13"/>
      <c r="D2292" s="39"/>
      <c r="E2292" s="7"/>
      <c r="F2292" s="34"/>
      <c r="G2292" s="8">
        <v>1899.0</v>
      </c>
      <c r="H2292" s="9"/>
      <c r="I2292" s="9"/>
      <c r="J2292" s="9"/>
      <c r="K2292" s="4"/>
      <c r="L2292" s="10"/>
      <c r="M2292" s="54"/>
      <c r="N2292" s="12" t="s">
        <v>200</v>
      </c>
      <c r="O2292" s="12" t="s">
        <v>200</v>
      </c>
      <c r="P2292" s="13"/>
      <c r="Q2292" s="12"/>
      <c r="R2292" s="14"/>
      <c r="S2292" s="15"/>
      <c r="T2292" s="4" t="b">
        <v>0</v>
      </c>
    </row>
    <row r="2293">
      <c r="A2293" s="16"/>
      <c r="B2293" s="17"/>
      <c r="C2293" s="24"/>
      <c r="D2293" s="44"/>
      <c r="E2293" s="19"/>
      <c r="F2293" s="35"/>
      <c r="G2293" s="20">
        <v>1899.0</v>
      </c>
      <c r="H2293" s="21"/>
      <c r="I2293" s="21"/>
      <c r="J2293" s="21"/>
      <c r="K2293" s="16"/>
      <c r="L2293" s="22"/>
      <c r="M2293" s="55"/>
      <c r="N2293" s="23" t="s">
        <v>200</v>
      </c>
      <c r="O2293" s="23" t="s">
        <v>200</v>
      </c>
      <c r="P2293" s="24"/>
      <c r="Q2293" s="23"/>
      <c r="R2293" s="25"/>
      <c r="S2293" s="26"/>
      <c r="T2293" s="16" t="b">
        <v>0</v>
      </c>
    </row>
    <row r="2294">
      <c r="A2294" s="4"/>
      <c r="B2294" s="5"/>
      <c r="C2294" s="13"/>
      <c r="D2294" s="39"/>
      <c r="E2294" s="7"/>
      <c r="F2294" s="34"/>
      <c r="G2294" s="8">
        <v>1899.0</v>
      </c>
      <c r="H2294" s="9"/>
      <c r="I2294" s="9"/>
      <c r="J2294" s="9"/>
      <c r="K2294" s="4"/>
      <c r="L2294" s="10"/>
      <c r="M2294" s="54"/>
      <c r="N2294" s="12" t="s">
        <v>200</v>
      </c>
      <c r="O2294" s="12" t="s">
        <v>200</v>
      </c>
      <c r="P2294" s="13"/>
      <c r="Q2294" s="12"/>
      <c r="R2294" s="14"/>
      <c r="S2294" s="15"/>
      <c r="T2294" s="4" t="b">
        <v>0</v>
      </c>
    </row>
    <row r="2295">
      <c r="A2295" s="16"/>
      <c r="B2295" s="17"/>
      <c r="C2295" s="24"/>
      <c r="D2295" s="44"/>
      <c r="E2295" s="19"/>
      <c r="F2295" s="35"/>
      <c r="G2295" s="20">
        <v>1899.0</v>
      </c>
      <c r="H2295" s="21"/>
      <c r="I2295" s="21"/>
      <c r="J2295" s="21"/>
      <c r="K2295" s="16"/>
      <c r="L2295" s="22"/>
      <c r="M2295" s="55"/>
      <c r="N2295" s="23" t="s">
        <v>200</v>
      </c>
      <c r="O2295" s="23" t="s">
        <v>200</v>
      </c>
      <c r="P2295" s="24"/>
      <c r="Q2295" s="23"/>
      <c r="R2295" s="25"/>
      <c r="S2295" s="26"/>
      <c r="T2295" s="16" t="b">
        <v>0</v>
      </c>
    </row>
    <row r="2296">
      <c r="A2296" s="4"/>
      <c r="B2296" s="5"/>
      <c r="C2296" s="13"/>
      <c r="D2296" s="39"/>
      <c r="E2296" s="7"/>
      <c r="F2296" s="34"/>
      <c r="G2296" s="8">
        <v>1899.0</v>
      </c>
      <c r="H2296" s="9"/>
      <c r="I2296" s="9"/>
      <c r="J2296" s="9"/>
      <c r="K2296" s="4"/>
      <c r="L2296" s="10"/>
      <c r="M2296" s="54"/>
      <c r="N2296" s="12" t="s">
        <v>200</v>
      </c>
      <c r="O2296" s="12" t="s">
        <v>200</v>
      </c>
      <c r="P2296" s="13"/>
      <c r="Q2296" s="12"/>
      <c r="R2296" s="14"/>
      <c r="S2296" s="15"/>
      <c r="T2296" s="4" t="b">
        <v>0</v>
      </c>
    </row>
    <row r="2297">
      <c r="A2297" s="16"/>
      <c r="B2297" s="17"/>
      <c r="C2297" s="24"/>
      <c r="D2297" s="44"/>
      <c r="E2297" s="19"/>
      <c r="F2297" s="35"/>
      <c r="G2297" s="20">
        <v>1899.0</v>
      </c>
      <c r="H2297" s="21"/>
      <c r="I2297" s="21"/>
      <c r="J2297" s="21"/>
      <c r="K2297" s="16"/>
      <c r="L2297" s="22"/>
      <c r="M2297" s="55"/>
      <c r="N2297" s="23" t="s">
        <v>200</v>
      </c>
      <c r="O2297" s="23" t="s">
        <v>200</v>
      </c>
      <c r="P2297" s="24"/>
      <c r="Q2297" s="23"/>
      <c r="R2297" s="25"/>
      <c r="S2297" s="26"/>
      <c r="T2297" s="16" t="b">
        <v>0</v>
      </c>
    </row>
    <row r="2298">
      <c r="A2298" s="4"/>
      <c r="B2298" s="5"/>
      <c r="C2298" s="13"/>
      <c r="D2298" s="39"/>
      <c r="E2298" s="7"/>
      <c r="F2298" s="34"/>
      <c r="G2298" s="8">
        <v>1899.0</v>
      </c>
      <c r="H2298" s="9"/>
      <c r="I2298" s="9"/>
      <c r="J2298" s="9"/>
      <c r="K2298" s="4"/>
      <c r="L2298" s="10"/>
      <c r="M2298" s="54"/>
      <c r="N2298" s="12" t="s">
        <v>200</v>
      </c>
      <c r="O2298" s="12" t="s">
        <v>200</v>
      </c>
      <c r="P2298" s="13"/>
      <c r="Q2298" s="12"/>
      <c r="R2298" s="14"/>
      <c r="S2298" s="15"/>
      <c r="T2298" s="4" t="b">
        <v>0</v>
      </c>
    </row>
    <row r="2299">
      <c r="A2299" s="16"/>
      <c r="B2299" s="17"/>
      <c r="C2299" s="24"/>
      <c r="D2299" s="44"/>
      <c r="E2299" s="19"/>
      <c r="F2299" s="35"/>
      <c r="G2299" s="20">
        <v>1899.0</v>
      </c>
      <c r="H2299" s="21"/>
      <c r="I2299" s="21"/>
      <c r="J2299" s="21"/>
      <c r="K2299" s="16"/>
      <c r="L2299" s="22"/>
      <c r="M2299" s="55"/>
      <c r="N2299" s="23" t="s">
        <v>200</v>
      </c>
      <c r="O2299" s="23" t="s">
        <v>200</v>
      </c>
      <c r="P2299" s="24"/>
      <c r="Q2299" s="23"/>
      <c r="R2299" s="25"/>
      <c r="S2299" s="26"/>
      <c r="T2299" s="16" t="b">
        <v>0</v>
      </c>
    </row>
    <row r="2300">
      <c r="A2300" s="4"/>
      <c r="B2300" s="5"/>
      <c r="C2300" s="13"/>
      <c r="D2300" s="39"/>
      <c r="E2300" s="7"/>
      <c r="F2300" s="34"/>
      <c r="G2300" s="8">
        <v>1899.0</v>
      </c>
      <c r="H2300" s="9"/>
      <c r="I2300" s="9"/>
      <c r="J2300" s="9"/>
      <c r="K2300" s="4"/>
      <c r="L2300" s="10"/>
      <c r="M2300" s="54"/>
      <c r="N2300" s="12" t="s">
        <v>200</v>
      </c>
      <c r="O2300" s="12" t="s">
        <v>200</v>
      </c>
      <c r="P2300" s="13"/>
      <c r="Q2300" s="12"/>
      <c r="R2300" s="14"/>
      <c r="S2300" s="15"/>
      <c r="T2300" s="4" t="b">
        <v>0</v>
      </c>
    </row>
    <row r="2301">
      <c r="A2301" s="16"/>
      <c r="B2301" s="17"/>
      <c r="C2301" s="24"/>
      <c r="D2301" s="44"/>
      <c r="E2301" s="19"/>
      <c r="F2301" s="35"/>
      <c r="G2301" s="20">
        <v>1899.0</v>
      </c>
      <c r="H2301" s="21"/>
      <c r="I2301" s="21"/>
      <c r="J2301" s="21"/>
      <c r="K2301" s="16"/>
      <c r="L2301" s="22"/>
      <c r="M2301" s="55"/>
      <c r="N2301" s="23" t="s">
        <v>200</v>
      </c>
      <c r="O2301" s="23" t="s">
        <v>200</v>
      </c>
      <c r="P2301" s="24"/>
      <c r="Q2301" s="23"/>
      <c r="R2301" s="25"/>
      <c r="S2301" s="26"/>
      <c r="T2301" s="16" t="b">
        <v>0</v>
      </c>
    </row>
    <row r="2302">
      <c r="A2302" s="4"/>
      <c r="B2302" s="5"/>
      <c r="C2302" s="13"/>
      <c r="D2302" s="39"/>
      <c r="E2302" s="7"/>
      <c r="F2302" s="34"/>
      <c r="G2302" s="8">
        <v>1899.0</v>
      </c>
      <c r="H2302" s="9"/>
      <c r="I2302" s="9"/>
      <c r="J2302" s="9"/>
      <c r="K2302" s="4"/>
      <c r="L2302" s="10"/>
      <c r="M2302" s="54"/>
      <c r="N2302" s="12" t="s">
        <v>200</v>
      </c>
      <c r="O2302" s="12" t="s">
        <v>200</v>
      </c>
      <c r="P2302" s="13"/>
      <c r="Q2302" s="12"/>
      <c r="R2302" s="14"/>
      <c r="S2302" s="15"/>
      <c r="T2302" s="4" t="b">
        <v>0</v>
      </c>
    </row>
    <row r="2303">
      <c r="A2303" s="16"/>
      <c r="B2303" s="17"/>
      <c r="C2303" s="24"/>
      <c r="D2303" s="44"/>
      <c r="E2303" s="19"/>
      <c r="F2303" s="35"/>
      <c r="G2303" s="20">
        <v>1899.0</v>
      </c>
      <c r="H2303" s="21"/>
      <c r="I2303" s="21"/>
      <c r="J2303" s="21"/>
      <c r="K2303" s="16"/>
      <c r="L2303" s="22"/>
      <c r="M2303" s="55"/>
      <c r="N2303" s="23" t="s">
        <v>200</v>
      </c>
      <c r="O2303" s="23" t="s">
        <v>200</v>
      </c>
      <c r="P2303" s="24"/>
      <c r="Q2303" s="23"/>
      <c r="R2303" s="25"/>
      <c r="S2303" s="26"/>
      <c r="T2303" s="16" t="b">
        <v>0</v>
      </c>
    </row>
    <row r="2304">
      <c r="A2304" s="4"/>
      <c r="B2304" s="5"/>
      <c r="C2304" s="13"/>
      <c r="D2304" s="39"/>
      <c r="E2304" s="7"/>
      <c r="F2304" s="34"/>
      <c r="G2304" s="8">
        <v>1899.0</v>
      </c>
      <c r="H2304" s="9"/>
      <c r="I2304" s="9"/>
      <c r="J2304" s="9"/>
      <c r="K2304" s="4"/>
      <c r="L2304" s="10"/>
      <c r="M2304" s="54"/>
      <c r="N2304" s="12" t="s">
        <v>200</v>
      </c>
      <c r="O2304" s="12" t="s">
        <v>200</v>
      </c>
      <c r="P2304" s="13"/>
      <c r="Q2304" s="12"/>
      <c r="R2304" s="14"/>
      <c r="S2304" s="15"/>
      <c r="T2304" s="4" t="b">
        <v>0</v>
      </c>
    </row>
    <row r="2305">
      <c r="A2305" s="16"/>
      <c r="B2305" s="17"/>
      <c r="C2305" s="24"/>
      <c r="D2305" s="44"/>
      <c r="E2305" s="19"/>
      <c r="F2305" s="35"/>
      <c r="G2305" s="20">
        <v>1899.0</v>
      </c>
      <c r="H2305" s="21"/>
      <c r="I2305" s="21"/>
      <c r="J2305" s="21"/>
      <c r="K2305" s="16"/>
      <c r="L2305" s="22"/>
      <c r="M2305" s="55"/>
      <c r="N2305" s="23" t="s">
        <v>200</v>
      </c>
      <c r="O2305" s="23" t="s">
        <v>200</v>
      </c>
      <c r="P2305" s="24"/>
      <c r="Q2305" s="23"/>
      <c r="R2305" s="25"/>
      <c r="S2305" s="26"/>
      <c r="T2305" s="16" t="b">
        <v>0</v>
      </c>
    </row>
    <row r="2306">
      <c r="A2306" s="4"/>
      <c r="B2306" s="5"/>
      <c r="C2306" s="13"/>
      <c r="D2306" s="39"/>
      <c r="E2306" s="7"/>
      <c r="F2306" s="34"/>
      <c r="G2306" s="8">
        <v>1899.0</v>
      </c>
      <c r="H2306" s="9"/>
      <c r="I2306" s="9"/>
      <c r="J2306" s="9"/>
      <c r="K2306" s="4"/>
      <c r="L2306" s="10"/>
      <c r="M2306" s="54"/>
      <c r="N2306" s="12" t="s">
        <v>200</v>
      </c>
      <c r="O2306" s="12" t="s">
        <v>200</v>
      </c>
      <c r="P2306" s="13"/>
      <c r="Q2306" s="12"/>
      <c r="R2306" s="14"/>
      <c r="S2306" s="15"/>
      <c r="T2306" s="4" t="b">
        <v>0</v>
      </c>
    </row>
    <row r="2307">
      <c r="A2307" s="16"/>
      <c r="B2307" s="17"/>
      <c r="C2307" s="24"/>
      <c r="D2307" s="44"/>
      <c r="E2307" s="19"/>
      <c r="F2307" s="35"/>
      <c r="G2307" s="20">
        <v>1899.0</v>
      </c>
      <c r="H2307" s="21"/>
      <c r="I2307" s="21"/>
      <c r="J2307" s="21"/>
      <c r="K2307" s="16"/>
      <c r="L2307" s="22"/>
      <c r="M2307" s="55"/>
      <c r="N2307" s="23" t="s">
        <v>200</v>
      </c>
      <c r="O2307" s="23" t="s">
        <v>200</v>
      </c>
      <c r="P2307" s="24"/>
      <c r="Q2307" s="23"/>
      <c r="R2307" s="25"/>
      <c r="S2307" s="26"/>
      <c r="T2307" s="16" t="b">
        <v>0</v>
      </c>
    </row>
    <row r="2308">
      <c r="A2308" s="4"/>
      <c r="B2308" s="5"/>
      <c r="C2308" s="13"/>
      <c r="D2308" s="39"/>
      <c r="E2308" s="7"/>
      <c r="F2308" s="34"/>
      <c r="G2308" s="8">
        <v>1899.0</v>
      </c>
      <c r="H2308" s="9"/>
      <c r="I2308" s="9"/>
      <c r="J2308" s="9"/>
      <c r="K2308" s="4"/>
      <c r="L2308" s="10"/>
      <c r="M2308" s="54"/>
      <c r="N2308" s="12" t="s">
        <v>200</v>
      </c>
      <c r="O2308" s="12" t="s">
        <v>200</v>
      </c>
      <c r="P2308" s="13"/>
      <c r="Q2308" s="12"/>
      <c r="R2308" s="14"/>
      <c r="S2308" s="15"/>
      <c r="T2308" s="4" t="b">
        <v>0</v>
      </c>
    </row>
    <row r="2309">
      <c r="A2309" s="16"/>
      <c r="B2309" s="17"/>
      <c r="C2309" s="24"/>
      <c r="D2309" s="44"/>
      <c r="E2309" s="19"/>
      <c r="F2309" s="35"/>
      <c r="G2309" s="20">
        <v>1899.0</v>
      </c>
      <c r="H2309" s="21"/>
      <c r="I2309" s="21"/>
      <c r="J2309" s="21"/>
      <c r="K2309" s="16"/>
      <c r="L2309" s="22"/>
      <c r="M2309" s="55"/>
      <c r="N2309" s="23" t="s">
        <v>200</v>
      </c>
      <c r="O2309" s="23" t="s">
        <v>200</v>
      </c>
      <c r="P2309" s="24"/>
      <c r="Q2309" s="23"/>
      <c r="R2309" s="25"/>
      <c r="S2309" s="26"/>
      <c r="T2309" s="16" t="b">
        <v>0</v>
      </c>
    </row>
    <row r="2310">
      <c r="A2310" s="4"/>
      <c r="B2310" s="5"/>
      <c r="C2310" s="13"/>
      <c r="D2310" s="39"/>
      <c r="E2310" s="7"/>
      <c r="F2310" s="34"/>
      <c r="G2310" s="8">
        <v>1899.0</v>
      </c>
      <c r="H2310" s="9"/>
      <c r="I2310" s="9"/>
      <c r="J2310" s="9"/>
      <c r="K2310" s="4"/>
      <c r="L2310" s="10"/>
      <c r="M2310" s="54"/>
      <c r="N2310" s="12" t="s">
        <v>200</v>
      </c>
      <c r="O2310" s="12" t="s">
        <v>200</v>
      </c>
      <c r="P2310" s="13"/>
      <c r="Q2310" s="12"/>
      <c r="R2310" s="14"/>
      <c r="S2310" s="15"/>
      <c r="T2310" s="4" t="b">
        <v>0</v>
      </c>
    </row>
    <row r="2311">
      <c r="A2311" s="16"/>
      <c r="B2311" s="17"/>
      <c r="C2311" s="24"/>
      <c r="D2311" s="44"/>
      <c r="E2311" s="19"/>
      <c r="F2311" s="35"/>
      <c r="G2311" s="20">
        <v>1899.0</v>
      </c>
      <c r="H2311" s="21"/>
      <c r="I2311" s="21"/>
      <c r="J2311" s="21"/>
      <c r="K2311" s="16"/>
      <c r="L2311" s="22"/>
      <c r="M2311" s="55"/>
      <c r="N2311" s="23" t="s">
        <v>200</v>
      </c>
      <c r="O2311" s="23" t="s">
        <v>200</v>
      </c>
      <c r="P2311" s="24"/>
      <c r="Q2311" s="23"/>
      <c r="R2311" s="25"/>
      <c r="S2311" s="26"/>
      <c r="T2311" s="16" t="b">
        <v>0</v>
      </c>
    </row>
    <row r="2312">
      <c r="A2312" s="4"/>
      <c r="B2312" s="5"/>
      <c r="C2312" s="13"/>
      <c r="D2312" s="39"/>
      <c r="E2312" s="7"/>
      <c r="F2312" s="34"/>
      <c r="G2312" s="8">
        <v>1899.0</v>
      </c>
      <c r="H2312" s="9"/>
      <c r="I2312" s="9"/>
      <c r="J2312" s="9"/>
      <c r="K2312" s="4"/>
      <c r="L2312" s="10"/>
      <c r="M2312" s="54"/>
      <c r="N2312" s="12" t="s">
        <v>200</v>
      </c>
      <c r="O2312" s="12" t="s">
        <v>200</v>
      </c>
      <c r="P2312" s="13"/>
      <c r="Q2312" s="12"/>
      <c r="R2312" s="14"/>
      <c r="S2312" s="15"/>
      <c r="T2312" s="4" t="b">
        <v>0</v>
      </c>
    </row>
    <row r="2313">
      <c r="A2313" s="16"/>
      <c r="B2313" s="17"/>
      <c r="C2313" s="24"/>
      <c r="D2313" s="44"/>
      <c r="E2313" s="19"/>
      <c r="F2313" s="35"/>
      <c r="G2313" s="20">
        <v>1899.0</v>
      </c>
      <c r="H2313" s="21"/>
      <c r="I2313" s="21"/>
      <c r="J2313" s="21"/>
      <c r="K2313" s="16"/>
      <c r="L2313" s="22"/>
      <c r="M2313" s="55"/>
      <c r="N2313" s="23" t="s">
        <v>200</v>
      </c>
      <c r="O2313" s="23" t="s">
        <v>200</v>
      </c>
      <c r="P2313" s="24"/>
      <c r="Q2313" s="23"/>
      <c r="R2313" s="25"/>
      <c r="S2313" s="26"/>
      <c r="T2313" s="16" t="b">
        <v>0</v>
      </c>
    </row>
    <row r="2314">
      <c r="A2314" s="4"/>
      <c r="B2314" s="5"/>
      <c r="C2314" s="13"/>
      <c r="D2314" s="39"/>
      <c r="E2314" s="7"/>
      <c r="F2314" s="34"/>
      <c r="G2314" s="8">
        <v>1899.0</v>
      </c>
      <c r="H2314" s="9"/>
      <c r="I2314" s="9"/>
      <c r="J2314" s="9"/>
      <c r="K2314" s="4"/>
      <c r="L2314" s="10"/>
      <c r="M2314" s="54"/>
      <c r="N2314" s="12" t="s">
        <v>200</v>
      </c>
      <c r="O2314" s="12" t="s">
        <v>200</v>
      </c>
      <c r="P2314" s="13"/>
      <c r="Q2314" s="12"/>
      <c r="R2314" s="14"/>
      <c r="S2314" s="15"/>
      <c r="T2314" s="4" t="b">
        <v>0</v>
      </c>
    </row>
    <row r="2315">
      <c r="A2315" s="16"/>
      <c r="B2315" s="17"/>
      <c r="C2315" s="24"/>
      <c r="D2315" s="44"/>
      <c r="E2315" s="19"/>
      <c r="F2315" s="35"/>
      <c r="G2315" s="20">
        <v>1899.0</v>
      </c>
      <c r="H2315" s="21"/>
      <c r="I2315" s="21"/>
      <c r="J2315" s="21"/>
      <c r="K2315" s="16"/>
      <c r="L2315" s="22"/>
      <c r="M2315" s="55"/>
      <c r="N2315" s="23" t="s">
        <v>200</v>
      </c>
      <c r="O2315" s="23" t="s">
        <v>200</v>
      </c>
      <c r="P2315" s="24"/>
      <c r="Q2315" s="23"/>
      <c r="R2315" s="25"/>
      <c r="S2315" s="26"/>
      <c r="T2315" s="16" t="b">
        <v>0</v>
      </c>
    </row>
    <row r="2316">
      <c r="A2316" s="4"/>
      <c r="B2316" s="5"/>
      <c r="C2316" s="13"/>
      <c r="D2316" s="39"/>
      <c r="E2316" s="7"/>
      <c r="F2316" s="34"/>
      <c r="G2316" s="8">
        <v>1899.0</v>
      </c>
      <c r="H2316" s="9"/>
      <c r="I2316" s="9"/>
      <c r="J2316" s="9"/>
      <c r="K2316" s="4"/>
      <c r="L2316" s="10"/>
      <c r="M2316" s="54"/>
      <c r="N2316" s="12" t="s">
        <v>200</v>
      </c>
      <c r="O2316" s="12" t="s">
        <v>200</v>
      </c>
      <c r="P2316" s="13"/>
      <c r="Q2316" s="12"/>
      <c r="R2316" s="14"/>
      <c r="S2316" s="15"/>
      <c r="T2316" s="4" t="b">
        <v>0</v>
      </c>
    </row>
    <row r="2317">
      <c r="A2317" s="16"/>
      <c r="B2317" s="17"/>
      <c r="C2317" s="24"/>
      <c r="D2317" s="44"/>
      <c r="E2317" s="19"/>
      <c r="F2317" s="35"/>
      <c r="G2317" s="20">
        <v>1899.0</v>
      </c>
      <c r="H2317" s="21"/>
      <c r="I2317" s="21"/>
      <c r="J2317" s="21"/>
      <c r="K2317" s="16"/>
      <c r="L2317" s="22"/>
      <c r="M2317" s="55"/>
      <c r="N2317" s="23" t="s">
        <v>200</v>
      </c>
      <c r="O2317" s="23" t="s">
        <v>200</v>
      </c>
      <c r="P2317" s="24"/>
      <c r="Q2317" s="23"/>
      <c r="R2317" s="25"/>
      <c r="S2317" s="26"/>
      <c r="T2317" s="16" t="b">
        <v>0</v>
      </c>
    </row>
    <row r="2318">
      <c r="A2318" s="4"/>
      <c r="B2318" s="5"/>
      <c r="C2318" s="13"/>
      <c r="D2318" s="39"/>
      <c r="E2318" s="7"/>
      <c r="F2318" s="34"/>
      <c r="G2318" s="8">
        <v>1899.0</v>
      </c>
      <c r="H2318" s="9"/>
      <c r="I2318" s="9"/>
      <c r="J2318" s="9"/>
      <c r="K2318" s="4"/>
      <c r="L2318" s="10"/>
      <c r="M2318" s="54"/>
      <c r="N2318" s="12" t="s">
        <v>200</v>
      </c>
      <c r="O2318" s="12" t="s">
        <v>200</v>
      </c>
      <c r="P2318" s="13"/>
      <c r="Q2318" s="12"/>
      <c r="R2318" s="14"/>
      <c r="S2318" s="15"/>
      <c r="T2318" s="4" t="b">
        <v>0</v>
      </c>
    </row>
    <row r="2319">
      <c r="A2319" s="16"/>
      <c r="B2319" s="17"/>
      <c r="C2319" s="24"/>
      <c r="D2319" s="44"/>
      <c r="E2319" s="19"/>
      <c r="F2319" s="35"/>
      <c r="G2319" s="20">
        <v>1899.0</v>
      </c>
      <c r="H2319" s="21"/>
      <c r="I2319" s="21"/>
      <c r="J2319" s="21"/>
      <c r="K2319" s="16"/>
      <c r="L2319" s="22"/>
      <c r="M2319" s="55"/>
      <c r="N2319" s="23" t="s">
        <v>200</v>
      </c>
      <c r="O2319" s="23" t="s">
        <v>200</v>
      </c>
      <c r="P2319" s="24"/>
      <c r="Q2319" s="23"/>
      <c r="R2319" s="25"/>
      <c r="S2319" s="26"/>
      <c r="T2319" s="16" t="b">
        <v>0</v>
      </c>
    </row>
    <row r="2320">
      <c r="A2320" s="4"/>
      <c r="B2320" s="5"/>
      <c r="C2320" s="13"/>
      <c r="D2320" s="39"/>
      <c r="E2320" s="7"/>
      <c r="F2320" s="34"/>
      <c r="G2320" s="8">
        <v>1899.0</v>
      </c>
      <c r="H2320" s="9"/>
      <c r="I2320" s="9"/>
      <c r="J2320" s="9"/>
      <c r="K2320" s="4"/>
      <c r="L2320" s="10"/>
      <c r="M2320" s="54"/>
      <c r="N2320" s="12" t="s">
        <v>200</v>
      </c>
      <c r="O2320" s="12" t="s">
        <v>200</v>
      </c>
      <c r="P2320" s="13"/>
      <c r="Q2320" s="12"/>
      <c r="R2320" s="14"/>
      <c r="S2320" s="15"/>
      <c r="T2320" s="4" t="b">
        <v>0</v>
      </c>
    </row>
    <row r="2321">
      <c r="A2321" s="16"/>
      <c r="B2321" s="17"/>
      <c r="C2321" s="24"/>
      <c r="D2321" s="44"/>
      <c r="E2321" s="19"/>
      <c r="F2321" s="35"/>
      <c r="G2321" s="20">
        <v>1899.0</v>
      </c>
      <c r="H2321" s="21"/>
      <c r="I2321" s="21"/>
      <c r="J2321" s="21"/>
      <c r="K2321" s="16"/>
      <c r="L2321" s="22"/>
      <c r="M2321" s="55"/>
      <c r="N2321" s="23" t="s">
        <v>200</v>
      </c>
      <c r="O2321" s="23" t="s">
        <v>200</v>
      </c>
      <c r="P2321" s="24"/>
      <c r="Q2321" s="23"/>
      <c r="R2321" s="25"/>
      <c r="S2321" s="26"/>
      <c r="T2321" s="16" t="b">
        <v>0</v>
      </c>
    </row>
    <row r="2322">
      <c r="A2322" s="4"/>
      <c r="B2322" s="5"/>
      <c r="C2322" s="13"/>
      <c r="D2322" s="39"/>
      <c r="E2322" s="7"/>
      <c r="F2322" s="34"/>
      <c r="G2322" s="8">
        <v>1899.0</v>
      </c>
      <c r="H2322" s="9"/>
      <c r="I2322" s="9"/>
      <c r="J2322" s="9"/>
      <c r="K2322" s="4"/>
      <c r="L2322" s="10"/>
      <c r="M2322" s="54"/>
      <c r="N2322" s="12" t="s">
        <v>200</v>
      </c>
      <c r="O2322" s="12" t="s">
        <v>200</v>
      </c>
      <c r="P2322" s="13"/>
      <c r="Q2322" s="12"/>
      <c r="R2322" s="14"/>
      <c r="S2322" s="15"/>
      <c r="T2322" s="4" t="b">
        <v>0</v>
      </c>
    </row>
    <row r="2323">
      <c r="A2323" s="16"/>
      <c r="B2323" s="17"/>
      <c r="C2323" s="24"/>
      <c r="D2323" s="44"/>
      <c r="E2323" s="19"/>
      <c r="F2323" s="35"/>
      <c r="G2323" s="20">
        <v>1899.0</v>
      </c>
      <c r="H2323" s="21"/>
      <c r="I2323" s="21"/>
      <c r="J2323" s="21"/>
      <c r="K2323" s="16"/>
      <c r="L2323" s="22"/>
      <c r="M2323" s="55"/>
      <c r="N2323" s="23" t="s">
        <v>200</v>
      </c>
      <c r="O2323" s="23" t="s">
        <v>200</v>
      </c>
      <c r="P2323" s="24"/>
      <c r="Q2323" s="23"/>
      <c r="R2323" s="25"/>
      <c r="S2323" s="26"/>
      <c r="T2323" s="16" t="b">
        <v>0</v>
      </c>
    </row>
    <row r="2324">
      <c r="A2324" s="4"/>
      <c r="B2324" s="5"/>
      <c r="C2324" s="13"/>
      <c r="D2324" s="39"/>
      <c r="E2324" s="7"/>
      <c r="F2324" s="34"/>
      <c r="G2324" s="8">
        <v>1899.0</v>
      </c>
      <c r="H2324" s="9"/>
      <c r="I2324" s="9"/>
      <c r="J2324" s="9"/>
      <c r="K2324" s="4"/>
      <c r="L2324" s="10"/>
      <c r="M2324" s="54"/>
      <c r="N2324" s="12" t="s">
        <v>200</v>
      </c>
      <c r="O2324" s="12" t="s">
        <v>200</v>
      </c>
      <c r="P2324" s="13"/>
      <c r="Q2324" s="12"/>
      <c r="R2324" s="14"/>
      <c r="S2324" s="15"/>
      <c r="T2324" s="4" t="b">
        <v>0</v>
      </c>
    </row>
    <row r="2325">
      <c r="A2325" s="16"/>
      <c r="B2325" s="17"/>
      <c r="C2325" s="24"/>
      <c r="D2325" s="44"/>
      <c r="E2325" s="19"/>
      <c r="F2325" s="35"/>
      <c r="G2325" s="20">
        <v>1899.0</v>
      </c>
      <c r="H2325" s="21"/>
      <c r="I2325" s="21"/>
      <c r="J2325" s="21"/>
      <c r="K2325" s="16"/>
      <c r="L2325" s="22"/>
      <c r="M2325" s="55"/>
      <c r="N2325" s="23" t="s">
        <v>200</v>
      </c>
      <c r="O2325" s="23" t="s">
        <v>200</v>
      </c>
      <c r="P2325" s="24"/>
      <c r="Q2325" s="23"/>
      <c r="R2325" s="25"/>
      <c r="S2325" s="26"/>
      <c r="T2325" s="16" t="b">
        <v>0</v>
      </c>
    </row>
    <row r="2326">
      <c r="A2326" s="4"/>
      <c r="B2326" s="5"/>
      <c r="C2326" s="13"/>
      <c r="D2326" s="39"/>
      <c r="E2326" s="7"/>
      <c r="F2326" s="34"/>
      <c r="G2326" s="8">
        <v>1899.0</v>
      </c>
      <c r="H2326" s="9"/>
      <c r="I2326" s="9"/>
      <c r="J2326" s="9"/>
      <c r="K2326" s="4"/>
      <c r="L2326" s="10"/>
      <c r="M2326" s="54"/>
      <c r="N2326" s="12" t="s">
        <v>200</v>
      </c>
      <c r="O2326" s="12" t="s">
        <v>200</v>
      </c>
      <c r="P2326" s="13"/>
      <c r="Q2326" s="12"/>
      <c r="R2326" s="14"/>
      <c r="S2326" s="15"/>
      <c r="T2326" s="4" t="b">
        <v>0</v>
      </c>
    </row>
    <row r="2327">
      <c r="A2327" s="16"/>
      <c r="B2327" s="17"/>
      <c r="C2327" s="24"/>
      <c r="D2327" s="44"/>
      <c r="E2327" s="19"/>
      <c r="F2327" s="35"/>
      <c r="G2327" s="20">
        <v>1899.0</v>
      </c>
      <c r="H2327" s="21"/>
      <c r="I2327" s="21"/>
      <c r="J2327" s="21"/>
      <c r="K2327" s="16"/>
      <c r="L2327" s="22"/>
      <c r="M2327" s="55"/>
      <c r="N2327" s="23" t="s">
        <v>200</v>
      </c>
      <c r="O2327" s="23" t="s">
        <v>200</v>
      </c>
      <c r="P2327" s="24"/>
      <c r="Q2327" s="23"/>
      <c r="R2327" s="25"/>
      <c r="S2327" s="26"/>
      <c r="T2327" s="16" t="b">
        <v>0</v>
      </c>
    </row>
    <row r="2328">
      <c r="A2328" s="4"/>
      <c r="B2328" s="5"/>
      <c r="C2328" s="13"/>
      <c r="D2328" s="39"/>
      <c r="E2328" s="7"/>
      <c r="F2328" s="34"/>
      <c r="G2328" s="8">
        <v>1899.0</v>
      </c>
      <c r="H2328" s="9"/>
      <c r="I2328" s="9"/>
      <c r="J2328" s="9"/>
      <c r="K2328" s="4"/>
      <c r="L2328" s="10"/>
      <c r="M2328" s="54"/>
      <c r="N2328" s="12" t="s">
        <v>200</v>
      </c>
      <c r="O2328" s="12" t="s">
        <v>200</v>
      </c>
      <c r="P2328" s="13"/>
      <c r="Q2328" s="12"/>
      <c r="R2328" s="14"/>
      <c r="S2328" s="15"/>
      <c r="T2328" s="4" t="b">
        <v>0</v>
      </c>
    </row>
    <row r="2329">
      <c r="A2329" s="16"/>
      <c r="B2329" s="17"/>
      <c r="C2329" s="24"/>
      <c r="D2329" s="44"/>
      <c r="E2329" s="19"/>
      <c r="F2329" s="35"/>
      <c r="G2329" s="20">
        <v>1899.0</v>
      </c>
      <c r="H2329" s="21"/>
      <c r="I2329" s="21"/>
      <c r="J2329" s="21"/>
      <c r="K2329" s="16"/>
      <c r="L2329" s="22"/>
      <c r="M2329" s="55"/>
      <c r="N2329" s="23" t="s">
        <v>200</v>
      </c>
      <c r="O2329" s="23" t="s">
        <v>200</v>
      </c>
      <c r="P2329" s="24"/>
      <c r="Q2329" s="23"/>
      <c r="R2329" s="25"/>
      <c r="S2329" s="26"/>
      <c r="T2329" s="16" t="b">
        <v>0</v>
      </c>
    </row>
    <row r="2330">
      <c r="A2330" s="4"/>
      <c r="B2330" s="5"/>
      <c r="C2330" s="13"/>
      <c r="D2330" s="39"/>
      <c r="E2330" s="7"/>
      <c r="F2330" s="34"/>
      <c r="G2330" s="8">
        <v>1899.0</v>
      </c>
      <c r="H2330" s="9"/>
      <c r="I2330" s="9"/>
      <c r="J2330" s="9"/>
      <c r="K2330" s="4"/>
      <c r="L2330" s="10"/>
      <c r="M2330" s="54"/>
      <c r="N2330" s="12" t="s">
        <v>200</v>
      </c>
      <c r="O2330" s="12" t="s">
        <v>200</v>
      </c>
      <c r="P2330" s="13"/>
      <c r="Q2330" s="12"/>
      <c r="R2330" s="14"/>
      <c r="S2330" s="15"/>
      <c r="T2330" s="4" t="b">
        <v>0</v>
      </c>
    </row>
    <row r="2331">
      <c r="A2331" s="16"/>
      <c r="B2331" s="17"/>
      <c r="C2331" s="24"/>
      <c r="D2331" s="44"/>
      <c r="E2331" s="19"/>
      <c r="F2331" s="35"/>
      <c r="G2331" s="20">
        <v>1899.0</v>
      </c>
      <c r="H2331" s="21"/>
      <c r="I2331" s="21"/>
      <c r="J2331" s="21"/>
      <c r="K2331" s="16"/>
      <c r="L2331" s="22"/>
      <c r="M2331" s="55"/>
      <c r="N2331" s="23" t="s">
        <v>200</v>
      </c>
      <c r="O2331" s="23" t="s">
        <v>200</v>
      </c>
      <c r="P2331" s="24"/>
      <c r="Q2331" s="23"/>
      <c r="R2331" s="25"/>
      <c r="S2331" s="26"/>
      <c r="T2331" s="16" t="b">
        <v>0</v>
      </c>
    </row>
    <row r="2332">
      <c r="A2332" s="4"/>
      <c r="B2332" s="5"/>
      <c r="C2332" s="13"/>
      <c r="D2332" s="39"/>
      <c r="E2332" s="7"/>
      <c r="F2332" s="34"/>
      <c r="G2332" s="8">
        <v>1899.0</v>
      </c>
      <c r="H2332" s="9"/>
      <c r="I2332" s="9"/>
      <c r="J2332" s="9"/>
      <c r="K2332" s="4"/>
      <c r="L2332" s="10"/>
      <c r="M2332" s="54"/>
      <c r="N2332" s="12" t="s">
        <v>200</v>
      </c>
      <c r="O2332" s="12" t="s">
        <v>200</v>
      </c>
      <c r="P2332" s="13"/>
      <c r="Q2332" s="12"/>
      <c r="R2332" s="14"/>
      <c r="S2332" s="15"/>
      <c r="T2332" s="4" t="b">
        <v>0</v>
      </c>
    </row>
    <row r="2333">
      <c r="A2333" s="16"/>
      <c r="B2333" s="17"/>
      <c r="C2333" s="24"/>
      <c r="D2333" s="44"/>
      <c r="E2333" s="19"/>
      <c r="F2333" s="35"/>
      <c r="G2333" s="20">
        <v>1899.0</v>
      </c>
      <c r="H2333" s="21"/>
      <c r="I2333" s="21"/>
      <c r="J2333" s="21"/>
      <c r="K2333" s="16"/>
      <c r="L2333" s="22"/>
      <c r="M2333" s="55"/>
      <c r="N2333" s="23" t="s">
        <v>200</v>
      </c>
      <c r="O2333" s="23" t="s">
        <v>200</v>
      </c>
      <c r="P2333" s="24"/>
      <c r="Q2333" s="23"/>
      <c r="R2333" s="25"/>
      <c r="S2333" s="26"/>
      <c r="T2333" s="16" t="b">
        <v>0</v>
      </c>
    </row>
    <row r="2334">
      <c r="A2334" s="4"/>
      <c r="B2334" s="5"/>
      <c r="C2334" s="13"/>
      <c r="D2334" s="39"/>
      <c r="E2334" s="7"/>
      <c r="F2334" s="34"/>
      <c r="G2334" s="8">
        <v>1899.0</v>
      </c>
      <c r="H2334" s="9"/>
      <c r="I2334" s="9"/>
      <c r="J2334" s="9"/>
      <c r="K2334" s="4"/>
      <c r="L2334" s="10"/>
      <c r="M2334" s="54"/>
      <c r="N2334" s="12" t="s">
        <v>200</v>
      </c>
      <c r="O2334" s="12" t="s">
        <v>200</v>
      </c>
      <c r="P2334" s="13"/>
      <c r="Q2334" s="12"/>
      <c r="R2334" s="14"/>
      <c r="S2334" s="15"/>
      <c r="T2334" s="4" t="b">
        <v>0</v>
      </c>
    </row>
    <row r="2335">
      <c r="A2335" s="16"/>
      <c r="B2335" s="17"/>
      <c r="C2335" s="24"/>
      <c r="D2335" s="44"/>
      <c r="E2335" s="19"/>
      <c r="F2335" s="35"/>
      <c r="G2335" s="20">
        <v>1899.0</v>
      </c>
      <c r="H2335" s="21"/>
      <c r="I2335" s="21"/>
      <c r="J2335" s="21"/>
      <c r="K2335" s="16"/>
      <c r="L2335" s="22"/>
      <c r="M2335" s="55"/>
      <c r="N2335" s="23" t="s">
        <v>200</v>
      </c>
      <c r="O2335" s="23" t="s">
        <v>200</v>
      </c>
      <c r="P2335" s="24"/>
      <c r="Q2335" s="23"/>
      <c r="R2335" s="25"/>
      <c r="S2335" s="26"/>
      <c r="T2335" s="16" t="b">
        <v>0</v>
      </c>
    </row>
    <row r="2336">
      <c r="A2336" s="4"/>
      <c r="B2336" s="5"/>
      <c r="C2336" s="13"/>
      <c r="D2336" s="39"/>
      <c r="E2336" s="7"/>
      <c r="F2336" s="34"/>
      <c r="G2336" s="8">
        <v>1899.0</v>
      </c>
      <c r="H2336" s="9"/>
      <c r="I2336" s="9"/>
      <c r="J2336" s="9"/>
      <c r="K2336" s="4"/>
      <c r="L2336" s="10"/>
      <c r="M2336" s="54"/>
      <c r="N2336" s="12" t="s">
        <v>200</v>
      </c>
      <c r="O2336" s="12" t="s">
        <v>200</v>
      </c>
      <c r="P2336" s="13"/>
      <c r="Q2336" s="12"/>
      <c r="R2336" s="14"/>
      <c r="S2336" s="15"/>
      <c r="T2336" s="4" t="b">
        <v>0</v>
      </c>
    </row>
    <row r="2337">
      <c r="A2337" s="16"/>
      <c r="B2337" s="17"/>
      <c r="C2337" s="24"/>
      <c r="D2337" s="44"/>
      <c r="E2337" s="19"/>
      <c r="F2337" s="35"/>
      <c r="G2337" s="20">
        <v>1899.0</v>
      </c>
      <c r="H2337" s="21"/>
      <c r="I2337" s="21"/>
      <c r="J2337" s="21"/>
      <c r="K2337" s="16"/>
      <c r="L2337" s="22"/>
      <c r="M2337" s="55"/>
      <c r="N2337" s="23" t="s">
        <v>200</v>
      </c>
      <c r="O2337" s="23" t="s">
        <v>200</v>
      </c>
      <c r="P2337" s="24"/>
      <c r="Q2337" s="23"/>
      <c r="R2337" s="25"/>
      <c r="S2337" s="26"/>
      <c r="T2337" s="16" t="b">
        <v>0</v>
      </c>
    </row>
    <row r="2338">
      <c r="A2338" s="4"/>
      <c r="B2338" s="5"/>
      <c r="C2338" s="13"/>
      <c r="D2338" s="39"/>
      <c r="E2338" s="7"/>
      <c r="F2338" s="34"/>
      <c r="G2338" s="8">
        <v>1899.0</v>
      </c>
      <c r="H2338" s="9"/>
      <c r="I2338" s="9"/>
      <c r="J2338" s="9"/>
      <c r="K2338" s="4"/>
      <c r="L2338" s="10"/>
      <c r="M2338" s="54"/>
      <c r="N2338" s="12" t="s">
        <v>200</v>
      </c>
      <c r="O2338" s="12" t="s">
        <v>200</v>
      </c>
      <c r="P2338" s="13"/>
      <c r="Q2338" s="12"/>
      <c r="R2338" s="14"/>
      <c r="S2338" s="15"/>
      <c r="T2338" s="4" t="b">
        <v>0</v>
      </c>
    </row>
    <row r="2339">
      <c r="A2339" s="16"/>
      <c r="B2339" s="17"/>
      <c r="C2339" s="24"/>
      <c r="D2339" s="44"/>
      <c r="E2339" s="19"/>
      <c r="F2339" s="35"/>
      <c r="G2339" s="20">
        <v>1899.0</v>
      </c>
      <c r="H2339" s="21"/>
      <c r="I2339" s="21"/>
      <c r="J2339" s="21"/>
      <c r="K2339" s="16"/>
      <c r="L2339" s="22"/>
      <c r="M2339" s="55"/>
      <c r="N2339" s="23" t="s">
        <v>200</v>
      </c>
      <c r="O2339" s="23" t="s">
        <v>200</v>
      </c>
      <c r="P2339" s="24"/>
      <c r="Q2339" s="23"/>
      <c r="R2339" s="25"/>
      <c r="S2339" s="26"/>
      <c r="T2339" s="16" t="b">
        <v>0</v>
      </c>
    </row>
    <row r="2340">
      <c r="A2340" s="4"/>
      <c r="B2340" s="5"/>
      <c r="C2340" s="13"/>
      <c r="D2340" s="39"/>
      <c r="E2340" s="7"/>
      <c r="F2340" s="34"/>
      <c r="G2340" s="8">
        <v>1899.0</v>
      </c>
      <c r="H2340" s="9"/>
      <c r="I2340" s="9"/>
      <c r="J2340" s="9"/>
      <c r="K2340" s="4"/>
      <c r="L2340" s="10"/>
      <c r="M2340" s="54"/>
      <c r="N2340" s="12" t="s">
        <v>200</v>
      </c>
      <c r="O2340" s="12" t="s">
        <v>200</v>
      </c>
      <c r="P2340" s="13"/>
      <c r="Q2340" s="12"/>
      <c r="R2340" s="14"/>
      <c r="S2340" s="15"/>
      <c r="T2340" s="4" t="b">
        <v>0</v>
      </c>
    </row>
    <row r="2341">
      <c r="A2341" s="16"/>
      <c r="B2341" s="17"/>
      <c r="C2341" s="24"/>
      <c r="D2341" s="44"/>
      <c r="E2341" s="19"/>
      <c r="F2341" s="35"/>
      <c r="G2341" s="20">
        <v>1899.0</v>
      </c>
      <c r="H2341" s="21"/>
      <c r="I2341" s="21"/>
      <c r="J2341" s="21"/>
      <c r="K2341" s="16"/>
      <c r="L2341" s="22"/>
      <c r="M2341" s="55"/>
      <c r="N2341" s="23" t="s">
        <v>200</v>
      </c>
      <c r="O2341" s="23" t="s">
        <v>200</v>
      </c>
      <c r="P2341" s="24"/>
      <c r="Q2341" s="23"/>
      <c r="R2341" s="25"/>
      <c r="S2341" s="26"/>
      <c r="T2341" s="16" t="b">
        <v>0</v>
      </c>
    </row>
    <row r="2342">
      <c r="A2342" s="4"/>
      <c r="B2342" s="5"/>
      <c r="C2342" s="13"/>
      <c r="D2342" s="39"/>
      <c r="E2342" s="7"/>
      <c r="F2342" s="34"/>
      <c r="G2342" s="8">
        <v>1899.0</v>
      </c>
      <c r="H2342" s="9"/>
      <c r="I2342" s="9"/>
      <c r="J2342" s="9"/>
      <c r="K2342" s="4"/>
      <c r="L2342" s="10"/>
      <c r="M2342" s="54"/>
      <c r="N2342" s="12" t="s">
        <v>200</v>
      </c>
      <c r="O2342" s="12" t="s">
        <v>200</v>
      </c>
      <c r="P2342" s="13"/>
      <c r="Q2342" s="12"/>
      <c r="R2342" s="14"/>
      <c r="S2342" s="15"/>
      <c r="T2342" s="4" t="b">
        <v>0</v>
      </c>
    </row>
    <row r="2343">
      <c r="A2343" s="16"/>
      <c r="B2343" s="17"/>
      <c r="C2343" s="24"/>
      <c r="D2343" s="44"/>
      <c r="E2343" s="19"/>
      <c r="F2343" s="35"/>
      <c r="G2343" s="20">
        <v>1899.0</v>
      </c>
      <c r="H2343" s="21"/>
      <c r="I2343" s="21"/>
      <c r="J2343" s="21"/>
      <c r="K2343" s="16"/>
      <c r="L2343" s="22"/>
      <c r="M2343" s="55"/>
      <c r="N2343" s="23" t="s">
        <v>200</v>
      </c>
      <c r="O2343" s="23" t="s">
        <v>200</v>
      </c>
      <c r="P2343" s="24"/>
      <c r="Q2343" s="23"/>
      <c r="R2343" s="25"/>
      <c r="S2343" s="26"/>
      <c r="T2343" s="16" t="b">
        <v>0</v>
      </c>
    </row>
    <row r="2344">
      <c r="A2344" s="4"/>
      <c r="B2344" s="5"/>
      <c r="C2344" s="13"/>
      <c r="D2344" s="39"/>
      <c r="E2344" s="7"/>
      <c r="F2344" s="34"/>
      <c r="G2344" s="8">
        <v>1899.0</v>
      </c>
      <c r="H2344" s="9"/>
      <c r="I2344" s="9"/>
      <c r="J2344" s="9"/>
      <c r="K2344" s="4"/>
      <c r="L2344" s="10"/>
      <c r="M2344" s="54"/>
      <c r="N2344" s="12" t="s">
        <v>200</v>
      </c>
      <c r="O2344" s="12" t="s">
        <v>200</v>
      </c>
      <c r="P2344" s="13"/>
      <c r="Q2344" s="12"/>
      <c r="R2344" s="14"/>
      <c r="S2344" s="15"/>
      <c r="T2344" s="4" t="b">
        <v>0</v>
      </c>
    </row>
    <row r="2345">
      <c r="A2345" s="16"/>
      <c r="B2345" s="17"/>
      <c r="C2345" s="24"/>
      <c r="D2345" s="44"/>
      <c r="E2345" s="19"/>
      <c r="F2345" s="35"/>
      <c r="G2345" s="20">
        <v>1899.0</v>
      </c>
      <c r="H2345" s="21"/>
      <c r="I2345" s="21"/>
      <c r="J2345" s="21"/>
      <c r="K2345" s="16"/>
      <c r="L2345" s="22"/>
      <c r="M2345" s="55"/>
      <c r="N2345" s="23" t="s">
        <v>200</v>
      </c>
      <c r="O2345" s="23" t="s">
        <v>200</v>
      </c>
      <c r="P2345" s="24"/>
      <c r="Q2345" s="23"/>
      <c r="R2345" s="25"/>
      <c r="S2345" s="26"/>
      <c r="T2345" s="16" t="b">
        <v>0</v>
      </c>
    </row>
    <row r="2346">
      <c r="A2346" s="4"/>
      <c r="B2346" s="5"/>
      <c r="C2346" s="13"/>
      <c r="D2346" s="39"/>
      <c r="E2346" s="7"/>
      <c r="F2346" s="34"/>
      <c r="G2346" s="8">
        <v>1899.0</v>
      </c>
      <c r="H2346" s="9"/>
      <c r="I2346" s="9"/>
      <c r="J2346" s="9"/>
      <c r="K2346" s="4"/>
      <c r="L2346" s="10"/>
      <c r="M2346" s="54"/>
      <c r="N2346" s="12" t="s">
        <v>200</v>
      </c>
      <c r="O2346" s="12" t="s">
        <v>200</v>
      </c>
      <c r="P2346" s="13"/>
      <c r="Q2346" s="12"/>
      <c r="R2346" s="14"/>
      <c r="S2346" s="15"/>
      <c r="T2346" s="4" t="b">
        <v>0</v>
      </c>
    </row>
    <row r="2347">
      <c r="A2347" s="16"/>
      <c r="B2347" s="17"/>
      <c r="C2347" s="24"/>
      <c r="D2347" s="44"/>
      <c r="E2347" s="19"/>
      <c r="F2347" s="35"/>
      <c r="G2347" s="20">
        <v>1899.0</v>
      </c>
      <c r="H2347" s="21"/>
      <c r="I2347" s="21"/>
      <c r="J2347" s="21"/>
      <c r="K2347" s="16"/>
      <c r="L2347" s="22"/>
      <c r="M2347" s="55"/>
      <c r="N2347" s="23" t="s">
        <v>200</v>
      </c>
      <c r="O2347" s="23" t="s">
        <v>200</v>
      </c>
      <c r="P2347" s="24"/>
      <c r="Q2347" s="23"/>
      <c r="R2347" s="25"/>
      <c r="S2347" s="26"/>
      <c r="T2347" s="16" t="b">
        <v>0</v>
      </c>
    </row>
    <row r="2348">
      <c r="A2348" s="4"/>
      <c r="B2348" s="5"/>
      <c r="C2348" s="13"/>
      <c r="D2348" s="39"/>
      <c r="E2348" s="7"/>
      <c r="F2348" s="34"/>
      <c r="G2348" s="8">
        <v>1899.0</v>
      </c>
      <c r="H2348" s="9"/>
      <c r="I2348" s="9"/>
      <c r="J2348" s="9"/>
      <c r="K2348" s="4"/>
      <c r="L2348" s="10"/>
      <c r="M2348" s="54"/>
      <c r="N2348" s="12" t="s">
        <v>200</v>
      </c>
      <c r="O2348" s="12" t="s">
        <v>200</v>
      </c>
      <c r="P2348" s="13"/>
      <c r="Q2348" s="12"/>
      <c r="R2348" s="14"/>
      <c r="S2348" s="15"/>
      <c r="T2348" s="4" t="b">
        <v>0</v>
      </c>
    </row>
    <row r="2349">
      <c r="A2349" s="16"/>
      <c r="B2349" s="17"/>
      <c r="C2349" s="24"/>
      <c r="D2349" s="44"/>
      <c r="E2349" s="19"/>
      <c r="F2349" s="35"/>
      <c r="G2349" s="20">
        <v>1899.0</v>
      </c>
      <c r="H2349" s="21"/>
      <c r="I2349" s="21"/>
      <c r="J2349" s="21"/>
      <c r="K2349" s="16"/>
      <c r="L2349" s="22"/>
      <c r="M2349" s="55"/>
      <c r="N2349" s="23" t="s">
        <v>200</v>
      </c>
      <c r="O2349" s="23" t="s">
        <v>200</v>
      </c>
      <c r="P2349" s="24"/>
      <c r="Q2349" s="23"/>
      <c r="R2349" s="25"/>
      <c r="S2349" s="26"/>
      <c r="T2349" s="16" t="b">
        <v>0</v>
      </c>
    </row>
    <row r="2350">
      <c r="A2350" s="4"/>
      <c r="B2350" s="5"/>
      <c r="C2350" s="13"/>
      <c r="D2350" s="39"/>
      <c r="E2350" s="7"/>
      <c r="F2350" s="34"/>
      <c r="G2350" s="8">
        <v>1899.0</v>
      </c>
      <c r="H2350" s="9"/>
      <c r="I2350" s="9"/>
      <c r="J2350" s="9"/>
      <c r="K2350" s="4"/>
      <c r="L2350" s="10"/>
      <c r="M2350" s="54"/>
      <c r="N2350" s="12" t="s">
        <v>200</v>
      </c>
      <c r="O2350" s="12" t="s">
        <v>200</v>
      </c>
      <c r="P2350" s="13"/>
      <c r="Q2350" s="12"/>
      <c r="R2350" s="14"/>
      <c r="S2350" s="15"/>
      <c r="T2350" s="4" t="b">
        <v>0</v>
      </c>
    </row>
    <row r="2351">
      <c r="A2351" s="16"/>
      <c r="B2351" s="17"/>
      <c r="C2351" s="24"/>
      <c r="D2351" s="44"/>
      <c r="E2351" s="19"/>
      <c r="F2351" s="35"/>
      <c r="G2351" s="20">
        <v>1899.0</v>
      </c>
      <c r="H2351" s="21"/>
      <c r="I2351" s="21"/>
      <c r="J2351" s="21"/>
      <c r="K2351" s="16"/>
      <c r="L2351" s="22"/>
      <c r="M2351" s="55"/>
      <c r="N2351" s="23" t="s">
        <v>200</v>
      </c>
      <c r="O2351" s="23" t="s">
        <v>200</v>
      </c>
      <c r="P2351" s="24"/>
      <c r="Q2351" s="23"/>
      <c r="R2351" s="25"/>
      <c r="S2351" s="26"/>
      <c r="T2351" s="16" t="b">
        <v>0</v>
      </c>
    </row>
    <row r="2352">
      <c r="A2352" s="4"/>
      <c r="B2352" s="5"/>
      <c r="C2352" s="13"/>
      <c r="D2352" s="39"/>
      <c r="E2352" s="7"/>
      <c r="F2352" s="34"/>
      <c r="G2352" s="8">
        <v>1899.0</v>
      </c>
      <c r="H2352" s="9"/>
      <c r="I2352" s="9"/>
      <c r="J2352" s="9"/>
      <c r="K2352" s="4"/>
      <c r="L2352" s="10"/>
      <c r="M2352" s="54"/>
      <c r="N2352" s="12" t="s">
        <v>200</v>
      </c>
      <c r="O2352" s="12" t="s">
        <v>200</v>
      </c>
      <c r="P2352" s="13"/>
      <c r="Q2352" s="12"/>
      <c r="R2352" s="14"/>
      <c r="S2352" s="15"/>
      <c r="T2352" s="4" t="b">
        <v>0</v>
      </c>
    </row>
    <row r="2353">
      <c r="A2353" s="16"/>
      <c r="B2353" s="17"/>
      <c r="C2353" s="24"/>
      <c r="D2353" s="44"/>
      <c r="E2353" s="19"/>
      <c r="F2353" s="35"/>
      <c r="G2353" s="20">
        <v>1899.0</v>
      </c>
      <c r="H2353" s="21"/>
      <c r="I2353" s="21"/>
      <c r="J2353" s="21"/>
      <c r="K2353" s="16"/>
      <c r="L2353" s="22"/>
      <c r="M2353" s="55"/>
      <c r="N2353" s="23" t="s">
        <v>200</v>
      </c>
      <c r="O2353" s="23" t="s">
        <v>200</v>
      </c>
      <c r="P2353" s="24"/>
      <c r="Q2353" s="23"/>
      <c r="R2353" s="25"/>
      <c r="S2353" s="26"/>
      <c r="T2353" s="16" t="b">
        <v>0</v>
      </c>
    </row>
    <row r="2354">
      <c r="A2354" s="4"/>
      <c r="B2354" s="5"/>
      <c r="C2354" s="13"/>
      <c r="D2354" s="39"/>
      <c r="E2354" s="7"/>
      <c r="F2354" s="34"/>
      <c r="G2354" s="8">
        <v>1899.0</v>
      </c>
      <c r="H2354" s="9"/>
      <c r="I2354" s="9"/>
      <c r="J2354" s="9"/>
      <c r="K2354" s="4"/>
      <c r="L2354" s="10"/>
      <c r="M2354" s="54"/>
      <c r="N2354" s="12" t="s">
        <v>200</v>
      </c>
      <c r="O2354" s="12" t="s">
        <v>200</v>
      </c>
      <c r="P2354" s="13"/>
      <c r="Q2354" s="12"/>
      <c r="R2354" s="14"/>
      <c r="S2354" s="15"/>
      <c r="T2354" s="4" t="b">
        <v>0</v>
      </c>
    </row>
    <row r="2355">
      <c r="A2355" s="16"/>
      <c r="B2355" s="17"/>
      <c r="C2355" s="24"/>
      <c r="D2355" s="44"/>
      <c r="E2355" s="19"/>
      <c r="F2355" s="35"/>
      <c r="G2355" s="20">
        <v>1899.0</v>
      </c>
      <c r="H2355" s="21"/>
      <c r="I2355" s="21"/>
      <c r="J2355" s="21"/>
      <c r="K2355" s="16"/>
      <c r="L2355" s="22"/>
      <c r="M2355" s="55"/>
      <c r="N2355" s="23" t="s">
        <v>200</v>
      </c>
      <c r="O2355" s="23" t="s">
        <v>200</v>
      </c>
      <c r="P2355" s="24"/>
      <c r="Q2355" s="23"/>
      <c r="R2355" s="25"/>
      <c r="S2355" s="26"/>
      <c r="T2355" s="16" t="b">
        <v>0</v>
      </c>
    </row>
    <row r="2356">
      <c r="A2356" s="4"/>
      <c r="B2356" s="5"/>
      <c r="C2356" s="13"/>
      <c r="D2356" s="39"/>
      <c r="E2356" s="7"/>
      <c r="F2356" s="34"/>
      <c r="G2356" s="8">
        <v>1899.0</v>
      </c>
      <c r="H2356" s="9"/>
      <c r="I2356" s="9"/>
      <c r="J2356" s="9"/>
      <c r="K2356" s="4"/>
      <c r="L2356" s="10"/>
      <c r="M2356" s="54"/>
      <c r="N2356" s="12" t="s">
        <v>200</v>
      </c>
      <c r="O2356" s="12" t="s">
        <v>200</v>
      </c>
      <c r="P2356" s="13"/>
      <c r="Q2356" s="12"/>
      <c r="R2356" s="14"/>
      <c r="S2356" s="15"/>
      <c r="T2356" s="4" t="b">
        <v>0</v>
      </c>
    </row>
    <row r="2357">
      <c r="A2357" s="16"/>
      <c r="B2357" s="17"/>
      <c r="C2357" s="24"/>
      <c r="D2357" s="44"/>
      <c r="E2357" s="19"/>
      <c r="F2357" s="35"/>
      <c r="G2357" s="20">
        <v>1899.0</v>
      </c>
      <c r="H2357" s="21"/>
      <c r="I2357" s="21"/>
      <c r="J2357" s="21"/>
      <c r="K2357" s="16"/>
      <c r="L2357" s="22"/>
      <c r="M2357" s="55"/>
      <c r="N2357" s="23" t="s">
        <v>200</v>
      </c>
      <c r="O2357" s="23" t="s">
        <v>200</v>
      </c>
      <c r="P2357" s="24"/>
      <c r="Q2357" s="23"/>
      <c r="R2357" s="25"/>
      <c r="S2357" s="26"/>
      <c r="T2357" s="16" t="b">
        <v>0</v>
      </c>
    </row>
    <row r="2358">
      <c r="A2358" s="4"/>
      <c r="B2358" s="5"/>
      <c r="C2358" s="13"/>
      <c r="D2358" s="39"/>
      <c r="E2358" s="7"/>
      <c r="F2358" s="34"/>
      <c r="G2358" s="8">
        <v>1899.0</v>
      </c>
      <c r="H2358" s="9"/>
      <c r="I2358" s="9"/>
      <c r="J2358" s="9"/>
      <c r="K2358" s="4"/>
      <c r="L2358" s="10"/>
      <c r="M2358" s="54"/>
      <c r="N2358" s="12" t="s">
        <v>200</v>
      </c>
      <c r="O2358" s="12" t="s">
        <v>200</v>
      </c>
      <c r="P2358" s="13"/>
      <c r="Q2358" s="12"/>
      <c r="R2358" s="14"/>
      <c r="S2358" s="15"/>
      <c r="T2358" s="4" t="b">
        <v>0</v>
      </c>
    </row>
    <row r="2359">
      <c r="A2359" s="16"/>
      <c r="B2359" s="17"/>
      <c r="C2359" s="24"/>
      <c r="D2359" s="44"/>
      <c r="E2359" s="19"/>
      <c r="F2359" s="35"/>
      <c r="G2359" s="20">
        <v>1899.0</v>
      </c>
      <c r="H2359" s="21"/>
      <c r="I2359" s="21"/>
      <c r="J2359" s="21"/>
      <c r="K2359" s="16"/>
      <c r="L2359" s="22"/>
      <c r="M2359" s="55"/>
      <c r="N2359" s="23" t="s">
        <v>200</v>
      </c>
      <c r="O2359" s="23" t="s">
        <v>200</v>
      </c>
      <c r="P2359" s="24"/>
      <c r="Q2359" s="23"/>
      <c r="R2359" s="25"/>
      <c r="S2359" s="26"/>
      <c r="T2359" s="16" t="b">
        <v>0</v>
      </c>
    </row>
    <row r="2360">
      <c r="A2360" s="4"/>
      <c r="B2360" s="5"/>
      <c r="C2360" s="13"/>
      <c r="D2360" s="39"/>
      <c r="E2360" s="7"/>
      <c r="F2360" s="34"/>
      <c r="G2360" s="8">
        <v>1899.0</v>
      </c>
      <c r="H2360" s="9"/>
      <c r="I2360" s="9"/>
      <c r="J2360" s="9"/>
      <c r="K2360" s="4"/>
      <c r="L2360" s="10"/>
      <c r="M2360" s="54"/>
      <c r="N2360" s="12" t="s">
        <v>200</v>
      </c>
      <c r="O2360" s="12" t="s">
        <v>200</v>
      </c>
      <c r="P2360" s="13"/>
      <c r="Q2360" s="12"/>
      <c r="R2360" s="14"/>
      <c r="S2360" s="15"/>
      <c r="T2360" s="4" t="b">
        <v>0</v>
      </c>
    </row>
    <row r="2361">
      <c r="A2361" s="16"/>
      <c r="B2361" s="17"/>
      <c r="C2361" s="24"/>
      <c r="D2361" s="44"/>
      <c r="E2361" s="19"/>
      <c r="F2361" s="35"/>
      <c r="G2361" s="20">
        <v>1899.0</v>
      </c>
      <c r="H2361" s="21"/>
      <c r="I2361" s="21"/>
      <c r="J2361" s="21"/>
      <c r="K2361" s="16"/>
      <c r="L2361" s="22"/>
      <c r="M2361" s="55"/>
      <c r="N2361" s="23" t="s">
        <v>200</v>
      </c>
      <c r="O2361" s="23" t="s">
        <v>200</v>
      </c>
      <c r="P2361" s="24"/>
      <c r="Q2361" s="23"/>
      <c r="R2361" s="25"/>
      <c r="S2361" s="26"/>
      <c r="T2361" s="16" t="b">
        <v>0</v>
      </c>
    </row>
    <row r="2362">
      <c r="A2362" s="4"/>
      <c r="B2362" s="5"/>
      <c r="C2362" s="13"/>
      <c r="D2362" s="39"/>
      <c r="E2362" s="7"/>
      <c r="F2362" s="34"/>
      <c r="G2362" s="8">
        <v>1899.0</v>
      </c>
      <c r="H2362" s="9"/>
      <c r="I2362" s="9"/>
      <c r="J2362" s="9"/>
      <c r="K2362" s="4"/>
      <c r="L2362" s="10"/>
      <c r="M2362" s="54"/>
      <c r="N2362" s="12" t="s">
        <v>200</v>
      </c>
      <c r="O2362" s="12" t="s">
        <v>200</v>
      </c>
      <c r="P2362" s="13"/>
      <c r="Q2362" s="12"/>
      <c r="R2362" s="14"/>
      <c r="S2362" s="15"/>
      <c r="T2362" s="4" t="b">
        <v>0</v>
      </c>
    </row>
    <row r="2363">
      <c r="A2363" s="16"/>
      <c r="B2363" s="17"/>
      <c r="C2363" s="24"/>
      <c r="D2363" s="44"/>
      <c r="E2363" s="19"/>
      <c r="F2363" s="35"/>
      <c r="G2363" s="20">
        <v>1899.0</v>
      </c>
      <c r="H2363" s="21"/>
      <c r="I2363" s="21"/>
      <c r="J2363" s="21"/>
      <c r="K2363" s="16"/>
      <c r="L2363" s="22"/>
      <c r="M2363" s="55"/>
      <c r="N2363" s="23" t="s">
        <v>200</v>
      </c>
      <c r="O2363" s="23" t="s">
        <v>200</v>
      </c>
      <c r="P2363" s="24"/>
      <c r="Q2363" s="23"/>
      <c r="R2363" s="25"/>
      <c r="S2363" s="26"/>
      <c r="T2363" s="16" t="b">
        <v>0</v>
      </c>
    </row>
    <row r="2364">
      <c r="A2364" s="4"/>
      <c r="B2364" s="5"/>
      <c r="C2364" s="13"/>
      <c r="D2364" s="39"/>
      <c r="E2364" s="7"/>
      <c r="F2364" s="34"/>
      <c r="G2364" s="8">
        <v>1899.0</v>
      </c>
      <c r="H2364" s="9"/>
      <c r="I2364" s="9"/>
      <c r="J2364" s="9"/>
      <c r="K2364" s="4"/>
      <c r="L2364" s="10"/>
      <c r="M2364" s="54"/>
      <c r="N2364" s="12" t="s">
        <v>200</v>
      </c>
      <c r="O2364" s="12" t="s">
        <v>200</v>
      </c>
      <c r="P2364" s="13"/>
      <c r="Q2364" s="12"/>
      <c r="R2364" s="14"/>
      <c r="S2364" s="15"/>
      <c r="T2364" s="4" t="b">
        <v>0</v>
      </c>
    </row>
    <row r="2365">
      <c r="A2365" s="16"/>
      <c r="B2365" s="17"/>
      <c r="C2365" s="24"/>
      <c r="D2365" s="44"/>
      <c r="E2365" s="19"/>
      <c r="F2365" s="35"/>
      <c r="G2365" s="20">
        <v>1899.0</v>
      </c>
      <c r="H2365" s="21"/>
      <c r="I2365" s="21"/>
      <c r="J2365" s="21"/>
      <c r="K2365" s="16"/>
      <c r="L2365" s="22"/>
      <c r="M2365" s="55"/>
      <c r="N2365" s="23" t="s">
        <v>200</v>
      </c>
      <c r="O2365" s="23" t="s">
        <v>200</v>
      </c>
      <c r="P2365" s="24"/>
      <c r="Q2365" s="23"/>
      <c r="R2365" s="25"/>
      <c r="S2365" s="26"/>
      <c r="T2365" s="16" t="b">
        <v>0</v>
      </c>
    </row>
    <row r="2366">
      <c r="A2366" s="4"/>
      <c r="B2366" s="5"/>
      <c r="C2366" s="13"/>
      <c r="D2366" s="39"/>
      <c r="E2366" s="7"/>
      <c r="F2366" s="34"/>
      <c r="G2366" s="8">
        <v>1899.0</v>
      </c>
      <c r="H2366" s="9"/>
      <c r="I2366" s="9"/>
      <c r="J2366" s="9"/>
      <c r="K2366" s="4"/>
      <c r="L2366" s="10"/>
      <c r="M2366" s="54"/>
      <c r="N2366" s="12" t="s">
        <v>200</v>
      </c>
      <c r="O2366" s="12" t="s">
        <v>200</v>
      </c>
      <c r="P2366" s="13"/>
      <c r="Q2366" s="12"/>
      <c r="R2366" s="14"/>
      <c r="S2366" s="15"/>
      <c r="T2366" s="4" t="b">
        <v>0</v>
      </c>
    </row>
    <row r="2367">
      <c r="A2367" s="16"/>
      <c r="B2367" s="17"/>
      <c r="C2367" s="24"/>
      <c r="D2367" s="44"/>
      <c r="E2367" s="19"/>
      <c r="F2367" s="35"/>
      <c r="G2367" s="20">
        <v>1899.0</v>
      </c>
      <c r="H2367" s="21"/>
      <c r="I2367" s="21"/>
      <c r="J2367" s="21"/>
      <c r="K2367" s="16"/>
      <c r="L2367" s="22"/>
      <c r="M2367" s="55"/>
      <c r="N2367" s="23" t="s">
        <v>200</v>
      </c>
      <c r="O2367" s="23" t="s">
        <v>200</v>
      </c>
      <c r="P2367" s="24"/>
      <c r="Q2367" s="23"/>
      <c r="R2367" s="25"/>
      <c r="S2367" s="26"/>
      <c r="T2367" s="16" t="b">
        <v>0</v>
      </c>
    </row>
    <row r="2368">
      <c r="A2368" s="4"/>
      <c r="B2368" s="5"/>
      <c r="C2368" s="13"/>
      <c r="D2368" s="39"/>
      <c r="E2368" s="7"/>
      <c r="F2368" s="34"/>
      <c r="G2368" s="8">
        <v>1899.0</v>
      </c>
      <c r="H2368" s="9"/>
      <c r="I2368" s="9"/>
      <c r="J2368" s="9"/>
      <c r="K2368" s="4"/>
      <c r="L2368" s="10"/>
      <c r="M2368" s="54"/>
      <c r="N2368" s="12" t="s">
        <v>200</v>
      </c>
      <c r="O2368" s="12" t="s">
        <v>200</v>
      </c>
      <c r="P2368" s="13"/>
      <c r="Q2368" s="12"/>
      <c r="R2368" s="14"/>
      <c r="S2368" s="15"/>
      <c r="T2368" s="4" t="b">
        <v>0</v>
      </c>
    </row>
    <row r="2369">
      <c r="A2369" s="16"/>
      <c r="B2369" s="17"/>
      <c r="C2369" s="24"/>
      <c r="D2369" s="44"/>
      <c r="E2369" s="19"/>
      <c r="F2369" s="35"/>
      <c r="G2369" s="20">
        <v>1899.0</v>
      </c>
      <c r="H2369" s="21"/>
      <c r="I2369" s="21"/>
      <c r="J2369" s="21"/>
      <c r="K2369" s="16"/>
      <c r="L2369" s="22"/>
      <c r="M2369" s="55"/>
      <c r="N2369" s="23" t="s">
        <v>200</v>
      </c>
      <c r="O2369" s="23" t="s">
        <v>200</v>
      </c>
      <c r="P2369" s="24"/>
      <c r="Q2369" s="23"/>
      <c r="R2369" s="25"/>
      <c r="S2369" s="26"/>
      <c r="T2369" s="16" t="b">
        <v>0</v>
      </c>
    </row>
    <row r="2370">
      <c r="A2370" s="4"/>
      <c r="B2370" s="5"/>
      <c r="C2370" s="13"/>
      <c r="D2370" s="39"/>
      <c r="E2370" s="7"/>
      <c r="F2370" s="34"/>
      <c r="G2370" s="8">
        <v>1899.0</v>
      </c>
      <c r="H2370" s="9"/>
      <c r="I2370" s="9"/>
      <c r="J2370" s="9"/>
      <c r="K2370" s="4"/>
      <c r="L2370" s="10"/>
      <c r="M2370" s="54"/>
      <c r="N2370" s="12" t="s">
        <v>200</v>
      </c>
      <c r="O2370" s="12" t="s">
        <v>200</v>
      </c>
      <c r="P2370" s="13"/>
      <c r="Q2370" s="12"/>
      <c r="R2370" s="14"/>
      <c r="S2370" s="15"/>
      <c r="T2370" s="4" t="b">
        <v>0</v>
      </c>
    </row>
    <row r="2371">
      <c r="A2371" s="16"/>
      <c r="B2371" s="17"/>
      <c r="C2371" s="24"/>
      <c r="D2371" s="44"/>
      <c r="E2371" s="19"/>
      <c r="F2371" s="35"/>
      <c r="G2371" s="20">
        <v>1899.0</v>
      </c>
      <c r="H2371" s="21"/>
      <c r="I2371" s="21"/>
      <c r="J2371" s="21"/>
      <c r="K2371" s="16"/>
      <c r="L2371" s="22"/>
      <c r="M2371" s="55"/>
      <c r="N2371" s="23" t="s">
        <v>200</v>
      </c>
      <c r="O2371" s="23" t="s">
        <v>200</v>
      </c>
      <c r="P2371" s="24"/>
      <c r="Q2371" s="23"/>
      <c r="R2371" s="25"/>
      <c r="S2371" s="26"/>
      <c r="T2371" s="16" t="b">
        <v>0</v>
      </c>
    </row>
    <row r="2372">
      <c r="A2372" s="4"/>
      <c r="B2372" s="5"/>
      <c r="C2372" s="13"/>
      <c r="D2372" s="39"/>
      <c r="E2372" s="7"/>
      <c r="F2372" s="34"/>
      <c r="G2372" s="8">
        <v>1899.0</v>
      </c>
      <c r="H2372" s="9"/>
      <c r="I2372" s="9"/>
      <c r="J2372" s="9"/>
      <c r="K2372" s="4"/>
      <c r="L2372" s="10"/>
      <c r="M2372" s="54"/>
      <c r="N2372" s="12" t="s">
        <v>200</v>
      </c>
      <c r="O2372" s="12" t="s">
        <v>200</v>
      </c>
      <c r="P2372" s="13"/>
      <c r="Q2372" s="12"/>
      <c r="R2372" s="14"/>
      <c r="S2372" s="15"/>
      <c r="T2372" s="4" t="b">
        <v>0</v>
      </c>
    </row>
    <row r="2373">
      <c r="A2373" s="16"/>
      <c r="B2373" s="17"/>
      <c r="C2373" s="24"/>
      <c r="D2373" s="44"/>
      <c r="E2373" s="19"/>
      <c r="F2373" s="35"/>
      <c r="G2373" s="20">
        <v>1899.0</v>
      </c>
      <c r="H2373" s="21"/>
      <c r="I2373" s="21"/>
      <c r="J2373" s="21"/>
      <c r="K2373" s="16"/>
      <c r="L2373" s="22"/>
      <c r="M2373" s="55"/>
      <c r="N2373" s="23" t="s">
        <v>200</v>
      </c>
      <c r="O2373" s="23" t="s">
        <v>200</v>
      </c>
      <c r="P2373" s="24"/>
      <c r="Q2373" s="23"/>
      <c r="R2373" s="25"/>
      <c r="S2373" s="26"/>
      <c r="T2373" s="16" t="b">
        <v>0</v>
      </c>
    </row>
    <row r="2374">
      <c r="A2374" s="4"/>
      <c r="B2374" s="5"/>
      <c r="C2374" s="13"/>
      <c r="D2374" s="39"/>
      <c r="E2374" s="7"/>
      <c r="F2374" s="34"/>
      <c r="G2374" s="8">
        <v>1899.0</v>
      </c>
      <c r="H2374" s="9"/>
      <c r="I2374" s="9"/>
      <c r="J2374" s="9"/>
      <c r="K2374" s="4"/>
      <c r="L2374" s="10"/>
      <c r="M2374" s="54"/>
      <c r="N2374" s="12" t="s">
        <v>200</v>
      </c>
      <c r="O2374" s="12" t="s">
        <v>200</v>
      </c>
      <c r="P2374" s="13"/>
      <c r="Q2374" s="12"/>
      <c r="R2374" s="14"/>
      <c r="S2374" s="15"/>
      <c r="T2374" s="4" t="b">
        <v>0</v>
      </c>
    </row>
    <row r="2375">
      <c r="A2375" s="16"/>
      <c r="B2375" s="17"/>
      <c r="C2375" s="24"/>
      <c r="D2375" s="44"/>
      <c r="E2375" s="19"/>
      <c r="F2375" s="35"/>
      <c r="G2375" s="20">
        <v>1899.0</v>
      </c>
      <c r="H2375" s="21"/>
      <c r="I2375" s="21"/>
      <c r="J2375" s="21"/>
      <c r="K2375" s="16"/>
      <c r="L2375" s="22"/>
      <c r="M2375" s="55"/>
      <c r="N2375" s="23" t="s">
        <v>200</v>
      </c>
      <c r="O2375" s="23" t="s">
        <v>200</v>
      </c>
      <c r="P2375" s="24"/>
      <c r="Q2375" s="23"/>
      <c r="R2375" s="25"/>
      <c r="S2375" s="26"/>
      <c r="T2375" s="16" t="b">
        <v>0</v>
      </c>
    </row>
    <row r="2376">
      <c r="A2376" s="4"/>
      <c r="B2376" s="5"/>
      <c r="C2376" s="13"/>
      <c r="D2376" s="39"/>
      <c r="E2376" s="7"/>
      <c r="F2376" s="34"/>
      <c r="G2376" s="8">
        <v>1899.0</v>
      </c>
      <c r="H2376" s="9"/>
      <c r="I2376" s="9"/>
      <c r="J2376" s="9"/>
      <c r="K2376" s="4"/>
      <c r="L2376" s="10"/>
      <c r="M2376" s="54"/>
      <c r="N2376" s="12" t="s">
        <v>200</v>
      </c>
      <c r="O2376" s="12" t="s">
        <v>200</v>
      </c>
      <c r="P2376" s="13"/>
      <c r="Q2376" s="12"/>
      <c r="R2376" s="14"/>
      <c r="S2376" s="15"/>
      <c r="T2376" s="4" t="b">
        <v>0</v>
      </c>
    </row>
    <row r="2377">
      <c r="A2377" s="16"/>
      <c r="B2377" s="17"/>
      <c r="C2377" s="24"/>
      <c r="D2377" s="44"/>
      <c r="E2377" s="19"/>
      <c r="F2377" s="35"/>
      <c r="G2377" s="20">
        <v>1899.0</v>
      </c>
      <c r="H2377" s="21"/>
      <c r="I2377" s="21"/>
      <c r="J2377" s="21"/>
      <c r="K2377" s="16"/>
      <c r="L2377" s="22"/>
      <c r="M2377" s="55"/>
      <c r="N2377" s="23" t="s">
        <v>200</v>
      </c>
      <c r="O2377" s="23" t="s">
        <v>200</v>
      </c>
      <c r="P2377" s="24"/>
      <c r="Q2377" s="23"/>
      <c r="R2377" s="25"/>
      <c r="S2377" s="26"/>
      <c r="T2377" s="16" t="b">
        <v>0</v>
      </c>
    </row>
    <row r="2378">
      <c r="A2378" s="4"/>
      <c r="B2378" s="5"/>
      <c r="C2378" s="13"/>
      <c r="D2378" s="39"/>
      <c r="E2378" s="7"/>
      <c r="F2378" s="34"/>
      <c r="G2378" s="8">
        <v>1899.0</v>
      </c>
      <c r="H2378" s="9"/>
      <c r="I2378" s="9"/>
      <c r="J2378" s="9"/>
      <c r="K2378" s="4"/>
      <c r="L2378" s="10"/>
      <c r="M2378" s="54"/>
      <c r="N2378" s="12" t="s">
        <v>200</v>
      </c>
      <c r="O2378" s="12" t="s">
        <v>200</v>
      </c>
      <c r="P2378" s="13"/>
      <c r="Q2378" s="12"/>
      <c r="R2378" s="14"/>
      <c r="S2378" s="15"/>
      <c r="T2378" s="4" t="b">
        <v>0</v>
      </c>
    </row>
    <row r="2379">
      <c r="A2379" s="16"/>
      <c r="B2379" s="17"/>
      <c r="C2379" s="24"/>
      <c r="D2379" s="44"/>
      <c r="E2379" s="19"/>
      <c r="F2379" s="35"/>
      <c r="G2379" s="20">
        <v>1899.0</v>
      </c>
      <c r="H2379" s="21"/>
      <c r="I2379" s="21"/>
      <c r="J2379" s="21"/>
      <c r="K2379" s="16"/>
      <c r="L2379" s="22"/>
      <c r="M2379" s="55"/>
      <c r="N2379" s="23" t="s">
        <v>200</v>
      </c>
      <c r="O2379" s="23" t="s">
        <v>200</v>
      </c>
      <c r="P2379" s="24"/>
      <c r="Q2379" s="23"/>
      <c r="R2379" s="25"/>
      <c r="S2379" s="26"/>
      <c r="T2379" s="16" t="b">
        <v>0</v>
      </c>
    </row>
    <row r="2380">
      <c r="A2380" s="4"/>
      <c r="B2380" s="5"/>
      <c r="C2380" s="13"/>
      <c r="D2380" s="39"/>
      <c r="E2380" s="7"/>
      <c r="F2380" s="34"/>
      <c r="G2380" s="8">
        <v>1899.0</v>
      </c>
      <c r="H2380" s="9"/>
      <c r="I2380" s="9"/>
      <c r="J2380" s="9"/>
      <c r="K2380" s="4"/>
      <c r="L2380" s="10"/>
      <c r="M2380" s="54"/>
      <c r="N2380" s="12" t="s">
        <v>200</v>
      </c>
      <c r="O2380" s="12" t="s">
        <v>200</v>
      </c>
      <c r="P2380" s="13"/>
      <c r="Q2380" s="12"/>
      <c r="R2380" s="14"/>
      <c r="S2380" s="15"/>
      <c r="T2380" s="4" t="b">
        <v>0</v>
      </c>
    </row>
    <row r="2381">
      <c r="A2381" s="16"/>
      <c r="B2381" s="17"/>
      <c r="C2381" s="24"/>
      <c r="D2381" s="44"/>
      <c r="E2381" s="19"/>
      <c r="F2381" s="35"/>
      <c r="G2381" s="20">
        <v>1899.0</v>
      </c>
      <c r="H2381" s="21"/>
      <c r="I2381" s="21"/>
      <c r="J2381" s="21"/>
      <c r="K2381" s="16"/>
      <c r="L2381" s="22"/>
      <c r="M2381" s="55"/>
      <c r="N2381" s="23" t="s">
        <v>200</v>
      </c>
      <c r="O2381" s="23" t="s">
        <v>200</v>
      </c>
      <c r="P2381" s="24"/>
      <c r="Q2381" s="23"/>
      <c r="R2381" s="25"/>
      <c r="S2381" s="26"/>
      <c r="T2381" s="16" t="b">
        <v>0</v>
      </c>
    </row>
    <row r="2382">
      <c r="A2382" s="4"/>
      <c r="B2382" s="5"/>
      <c r="C2382" s="13"/>
      <c r="D2382" s="39"/>
      <c r="E2382" s="7"/>
      <c r="F2382" s="34"/>
      <c r="G2382" s="8">
        <v>1899.0</v>
      </c>
      <c r="H2382" s="9"/>
      <c r="I2382" s="9"/>
      <c r="J2382" s="9"/>
      <c r="K2382" s="4"/>
      <c r="L2382" s="10"/>
      <c r="M2382" s="54"/>
      <c r="N2382" s="12" t="s">
        <v>200</v>
      </c>
      <c r="O2382" s="12" t="s">
        <v>200</v>
      </c>
      <c r="P2382" s="13"/>
      <c r="Q2382" s="12"/>
      <c r="R2382" s="14"/>
      <c r="S2382" s="15"/>
      <c r="T2382" s="4" t="b">
        <v>0</v>
      </c>
    </row>
    <row r="2383">
      <c r="A2383" s="16"/>
      <c r="B2383" s="17"/>
      <c r="C2383" s="24"/>
      <c r="D2383" s="44"/>
      <c r="E2383" s="19"/>
      <c r="F2383" s="35"/>
      <c r="G2383" s="20">
        <v>1899.0</v>
      </c>
      <c r="H2383" s="21"/>
      <c r="I2383" s="21"/>
      <c r="J2383" s="21"/>
      <c r="K2383" s="16"/>
      <c r="L2383" s="22"/>
      <c r="M2383" s="55"/>
      <c r="N2383" s="23" t="s">
        <v>200</v>
      </c>
      <c r="O2383" s="23" t="s">
        <v>200</v>
      </c>
      <c r="P2383" s="24"/>
      <c r="Q2383" s="23"/>
      <c r="R2383" s="25"/>
      <c r="S2383" s="26"/>
      <c r="T2383" s="16" t="b">
        <v>0</v>
      </c>
    </row>
    <row r="2384">
      <c r="A2384" s="4"/>
      <c r="B2384" s="5"/>
      <c r="C2384" s="13"/>
      <c r="D2384" s="39"/>
      <c r="E2384" s="7"/>
      <c r="F2384" s="34"/>
      <c r="G2384" s="8">
        <v>1899.0</v>
      </c>
      <c r="H2384" s="9"/>
      <c r="I2384" s="9"/>
      <c r="J2384" s="9"/>
      <c r="K2384" s="4"/>
      <c r="L2384" s="10"/>
      <c r="M2384" s="54"/>
      <c r="N2384" s="12" t="s">
        <v>200</v>
      </c>
      <c r="O2384" s="12" t="s">
        <v>200</v>
      </c>
      <c r="P2384" s="13"/>
      <c r="Q2384" s="12"/>
      <c r="R2384" s="14"/>
      <c r="S2384" s="15"/>
      <c r="T2384" s="4" t="b">
        <v>0</v>
      </c>
    </row>
    <row r="2385">
      <c r="A2385" s="16"/>
      <c r="B2385" s="17"/>
      <c r="C2385" s="24"/>
      <c r="D2385" s="44"/>
      <c r="E2385" s="19"/>
      <c r="F2385" s="35"/>
      <c r="G2385" s="20">
        <v>1899.0</v>
      </c>
      <c r="H2385" s="21"/>
      <c r="I2385" s="21"/>
      <c r="J2385" s="21"/>
      <c r="K2385" s="16"/>
      <c r="L2385" s="22"/>
      <c r="M2385" s="55"/>
      <c r="N2385" s="23" t="s">
        <v>200</v>
      </c>
      <c r="O2385" s="23" t="s">
        <v>200</v>
      </c>
      <c r="P2385" s="24"/>
      <c r="Q2385" s="23"/>
      <c r="R2385" s="25"/>
      <c r="S2385" s="26"/>
      <c r="T2385" s="16" t="b">
        <v>0</v>
      </c>
    </row>
    <row r="2386">
      <c r="A2386" s="4"/>
      <c r="B2386" s="5"/>
      <c r="C2386" s="13"/>
      <c r="D2386" s="39"/>
      <c r="E2386" s="7"/>
      <c r="F2386" s="34"/>
      <c r="G2386" s="8">
        <v>1899.0</v>
      </c>
      <c r="H2386" s="9"/>
      <c r="I2386" s="9"/>
      <c r="J2386" s="9"/>
      <c r="K2386" s="4"/>
      <c r="L2386" s="10"/>
      <c r="M2386" s="54"/>
      <c r="N2386" s="12" t="s">
        <v>200</v>
      </c>
      <c r="O2386" s="12" t="s">
        <v>200</v>
      </c>
      <c r="P2386" s="13"/>
      <c r="Q2386" s="12"/>
      <c r="R2386" s="14"/>
      <c r="S2386" s="15"/>
      <c r="T2386" s="4" t="b">
        <v>0</v>
      </c>
    </row>
    <row r="2387">
      <c r="A2387" s="16"/>
      <c r="B2387" s="17"/>
      <c r="C2387" s="24"/>
      <c r="D2387" s="44"/>
      <c r="E2387" s="19"/>
      <c r="F2387" s="35"/>
      <c r="G2387" s="20">
        <v>1899.0</v>
      </c>
      <c r="H2387" s="21"/>
      <c r="I2387" s="21"/>
      <c r="J2387" s="21"/>
      <c r="K2387" s="16"/>
      <c r="L2387" s="22"/>
      <c r="M2387" s="55"/>
      <c r="N2387" s="23" t="s">
        <v>200</v>
      </c>
      <c r="O2387" s="23" t="s">
        <v>200</v>
      </c>
      <c r="P2387" s="24"/>
      <c r="Q2387" s="23"/>
      <c r="R2387" s="25"/>
      <c r="S2387" s="26"/>
      <c r="T2387" s="16" t="b">
        <v>0</v>
      </c>
    </row>
    <row r="2388">
      <c r="A2388" s="4"/>
      <c r="B2388" s="5"/>
      <c r="C2388" s="13"/>
      <c r="D2388" s="39"/>
      <c r="E2388" s="7"/>
      <c r="F2388" s="34"/>
      <c r="G2388" s="8">
        <v>1899.0</v>
      </c>
      <c r="H2388" s="9"/>
      <c r="I2388" s="9"/>
      <c r="J2388" s="9"/>
      <c r="K2388" s="4"/>
      <c r="L2388" s="10"/>
      <c r="M2388" s="54"/>
      <c r="N2388" s="12" t="s">
        <v>200</v>
      </c>
      <c r="O2388" s="12" t="s">
        <v>200</v>
      </c>
      <c r="P2388" s="13"/>
      <c r="Q2388" s="12"/>
      <c r="R2388" s="14"/>
      <c r="S2388" s="15"/>
      <c r="T2388" s="4" t="b">
        <v>0</v>
      </c>
    </row>
    <row r="2389">
      <c r="A2389" s="16"/>
      <c r="B2389" s="17"/>
      <c r="C2389" s="24"/>
      <c r="D2389" s="44"/>
      <c r="E2389" s="19"/>
      <c r="F2389" s="35"/>
      <c r="G2389" s="20">
        <v>1899.0</v>
      </c>
      <c r="H2389" s="21"/>
      <c r="I2389" s="21"/>
      <c r="J2389" s="21"/>
      <c r="K2389" s="16"/>
      <c r="L2389" s="22"/>
      <c r="M2389" s="55"/>
      <c r="N2389" s="23" t="s">
        <v>200</v>
      </c>
      <c r="O2389" s="23" t="s">
        <v>200</v>
      </c>
      <c r="P2389" s="24"/>
      <c r="Q2389" s="23"/>
      <c r="R2389" s="25"/>
      <c r="S2389" s="26"/>
      <c r="T2389" s="16" t="b">
        <v>0</v>
      </c>
    </row>
    <row r="2390">
      <c r="A2390" s="4"/>
      <c r="B2390" s="5"/>
      <c r="C2390" s="13"/>
      <c r="D2390" s="39"/>
      <c r="E2390" s="7"/>
      <c r="F2390" s="34"/>
      <c r="G2390" s="8">
        <v>1899.0</v>
      </c>
      <c r="H2390" s="9"/>
      <c r="I2390" s="9"/>
      <c r="J2390" s="9"/>
      <c r="K2390" s="4"/>
      <c r="L2390" s="10"/>
      <c r="M2390" s="54"/>
      <c r="N2390" s="12" t="s">
        <v>200</v>
      </c>
      <c r="O2390" s="12" t="s">
        <v>200</v>
      </c>
      <c r="P2390" s="13"/>
      <c r="Q2390" s="12"/>
      <c r="R2390" s="14"/>
      <c r="S2390" s="15"/>
      <c r="T2390" s="4" t="b">
        <v>0</v>
      </c>
    </row>
    <row r="2391">
      <c r="A2391" s="16"/>
      <c r="B2391" s="17"/>
      <c r="C2391" s="24"/>
      <c r="D2391" s="44"/>
      <c r="E2391" s="19"/>
      <c r="F2391" s="35"/>
      <c r="G2391" s="20">
        <v>1899.0</v>
      </c>
      <c r="H2391" s="21"/>
      <c r="I2391" s="21"/>
      <c r="J2391" s="21"/>
      <c r="K2391" s="16"/>
      <c r="L2391" s="22"/>
      <c r="M2391" s="55"/>
      <c r="N2391" s="23" t="s">
        <v>200</v>
      </c>
      <c r="O2391" s="23" t="s">
        <v>200</v>
      </c>
      <c r="P2391" s="24"/>
      <c r="Q2391" s="23"/>
      <c r="R2391" s="25"/>
      <c r="S2391" s="26"/>
      <c r="T2391" s="16" t="b">
        <v>0</v>
      </c>
    </row>
    <row r="2392">
      <c r="A2392" s="4"/>
      <c r="B2392" s="5"/>
      <c r="C2392" s="13"/>
      <c r="D2392" s="39"/>
      <c r="E2392" s="7"/>
      <c r="F2392" s="34"/>
      <c r="G2392" s="8">
        <v>1899.0</v>
      </c>
      <c r="H2392" s="9"/>
      <c r="I2392" s="9"/>
      <c r="J2392" s="9"/>
      <c r="K2392" s="4"/>
      <c r="L2392" s="10"/>
      <c r="M2392" s="54"/>
      <c r="N2392" s="12" t="s">
        <v>200</v>
      </c>
      <c r="O2392" s="12" t="s">
        <v>200</v>
      </c>
      <c r="P2392" s="13"/>
      <c r="Q2392" s="12"/>
      <c r="R2392" s="14"/>
      <c r="S2392" s="15"/>
      <c r="T2392" s="4" t="b">
        <v>0</v>
      </c>
    </row>
    <row r="2393">
      <c r="A2393" s="16"/>
      <c r="B2393" s="17"/>
      <c r="C2393" s="24"/>
      <c r="D2393" s="44"/>
      <c r="E2393" s="19"/>
      <c r="F2393" s="35"/>
      <c r="G2393" s="20">
        <v>1899.0</v>
      </c>
      <c r="H2393" s="21"/>
      <c r="I2393" s="21"/>
      <c r="J2393" s="21"/>
      <c r="K2393" s="16"/>
      <c r="L2393" s="22"/>
      <c r="M2393" s="55"/>
      <c r="N2393" s="23" t="s">
        <v>200</v>
      </c>
      <c r="O2393" s="23" t="s">
        <v>200</v>
      </c>
      <c r="P2393" s="24"/>
      <c r="Q2393" s="23"/>
      <c r="R2393" s="25"/>
      <c r="S2393" s="26"/>
      <c r="T2393" s="16" t="b">
        <v>0</v>
      </c>
    </row>
    <row r="2394">
      <c r="A2394" s="4"/>
      <c r="B2394" s="5"/>
      <c r="C2394" s="13"/>
      <c r="D2394" s="39"/>
      <c r="E2394" s="7"/>
      <c r="F2394" s="34"/>
      <c r="G2394" s="8">
        <v>1899.0</v>
      </c>
      <c r="H2394" s="9"/>
      <c r="I2394" s="9"/>
      <c r="J2394" s="9"/>
      <c r="K2394" s="4"/>
      <c r="L2394" s="10"/>
      <c r="M2394" s="54"/>
      <c r="N2394" s="12" t="s">
        <v>200</v>
      </c>
      <c r="O2394" s="12" t="s">
        <v>200</v>
      </c>
      <c r="P2394" s="13"/>
      <c r="Q2394" s="12"/>
      <c r="R2394" s="14"/>
      <c r="S2394" s="15"/>
      <c r="T2394" s="4" t="b">
        <v>0</v>
      </c>
    </row>
    <row r="2395">
      <c r="A2395" s="16"/>
      <c r="B2395" s="17"/>
      <c r="C2395" s="24"/>
      <c r="D2395" s="44"/>
      <c r="E2395" s="19"/>
      <c r="F2395" s="35"/>
      <c r="G2395" s="20">
        <v>1899.0</v>
      </c>
      <c r="H2395" s="21"/>
      <c r="I2395" s="21"/>
      <c r="J2395" s="21"/>
      <c r="K2395" s="16"/>
      <c r="L2395" s="22"/>
      <c r="M2395" s="55"/>
      <c r="N2395" s="23" t="s">
        <v>200</v>
      </c>
      <c r="O2395" s="23" t="s">
        <v>200</v>
      </c>
      <c r="P2395" s="24"/>
      <c r="Q2395" s="23"/>
      <c r="R2395" s="25"/>
      <c r="S2395" s="26"/>
      <c r="T2395" s="16" t="b">
        <v>0</v>
      </c>
    </row>
    <row r="2396">
      <c r="A2396" s="4"/>
      <c r="B2396" s="5"/>
      <c r="C2396" s="13"/>
      <c r="D2396" s="39"/>
      <c r="E2396" s="7"/>
      <c r="F2396" s="34"/>
      <c r="G2396" s="8">
        <v>1899.0</v>
      </c>
      <c r="H2396" s="9"/>
      <c r="I2396" s="9"/>
      <c r="J2396" s="9"/>
      <c r="K2396" s="4"/>
      <c r="L2396" s="10"/>
      <c r="M2396" s="54"/>
      <c r="N2396" s="12" t="s">
        <v>200</v>
      </c>
      <c r="O2396" s="12" t="s">
        <v>200</v>
      </c>
      <c r="P2396" s="13"/>
      <c r="Q2396" s="12"/>
      <c r="R2396" s="14"/>
      <c r="S2396" s="15"/>
      <c r="T2396" s="4" t="b">
        <v>0</v>
      </c>
    </row>
    <row r="2397">
      <c r="A2397" s="16"/>
      <c r="B2397" s="17"/>
      <c r="C2397" s="24"/>
      <c r="D2397" s="44"/>
      <c r="E2397" s="19"/>
      <c r="F2397" s="35"/>
      <c r="G2397" s="20">
        <v>1899.0</v>
      </c>
      <c r="H2397" s="21"/>
      <c r="I2397" s="21"/>
      <c r="J2397" s="21"/>
      <c r="K2397" s="16"/>
      <c r="L2397" s="22"/>
      <c r="M2397" s="55"/>
      <c r="N2397" s="23" t="s">
        <v>200</v>
      </c>
      <c r="O2397" s="23" t="s">
        <v>200</v>
      </c>
      <c r="P2397" s="24"/>
      <c r="Q2397" s="23"/>
      <c r="R2397" s="25"/>
      <c r="S2397" s="26"/>
      <c r="T2397" s="16" t="b">
        <v>0</v>
      </c>
    </row>
    <row r="2398">
      <c r="A2398" s="4"/>
      <c r="B2398" s="5"/>
      <c r="C2398" s="13"/>
      <c r="D2398" s="39"/>
      <c r="E2398" s="7"/>
      <c r="F2398" s="34"/>
      <c r="G2398" s="8">
        <v>1899.0</v>
      </c>
      <c r="H2398" s="9"/>
      <c r="I2398" s="9"/>
      <c r="J2398" s="9"/>
      <c r="K2398" s="4"/>
      <c r="L2398" s="10"/>
      <c r="M2398" s="54"/>
      <c r="N2398" s="12" t="s">
        <v>200</v>
      </c>
      <c r="O2398" s="12" t="s">
        <v>200</v>
      </c>
      <c r="P2398" s="13"/>
      <c r="Q2398" s="12"/>
      <c r="R2398" s="14"/>
      <c r="S2398" s="15"/>
      <c r="T2398" s="4" t="b">
        <v>0</v>
      </c>
    </row>
    <row r="2399">
      <c r="A2399" s="16"/>
      <c r="B2399" s="17"/>
      <c r="C2399" s="24"/>
      <c r="D2399" s="44"/>
      <c r="E2399" s="19"/>
      <c r="F2399" s="35"/>
      <c r="G2399" s="20">
        <v>1899.0</v>
      </c>
      <c r="H2399" s="21"/>
      <c r="I2399" s="21"/>
      <c r="J2399" s="21"/>
      <c r="K2399" s="16"/>
      <c r="L2399" s="22"/>
      <c r="M2399" s="55"/>
      <c r="N2399" s="23" t="s">
        <v>200</v>
      </c>
      <c r="O2399" s="23" t="s">
        <v>200</v>
      </c>
      <c r="P2399" s="24"/>
      <c r="Q2399" s="23"/>
      <c r="R2399" s="25"/>
      <c r="S2399" s="26"/>
      <c r="T2399" s="16" t="b">
        <v>0</v>
      </c>
    </row>
    <row r="2400">
      <c r="A2400" s="4"/>
      <c r="B2400" s="5"/>
      <c r="C2400" s="13"/>
      <c r="D2400" s="39"/>
      <c r="E2400" s="7"/>
      <c r="F2400" s="34"/>
      <c r="G2400" s="8">
        <v>1899.0</v>
      </c>
      <c r="H2400" s="9"/>
      <c r="I2400" s="9"/>
      <c r="J2400" s="9"/>
      <c r="K2400" s="4"/>
      <c r="L2400" s="10"/>
      <c r="M2400" s="54"/>
      <c r="N2400" s="12" t="s">
        <v>200</v>
      </c>
      <c r="O2400" s="12" t="s">
        <v>200</v>
      </c>
      <c r="P2400" s="13"/>
      <c r="Q2400" s="12"/>
      <c r="R2400" s="14"/>
      <c r="S2400" s="15"/>
      <c r="T2400" s="4" t="b">
        <v>0</v>
      </c>
    </row>
    <row r="2401">
      <c r="A2401" s="16"/>
      <c r="B2401" s="17"/>
      <c r="C2401" s="24"/>
      <c r="D2401" s="44"/>
      <c r="E2401" s="19"/>
      <c r="F2401" s="35"/>
      <c r="G2401" s="20">
        <v>1899.0</v>
      </c>
      <c r="H2401" s="21"/>
      <c r="I2401" s="21"/>
      <c r="J2401" s="21"/>
      <c r="K2401" s="16"/>
      <c r="L2401" s="22"/>
      <c r="M2401" s="55"/>
      <c r="N2401" s="23" t="s">
        <v>200</v>
      </c>
      <c r="O2401" s="23" t="s">
        <v>200</v>
      </c>
      <c r="P2401" s="24"/>
      <c r="Q2401" s="23"/>
      <c r="R2401" s="25"/>
      <c r="S2401" s="26"/>
      <c r="T2401" s="16" t="b">
        <v>0</v>
      </c>
    </row>
    <row r="2402">
      <c r="A2402" s="4"/>
      <c r="B2402" s="5"/>
      <c r="C2402" s="13"/>
      <c r="D2402" s="39"/>
      <c r="E2402" s="7"/>
      <c r="F2402" s="34"/>
      <c r="G2402" s="8">
        <v>1899.0</v>
      </c>
      <c r="H2402" s="9"/>
      <c r="I2402" s="9"/>
      <c r="J2402" s="9"/>
      <c r="K2402" s="4"/>
      <c r="L2402" s="10"/>
      <c r="M2402" s="54"/>
      <c r="N2402" s="12" t="s">
        <v>200</v>
      </c>
      <c r="O2402" s="12" t="s">
        <v>200</v>
      </c>
      <c r="P2402" s="13"/>
      <c r="Q2402" s="12"/>
      <c r="R2402" s="14"/>
      <c r="S2402" s="15"/>
      <c r="T2402" s="4" t="b">
        <v>0</v>
      </c>
    </row>
    <row r="2403">
      <c r="A2403" s="16"/>
      <c r="B2403" s="17"/>
      <c r="C2403" s="24"/>
      <c r="D2403" s="44"/>
      <c r="E2403" s="19"/>
      <c r="F2403" s="35"/>
      <c r="G2403" s="20">
        <v>1899.0</v>
      </c>
      <c r="H2403" s="21"/>
      <c r="I2403" s="21"/>
      <c r="J2403" s="21"/>
      <c r="K2403" s="16"/>
      <c r="L2403" s="22"/>
      <c r="M2403" s="55"/>
      <c r="N2403" s="23" t="s">
        <v>200</v>
      </c>
      <c r="O2403" s="23" t="s">
        <v>200</v>
      </c>
      <c r="P2403" s="24"/>
      <c r="Q2403" s="23"/>
      <c r="R2403" s="25"/>
      <c r="S2403" s="26"/>
      <c r="T2403" s="16" t="b">
        <v>0</v>
      </c>
    </row>
    <row r="2404">
      <c r="A2404" s="4"/>
      <c r="B2404" s="5"/>
      <c r="C2404" s="13"/>
      <c r="D2404" s="39"/>
      <c r="E2404" s="7"/>
      <c r="F2404" s="34"/>
      <c r="G2404" s="8">
        <v>1899.0</v>
      </c>
      <c r="H2404" s="9"/>
      <c r="I2404" s="9"/>
      <c r="J2404" s="9"/>
      <c r="K2404" s="4"/>
      <c r="L2404" s="10"/>
      <c r="M2404" s="54"/>
      <c r="N2404" s="12" t="s">
        <v>200</v>
      </c>
      <c r="O2404" s="12" t="s">
        <v>200</v>
      </c>
      <c r="P2404" s="13"/>
      <c r="Q2404" s="12"/>
      <c r="R2404" s="14"/>
      <c r="S2404" s="15"/>
      <c r="T2404" s="4" t="b">
        <v>0</v>
      </c>
    </row>
    <row r="2405">
      <c r="A2405" s="16"/>
      <c r="B2405" s="17"/>
      <c r="C2405" s="24"/>
      <c r="D2405" s="44"/>
      <c r="E2405" s="19"/>
      <c r="F2405" s="35"/>
      <c r="G2405" s="20">
        <v>1899.0</v>
      </c>
      <c r="H2405" s="21"/>
      <c r="I2405" s="21"/>
      <c r="J2405" s="21"/>
      <c r="K2405" s="16"/>
      <c r="L2405" s="22"/>
      <c r="M2405" s="55"/>
      <c r="N2405" s="23" t="s">
        <v>200</v>
      </c>
      <c r="O2405" s="23" t="s">
        <v>200</v>
      </c>
      <c r="P2405" s="24"/>
      <c r="Q2405" s="23"/>
      <c r="R2405" s="25"/>
      <c r="S2405" s="26"/>
      <c r="T2405" s="16" t="b">
        <v>0</v>
      </c>
    </row>
    <row r="2406">
      <c r="A2406" s="4"/>
      <c r="B2406" s="5"/>
      <c r="C2406" s="13"/>
      <c r="D2406" s="39"/>
      <c r="E2406" s="7"/>
      <c r="F2406" s="34"/>
      <c r="G2406" s="8">
        <v>1899.0</v>
      </c>
      <c r="H2406" s="9"/>
      <c r="I2406" s="9"/>
      <c r="J2406" s="9"/>
      <c r="K2406" s="4"/>
      <c r="L2406" s="10"/>
      <c r="M2406" s="54"/>
      <c r="N2406" s="12" t="s">
        <v>200</v>
      </c>
      <c r="O2406" s="12" t="s">
        <v>200</v>
      </c>
      <c r="P2406" s="13"/>
      <c r="Q2406" s="12"/>
      <c r="R2406" s="14"/>
      <c r="S2406" s="15"/>
      <c r="T2406" s="4" t="b">
        <v>0</v>
      </c>
    </row>
    <row r="2407">
      <c r="A2407" s="16"/>
      <c r="B2407" s="17"/>
      <c r="C2407" s="24"/>
      <c r="D2407" s="44"/>
      <c r="E2407" s="19"/>
      <c r="F2407" s="35"/>
      <c r="G2407" s="20">
        <v>1899.0</v>
      </c>
      <c r="H2407" s="21"/>
      <c r="I2407" s="21"/>
      <c r="J2407" s="21"/>
      <c r="K2407" s="16"/>
      <c r="L2407" s="22"/>
      <c r="M2407" s="55"/>
      <c r="N2407" s="23" t="s">
        <v>200</v>
      </c>
      <c r="O2407" s="23" t="s">
        <v>200</v>
      </c>
      <c r="P2407" s="24"/>
      <c r="Q2407" s="23"/>
      <c r="R2407" s="25"/>
      <c r="S2407" s="26"/>
      <c r="T2407" s="16" t="b">
        <v>0</v>
      </c>
    </row>
    <row r="2408">
      <c r="A2408" s="4"/>
      <c r="B2408" s="5"/>
      <c r="C2408" s="13"/>
      <c r="D2408" s="39"/>
      <c r="E2408" s="7"/>
      <c r="F2408" s="34"/>
      <c r="G2408" s="8">
        <v>1899.0</v>
      </c>
      <c r="H2408" s="9"/>
      <c r="I2408" s="9"/>
      <c r="J2408" s="9"/>
      <c r="K2408" s="4"/>
      <c r="L2408" s="10"/>
      <c r="M2408" s="54"/>
      <c r="N2408" s="12" t="s">
        <v>200</v>
      </c>
      <c r="O2408" s="12" t="s">
        <v>200</v>
      </c>
      <c r="P2408" s="13"/>
      <c r="Q2408" s="12"/>
      <c r="R2408" s="14"/>
      <c r="S2408" s="15"/>
      <c r="T2408" s="4" t="b">
        <v>0</v>
      </c>
    </row>
    <row r="2409">
      <c r="A2409" s="16"/>
      <c r="B2409" s="17"/>
      <c r="C2409" s="24"/>
      <c r="D2409" s="44"/>
      <c r="E2409" s="19"/>
      <c r="F2409" s="35"/>
      <c r="G2409" s="20">
        <v>1899.0</v>
      </c>
      <c r="H2409" s="21"/>
      <c r="I2409" s="21"/>
      <c r="J2409" s="21"/>
      <c r="K2409" s="16"/>
      <c r="L2409" s="22"/>
      <c r="M2409" s="55"/>
      <c r="N2409" s="23" t="s">
        <v>200</v>
      </c>
      <c r="O2409" s="23" t="s">
        <v>200</v>
      </c>
      <c r="P2409" s="24"/>
      <c r="Q2409" s="23"/>
      <c r="R2409" s="25"/>
      <c r="S2409" s="26"/>
      <c r="T2409" s="16" t="b">
        <v>0</v>
      </c>
    </row>
    <row r="2410">
      <c r="A2410" s="4"/>
      <c r="B2410" s="5"/>
      <c r="C2410" s="13"/>
      <c r="D2410" s="39"/>
      <c r="E2410" s="7"/>
      <c r="F2410" s="34"/>
      <c r="G2410" s="8">
        <v>1899.0</v>
      </c>
      <c r="H2410" s="9"/>
      <c r="I2410" s="9"/>
      <c r="J2410" s="9"/>
      <c r="K2410" s="4"/>
      <c r="L2410" s="10"/>
      <c r="M2410" s="54"/>
      <c r="N2410" s="12" t="s">
        <v>200</v>
      </c>
      <c r="O2410" s="12" t="s">
        <v>200</v>
      </c>
      <c r="P2410" s="13"/>
      <c r="Q2410" s="12"/>
      <c r="R2410" s="14"/>
      <c r="S2410" s="15"/>
      <c r="T2410" s="4" t="b">
        <v>0</v>
      </c>
    </row>
    <row r="2411">
      <c r="A2411" s="16"/>
      <c r="B2411" s="17"/>
      <c r="C2411" s="24"/>
      <c r="D2411" s="44"/>
      <c r="E2411" s="19"/>
      <c r="F2411" s="35"/>
      <c r="G2411" s="20">
        <v>1899.0</v>
      </c>
      <c r="H2411" s="21"/>
      <c r="I2411" s="21"/>
      <c r="J2411" s="21"/>
      <c r="K2411" s="16"/>
      <c r="L2411" s="22"/>
      <c r="M2411" s="55"/>
      <c r="N2411" s="23" t="s">
        <v>200</v>
      </c>
      <c r="O2411" s="23" t="s">
        <v>200</v>
      </c>
      <c r="P2411" s="24"/>
      <c r="Q2411" s="23"/>
      <c r="R2411" s="25"/>
      <c r="S2411" s="26"/>
      <c r="T2411" s="16" t="b">
        <v>0</v>
      </c>
    </row>
    <row r="2412">
      <c r="A2412" s="4"/>
      <c r="B2412" s="5"/>
      <c r="C2412" s="13"/>
      <c r="D2412" s="39"/>
      <c r="E2412" s="7"/>
      <c r="F2412" s="34"/>
      <c r="G2412" s="8">
        <v>1899.0</v>
      </c>
      <c r="H2412" s="9"/>
      <c r="I2412" s="9"/>
      <c r="J2412" s="9"/>
      <c r="K2412" s="4"/>
      <c r="L2412" s="10"/>
      <c r="M2412" s="54"/>
      <c r="N2412" s="12" t="s">
        <v>200</v>
      </c>
      <c r="O2412" s="12" t="s">
        <v>200</v>
      </c>
      <c r="P2412" s="13"/>
      <c r="Q2412" s="12"/>
      <c r="R2412" s="14"/>
      <c r="S2412" s="15"/>
      <c r="T2412" s="4" t="b">
        <v>0</v>
      </c>
    </row>
    <row r="2413">
      <c r="A2413" s="16"/>
      <c r="B2413" s="17"/>
      <c r="C2413" s="24"/>
      <c r="D2413" s="44"/>
      <c r="E2413" s="19"/>
      <c r="F2413" s="35"/>
      <c r="G2413" s="20">
        <v>1899.0</v>
      </c>
      <c r="H2413" s="21"/>
      <c r="I2413" s="21"/>
      <c r="J2413" s="21"/>
      <c r="K2413" s="16"/>
      <c r="L2413" s="22"/>
      <c r="M2413" s="55"/>
      <c r="N2413" s="23" t="s">
        <v>200</v>
      </c>
      <c r="O2413" s="23" t="s">
        <v>200</v>
      </c>
      <c r="P2413" s="24"/>
      <c r="Q2413" s="23"/>
      <c r="R2413" s="25"/>
      <c r="S2413" s="26"/>
      <c r="T2413" s="16" t="b">
        <v>0</v>
      </c>
    </row>
    <row r="2414">
      <c r="A2414" s="4"/>
      <c r="B2414" s="5"/>
      <c r="C2414" s="13"/>
      <c r="D2414" s="39"/>
      <c r="E2414" s="7"/>
      <c r="F2414" s="34"/>
      <c r="G2414" s="8">
        <v>1899.0</v>
      </c>
      <c r="H2414" s="9"/>
      <c r="I2414" s="9"/>
      <c r="J2414" s="9"/>
      <c r="K2414" s="4"/>
      <c r="L2414" s="10"/>
      <c r="M2414" s="54"/>
      <c r="N2414" s="12" t="s">
        <v>200</v>
      </c>
      <c r="O2414" s="12" t="s">
        <v>200</v>
      </c>
      <c r="P2414" s="13"/>
      <c r="Q2414" s="12"/>
      <c r="R2414" s="14"/>
      <c r="S2414" s="15"/>
      <c r="T2414" s="4" t="b">
        <v>0</v>
      </c>
    </row>
    <row r="2415">
      <c r="A2415" s="16"/>
      <c r="B2415" s="17"/>
      <c r="C2415" s="24"/>
      <c r="D2415" s="44"/>
      <c r="E2415" s="19"/>
      <c r="F2415" s="35"/>
      <c r="G2415" s="20">
        <v>1899.0</v>
      </c>
      <c r="H2415" s="21"/>
      <c r="I2415" s="21"/>
      <c r="J2415" s="21"/>
      <c r="K2415" s="16"/>
      <c r="L2415" s="22"/>
      <c r="M2415" s="55"/>
      <c r="N2415" s="23" t="s">
        <v>200</v>
      </c>
      <c r="O2415" s="23" t="s">
        <v>200</v>
      </c>
      <c r="P2415" s="24"/>
      <c r="Q2415" s="23"/>
      <c r="R2415" s="25"/>
      <c r="S2415" s="26"/>
      <c r="T2415" s="16" t="b">
        <v>0</v>
      </c>
    </row>
    <row r="2416">
      <c r="A2416" s="4"/>
      <c r="B2416" s="5"/>
      <c r="C2416" s="13"/>
      <c r="D2416" s="39"/>
      <c r="E2416" s="7"/>
      <c r="F2416" s="34"/>
      <c r="G2416" s="8">
        <v>1899.0</v>
      </c>
      <c r="H2416" s="9"/>
      <c r="I2416" s="9"/>
      <c r="J2416" s="9"/>
      <c r="K2416" s="4"/>
      <c r="L2416" s="10"/>
      <c r="M2416" s="54"/>
      <c r="N2416" s="12" t="s">
        <v>200</v>
      </c>
      <c r="O2416" s="12" t="s">
        <v>200</v>
      </c>
      <c r="P2416" s="13"/>
      <c r="Q2416" s="12"/>
      <c r="R2416" s="14"/>
      <c r="S2416" s="15"/>
      <c r="T2416" s="4" t="b">
        <v>0</v>
      </c>
    </row>
    <row r="2417">
      <c r="A2417" s="16"/>
      <c r="B2417" s="17"/>
      <c r="C2417" s="24"/>
      <c r="D2417" s="44"/>
      <c r="E2417" s="19"/>
      <c r="F2417" s="35"/>
      <c r="G2417" s="20">
        <v>1899.0</v>
      </c>
      <c r="H2417" s="21"/>
      <c r="I2417" s="21"/>
      <c r="J2417" s="21"/>
      <c r="K2417" s="16"/>
      <c r="L2417" s="22"/>
      <c r="M2417" s="55"/>
      <c r="N2417" s="23" t="s">
        <v>200</v>
      </c>
      <c r="O2417" s="23" t="s">
        <v>200</v>
      </c>
      <c r="P2417" s="24"/>
      <c r="Q2417" s="23"/>
      <c r="R2417" s="25"/>
      <c r="S2417" s="26"/>
      <c r="T2417" s="16" t="b">
        <v>0</v>
      </c>
    </row>
    <row r="2418">
      <c r="A2418" s="4"/>
      <c r="B2418" s="5"/>
      <c r="C2418" s="13"/>
      <c r="D2418" s="39"/>
      <c r="E2418" s="7"/>
      <c r="F2418" s="34"/>
      <c r="G2418" s="8">
        <v>1899.0</v>
      </c>
      <c r="H2418" s="9"/>
      <c r="I2418" s="9"/>
      <c r="J2418" s="9"/>
      <c r="K2418" s="4"/>
      <c r="L2418" s="10"/>
      <c r="M2418" s="54"/>
      <c r="N2418" s="12" t="s">
        <v>200</v>
      </c>
      <c r="O2418" s="12" t="s">
        <v>200</v>
      </c>
      <c r="P2418" s="13"/>
      <c r="Q2418" s="12"/>
      <c r="R2418" s="14"/>
      <c r="S2418" s="15"/>
      <c r="T2418" s="4" t="b">
        <v>0</v>
      </c>
    </row>
    <row r="2419">
      <c r="A2419" s="16"/>
      <c r="B2419" s="17"/>
      <c r="C2419" s="24"/>
      <c r="D2419" s="44"/>
      <c r="E2419" s="19"/>
      <c r="F2419" s="35"/>
      <c r="G2419" s="20">
        <v>1899.0</v>
      </c>
      <c r="H2419" s="21"/>
      <c r="I2419" s="21"/>
      <c r="J2419" s="21"/>
      <c r="K2419" s="16"/>
      <c r="L2419" s="22"/>
      <c r="M2419" s="55"/>
      <c r="N2419" s="23" t="s">
        <v>200</v>
      </c>
      <c r="O2419" s="23" t="s">
        <v>200</v>
      </c>
      <c r="P2419" s="24"/>
      <c r="Q2419" s="23"/>
      <c r="R2419" s="25"/>
      <c r="S2419" s="26"/>
      <c r="T2419" s="16" t="b">
        <v>0</v>
      </c>
    </row>
    <row r="2420">
      <c r="A2420" s="4"/>
      <c r="B2420" s="5"/>
      <c r="C2420" s="13"/>
      <c r="D2420" s="39"/>
      <c r="E2420" s="7"/>
      <c r="F2420" s="34"/>
      <c r="G2420" s="8">
        <v>1899.0</v>
      </c>
      <c r="H2420" s="9"/>
      <c r="I2420" s="9"/>
      <c r="J2420" s="9"/>
      <c r="K2420" s="4"/>
      <c r="L2420" s="10"/>
      <c r="M2420" s="54"/>
      <c r="N2420" s="12" t="s">
        <v>200</v>
      </c>
      <c r="O2420" s="12" t="s">
        <v>200</v>
      </c>
      <c r="P2420" s="13"/>
      <c r="Q2420" s="12"/>
      <c r="R2420" s="14"/>
      <c r="S2420" s="15"/>
      <c r="T2420" s="4" t="b">
        <v>0</v>
      </c>
    </row>
    <row r="2421">
      <c r="A2421" s="16"/>
      <c r="B2421" s="17"/>
      <c r="C2421" s="24"/>
      <c r="D2421" s="44"/>
      <c r="E2421" s="19"/>
      <c r="F2421" s="35"/>
      <c r="G2421" s="20">
        <v>1899.0</v>
      </c>
      <c r="H2421" s="21"/>
      <c r="I2421" s="21"/>
      <c r="J2421" s="21"/>
      <c r="K2421" s="16"/>
      <c r="L2421" s="22"/>
      <c r="M2421" s="55"/>
      <c r="N2421" s="23" t="s">
        <v>200</v>
      </c>
      <c r="O2421" s="23" t="s">
        <v>200</v>
      </c>
      <c r="P2421" s="24"/>
      <c r="Q2421" s="23"/>
      <c r="R2421" s="25"/>
      <c r="S2421" s="26"/>
      <c r="T2421" s="16" t="b">
        <v>0</v>
      </c>
    </row>
    <row r="2422">
      <c r="A2422" s="4"/>
      <c r="B2422" s="5"/>
      <c r="C2422" s="13"/>
      <c r="D2422" s="39"/>
      <c r="E2422" s="7"/>
      <c r="F2422" s="34"/>
      <c r="G2422" s="8">
        <v>1899.0</v>
      </c>
      <c r="H2422" s="9"/>
      <c r="I2422" s="9"/>
      <c r="J2422" s="9"/>
      <c r="K2422" s="4"/>
      <c r="L2422" s="10"/>
      <c r="M2422" s="54"/>
      <c r="N2422" s="12" t="s">
        <v>200</v>
      </c>
      <c r="O2422" s="12" t="s">
        <v>200</v>
      </c>
      <c r="P2422" s="13"/>
      <c r="Q2422" s="12"/>
      <c r="R2422" s="14"/>
      <c r="S2422" s="15"/>
      <c r="T2422" s="4" t="b">
        <v>0</v>
      </c>
    </row>
    <row r="2423">
      <c r="A2423" s="16"/>
      <c r="B2423" s="17"/>
      <c r="C2423" s="24"/>
      <c r="D2423" s="44"/>
      <c r="E2423" s="19"/>
      <c r="F2423" s="35"/>
      <c r="G2423" s="20">
        <v>1899.0</v>
      </c>
      <c r="H2423" s="21"/>
      <c r="I2423" s="21"/>
      <c r="J2423" s="21"/>
      <c r="K2423" s="16"/>
      <c r="L2423" s="22"/>
      <c r="M2423" s="55"/>
      <c r="N2423" s="23" t="s">
        <v>200</v>
      </c>
      <c r="O2423" s="23" t="s">
        <v>200</v>
      </c>
      <c r="P2423" s="24"/>
      <c r="Q2423" s="23"/>
      <c r="R2423" s="25"/>
      <c r="S2423" s="26"/>
      <c r="T2423" s="16" t="b">
        <v>0</v>
      </c>
    </row>
    <row r="2424">
      <c r="A2424" s="4"/>
      <c r="B2424" s="5"/>
      <c r="C2424" s="13"/>
      <c r="D2424" s="39"/>
      <c r="E2424" s="7"/>
      <c r="F2424" s="34"/>
      <c r="G2424" s="8">
        <v>1899.0</v>
      </c>
      <c r="H2424" s="9"/>
      <c r="I2424" s="9"/>
      <c r="J2424" s="9"/>
      <c r="K2424" s="4"/>
      <c r="L2424" s="10"/>
      <c r="M2424" s="54"/>
      <c r="N2424" s="12" t="s">
        <v>200</v>
      </c>
      <c r="O2424" s="12" t="s">
        <v>200</v>
      </c>
      <c r="P2424" s="13"/>
      <c r="Q2424" s="12"/>
      <c r="R2424" s="14"/>
      <c r="S2424" s="15"/>
      <c r="T2424" s="4" t="b">
        <v>0</v>
      </c>
    </row>
    <row r="2425">
      <c r="A2425" s="16"/>
      <c r="B2425" s="17"/>
      <c r="C2425" s="24"/>
      <c r="D2425" s="44"/>
      <c r="E2425" s="19"/>
      <c r="F2425" s="35"/>
      <c r="G2425" s="20">
        <v>1899.0</v>
      </c>
      <c r="H2425" s="21"/>
      <c r="I2425" s="21"/>
      <c r="J2425" s="21"/>
      <c r="K2425" s="16"/>
      <c r="L2425" s="22"/>
      <c r="M2425" s="55"/>
      <c r="N2425" s="23" t="s">
        <v>200</v>
      </c>
      <c r="O2425" s="23" t="s">
        <v>200</v>
      </c>
      <c r="P2425" s="24"/>
      <c r="Q2425" s="23"/>
      <c r="R2425" s="25"/>
      <c r="S2425" s="26"/>
      <c r="T2425" s="16" t="b">
        <v>0</v>
      </c>
    </row>
    <row r="2426">
      <c r="A2426" s="4"/>
      <c r="B2426" s="5"/>
      <c r="C2426" s="13"/>
      <c r="D2426" s="39"/>
      <c r="E2426" s="7"/>
      <c r="F2426" s="34"/>
      <c r="G2426" s="8">
        <v>1899.0</v>
      </c>
      <c r="H2426" s="9"/>
      <c r="I2426" s="9"/>
      <c r="J2426" s="9"/>
      <c r="K2426" s="4"/>
      <c r="L2426" s="10"/>
      <c r="M2426" s="54"/>
      <c r="N2426" s="12" t="s">
        <v>200</v>
      </c>
      <c r="O2426" s="12" t="s">
        <v>200</v>
      </c>
      <c r="P2426" s="13"/>
      <c r="Q2426" s="12"/>
      <c r="R2426" s="14"/>
      <c r="S2426" s="15"/>
      <c r="T2426" s="4" t="b">
        <v>0</v>
      </c>
    </row>
    <row r="2427">
      <c r="A2427" s="16"/>
      <c r="B2427" s="17"/>
      <c r="C2427" s="24"/>
      <c r="D2427" s="44"/>
      <c r="E2427" s="19"/>
      <c r="F2427" s="35"/>
      <c r="G2427" s="20">
        <v>1899.0</v>
      </c>
      <c r="H2427" s="21"/>
      <c r="I2427" s="21"/>
      <c r="J2427" s="21"/>
      <c r="K2427" s="16"/>
      <c r="L2427" s="22"/>
      <c r="M2427" s="55"/>
      <c r="N2427" s="23" t="s">
        <v>200</v>
      </c>
      <c r="O2427" s="23" t="s">
        <v>200</v>
      </c>
      <c r="P2427" s="24"/>
      <c r="Q2427" s="23"/>
      <c r="R2427" s="25"/>
      <c r="S2427" s="26"/>
      <c r="T2427" s="16" t="b">
        <v>0</v>
      </c>
    </row>
    <row r="2428">
      <c r="A2428" s="4"/>
      <c r="B2428" s="5"/>
      <c r="C2428" s="13"/>
      <c r="D2428" s="39"/>
      <c r="E2428" s="7"/>
      <c r="F2428" s="34"/>
      <c r="G2428" s="8">
        <v>1899.0</v>
      </c>
      <c r="H2428" s="9"/>
      <c r="I2428" s="9"/>
      <c r="J2428" s="9"/>
      <c r="K2428" s="4"/>
      <c r="L2428" s="10"/>
      <c r="M2428" s="54"/>
      <c r="N2428" s="12" t="s">
        <v>200</v>
      </c>
      <c r="O2428" s="12" t="s">
        <v>200</v>
      </c>
      <c r="P2428" s="13"/>
      <c r="Q2428" s="12"/>
      <c r="R2428" s="14"/>
      <c r="S2428" s="15"/>
      <c r="T2428" s="4" t="b">
        <v>0</v>
      </c>
    </row>
    <row r="2429">
      <c r="A2429" s="16"/>
      <c r="B2429" s="17"/>
      <c r="C2429" s="24"/>
      <c r="D2429" s="44"/>
      <c r="E2429" s="19"/>
      <c r="F2429" s="35"/>
      <c r="G2429" s="20">
        <v>1899.0</v>
      </c>
      <c r="H2429" s="21"/>
      <c r="I2429" s="21"/>
      <c r="J2429" s="21"/>
      <c r="K2429" s="16"/>
      <c r="L2429" s="22"/>
      <c r="M2429" s="55"/>
      <c r="N2429" s="23" t="s">
        <v>200</v>
      </c>
      <c r="O2429" s="23" t="s">
        <v>200</v>
      </c>
      <c r="P2429" s="24"/>
      <c r="Q2429" s="23"/>
      <c r="R2429" s="25"/>
      <c r="S2429" s="26"/>
      <c r="T2429" s="16" t="b">
        <v>0</v>
      </c>
    </row>
    <row r="2430">
      <c r="A2430" s="4"/>
      <c r="B2430" s="5"/>
      <c r="C2430" s="13"/>
      <c r="D2430" s="39"/>
      <c r="E2430" s="7"/>
      <c r="F2430" s="34"/>
      <c r="G2430" s="8">
        <v>1899.0</v>
      </c>
      <c r="H2430" s="9"/>
      <c r="I2430" s="9"/>
      <c r="J2430" s="9"/>
      <c r="K2430" s="4"/>
      <c r="L2430" s="10"/>
      <c r="M2430" s="54"/>
      <c r="N2430" s="12" t="s">
        <v>200</v>
      </c>
      <c r="O2430" s="12" t="s">
        <v>200</v>
      </c>
      <c r="P2430" s="13"/>
      <c r="Q2430" s="12"/>
      <c r="R2430" s="14"/>
      <c r="S2430" s="15"/>
      <c r="T2430" s="4" t="b">
        <v>0</v>
      </c>
    </row>
    <row r="2431">
      <c r="A2431" s="16"/>
      <c r="B2431" s="17"/>
      <c r="C2431" s="24"/>
      <c r="D2431" s="44"/>
      <c r="E2431" s="19"/>
      <c r="F2431" s="35"/>
      <c r="G2431" s="20">
        <v>1899.0</v>
      </c>
      <c r="H2431" s="21"/>
      <c r="I2431" s="21"/>
      <c r="J2431" s="21"/>
      <c r="K2431" s="16"/>
      <c r="L2431" s="22"/>
      <c r="M2431" s="55"/>
      <c r="N2431" s="23" t="s">
        <v>200</v>
      </c>
      <c r="O2431" s="23" t="s">
        <v>200</v>
      </c>
      <c r="P2431" s="24"/>
      <c r="Q2431" s="23"/>
      <c r="R2431" s="25"/>
      <c r="S2431" s="26"/>
      <c r="T2431" s="16" t="b">
        <v>0</v>
      </c>
    </row>
    <row r="2432">
      <c r="A2432" s="4"/>
      <c r="B2432" s="5"/>
      <c r="C2432" s="13"/>
      <c r="D2432" s="39"/>
      <c r="E2432" s="7"/>
      <c r="F2432" s="34"/>
      <c r="G2432" s="8">
        <v>1899.0</v>
      </c>
      <c r="H2432" s="9"/>
      <c r="I2432" s="9"/>
      <c r="J2432" s="9"/>
      <c r="K2432" s="4"/>
      <c r="L2432" s="10"/>
      <c r="M2432" s="54"/>
      <c r="N2432" s="12" t="s">
        <v>200</v>
      </c>
      <c r="O2432" s="12" t="s">
        <v>200</v>
      </c>
      <c r="P2432" s="13"/>
      <c r="Q2432" s="12"/>
      <c r="R2432" s="14"/>
      <c r="S2432" s="15"/>
      <c r="T2432" s="4" t="b">
        <v>0</v>
      </c>
    </row>
    <row r="2433">
      <c r="A2433" s="16"/>
      <c r="B2433" s="17"/>
      <c r="C2433" s="24"/>
      <c r="D2433" s="44"/>
      <c r="E2433" s="19"/>
      <c r="F2433" s="35"/>
      <c r="G2433" s="20">
        <v>1899.0</v>
      </c>
      <c r="H2433" s="21"/>
      <c r="I2433" s="21"/>
      <c r="J2433" s="21"/>
      <c r="K2433" s="16"/>
      <c r="L2433" s="22"/>
      <c r="M2433" s="55"/>
      <c r="N2433" s="23" t="s">
        <v>200</v>
      </c>
      <c r="O2433" s="23" t="s">
        <v>200</v>
      </c>
      <c r="P2433" s="24"/>
      <c r="Q2433" s="23"/>
      <c r="R2433" s="25"/>
      <c r="S2433" s="26"/>
      <c r="T2433" s="16" t="b">
        <v>0</v>
      </c>
    </row>
    <row r="2434">
      <c r="A2434" s="4"/>
      <c r="B2434" s="5"/>
      <c r="C2434" s="13"/>
      <c r="D2434" s="39"/>
      <c r="E2434" s="7"/>
      <c r="F2434" s="34"/>
      <c r="G2434" s="8">
        <v>1899.0</v>
      </c>
      <c r="H2434" s="9"/>
      <c r="I2434" s="9"/>
      <c r="J2434" s="9"/>
      <c r="K2434" s="4"/>
      <c r="L2434" s="10"/>
      <c r="M2434" s="54"/>
      <c r="N2434" s="12" t="s">
        <v>200</v>
      </c>
      <c r="O2434" s="12" t="s">
        <v>200</v>
      </c>
      <c r="P2434" s="13"/>
      <c r="Q2434" s="12"/>
      <c r="R2434" s="14"/>
      <c r="S2434" s="15"/>
      <c r="T2434" s="4" t="b">
        <v>0</v>
      </c>
    </row>
    <row r="2435">
      <c r="A2435" s="16"/>
      <c r="B2435" s="17"/>
      <c r="C2435" s="24"/>
      <c r="D2435" s="44"/>
      <c r="E2435" s="19"/>
      <c r="F2435" s="35"/>
      <c r="G2435" s="20">
        <v>1899.0</v>
      </c>
      <c r="H2435" s="21"/>
      <c r="I2435" s="21"/>
      <c r="J2435" s="21"/>
      <c r="K2435" s="16"/>
      <c r="L2435" s="22"/>
      <c r="M2435" s="55"/>
      <c r="N2435" s="23" t="s">
        <v>200</v>
      </c>
      <c r="O2435" s="23" t="s">
        <v>200</v>
      </c>
      <c r="P2435" s="24"/>
      <c r="Q2435" s="23"/>
      <c r="R2435" s="25"/>
      <c r="S2435" s="26"/>
      <c r="T2435" s="16" t="b">
        <v>0</v>
      </c>
    </row>
    <row r="2436">
      <c r="A2436" s="4"/>
      <c r="B2436" s="5"/>
      <c r="C2436" s="13"/>
      <c r="D2436" s="39"/>
      <c r="E2436" s="7"/>
      <c r="F2436" s="34"/>
      <c r="G2436" s="8">
        <v>1899.0</v>
      </c>
      <c r="H2436" s="9"/>
      <c r="I2436" s="9"/>
      <c r="J2436" s="9"/>
      <c r="K2436" s="4"/>
      <c r="L2436" s="10"/>
      <c r="M2436" s="54"/>
      <c r="N2436" s="12" t="s">
        <v>200</v>
      </c>
      <c r="O2436" s="12" t="s">
        <v>200</v>
      </c>
      <c r="P2436" s="13"/>
      <c r="Q2436" s="12"/>
      <c r="R2436" s="14"/>
      <c r="S2436" s="15"/>
      <c r="T2436" s="4" t="b">
        <v>0</v>
      </c>
    </row>
    <row r="2437">
      <c r="A2437" s="16"/>
      <c r="B2437" s="17"/>
      <c r="C2437" s="24"/>
      <c r="D2437" s="44"/>
      <c r="E2437" s="19"/>
      <c r="F2437" s="35"/>
      <c r="G2437" s="20">
        <v>1899.0</v>
      </c>
      <c r="H2437" s="21"/>
      <c r="I2437" s="21"/>
      <c r="J2437" s="21"/>
      <c r="K2437" s="16"/>
      <c r="L2437" s="22"/>
      <c r="M2437" s="55"/>
      <c r="N2437" s="23" t="s">
        <v>200</v>
      </c>
      <c r="O2437" s="23" t="s">
        <v>200</v>
      </c>
      <c r="P2437" s="24"/>
      <c r="Q2437" s="23"/>
      <c r="R2437" s="25"/>
      <c r="S2437" s="26"/>
      <c r="T2437" s="16" t="b">
        <v>0</v>
      </c>
    </row>
    <row r="2438">
      <c r="A2438" s="4"/>
      <c r="B2438" s="5"/>
      <c r="C2438" s="13"/>
      <c r="D2438" s="39"/>
      <c r="E2438" s="7"/>
      <c r="F2438" s="34"/>
      <c r="G2438" s="8">
        <v>1899.0</v>
      </c>
      <c r="H2438" s="9"/>
      <c r="I2438" s="9"/>
      <c r="J2438" s="9"/>
      <c r="K2438" s="4"/>
      <c r="L2438" s="10"/>
      <c r="M2438" s="54"/>
      <c r="N2438" s="12" t="s">
        <v>200</v>
      </c>
      <c r="O2438" s="12" t="s">
        <v>200</v>
      </c>
      <c r="P2438" s="13"/>
      <c r="Q2438" s="12"/>
      <c r="R2438" s="14"/>
      <c r="S2438" s="15"/>
      <c r="T2438" s="4" t="b">
        <v>0</v>
      </c>
    </row>
    <row r="2439">
      <c r="A2439" s="16"/>
      <c r="B2439" s="17"/>
      <c r="C2439" s="24"/>
      <c r="D2439" s="44"/>
      <c r="E2439" s="19"/>
      <c r="F2439" s="35"/>
      <c r="G2439" s="20">
        <v>1899.0</v>
      </c>
      <c r="H2439" s="21"/>
      <c r="I2439" s="21"/>
      <c r="J2439" s="21"/>
      <c r="K2439" s="16"/>
      <c r="L2439" s="22"/>
      <c r="M2439" s="55"/>
      <c r="N2439" s="23" t="s">
        <v>200</v>
      </c>
      <c r="O2439" s="23" t="s">
        <v>200</v>
      </c>
      <c r="P2439" s="24"/>
      <c r="Q2439" s="23"/>
      <c r="R2439" s="25"/>
      <c r="S2439" s="26"/>
      <c r="T2439" s="16" t="b">
        <v>0</v>
      </c>
    </row>
    <row r="2440">
      <c r="A2440" s="4"/>
      <c r="B2440" s="5"/>
      <c r="C2440" s="13"/>
      <c r="D2440" s="39"/>
      <c r="E2440" s="7"/>
      <c r="F2440" s="34"/>
      <c r="G2440" s="8">
        <v>1899.0</v>
      </c>
      <c r="H2440" s="9"/>
      <c r="I2440" s="9"/>
      <c r="J2440" s="9"/>
      <c r="K2440" s="4"/>
      <c r="L2440" s="10"/>
      <c r="M2440" s="54"/>
      <c r="N2440" s="12" t="s">
        <v>200</v>
      </c>
      <c r="O2440" s="12" t="s">
        <v>200</v>
      </c>
      <c r="P2440" s="13"/>
      <c r="Q2440" s="12"/>
      <c r="R2440" s="14"/>
      <c r="S2440" s="15"/>
      <c r="T2440" s="4" t="b">
        <v>0</v>
      </c>
    </row>
    <row r="2441">
      <c r="A2441" s="16"/>
      <c r="B2441" s="17"/>
      <c r="C2441" s="24"/>
      <c r="D2441" s="44"/>
      <c r="E2441" s="19"/>
      <c r="F2441" s="35"/>
      <c r="G2441" s="20">
        <v>1899.0</v>
      </c>
      <c r="H2441" s="21"/>
      <c r="I2441" s="21"/>
      <c r="J2441" s="21"/>
      <c r="K2441" s="16"/>
      <c r="L2441" s="22"/>
      <c r="M2441" s="55"/>
      <c r="N2441" s="23" t="s">
        <v>200</v>
      </c>
      <c r="O2441" s="23" t="s">
        <v>200</v>
      </c>
      <c r="P2441" s="24"/>
      <c r="Q2441" s="23"/>
      <c r="R2441" s="25"/>
      <c r="S2441" s="26"/>
      <c r="T2441" s="16" t="b">
        <v>0</v>
      </c>
    </row>
    <row r="2442">
      <c r="A2442" s="4"/>
      <c r="B2442" s="5"/>
      <c r="C2442" s="13"/>
      <c r="D2442" s="39"/>
      <c r="E2442" s="7"/>
      <c r="F2442" s="34"/>
      <c r="G2442" s="8">
        <v>1899.0</v>
      </c>
      <c r="H2442" s="9"/>
      <c r="I2442" s="9"/>
      <c r="J2442" s="9"/>
      <c r="K2442" s="4"/>
      <c r="L2442" s="10"/>
      <c r="M2442" s="54"/>
      <c r="N2442" s="12" t="s">
        <v>200</v>
      </c>
      <c r="O2442" s="12" t="s">
        <v>200</v>
      </c>
      <c r="P2442" s="13"/>
      <c r="Q2442" s="12"/>
      <c r="R2442" s="14"/>
      <c r="S2442" s="15"/>
      <c r="T2442" s="4" t="b">
        <v>0</v>
      </c>
    </row>
    <row r="2443">
      <c r="A2443" s="16"/>
      <c r="B2443" s="17"/>
      <c r="C2443" s="24"/>
      <c r="D2443" s="44"/>
      <c r="E2443" s="19"/>
      <c r="F2443" s="35"/>
      <c r="G2443" s="20">
        <v>1899.0</v>
      </c>
      <c r="H2443" s="21"/>
      <c r="I2443" s="21"/>
      <c r="J2443" s="21"/>
      <c r="K2443" s="16"/>
      <c r="L2443" s="22"/>
      <c r="M2443" s="55"/>
      <c r="N2443" s="23" t="s">
        <v>200</v>
      </c>
      <c r="O2443" s="23" t="s">
        <v>200</v>
      </c>
      <c r="P2443" s="24"/>
      <c r="Q2443" s="23"/>
      <c r="R2443" s="25"/>
      <c r="S2443" s="26"/>
      <c r="T2443" s="16" t="b">
        <v>0</v>
      </c>
    </row>
    <row r="2444">
      <c r="A2444" s="4"/>
      <c r="B2444" s="5"/>
      <c r="C2444" s="13"/>
      <c r="D2444" s="39"/>
      <c r="E2444" s="7"/>
      <c r="F2444" s="34"/>
      <c r="G2444" s="8">
        <v>1899.0</v>
      </c>
      <c r="H2444" s="9"/>
      <c r="I2444" s="9"/>
      <c r="J2444" s="9"/>
      <c r="K2444" s="4"/>
      <c r="L2444" s="10"/>
      <c r="M2444" s="54"/>
      <c r="N2444" s="12" t="s">
        <v>200</v>
      </c>
      <c r="O2444" s="12" t="s">
        <v>200</v>
      </c>
      <c r="P2444" s="13"/>
      <c r="Q2444" s="12"/>
      <c r="R2444" s="14"/>
      <c r="S2444" s="15"/>
      <c r="T2444" s="4" t="b">
        <v>0</v>
      </c>
    </row>
    <row r="2445">
      <c r="A2445" s="16"/>
      <c r="B2445" s="17"/>
      <c r="C2445" s="24"/>
      <c r="D2445" s="44"/>
      <c r="E2445" s="19"/>
      <c r="F2445" s="35"/>
      <c r="G2445" s="20">
        <v>1899.0</v>
      </c>
      <c r="H2445" s="21"/>
      <c r="I2445" s="21"/>
      <c r="J2445" s="21"/>
      <c r="K2445" s="16"/>
      <c r="L2445" s="22"/>
      <c r="M2445" s="55"/>
      <c r="N2445" s="23" t="s">
        <v>200</v>
      </c>
      <c r="O2445" s="23" t="s">
        <v>200</v>
      </c>
      <c r="P2445" s="24"/>
      <c r="Q2445" s="23"/>
      <c r="R2445" s="25"/>
      <c r="S2445" s="26"/>
      <c r="T2445" s="16" t="b">
        <v>0</v>
      </c>
    </row>
    <row r="2446">
      <c r="A2446" s="4"/>
      <c r="B2446" s="5"/>
      <c r="C2446" s="13"/>
      <c r="D2446" s="39"/>
      <c r="E2446" s="7"/>
      <c r="F2446" s="34"/>
      <c r="G2446" s="8">
        <v>1899.0</v>
      </c>
      <c r="H2446" s="9"/>
      <c r="I2446" s="9"/>
      <c r="J2446" s="9"/>
      <c r="K2446" s="4"/>
      <c r="L2446" s="10"/>
      <c r="M2446" s="54"/>
      <c r="N2446" s="12" t="s">
        <v>200</v>
      </c>
      <c r="O2446" s="12" t="s">
        <v>200</v>
      </c>
      <c r="P2446" s="13"/>
      <c r="Q2446" s="12"/>
      <c r="R2446" s="14"/>
      <c r="S2446" s="15"/>
      <c r="T2446" s="4" t="b">
        <v>0</v>
      </c>
    </row>
    <row r="2447">
      <c r="A2447" s="16"/>
      <c r="B2447" s="17"/>
      <c r="C2447" s="24"/>
      <c r="D2447" s="44"/>
      <c r="E2447" s="19"/>
      <c r="F2447" s="35"/>
      <c r="G2447" s="20">
        <v>1899.0</v>
      </c>
      <c r="H2447" s="21"/>
      <c r="I2447" s="21"/>
      <c r="J2447" s="21"/>
      <c r="K2447" s="16"/>
      <c r="L2447" s="22"/>
      <c r="M2447" s="55"/>
      <c r="N2447" s="23" t="s">
        <v>200</v>
      </c>
      <c r="O2447" s="23" t="s">
        <v>200</v>
      </c>
      <c r="P2447" s="24"/>
      <c r="Q2447" s="23"/>
      <c r="R2447" s="25"/>
      <c r="S2447" s="26"/>
      <c r="T2447" s="16" t="b">
        <v>0</v>
      </c>
    </row>
    <row r="2448">
      <c r="A2448" s="4"/>
      <c r="B2448" s="5"/>
      <c r="C2448" s="13"/>
      <c r="D2448" s="39"/>
      <c r="E2448" s="7"/>
      <c r="F2448" s="34"/>
      <c r="G2448" s="8">
        <v>1899.0</v>
      </c>
      <c r="H2448" s="9"/>
      <c r="I2448" s="9"/>
      <c r="J2448" s="9"/>
      <c r="K2448" s="4"/>
      <c r="L2448" s="10"/>
      <c r="M2448" s="54"/>
      <c r="N2448" s="12" t="s">
        <v>200</v>
      </c>
      <c r="O2448" s="12" t="s">
        <v>200</v>
      </c>
      <c r="P2448" s="13"/>
      <c r="Q2448" s="12"/>
      <c r="R2448" s="14"/>
      <c r="S2448" s="15"/>
      <c r="T2448" s="4" t="b">
        <v>0</v>
      </c>
    </row>
    <row r="2449">
      <c r="A2449" s="16"/>
      <c r="B2449" s="17"/>
      <c r="C2449" s="24"/>
      <c r="D2449" s="44"/>
      <c r="E2449" s="19"/>
      <c r="F2449" s="35"/>
      <c r="G2449" s="20">
        <v>1899.0</v>
      </c>
      <c r="H2449" s="21"/>
      <c r="I2449" s="21"/>
      <c r="J2449" s="21"/>
      <c r="K2449" s="16"/>
      <c r="L2449" s="22"/>
      <c r="M2449" s="55"/>
      <c r="N2449" s="23" t="s">
        <v>200</v>
      </c>
      <c r="O2449" s="23" t="s">
        <v>200</v>
      </c>
      <c r="P2449" s="24"/>
      <c r="Q2449" s="23"/>
      <c r="R2449" s="25"/>
      <c r="S2449" s="26"/>
      <c r="T2449" s="16" t="b">
        <v>0</v>
      </c>
    </row>
    <row r="2450">
      <c r="A2450" s="4"/>
      <c r="B2450" s="5"/>
      <c r="C2450" s="13"/>
      <c r="D2450" s="39"/>
      <c r="E2450" s="7"/>
      <c r="F2450" s="34"/>
      <c r="G2450" s="8">
        <v>1899.0</v>
      </c>
      <c r="H2450" s="9"/>
      <c r="I2450" s="9"/>
      <c r="J2450" s="9"/>
      <c r="K2450" s="4"/>
      <c r="L2450" s="10"/>
      <c r="M2450" s="54"/>
      <c r="N2450" s="12" t="s">
        <v>200</v>
      </c>
      <c r="O2450" s="12" t="s">
        <v>200</v>
      </c>
      <c r="P2450" s="13"/>
      <c r="Q2450" s="12"/>
      <c r="R2450" s="14"/>
      <c r="S2450" s="15"/>
      <c r="T2450" s="4" t="b">
        <v>0</v>
      </c>
    </row>
    <row r="2451">
      <c r="A2451" s="16"/>
      <c r="B2451" s="17"/>
      <c r="C2451" s="24"/>
      <c r="D2451" s="44"/>
      <c r="E2451" s="19"/>
      <c r="F2451" s="35"/>
      <c r="G2451" s="20">
        <v>1899.0</v>
      </c>
      <c r="H2451" s="21"/>
      <c r="I2451" s="21"/>
      <c r="J2451" s="21"/>
      <c r="K2451" s="16"/>
      <c r="L2451" s="22"/>
      <c r="M2451" s="55"/>
      <c r="N2451" s="23" t="s">
        <v>200</v>
      </c>
      <c r="O2451" s="23" t="s">
        <v>200</v>
      </c>
      <c r="P2451" s="24"/>
      <c r="Q2451" s="23"/>
      <c r="R2451" s="25"/>
      <c r="S2451" s="26"/>
      <c r="T2451" s="16" t="b">
        <v>0</v>
      </c>
    </row>
    <row r="2452">
      <c r="A2452" s="4"/>
      <c r="B2452" s="5"/>
      <c r="C2452" s="13"/>
      <c r="D2452" s="39"/>
      <c r="E2452" s="7"/>
      <c r="F2452" s="34"/>
      <c r="G2452" s="8">
        <v>1899.0</v>
      </c>
      <c r="H2452" s="9"/>
      <c r="I2452" s="9"/>
      <c r="J2452" s="9"/>
      <c r="K2452" s="4"/>
      <c r="L2452" s="10"/>
      <c r="M2452" s="54"/>
      <c r="N2452" s="12" t="s">
        <v>200</v>
      </c>
      <c r="O2452" s="12" t="s">
        <v>200</v>
      </c>
      <c r="P2452" s="13"/>
      <c r="Q2452" s="12"/>
      <c r="R2452" s="14"/>
      <c r="S2452" s="15"/>
      <c r="T2452" s="4" t="b">
        <v>0</v>
      </c>
    </row>
    <row r="2453">
      <c r="A2453" s="16"/>
      <c r="B2453" s="17"/>
      <c r="C2453" s="24"/>
      <c r="D2453" s="44"/>
      <c r="E2453" s="19"/>
      <c r="F2453" s="35"/>
      <c r="G2453" s="20">
        <v>1899.0</v>
      </c>
      <c r="H2453" s="21"/>
      <c r="I2453" s="21"/>
      <c r="J2453" s="21"/>
      <c r="K2453" s="16"/>
      <c r="L2453" s="22"/>
      <c r="M2453" s="55"/>
      <c r="N2453" s="23" t="s">
        <v>200</v>
      </c>
      <c r="O2453" s="23" t="s">
        <v>200</v>
      </c>
      <c r="P2453" s="24"/>
      <c r="Q2453" s="23"/>
      <c r="R2453" s="25"/>
      <c r="S2453" s="26"/>
      <c r="T2453" s="16" t="b">
        <v>0</v>
      </c>
    </row>
    <row r="2454">
      <c r="A2454" s="4"/>
      <c r="B2454" s="5"/>
      <c r="C2454" s="13"/>
      <c r="D2454" s="39"/>
      <c r="E2454" s="7"/>
      <c r="F2454" s="34"/>
      <c r="G2454" s="8">
        <v>1899.0</v>
      </c>
      <c r="H2454" s="9"/>
      <c r="I2454" s="9"/>
      <c r="J2454" s="9"/>
      <c r="K2454" s="4"/>
      <c r="L2454" s="10"/>
      <c r="M2454" s="54"/>
      <c r="N2454" s="12" t="s">
        <v>200</v>
      </c>
      <c r="O2454" s="12" t="s">
        <v>200</v>
      </c>
      <c r="P2454" s="13"/>
      <c r="Q2454" s="12"/>
      <c r="R2454" s="14"/>
      <c r="S2454" s="15"/>
      <c r="T2454" s="4" t="b">
        <v>0</v>
      </c>
    </row>
    <row r="2455">
      <c r="A2455" s="16"/>
      <c r="B2455" s="17"/>
      <c r="C2455" s="24"/>
      <c r="D2455" s="44"/>
      <c r="E2455" s="19"/>
      <c r="F2455" s="35"/>
      <c r="G2455" s="20">
        <v>1899.0</v>
      </c>
      <c r="H2455" s="21"/>
      <c r="I2455" s="21"/>
      <c r="J2455" s="21"/>
      <c r="K2455" s="16"/>
      <c r="L2455" s="22"/>
      <c r="M2455" s="55"/>
      <c r="N2455" s="23" t="s">
        <v>200</v>
      </c>
      <c r="O2455" s="23" t="s">
        <v>200</v>
      </c>
      <c r="P2455" s="24"/>
      <c r="Q2455" s="23"/>
      <c r="R2455" s="25"/>
      <c r="S2455" s="26"/>
      <c r="T2455" s="16" t="b">
        <v>0</v>
      </c>
    </row>
    <row r="2456">
      <c r="A2456" s="4"/>
      <c r="B2456" s="5"/>
      <c r="C2456" s="13"/>
      <c r="D2456" s="39"/>
      <c r="E2456" s="7"/>
      <c r="F2456" s="34"/>
      <c r="G2456" s="8">
        <v>1899.0</v>
      </c>
      <c r="H2456" s="9"/>
      <c r="I2456" s="9"/>
      <c r="J2456" s="9"/>
      <c r="K2456" s="4"/>
      <c r="L2456" s="10"/>
      <c r="M2456" s="54"/>
      <c r="N2456" s="12" t="s">
        <v>200</v>
      </c>
      <c r="O2456" s="12" t="s">
        <v>200</v>
      </c>
      <c r="P2456" s="13"/>
      <c r="Q2456" s="12"/>
      <c r="R2456" s="14"/>
      <c r="S2456" s="15"/>
      <c r="T2456" s="4" t="b">
        <v>0</v>
      </c>
    </row>
    <row r="2457">
      <c r="A2457" s="16"/>
      <c r="B2457" s="17"/>
      <c r="C2457" s="24"/>
      <c r="D2457" s="44"/>
      <c r="E2457" s="19"/>
      <c r="F2457" s="35"/>
      <c r="G2457" s="20">
        <v>1899.0</v>
      </c>
      <c r="H2457" s="21"/>
      <c r="I2457" s="21"/>
      <c r="J2457" s="21"/>
      <c r="K2457" s="16"/>
      <c r="L2457" s="22"/>
      <c r="M2457" s="55"/>
      <c r="N2457" s="23" t="s">
        <v>200</v>
      </c>
      <c r="O2457" s="23" t="s">
        <v>200</v>
      </c>
      <c r="P2457" s="24"/>
      <c r="Q2457" s="23"/>
      <c r="R2457" s="25"/>
      <c r="S2457" s="26"/>
      <c r="T2457" s="16" t="b">
        <v>0</v>
      </c>
    </row>
    <row r="2458">
      <c r="A2458" s="4"/>
      <c r="B2458" s="5"/>
      <c r="C2458" s="13"/>
      <c r="D2458" s="39"/>
      <c r="E2458" s="7"/>
      <c r="F2458" s="34"/>
      <c r="G2458" s="8">
        <v>1899.0</v>
      </c>
      <c r="H2458" s="9"/>
      <c r="I2458" s="9"/>
      <c r="J2458" s="9"/>
      <c r="K2458" s="4"/>
      <c r="L2458" s="10"/>
      <c r="M2458" s="54"/>
      <c r="N2458" s="12" t="s">
        <v>200</v>
      </c>
      <c r="O2458" s="12" t="s">
        <v>200</v>
      </c>
      <c r="P2458" s="13"/>
      <c r="Q2458" s="12"/>
      <c r="R2458" s="14"/>
      <c r="S2458" s="15"/>
      <c r="T2458" s="4" t="b">
        <v>0</v>
      </c>
    </row>
    <row r="2459">
      <c r="A2459" s="16"/>
      <c r="B2459" s="17"/>
      <c r="C2459" s="24"/>
      <c r="D2459" s="44"/>
      <c r="E2459" s="19"/>
      <c r="F2459" s="35"/>
      <c r="G2459" s="20">
        <v>1899.0</v>
      </c>
      <c r="H2459" s="21"/>
      <c r="I2459" s="21"/>
      <c r="J2459" s="21"/>
      <c r="K2459" s="16"/>
      <c r="L2459" s="22"/>
      <c r="M2459" s="55"/>
      <c r="N2459" s="23" t="s">
        <v>200</v>
      </c>
      <c r="O2459" s="23" t="s">
        <v>200</v>
      </c>
      <c r="P2459" s="24"/>
      <c r="Q2459" s="23"/>
      <c r="R2459" s="25"/>
      <c r="S2459" s="26"/>
      <c r="T2459" s="16" t="b">
        <v>0</v>
      </c>
    </row>
    <row r="2460">
      <c r="A2460" s="4"/>
      <c r="B2460" s="5"/>
      <c r="C2460" s="13"/>
      <c r="D2460" s="39"/>
      <c r="E2460" s="7"/>
      <c r="F2460" s="34"/>
      <c r="G2460" s="8">
        <v>1899.0</v>
      </c>
      <c r="H2460" s="9"/>
      <c r="I2460" s="9"/>
      <c r="J2460" s="9"/>
      <c r="K2460" s="4"/>
      <c r="L2460" s="10"/>
      <c r="M2460" s="54"/>
      <c r="N2460" s="12" t="s">
        <v>200</v>
      </c>
      <c r="O2460" s="12" t="s">
        <v>200</v>
      </c>
      <c r="P2460" s="13"/>
      <c r="Q2460" s="12"/>
      <c r="R2460" s="14"/>
      <c r="S2460" s="15"/>
      <c r="T2460" s="4" t="b">
        <v>0</v>
      </c>
    </row>
    <row r="2461">
      <c r="A2461" s="16"/>
      <c r="B2461" s="17"/>
      <c r="C2461" s="24"/>
      <c r="D2461" s="44"/>
      <c r="E2461" s="19"/>
      <c r="F2461" s="35"/>
      <c r="G2461" s="20">
        <v>1899.0</v>
      </c>
      <c r="H2461" s="21"/>
      <c r="I2461" s="21"/>
      <c r="J2461" s="21"/>
      <c r="K2461" s="16"/>
      <c r="L2461" s="22"/>
      <c r="M2461" s="55"/>
      <c r="N2461" s="23" t="s">
        <v>200</v>
      </c>
      <c r="O2461" s="23" t="s">
        <v>200</v>
      </c>
      <c r="P2461" s="24"/>
      <c r="Q2461" s="23"/>
      <c r="R2461" s="25"/>
      <c r="S2461" s="26"/>
      <c r="T2461" s="16" t="b">
        <v>0</v>
      </c>
    </row>
    <row r="2462">
      <c r="A2462" s="4"/>
      <c r="B2462" s="5"/>
      <c r="C2462" s="13"/>
      <c r="D2462" s="39"/>
      <c r="E2462" s="7"/>
      <c r="F2462" s="34"/>
      <c r="G2462" s="8">
        <v>1899.0</v>
      </c>
      <c r="H2462" s="9"/>
      <c r="I2462" s="9"/>
      <c r="J2462" s="9"/>
      <c r="K2462" s="4"/>
      <c r="L2462" s="10"/>
      <c r="M2462" s="54"/>
      <c r="N2462" s="12" t="s">
        <v>200</v>
      </c>
      <c r="O2462" s="12" t="s">
        <v>200</v>
      </c>
      <c r="P2462" s="13"/>
      <c r="Q2462" s="12"/>
      <c r="R2462" s="14"/>
      <c r="S2462" s="15"/>
      <c r="T2462" s="4" t="b">
        <v>0</v>
      </c>
    </row>
    <row r="2463">
      <c r="A2463" s="16"/>
      <c r="B2463" s="17"/>
      <c r="C2463" s="24"/>
      <c r="D2463" s="44"/>
      <c r="E2463" s="19"/>
      <c r="F2463" s="35"/>
      <c r="G2463" s="20">
        <v>1899.0</v>
      </c>
      <c r="H2463" s="21"/>
      <c r="I2463" s="21"/>
      <c r="J2463" s="21"/>
      <c r="K2463" s="16"/>
      <c r="L2463" s="22"/>
      <c r="M2463" s="55"/>
      <c r="N2463" s="23" t="s">
        <v>200</v>
      </c>
      <c r="O2463" s="23" t="s">
        <v>200</v>
      </c>
      <c r="P2463" s="24"/>
      <c r="Q2463" s="23"/>
      <c r="R2463" s="25"/>
      <c r="S2463" s="26"/>
      <c r="T2463" s="16" t="b">
        <v>0</v>
      </c>
    </row>
    <row r="2464">
      <c r="A2464" s="4"/>
      <c r="B2464" s="5"/>
      <c r="C2464" s="13"/>
      <c r="D2464" s="39"/>
      <c r="E2464" s="7"/>
      <c r="F2464" s="34"/>
      <c r="G2464" s="8">
        <v>1899.0</v>
      </c>
      <c r="H2464" s="9"/>
      <c r="I2464" s="9"/>
      <c r="J2464" s="9"/>
      <c r="K2464" s="4"/>
      <c r="L2464" s="10"/>
      <c r="M2464" s="54"/>
      <c r="N2464" s="12" t="s">
        <v>200</v>
      </c>
      <c r="O2464" s="12" t="s">
        <v>200</v>
      </c>
      <c r="P2464" s="13"/>
      <c r="Q2464" s="12"/>
      <c r="R2464" s="14"/>
      <c r="S2464" s="15"/>
      <c r="T2464" s="4" t="b">
        <v>0</v>
      </c>
    </row>
    <row r="2465">
      <c r="A2465" s="16"/>
      <c r="B2465" s="17"/>
      <c r="C2465" s="24"/>
      <c r="D2465" s="44"/>
      <c r="E2465" s="19"/>
      <c r="F2465" s="35"/>
      <c r="G2465" s="20">
        <v>1899.0</v>
      </c>
      <c r="H2465" s="21"/>
      <c r="I2465" s="21"/>
      <c r="J2465" s="21"/>
      <c r="K2465" s="16"/>
      <c r="L2465" s="22"/>
      <c r="M2465" s="55"/>
      <c r="N2465" s="23" t="s">
        <v>200</v>
      </c>
      <c r="O2465" s="23" t="s">
        <v>200</v>
      </c>
      <c r="P2465" s="24"/>
      <c r="Q2465" s="23"/>
      <c r="R2465" s="25"/>
      <c r="S2465" s="26"/>
      <c r="T2465" s="16" t="b">
        <v>0</v>
      </c>
    </row>
    <row r="2466">
      <c r="A2466" s="4"/>
      <c r="B2466" s="5"/>
      <c r="C2466" s="13"/>
      <c r="D2466" s="39"/>
      <c r="E2466" s="7"/>
      <c r="F2466" s="34"/>
      <c r="G2466" s="8">
        <v>1899.0</v>
      </c>
      <c r="H2466" s="9"/>
      <c r="I2466" s="9"/>
      <c r="J2466" s="9"/>
      <c r="K2466" s="4"/>
      <c r="L2466" s="10"/>
      <c r="M2466" s="54"/>
      <c r="N2466" s="12" t="s">
        <v>200</v>
      </c>
      <c r="O2466" s="12" t="s">
        <v>200</v>
      </c>
      <c r="P2466" s="13"/>
      <c r="Q2466" s="12"/>
      <c r="R2466" s="14"/>
      <c r="S2466" s="15"/>
      <c r="T2466" s="4" t="b">
        <v>0</v>
      </c>
    </row>
    <row r="2467">
      <c r="A2467" s="16"/>
      <c r="B2467" s="17"/>
      <c r="C2467" s="24"/>
      <c r="D2467" s="44"/>
      <c r="E2467" s="19"/>
      <c r="F2467" s="35"/>
      <c r="G2467" s="20">
        <v>1899.0</v>
      </c>
      <c r="H2467" s="21"/>
      <c r="I2467" s="21"/>
      <c r="J2467" s="21"/>
      <c r="K2467" s="16"/>
      <c r="L2467" s="22"/>
      <c r="M2467" s="55"/>
      <c r="N2467" s="23" t="s">
        <v>200</v>
      </c>
      <c r="O2467" s="23" t="s">
        <v>200</v>
      </c>
      <c r="P2467" s="24"/>
      <c r="Q2467" s="23"/>
      <c r="R2467" s="25"/>
      <c r="S2467" s="26"/>
      <c r="T2467" s="16" t="b">
        <v>0</v>
      </c>
    </row>
    <row r="2468">
      <c r="A2468" s="4"/>
      <c r="B2468" s="5"/>
      <c r="C2468" s="13"/>
      <c r="D2468" s="39"/>
      <c r="E2468" s="7"/>
      <c r="F2468" s="34"/>
      <c r="G2468" s="8">
        <v>1899.0</v>
      </c>
      <c r="H2468" s="9"/>
      <c r="I2468" s="9"/>
      <c r="J2468" s="9"/>
      <c r="K2468" s="4"/>
      <c r="L2468" s="10"/>
      <c r="M2468" s="54"/>
      <c r="N2468" s="12" t="s">
        <v>200</v>
      </c>
      <c r="O2468" s="12" t="s">
        <v>200</v>
      </c>
      <c r="P2468" s="13"/>
      <c r="Q2468" s="12"/>
      <c r="R2468" s="14"/>
      <c r="S2468" s="15"/>
      <c r="T2468" s="4" t="b">
        <v>0</v>
      </c>
    </row>
    <row r="2469">
      <c r="A2469" s="16"/>
      <c r="B2469" s="17"/>
      <c r="C2469" s="24"/>
      <c r="D2469" s="44"/>
      <c r="E2469" s="19"/>
      <c r="F2469" s="35"/>
      <c r="G2469" s="20">
        <v>1899.0</v>
      </c>
      <c r="H2469" s="21"/>
      <c r="I2469" s="21"/>
      <c r="J2469" s="21"/>
      <c r="K2469" s="16"/>
      <c r="L2469" s="22"/>
      <c r="M2469" s="55"/>
      <c r="N2469" s="23" t="s">
        <v>200</v>
      </c>
      <c r="O2469" s="23" t="s">
        <v>200</v>
      </c>
      <c r="P2469" s="24"/>
      <c r="Q2469" s="23"/>
      <c r="R2469" s="25"/>
      <c r="S2469" s="26"/>
      <c r="T2469" s="16" t="b">
        <v>0</v>
      </c>
    </row>
    <row r="2470">
      <c r="A2470" s="4"/>
      <c r="B2470" s="5"/>
      <c r="C2470" s="13"/>
      <c r="D2470" s="39"/>
      <c r="E2470" s="7"/>
      <c r="F2470" s="34"/>
      <c r="G2470" s="8">
        <v>1899.0</v>
      </c>
      <c r="H2470" s="9"/>
      <c r="I2470" s="9"/>
      <c r="J2470" s="9"/>
      <c r="K2470" s="4"/>
      <c r="L2470" s="10"/>
      <c r="M2470" s="54"/>
      <c r="N2470" s="12" t="s">
        <v>200</v>
      </c>
      <c r="O2470" s="12" t="s">
        <v>200</v>
      </c>
      <c r="P2470" s="13"/>
      <c r="Q2470" s="12"/>
      <c r="R2470" s="14"/>
      <c r="S2470" s="15"/>
      <c r="T2470" s="4" t="b">
        <v>0</v>
      </c>
    </row>
    <row r="2471">
      <c r="A2471" s="16"/>
      <c r="B2471" s="17"/>
      <c r="C2471" s="24"/>
      <c r="D2471" s="44"/>
      <c r="E2471" s="19"/>
      <c r="F2471" s="35"/>
      <c r="G2471" s="20">
        <v>1899.0</v>
      </c>
      <c r="H2471" s="21"/>
      <c r="I2471" s="21"/>
      <c r="J2471" s="21"/>
      <c r="K2471" s="16"/>
      <c r="L2471" s="22"/>
      <c r="M2471" s="55"/>
      <c r="N2471" s="23" t="s">
        <v>200</v>
      </c>
      <c r="O2471" s="23" t="s">
        <v>200</v>
      </c>
      <c r="P2471" s="24"/>
      <c r="Q2471" s="23"/>
      <c r="R2471" s="25"/>
      <c r="S2471" s="26"/>
      <c r="T2471" s="16" t="b">
        <v>0</v>
      </c>
    </row>
    <row r="2472">
      <c r="A2472" s="4"/>
      <c r="B2472" s="5"/>
      <c r="C2472" s="13"/>
      <c r="D2472" s="39"/>
      <c r="E2472" s="7"/>
      <c r="F2472" s="34"/>
      <c r="G2472" s="8">
        <v>1899.0</v>
      </c>
      <c r="H2472" s="9"/>
      <c r="I2472" s="9"/>
      <c r="J2472" s="9"/>
      <c r="K2472" s="4"/>
      <c r="L2472" s="10"/>
      <c r="M2472" s="54"/>
      <c r="N2472" s="12" t="s">
        <v>200</v>
      </c>
      <c r="O2472" s="12" t="s">
        <v>200</v>
      </c>
      <c r="P2472" s="13"/>
      <c r="Q2472" s="12"/>
      <c r="R2472" s="14"/>
      <c r="S2472" s="15"/>
      <c r="T2472" s="4" t="b">
        <v>0</v>
      </c>
    </row>
    <row r="2473">
      <c r="A2473" s="16"/>
      <c r="B2473" s="17"/>
      <c r="C2473" s="24"/>
      <c r="D2473" s="44"/>
      <c r="E2473" s="19"/>
      <c r="F2473" s="35"/>
      <c r="G2473" s="20">
        <v>1899.0</v>
      </c>
      <c r="H2473" s="21"/>
      <c r="I2473" s="21"/>
      <c r="J2473" s="21"/>
      <c r="K2473" s="16"/>
      <c r="L2473" s="22"/>
      <c r="M2473" s="55"/>
      <c r="N2473" s="23" t="s">
        <v>200</v>
      </c>
      <c r="O2473" s="23" t="s">
        <v>200</v>
      </c>
      <c r="P2473" s="24"/>
      <c r="Q2473" s="23"/>
      <c r="R2473" s="25"/>
      <c r="S2473" s="26"/>
      <c r="T2473" s="16" t="b">
        <v>0</v>
      </c>
    </row>
    <row r="2474">
      <c r="A2474" s="4"/>
      <c r="B2474" s="5"/>
      <c r="C2474" s="13"/>
      <c r="D2474" s="39"/>
      <c r="E2474" s="7"/>
      <c r="F2474" s="34"/>
      <c r="G2474" s="8">
        <v>1899.0</v>
      </c>
      <c r="H2474" s="9"/>
      <c r="I2474" s="9"/>
      <c r="J2474" s="9"/>
      <c r="K2474" s="4"/>
      <c r="L2474" s="10"/>
      <c r="M2474" s="54"/>
      <c r="N2474" s="12" t="s">
        <v>200</v>
      </c>
      <c r="O2474" s="12" t="s">
        <v>200</v>
      </c>
      <c r="P2474" s="13"/>
      <c r="Q2474" s="12"/>
      <c r="R2474" s="14"/>
      <c r="S2474" s="15"/>
      <c r="T2474" s="4" t="b">
        <v>0</v>
      </c>
    </row>
    <row r="2475">
      <c r="A2475" s="16"/>
      <c r="B2475" s="17"/>
      <c r="C2475" s="24"/>
      <c r="D2475" s="44"/>
      <c r="E2475" s="19"/>
      <c r="F2475" s="35"/>
      <c r="G2475" s="20">
        <v>1899.0</v>
      </c>
      <c r="H2475" s="21"/>
      <c r="I2475" s="21"/>
      <c r="J2475" s="21"/>
      <c r="K2475" s="16"/>
      <c r="L2475" s="22"/>
      <c r="M2475" s="55"/>
      <c r="N2475" s="23" t="s">
        <v>200</v>
      </c>
      <c r="O2475" s="23" t="s">
        <v>200</v>
      </c>
      <c r="P2475" s="24"/>
      <c r="Q2475" s="23"/>
      <c r="R2475" s="25"/>
      <c r="S2475" s="26"/>
      <c r="T2475" s="16" t="b">
        <v>0</v>
      </c>
    </row>
    <row r="2476">
      <c r="A2476" s="4"/>
      <c r="B2476" s="5"/>
      <c r="C2476" s="13"/>
      <c r="D2476" s="39"/>
      <c r="E2476" s="7"/>
      <c r="F2476" s="34"/>
      <c r="G2476" s="8">
        <v>1899.0</v>
      </c>
      <c r="H2476" s="9"/>
      <c r="I2476" s="9"/>
      <c r="J2476" s="9"/>
      <c r="K2476" s="4"/>
      <c r="L2476" s="10"/>
      <c r="M2476" s="54"/>
      <c r="N2476" s="12" t="s">
        <v>200</v>
      </c>
      <c r="O2476" s="12" t="s">
        <v>200</v>
      </c>
      <c r="P2476" s="13"/>
      <c r="Q2476" s="12"/>
      <c r="R2476" s="14"/>
      <c r="S2476" s="15"/>
      <c r="T2476" s="4" t="b">
        <v>0</v>
      </c>
    </row>
    <row r="2477">
      <c r="A2477" s="16"/>
      <c r="B2477" s="17"/>
      <c r="C2477" s="24"/>
      <c r="D2477" s="44"/>
      <c r="E2477" s="19"/>
      <c r="F2477" s="35"/>
      <c r="G2477" s="20">
        <v>1899.0</v>
      </c>
      <c r="H2477" s="21"/>
      <c r="I2477" s="21"/>
      <c r="J2477" s="21"/>
      <c r="K2477" s="16"/>
      <c r="L2477" s="22"/>
      <c r="M2477" s="55"/>
      <c r="N2477" s="23" t="s">
        <v>200</v>
      </c>
      <c r="O2477" s="23" t="s">
        <v>200</v>
      </c>
      <c r="P2477" s="24"/>
      <c r="Q2477" s="23"/>
      <c r="R2477" s="25"/>
      <c r="S2477" s="26"/>
      <c r="T2477" s="16" t="b">
        <v>0</v>
      </c>
    </row>
    <row r="2478">
      <c r="A2478" s="4"/>
      <c r="B2478" s="5"/>
      <c r="C2478" s="13"/>
      <c r="D2478" s="39"/>
      <c r="E2478" s="7"/>
      <c r="F2478" s="34"/>
      <c r="G2478" s="8">
        <v>1899.0</v>
      </c>
      <c r="H2478" s="9"/>
      <c r="I2478" s="9"/>
      <c r="J2478" s="9"/>
      <c r="K2478" s="4"/>
      <c r="L2478" s="10"/>
      <c r="M2478" s="54"/>
      <c r="N2478" s="12" t="s">
        <v>200</v>
      </c>
      <c r="O2478" s="12" t="s">
        <v>200</v>
      </c>
      <c r="P2478" s="13"/>
      <c r="Q2478" s="12"/>
      <c r="R2478" s="14"/>
      <c r="S2478" s="15"/>
      <c r="T2478" s="4" t="b">
        <v>0</v>
      </c>
    </row>
    <row r="2479">
      <c r="A2479" s="16"/>
      <c r="B2479" s="17"/>
      <c r="C2479" s="24"/>
      <c r="D2479" s="44"/>
      <c r="E2479" s="19"/>
      <c r="F2479" s="35"/>
      <c r="G2479" s="20">
        <v>1899.0</v>
      </c>
      <c r="H2479" s="21"/>
      <c r="I2479" s="21"/>
      <c r="J2479" s="21"/>
      <c r="K2479" s="16"/>
      <c r="L2479" s="22"/>
      <c r="M2479" s="55"/>
      <c r="N2479" s="23" t="s">
        <v>200</v>
      </c>
      <c r="O2479" s="23" t="s">
        <v>200</v>
      </c>
      <c r="P2479" s="24"/>
      <c r="Q2479" s="23"/>
      <c r="R2479" s="25"/>
      <c r="S2479" s="26"/>
      <c r="T2479" s="16" t="b">
        <v>0</v>
      </c>
    </row>
    <row r="2480">
      <c r="A2480" s="4"/>
      <c r="B2480" s="5"/>
      <c r="C2480" s="13"/>
      <c r="D2480" s="39"/>
      <c r="E2480" s="7"/>
      <c r="F2480" s="34"/>
      <c r="G2480" s="8">
        <v>1899.0</v>
      </c>
      <c r="H2480" s="9"/>
      <c r="I2480" s="9"/>
      <c r="J2480" s="9"/>
      <c r="K2480" s="4"/>
      <c r="L2480" s="10"/>
      <c r="M2480" s="54"/>
      <c r="N2480" s="12" t="s">
        <v>200</v>
      </c>
      <c r="O2480" s="12" t="s">
        <v>200</v>
      </c>
      <c r="P2480" s="13"/>
      <c r="Q2480" s="12"/>
      <c r="R2480" s="14"/>
      <c r="S2480" s="15"/>
      <c r="T2480" s="4" t="b">
        <v>0</v>
      </c>
    </row>
    <row r="2481">
      <c r="A2481" s="16"/>
      <c r="B2481" s="17"/>
      <c r="C2481" s="24"/>
      <c r="D2481" s="44"/>
      <c r="E2481" s="19"/>
      <c r="F2481" s="35"/>
      <c r="G2481" s="20">
        <v>1899.0</v>
      </c>
      <c r="H2481" s="21"/>
      <c r="I2481" s="21"/>
      <c r="J2481" s="21"/>
      <c r="K2481" s="16"/>
      <c r="L2481" s="22"/>
      <c r="M2481" s="55"/>
      <c r="N2481" s="23" t="s">
        <v>200</v>
      </c>
      <c r="O2481" s="23" t="s">
        <v>200</v>
      </c>
      <c r="P2481" s="24"/>
      <c r="Q2481" s="23"/>
      <c r="R2481" s="25"/>
      <c r="S2481" s="26"/>
      <c r="T2481" s="16" t="b">
        <v>0</v>
      </c>
    </row>
    <row r="2482">
      <c r="A2482" s="4"/>
      <c r="B2482" s="5"/>
      <c r="C2482" s="13"/>
      <c r="D2482" s="39"/>
      <c r="E2482" s="7"/>
      <c r="F2482" s="34"/>
      <c r="G2482" s="8">
        <v>1899.0</v>
      </c>
      <c r="H2482" s="9"/>
      <c r="I2482" s="9"/>
      <c r="J2482" s="9"/>
      <c r="K2482" s="4"/>
      <c r="L2482" s="10"/>
      <c r="M2482" s="54"/>
      <c r="N2482" s="12" t="s">
        <v>200</v>
      </c>
      <c r="O2482" s="12" t="s">
        <v>200</v>
      </c>
      <c r="P2482" s="13"/>
      <c r="Q2482" s="12"/>
      <c r="R2482" s="14"/>
      <c r="S2482" s="15"/>
      <c r="T2482" s="4" t="b">
        <v>0</v>
      </c>
    </row>
    <row r="2483">
      <c r="A2483" s="16"/>
      <c r="B2483" s="17"/>
      <c r="C2483" s="24"/>
      <c r="D2483" s="44"/>
      <c r="E2483" s="19"/>
      <c r="F2483" s="35"/>
      <c r="G2483" s="20">
        <v>1899.0</v>
      </c>
      <c r="H2483" s="21"/>
      <c r="I2483" s="21"/>
      <c r="J2483" s="21"/>
      <c r="K2483" s="16"/>
      <c r="L2483" s="22"/>
      <c r="M2483" s="55"/>
      <c r="N2483" s="23" t="s">
        <v>200</v>
      </c>
      <c r="O2483" s="23" t="s">
        <v>200</v>
      </c>
      <c r="P2483" s="24"/>
      <c r="Q2483" s="23"/>
      <c r="R2483" s="25"/>
      <c r="S2483" s="26"/>
      <c r="T2483" s="16" t="b">
        <v>0</v>
      </c>
    </row>
    <row r="2484">
      <c r="A2484" s="4"/>
      <c r="B2484" s="5"/>
      <c r="C2484" s="13"/>
      <c r="D2484" s="39"/>
      <c r="E2484" s="7"/>
      <c r="F2484" s="34"/>
      <c r="G2484" s="8">
        <v>1899.0</v>
      </c>
      <c r="H2484" s="9"/>
      <c r="I2484" s="9"/>
      <c r="J2484" s="9"/>
      <c r="K2484" s="4"/>
      <c r="L2484" s="10"/>
      <c r="M2484" s="54"/>
      <c r="N2484" s="12" t="s">
        <v>200</v>
      </c>
      <c r="O2484" s="12" t="s">
        <v>200</v>
      </c>
      <c r="P2484" s="13"/>
      <c r="Q2484" s="12"/>
      <c r="R2484" s="14"/>
      <c r="S2484" s="15"/>
      <c r="T2484" s="4" t="b">
        <v>0</v>
      </c>
    </row>
    <row r="2485">
      <c r="A2485" s="16"/>
      <c r="B2485" s="17"/>
      <c r="C2485" s="24"/>
      <c r="D2485" s="44"/>
      <c r="E2485" s="19"/>
      <c r="F2485" s="35"/>
      <c r="G2485" s="20">
        <v>1899.0</v>
      </c>
      <c r="H2485" s="21"/>
      <c r="I2485" s="21"/>
      <c r="J2485" s="21"/>
      <c r="K2485" s="16"/>
      <c r="L2485" s="22"/>
      <c r="M2485" s="55"/>
      <c r="N2485" s="23" t="s">
        <v>200</v>
      </c>
      <c r="O2485" s="23" t="s">
        <v>200</v>
      </c>
      <c r="P2485" s="24"/>
      <c r="Q2485" s="23"/>
      <c r="R2485" s="25"/>
      <c r="S2485" s="26"/>
      <c r="T2485" s="16" t="b">
        <v>0</v>
      </c>
    </row>
    <row r="2486">
      <c r="A2486" s="4"/>
      <c r="B2486" s="5"/>
      <c r="C2486" s="13"/>
      <c r="D2486" s="39"/>
      <c r="E2486" s="7"/>
      <c r="F2486" s="34"/>
      <c r="G2486" s="8">
        <v>1899.0</v>
      </c>
      <c r="H2486" s="9"/>
      <c r="I2486" s="9"/>
      <c r="J2486" s="9"/>
      <c r="K2486" s="4"/>
      <c r="L2486" s="10"/>
      <c r="M2486" s="54"/>
      <c r="N2486" s="12" t="s">
        <v>200</v>
      </c>
      <c r="O2486" s="12" t="s">
        <v>200</v>
      </c>
      <c r="P2486" s="13"/>
      <c r="Q2486" s="12"/>
      <c r="R2486" s="14"/>
      <c r="S2486" s="15"/>
      <c r="T2486" s="4" t="b">
        <v>0</v>
      </c>
    </row>
    <row r="2487">
      <c r="A2487" s="16"/>
      <c r="B2487" s="17"/>
      <c r="C2487" s="24"/>
      <c r="D2487" s="44"/>
      <c r="E2487" s="19"/>
      <c r="F2487" s="35"/>
      <c r="G2487" s="20">
        <v>1899.0</v>
      </c>
      <c r="H2487" s="21"/>
      <c r="I2487" s="21"/>
      <c r="J2487" s="21"/>
      <c r="K2487" s="16"/>
      <c r="L2487" s="22"/>
      <c r="M2487" s="55"/>
      <c r="N2487" s="23" t="s">
        <v>200</v>
      </c>
      <c r="O2487" s="23" t="s">
        <v>200</v>
      </c>
      <c r="P2487" s="24"/>
      <c r="Q2487" s="23"/>
      <c r="R2487" s="25"/>
      <c r="S2487" s="26"/>
      <c r="T2487" s="16" t="b">
        <v>0</v>
      </c>
    </row>
    <row r="2488">
      <c r="A2488" s="4"/>
      <c r="B2488" s="5"/>
      <c r="C2488" s="13"/>
      <c r="D2488" s="39"/>
      <c r="E2488" s="7"/>
      <c r="F2488" s="34"/>
      <c r="G2488" s="8">
        <v>1899.0</v>
      </c>
      <c r="H2488" s="9"/>
      <c r="I2488" s="9"/>
      <c r="J2488" s="9"/>
      <c r="K2488" s="4"/>
      <c r="L2488" s="10"/>
      <c r="M2488" s="54"/>
      <c r="N2488" s="12" t="s">
        <v>200</v>
      </c>
      <c r="O2488" s="12" t="s">
        <v>200</v>
      </c>
      <c r="P2488" s="13"/>
      <c r="Q2488" s="12"/>
      <c r="R2488" s="14"/>
      <c r="S2488" s="15"/>
      <c r="T2488" s="4" t="b">
        <v>0</v>
      </c>
    </row>
    <row r="2489">
      <c r="A2489" s="16"/>
      <c r="B2489" s="17"/>
      <c r="C2489" s="24"/>
      <c r="D2489" s="44"/>
      <c r="E2489" s="19"/>
      <c r="F2489" s="35"/>
      <c r="G2489" s="20">
        <v>1899.0</v>
      </c>
      <c r="H2489" s="21"/>
      <c r="I2489" s="21"/>
      <c r="J2489" s="21"/>
      <c r="K2489" s="16"/>
      <c r="L2489" s="22"/>
      <c r="M2489" s="55"/>
      <c r="N2489" s="23" t="s">
        <v>200</v>
      </c>
      <c r="O2489" s="23" t="s">
        <v>200</v>
      </c>
      <c r="P2489" s="24"/>
      <c r="Q2489" s="23"/>
      <c r="R2489" s="25"/>
      <c r="S2489" s="26"/>
      <c r="T2489" s="16" t="b">
        <v>0</v>
      </c>
    </row>
    <row r="2490">
      <c r="A2490" s="4"/>
      <c r="B2490" s="5"/>
      <c r="C2490" s="13"/>
      <c r="D2490" s="39"/>
      <c r="E2490" s="7"/>
      <c r="F2490" s="34"/>
      <c r="G2490" s="8">
        <v>1899.0</v>
      </c>
      <c r="H2490" s="9"/>
      <c r="I2490" s="9"/>
      <c r="J2490" s="9"/>
      <c r="K2490" s="4"/>
      <c r="L2490" s="10"/>
      <c r="M2490" s="54"/>
      <c r="N2490" s="12" t="s">
        <v>200</v>
      </c>
      <c r="O2490" s="12" t="s">
        <v>200</v>
      </c>
      <c r="P2490" s="13"/>
      <c r="Q2490" s="12"/>
      <c r="R2490" s="14"/>
      <c r="S2490" s="15"/>
      <c r="T2490" s="4" t="b">
        <v>0</v>
      </c>
    </row>
    <row r="2491">
      <c r="A2491" s="16"/>
      <c r="B2491" s="17"/>
      <c r="C2491" s="24"/>
      <c r="D2491" s="44"/>
      <c r="E2491" s="19"/>
      <c r="F2491" s="35"/>
      <c r="G2491" s="20">
        <v>1899.0</v>
      </c>
      <c r="H2491" s="21"/>
      <c r="I2491" s="21"/>
      <c r="J2491" s="21"/>
      <c r="K2491" s="16"/>
      <c r="L2491" s="22"/>
      <c r="M2491" s="55"/>
      <c r="N2491" s="23" t="s">
        <v>200</v>
      </c>
      <c r="O2491" s="23" t="s">
        <v>200</v>
      </c>
      <c r="P2491" s="24"/>
      <c r="Q2491" s="23"/>
      <c r="R2491" s="25"/>
      <c r="S2491" s="26"/>
      <c r="T2491" s="16" t="b">
        <v>0</v>
      </c>
    </row>
    <row r="2492">
      <c r="A2492" s="4"/>
      <c r="B2492" s="5"/>
      <c r="C2492" s="13"/>
      <c r="D2492" s="39"/>
      <c r="E2492" s="7"/>
      <c r="F2492" s="34"/>
      <c r="G2492" s="8">
        <v>1899.0</v>
      </c>
      <c r="H2492" s="9"/>
      <c r="I2492" s="9"/>
      <c r="J2492" s="9"/>
      <c r="K2492" s="4"/>
      <c r="L2492" s="10"/>
      <c r="M2492" s="54"/>
      <c r="N2492" s="12" t="s">
        <v>200</v>
      </c>
      <c r="O2492" s="12" t="s">
        <v>200</v>
      </c>
      <c r="P2492" s="13"/>
      <c r="Q2492" s="12"/>
      <c r="R2492" s="14"/>
      <c r="S2492" s="15"/>
      <c r="T2492" s="4" t="b">
        <v>0</v>
      </c>
    </row>
    <row r="2493">
      <c r="A2493" s="16"/>
      <c r="B2493" s="17"/>
      <c r="C2493" s="24"/>
      <c r="D2493" s="44"/>
      <c r="E2493" s="19"/>
      <c r="F2493" s="35"/>
      <c r="G2493" s="20">
        <v>1899.0</v>
      </c>
      <c r="H2493" s="21"/>
      <c r="I2493" s="21"/>
      <c r="J2493" s="21"/>
      <c r="K2493" s="16"/>
      <c r="L2493" s="22"/>
      <c r="M2493" s="55"/>
      <c r="N2493" s="23" t="s">
        <v>200</v>
      </c>
      <c r="O2493" s="23" t="s">
        <v>200</v>
      </c>
      <c r="P2493" s="24"/>
      <c r="Q2493" s="23"/>
      <c r="R2493" s="25"/>
      <c r="S2493" s="26"/>
      <c r="T2493" s="16" t="b">
        <v>0</v>
      </c>
    </row>
    <row r="2494">
      <c r="A2494" s="4"/>
      <c r="B2494" s="5"/>
      <c r="C2494" s="13"/>
      <c r="D2494" s="39"/>
      <c r="E2494" s="7"/>
      <c r="F2494" s="34"/>
      <c r="G2494" s="8">
        <v>1899.0</v>
      </c>
      <c r="H2494" s="9"/>
      <c r="I2494" s="9"/>
      <c r="J2494" s="9"/>
      <c r="K2494" s="4"/>
      <c r="L2494" s="10"/>
      <c r="M2494" s="54"/>
      <c r="N2494" s="12" t="s">
        <v>200</v>
      </c>
      <c r="O2494" s="12" t="s">
        <v>200</v>
      </c>
      <c r="P2494" s="13"/>
      <c r="Q2494" s="12"/>
      <c r="R2494" s="14"/>
      <c r="S2494" s="15"/>
      <c r="T2494" s="4" t="b">
        <v>0</v>
      </c>
    </row>
    <row r="2495">
      <c r="A2495" s="16"/>
      <c r="B2495" s="17"/>
      <c r="C2495" s="24"/>
      <c r="D2495" s="44"/>
      <c r="E2495" s="19"/>
      <c r="F2495" s="35"/>
      <c r="G2495" s="20">
        <v>1899.0</v>
      </c>
      <c r="H2495" s="21"/>
      <c r="I2495" s="21"/>
      <c r="J2495" s="21"/>
      <c r="K2495" s="16"/>
      <c r="L2495" s="22"/>
      <c r="M2495" s="55"/>
      <c r="N2495" s="23" t="s">
        <v>200</v>
      </c>
      <c r="O2495" s="23" t="s">
        <v>200</v>
      </c>
      <c r="P2495" s="24"/>
      <c r="Q2495" s="23"/>
      <c r="R2495" s="25"/>
      <c r="S2495" s="26"/>
      <c r="T2495" s="16" t="b">
        <v>0</v>
      </c>
    </row>
    <row r="2496">
      <c r="A2496" s="4"/>
      <c r="B2496" s="5"/>
      <c r="C2496" s="13"/>
      <c r="D2496" s="39"/>
      <c r="E2496" s="7"/>
      <c r="F2496" s="34"/>
      <c r="G2496" s="8">
        <v>1899.0</v>
      </c>
      <c r="H2496" s="9"/>
      <c r="I2496" s="9"/>
      <c r="J2496" s="9"/>
      <c r="K2496" s="4"/>
      <c r="L2496" s="10"/>
      <c r="M2496" s="54"/>
      <c r="N2496" s="12" t="s">
        <v>200</v>
      </c>
      <c r="O2496" s="12" t="s">
        <v>200</v>
      </c>
      <c r="P2496" s="13"/>
      <c r="Q2496" s="12"/>
      <c r="R2496" s="14"/>
      <c r="S2496" s="15"/>
      <c r="T2496" s="4" t="b">
        <v>0</v>
      </c>
    </row>
    <row r="2497">
      <c r="A2497" s="16"/>
      <c r="B2497" s="17"/>
      <c r="C2497" s="24"/>
      <c r="D2497" s="44"/>
      <c r="E2497" s="19"/>
      <c r="F2497" s="35"/>
      <c r="G2497" s="20">
        <v>1899.0</v>
      </c>
      <c r="H2497" s="21"/>
      <c r="I2497" s="21"/>
      <c r="J2497" s="21"/>
      <c r="K2497" s="16"/>
      <c r="L2497" s="22"/>
      <c r="M2497" s="55"/>
      <c r="N2497" s="23" t="s">
        <v>200</v>
      </c>
      <c r="O2497" s="23" t="s">
        <v>200</v>
      </c>
      <c r="P2497" s="24"/>
      <c r="Q2497" s="23"/>
      <c r="R2497" s="25"/>
      <c r="S2497" s="26"/>
      <c r="T2497" s="16" t="b">
        <v>0</v>
      </c>
    </row>
    <row r="2498">
      <c r="A2498" s="4"/>
      <c r="B2498" s="5"/>
      <c r="C2498" s="13"/>
      <c r="D2498" s="39"/>
      <c r="E2498" s="7"/>
      <c r="F2498" s="34"/>
      <c r="G2498" s="8">
        <v>1899.0</v>
      </c>
      <c r="H2498" s="9"/>
      <c r="I2498" s="9"/>
      <c r="J2498" s="9"/>
      <c r="K2498" s="4"/>
      <c r="L2498" s="10"/>
      <c r="M2498" s="54"/>
      <c r="N2498" s="12" t="s">
        <v>200</v>
      </c>
      <c r="O2498" s="12" t="s">
        <v>200</v>
      </c>
      <c r="P2498" s="13"/>
      <c r="Q2498" s="12"/>
      <c r="R2498" s="14"/>
      <c r="S2498" s="15"/>
      <c r="T2498" s="4" t="b">
        <v>0</v>
      </c>
    </row>
    <row r="2499">
      <c r="A2499" s="16"/>
      <c r="B2499" s="17"/>
      <c r="C2499" s="24"/>
      <c r="D2499" s="44"/>
      <c r="E2499" s="19"/>
      <c r="F2499" s="35"/>
      <c r="G2499" s="20">
        <v>1899.0</v>
      </c>
      <c r="H2499" s="21"/>
      <c r="I2499" s="21"/>
      <c r="J2499" s="21"/>
      <c r="K2499" s="16"/>
      <c r="L2499" s="22"/>
      <c r="M2499" s="55"/>
      <c r="N2499" s="23" t="s">
        <v>200</v>
      </c>
      <c r="O2499" s="23" t="s">
        <v>200</v>
      </c>
      <c r="P2499" s="24"/>
      <c r="Q2499" s="23"/>
      <c r="R2499" s="25"/>
      <c r="S2499" s="26"/>
      <c r="T2499" s="16" t="b">
        <v>0</v>
      </c>
    </row>
    <row r="2500">
      <c r="A2500" s="4"/>
      <c r="B2500" s="5"/>
      <c r="C2500" s="13"/>
      <c r="D2500" s="39"/>
      <c r="E2500" s="7"/>
      <c r="F2500" s="34"/>
      <c r="G2500" s="8">
        <v>1899.0</v>
      </c>
      <c r="H2500" s="9"/>
      <c r="I2500" s="9"/>
      <c r="J2500" s="9"/>
      <c r="K2500" s="4"/>
      <c r="L2500" s="10"/>
      <c r="M2500" s="54"/>
      <c r="N2500" s="12" t="s">
        <v>200</v>
      </c>
      <c r="O2500" s="12" t="s">
        <v>200</v>
      </c>
      <c r="P2500" s="13"/>
      <c r="Q2500" s="12"/>
      <c r="R2500" s="14"/>
      <c r="S2500" s="15"/>
      <c r="T2500" s="4" t="b">
        <v>0</v>
      </c>
    </row>
    <row r="2501">
      <c r="A2501" s="16"/>
      <c r="B2501" s="17"/>
      <c r="C2501" s="24"/>
      <c r="D2501" s="44"/>
      <c r="E2501" s="19"/>
      <c r="F2501" s="35"/>
      <c r="G2501" s="20">
        <v>1899.0</v>
      </c>
      <c r="H2501" s="21"/>
      <c r="I2501" s="21"/>
      <c r="J2501" s="21"/>
      <c r="K2501" s="16"/>
      <c r="L2501" s="22"/>
      <c r="M2501" s="55"/>
      <c r="N2501" s="23" t="s">
        <v>200</v>
      </c>
      <c r="O2501" s="23" t="s">
        <v>200</v>
      </c>
      <c r="P2501" s="24"/>
      <c r="Q2501" s="23"/>
      <c r="R2501" s="25"/>
      <c r="S2501" s="26"/>
      <c r="T2501" s="16" t="b">
        <v>0</v>
      </c>
    </row>
    <row r="2502">
      <c r="A2502" s="4"/>
      <c r="B2502" s="5"/>
      <c r="C2502" s="13"/>
      <c r="D2502" s="39"/>
      <c r="E2502" s="7"/>
      <c r="F2502" s="34"/>
      <c r="G2502" s="8">
        <v>1899.0</v>
      </c>
      <c r="H2502" s="9"/>
      <c r="I2502" s="9"/>
      <c r="J2502" s="9"/>
      <c r="K2502" s="4"/>
      <c r="L2502" s="10"/>
      <c r="M2502" s="54"/>
      <c r="N2502" s="12" t="s">
        <v>200</v>
      </c>
      <c r="O2502" s="12" t="s">
        <v>200</v>
      </c>
      <c r="P2502" s="13"/>
      <c r="Q2502" s="12"/>
      <c r="R2502" s="14"/>
      <c r="S2502" s="15"/>
      <c r="T2502" s="4" t="b">
        <v>0</v>
      </c>
    </row>
    <row r="2503">
      <c r="A2503" s="16"/>
      <c r="B2503" s="17"/>
      <c r="C2503" s="24"/>
      <c r="D2503" s="44"/>
      <c r="E2503" s="19"/>
      <c r="F2503" s="35"/>
      <c r="G2503" s="20">
        <v>1899.0</v>
      </c>
      <c r="H2503" s="21"/>
      <c r="I2503" s="21"/>
      <c r="J2503" s="21"/>
      <c r="K2503" s="16"/>
      <c r="L2503" s="22"/>
      <c r="M2503" s="55"/>
      <c r="N2503" s="23" t="s">
        <v>200</v>
      </c>
      <c r="O2503" s="23" t="s">
        <v>200</v>
      </c>
      <c r="P2503" s="24"/>
      <c r="Q2503" s="23"/>
      <c r="R2503" s="25"/>
      <c r="S2503" s="26"/>
      <c r="T2503" s="16" t="b">
        <v>0</v>
      </c>
    </row>
    <row r="2504">
      <c r="A2504" s="4"/>
      <c r="B2504" s="5"/>
      <c r="C2504" s="13"/>
      <c r="D2504" s="39"/>
      <c r="E2504" s="7"/>
      <c r="F2504" s="34"/>
      <c r="G2504" s="8">
        <v>1899.0</v>
      </c>
      <c r="H2504" s="9"/>
      <c r="I2504" s="9"/>
      <c r="J2504" s="9"/>
      <c r="K2504" s="4"/>
      <c r="L2504" s="10"/>
      <c r="M2504" s="54"/>
      <c r="N2504" s="12" t="s">
        <v>200</v>
      </c>
      <c r="O2504" s="12" t="s">
        <v>200</v>
      </c>
      <c r="P2504" s="13"/>
      <c r="Q2504" s="12"/>
      <c r="R2504" s="14"/>
      <c r="S2504" s="15"/>
      <c r="T2504" s="4" t="b">
        <v>0</v>
      </c>
    </row>
    <row r="2505">
      <c r="A2505" s="16"/>
      <c r="B2505" s="17"/>
      <c r="C2505" s="24"/>
      <c r="D2505" s="44"/>
      <c r="E2505" s="19"/>
      <c r="F2505" s="35"/>
      <c r="G2505" s="20">
        <v>1899.0</v>
      </c>
      <c r="H2505" s="21"/>
      <c r="I2505" s="21"/>
      <c r="J2505" s="21"/>
      <c r="K2505" s="16"/>
      <c r="L2505" s="22"/>
      <c r="M2505" s="55"/>
      <c r="N2505" s="23" t="s">
        <v>200</v>
      </c>
      <c r="O2505" s="23" t="s">
        <v>200</v>
      </c>
      <c r="P2505" s="24"/>
      <c r="Q2505" s="23"/>
      <c r="R2505" s="25"/>
      <c r="S2505" s="26"/>
      <c r="T2505" s="16" t="b">
        <v>0</v>
      </c>
    </row>
    <row r="2506">
      <c r="A2506" s="4"/>
      <c r="B2506" s="5"/>
      <c r="C2506" s="13"/>
      <c r="D2506" s="39"/>
      <c r="E2506" s="7"/>
      <c r="F2506" s="34"/>
      <c r="G2506" s="8">
        <v>1899.0</v>
      </c>
      <c r="H2506" s="9"/>
      <c r="I2506" s="9"/>
      <c r="J2506" s="9"/>
      <c r="K2506" s="4"/>
      <c r="L2506" s="10"/>
      <c r="M2506" s="54"/>
      <c r="N2506" s="12" t="s">
        <v>200</v>
      </c>
      <c r="O2506" s="12" t="s">
        <v>200</v>
      </c>
      <c r="P2506" s="13"/>
      <c r="Q2506" s="12"/>
      <c r="R2506" s="14"/>
      <c r="S2506" s="15"/>
      <c r="T2506" s="4" t="b">
        <v>0</v>
      </c>
    </row>
    <row r="2507">
      <c r="A2507" s="16"/>
      <c r="B2507" s="17"/>
      <c r="C2507" s="24"/>
      <c r="D2507" s="44"/>
      <c r="E2507" s="19"/>
      <c r="F2507" s="35"/>
      <c r="G2507" s="20">
        <v>1899.0</v>
      </c>
      <c r="H2507" s="21"/>
      <c r="I2507" s="21"/>
      <c r="J2507" s="21"/>
      <c r="K2507" s="16"/>
      <c r="L2507" s="22"/>
      <c r="M2507" s="55"/>
      <c r="N2507" s="23" t="s">
        <v>200</v>
      </c>
      <c r="O2507" s="23" t="s">
        <v>200</v>
      </c>
      <c r="P2507" s="24"/>
      <c r="Q2507" s="23"/>
      <c r="R2507" s="25"/>
      <c r="S2507" s="26"/>
      <c r="T2507" s="16" t="b">
        <v>0</v>
      </c>
    </row>
    <row r="2508">
      <c r="A2508" s="4"/>
      <c r="B2508" s="5"/>
      <c r="C2508" s="13"/>
      <c r="D2508" s="39"/>
      <c r="E2508" s="7"/>
      <c r="F2508" s="34"/>
      <c r="G2508" s="8">
        <v>1899.0</v>
      </c>
      <c r="H2508" s="9"/>
      <c r="I2508" s="9"/>
      <c r="J2508" s="9"/>
      <c r="K2508" s="4"/>
      <c r="L2508" s="10"/>
      <c r="M2508" s="54"/>
      <c r="N2508" s="12" t="s">
        <v>200</v>
      </c>
      <c r="O2508" s="12" t="s">
        <v>200</v>
      </c>
      <c r="P2508" s="13"/>
      <c r="Q2508" s="12"/>
      <c r="R2508" s="14"/>
      <c r="S2508" s="15"/>
      <c r="T2508" s="4" t="b">
        <v>0</v>
      </c>
    </row>
    <row r="2509">
      <c r="A2509" s="16"/>
      <c r="B2509" s="17"/>
      <c r="C2509" s="24"/>
      <c r="D2509" s="44"/>
      <c r="E2509" s="19"/>
      <c r="F2509" s="35"/>
      <c r="G2509" s="20">
        <v>1899.0</v>
      </c>
      <c r="H2509" s="21"/>
      <c r="I2509" s="21"/>
      <c r="J2509" s="21"/>
      <c r="K2509" s="16"/>
      <c r="L2509" s="22"/>
      <c r="M2509" s="55"/>
      <c r="N2509" s="23" t="s">
        <v>200</v>
      </c>
      <c r="O2509" s="23" t="s">
        <v>200</v>
      </c>
      <c r="P2509" s="24"/>
      <c r="Q2509" s="23"/>
      <c r="R2509" s="25"/>
      <c r="S2509" s="26"/>
      <c r="T2509" s="16" t="b">
        <v>0</v>
      </c>
    </row>
    <row r="2510">
      <c r="A2510" s="4"/>
      <c r="B2510" s="5"/>
      <c r="C2510" s="13"/>
      <c r="D2510" s="39"/>
      <c r="E2510" s="7"/>
      <c r="F2510" s="34"/>
      <c r="G2510" s="8">
        <v>1899.0</v>
      </c>
      <c r="H2510" s="9"/>
      <c r="I2510" s="9"/>
      <c r="J2510" s="9"/>
      <c r="K2510" s="4"/>
      <c r="L2510" s="10"/>
      <c r="M2510" s="54"/>
      <c r="N2510" s="12" t="s">
        <v>200</v>
      </c>
      <c r="O2510" s="12" t="s">
        <v>200</v>
      </c>
      <c r="P2510" s="13"/>
      <c r="Q2510" s="12"/>
      <c r="R2510" s="14"/>
      <c r="S2510" s="15"/>
      <c r="T2510" s="4" t="b">
        <v>0</v>
      </c>
    </row>
    <row r="2511">
      <c r="A2511" s="16"/>
      <c r="B2511" s="17"/>
      <c r="C2511" s="24"/>
      <c r="D2511" s="44"/>
      <c r="E2511" s="19"/>
      <c r="F2511" s="35"/>
      <c r="G2511" s="20">
        <v>1899.0</v>
      </c>
      <c r="H2511" s="21"/>
      <c r="I2511" s="21"/>
      <c r="J2511" s="21"/>
      <c r="K2511" s="16"/>
      <c r="L2511" s="22"/>
      <c r="M2511" s="55"/>
      <c r="N2511" s="23" t="s">
        <v>200</v>
      </c>
      <c r="O2511" s="23" t="s">
        <v>200</v>
      </c>
      <c r="P2511" s="24"/>
      <c r="Q2511" s="23"/>
      <c r="R2511" s="25"/>
      <c r="S2511" s="26"/>
      <c r="T2511" s="16" t="b">
        <v>0</v>
      </c>
    </row>
    <row r="2512">
      <c r="A2512" s="4"/>
      <c r="B2512" s="5"/>
      <c r="C2512" s="13"/>
      <c r="D2512" s="39"/>
      <c r="E2512" s="7"/>
      <c r="F2512" s="34"/>
      <c r="G2512" s="8">
        <v>1899.0</v>
      </c>
      <c r="H2512" s="9"/>
      <c r="I2512" s="9"/>
      <c r="J2512" s="9"/>
      <c r="K2512" s="4"/>
      <c r="L2512" s="10"/>
      <c r="M2512" s="54"/>
      <c r="N2512" s="12" t="s">
        <v>200</v>
      </c>
      <c r="O2512" s="12" t="s">
        <v>200</v>
      </c>
      <c r="P2512" s="13"/>
      <c r="Q2512" s="12"/>
      <c r="R2512" s="14"/>
      <c r="S2512" s="15"/>
      <c r="T2512" s="4" t="b">
        <v>0</v>
      </c>
    </row>
    <row r="2513">
      <c r="A2513" s="16"/>
      <c r="B2513" s="17"/>
      <c r="C2513" s="24"/>
      <c r="D2513" s="44"/>
      <c r="E2513" s="19"/>
      <c r="F2513" s="35"/>
      <c r="G2513" s="20">
        <v>1899.0</v>
      </c>
      <c r="H2513" s="21"/>
      <c r="I2513" s="21"/>
      <c r="J2513" s="21"/>
      <c r="K2513" s="16"/>
      <c r="L2513" s="22"/>
      <c r="M2513" s="55"/>
      <c r="N2513" s="23" t="s">
        <v>200</v>
      </c>
      <c r="O2513" s="23" t="s">
        <v>200</v>
      </c>
      <c r="P2513" s="24"/>
      <c r="Q2513" s="23"/>
      <c r="R2513" s="25"/>
      <c r="S2513" s="26"/>
      <c r="T2513" s="16" t="b">
        <v>0</v>
      </c>
    </row>
    <row r="2514">
      <c r="A2514" s="4"/>
      <c r="B2514" s="5"/>
      <c r="C2514" s="13"/>
      <c r="D2514" s="39"/>
      <c r="E2514" s="7"/>
      <c r="F2514" s="34"/>
      <c r="G2514" s="8">
        <v>1899.0</v>
      </c>
      <c r="H2514" s="9"/>
      <c r="I2514" s="9"/>
      <c r="J2514" s="9"/>
      <c r="K2514" s="4"/>
      <c r="L2514" s="10"/>
      <c r="M2514" s="54"/>
      <c r="N2514" s="12" t="s">
        <v>200</v>
      </c>
      <c r="O2514" s="12" t="s">
        <v>200</v>
      </c>
      <c r="P2514" s="13"/>
      <c r="Q2514" s="12"/>
      <c r="R2514" s="14"/>
      <c r="S2514" s="15"/>
      <c r="T2514" s="4" t="b">
        <v>0</v>
      </c>
    </row>
    <row r="2515">
      <c r="A2515" s="16"/>
      <c r="B2515" s="17"/>
      <c r="C2515" s="24"/>
      <c r="D2515" s="44"/>
      <c r="E2515" s="19"/>
      <c r="F2515" s="35"/>
      <c r="G2515" s="20">
        <v>1899.0</v>
      </c>
      <c r="H2515" s="21"/>
      <c r="I2515" s="21"/>
      <c r="J2515" s="21"/>
      <c r="K2515" s="16"/>
      <c r="L2515" s="22"/>
      <c r="M2515" s="55"/>
      <c r="N2515" s="23" t="s">
        <v>200</v>
      </c>
      <c r="O2515" s="23" t="s">
        <v>200</v>
      </c>
      <c r="P2515" s="24"/>
      <c r="Q2515" s="23"/>
      <c r="R2515" s="25"/>
      <c r="S2515" s="26"/>
      <c r="T2515" s="16" t="b">
        <v>0</v>
      </c>
    </row>
    <row r="2516">
      <c r="A2516" s="4"/>
      <c r="B2516" s="5"/>
      <c r="C2516" s="13"/>
      <c r="D2516" s="39"/>
      <c r="E2516" s="7"/>
      <c r="F2516" s="34"/>
      <c r="G2516" s="8">
        <v>1899.0</v>
      </c>
      <c r="H2516" s="9"/>
      <c r="I2516" s="9"/>
      <c r="J2516" s="9"/>
      <c r="K2516" s="4"/>
      <c r="L2516" s="10"/>
      <c r="M2516" s="54"/>
      <c r="N2516" s="12" t="s">
        <v>200</v>
      </c>
      <c r="O2516" s="12" t="s">
        <v>200</v>
      </c>
      <c r="P2516" s="13"/>
      <c r="Q2516" s="12"/>
      <c r="R2516" s="14"/>
      <c r="S2516" s="15"/>
      <c r="T2516" s="4" t="b">
        <v>0</v>
      </c>
    </row>
    <row r="2517">
      <c r="A2517" s="16"/>
      <c r="B2517" s="17"/>
      <c r="C2517" s="24"/>
      <c r="D2517" s="44"/>
      <c r="E2517" s="19"/>
      <c r="F2517" s="35"/>
      <c r="G2517" s="20">
        <v>1899.0</v>
      </c>
      <c r="H2517" s="21"/>
      <c r="I2517" s="21"/>
      <c r="J2517" s="21"/>
      <c r="K2517" s="16"/>
      <c r="L2517" s="22"/>
      <c r="M2517" s="55"/>
      <c r="N2517" s="23" t="s">
        <v>200</v>
      </c>
      <c r="O2517" s="23" t="s">
        <v>200</v>
      </c>
      <c r="P2517" s="24"/>
      <c r="Q2517" s="23"/>
      <c r="R2517" s="25"/>
      <c r="S2517" s="26"/>
      <c r="T2517" s="16" t="b">
        <v>0</v>
      </c>
    </row>
    <row r="2518">
      <c r="A2518" s="4"/>
      <c r="B2518" s="5"/>
      <c r="C2518" s="13"/>
      <c r="D2518" s="39"/>
      <c r="E2518" s="7"/>
      <c r="F2518" s="34"/>
      <c r="G2518" s="8">
        <v>1899.0</v>
      </c>
      <c r="H2518" s="9"/>
      <c r="I2518" s="9"/>
      <c r="J2518" s="9"/>
      <c r="K2518" s="4"/>
      <c r="L2518" s="10"/>
      <c r="M2518" s="54"/>
      <c r="N2518" s="12" t="s">
        <v>200</v>
      </c>
      <c r="O2518" s="12" t="s">
        <v>200</v>
      </c>
      <c r="P2518" s="13"/>
      <c r="Q2518" s="12"/>
      <c r="R2518" s="14"/>
      <c r="S2518" s="15"/>
      <c r="T2518" s="4" t="b">
        <v>0</v>
      </c>
    </row>
    <row r="2519">
      <c r="A2519" s="16"/>
      <c r="B2519" s="17"/>
      <c r="C2519" s="24"/>
      <c r="D2519" s="44"/>
      <c r="E2519" s="19"/>
      <c r="F2519" s="35"/>
      <c r="G2519" s="20">
        <v>1899.0</v>
      </c>
      <c r="H2519" s="21"/>
      <c r="I2519" s="21"/>
      <c r="J2519" s="21"/>
      <c r="K2519" s="16"/>
      <c r="L2519" s="22"/>
      <c r="M2519" s="55"/>
      <c r="N2519" s="23" t="s">
        <v>200</v>
      </c>
      <c r="O2519" s="23" t="s">
        <v>200</v>
      </c>
      <c r="P2519" s="24"/>
      <c r="Q2519" s="23"/>
      <c r="R2519" s="25"/>
      <c r="S2519" s="26"/>
      <c r="T2519" s="16" t="b">
        <v>0</v>
      </c>
    </row>
    <row r="2520">
      <c r="A2520" s="4"/>
      <c r="B2520" s="5"/>
      <c r="C2520" s="13"/>
      <c r="D2520" s="39"/>
      <c r="E2520" s="7"/>
      <c r="F2520" s="34"/>
      <c r="G2520" s="8">
        <v>1899.0</v>
      </c>
      <c r="H2520" s="9"/>
      <c r="I2520" s="9"/>
      <c r="J2520" s="9"/>
      <c r="K2520" s="4"/>
      <c r="L2520" s="10"/>
      <c r="M2520" s="54"/>
      <c r="N2520" s="12" t="s">
        <v>200</v>
      </c>
      <c r="O2520" s="12" t="s">
        <v>200</v>
      </c>
      <c r="P2520" s="13"/>
      <c r="Q2520" s="12"/>
      <c r="R2520" s="14"/>
      <c r="S2520" s="15"/>
      <c r="T2520" s="4" t="b">
        <v>0</v>
      </c>
    </row>
    <row r="2521">
      <c r="A2521" s="16"/>
      <c r="B2521" s="17"/>
      <c r="C2521" s="24"/>
      <c r="D2521" s="44"/>
      <c r="E2521" s="19"/>
      <c r="F2521" s="35"/>
      <c r="G2521" s="20">
        <v>1899.0</v>
      </c>
      <c r="H2521" s="21"/>
      <c r="I2521" s="21"/>
      <c r="J2521" s="21"/>
      <c r="K2521" s="16"/>
      <c r="L2521" s="22"/>
      <c r="M2521" s="55"/>
      <c r="N2521" s="23" t="s">
        <v>200</v>
      </c>
      <c r="O2521" s="23" t="s">
        <v>200</v>
      </c>
      <c r="P2521" s="24"/>
      <c r="Q2521" s="23"/>
      <c r="R2521" s="25"/>
      <c r="S2521" s="26"/>
      <c r="T2521" s="16" t="b">
        <v>0</v>
      </c>
    </row>
    <row r="2522">
      <c r="A2522" s="4"/>
      <c r="B2522" s="5"/>
      <c r="C2522" s="13"/>
      <c r="D2522" s="39"/>
      <c r="E2522" s="7"/>
      <c r="F2522" s="34"/>
      <c r="G2522" s="8">
        <v>1899.0</v>
      </c>
      <c r="H2522" s="9"/>
      <c r="I2522" s="9"/>
      <c r="J2522" s="9"/>
      <c r="K2522" s="4"/>
      <c r="L2522" s="10"/>
      <c r="M2522" s="54"/>
      <c r="N2522" s="12" t="s">
        <v>200</v>
      </c>
      <c r="O2522" s="12" t="s">
        <v>200</v>
      </c>
      <c r="P2522" s="13"/>
      <c r="Q2522" s="12"/>
      <c r="R2522" s="14"/>
      <c r="S2522" s="15"/>
      <c r="T2522" s="4" t="b">
        <v>0</v>
      </c>
    </row>
    <row r="2523">
      <c r="A2523" s="16"/>
      <c r="B2523" s="17"/>
      <c r="C2523" s="24"/>
      <c r="D2523" s="44"/>
      <c r="E2523" s="19"/>
      <c r="F2523" s="35"/>
      <c r="G2523" s="20">
        <v>1899.0</v>
      </c>
      <c r="H2523" s="21"/>
      <c r="I2523" s="21"/>
      <c r="J2523" s="21"/>
      <c r="K2523" s="16"/>
      <c r="L2523" s="22"/>
      <c r="M2523" s="55"/>
      <c r="N2523" s="23" t="s">
        <v>200</v>
      </c>
      <c r="O2523" s="23" t="s">
        <v>200</v>
      </c>
      <c r="P2523" s="24"/>
      <c r="Q2523" s="23"/>
      <c r="R2523" s="25"/>
      <c r="S2523" s="26"/>
      <c r="T2523" s="16" t="b">
        <v>0</v>
      </c>
    </row>
    <row r="2524">
      <c r="A2524" s="4"/>
      <c r="B2524" s="5"/>
      <c r="C2524" s="13"/>
      <c r="D2524" s="39"/>
      <c r="E2524" s="7"/>
      <c r="F2524" s="34"/>
      <c r="G2524" s="8">
        <v>1899.0</v>
      </c>
      <c r="H2524" s="9"/>
      <c r="I2524" s="9"/>
      <c r="J2524" s="9"/>
      <c r="K2524" s="4"/>
      <c r="L2524" s="10"/>
      <c r="M2524" s="54"/>
      <c r="N2524" s="12" t="s">
        <v>200</v>
      </c>
      <c r="O2524" s="12" t="s">
        <v>200</v>
      </c>
      <c r="P2524" s="13"/>
      <c r="Q2524" s="12"/>
      <c r="R2524" s="14"/>
      <c r="S2524" s="15"/>
      <c r="T2524" s="4" t="b">
        <v>0</v>
      </c>
    </row>
    <row r="2525">
      <c r="A2525" s="16"/>
      <c r="B2525" s="17"/>
      <c r="C2525" s="24"/>
      <c r="D2525" s="44"/>
      <c r="E2525" s="19"/>
      <c r="F2525" s="35"/>
      <c r="G2525" s="20">
        <v>1899.0</v>
      </c>
      <c r="H2525" s="21"/>
      <c r="I2525" s="21"/>
      <c r="J2525" s="21"/>
      <c r="K2525" s="16"/>
      <c r="L2525" s="22"/>
      <c r="M2525" s="55"/>
      <c r="N2525" s="23" t="s">
        <v>200</v>
      </c>
      <c r="O2525" s="23" t="s">
        <v>200</v>
      </c>
      <c r="P2525" s="24"/>
      <c r="Q2525" s="23"/>
      <c r="R2525" s="25"/>
      <c r="S2525" s="26"/>
      <c r="T2525" s="16" t="b">
        <v>0</v>
      </c>
    </row>
    <row r="2526">
      <c r="A2526" s="4"/>
      <c r="B2526" s="5"/>
      <c r="C2526" s="13"/>
      <c r="D2526" s="39"/>
      <c r="E2526" s="7"/>
      <c r="F2526" s="34"/>
      <c r="G2526" s="8">
        <v>1899.0</v>
      </c>
      <c r="H2526" s="9"/>
      <c r="I2526" s="9"/>
      <c r="J2526" s="9"/>
      <c r="K2526" s="4"/>
      <c r="L2526" s="10"/>
      <c r="M2526" s="54"/>
      <c r="N2526" s="12" t="s">
        <v>200</v>
      </c>
      <c r="O2526" s="12" t="s">
        <v>200</v>
      </c>
      <c r="P2526" s="13"/>
      <c r="Q2526" s="12"/>
      <c r="R2526" s="14"/>
      <c r="S2526" s="15"/>
      <c r="T2526" s="4" t="b">
        <v>0</v>
      </c>
    </row>
    <row r="2527">
      <c r="A2527" s="16"/>
      <c r="B2527" s="17"/>
      <c r="C2527" s="24"/>
      <c r="D2527" s="44"/>
      <c r="E2527" s="19"/>
      <c r="F2527" s="35"/>
      <c r="G2527" s="20">
        <v>1899.0</v>
      </c>
      <c r="H2527" s="21"/>
      <c r="I2527" s="21"/>
      <c r="J2527" s="21"/>
      <c r="K2527" s="16"/>
      <c r="L2527" s="22"/>
      <c r="M2527" s="55"/>
      <c r="N2527" s="23" t="s">
        <v>200</v>
      </c>
      <c r="O2527" s="23" t="s">
        <v>200</v>
      </c>
      <c r="P2527" s="24"/>
      <c r="Q2527" s="23"/>
      <c r="R2527" s="25"/>
      <c r="S2527" s="26"/>
      <c r="T2527" s="16" t="b">
        <v>0</v>
      </c>
    </row>
    <row r="2528">
      <c r="A2528" s="4"/>
      <c r="B2528" s="5"/>
      <c r="C2528" s="13"/>
      <c r="D2528" s="39"/>
      <c r="E2528" s="7"/>
      <c r="F2528" s="34"/>
      <c r="G2528" s="8">
        <v>1899.0</v>
      </c>
      <c r="H2528" s="9"/>
      <c r="I2528" s="9"/>
      <c r="J2528" s="9"/>
      <c r="K2528" s="4"/>
      <c r="L2528" s="10"/>
      <c r="M2528" s="54"/>
      <c r="N2528" s="12" t="s">
        <v>200</v>
      </c>
      <c r="O2528" s="12" t="s">
        <v>200</v>
      </c>
      <c r="P2528" s="13"/>
      <c r="Q2528" s="12"/>
      <c r="R2528" s="14"/>
      <c r="S2528" s="15"/>
      <c r="T2528" s="4" t="b">
        <v>0</v>
      </c>
    </row>
    <row r="2529">
      <c r="A2529" s="16"/>
      <c r="B2529" s="17"/>
      <c r="C2529" s="24"/>
      <c r="D2529" s="44"/>
      <c r="E2529" s="19"/>
      <c r="F2529" s="35"/>
      <c r="G2529" s="20">
        <v>1899.0</v>
      </c>
      <c r="H2529" s="21"/>
      <c r="I2529" s="21"/>
      <c r="J2529" s="21"/>
      <c r="K2529" s="16"/>
      <c r="L2529" s="22"/>
      <c r="M2529" s="55"/>
      <c r="N2529" s="23" t="s">
        <v>200</v>
      </c>
      <c r="O2529" s="23" t="s">
        <v>200</v>
      </c>
      <c r="P2529" s="24"/>
      <c r="Q2529" s="23"/>
      <c r="R2529" s="25"/>
      <c r="S2529" s="26"/>
      <c r="T2529" s="16" t="b">
        <v>0</v>
      </c>
    </row>
    <row r="2530">
      <c r="A2530" s="4"/>
      <c r="B2530" s="5"/>
      <c r="C2530" s="13"/>
      <c r="D2530" s="39"/>
      <c r="E2530" s="7"/>
      <c r="F2530" s="34"/>
      <c r="G2530" s="8">
        <v>1899.0</v>
      </c>
      <c r="H2530" s="9"/>
      <c r="I2530" s="9"/>
      <c r="J2530" s="9"/>
      <c r="K2530" s="4"/>
      <c r="L2530" s="10"/>
      <c r="M2530" s="54"/>
      <c r="N2530" s="12" t="s">
        <v>200</v>
      </c>
      <c r="O2530" s="12" t="s">
        <v>200</v>
      </c>
      <c r="P2530" s="13"/>
      <c r="Q2530" s="12"/>
      <c r="R2530" s="14"/>
      <c r="S2530" s="15"/>
      <c r="T2530" s="4" t="b">
        <v>0</v>
      </c>
    </row>
    <row r="2531">
      <c r="A2531" s="16"/>
      <c r="B2531" s="17"/>
      <c r="C2531" s="24"/>
      <c r="D2531" s="44"/>
      <c r="E2531" s="19"/>
      <c r="F2531" s="35"/>
      <c r="G2531" s="20">
        <v>1899.0</v>
      </c>
      <c r="H2531" s="21"/>
      <c r="I2531" s="21"/>
      <c r="J2531" s="21"/>
      <c r="K2531" s="16"/>
      <c r="L2531" s="22"/>
      <c r="M2531" s="55"/>
      <c r="N2531" s="23" t="s">
        <v>200</v>
      </c>
      <c r="O2531" s="23" t="s">
        <v>200</v>
      </c>
      <c r="P2531" s="24"/>
      <c r="Q2531" s="23"/>
      <c r="R2531" s="25"/>
      <c r="S2531" s="26"/>
      <c r="T2531" s="16" t="b">
        <v>0</v>
      </c>
    </row>
    <row r="2532">
      <c r="A2532" s="4"/>
      <c r="B2532" s="5"/>
      <c r="C2532" s="13"/>
      <c r="D2532" s="39"/>
      <c r="E2532" s="7"/>
      <c r="F2532" s="34"/>
      <c r="G2532" s="8">
        <v>1899.0</v>
      </c>
      <c r="H2532" s="9"/>
      <c r="I2532" s="9"/>
      <c r="J2532" s="9"/>
      <c r="K2532" s="4"/>
      <c r="L2532" s="10"/>
      <c r="M2532" s="54"/>
      <c r="N2532" s="12" t="s">
        <v>200</v>
      </c>
      <c r="O2532" s="12" t="s">
        <v>200</v>
      </c>
      <c r="P2532" s="13"/>
      <c r="Q2532" s="12"/>
      <c r="R2532" s="14"/>
      <c r="S2532" s="15"/>
      <c r="T2532" s="4" t="b">
        <v>0</v>
      </c>
    </row>
    <row r="2533">
      <c r="A2533" s="16"/>
      <c r="B2533" s="17"/>
      <c r="C2533" s="24"/>
      <c r="D2533" s="44"/>
      <c r="E2533" s="19"/>
      <c r="F2533" s="35"/>
      <c r="G2533" s="20">
        <v>1899.0</v>
      </c>
      <c r="H2533" s="21"/>
      <c r="I2533" s="21"/>
      <c r="J2533" s="21"/>
      <c r="K2533" s="16"/>
      <c r="L2533" s="22"/>
      <c r="M2533" s="55"/>
      <c r="N2533" s="23" t="s">
        <v>200</v>
      </c>
      <c r="O2533" s="23" t="s">
        <v>200</v>
      </c>
      <c r="P2533" s="24"/>
      <c r="Q2533" s="23"/>
      <c r="R2533" s="25"/>
      <c r="S2533" s="26"/>
      <c r="T2533" s="16" t="b">
        <v>0</v>
      </c>
    </row>
    <row r="2534">
      <c r="A2534" s="4"/>
      <c r="B2534" s="5"/>
      <c r="C2534" s="13"/>
      <c r="D2534" s="39"/>
      <c r="E2534" s="7"/>
      <c r="F2534" s="34"/>
      <c r="G2534" s="8">
        <v>1899.0</v>
      </c>
      <c r="H2534" s="9"/>
      <c r="I2534" s="9"/>
      <c r="J2534" s="9"/>
      <c r="K2534" s="4"/>
      <c r="L2534" s="10"/>
      <c r="M2534" s="54"/>
      <c r="N2534" s="12" t="s">
        <v>200</v>
      </c>
      <c r="O2534" s="12" t="s">
        <v>200</v>
      </c>
      <c r="P2534" s="13"/>
      <c r="Q2534" s="12"/>
      <c r="R2534" s="14"/>
      <c r="S2534" s="15"/>
      <c r="T2534" s="4" t="b">
        <v>0</v>
      </c>
    </row>
    <row r="2535">
      <c r="A2535" s="16"/>
      <c r="B2535" s="17"/>
      <c r="C2535" s="24"/>
      <c r="D2535" s="44"/>
      <c r="E2535" s="19"/>
      <c r="F2535" s="35"/>
      <c r="G2535" s="20">
        <v>1899.0</v>
      </c>
      <c r="H2535" s="21"/>
      <c r="I2535" s="21"/>
      <c r="J2535" s="21"/>
      <c r="K2535" s="16"/>
      <c r="L2535" s="22"/>
      <c r="M2535" s="55"/>
      <c r="N2535" s="23" t="s">
        <v>200</v>
      </c>
      <c r="O2535" s="23" t="s">
        <v>200</v>
      </c>
      <c r="P2535" s="24"/>
      <c r="Q2535" s="23"/>
      <c r="R2535" s="25"/>
      <c r="S2535" s="26"/>
      <c r="T2535" s="16" t="b">
        <v>0</v>
      </c>
    </row>
    <row r="2536">
      <c r="A2536" s="4"/>
      <c r="B2536" s="5"/>
      <c r="C2536" s="13"/>
      <c r="D2536" s="39"/>
      <c r="E2536" s="7"/>
      <c r="F2536" s="34"/>
      <c r="G2536" s="8">
        <v>1899.0</v>
      </c>
      <c r="H2536" s="9"/>
      <c r="I2536" s="9"/>
      <c r="J2536" s="9"/>
      <c r="K2536" s="4"/>
      <c r="L2536" s="10"/>
      <c r="M2536" s="54"/>
      <c r="N2536" s="12" t="s">
        <v>200</v>
      </c>
      <c r="O2536" s="12" t="s">
        <v>200</v>
      </c>
      <c r="P2536" s="13"/>
      <c r="Q2536" s="12"/>
      <c r="R2536" s="14"/>
      <c r="S2536" s="15"/>
      <c r="T2536" s="4" t="b">
        <v>0</v>
      </c>
    </row>
    <row r="2537">
      <c r="A2537" s="16"/>
      <c r="B2537" s="17"/>
      <c r="C2537" s="24"/>
      <c r="D2537" s="44"/>
      <c r="E2537" s="19"/>
      <c r="F2537" s="35"/>
      <c r="G2537" s="20">
        <v>1899.0</v>
      </c>
      <c r="H2537" s="21"/>
      <c r="I2537" s="21"/>
      <c r="J2537" s="21"/>
      <c r="K2537" s="16"/>
      <c r="L2537" s="22"/>
      <c r="M2537" s="55"/>
      <c r="N2537" s="23" t="s">
        <v>200</v>
      </c>
      <c r="O2537" s="23" t="s">
        <v>200</v>
      </c>
      <c r="P2537" s="24"/>
      <c r="Q2537" s="23"/>
      <c r="R2537" s="25"/>
      <c r="S2537" s="26"/>
      <c r="T2537" s="16" t="b">
        <v>0</v>
      </c>
    </row>
    <row r="2538">
      <c r="A2538" s="4"/>
      <c r="B2538" s="5"/>
      <c r="C2538" s="13"/>
      <c r="D2538" s="39"/>
      <c r="E2538" s="7"/>
      <c r="F2538" s="34"/>
      <c r="G2538" s="8">
        <v>1899.0</v>
      </c>
      <c r="H2538" s="9"/>
      <c r="I2538" s="9"/>
      <c r="J2538" s="9"/>
      <c r="K2538" s="4"/>
      <c r="L2538" s="10"/>
      <c r="M2538" s="54"/>
      <c r="N2538" s="12" t="s">
        <v>200</v>
      </c>
      <c r="O2538" s="12" t="s">
        <v>200</v>
      </c>
      <c r="P2538" s="13"/>
      <c r="Q2538" s="12"/>
      <c r="R2538" s="14"/>
      <c r="S2538" s="15"/>
      <c r="T2538" s="4" t="b">
        <v>0</v>
      </c>
    </row>
    <row r="2539">
      <c r="A2539" s="16"/>
      <c r="B2539" s="17"/>
      <c r="C2539" s="24"/>
      <c r="D2539" s="44"/>
      <c r="E2539" s="19"/>
      <c r="F2539" s="35"/>
      <c r="G2539" s="20">
        <v>1899.0</v>
      </c>
      <c r="H2539" s="21"/>
      <c r="I2539" s="21"/>
      <c r="J2539" s="21"/>
      <c r="K2539" s="16"/>
      <c r="L2539" s="22"/>
      <c r="M2539" s="55"/>
      <c r="N2539" s="23" t="s">
        <v>200</v>
      </c>
      <c r="O2539" s="23" t="s">
        <v>200</v>
      </c>
      <c r="P2539" s="24"/>
      <c r="Q2539" s="23"/>
      <c r="R2539" s="25"/>
      <c r="S2539" s="26"/>
      <c r="T2539" s="16" t="b">
        <v>0</v>
      </c>
    </row>
    <row r="2540">
      <c r="A2540" s="4"/>
      <c r="B2540" s="5"/>
      <c r="C2540" s="13"/>
      <c r="D2540" s="39"/>
      <c r="E2540" s="7"/>
      <c r="F2540" s="34"/>
      <c r="G2540" s="8">
        <v>1899.0</v>
      </c>
      <c r="H2540" s="9"/>
      <c r="I2540" s="9"/>
      <c r="J2540" s="9"/>
      <c r="K2540" s="4"/>
      <c r="L2540" s="10"/>
      <c r="M2540" s="54"/>
      <c r="N2540" s="12" t="s">
        <v>200</v>
      </c>
      <c r="O2540" s="12" t="s">
        <v>200</v>
      </c>
      <c r="P2540" s="13"/>
      <c r="Q2540" s="12"/>
      <c r="R2540" s="14"/>
      <c r="S2540" s="15"/>
      <c r="T2540" s="4" t="b">
        <v>0</v>
      </c>
    </row>
    <row r="2541">
      <c r="A2541" s="16"/>
      <c r="B2541" s="17"/>
      <c r="C2541" s="24"/>
      <c r="D2541" s="44"/>
      <c r="E2541" s="19"/>
      <c r="F2541" s="35"/>
      <c r="G2541" s="20">
        <v>1899.0</v>
      </c>
      <c r="H2541" s="21"/>
      <c r="I2541" s="21"/>
      <c r="J2541" s="21"/>
      <c r="K2541" s="16"/>
      <c r="L2541" s="22"/>
      <c r="M2541" s="55"/>
      <c r="N2541" s="23" t="s">
        <v>200</v>
      </c>
      <c r="O2541" s="23" t="s">
        <v>200</v>
      </c>
      <c r="P2541" s="24"/>
      <c r="Q2541" s="23"/>
      <c r="R2541" s="25"/>
      <c r="S2541" s="26"/>
      <c r="T2541" s="16" t="b">
        <v>0</v>
      </c>
    </row>
    <row r="2542">
      <c r="A2542" s="4"/>
      <c r="B2542" s="5"/>
      <c r="C2542" s="13"/>
      <c r="D2542" s="39"/>
      <c r="E2542" s="7"/>
      <c r="F2542" s="34"/>
      <c r="G2542" s="8">
        <v>1899.0</v>
      </c>
      <c r="H2542" s="9"/>
      <c r="I2542" s="9"/>
      <c r="J2542" s="9"/>
      <c r="K2542" s="4"/>
      <c r="L2542" s="10"/>
      <c r="M2542" s="54"/>
      <c r="N2542" s="12" t="s">
        <v>200</v>
      </c>
      <c r="O2542" s="12" t="s">
        <v>200</v>
      </c>
      <c r="P2542" s="13"/>
      <c r="Q2542" s="12"/>
      <c r="R2542" s="14"/>
      <c r="S2542" s="15"/>
      <c r="T2542" s="4" t="b">
        <v>0</v>
      </c>
    </row>
    <row r="2543">
      <c r="A2543" s="16"/>
      <c r="B2543" s="17"/>
      <c r="C2543" s="24"/>
      <c r="D2543" s="44"/>
      <c r="E2543" s="19"/>
      <c r="F2543" s="35"/>
      <c r="G2543" s="20">
        <v>1899.0</v>
      </c>
      <c r="H2543" s="21"/>
      <c r="I2543" s="21"/>
      <c r="J2543" s="21"/>
      <c r="K2543" s="16"/>
      <c r="L2543" s="22"/>
      <c r="M2543" s="55"/>
      <c r="N2543" s="23" t="s">
        <v>200</v>
      </c>
      <c r="O2543" s="23" t="s">
        <v>200</v>
      </c>
      <c r="P2543" s="24"/>
      <c r="Q2543" s="23"/>
      <c r="R2543" s="25"/>
      <c r="S2543" s="26"/>
      <c r="T2543" s="16" t="b">
        <v>0</v>
      </c>
    </row>
    <row r="2544">
      <c r="A2544" s="4"/>
      <c r="B2544" s="5"/>
      <c r="C2544" s="13"/>
      <c r="D2544" s="39"/>
      <c r="E2544" s="7"/>
      <c r="F2544" s="34"/>
      <c r="G2544" s="8">
        <v>1899.0</v>
      </c>
      <c r="H2544" s="9"/>
      <c r="I2544" s="9"/>
      <c r="J2544" s="9"/>
      <c r="K2544" s="4"/>
      <c r="L2544" s="10"/>
      <c r="M2544" s="54"/>
      <c r="N2544" s="12" t="s">
        <v>200</v>
      </c>
      <c r="O2544" s="12" t="s">
        <v>200</v>
      </c>
      <c r="P2544" s="13"/>
      <c r="Q2544" s="12"/>
      <c r="R2544" s="14"/>
      <c r="S2544" s="15"/>
      <c r="T2544" s="4" t="b">
        <v>0</v>
      </c>
    </row>
    <row r="2545">
      <c r="A2545" s="16"/>
      <c r="B2545" s="17"/>
      <c r="C2545" s="24"/>
      <c r="D2545" s="44"/>
      <c r="E2545" s="19"/>
      <c r="F2545" s="35"/>
      <c r="G2545" s="20">
        <v>1899.0</v>
      </c>
      <c r="H2545" s="21"/>
      <c r="I2545" s="21"/>
      <c r="J2545" s="21"/>
      <c r="K2545" s="16"/>
      <c r="L2545" s="22"/>
      <c r="M2545" s="55"/>
      <c r="N2545" s="23" t="s">
        <v>200</v>
      </c>
      <c r="O2545" s="23" t="s">
        <v>200</v>
      </c>
      <c r="P2545" s="24"/>
      <c r="Q2545" s="23"/>
      <c r="R2545" s="25"/>
      <c r="S2545" s="26"/>
      <c r="T2545" s="16" t="b">
        <v>0</v>
      </c>
    </row>
    <row r="2546">
      <c r="A2546" s="4"/>
      <c r="B2546" s="5"/>
      <c r="C2546" s="13"/>
      <c r="D2546" s="39"/>
      <c r="E2546" s="7"/>
      <c r="F2546" s="34"/>
      <c r="G2546" s="8">
        <v>1899.0</v>
      </c>
      <c r="H2546" s="9"/>
      <c r="I2546" s="9"/>
      <c r="J2546" s="9"/>
      <c r="K2546" s="4"/>
      <c r="L2546" s="10"/>
      <c r="M2546" s="54"/>
      <c r="N2546" s="12" t="s">
        <v>200</v>
      </c>
      <c r="O2546" s="12" t="s">
        <v>200</v>
      </c>
      <c r="P2546" s="13"/>
      <c r="Q2546" s="12"/>
      <c r="R2546" s="14"/>
      <c r="S2546" s="15"/>
      <c r="T2546" s="4" t="b">
        <v>0</v>
      </c>
    </row>
    <row r="2547">
      <c r="A2547" s="16"/>
      <c r="B2547" s="17"/>
      <c r="C2547" s="24"/>
      <c r="D2547" s="44"/>
      <c r="E2547" s="19"/>
      <c r="F2547" s="35"/>
      <c r="G2547" s="20">
        <v>1899.0</v>
      </c>
      <c r="H2547" s="21"/>
      <c r="I2547" s="21"/>
      <c r="J2547" s="21"/>
      <c r="K2547" s="16"/>
      <c r="L2547" s="22"/>
      <c r="M2547" s="55"/>
      <c r="N2547" s="23" t="s">
        <v>200</v>
      </c>
      <c r="O2547" s="23" t="s">
        <v>200</v>
      </c>
      <c r="P2547" s="24"/>
      <c r="Q2547" s="23"/>
      <c r="R2547" s="25"/>
      <c r="S2547" s="26"/>
      <c r="T2547" s="16" t="b">
        <v>0</v>
      </c>
    </row>
    <row r="2548">
      <c r="A2548" s="4"/>
      <c r="B2548" s="5"/>
      <c r="C2548" s="13"/>
      <c r="D2548" s="39"/>
      <c r="E2548" s="7"/>
      <c r="F2548" s="34"/>
      <c r="G2548" s="8">
        <v>1899.0</v>
      </c>
      <c r="H2548" s="9"/>
      <c r="I2548" s="9"/>
      <c r="J2548" s="9"/>
      <c r="K2548" s="4"/>
      <c r="L2548" s="10"/>
      <c r="M2548" s="54"/>
      <c r="N2548" s="12" t="s">
        <v>200</v>
      </c>
      <c r="O2548" s="12" t="s">
        <v>200</v>
      </c>
      <c r="P2548" s="13"/>
      <c r="Q2548" s="12"/>
      <c r="R2548" s="14"/>
      <c r="S2548" s="15"/>
      <c r="T2548" s="4" t="b">
        <v>0</v>
      </c>
    </row>
    <row r="2549">
      <c r="A2549" s="16"/>
      <c r="B2549" s="17"/>
      <c r="C2549" s="24"/>
      <c r="D2549" s="44"/>
      <c r="E2549" s="19"/>
      <c r="F2549" s="35"/>
      <c r="G2549" s="20">
        <v>1899.0</v>
      </c>
      <c r="H2549" s="21"/>
      <c r="I2549" s="21"/>
      <c r="J2549" s="21"/>
      <c r="K2549" s="16"/>
      <c r="L2549" s="22"/>
      <c r="M2549" s="55"/>
      <c r="N2549" s="23" t="s">
        <v>200</v>
      </c>
      <c r="O2549" s="23" t="s">
        <v>200</v>
      </c>
      <c r="P2549" s="24"/>
      <c r="Q2549" s="23"/>
      <c r="R2549" s="25"/>
      <c r="S2549" s="26"/>
      <c r="T2549" s="16" t="b">
        <v>0</v>
      </c>
    </row>
    <row r="2550">
      <c r="A2550" s="4"/>
      <c r="B2550" s="5"/>
      <c r="C2550" s="13"/>
      <c r="D2550" s="39"/>
      <c r="E2550" s="7"/>
      <c r="F2550" s="34"/>
      <c r="G2550" s="8">
        <v>1899.0</v>
      </c>
      <c r="H2550" s="9"/>
      <c r="I2550" s="9"/>
      <c r="J2550" s="9"/>
      <c r="K2550" s="4"/>
      <c r="L2550" s="10"/>
      <c r="M2550" s="54"/>
      <c r="N2550" s="12" t="s">
        <v>200</v>
      </c>
      <c r="O2550" s="12" t="s">
        <v>200</v>
      </c>
      <c r="P2550" s="13"/>
      <c r="Q2550" s="12"/>
      <c r="R2550" s="14"/>
      <c r="S2550" s="15"/>
      <c r="T2550" s="4" t="b">
        <v>0</v>
      </c>
    </row>
    <row r="2551">
      <c r="A2551" s="16"/>
      <c r="B2551" s="17"/>
      <c r="C2551" s="24"/>
      <c r="D2551" s="44"/>
      <c r="E2551" s="19"/>
      <c r="F2551" s="35"/>
      <c r="G2551" s="20">
        <v>1899.0</v>
      </c>
      <c r="H2551" s="21"/>
      <c r="I2551" s="21"/>
      <c r="J2551" s="21"/>
      <c r="K2551" s="16"/>
      <c r="L2551" s="22"/>
      <c r="M2551" s="55"/>
      <c r="N2551" s="23" t="s">
        <v>200</v>
      </c>
      <c r="O2551" s="23" t="s">
        <v>200</v>
      </c>
      <c r="P2551" s="24"/>
      <c r="Q2551" s="23"/>
      <c r="R2551" s="25"/>
      <c r="S2551" s="26"/>
      <c r="T2551" s="16" t="b">
        <v>0</v>
      </c>
    </row>
    <row r="2552">
      <c r="A2552" s="4"/>
      <c r="B2552" s="5"/>
      <c r="C2552" s="13"/>
      <c r="D2552" s="39"/>
      <c r="E2552" s="7"/>
      <c r="F2552" s="34"/>
      <c r="G2552" s="8">
        <v>1899.0</v>
      </c>
      <c r="H2552" s="9"/>
      <c r="I2552" s="9"/>
      <c r="J2552" s="9"/>
      <c r="K2552" s="4"/>
      <c r="L2552" s="10"/>
      <c r="M2552" s="54"/>
      <c r="N2552" s="12" t="s">
        <v>200</v>
      </c>
      <c r="O2552" s="12" t="s">
        <v>200</v>
      </c>
      <c r="P2552" s="13"/>
      <c r="Q2552" s="12"/>
      <c r="R2552" s="14"/>
      <c r="S2552" s="15"/>
      <c r="T2552" s="4" t="b">
        <v>0</v>
      </c>
    </row>
    <row r="2553">
      <c r="A2553" s="16"/>
      <c r="B2553" s="17"/>
      <c r="C2553" s="24"/>
      <c r="D2553" s="44"/>
      <c r="E2553" s="19"/>
      <c r="F2553" s="35"/>
      <c r="G2553" s="20">
        <v>1899.0</v>
      </c>
      <c r="H2553" s="21"/>
      <c r="I2553" s="21"/>
      <c r="J2553" s="21"/>
      <c r="K2553" s="16"/>
      <c r="L2553" s="22"/>
      <c r="M2553" s="55"/>
      <c r="N2553" s="23" t="s">
        <v>200</v>
      </c>
      <c r="O2553" s="23" t="s">
        <v>200</v>
      </c>
      <c r="P2553" s="24"/>
      <c r="Q2553" s="23"/>
      <c r="R2553" s="25"/>
      <c r="S2553" s="26"/>
      <c r="T2553" s="16" t="b">
        <v>0</v>
      </c>
    </row>
    <row r="2554">
      <c r="A2554" s="4"/>
      <c r="B2554" s="5"/>
      <c r="C2554" s="13"/>
      <c r="D2554" s="39"/>
      <c r="E2554" s="7"/>
      <c r="F2554" s="34"/>
      <c r="G2554" s="8">
        <v>1899.0</v>
      </c>
      <c r="H2554" s="9"/>
      <c r="I2554" s="9"/>
      <c r="J2554" s="9"/>
      <c r="K2554" s="4"/>
      <c r="L2554" s="10"/>
      <c r="M2554" s="54"/>
      <c r="N2554" s="12" t="s">
        <v>200</v>
      </c>
      <c r="O2554" s="12" t="s">
        <v>200</v>
      </c>
      <c r="P2554" s="13"/>
      <c r="Q2554" s="12"/>
      <c r="R2554" s="14"/>
      <c r="S2554" s="15"/>
      <c r="T2554" s="4" t="b">
        <v>0</v>
      </c>
    </row>
    <row r="2555">
      <c r="A2555" s="16"/>
      <c r="B2555" s="17"/>
      <c r="C2555" s="24"/>
      <c r="D2555" s="44"/>
      <c r="E2555" s="19"/>
      <c r="F2555" s="35"/>
      <c r="G2555" s="20">
        <v>1899.0</v>
      </c>
      <c r="H2555" s="21"/>
      <c r="I2555" s="21"/>
      <c r="J2555" s="21"/>
      <c r="K2555" s="16"/>
      <c r="L2555" s="22"/>
      <c r="M2555" s="55"/>
      <c r="N2555" s="23" t="s">
        <v>200</v>
      </c>
      <c r="O2555" s="23" t="s">
        <v>200</v>
      </c>
      <c r="P2555" s="24"/>
      <c r="Q2555" s="23"/>
      <c r="R2555" s="25"/>
      <c r="S2555" s="26"/>
      <c r="T2555" s="16" t="b">
        <v>0</v>
      </c>
    </row>
    <row r="2556">
      <c r="A2556" s="4"/>
      <c r="B2556" s="5"/>
      <c r="C2556" s="13"/>
      <c r="D2556" s="39"/>
      <c r="E2556" s="7"/>
      <c r="F2556" s="34"/>
      <c r="G2556" s="8">
        <v>1899.0</v>
      </c>
      <c r="H2556" s="9"/>
      <c r="I2556" s="9"/>
      <c r="J2556" s="9"/>
      <c r="K2556" s="4"/>
      <c r="L2556" s="10"/>
      <c r="M2556" s="54"/>
      <c r="N2556" s="12" t="s">
        <v>200</v>
      </c>
      <c r="O2556" s="12" t="s">
        <v>200</v>
      </c>
      <c r="P2556" s="13"/>
      <c r="Q2556" s="12"/>
      <c r="R2556" s="14"/>
      <c r="S2556" s="15"/>
      <c r="T2556" s="4" t="b">
        <v>0</v>
      </c>
    </row>
    <row r="2557">
      <c r="A2557" s="16"/>
      <c r="B2557" s="17"/>
      <c r="C2557" s="24"/>
      <c r="D2557" s="44"/>
      <c r="E2557" s="19"/>
      <c r="F2557" s="35"/>
      <c r="G2557" s="20">
        <v>1899.0</v>
      </c>
      <c r="H2557" s="21"/>
      <c r="I2557" s="21"/>
      <c r="J2557" s="21"/>
      <c r="K2557" s="16"/>
      <c r="L2557" s="22"/>
      <c r="M2557" s="55"/>
      <c r="N2557" s="23" t="s">
        <v>200</v>
      </c>
      <c r="O2557" s="23" t="s">
        <v>200</v>
      </c>
      <c r="P2557" s="24"/>
      <c r="Q2557" s="23"/>
      <c r="R2557" s="25"/>
      <c r="S2557" s="26"/>
      <c r="T2557" s="16" t="b">
        <v>0</v>
      </c>
    </row>
    <row r="2558">
      <c r="A2558" s="4"/>
      <c r="B2558" s="5"/>
      <c r="C2558" s="13"/>
      <c r="D2558" s="39"/>
      <c r="E2558" s="7"/>
      <c r="F2558" s="34"/>
      <c r="G2558" s="8">
        <v>1899.0</v>
      </c>
      <c r="H2558" s="9"/>
      <c r="I2558" s="9"/>
      <c r="J2558" s="9"/>
      <c r="K2558" s="4"/>
      <c r="L2558" s="10"/>
      <c r="M2558" s="54"/>
      <c r="N2558" s="12" t="s">
        <v>200</v>
      </c>
      <c r="O2558" s="12" t="s">
        <v>200</v>
      </c>
      <c r="P2558" s="13"/>
      <c r="Q2558" s="12"/>
      <c r="R2558" s="14"/>
      <c r="S2558" s="15"/>
      <c r="T2558" s="4" t="b">
        <v>0</v>
      </c>
    </row>
    <row r="2559">
      <c r="A2559" s="16"/>
      <c r="B2559" s="17"/>
      <c r="C2559" s="24"/>
      <c r="D2559" s="44"/>
      <c r="E2559" s="19"/>
      <c r="F2559" s="35"/>
      <c r="G2559" s="20">
        <v>1899.0</v>
      </c>
      <c r="H2559" s="21"/>
      <c r="I2559" s="21"/>
      <c r="J2559" s="21"/>
      <c r="K2559" s="16"/>
      <c r="L2559" s="22"/>
      <c r="M2559" s="55"/>
      <c r="N2559" s="23" t="s">
        <v>200</v>
      </c>
      <c r="O2559" s="23" t="s">
        <v>200</v>
      </c>
      <c r="P2559" s="24"/>
      <c r="Q2559" s="23"/>
      <c r="R2559" s="25"/>
      <c r="S2559" s="26"/>
      <c r="T2559" s="16" t="b">
        <v>0</v>
      </c>
    </row>
    <row r="2560">
      <c r="A2560" s="4"/>
      <c r="B2560" s="5"/>
      <c r="C2560" s="13"/>
      <c r="D2560" s="39"/>
      <c r="E2560" s="7"/>
      <c r="F2560" s="34"/>
      <c r="G2560" s="8">
        <v>1899.0</v>
      </c>
      <c r="H2560" s="9"/>
      <c r="I2560" s="9"/>
      <c r="J2560" s="9"/>
      <c r="K2560" s="4"/>
      <c r="L2560" s="10"/>
      <c r="M2560" s="54"/>
      <c r="N2560" s="12" t="s">
        <v>200</v>
      </c>
      <c r="O2560" s="12" t="s">
        <v>200</v>
      </c>
      <c r="P2560" s="13"/>
      <c r="Q2560" s="12"/>
      <c r="R2560" s="14"/>
      <c r="S2560" s="15"/>
      <c r="T2560" s="4" t="b">
        <v>0</v>
      </c>
    </row>
    <row r="2561">
      <c r="A2561" s="16"/>
      <c r="B2561" s="17"/>
      <c r="C2561" s="24"/>
      <c r="D2561" s="44"/>
      <c r="E2561" s="19"/>
      <c r="F2561" s="35"/>
      <c r="G2561" s="20">
        <v>1899.0</v>
      </c>
      <c r="H2561" s="21"/>
      <c r="I2561" s="21"/>
      <c r="J2561" s="21"/>
      <c r="K2561" s="16"/>
      <c r="L2561" s="22"/>
      <c r="M2561" s="55"/>
      <c r="N2561" s="23" t="s">
        <v>200</v>
      </c>
      <c r="O2561" s="23" t="s">
        <v>200</v>
      </c>
      <c r="P2561" s="24"/>
      <c r="Q2561" s="23"/>
      <c r="R2561" s="25"/>
      <c r="S2561" s="26"/>
      <c r="T2561" s="16" t="b">
        <v>0</v>
      </c>
    </row>
    <row r="2562">
      <c r="A2562" s="4"/>
      <c r="B2562" s="5"/>
      <c r="C2562" s="13"/>
      <c r="D2562" s="39"/>
      <c r="E2562" s="7"/>
      <c r="F2562" s="34"/>
      <c r="G2562" s="8">
        <v>1899.0</v>
      </c>
      <c r="H2562" s="9"/>
      <c r="I2562" s="9"/>
      <c r="J2562" s="9"/>
      <c r="K2562" s="4"/>
      <c r="L2562" s="10"/>
      <c r="M2562" s="54"/>
      <c r="N2562" s="12" t="s">
        <v>200</v>
      </c>
      <c r="O2562" s="12" t="s">
        <v>200</v>
      </c>
      <c r="P2562" s="13"/>
      <c r="Q2562" s="12"/>
      <c r="R2562" s="14"/>
      <c r="S2562" s="15"/>
      <c r="T2562" s="4" t="b">
        <v>0</v>
      </c>
    </row>
    <row r="2563">
      <c r="A2563" s="16"/>
      <c r="B2563" s="17"/>
      <c r="C2563" s="24"/>
      <c r="D2563" s="44"/>
      <c r="E2563" s="19"/>
      <c r="F2563" s="35"/>
      <c r="G2563" s="20">
        <v>1899.0</v>
      </c>
      <c r="H2563" s="21"/>
      <c r="I2563" s="21"/>
      <c r="J2563" s="21"/>
      <c r="K2563" s="16"/>
      <c r="L2563" s="22"/>
      <c r="M2563" s="55"/>
      <c r="N2563" s="23" t="s">
        <v>200</v>
      </c>
      <c r="O2563" s="23" t="s">
        <v>200</v>
      </c>
      <c r="P2563" s="24"/>
      <c r="Q2563" s="23"/>
      <c r="R2563" s="25"/>
      <c r="S2563" s="26"/>
      <c r="T2563" s="16" t="b">
        <v>0</v>
      </c>
    </row>
    <row r="2564">
      <c r="A2564" s="4"/>
      <c r="B2564" s="5"/>
      <c r="C2564" s="13"/>
      <c r="D2564" s="39"/>
      <c r="E2564" s="7"/>
      <c r="F2564" s="34"/>
      <c r="G2564" s="8">
        <v>1899.0</v>
      </c>
      <c r="H2564" s="9"/>
      <c r="I2564" s="9"/>
      <c r="J2564" s="9"/>
      <c r="K2564" s="4"/>
      <c r="L2564" s="10"/>
      <c r="M2564" s="54"/>
      <c r="N2564" s="12" t="s">
        <v>200</v>
      </c>
      <c r="O2564" s="12" t="s">
        <v>200</v>
      </c>
      <c r="P2564" s="13"/>
      <c r="Q2564" s="12"/>
      <c r="R2564" s="14"/>
      <c r="S2564" s="15"/>
      <c r="T2564" s="4" t="b">
        <v>0</v>
      </c>
    </row>
    <row r="2565">
      <c r="A2565" s="16"/>
      <c r="B2565" s="17"/>
      <c r="C2565" s="24"/>
      <c r="D2565" s="44"/>
      <c r="E2565" s="19"/>
      <c r="F2565" s="35"/>
      <c r="G2565" s="20">
        <v>1899.0</v>
      </c>
      <c r="H2565" s="21"/>
      <c r="I2565" s="21"/>
      <c r="J2565" s="21"/>
      <c r="K2565" s="16"/>
      <c r="L2565" s="22"/>
      <c r="M2565" s="55"/>
      <c r="N2565" s="23" t="s">
        <v>200</v>
      </c>
      <c r="O2565" s="23" t="s">
        <v>200</v>
      </c>
      <c r="P2565" s="24"/>
      <c r="Q2565" s="23"/>
      <c r="R2565" s="25"/>
      <c r="S2565" s="26"/>
      <c r="T2565" s="16" t="b">
        <v>0</v>
      </c>
    </row>
    <row r="2566">
      <c r="A2566" s="4"/>
      <c r="B2566" s="5"/>
      <c r="C2566" s="13"/>
      <c r="D2566" s="39"/>
      <c r="E2566" s="7"/>
      <c r="F2566" s="34"/>
      <c r="G2566" s="8">
        <v>1899.0</v>
      </c>
      <c r="H2566" s="9"/>
      <c r="I2566" s="9"/>
      <c r="J2566" s="9"/>
      <c r="K2566" s="4"/>
      <c r="L2566" s="10"/>
      <c r="M2566" s="54"/>
      <c r="N2566" s="12" t="s">
        <v>200</v>
      </c>
      <c r="O2566" s="12" t="s">
        <v>200</v>
      </c>
      <c r="P2566" s="13"/>
      <c r="Q2566" s="12"/>
      <c r="R2566" s="14"/>
      <c r="S2566" s="15"/>
      <c r="T2566" s="4" t="b">
        <v>0</v>
      </c>
    </row>
    <row r="2567">
      <c r="A2567" s="16"/>
      <c r="B2567" s="17"/>
      <c r="C2567" s="24"/>
      <c r="D2567" s="44"/>
      <c r="E2567" s="19"/>
      <c r="F2567" s="35"/>
      <c r="G2567" s="20">
        <v>1899.0</v>
      </c>
      <c r="H2567" s="21"/>
      <c r="I2567" s="21"/>
      <c r="J2567" s="21"/>
      <c r="K2567" s="16"/>
      <c r="L2567" s="22"/>
      <c r="M2567" s="55"/>
      <c r="N2567" s="23" t="s">
        <v>200</v>
      </c>
      <c r="O2567" s="23" t="s">
        <v>200</v>
      </c>
      <c r="P2567" s="24"/>
      <c r="Q2567" s="23"/>
      <c r="R2567" s="25"/>
      <c r="S2567" s="26"/>
      <c r="T2567" s="16" t="b">
        <v>0</v>
      </c>
    </row>
    <row r="2568">
      <c r="A2568" s="4"/>
      <c r="B2568" s="5"/>
      <c r="C2568" s="13"/>
      <c r="D2568" s="39"/>
      <c r="E2568" s="7"/>
      <c r="F2568" s="34"/>
      <c r="G2568" s="8">
        <v>1899.0</v>
      </c>
      <c r="H2568" s="9"/>
      <c r="I2568" s="9"/>
      <c r="J2568" s="9"/>
      <c r="K2568" s="4"/>
      <c r="L2568" s="10"/>
      <c r="M2568" s="54"/>
      <c r="N2568" s="12" t="s">
        <v>200</v>
      </c>
      <c r="O2568" s="12" t="s">
        <v>200</v>
      </c>
      <c r="P2568" s="13"/>
      <c r="Q2568" s="12"/>
      <c r="R2568" s="14"/>
      <c r="S2568" s="15"/>
      <c r="T2568" s="4" t="b">
        <v>0</v>
      </c>
    </row>
    <row r="2569">
      <c r="A2569" s="16"/>
      <c r="B2569" s="17"/>
      <c r="C2569" s="24"/>
      <c r="D2569" s="44"/>
      <c r="E2569" s="19"/>
      <c r="F2569" s="35"/>
      <c r="G2569" s="20">
        <v>1899.0</v>
      </c>
      <c r="H2569" s="21"/>
      <c r="I2569" s="21"/>
      <c r="J2569" s="21"/>
      <c r="K2569" s="16"/>
      <c r="L2569" s="22"/>
      <c r="M2569" s="55"/>
      <c r="N2569" s="23" t="s">
        <v>200</v>
      </c>
      <c r="O2569" s="23" t="s">
        <v>200</v>
      </c>
      <c r="P2569" s="24"/>
      <c r="Q2569" s="23"/>
      <c r="R2569" s="25"/>
      <c r="S2569" s="26"/>
      <c r="T2569" s="16" t="b">
        <v>0</v>
      </c>
    </row>
    <row r="2570">
      <c r="A2570" s="4"/>
      <c r="B2570" s="5"/>
      <c r="C2570" s="13"/>
      <c r="D2570" s="39"/>
      <c r="E2570" s="7"/>
      <c r="F2570" s="34"/>
      <c r="G2570" s="8">
        <v>1899.0</v>
      </c>
      <c r="H2570" s="9"/>
      <c r="I2570" s="9"/>
      <c r="J2570" s="9"/>
      <c r="K2570" s="4"/>
      <c r="L2570" s="10"/>
      <c r="M2570" s="54"/>
      <c r="N2570" s="12" t="s">
        <v>200</v>
      </c>
      <c r="O2570" s="12" t="s">
        <v>200</v>
      </c>
      <c r="P2570" s="13"/>
      <c r="Q2570" s="12"/>
      <c r="R2570" s="14"/>
      <c r="S2570" s="15"/>
      <c r="T2570" s="4" t="b">
        <v>0</v>
      </c>
    </row>
    <row r="2571">
      <c r="A2571" s="16"/>
      <c r="B2571" s="17"/>
      <c r="C2571" s="24"/>
      <c r="D2571" s="44"/>
      <c r="E2571" s="19"/>
      <c r="F2571" s="35"/>
      <c r="G2571" s="20">
        <v>1899.0</v>
      </c>
      <c r="H2571" s="21"/>
      <c r="I2571" s="21"/>
      <c r="J2571" s="21"/>
      <c r="K2571" s="16"/>
      <c r="L2571" s="22"/>
      <c r="M2571" s="55"/>
      <c r="N2571" s="23" t="s">
        <v>200</v>
      </c>
      <c r="O2571" s="23" t="s">
        <v>200</v>
      </c>
      <c r="P2571" s="24"/>
      <c r="Q2571" s="23"/>
      <c r="R2571" s="25"/>
      <c r="S2571" s="26"/>
      <c r="T2571" s="16" t="b">
        <v>0</v>
      </c>
    </row>
    <row r="2572">
      <c r="A2572" s="4"/>
      <c r="B2572" s="5"/>
      <c r="C2572" s="13"/>
      <c r="D2572" s="39"/>
      <c r="E2572" s="7"/>
      <c r="F2572" s="34"/>
      <c r="G2572" s="8">
        <v>1899.0</v>
      </c>
      <c r="H2572" s="9"/>
      <c r="I2572" s="9"/>
      <c r="J2572" s="9"/>
      <c r="K2572" s="4"/>
      <c r="L2572" s="10"/>
      <c r="M2572" s="54"/>
      <c r="N2572" s="12" t="s">
        <v>200</v>
      </c>
      <c r="O2572" s="12" t="s">
        <v>200</v>
      </c>
      <c r="P2572" s="13"/>
      <c r="Q2572" s="12"/>
      <c r="R2572" s="14"/>
      <c r="S2572" s="15"/>
      <c r="T2572" s="4" t="b">
        <v>0</v>
      </c>
    </row>
    <row r="2573">
      <c r="A2573" s="16"/>
      <c r="B2573" s="17"/>
      <c r="C2573" s="24"/>
      <c r="D2573" s="44"/>
      <c r="E2573" s="19"/>
      <c r="F2573" s="35"/>
      <c r="G2573" s="20">
        <v>1899.0</v>
      </c>
      <c r="H2573" s="21"/>
      <c r="I2573" s="21"/>
      <c r="J2573" s="21"/>
      <c r="K2573" s="16"/>
      <c r="L2573" s="22"/>
      <c r="M2573" s="55"/>
      <c r="N2573" s="23" t="s">
        <v>200</v>
      </c>
      <c r="O2573" s="23" t="s">
        <v>200</v>
      </c>
      <c r="P2573" s="24"/>
      <c r="Q2573" s="23"/>
      <c r="R2573" s="25"/>
      <c r="S2573" s="26"/>
      <c r="T2573" s="16" t="b">
        <v>0</v>
      </c>
    </row>
    <row r="2574">
      <c r="A2574" s="4"/>
      <c r="B2574" s="5"/>
      <c r="C2574" s="13"/>
      <c r="D2574" s="39"/>
      <c r="E2574" s="7"/>
      <c r="F2574" s="34"/>
      <c r="G2574" s="8">
        <v>1899.0</v>
      </c>
      <c r="H2574" s="9"/>
      <c r="I2574" s="9"/>
      <c r="J2574" s="9"/>
      <c r="K2574" s="4"/>
      <c r="L2574" s="10"/>
      <c r="M2574" s="54"/>
      <c r="N2574" s="12" t="s">
        <v>200</v>
      </c>
      <c r="O2574" s="12" t="s">
        <v>200</v>
      </c>
      <c r="P2574" s="13"/>
      <c r="Q2574" s="12"/>
      <c r="R2574" s="14"/>
      <c r="S2574" s="15"/>
      <c r="T2574" s="4" t="b">
        <v>0</v>
      </c>
    </row>
    <row r="2575">
      <c r="A2575" s="16"/>
      <c r="B2575" s="17"/>
      <c r="C2575" s="24"/>
      <c r="D2575" s="44"/>
      <c r="E2575" s="19"/>
      <c r="F2575" s="35"/>
      <c r="G2575" s="20">
        <v>1899.0</v>
      </c>
      <c r="H2575" s="21"/>
      <c r="I2575" s="21"/>
      <c r="J2575" s="21"/>
      <c r="K2575" s="16"/>
      <c r="L2575" s="22"/>
      <c r="M2575" s="55"/>
      <c r="N2575" s="23" t="s">
        <v>200</v>
      </c>
      <c r="O2575" s="23" t="s">
        <v>200</v>
      </c>
      <c r="P2575" s="24"/>
      <c r="Q2575" s="23"/>
      <c r="R2575" s="25"/>
      <c r="S2575" s="26"/>
      <c r="T2575" s="16" t="b">
        <v>0</v>
      </c>
    </row>
    <row r="2576">
      <c r="A2576" s="4"/>
      <c r="B2576" s="5"/>
      <c r="C2576" s="13"/>
      <c r="D2576" s="39"/>
      <c r="E2576" s="7"/>
      <c r="F2576" s="34"/>
      <c r="G2576" s="8">
        <v>1899.0</v>
      </c>
      <c r="H2576" s="9"/>
      <c r="I2576" s="9"/>
      <c r="J2576" s="9"/>
      <c r="K2576" s="4"/>
      <c r="L2576" s="10"/>
      <c r="M2576" s="54"/>
      <c r="N2576" s="12" t="s">
        <v>200</v>
      </c>
      <c r="O2576" s="12" t="s">
        <v>200</v>
      </c>
      <c r="P2576" s="13"/>
      <c r="Q2576" s="12"/>
      <c r="R2576" s="14"/>
      <c r="S2576" s="15"/>
      <c r="T2576" s="4" t="b">
        <v>0</v>
      </c>
    </row>
    <row r="2577">
      <c r="A2577" s="16"/>
      <c r="B2577" s="17"/>
      <c r="C2577" s="24"/>
      <c r="D2577" s="44"/>
      <c r="E2577" s="19"/>
      <c r="F2577" s="35"/>
      <c r="G2577" s="20">
        <v>1899.0</v>
      </c>
      <c r="H2577" s="21"/>
      <c r="I2577" s="21"/>
      <c r="J2577" s="21"/>
      <c r="K2577" s="16"/>
      <c r="L2577" s="22"/>
      <c r="M2577" s="55"/>
      <c r="N2577" s="23" t="s">
        <v>200</v>
      </c>
      <c r="O2577" s="23" t="s">
        <v>200</v>
      </c>
      <c r="P2577" s="24"/>
      <c r="Q2577" s="23"/>
      <c r="R2577" s="25"/>
      <c r="S2577" s="26"/>
      <c r="T2577" s="16" t="b">
        <v>0</v>
      </c>
    </row>
    <row r="2578">
      <c r="A2578" s="4"/>
      <c r="B2578" s="5"/>
      <c r="C2578" s="13"/>
      <c r="D2578" s="39"/>
      <c r="E2578" s="7"/>
      <c r="F2578" s="34"/>
      <c r="G2578" s="8">
        <v>1899.0</v>
      </c>
      <c r="H2578" s="9"/>
      <c r="I2578" s="9"/>
      <c r="J2578" s="9"/>
      <c r="K2578" s="4"/>
      <c r="L2578" s="10"/>
      <c r="M2578" s="54"/>
      <c r="N2578" s="12" t="s">
        <v>200</v>
      </c>
      <c r="O2578" s="12" t="s">
        <v>200</v>
      </c>
      <c r="P2578" s="13"/>
      <c r="Q2578" s="12"/>
      <c r="R2578" s="14"/>
      <c r="S2578" s="15"/>
      <c r="T2578" s="4" t="b">
        <v>0</v>
      </c>
    </row>
    <row r="2579">
      <c r="A2579" s="16"/>
      <c r="B2579" s="17"/>
      <c r="C2579" s="24"/>
      <c r="D2579" s="44"/>
      <c r="E2579" s="19"/>
      <c r="F2579" s="35"/>
      <c r="G2579" s="20">
        <v>1899.0</v>
      </c>
      <c r="H2579" s="21"/>
      <c r="I2579" s="21"/>
      <c r="J2579" s="21"/>
      <c r="K2579" s="16"/>
      <c r="L2579" s="22"/>
      <c r="M2579" s="55"/>
      <c r="N2579" s="23" t="s">
        <v>200</v>
      </c>
      <c r="O2579" s="23" t="s">
        <v>200</v>
      </c>
      <c r="P2579" s="24"/>
      <c r="Q2579" s="23"/>
      <c r="R2579" s="25"/>
      <c r="S2579" s="26"/>
      <c r="T2579" s="16" t="b">
        <v>0</v>
      </c>
    </row>
    <row r="2580">
      <c r="A2580" s="4"/>
      <c r="B2580" s="5"/>
      <c r="C2580" s="13"/>
      <c r="D2580" s="39"/>
      <c r="E2580" s="7"/>
      <c r="F2580" s="34"/>
      <c r="G2580" s="8">
        <v>1899.0</v>
      </c>
      <c r="H2580" s="9"/>
      <c r="I2580" s="9"/>
      <c r="J2580" s="9"/>
      <c r="K2580" s="4"/>
      <c r="L2580" s="10"/>
      <c r="M2580" s="54"/>
      <c r="N2580" s="12" t="s">
        <v>200</v>
      </c>
      <c r="O2580" s="12" t="s">
        <v>200</v>
      </c>
      <c r="P2580" s="13"/>
      <c r="Q2580" s="12"/>
      <c r="R2580" s="14"/>
      <c r="S2580" s="15"/>
      <c r="T2580" s="4" t="b">
        <v>0</v>
      </c>
    </row>
    <row r="2581">
      <c r="A2581" s="16"/>
      <c r="B2581" s="17"/>
      <c r="C2581" s="24"/>
      <c r="D2581" s="44"/>
      <c r="E2581" s="19"/>
      <c r="F2581" s="35"/>
      <c r="G2581" s="20">
        <v>1899.0</v>
      </c>
      <c r="H2581" s="21"/>
      <c r="I2581" s="21"/>
      <c r="J2581" s="21"/>
      <c r="K2581" s="16"/>
      <c r="L2581" s="22"/>
      <c r="M2581" s="55"/>
      <c r="N2581" s="23" t="s">
        <v>200</v>
      </c>
      <c r="O2581" s="23" t="s">
        <v>200</v>
      </c>
      <c r="P2581" s="24"/>
      <c r="Q2581" s="23"/>
      <c r="R2581" s="25"/>
      <c r="S2581" s="26"/>
      <c r="T2581" s="16" t="b">
        <v>0</v>
      </c>
    </row>
    <row r="2582">
      <c r="A2582" s="4"/>
      <c r="B2582" s="5"/>
      <c r="C2582" s="13"/>
      <c r="D2582" s="39"/>
      <c r="E2582" s="7"/>
      <c r="F2582" s="34"/>
      <c r="G2582" s="8">
        <v>1899.0</v>
      </c>
      <c r="H2582" s="9"/>
      <c r="I2582" s="9"/>
      <c r="J2582" s="9"/>
      <c r="K2582" s="4"/>
      <c r="L2582" s="10"/>
      <c r="M2582" s="54"/>
      <c r="N2582" s="12" t="s">
        <v>200</v>
      </c>
      <c r="O2582" s="12" t="s">
        <v>200</v>
      </c>
      <c r="P2582" s="13"/>
      <c r="Q2582" s="12"/>
      <c r="R2582" s="14"/>
      <c r="S2582" s="15"/>
      <c r="T2582" s="4" t="b">
        <v>0</v>
      </c>
    </row>
    <row r="2583">
      <c r="A2583" s="16"/>
      <c r="B2583" s="17"/>
      <c r="C2583" s="24"/>
      <c r="D2583" s="44"/>
      <c r="E2583" s="19"/>
      <c r="F2583" s="35"/>
      <c r="G2583" s="20">
        <v>1899.0</v>
      </c>
      <c r="H2583" s="21"/>
      <c r="I2583" s="21"/>
      <c r="J2583" s="21"/>
      <c r="K2583" s="16"/>
      <c r="L2583" s="22"/>
      <c r="M2583" s="55"/>
      <c r="N2583" s="23" t="s">
        <v>200</v>
      </c>
      <c r="O2583" s="23" t="s">
        <v>200</v>
      </c>
      <c r="P2583" s="24"/>
      <c r="Q2583" s="23"/>
      <c r="R2583" s="25"/>
      <c r="S2583" s="26"/>
      <c r="T2583" s="16" t="b">
        <v>0</v>
      </c>
    </row>
    <row r="2584">
      <c r="A2584" s="4"/>
      <c r="B2584" s="5"/>
      <c r="C2584" s="13"/>
      <c r="D2584" s="39"/>
      <c r="E2584" s="7"/>
      <c r="F2584" s="34"/>
      <c r="G2584" s="8">
        <v>1899.0</v>
      </c>
      <c r="H2584" s="9"/>
      <c r="I2584" s="9"/>
      <c r="J2584" s="9"/>
      <c r="K2584" s="4"/>
      <c r="L2584" s="10"/>
      <c r="M2584" s="54"/>
      <c r="N2584" s="12" t="s">
        <v>200</v>
      </c>
      <c r="O2584" s="12" t="s">
        <v>200</v>
      </c>
      <c r="P2584" s="13"/>
      <c r="Q2584" s="12"/>
      <c r="R2584" s="14"/>
      <c r="S2584" s="15"/>
      <c r="T2584" s="4" t="b">
        <v>0</v>
      </c>
    </row>
    <row r="2585">
      <c r="A2585" s="16"/>
      <c r="B2585" s="17"/>
      <c r="C2585" s="24"/>
      <c r="D2585" s="44"/>
      <c r="E2585" s="19"/>
      <c r="F2585" s="35"/>
      <c r="G2585" s="20">
        <v>1899.0</v>
      </c>
      <c r="H2585" s="21"/>
      <c r="I2585" s="21"/>
      <c r="J2585" s="21"/>
      <c r="K2585" s="16"/>
      <c r="L2585" s="22"/>
      <c r="M2585" s="55"/>
      <c r="N2585" s="23" t="s">
        <v>200</v>
      </c>
      <c r="O2585" s="23" t="s">
        <v>200</v>
      </c>
      <c r="P2585" s="24"/>
      <c r="Q2585" s="23"/>
      <c r="R2585" s="25"/>
      <c r="S2585" s="26"/>
      <c r="T2585" s="16" t="b">
        <v>0</v>
      </c>
    </row>
    <row r="2586">
      <c r="A2586" s="4"/>
      <c r="B2586" s="5"/>
      <c r="C2586" s="13"/>
      <c r="D2586" s="39"/>
      <c r="E2586" s="7"/>
      <c r="F2586" s="34"/>
      <c r="G2586" s="8">
        <v>1899.0</v>
      </c>
      <c r="H2586" s="9"/>
      <c r="I2586" s="9"/>
      <c r="J2586" s="9"/>
      <c r="K2586" s="4"/>
      <c r="L2586" s="10"/>
      <c r="M2586" s="54"/>
      <c r="N2586" s="12" t="s">
        <v>200</v>
      </c>
      <c r="O2586" s="12" t="s">
        <v>200</v>
      </c>
      <c r="P2586" s="13"/>
      <c r="Q2586" s="12"/>
      <c r="R2586" s="14"/>
      <c r="S2586" s="15"/>
      <c r="T2586" s="4" t="b">
        <v>0</v>
      </c>
    </row>
    <row r="2587">
      <c r="A2587" s="16"/>
      <c r="B2587" s="17"/>
      <c r="C2587" s="24"/>
      <c r="D2587" s="44"/>
      <c r="E2587" s="19"/>
      <c r="F2587" s="35"/>
      <c r="G2587" s="20">
        <v>1899.0</v>
      </c>
      <c r="H2587" s="21"/>
      <c r="I2587" s="21"/>
      <c r="J2587" s="21"/>
      <c r="K2587" s="16"/>
      <c r="L2587" s="22"/>
      <c r="M2587" s="55"/>
      <c r="N2587" s="23" t="s">
        <v>200</v>
      </c>
      <c r="O2587" s="23" t="s">
        <v>200</v>
      </c>
      <c r="P2587" s="24"/>
      <c r="Q2587" s="23"/>
      <c r="R2587" s="25"/>
      <c r="S2587" s="26"/>
      <c r="T2587" s="16" t="b">
        <v>0</v>
      </c>
    </row>
    <row r="2588">
      <c r="A2588" s="4"/>
      <c r="B2588" s="5"/>
      <c r="C2588" s="13"/>
      <c r="D2588" s="39"/>
      <c r="E2588" s="7"/>
      <c r="F2588" s="34"/>
      <c r="G2588" s="8">
        <v>1899.0</v>
      </c>
      <c r="H2588" s="9"/>
      <c r="I2588" s="9"/>
      <c r="J2588" s="9"/>
      <c r="K2588" s="4"/>
      <c r="L2588" s="10"/>
      <c r="M2588" s="54"/>
      <c r="N2588" s="12" t="s">
        <v>200</v>
      </c>
      <c r="O2588" s="12" t="s">
        <v>200</v>
      </c>
      <c r="P2588" s="13"/>
      <c r="Q2588" s="12"/>
      <c r="R2588" s="14"/>
      <c r="S2588" s="15"/>
      <c r="T2588" s="4" t="b">
        <v>0</v>
      </c>
    </row>
    <row r="2589">
      <c r="A2589" s="16"/>
      <c r="B2589" s="17"/>
      <c r="C2589" s="24"/>
      <c r="D2589" s="44"/>
      <c r="E2589" s="19"/>
      <c r="F2589" s="35"/>
      <c r="G2589" s="20">
        <v>1899.0</v>
      </c>
      <c r="H2589" s="21"/>
      <c r="I2589" s="21"/>
      <c r="J2589" s="21"/>
      <c r="K2589" s="16"/>
      <c r="L2589" s="22"/>
      <c r="M2589" s="55"/>
      <c r="N2589" s="23" t="s">
        <v>200</v>
      </c>
      <c r="O2589" s="23" t="s">
        <v>200</v>
      </c>
      <c r="P2589" s="24"/>
      <c r="Q2589" s="23"/>
      <c r="R2589" s="25"/>
      <c r="S2589" s="26"/>
      <c r="T2589" s="16" t="b">
        <v>0</v>
      </c>
    </row>
    <row r="2590">
      <c r="A2590" s="4"/>
      <c r="B2590" s="5"/>
      <c r="C2590" s="13"/>
      <c r="D2590" s="39"/>
      <c r="E2590" s="7"/>
      <c r="F2590" s="34"/>
      <c r="G2590" s="8">
        <v>1899.0</v>
      </c>
      <c r="H2590" s="9"/>
      <c r="I2590" s="9"/>
      <c r="J2590" s="9"/>
      <c r="K2590" s="4"/>
      <c r="L2590" s="10"/>
      <c r="M2590" s="54"/>
      <c r="N2590" s="12" t="s">
        <v>200</v>
      </c>
      <c r="O2590" s="12" t="s">
        <v>200</v>
      </c>
      <c r="P2590" s="13"/>
      <c r="Q2590" s="12"/>
      <c r="R2590" s="14"/>
      <c r="S2590" s="15"/>
      <c r="T2590" s="4" t="b">
        <v>0</v>
      </c>
    </row>
    <row r="2591">
      <c r="A2591" s="16"/>
      <c r="B2591" s="17"/>
      <c r="C2591" s="24"/>
      <c r="D2591" s="44"/>
      <c r="E2591" s="19"/>
      <c r="F2591" s="35"/>
      <c r="G2591" s="20">
        <v>1899.0</v>
      </c>
      <c r="H2591" s="21"/>
      <c r="I2591" s="21"/>
      <c r="J2591" s="21"/>
      <c r="K2591" s="16"/>
      <c r="L2591" s="22"/>
      <c r="M2591" s="55"/>
      <c r="N2591" s="23" t="s">
        <v>200</v>
      </c>
      <c r="O2591" s="23" t="s">
        <v>200</v>
      </c>
      <c r="P2591" s="24"/>
      <c r="Q2591" s="23"/>
      <c r="R2591" s="25"/>
      <c r="S2591" s="26"/>
      <c r="T2591" s="16" t="b">
        <v>0</v>
      </c>
    </row>
    <row r="2592">
      <c r="A2592" s="4"/>
      <c r="B2592" s="5"/>
      <c r="C2592" s="13"/>
      <c r="D2592" s="39"/>
      <c r="E2592" s="7"/>
      <c r="F2592" s="34"/>
      <c r="G2592" s="8">
        <v>1899.0</v>
      </c>
      <c r="H2592" s="9"/>
      <c r="I2592" s="9"/>
      <c r="J2592" s="9"/>
      <c r="K2592" s="4"/>
      <c r="L2592" s="10"/>
      <c r="M2592" s="54"/>
      <c r="N2592" s="12" t="s">
        <v>200</v>
      </c>
      <c r="O2592" s="12" t="s">
        <v>200</v>
      </c>
      <c r="P2592" s="13"/>
      <c r="Q2592" s="12"/>
      <c r="R2592" s="14"/>
      <c r="S2592" s="15"/>
      <c r="T2592" s="4" t="b">
        <v>0</v>
      </c>
    </row>
    <row r="2593">
      <c r="A2593" s="16"/>
      <c r="B2593" s="17"/>
      <c r="C2593" s="24"/>
      <c r="D2593" s="44"/>
      <c r="E2593" s="19"/>
      <c r="F2593" s="35"/>
      <c r="G2593" s="20">
        <v>1899.0</v>
      </c>
      <c r="H2593" s="21"/>
      <c r="I2593" s="21"/>
      <c r="J2593" s="21"/>
      <c r="K2593" s="16"/>
      <c r="L2593" s="22"/>
      <c r="M2593" s="55"/>
      <c r="N2593" s="23" t="s">
        <v>200</v>
      </c>
      <c r="O2593" s="23" t="s">
        <v>200</v>
      </c>
      <c r="P2593" s="24"/>
      <c r="Q2593" s="23"/>
      <c r="R2593" s="25"/>
      <c r="S2593" s="26"/>
      <c r="T2593" s="16" t="b">
        <v>0</v>
      </c>
    </row>
    <row r="2594">
      <c r="A2594" s="4"/>
      <c r="B2594" s="5"/>
      <c r="C2594" s="13"/>
      <c r="D2594" s="39"/>
      <c r="E2594" s="7"/>
      <c r="F2594" s="34"/>
      <c r="G2594" s="8">
        <v>1899.0</v>
      </c>
      <c r="H2594" s="9"/>
      <c r="I2594" s="9"/>
      <c r="J2594" s="9"/>
      <c r="K2594" s="4"/>
      <c r="L2594" s="10"/>
      <c r="M2594" s="54"/>
      <c r="N2594" s="12" t="s">
        <v>200</v>
      </c>
      <c r="O2594" s="12" t="s">
        <v>200</v>
      </c>
      <c r="P2594" s="13"/>
      <c r="Q2594" s="12"/>
      <c r="R2594" s="14"/>
      <c r="S2594" s="15"/>
      <c r="T2594" s="4" t="b">
        <v>0</v>
      </c>
    </row>
    <row r="2595">
      <c r="A2595" s="16"/>
      <c r="B2595" s="17"/>
      <c r="C2595" s="24"/>
      <c r="D2595" s="44"/>
      <c r="E2595" s="19"/>
      <c r="F2595" s="35"/>
      <c r="G2595" s="20">
        <v>1899.0</v>
      </c>
      <c r="H2595" s="21"/>
      <c r="I2595" s="21"/>
      <c r="J2595" s="21"/>
      <c r="K2595" s="16"/>
      <c r="L2595" s="22"/>
      <c r="M2595" s="55"/>
      <c r="N2595" s="23" t="s">
        <v>200</v>
      </c>
      <c r="O2595" s="23" t="s">
        <v>200</v>
      </c>
      <c r="P2595" s="24"/>
      <c r="Q2595" s="23"/>
      <c r="R2595" s="25"/>
      <c r="S2595" s="26"/>
      <c r="T2595" s="16" t="b">
        <v>0</v>
      </c>
    </row>
    <row r="2596">
      <c r="A2596" s="4"/>
      <c r="B2596" s="5"/>
      <c r="C2596" s="13"/>
      <c r="D2596" s="39"/>
      <c r="E2596" s="7"/>
      <c r="F2596" s="34"/>
      <c r="G2596" s="8">
        <v>1899.0</v>
      </c>
      <c r="H2596" s="9"/>
      <c r="I2596" s="9"/>
      <c r="J2596" s="9"/>
      <c r="K2596" s="4"/>
      <c r="L2596" s="10"/>
      <c r="M2596" s="54"/>
      <c r="N2596" s="12" t="s">
        <v>200</v>
      </c>
      <c r="O2596" s="12" t="s">
        <v>200</v>
      </c>
      <c r="P2596" s="13"/>
      <c r="Q2596" s="12"/>
      <c r="R2596" s="14"/>
      <c r="S2596" s="15"/>
      <c r="T2596" s="4" t="b">
        <v>0</v>
      </c>
    </row>
    <row r="2597">
      <c r="A2597" s="16"/>
      <c r="B2597" s="17"/>
      <c r="C2597" s="24"/>
      <c r="D2597" s="44"/>
      <c r="E2597" s="19"/>
      <c r="F2597" s="35"/>
      <c r="G2597" s="20">
        <v>1899.0</v>
      </c>
      <c r="H2597" s="21"/>
      <c r="I2597" s="21"/>
      <c r="J2597" s="21"/>
      <c r="K2597" s="16"/>
      <c r="L2597" s="22"/>
      <c r="M2597" s="55"/>
      <c r="N2597" s="23" t="s">
        <v>200</v>
      </c>
      <c r="O2597" s="23" t="s">
        <v>200</v>
      </c>
      <c r="P2597" s="24"/>
      <c r="Q2597" s="23"/>
      <c r="R2597" s="25"/>
      <c r="S2597" s="26"/>
      <c r="T2597" s="16" t="b">
        <v>0</v>
      </c>
    </row>
    <row r="2598">
      <c r="A2598" s="4"/>
      <c r="B2598" s="5"/>
      <c r="C2598" s="13"/>
      <c r="D2598" s="39"/>
      <c r="E2598" s="7"/>
      <c r="F2598" s="34"/>
      <c r="G2598" s="8">
        <v>1899.0</v>
      </c>
      <c r="H2598" s="9"/>
      <c r="I2598" s="9"/>
      <c r="J2598" s="9"/>
      <c r="K2598" s="4"/>
      <c r="L2598" s="10"/>
      <c r="M2598" s="54"/>
      <c r="N2598" s="12" t="s">
        <v>200</v>
      </c>
      <c r="O2598" s="12" t="s">
        <v>200</v>
      </c>
      <c r="P2598" s="13"/>
      <c r="Q2598" s="12"/>
      <c r="R2598" s="14"/>
      <c r="S2598" s="15"/>
      <c r="T2598" s="4" t="b">
        <v>0</v>
      </c>
    </row>
    <row r="2599">
      <c r="A2599" s="16"/>
      <c r="B2599" s="17"/>
      <c r="C2599" s="24"/>
      <c r="D2599" s="44"/>
      <c r="E2599" s="19"/>
      <c r="F2599" s="35"/>
      <c r="G2599" s="20">
        <v>1899.0</v>
      </c>
      <c r="H2599" s="21"/>
      <c r="I2599" s="21"/>
      <c r="J2599" s="21"/>
      <c r="K2599" s="16"/>
      <c r="L2599" s="22"/>
      <c r="M2599" s="55"/>
      <c r="N2599" s="23" t="s">
        <v>200</v>
      </c>
      <c r="O2599" s="23" t="s">
        <v>200</v>
      </c>
      <c r="P2599" s="24"/>
      <c r="Q2599" s="23"/>
      <c r="R2599" s="25"/>
      <c r="S2599" s="26"/>
      <c r="T2599" s="16" t="b">
        <v>0</v>
      </c>
    </row>
    <row r="2600">
      <c r="A2600" s="4"/>
      <c r="B2600" s="5"/>
      <c r="C2600" s="13"/>
      <c r="D2600" s="39"/>
      <c r="E2600" s="7"/>
      <c r="F2600" s="34"/>
      <c r="G2600" s="8">
        <v>1899.0</v>
      </c>
      <c r="H2600" s="9"/>
      <c r="I2600" s="9"/>
      <c r="J2600" s="9"/>
      <c r="K2600" s="4"/>
      <c r="L2600" s="10"/>
      <c r="M2600" s="54"/>
      <c r="N2600" s="12" t="s">
        <v>200</v>
      </c>
      <c r="O2600" s="12" t="s">
        <v>200</v>
      </c>
      <c r="P2600" s="13"/>
      <c r="Q2600" s="12"/>
      <c r="R2600" s="14"/>
      <c r="S2600" s="15"/>
      <c r="T2600" s="4" t="b">
        <v>0</v>
      </c>
    </row>
    <row r="2601">
      <c r="A2601" s="16"/>
      <c r="B2601" s="17"/>
      <c r="C2601" s="24"/>
      <c r="D2601" s="44"/>
      <c r="E2601" s="19"/>
      <c r="F2601" s="35"/>
      <c r="G2601" s="20">
        <v>1899.0</v>
      </c>
      <c r="H2601" s="21"/>
      <c r="I2601" s="21"/>
      <c r="J2601" s="21"/>
      <c r="K2601" s="16"/>
      <c r="L2601" s="22"/>
      <c r="M2601" s="55"/>
      <c r="N2601" s="23" t="s">
        <v>200</v>
      </c>
      <c r="O2601" s="23" t="s">
        <v>200</v>
      </c>
      <c r="P2601" s="24"/>
      <c r="Q2601" s="23"/>
      <c r="R2601" s="25"/>
      <c r="S2601" s="26"/>
      <c r="T2601" s="16" t="b">
        <v>0</v>
      </c>
    </row>
    <row r="2602">
      <c r="A2602" s="4"/>
      <c r="B2602" s="5"/>
      <c r="C2602" s="13"/>
      <c r="D2602" s="39"/>
      <c r="E2602" s="7"/>
      <c r="F2602" s="34"/>
      <c r="G2602" s="8">
        <v>1899.0</v>
      </c>
      <c r="H2602" s="9"/>
      <c r="I2602" s="9"/>
      <c r="J2602" s="9"/>
      <c r="K2602" s="4"/>
      <c r="L2602" s="10"/>
      <c r="M2602" s="54"/>
      <c r="N2602" s="12" t="s">
        <v>200</v>
      </c>
      <c r="O2602" s="12" t="s">
        <v>200</v>
      </c>
      <c r="P2602" s="13"/>
      <c r="Q2602" s="12"/>
      <c r="R2602" s="14"/>
      <c r="S2602" s="15"/>
      <c r="T2602" s="4" t="b">
        <v>0</v>
      </c>
    </row>
    <row r="2603">
      <c r="A2603" s="16"/>
      <c r="B2603" s="17"/>
      <c r="C2603" s="24"/>
      <c r="D2603" s="44"/>
      <c r="E2603" s="19"/>
      <c r="F2603" s="35"/>
      <c r="G2603" s="20">
        <v>1899.0</v>
      </c>
      <c r="H2603" s="21"/>
      <c r="I2603" s="21"/>
      <c r="J2603" s="21"/>
      <c r="K2603" s="16"/>
      <c r="L2603" s="22"/>
      <c r="M2603" s="55"/>
      <c r="N2603" s="23" t="s">
        <v>200</v>
      </c>
      <c r="O2603" s="23" t="s">
        <v>200</v>
      </c>
      <c r="P2603" s="24"/>
      <c r="Q2603" s="23"/>
      <c r="R2603" s="25"/>
      <c r="S2603" s="26"/>
      <c r="T2603" s="16" t="b">
        <v>0</v>
      </c>
    </row>
    <row r="2604">
      <c r="A2604" s="4"/>
      <c r="B2604" s="5"/>
      <c r="C2604" s="13"/>
      <c r="D2604" s="39"/>
      <c r="E2604" s="7"/>
      <c r="F2604" s="34"/>
      <c r="G2604" s="8">
        <v>1899.0</v>
      </c>
      <c r="H2604" s="9"/>
      <c r="I2604" s="9"/>
      <c r="J2604" s="9"/>
      <c r="K2604" s="4"/>
      <c r="L2604" s="10"/>
      <c r="M2604" s="54"/>
      <c r="N2604" s="12" t="s">
        <v>200</v>
      </c>
      <c r="O2604" s="12" t="s">
        <v>200</v>
      </c>
      <c r="P2604" s="13"/>
      <c r="Q2604" s="12"/>
      <c r="R2604" s="14"/>
      <c r="S2604" s="15"/>
      <c r="T2604" s="4" t="b">
        <v>0</v>
      </c>
    </row>
    <row r="2605">
      <c r="A2605" s="16"/>
      <c r="B2605" s="17"/>
      <c r="C2605" s="24"/>
      <c r="D2605" s="44"/>
      <c r="E2605" s="19"/>
      <c r="F2605" s="35"/>
      <c r="G2605" s="20">
        <v>1899.0</v>
      </c>
      <c r="H2605" s="21"/>
      <c r="I2605" s="21"/>
      <c r="J2605" s="21"/>
      <c r="K2605" s="16"/>
      <c r="L2605" s="22"/>
      <c r="M2605" s="55"/>
      <c r="N2605" s="23" t="s">
        <v>200</v>
      </c>
      <c r="O2605" s="23" t="s">
        <v>200</v>
      </c>
      <c r="P2605" s="24"/>
      <c r="Q2605" s="23"/>
      <c r="R2605" s="25"/>
      <c r="S2605" s="26"/>
      <c r="T2605" s="16" t="b">
        <v>0</v>
      </c>
    </row>
    <row r="2606">
      <c r="A2606" s="4"/>
      <c r="B2606" s="5"/>
      <c r="C2606" s="13"/>
      <c r="D2606" s="39"/>
      <c r="E2606" s="7"/>
      <c r="F2606" s="34"/>
      <c r="G2606" s="8">
        <v>1899.0</v>
      </c>
      <c r="H2606" s="9"/>
      <c r="I2606" s="9"/>
      <c r="J2606" s="9"/>
      <c r="K2606" s="4"/>
      <c r="L2606" s="10"/>
      <c r="M2606" s="54"/>
      <c r="N2606" s="12" t="s">
        <v>200</v>
      </c>
      <c r="O2606" s="12" t="s">
        <v>200</v>
      </c>
      <c r="P2606" s="13"/>
      <c r="Q2606" s="12"/>
      <c r="R2606" s="14"/>
      <c r="S2606" s="15"/>
      <c r="T2606" s="4" t="b">
        <v>0</v>
      </c>
    </row>
    <row r="2607">
      <c r="A2607" s="16"/>
      <c r="B2607" s="17"/>
      <c r="C2607" s="24"/>
      <c r="D2607" s="44"/>
      <c r="E2607" s="19"/>
      <c r="F2607" s="35"/>
      <c r="G2607" s="20">
        <v>1899.0</v>
      </c>
      <c r="H2607" s="21"/>
      <c r="I2607" s="21"/>
      <c r="J2607" s="21"/>
      <c r="K2607" s="16"/>
      <c r="L2607" s="22"/>
      <c r="M2607" s="55"/>
      <c r="N2607" s="23" t="s">
        <v>200</v>
      </c>
      <c r="O2607" s="23" t="s">
        <v>200</v>
      </c>
      <c r="P2607" s="24"/>
      <c r="Q2607" s="23"/>
      <c r="R2607" s="25"/>
      <c r="S2607" s="26"/>
      <c r="T2607" s="16" t="b">
        <v>0</v>
      </c>
    </row>
    <row r="2608">
      <c r="A2608" s="4"/>
      <c r="B2608" s="5"/>
      <c r="C2608" s="13"/>
      <c r="D2608" s="39"/>
      <c r="E2608" s="7"/>
      <c r="F2608" s="34"/>
      <c r="G2608" s="8">
        <v>1899.0</v>
      </c>
      <c r="H2608" s="9"/>
      <c r="I2608" s="9"/>
      <c r="J2608" s="9"/>
      <c r="K2608" s="4"/>
      <c r="L2608" s="10"/>
      <c r="M2608" s="54"/>
      <c r="N2608" s="12" t="s">
        <v>200</v>
      </c>
      <c r="O2608" s="12" t="s">
        <v>200</v>
      </c>
      <c r="P2608" s="13"/>
      <c r="Q2608" s="12"/>
      <c r="R2608" s="14"/>
      <c r="S2608" s="15"/>
      <c r="T2608" s="4" t="b">
        <v>0</v>
      </c>
    </row>
    <row r="2609">
      <c r="A2609" s="16"/>
      <c r="B2609" s="17"/>
      <c r="C2609" s="24"/>
      <c r="D2609" s="44"/>
      <c r="E2609" s="19"/>
      <c r="F2609" s="35"/>
      <c r="G2609" s="20">
        <v>1899.0</v>
      </c>
      <c r="H2609" s="21"/>
      <c r="I2609" s="21"/>
      <c r="J2609" s="21"/>
      <c r="K2609" s="16"/>
      <c r="L2609" s="22"/>
      <c r="M2609" s="55"/>
      <c r="N2609" s="23" t="s">
        <v>200</v>
      </c>
      <c r="O2609" s="23" t="s">
        <v>200</v>
      </c>
      <c r="P2609" s="24"/>
      <c r="Q2609" s="23"/>
      <c r="R2609" s="25"/>
      <c r="S2609" s="26"/>
      <c r="T2609" s="16" t="b">
        <v>0</v>
      </c>
    </row>
    <row r="2610">
      <c r="A2610" s="4"/>
      <c r="B2610" s="5"/>
      <c r="C2610" s="13"/>
      <c r="D2610" s="39"/>
      <c r="E2610" s="7"/>
      <c r="F2610" s="34"/>
      <c r="G2610" s="8">
        <v>1899.0</v>
      </c>
      <c r="H2610" s="9"/>
      <c r="I2610" s="9"/>
      <c r="J2610" s="9"/>
      <c r="K2610" s="4"/>
      <c r="L2610" s="10"/>
      <c r="M2610" s="54"/>
      <c r="N2610" s="12" t="s">
        <v>200</v>
      </c>
      <c r="O2610" s="12" t="s">
        <v>200</v>
      </c>
      <c r="P2610" s="13"/>
      <c r="Q2610" s="12"/>
      <c r="R2610" s="14"/>
      <c r="S2610" s="15"/>
      <c r="T2610" s="4" t="b">
        <v>0</v>
      </c>
    </row>
    <row r="2611">
      <c r="A2611" s="16"/>
      <c r="B2611" s="17"/>
      <c r="C2611" s="24"/>
      <c r="D2611" s="44"/>
      <c r="E2611" s="19"/>
      <c r="F2611" s="35"/>
      <c r="G2611" s="20">
        <v>1899.0</v>
      </c>
      <c r="H2611" s="21"/>
      <c r="I2611" s="21"/>
      <c r="J2611" s="21"/>
      <c r="K2611" s="16"/>
      <c r="L2611" s="22"/>
      <c r="M2611" s="55"/>
      <c r="N2611" s="23" t="s">
        <v>200</v>
      </c>
      <c r="O2611" s="23" t="s">
        <v>200</v>
      </c>
      <c r="P2611" s="24"/>
      <c r="Q2611" s="23"/>
      <c r="R2611" s="25"/>
      <c r="S2611" s="26"/>
      <c r="T2611" s="16" t="b">
        <v>0</v>
      </c>
    </row>
    <row r="2612">
      <c r="A2612" s="4"/>
      <c r="B2612" s="5"/>
      <c r="C2612" s="13"/>
      <c r="D2612" s="39"/>
      <c r="E2612" s="7"/>
      <c r="F2612" s="34"/>
      <c r="G2612" s="8">
        <v>1899.0</v>
      </c>
      <c r="H2612" s="9"/>
      <c r="I2612" s="9"/>
      <c r="J2612" s="9"/>
      <c r="K2612" s="4"/>
      <c r="L2612" s="10"/>
      <c r="M2612" s="54"/>
      <c r="N2612" s="12" t="s">
        <v>200</v>
      </c>
      <c r="O2612" s="12" t="s">
        <v>200</v>
      </c>
      <c r="P2612" s="13"/>
      <c r="Q2612" s="12"/>
      <c r="R2612" s="14"/>
      <c r="S2612" s="15"/>
      <c r="T2612" s="4" t="b">
        <v>0</v>
      </c>
    </row>
    <row r="2613">
      <c r="A2613" s="16"/>
      <c r="B2613" s="17"/>
      <c r="C2613" s="24"/>
      <c r="D2613" s="44"/>
      <c r="E2613" s="19"/>
      <c r="F2613" s="35"/>
      <c r="G2613" s="20">
        <v>1899.0</v>
      </c>
      <c r="H2613" s="21"/>
      <c r="I2613" s="21"/>
      <c r="J2613" s="21"/>
      <c r="K2613" s="16"/>
      <c r="L2613" s="22"/>
      <c r="M2613" s="55"/>
      <c r="N2613" s="23" t="s">
        <v>200</v>
      </c>
      <c r="O2613" s="23" t="s">
        <v>200</v>
      </c>
      <c r="P2613" s="24"/>
      <c r="Q2613" s="23"/>
      <c r="R2613" s="25"/>
      <c r="S2613" s="26"/>
      <c r="T2613" s="16" t="b">
        <v>0</v>
      </c>
    </row>
    <row r="2614">
      <c r="A2614" s="4"/>
      <c r="B2614" s="5"/>
      <c r="C2614" s="13"/>
      <c r="D2614" s="39"/>
      <c r="E2614" s="7"/>
      <c r="F2614" s="34"/>
      <c r="G2614" s="8">
        <v>1899.0</v>
      </c>
      <c r="H2614" s="9"/>
      <c r="I2614" s="9"/>
      <c r="J2614" s="9"/>
      <c r="K2614" s="4"/>
      <c r="L2614" s="10"/>
      <c r="M2614" s="54"/>
      <c r="N2614" s="12" t="s">
        <v>200</v>
      </c>
      <c r="O2614" s="12" t="s">
        <v>200</v>
      </c>
      <c r="P2614" s="13"/>
      <c r="Q2614" s="12"/>
      <c r="R2614" s="14"/>
      <c r="S2614" s="15"/>
      <c r="T2614" s="4" t="b">
        <v>0</v>
      </c>
    </row>
    <row r="2615">
      <c r="A2615" s="16"/>
      <c r="B2615" s="17"/>
      <c r="C2615" s="24"/>
      <c r="D2615" s="44"/>
      <c r="E2615" s="19"/>
      <c r="F2615" s="35"/>
      <c r="G2615" s="20">
        <v>1899.0</v>
      </c>
      <c r="H2615" s="21"/>
      <c r="I2615" s="21"/>
      <c r="J2615" s="21"/>
      <c r="K2615" s="16"/>
      <c r="L2615" s="22"/>
      <c r="M2615" s="55"/>
      <c r="N2615" s="23" t="s">
        <v>200</v>
      </c>
      <c r="O2615" s="23" t="s">
        <v>200</v>
      </c>
      <c r="P2615" s="24"/>
      <c r="Q2615" s="23"/>
      <c r="R2615" s="25"/>
      <c r="S2615" s="26"/>
      <c r="T2615" s="16" t="b">
        <v>0</v>
      </c>
    </row>
    <row r="2616">
      <c r="A2616" s="4"/>
      <c r="B2616" s="5"/>
      <c r="C2616" s="13"/>
      <c r="D2616" s="39"/>
      <c r="E2616" s="7"/>
      <c r="F2616" s="34"/>
      <c r="G2616" s="8">
        <v>1899.0</v>
      </c>
      <c r="H2616" s="9"/>
      <c r="I2616" s="9"/>
      <c r="J2616" s="9"/>
      <c r="K2616" s="4"/>
      <c r="L2616" s="10"/>
      <c r="M2616" s="54"/>
      <c r="N2616" s="12" t="s">
        <v>200</v>
      </c>
      <c r="O2616" s="12" t="s">
        <v>200</v>
      </c>
      <c r="P2616" s="13"/>
      <c r="Q2616" s="12"/>
      <c r="R2616" s="14"/>
      <c r="S2616" s="15"/>
      <c r="T2616" s="4" t="b">
        <v>0</v>
      </c>
    </row>
    <row r="2617">
      <c r="A2617" s="16"/>
      <c r="B2617" s="17"/>
      <c r="C2617" s="24"/>
      <c r="D2617" s="44"/>
      <c r="E2617" s="19"/>
      <c r="F2617" s="35"/>
      <c r="G2617" s="20">
        <v>1899.0</v>
      </c>
      <c r="H2617" s="21"/>
      <c r="I2617" s="21"/>
      <c r="J2617" s="21"/>
      <c r="K2617" s="16"/>
      <c r="L2617" s="22"/>
      <c r="M2617" s="55"/>
      <c r="N2617" s="23" t="s">
        <v>200</v>
      </c>
      <c r="O2617" s="23" t="s">
        <v>200</v>
      </c>
      <c r="P2617" s="24"/>
      <c r="Q2617" s="23"/>
      <c r="R2617" s="25"/>
      <c r="S2617" s="26"/>
      <c r="T2617" s="16" t="b">
        <v>0</v>
      </c>
    </row>
    <row r="2618">
      <c r="A2618" s="4"/>
      <c r="B2618" s="5"/>
      <c r="C2618" s="13"/>
      <c r="D2618" s="39"/>
      <c r="E2618" s="7"/>
      <c r="F2618" s="34"/>
      <c r="G2618" s="8">
        <v>1899.0</v>
      </c>
      <c r="H2618" s="9"/>
      <c r="I2618" s="9"/>
      <c r="J2618" s="9"/>
      <c r="K2618" s="4"/>
      <c r="L2618" s="10"/>
      <c r="M2618" s="54"/>
      <c r="N2618" s="12" t="s">
        <v>200</v>
      </c>
      <c r="O2618" s="12" t="s">
        <v>200</v>
      </c>
      <c r="P2618" s="13"/>
      <c r="Q2618" s="12"/>
      <c r="R2618" s="14"/>
      <c r="S2618" s="15"/>
      <c r="T2618" s="4" t="b">
        <v>0</v>
      </c>
    </row>
    <row r="2619">
      <c r="A2619" s="16"/>
      <c r="B2619" s="17"/>
      <c r="C2619" s="24"/>
      <c r="D2619" s="44"/>
      <c r="E2619" s="19"/>
      <c r="F2619" s="35"/>
      <c r="G2619" s="20">
        <v>1899.0</v>
      </c>
      <c r="H2619" s="21"/>
      <c r="I2619" s="21"/>
      <c r="J2619" s="21"/>
      <c r="K2619" s="16"/>
      <c r="L2619" s="22"/>
      <c r="M2619" s="55"/>
      <c r="N2619" s="23" t="s">
        <v>200</v>
      </c>
      <c r="O2619" s="23" t="s">
        <v>200</v>
      </c>
      <c r="P2619" s="24"/>
      <c r="Q2619" s="23"/>
      <c r="R2619" s="25"/>
      <c r="S2619" s="26"/>
      <c r="T2619" s="16" t="b">
        <v>0</v>
      </c>
    </row>
    <row r="2620">
      <c r="A2620" s="4"/>
      <c r="B2620" s="5"/>
      <c r="C2620" s="13"/>
      <c r="D2620" s="39"/>
      <c r="E2620" s="7"/>
      <c r="F2620" s="34"/>
      <c r="G2620" s="8">
        <v>1899.0</v>
      </c>
      <c r="H2620" s="9"/>
      <c r="I2620" s="9"/>
      <c r="J2620" s="9"/>
      <c r="K2620" s="4"/>
      <c r="L2620" s="10"/>
      <c r="M2620" s="54"/>
      <c r="N2620" s="12" t="s">
        <v>200</v>
      </c>
      <c r="O2620" s="12" t="s">
        <v>200</v>
      </c>
      <c r="P2620" s="13"/>
      <c r="Q2620" s="12"/>
      <c r="R2620" s="14"/>
      <c r="S2620" s="15"/>
      <c r="T2620" s="4" t="b">
        <v>0</v>
      </c>
    </row>
    <row r="2621">
      <c r="A2621" s="16"/>
      <c r="B2621" s="17"/>
      <c r="C2621" s="24"/>
      <c r="D2621" s="44"/>
      <c r="E2621" s="19"/>
      <c r="F2621" s="35"/>
      <c r="G2621" s="20">
        <v>1899.0</v>
      </c>
      <c r="H2621" s="21"/>
      <c r="I2621" s="21"/>
      <c r="J2621" s="21"/>
      <c r="K2621" s="16"/>
      <c r="L2621" s="22"/>
      <c r="M2621" s="55"/>
      <c r="N2621" s="23" t="s">
        <v>200</v>
      </c>
      <c r="O2621" s="23" t="s">
        <v>200</v>
      </c>
      <c r="P2621" s="24"/>
      <c r="Q2621" s="23"/>
      <c r="R2621" s="25"/>
      <c r="S2621" s="26"/>
      <c r="T2621" s="16" t="b">
        <v>0</v>
      </c>
    </row>
    <row r="2622">
      <c r="A2622" s="4"/>
      <c r="B2622" s="5"/>
      <c r="C2622" s="13"/>
      <c r="D2622" s="39"/>
      <c r="E2622" s="7"/>
      <c r="F2622" s="34"/>
      <c r="G2622" s="8">
        <v>1899.0</v>
      </c>
      <c r="H2622" s="9"/>
      <c r="I2622" s="9"/>
      <c r="J2622" s="9"/>
      <c r="K2622" s="4"/>
      <c r="L2622" s="10"/>
      <c r="M2622" s="54"/>
      <c r="N2622" s="12" t="s">
        <v>200</v>
      </c>
      <c r="O2622" s="12" t="s">
        <v>200</v>
      </c>
      <c r="P2622" s="13"/>
      <c r="Q2622" s="12"/>
      <c r="R2622" s="14"/>
      <c r="S2622" s="15"/>
      <c r="T2622" s="4" t="b">
        <v>0</v>
      </c>
    </row>
    <row r="2623">
      <c r="A2623" s="16"/>
      <c r="B2623" s="17"/>
      <c r="C2623" s="24"/>
      <c r="D2623" s="44"/>
      <c r="E2623" s="19"/>
      <c r="F2623" s="35"/>
      <c r="G2623" s="20">
        <v>1899.0</v>
      </c>
      <c r="H2623" s="21"/>
      <c r="I2623" s="21"/>
      <c r="J2623" s="21"/>
      <c r="K2623" s="16"/>
      <c r="L2623" s="22"/>
      <c r="M2623" s="55"/>
      <c r="N2623" s="23" t="s">
        <v>200</v>
      </c>
      <c r="O2623" s="23" t="s">
        <v>200</v>
      </c>
      <c r="P2623" s="24"/>
      <c r="Q2623" s="23"/>
      <c r="R2623" s="25"/>
      <c r="S2623" s="26"/>
      <c r="T2623" s="16" t="b">
        <v>0</v>
      </c>
    </row>
    <row r="2624">
      <c r="A2624" s="4"/>
      <c r="B2624" s="5"/>
      <c r="C2624" s="13"/>
      <c r="D2624" s="39"/>
      <c r="E2624" s="7"/>
      <c r="F2624" s="34"/>
      <c r="G2624" s="8">
        <v>1899.0</v>
      </c>
      <c r="H2624" s="9"/>
      <c r="I2624" s="9"/>
      <c r="J2624" s="9"/>
      <c r="K2624" s="4"/>
      <c r="L2624" s="10"/>
      <c r="M2624" s="54"/>
      <c r="N2624" s="12" t="s">
        <v>200</v>
      </c>
      <c r="O2624" s="12" t="s">
        <v>200</v>
      </c>
      <c r="P2624" s="13"/>
      <c r="Q2624" s="12"/>
      <c r="R2624" s="14"/>
      <c r="S2624" s="15"/>
      <c r="T2624" s="4" t="b">
        <v>0</v>
      </c>
    </row>
    <row r="2625">
      <c r="A2625" s="16"/>
      <c r="B2625" s="17"/>
      <c r="C2625" s="24"/>
      <c r="D2625" s="44"/>
      <c r="E2625" s="19"/>
      <c r="F2625" s="35"/>
      <c r="G2625" s="20">
        <v>1899.0</v>
      </c>
      <c r="H2625" s="21"/>
      <c r="I2625" s="21"/>
      <c r="J2625" s="21"/>
      <c r="K2625" s="16"/>
      <c r="L2625" s="22"/>
      <c r="M2625" s="55"/>
      <c r="N2625" s="23" t="s">
        <v>200</v>
      </c>
      <c r="O2625" s="23" t="s">
        <v>200</v>
      </c>
      <c r="P2625" s="24"/>
      <c r="Q2625" s="23"/>
      <c r="R2625" s="25"/>
      <c r="S2625" s="26"/>
      <c r="T2625" s="16" t="b">
        <v>0</v>
      </c>
    </row>
    <row r="2626">
      <c r="A2626" s="4"/>
      <c r="B2626" s="5"/>
      <c r="C2626" s="13"/>
      <c r="D2626" s="39"/>
      <c r="E2626" s="7"/>
      <c r="F2626" s="34"/>
      <c r="G2626" s="8">
        <v>1899.0</v>
      </c>
      <c r="H2626" s="9"/>
      <c r="I2626" s="9"/>
      <c r="J2626" s="9"/>
      <c r="K2626" s="4"/>
      <c r="L2626" s="10"/>
      <c r="M2626" s="54"/>
      <c r="N2626" s="12" t="s">
        <v>200</v>
      </c>
      <c r="O2626" s="12" t="s">
        <v>200</v>
      </c>
      <c r="P2626" s="13"/>
      <c r="Q2626" s="12"/>
      <c r="R2626" s="14"/>
      <c r="S2626" s="15"/>
      <c r="T2626" s="4" t="b">
        <v>0</v>
      </c>
    </row>
    <row r="2627">
      <c r="A2627" s="16"/>
      <c r="B2627" s="17"/>
      <c r="C2627" s="24"/>
      <c r="D2627" s="44"/>
      <c r="E2627" s="19"/>
      <c r="F2627" s="35"/>
      <c r="G2627" s="20">
        <v>1899.0</v>
      </c>
      <c r="H2627" s="21"/>
      <c r="I2627" s="21"/>
      <c r="J2627" s="21"/>
      <c r="K2627" s="16"/>
      <c r="L2627" s="22"/>
      <c r="M2627" s="55"/>
      <c r="N2627" s="23" t="s">
        <v>200</v>
      </c>
      <c r="O2627" s="23" t="s">
        <v>200</v>
      </c>
      <c r="P2627" s="24"/>
      <c r="Q2627" s="23"/>
      <c r="R2627" s="25"/>
      <c r="S2627" s="26"/>
      <c r="T2627" s="16" t="b">
        <v>0</v>
      </c>
    </row>
    <row r="2628">
      <c r="A2628" s="4"/>
      <c r="B2628" s="5"/>
      <c r="C2628" s="13"/>
      <c r="D2628" s="39"/>
      <c r="E2628" s="7"/>
      <c r="F2628" s="34"/>
      <c r="G2628" s="8">
        <v>1899.0</v>
      </c>
      <c r="H2628" s="9"/>
      <c r="I2628" s="9"/>
      <c r="J2628" s="9"/>
      <c r="K2628" s="4"/>
      <c r="L2628" s="10"/>
      <c r="M2628" s="54"/>
      <c r="N2628" s="12" t="s">
        <v>200</v>
      </c>
      <c r="O2628" s="12" t="s">
        <v>200</v>
      </c>
      <c r="P2628" s="13"/>
      <c r="Q2628" s="12"/>
      <c r="R2628" s="14"/>
      <c r="S2628" s="15"/>
      <c r="T2628" s="4" t="b">
        <v>0</v>
      </c>
    </row>
    <row r="2629">
      <c r="A2629" s="16"/>
      <c r="B2629" s="17"/>
      <c r="C2629" s="24"/>
      <c r="D2629" s="44"/>
      <c r="E2629" s="19"/>
      <c r="F2629" s="35"/>
      <c r="G2629" s="20">
        <v>1899.0</v>
      </c>
      <c r="H2629" s="21"/>
      <c r="I2629" s="21"/>
      <c r="J2629" s="21"/>
      <c r="K2629" s="16"/>
      <c r="L2629" s="22"/>
      <c r="M2629" s="55"/>
      <c r="N2629" s="23" t="s">
        <v>200</v>
      </c>
      <c r="O2629" s="23" t="s">
        <v>200</v>
      </c>
      <c r="P2629" s="24"/>
      <c r="Q2629" s="23"/>
      <c r="R2629" s="25"/>
      <c r="S2629" s="26"/>
      <c r="T2629" s="16" t="b">
        <v>0</v>
      </c>
    </row>
    <row r="2630">
      <c r="A2630" s="4"/>
      <c r="B2630" s="5"/>
      <c r="C2630" s="13"/>
      <c r="D2630" s="39"/>
      <c r="E2630" s="7"/>
      <c r="F2630" s="34"/>
      <c r="G2630" s="8">
        <v>1899.0</v>
      </c>
      <c r="H2630" s="9"/>
      <c r="I2630" s="9"/>
      <c r="J2630" s="9"/>
      <c r="K2630" s="4"/>
      <c r="L2630" s="10"/>
      <c r="M2630" s="54"/>
      <c r="N2630" s="12" t="s">
        <v>200</v>
      </c>
      <c r="O2630" s="12" t="s">
        <v>200</v>
      </c>
      <c r="P2630" s="13"/>
      <c r="Q2630" s="12"/>
      <c r="R2630" s="14"/>
      <c r="S2630" s="15"/>
      <c r="T2630" s="4" t="b">
        <v>0</v>
      </c>
    </row>
    <row r="2631">
      <c r="A2631" s="16"/>
      <c r="B2631" s="17"/>
      <c r="C2631" s="24"/>
      <c r="D2631" s="44"/>
      <c r="E2631" s="19"/>
      <c r="F2631" s="35"/>
      <c r="G2631" s="20">
        <v>1899.0</v>
      </c>
      <c r="H2631" s="21"/>
      <c r="I2631" s="21"/>
      <c r="J2631" s="21"/>
      <c r="K2631" s="16"/>
      <c r="L2631" s="22"/>
      <c r="M2631" s="55"/>
      <c r="N2631" s="23" t="s">
        <v>200</v>
      </c>
      <c r="O2631" s="23" t="s">
        <v>200</v>
      </c>
      <c r="P2631" s="24"/>
      <c r="Q2631" s="23"/>
      <c r="R2631" s="25"/>
      <c r="S2631" s="26"/>
      <c r="T2631" s="16" t="b">
        <v>0</v>
      </c>
    </row>
    <row r="2632">
      <c r="A2632" s="4"/>
      <c r="B2632" s="5"/>
      <c r="C2632" s="13"/>
      <c r="D2632" s="39"/>
      <c r="E2632" s="7"/>
      <c r="F2632" s="34"/>
      <c r="G2632" s="8">
        <v>1899.0</v>
      </c>
      <c r="H2632" s="9"/>
      <c r="I2632" s="9"/>
      <c r="J2632" s="9"/>
      <c r="K2632" s="4"/>
      <c r="L2632" s="10"/>
      <c r="M2632" s="54"/>
      <c r="N2632" s="12" t="s">
        <v>200</v>
      </c>
      <c r="O2632" s="12" t="s">
        <v>200</v>
      </c>
      <c r="P2632" s="13"/>
      <c r="Q2632" s="12"/>
      <c r="R2632" s="14"/>
      <c r="S2632" s="15"/>
      <c r="T2632" s="4" t="b">
        <v>0</v>
      </c>
    </row>
    <row r="2633">
      <c r="A2633" s="16"/>
      <c r="B2633" s="17"/>
      <c r="C2633" s="24"/>
      <c r="D2633" s="44"/>
      <c r="E2633" s="19"/>
      <c r="F2633" s="35"/>
      <c r="G2633" s="20">
        <v>1899.0</v>
      </c>
      <c r="H2633" s="21"/>
      <c r="I2633" s="21"/>
      <c r="J2633" s="21"/>
      <c r="K2633" s="16"/>
      <c r="L2633" s="22"/>
      <c r="M2633" s="55"/>
      <c r="N2633" s="23" t="s">
        <v>200</v>
      </c>
      <c r="O2633" s="23" t="s">
        <v>200</v>
      </c>
      <c r="P2633" s="24"/>
      <c r="Q2633" s="23"/>
      <c r="R2633" s="25"/>
      <c r="S2633" s="26"/>
      <c r="T2633" s="16" t="b">
        <v>0</v>
      </c>
    </row>
    <row r="2634">
      <c r="A2634" s="4"/>
      <c r="B2634" s="5"/>
      <c r="C2634" s="13"/>
      <c r="D2634" s="39"/>
      <c r="E2634" s="7"/>
      <c r="F2634" s="34"/>
      <c r="G2634" s="8">
        <v>1899.0</v>
      </c>
      <c r="H2634" s="9"/>
      <c r="I2634" s="9"/>
      <c r="J2634" s="9"/>
      <c r="K2634" s="4"/>
      <c r="L2634" s="10"/>
      <c r="M2634" s="54"/>
      <c r="N2634" s="12" t="s">
        <v>200</v>
      </c>
      <c r="O2634" s="12" t="s">
        <v>200</v>
      </c>
      <c r="P2634" s="13"/>
      <c r="Q2634" s="12"/>
      <c r="R2634" s="14"/>
      <c r="S2634" s="15"/>
      <c r="T2634" s="4" t="b">
        <v>0</v>
      </c>
    </row>
    <row r="2635">
      <c r="A2635" s="16"/>
      <c r="B2635" s="17"/>
      <c r="C2635" s="24"/>
      <c r="D2635" s="44"/>
      <c r="E2635" s="19"/>
      <c r="F2635" s="35"/>
      <c r="G2635" s="20">
        <v>1899.0</v>
      </c>
      <c r="H2635" s="21"/>
      <c r="I2635" s="21"/>
      <c r="J2635" s="21"/>
      <c r="K2635" s="16"/>
      <c r="L2635" s="22"/>
      <c r="M2635" s="55"/>
      <c r="N2635" s="23" t="s">
        <v>200</v>
      </c>
      <c r="O2635" s="23" t="s">
        <v>200</v>
      </c>
      <c r="P2635" s="24"/>
      <c r="Q2635" s="23"/>
      <c r="R2635" s="25"/>
      <c r="S2635" s="26"/>
      <c r="T2635" s="16" t="b">
        <v>0</v>
      </c>
    </row>
    <row r="2636">
      <c r="A2636" s="4"/>
      <c r="B2636" s="5"/>
      <c r="C2636" s="13"/>
      <c r="D2636" s="39"/>
      <c r="E2636" s="7"/>
      <c r="F2636" s="34"/>
      <c r="G2636" s="8">
        <v>1899.0</v>
      </c>
      <c r="H2636" s="9"/>
      <c r="I2636" s="9"/>
      <c r="J2636" s="9"/>
      <c r="K2636" s="4"/>
      <c r="L2636" s="10"/>
      <c r="M2636" s="54"/>
      <c r="N2636" s="12" t="s">
        <v>200</v>
      </c>
      <c r="O2636" s="12" t="s">
        <v>200</v>
      </c>
      <c r="P2636" s="13"/>
      <c r="Q2636" s="12"/>
      <c r="R2636" s="14"/>
      <c r="S2636" s="15"/>
      <c r="T2636" s="4" t="b">
        <v>0</v>
      </c>
    </row>
    <row r="2637">
      <c r="A2637" s="16"/>
      <c r="B2637" s="17"/>
      <c r="C2637" s="24"/>
      <c r="D2637" s="44"/>
      <c r="E2637" s="19"/>
      <c r="F2637" s="35"/>
      <c r="G2637" s="20">
        <v>1899.0</v>
      </c>
      <c r="H2637" s="21"/>
      <c r="I2637" s="21"/>
      <c r="J2637" s="21"/>
      <c r="K2637" s="16"/>
      <c r="L2637" s="22"/>
      <c r="M2637" s="55"/>
      <c r="N2637" s="23" t="s">
        <v>200</v>
      </c>
      <c r="O2637" s="23" t="s">
        <v>200</v>
      </c>
      <c r="P2637" s="24"/>
      <c r="Q2637" s="23"/>
      <c r="R2637" s="25"/>
      <c r="S2637" s="26"/>
      <c r="T2637" s="16" t="b">
        <v>0</v>
      </c>
    </row>
    <row r="2638">
      <c r="A2638" s="4"/>
      <c r="B2638" s="5"/>
      <c r="C2638" s="13"/>
      <c r="D2638" s="39"/>
      <c r="E2638" s="7"/>
      <c r="F2638" s="34"/>
      <c r="G2638" s="8">
        <v>1899.0</v>
      </c>
      <c r="H2638" s="9"/>
      <c r="I2638" s="9"/>
      <c r="J2638" s="9"/>
      <c r="K2638" s="4"/>
      <c r="L2638" s="10"/>
      <c r="M2638" s="54"/>
      <c r="N2638" s="12" t="s">
        <v>200</v>
      </c>
      <c r="O2638" s="12" t="s">
        <v>200</v>
      </c>
      <c r="P2638" s="13"/>
      <c r="Q2638" s="12"/>
      <c r="R2638" s="14"/>
      <c r="S2638" s="15"/>
      <c r="T2638" s="4" t="b">
        <v>0</v>
      </c>
    </row>
    <row r="2639">
      <c r="A2639" s="16"/>
      <c r="B2639" s="17"/>
      <c r="C2639" s="24"/>
      <c r="D2639" s="44"/>
      <c r="E2639" s="19"/>
      <c r="F2639" s="35"/>
      <c r="G2639" s="20">
        <v>1899.0</v>
      </c>
      <c r="H2639" s="21"/>
      <c r="I2639" s="21"/>
      <c r="J2639" s="21"/>
      <c r="K2639" s="16"/>
      <c r="L2639" s="22"/>
      <c r="M2639" s="55"/>
      <c r="N2639" s="23" t="s">
        <v>200</v>
      </c>
      <c r="O2639" s="23" t="s">
        <v>200</v>
      </c>
      <c r="P2639" s="24"/>
      <c r="Q2639" s="23"/>
      <c r="R2639" s="25"/>
      <c r="S2639" s="26"/>
      <c r="T2639" s="16" t="b">
        <v>0</v>
      </c>
    </row>
    <row r="2640">
      <c r="A2640" s="4"/>
      <c r="B2640" s="5"/>
      <c r="C2640" s="13"/>
      <c r="D2640" s="39"/>
      <c r="E2640" s="7"/>
      <c r="F2640" s="34"/>
      <c r="G2640" s="8">
        <v>1899.0</v>
      </c>
      <c r="H2640" s="9"/>
      <c r="I2640" s="9"/>
      <c r="J2640" s="9"/>
      <c r="K2640" s="4"/>
      <c r="L2640" s="10"/>
      <c r="M2640" s="54"/>
      <c r="N2640" s="12" t="s">
        <v>200</v>
      </c>
      <c r="O2640" s="12" t="s">
        <v>200</v>
      </c>
      <c r="P2640" s="13"/>
      <c r="Q2640" s="12"/>
      <c r="R2640" s="14"/>
      <c r="S2640" s="15"/>
      <c r="T2640" s="4" t="b">
        <v>0</v>
      </c>
    </row>
    <row r="2641">
      <c r="A2641" s="16"/>
      <c r="B2641" s="17"/>
      <c r="C2641" s="24"/>
      <c r="D2641" s="44"/>
      <c r="E2641" s="19"/>
      <c r="F2641" s="35"/>
      <c r="G2641" s="20">
        <v>1899.0</v>
      </c>
      <c r="H2641" s="21"/>
      <c r="I2641" s="21"/>
      <c r="J2641" s="21"/>
      <c r="K2641" s="16"/>
      <c r="L2641" s="22"/>
      <c r="M2641" s="55"/>
      <c r="N2641" s="23" t="s">
        <v>200</v>
      </c>
      <c r="O2641" s="23" t="s">
        <v>200</v>
      </c>
      <c r="P2641" s="24"/>
      <c r="Q2641" s="23"/>
      <c r="R2641" s="25"/>
      <c r="S2641" s="26"/>
      <c r="T2641" s="16" t="b">
        <v>0</v>
      </c>
    </row>
    <row r="2642">
      <c r="A2642" s="4"/>
      <c r="B2642" s="5"/>
      <c r="C2642" s="13"/>
      <c r="D2642" s="39"/>
      <c r="E2642" s="7"/>
      <c r="F2642" s="34"/>
      <c r="G2642" s="8">
        <v>1899.0</v>
      </c>
      <c r="H2642" s="9"/>
      <c r="I2642" s="9"/>
      <c r="J2642" s="9"/>
      <c r="K2642" s="4"/>
      <c r="L2642" s="10"/>
      <c r="M2642" s="54"/>
      <c r="N2642" s="12" t="s">
        <v>200</v>
      </c>
      <c r="O2642" s="12" t="s">
        <v>200</v>
      </c>
      <c r="P2642" s="13"/>
      <c r="Q2642" s="12"/>
      <c r="R2642" s="14"/>
      <c r="S2642" s="15"/>
      <c r="T2642" s="4" t="b">
        <v>0</v>
      </c>
    </row>
    <row r="2643">
      <c r="A2643" s="16"/>
      <c r="B2643" s="17"/>
      <c r="C2643" s="24"/>
      <c r="D2643" s="44"/>
      <c r="E2643" s="19"/>
      <c r="F2643" s="35"/>
      <c r="G2643" s="20">
        <v>1899.0</v>
      </c>
      <c r="H2643" s="21"/>
      <c r="I2643" s="21"/>
      <c r="J2643" s="21"/>
      <c r="K2643" s="16"/>
      <c r="L2643" s="22"/>
      <c r="M2643" s="55"/>
      <c r="N2643" s="23" t="s">
        <v>200</v>
      </c>
      <c r="O2643" s="23" t="s">
        <v>200</v>
      </c>
      <c r="P2643" s="24"/>
      <c r="Q2643" s="23"/>
      <c r="R2643" s="25"/>
      <c r="S2643" s="26"/>
      <c r="T2643" s="16" t="b">
        <v>0</v>
      </c>
    </row>
    <row r="2644">
      <c r="A2644" s="4"/>
      <c r="B2644" s="5"/>
      <c r="C2644" s="13"/>
      <c r="D2644" s="39"/>
      <c r="E2644" s="7"/>
      <c r="F2644" s="34"/>
      <c r="G2644" s="8">
        <v>1899.0</v>
      </c>
      <c r="H2644" s="9"/>
      <c r="I2644" s="9"/>
      <c r="J2644" s="9"/>
      <c r="K2644" s="4"/>
      <c r="L2644" s="10"/>
      <c r="M2644" s="54"/>
      <c r="N2644" s="12" t="s">
        <v>200</v>
      </c>
      <c r="O2644" s="12" t="s">
        <v>200</v>
      </c>
      <c r="P2644" s="13"/>
      <c r="Q2644" s="12"/>
      <c r="R2644" s="14"/>
      <c r="S2644" s="15"/>
      <c r="T2644" s="4" t="b">
        <v>0</v>
      </c>
    </row>
    <row r="2645">
      <c r="A2645" s="16"/>
      <c r="B2645" s="17"/>
      <c r="C2645" s="24"/>
      <c r="D2645" s="44"/>
      <c r="E2645" s="19"/>
      <c r="F2645" s="35"/>
      <c r="G2645" s="20">
        <v>1899.0</v>
      </c>
      <c r="H2645" s="21"/>
      <c r="I2645" s="21"/>
      <c r="J2645" s="21"/>
      <c r="K2645" s="16"/>
      <c r="L2645" s="22"/>
      <c r="M2645" s="55"/>
      <c r="N2645" s="23" t="s">
        <v>200</v>
      </c>
      <c r="O2645" s="23" t="s">
        <v>200</v>
      </c>
      <c r="P2645" s="24"/>
      <c r="Q2645" s="23"/>
      <c r="R2645" s="25"/>
      <c r="S2645" s="26"/>
      <c r="T2645" s="16" t="b">
        <v>0</v>
      </c>
    </row>
    <row r="2646">
      <c r="A2646" s="4"/>
      <c r="B2646" s="5"/>
      <c r="C2646" s="13"/>
      <c r="D2646" s="39"/>
      <c r="E2646" s="7"/>
      <c r="F2646" s="34"/>
      <c r="G2646" s="8">
        <v>1899.0</v>
      </c>
      <c r="H2646" s="9"/>
      <c r="I2646" s="9"/>
      <c r="J2646" s="9"/>
      <c r="K2646" s="4"/>
      <c r="L2646" s="10"/>
      <c r="M2646" s="54"/>
      <c r="N2646" s="12" t="s">
        <v>200</v>
      </c>
      <c r="O2646" s="12" t="s">
        <v>200</v>
      </c>
      <c r="P2646" s="13"/>
      <c r="Q2646" s="12"/>
      <c r="R2646" s="14"/>
      <c r="S2646" s="15"/>
      <c r="T2646" s="4" t="b">
        <v>0</v>
      </c>
    </row>
    <row r="2647">
      <c r="A2647" s="16"/>
      <c r="B2647" s="17"/>
      <c r="C2647" s="24"/>
      <c r="D2647" s="44"/>
      <c r="E2647" s="19"/>
      <c r="F2647" s="35"/>
      <c r="G2647" s="20">
        <v>1899.0</v>
      </c>
      <c r="H2647" s="21"/>
      <c r="I2647" s="21"/>
      <c r="J2647" s="21"/>
      <c r="K2647" s="16"/>
      <c r="L2647" s="22"/>
      <c r="M2647" s="55"/>
      <c r="N2647" s="23" t="s">
        <v>200</v>
      </c>
      <c r="O2647" s="23" t="s">
        <v>200</v>
      </c>
      <c r="P2647" s="24"/>
      <c r="Q2647" s="23"/>
      <c r="R2647" s="25"/>
      <c r="S2647" s="26"/>
      <c r="T2647" s="16" t="b">
        <v>0</v>
      </c>
    </row>
    <row r="2648">
      <c r="A2648" s="4"/>
      <c r="B2648" s="5"/>
      <c r="C2648" s="13"/>
      <c r="D2648" s="39"/>
      <c r="E2648" s="7"/>
      <c r="F2648" s="34"/>
      <c r="G2648" s="8">
        <v>1899.0</v>
      </c>
      <c r="H2648" s="9"/>
      <c r="I2648" s="9"/>
      <c r="J2648" s="9"/>
      <c r="K2648" s="4"/>
      <c r="L2648" s="10"/>
      <c r="M2648" s="54"/>
      <c r="N2648" s="12" t="s">
        <v>200</v>
      </c>
      <c r="O2648" s="12" t="s">
        <v>200</v>
      </c>
      <c r="P2648" s="13"/>
      <c r="Q2648" s="12"/>
      <c r="R2648" s="14"/>
      <c r="S2648" s="15"/>
      <c r="T2648" s="4" t="b">
        <v>0</v>
      </c>
    </row>
    <row r="2649">
      <c r="A2649" s="16"/>
      <c r="B2649" s="17"/>
      <c r="C2649" s="24"/>
      <c r="D2649" s="44"/>
      <c r="E2649" s="19"/>
      <c r="F2649" s="35"/>
      <c r="G2649" s="20">
        <v>1899.0</v>
      </c>
      <c r="H2649" s="21"/>
      <c r="I2649" s="21"/>
      <c r="J2649" s="21"/>
      <c r="K2649" s="16"/>
      <c r="L2649" s="22"/>
      <c r="M2649" s="55"/>
      <c r="N2649" s="23" t="s">
        <v>200</v>
      </c>
      <c r="O2649" s="23" t="s">
        <v>200</v>
      </c>
      <c r="P2649" s="24"/>
      <c r="Q2649" s="23"/>
      <c r="R2649" s="25"/>
      <c r="S2649" s="26"/>
      <c r="T2649" s="16" t="b">
        <v>0</v>
      </c>
    </row>
    <row r="2650">
      <c r="A2650" s="4"/>
      <c r="B2650" s="5"/>
      <c r="C2650" s="13"/>
      <c r="D2650" s="39"/>
      <c r="E2650" s="7"/>
      <c r="F2650" s="34"/>
      <c r="G2650" s="8">
        <v>1899.0</v>
      </c>
      <c r="H2650" s="9"/>
      <c r="I2650" s="9"/>
      <c r="J2650" s="9"/>
      <c r="K2650" s="4"/>
      <c r="L2650" s="10"/>
      <c r="M2650" s="54"/>
      <c r="N2650" s="12" t="s">
        <v>200</v>
      </c>
      <c r="O2650" s="12" t="s">
        <v>200</v>
      </c>
      <c r="P2650" s="13"/>
      <c r="Q2650" s="12"/>
      <c r="R2650" s="14"/>
      <c r="S2650" s="15"/>
      <c r="T2650" s="4" t="b">
        <v>0</v>
      </c>
    </row>
    <row r="2651">
      <c r="A2651" s="16"/>
      <c r="B2651" s="17"/>
      <c r="C2651" s="24"/>
      <c r="D2651" s="44"/>
      <c r="E2651" s="19"/>
      <c r="F2651" s="35"/>
      <c r="G2651" s="20">
        <v>1899.0</v>
      </c>
      <c r="H2651" s="21"/>
      <c r="I2651" s="21"/>
      <c r="J2651" s="21"/>
      <c r="K2651" s="16"/>
      <c r="L2651" s="22"/>
      <c r="M2651" s="55"/>
      <c r="N2651" s="23" t="s">
        <v>200</v>
      </c>
      <c r="O2651" s="23" t="s">
        <v>200</v>
      </c>
      <c r="P2651" s="24"/>
      <c r="Q2651" s="23"/>
      <c r="R2651" s="25"/>
      <c r="S2651" s="26"/>
      <c r="T2651" s="16" t="b">
        <v>0</v>
      </c>
    </row>
    <row r="2652">
      <c r="A2652" s="4"/>
      <c r="B2652" s="5"/>
      <c r="C2652" s="13"/>
      <c r="D2652" s="39"/>
      <c r="E2652" s="7"/>
      <c r="F2652" s="34"/>
      <c r="G2652" s="8">
        <v>1899.0</v>
      </c>
      <c r="H2652" s="9"/>
      <c r="I2652" s="9"/>
      <c r="J2652" s="9"/>
      <c r="K2652" s="4"/>
      <c r="L2652" s="10"/>
      <c r="M2652" s="54"/>
      <c r="N2652" s="12" t="s">
        <v>200</v>
      </c>
      <c r="O2652" s="12" t="s">
        <v>200</v>
      </c>
      <c r="P2652" s="13"/>
      <c r="Q2652" s="12"/>
      <c r="R2652" s="14"/>
      <c r="S2652" s="15"/>
      <c r="T2652" s="4" t="b">
        <v>0</v>
      </c>
    </row>
    <row r="2653">
      <c r="A2653" s="16"/>
      <c r="B2653" s="17"/>
      <c r="C2653" s="24"/>
      <c r="D2653" s="44"/>
      <c r="E2653" s="19"/>
      <c r="F2653" s="35"/>
      <c r="G2653" s="20">
        <v>1899.0</v>
      </c>
      <c r="H2653" s="21"/>
      <c r="I2653" s="21"/>
      <c r="J2653" s="21"/>
      <c r="K2653" s="16"/>
      <c r="L2653" s="22"/>
      <c r="M2653" s="55"/>
      <c r="N2653" s="23" t="s">
        <v>200</v>
      </c>
      <c r="O2653" s="23" t="s">
        <v>200</v>
      </c>
      <c r="P2653" s="24"/>
      <c r="Q2653" s="23"/>
      <c r="R2653" s="25"/>
      <c r="S2653" s="26"/>
      <c r="T2653" s="16" t="b">
        <v>0</v>
      </c>
    </row>
    <row r="2654">
      <c r="A2654" s="4"/>
      <c r="B2654" s="5"/>
      <c r="C2654" s="13"/>
      <c r="D2654" s="39"/>
      <c r="E2654" s="7"/>
      <c r="F2654" s="34"/>
      <c r="G2654" s="8">
        <v>1899.0</v>
      </c>
      <c r="H2654" s="9"/>
      <c r="I2654" s="9"/>
      <c r="J2654" s="9"/>
      <c r="K2654" s="4"/>
      <c r="L2654" s="10"/>
      <c r="M2654" s="54"/>
      <c r="N2654" s="12" t="s">
        <v>200</v>
      </c>
      <c r="O2654" s="12" t="s">
        <v>200</v>
      </c>
      <c r="P2654" s="13"/>
      <c r="Q2654" s="12"/>
      <c r="R2654" s="14"/>
      <c r="S2654" s="15"/>
      <c r="T2654" s="4" t="b">
        <v>0</v>
      </c>
    </row>
    <row r="2655">
      <c r="A2655" s="16"/>
      <c r="B2655" s="17"/>
      <c r="C2655" s="24"/>
      <c r="D2655" s="44"/>
      <c r="E2655" s="19"/>
      <c r="F2655" s="35"/>
      <c r="G2655" s="20">
        <v>1899.0</v>
      </c>
      <c r="H2655" s="21"/>
      <c r="I2655" s="21"/>
      <c r="J2655" s="21"/>
      <c r="K2655" s="16"/>
      <c r="L2655" s="22"/>
      <c r="M2655" s="55"/>
      <c r="N2655" s="23" t="s">
        <v>200</v>
      </c>
      <c r="O2655" s="23" t="s">
        <v>200</v>
      </c>
      <c r="P2655" s="24"/>
      <c r="Q2655" s="23"/>
      <c r="R2655" s="25"/>
      <c r="S2655" s="26"/>
      <c r="T2655" s="16" t="b">
        <v>0</v>
      </c>
    </row>
    <row r="2656">
      <c r="A2656" s="4"/>
      <c r="B2656" s="5"/>
      <c r="C2656" s="13"/>
      <c r="D2656" s="39"/>
      <c r="E2656" s="7"/>
      <c r="F2656" s="34"/>
      <c r="G2656" s="8">
        <v>1899.0</v>
      </c>
      <c r="H2656" s="9"/>
      <c r="I2656" s="9"/>
      <c r="J2656" s="9"/>
      <c r="K2656" s="4"/>
      <c r="L2656" s="10"/>
      <c r="M2656" s="54"/>
      <c r="N2656" s="12" t="s">
        <v>200</v>
      </c>
      <c r="O2656" s="12" t="s">
        <v>200</v>
      </c>
      <c r="P2656" s="13"/>
      <c r="Q2656" s="12"/>
      <c r="R2656" s="14"/>
      <c r="S2656" s="15"/>
      <c r="T2656" s="4" t="b">
        <v>0</v>
      </c>
    </row>
    <row r="2657">
      <c r="A2657" s="16"/>
      <c r="B2657" s="17"/>
      <c r="C2657" s="24"/>
      <c r="D2657" s="44"/>
      <c r="E2657" s="19"/>
      <c r="F2657" s="35"/>
      <c r="G2657" s="20">
        <v>1899.0</v>
      </c>
      <c r="H2657" s="21"/>
      <c r="I2657" s="21"/>
      <c r="J2657" s="21"/>
      <c r="K2657" s="16"/>
      <c r="L2657" s="22"/>
      <c r="M2657" s="55"/>
      <c r="N2657" s="23" t="s">
        <v>200</v>
      </c>
      <c r="O2657" s="23" t="s">
        <v>200</v>
      </c>
      <c r="P2657" s="24"/>
      <c r="Q2657" s="23"/>
      <c r="R2657" s="25"/>
      <c r="S2657" s="26"/>
      <c r="T2657" s="16" t="b">
        <v>0</v>
      </c>
    </row>
    <row r="2658">
      <c r="A2658" s="4"/>
      <c r="B2658" s="5"/>
      <c r="C2658" s="13"/>
      <c r="D2658" s="39"/>
      <c r="E2658" s="7"/>
      <c r="F2658" s="34"/>
      <c r="G2658" s="8">
        <v>1899.0</v>
      </c>
      <c r="H2658" s="9"/>
      <c r="I2658" s="9"/>
      <c r="J2658" s="9"/>
      <c r="K2658" s="4"/>
      <c r="L2658" s="10"/>
      <c r="M2658" s="54"/>
      <c r="N2658" s="12" t="s">
        <v>200</v>
      </c>
      <c r="O2658" s="12" t="s">
        <v>200</v>
      </c>
      <c r="P2658" s="13"/>
      <c r="Q2658" s="12"/>
      <c r="R2658" s="14"/>
      <c r="S2658" s="15"/>
      <c r="T2658" s="4" t="b">
        <v>0</v>
      </c>
    </row>
    <row r="2659">
      <c r="A2659" s="16"/>
      <c r="B2659" s="17"/>
      <c r="C2659" s="24"/>
      <c r="D2659" s="44"/>
      <c r="E2659" s="19"/>
      <c r="F2659" s="35"/>
      <c r="G2659" s="20">
        <v>1899.0</v>
      </c>
      <c r="H2659" s="21"/>
      <c r="I2659" s="21"/>
      <c r="J2659" s="21"/>
      <c r="K2659" s="16"/>
      <c r="L2659" s="22"/>
      <c r="M2659" s="55"/>
      <c r="N2659" s="23" t="s">
        <v>200</v>
      </c>
      <c r="O2659" s="23" t="s">
        <v>200</v>
      </c>
      <c r="P2659" s="24"/>
      <c r="Q2659" s="23"/>
      <c r="R2659" s="25"/>
      <c r="S2659" s="26"/>
      <c r="T2659" s="16" t="b">
        <v>0</v>
      </c>
    </row>
    <row r="2660">
      <c r="A2660" s="4"/>
      <c r="B2660" s="5"/>
      <c r="C2660" s="13"/>
      <c r="D2660" s="39"/>
      <c r="E2660" s="7"/>
      <c r="F2660" s="34"/>
      <c r="G2660" s="8">
        <v>1899.0</v>
      </c>
      <c r="H2660" s="9"/>
      <c r="I2660" s="9"/>
      <c r="J2660" s="9"/>
      <c r="K2660" s="4"/>
      <c r="L2660" s="10"/>
      <c r="M2660" s="54"/>
      <c r="N2660" s="12" t="s">
        <v>200</v>
      </c>
      <c r="O2660" s="12" t="s">
        <v>200</v>
      </c>
      <c r="P2660" s="13"/>
      <c r="Q2660" s="12"/>
      <c r="R2660" s="14"/>
      <c r="S2660" s="15"/>
      <c r="T2660" s="4" t="b">
        <v>0</v>
      </c>
    </row>
    <row r="2661">
      <c r="A2661" s="16"/>
      <c r="B2661" s="17"/>
      <c r="C2661" s="24"/>
      <c r="D2661" s="44"/>
      <c r="E2661" s="19"/>
      <c r="F2661" s="35"/>
      <c r="G2661" s="20">
        <v>1899.0</v>
      </c>
      <c r="H2661" s="21"/>
      <c r="I2661" s="21"/>
      <c r="J2661" s="21"/>
      <c r="K2661" s="16"/>
      <c r="L2661" s="22"/>
      <c r="M2661" s="55"/>
      <c r="N2661" s="23" t="s">
        <v>200</v>
      </c>
      <c r="O2661" s="23" t="s">
        <v>200</v>
      </c>
      <c r="P2661" s="24"/>
      <c r="Q2661" s="23"/>
      <c r="R2661" s="25"/>
      <c r="S2661" s="26"/>
      <c r="T2661" s="16" t="b">
        <v>0</v>
      </c>
    </row>
    <row r="2662">
      <c r="A2662" s="4"/>
      <c r="B2662" s="5"/>
      <c r="C2662" s="13"/>
      <c r="D2662" s="39"/>
      <c r="E2662" s="7"/>
      <c r="F2662" s="34"/>
      <c r="G2662" s="8">
        <v>1899.0</v>
      </c>
      <c r="H2662" s="9"/>
      <c r="I2662" s="9"/>
      <c r="J2662" s="9"/>
      <c r="K2662" s="4"/>
      <c r="L2662" s="10"/>
      <c r="M2662" s="54"/>
      <c r="N2662" s="12" t="s">
        <v>200</v>
      </c>
      <c r="O2662" s="12" t="s">
        <v>200</v>
      </c>
      <c r="P2662" s="13"/>
      <c r="Q2662" s="12"/>
      <c r="R2662" s="14"/>
      <c r="S2662" s="15"/>
      <c r="T2662" s="4" t="b">
        <v>0</v>
      </c>
    </row>
    <row r="2663">
      <c r="A2663" s="16"/>
      <c r="B2663" s="17"/>
      <c r="C2663" s="24"/>
      <c r="D2663" s="44"/>
      <c r="E2663" s="19"/>
      <c r="F2663" s="35"/>
      <c r="G2663" s="20">
        <v>1899.0</v>
      </c>
      <c r="H2663" s="21"/>
      <c r="I2663" s="21"/>
      <c r="J2663" s="21"/>
      <c r="K2663" s="16"/>
      <c r="L2663" s="22"/>
      <c r="M2663" s="55"/>
      <c r="N2663" s="23" t="s">
        <v>200</v>
      </c>
      <c r="O2663" s="23" t="s">
        <v>200</v>
      </c>
      <c r="P2663" s="24"/>
      <c r="Q2663" s="23"/>
      <c r="R2663" s="25"/>
      <c r="S2663" s="26"/>
      <c r="T2663" s="16" t="b">
        <v>0</v>
      </c>
    </row>
    <row r="2664">
      <c r="A2664" s="4"/>
      <c r="B2664" s="5"/>
      <c r="C2664" s="13"/>
      <c r="D2664" s="39"/>
      <c r="E2664" s="7"/>
      <c r="F2664" s="34"/>
      <c r="G2664" s="8">
        <v>1899.0</v>
      </c>
      <c r="H2664" s="9"/>
      <c r="I2664" s="9"/>
      <c r="J2664" s="9"/>
      <c r="K2664" s="4"/>
      <c r="L2664" s="10"/>
      <c r="M2664" s="54"/>
      <c r="N2664" s="12" t="s">
        <v>200</v>
      </c>
      <c r="O2664" s="12" t="s">
        <v>200</v>
      </c>
      <c r="P2664" s="13"/>
      <c r="Q2664" s="12"/>
      <c r="R2664" s="14"/>
      <c r="S2664" s="15"/>
      <c r="T2664" s="4" t="b">
        <v>0</v>
      </c>
    </row>
    <row r="2665">
      <c r="A2665" s="16"/>
      <c r="B2665" s="17"/>
      <c r="C2665" s="24"/>
      <c r="D2665" s="44"/>
      <c r="E2665" s="19"/>
      <c r="F2665" s="35"/>
      <c r="G2665" s="20">
        <v>1899.0</v>
      </c>
      <c r="H2665" s="21"/>
      <c r="I2665" s="21"/>
      <c r="J2665" s="21"/>
      <c r="K2665" s="16"/>
      <c r="L2665" s="22"/>
      <c r="M2665" s="55"/>
      <c r="N2665" s="23" t="s">
        <v>200</v>
      </c>
      <c r="O2665" s="23" t="s">
        <v>200</v>
      </c>
      <c r="P2665" s="24"/>
      <c r="Q2665" s="23"/>
      <c r="R2665" s="25"/>
      <c r="S2665" s="26"/>
      <c r="T2665" s="16" t="b">
        <v>0</v>
      </c>
    </row>
    <row r="2666">
      <c r="A2666" s="4"/>
      <c r="B2666" s="5"/>
      <c r="C2666" s="13"/>
      <c r="D2666" s="39"/>
      <c r="E2666" s="7"/>
      <c r="F2666" s="34"/>
      <c r="G2666" s="8">
        <v>1899.0</v>
      </c>
      <c r="H2666" s="9"/>
      <c r="I2666" s="9"/>
      <c r="J2666" s="9"/>
      <c r="K2666" s="4"/>
      <c r="L2666" s="10"/>
      <c r="M2666" s="54"/>
      <c r="N2666" s="12" t="s">
        <v>200</v>
      </c>
      <c r="O2666" s="12" t="s">
        <v>200</v>
      </c>
      <c r="P2666" s="13"/>
      <c r="Q2666" s="12"/>
      <c r="R2666" s="14"/>
      <c r="S2666" s="15"/>
      <c r="T2666" s="4" t="b">
        <v>0</v>
      </c>
    </row>
    <row r="2667">
      <c r="A2667" s="16"/>
      <c r="B2667" s="17"/>
      <c r="C2667" s="24"/>
      <c r="D2667" s="44"/>
      <c r="E2667" s="19"/>
      <c r="F2667" s="35"/>
      <c r="G2667" s="20">
        <v>1899.0</v>
      </c>
      <c r="H2667" s="21"/>
      <c r="I2667" s="21"/>
      <c r="J2667" s="21"/>
      <c r="K2667" s="16"/>
      <c r="L2667" s="22"/>
      <c r="M2667" s="55"/>
      <c r="N2667" s="23" t="s">
        <v>200</v>
      </c>
      <c r="O2667" s="23" t="s">
        <v>200</v>
      </c>
      <c r="P2667" s="24"/>
      <c r="Q2667" s="23"/>
      <c r="R2667" s="25"/>
      <c r="S2667" s="26"/>
      <c r="T2667" s="16" t="b">
        <v>0</v>
      </c>
    </row>
    <row r="2668">
      <c r="A2668" s="4"/>
      <c r="B2668" s="5"/>
      <c r="C2668" s="13"/>
      <c r="D2668" s="39"/>
      <c r="E2668" s="7"/>
      <c r="F2668" s="34"/>
      <c r="G2668" s="8">
        <v>1899.0</v>
      </c>
      <c r="H2668" s="9"/>
      <c r="I2668" s="9"/>
      <c r="J2668" s="9"/>
      <c r="K2668" s="4"/>
      <c r="L2668" s="10"/>
      <c r="M2668" s="54"/>
      <c r="N2668" s="12" t="s">
        <v>200</v>
      </c>
      <c r="O2668" s="12" t="s">
        <v>200</v>
      </c>
      <c r="P2668" s="13"/>
      <c r="Q2668" s="12"/>
      <c r="R2668" s="14"/>
      <c r="S2668" s="15"/>
      <c r="T2668" s="4" t="b">
        <v>0</v>
      </c>
    </row>
    <row r="2669">
      <c r="A2669" s="16"/>
      <c r="B2669" s="17"/>
      <c r="C2669" s="24"/>
      <c r="D2669" s="44"/>
      <c r="E2669" s="19"/>
      <c r="F2669" s="35"/>
      <c r="G2669" s="20">
        <v>1899.0</v>
      </c>
      <c r="H2669" s="21"/>
      <c r="I2669" s="21"/>
      <c r="J2669" s="21"/>
      <c r="K2669" s="16"/>
      <c r="L2669" s="22"/>
      <c r="M2669" s="55"/>
      <c r="N2669" s="23" t="s">
        <v>200</v>
      </c>
      <c r="O2669" s="23" t="s">
        <v>200</v>
      </c>
      <c r="P2669" s="24"/>
      <c r="Q2669" s="23"/>
      <c r="R2669" s="25"/>
      <c r="S2669" s="26"/>
      <c r="T2669" s="16" t="b">
        <v>0</v>
      </c>
    </row>
    <row r="2670">
      <c r="A2670" s="4"/>
      <c r="B2670" s="5"/>
      <c r="C2670" s="13"/>
      <c r="D2670" s="39"/>
      <c r="E2670" s="7"/>
      <c r="F2670" s="34"/>
      <c r="G2670" s="8">
        <v>1899.0</v>
      </c>
      <c r="H2670" s="9"/>
      <c r="I2670" s="9"/>
      <c r="J2670" s="9"/>
      <c r="K2670" s="4"/>
      <c r="L2670" s="10"/>
      <c r="M2670" s="54"/>
      <c r="N2670" s="12" t="s">
        <v>200</v>
      </c>
      <c r="O2670" s="12" t="s">
        <v>200</v>
      </c>
      <c r="P2670" s="13"/>
      <c r="Q2670" s="12"/>
      <c r="R2670" s="14"/>
      <c r="S2670" s="15"/>
      <c r="T2670" s="4" t="b">
        <v>0</v>
      </c>
    </row>
    <row r="2671">
      <c r="A2671" s="16"/>
      <c r="B2671" s="17"/>
      <c r="C2671" s="24"/>
      <c r="D2671" s="44"/>
      <c r="E2671" s="19"/>
      <c r="F2671" s="35"/>
      <c r="G2671" s="20">
        <v>1899.0</v>
      </c>
      <c r="H2671" s="21"/>
      <c r="I2671" s="21"/>
      <c r="J2671" s="21"/>
      <c r="K2671" s="16"/>
      <c r="L2671" s="22"/>
      <c r="M2671" s="55"/>
      <c r="N2671" s="23" t="s">
        <v>200</v>
      </c>
      <c r="O2671" s="23" t="s">
        <v>200</v>
      </c>
      <c r="P2671" s="24"/>
      <c r="Q2671" s="23"/>
      <c r="R2671" s="25"/>
      <c r="S2671" s="26"/>
      <c r="T2671" s="16" t="b">
        <v>0</v>
      </c>
    </row>
    <row r="2672">
      <c r="A2672" s="4"/>
      <c r="B2672" s="5"/>
      <c r="C2672" s="13"/>
      <c r="D2672" s="39"/>
      <c r="E2672" s="7"/>
      <c r="F2672" s="34"/>
      <c r="G2672" s="8">
        <v>1899.0</v>
      </c>
      <c r="H2672" s="9"/>
      <c r="I2672" s="9"/>
      <c r="J2672" s="9"/>
      <c r="K2672" s="4"/>
      <c r="L2672" s="10"/>
      <c r="M2672" s="54"/>
      <c r="N2672" s="12" t="s">
        <v>200</v>
      </c>
      <c r="O2672" s="12" t="s">
        <v>200</v>
      </c>
      <c r="P2672" s="13"/>
      <c r="Q2672" s="12"/>
      <c r="R2672" s="14"/>
      <c r="S2672" s="15"/>
      <c r="T2672" s="4" t="b">
        <v>0</v>
      </c>
    </row>
    <row r="2673">
      <c r="A2673" s="16"/>
      <c r="B2673" s="17"/>
      <c r="C2673" s="24"/>
      <c r="D2673" s="44"/>
      <c r="E2673" s="19"/>
      <c r="F2673" s="35"/>
      <c r="G2673" s="20">
        <v>1899.0</v>
      </c>
      <c r="H2673" s="21"/>
      <c r="I2673" s="21"/>
      <c r="J2673" s="21"/>
      <c r="K2673" s="16"/>
      <c r="L2673" s="22"/>
      <c r="M2673" s="55"/>
      <c r="N2673" s="23" t="s">
        <v>200</v>
      </c>
      <c r="O2673" s="23" t="s">
        <v>200</v>
      </c>
      <c r="P2673" s="24"/>
      <c r="Q2673" s="23"/>
      <c r="R2673" s="25"/>
      <c r="S2673" s="26"/>
      <c r="T2673" s="16" t="b">
        <v>0</v>
      </c>
    </row>
    <row r="2674">
      <c r="A2674" s="4"/>
      <c r="B2674" s="5"/>
      <c r="C2674" s="13"/>
      <c r="D2674" s="39"/>
      <c r="E2674" s="7"/>
      <c r="F2674" s="34"/>
      <c r="G2674" s="8">
        <v>1899.0</v>
      </c>
      <c r="H2674" s="9"/>
      <c r="I2674" s="9"/>
      <c r="J2674" s="9"/>
      <c r="K2674" s="4"/>
      <c r="L2674" s="10"/>
      <c r="M2674" s="54"/>
      <c r="N2674" s="12" t="s">
        <v>200</v>
      </c>
      <c r="O2674" s="12" t="s">
        <v>200</v>
      </c>
      <c r="P2674" s="13"/>
      <c r="Q2674" s="12"/>
      <c r="R2674" s="14"/>
      <c r="S2674" s="15"/>
      <c r="T2674" s="4" t="b">
        <v>0</v>
      </c>
    </row>
    <row r="2675">
      <c r="A2675" s="16"/>
      <c r="B2675" s="17"/>
      <c r="C2675" s="24"/>
      <c r="D2675" s="44"/>
      <c r="E2675" s="19"/>
      <c r="F2675" s="35"/>
      <c r="G2675" s="20">
        <v>1899.0</v>
      </c>
      <c r="H2675" s="21"/>
      <c r="I2675" s="21"/>
      <c r="J2675" s="21"/>
      <c r="K2675" s="16"/>
      <c r="L2675" s="22"/>
      <c r="M2675" s="55"/>
      <c r="N2675" s="23" t="s">
        <v>200</v>
      </c>
      <c r="O2675" s="23" t="s">
        <v>200</v>
      </c>
      <c r="P2675" s="24"/>
      <c r="Q2675" s="23"/>
      <c r="R2675" s="25"/>
      <c r="S2675" s="26"/>
      <c r="T2675" s="16" t="b">
        <v>0</v>
      </c>
    </row>
    <row r="2676">
      <c r="A2676" s="4"/>
      <c r="B2676" s="5"/>
      <c r="C2676" s="13"/>
      <c r="D2676" s="39"/>
      <c r="E2676" s="7"/>
      <c r="F2676" s="34"/>
      <c r="G2676" s="8">
        <v>1899.0</v>
      </c>
      <c r="H2676" s="9"/>
      <c r="I2676" s="9"/>
      <c r="J2676" s="9"/>
      <c r="K2676" s="4"/>
      <c r="L2676" s="10"/>
      <c r="M2676" s="54"/>
      <c r="N2676" s="12" t="s">
        <v>200</v>
      </c>
      <c r="O2676" s="12" t="s">
        <v>200</v>
      </c>
      <c r="P2676" s="13"/>
      <c r="Q2676" s="12"/>
      <c r="R2676" s="14"/>
      <c r="S2676" s="15"/>
      <c r="T2676" s="4" t="b">
        <v>0</v>
      </c>
    </row>
    <row r="2677">
      <c r="A2677" s="16"/>
      <c r="B2677" s="17"/>
      <c r="C2677" s="24"/>
      <c r="D2677" s="44"/>
      <c r="E2677" s="19"/>
      <c r="F2677" s="35"/>
      <c r="G2677" s="20">
        <v>1899.0</v>
      </c>
      <c r="H2677" s="21"/>
      <c r="I2677" s="21"/>
      <c r="J2677" s="21"/>
      <c r="K2677" s="16"/>
      <c r="L2677" s="22"/>
      <c r="M2677" s="55"/>
      <c r="N2677" s="23" t="s">
        <v>200</v>
      </c>
      <c r="O2677" s="23" t="s">
        <v>200</v>
      </c>
      <c r="P2677" s="24"/>
      <c r="Q2677" s="23"/>
      <c r="R2677" s="25"/>
      <c r="S2677" s="26"/>
      <c r="T2677" s="16" t="b">
        <v>0</v>
      </c>
    </row>
    <row r="2678">
      <c r="A2678" s="4"/>
      <c r="B2678" s="5"/>
      <c r="C2678" s="13"/>
      <c r="D2678" s="39"/>
      <c r="E2678" s="7"/>
      <c r="F2678" s="34"/>
      <c r="G2678" s="8">
        <v>1899.0</v>
      </c>
      <c r="H2678" s="9"/>
      <c r="I2678" s="9"/>
      <c r="J2678" s="9"/>
      <c r="K2678" s="4"/>
      <c r="L2678" s="10"/>
      <c r="M2678" s="54"/>
      <c r="N2678" s="12" t="s">
        <v>200</v>
      </c>
      <c r="O2678" s="12" t="s">
        <v>200</v>
      </c>
      <c r="P2678" s="13"/>
      <c r="Q2678" s="12"/>
      <c r="R2678" s="14"/>
      <c r="S2678" s="15"/>
      <c r="T2678" s="4" t="b">
        <v>0</v>
      </c>
    </row>
    <row r="2679">
      <c r="A2679" s="16"/>
      <c r="B2679" s="17"/>
      <c r="C2679" s="24"/>
      <c r="D2679" s="44"/>
      <c r="E2679" s="19"/>
      <c r="F2679" s="35"/>
      <c r="G2679" s="20">
        <v>1899.0</v>
      </c>
      <c r="H2679" s="21"/>
      <c r="I2679" s="21"/>
      <c r="J2679" s="21"/>
      <c r="K2679" s="16"/>
      <c r="L2679" s="22"/>
      <c r="M2679" s="55"/>
      <c r="N2679" s="23" t="s">
        <v>200</v>
      </c>
      <c r="O2679" s="23" t="s">
        <v>200</v>
      </c>
      <c r="P2679" s="24"/>
      <c r="Q2679" s="23"/>
      <c r="R2679" s="25"/>
      <c r="S2679" s="26"/>
      <c r="T2679" s="16" t="b">
        <v>0</v>
      </c>
    </row>
    <row r="2680">
      <c r="A2680" s="4"/>
      <c r="B2680" s="5"/>
      <c r="C2680" s="13"/>
      <c r="D2680" s="39"/>
      <c r="E2680" s="7"/>
      <c r="F2680" s="34"/>
      <c r="G2680" s="8">
        <v>1899.0</v>
      </c>
      <c r="H2680" s="9"/>
      <c r="I2680" s="9"/>
      <c r="J2680" s="9"/>
      <c r="K2680" s="4"/>
      <c r="L2680" s="10"/>
      <c r="M2680" s="54"/>
      <c r="N2680" s="12" t="s">
        <v>200</v>
      </c>
      <c r="O2680" s="12" t="s">
        <v>200</v>
      </c>
      <c r="P2680" s="13"/>
      <c r="Q2680" s="12"/>
      <c r="R2680" s="14"/>
      <c r="S2680" s="15"/>
      <c r="T2680" s="4" t="b">
        <v>0</v>
      </c>
    </row>
    <row r="2681">
      <c r="A2681" s="16"/>
      <c r="B2681" s="17"/>
      <c r="C2681" s="24"/>
      <c r="D2681" s="44"/>
      <c r="E2681" s="19"/>
      <c r="F2681" s="35"/>
      <c r="G2681" s="20">
        <v>1899.0</v>
      </c>
      <c r="H2681" s="21"/>
      <c r="I2681" s="21"/>
      <c r="J2681" s="21"/>
      <c r="K2681" s="16"/>
      <c r="L2681" s="22"/>
      <c r="M2681" s="55"/>
      <c r="N2681" s="23" t="s">
        <v>200</v>
      </c>
      <c r="O2681" s="23" t="s">
        <v>200</v>
      </c>
      <c r="P2681" s="24"/>
      <c r="Q2681" s="23"/>
      <c r="R2681" s="25"/>
      <c r="S2681" s="26"/>
      <c r="T2681" s="16" t="b">
        <v>0</v>
      </c>
    </row>
    <row r="2682">
      <c r="A2682" s="4"/>
      <c r="B2682" s="5"/>
      <c r="C2682" s="13"/>
      <c r="D2682" s="39"/>
      <c r="E2682" s="7"/>
      <c r="F2682" s="34"/>
      <c r="G2682" s="8">
        <v>1899.0</v>
      </c>
      <c r="H2682" s="9"/>
      <c r="I2682" s="9"/>
      <c r="J2682" s="9"/>
      <c r="K2682" s="4"/>
      <c r="L2682" s="10"/>
      <c r="M2682" s="54"/>
      <c r="N2682" s="12" t="s">
        <v>200</v>
      </c>
      <c r="O2682" s="12" t="s">
        <v>200</v>
      </c>
      <c r="P2682" s="13"/>
      <c r="Q2682" s="12"/>
      <c r="R2682" s="14"/>
      <c r="S2682" s="15"/>
      <c r="T2682" s="4" t="b">
        <v>0</v>
      </c>
    </row>
    <row r="2683">
      <c r="A2683" s="16"/>
      <c r="B2683" s="17"/>
      <c r="C2683" s="24"/>
      <c r="D2683" s="44"/>
      <c r="E2683" s="19"/>
      <c r="F2683" s="35"/>
      <c r="G2683" s="20">
        <v>1899.0</v>
      </c>
      <c r="H2683" s="21"/>
      <c r="I2683" s="21"/>
      <c r="J2683" s="21"/>
      <c r="K2683" s="16"/>
      <c r="L2683" s="22"/>
      <c r="M2683" s="55"/>
      <c r="N2683" s="23" t="s">
        <v>200</v>
      </c>
      <c r="O2683" s="23" t="s">
        <v>200</v>
      </c>
      <c r="P2683" s="24"/>
      <c r="Q2683" s="23"/>
      <c r="R2683" s="25"/>
      <c r="S2683" s="26"/>
      <c r="T2683" s="16" t="b">
        <v>0</v>
      </c>
    </row>
    <row r="2684">
      <c r="A2684" s="4"/>
      <c r="B2684" s="5"/>
      <c r="C2684" s="13"/>
      <c r="D2684" s="39"/>
      <c r="E2684" s="7"/>
      <c r="F2684" s="34"/>
      <c r="G2684" s="8">
        <v>1899.0</v>
      </c>
      <c r="H2684" s="9"/>
      <c r="I2684" s="9"/>
      <c r="J2684" s="9"/>
      <c r="K2684" s="4"/>
      <c r="L2684" s="10"/>
      <c r="M2684" s="54"/>
      <c r="N2684" s="12" t="s">
        <v>200</v>
      </c>
      <c r="O2684" s="12" t="s">
        <v>200</v>
      </c>
      <c r="P2684" s="13"/>
      <c r="Q2684" s="12"/>
      <c r="R2684" s="14"/>
      <c r="S2684" s="15"/>
      <c r="T2684" s="4" t="b">
        <v>0</v>
      </c>
    </row>
    <row r="2685">
      <c r="A2685" s="16"/>
      <c r="B2685" s="17"/>
      <c r="C2685" s="24"/>
      <c r="D2685" s="44"/>
      <c r="E2685" s="19"/>
      <c r="F2685" s="35"/>
      <c r="G2685" s="20">
        <v>1899.0</v>
      </c>
      <c r="H2685" s="21"/>
      <c r="I2685" s="21"/>
      <c r="J2685" s="21"/>
      <c r="K2685" s="16"/>
      <c r="L2685" s="22"/>
      <c r="M2685" s="55"/>
      <c r="N2685" s="23" t="s">
        <v>200</v>
      </c>
      <c r="O2685" s="23" t="s">
        <v>200</v>
      </c>
      <c r="P2685" s="24"/>
      <c r="Q2685" s="23"/>
      <c r="R2685" s="25"/>
      <c r="S2685" s="26"/>
      <c r="T2685" s="16" t="b">
        <v>0</v>
      </c>
    </row>
    <row r="2686">
      <c r="A2686" s="4"/>
      <c r="B2686" s="5"/>
      <c r="C2686" s="13"/>
      <c r="D2686" s="39"/>
      <c r="E2686" s="7"/>
      <c r="F2686" s="34"/>
      <c r="G2686" s="8">
        <v>1899.0</v>
      </c>
      <c r="H2686" s="9"/>
      <c r="I2686" s="9"/>
      <c r="J2686" s="9"/>
      <c r="K2686" s="4"/>
      <c r="L2686" s="10"/>
      <c r="M2686" s="54"/>
      <c r="N2686" s="12" t="s">
        <v>200</v>
      </c>
      <c r="O2686" s="12" t="s">
        <v>200</v>
      </c>
      <c r="P2686" s="13"/>
      <c r="Q2686" s="12"/>
      <c r="R2686" s="14"/>
      <c r="S2686" s="15"/>
      <c r="T2686" s="4" t="b">
        <v>0</v>
      </c>
    </row>
    <row r="2687">
      <c r="A2687" s="16"/>
      <c r="B2687" s="17"/>
      <c r="C2687" s="24"/>
      <c r="D2687" s="44"/>
      <c r="E2687" s="19"/>
      <c r="F2687" s="35"/>
      <c r="G2687" s="20">
        <v>1899.0</v>
      </c>
      <c r="H2687" s="21"/>
      <c r="I2687" s="21"/>
      <c r="J2687" s="21"/>
      <c r="K2687" s="16"/>
      <c r="L2687" s="22"/>
      <c r="M2687" s="55"/>
      <c r="N2687" s="23" t="s">
        <v>200</v>
      </c>
      <c r="O2687" s="23" t="s">
        <v>200</v>
      </c>
      <c r="P2687" s="24"/>
      <c r="Q2687" s="23"/>
      <c r="R2687" s="25"/>
      <c r="S2687" s="26"/>
      <c r="T2687" s="16" t="b">
        <v>0</v>
      </c>
    </row>
    <row r="2688">
      <c r="A2688" s="4"/>
      <c r="B2688" s="5"/>
      <c r="C2688" s="13"/>
      <c r="D2688" s="39"/>
      <c r="E2688" s="7"/>
      <c r="F2688" s="34"/>
      <c r="G2688" s="8">
        <v>1899.0</v>
      </c>
      <c r="H2688" s="9"/>
      <c r="I2688" s="9"/>
      <c r="J2688" s="9"/>
      <c r="K2688" s="4"/>
      <c r="L2688" s="10"/>
      <c r="M2688" s="54"/>
      <c r="N2688" s="12" t="s">
        <v>200</v>
      </c>
      <c r="O2688" s="12" t="s">
        <v>200</v>
      </c>
      <c r="P2688" s="13"/>
      <c r="Q2688" s="12"/>
      <c r="R2688" s="14"/>
      <c r="S2688" s="15"/>
      <c r="T2688" s="4" t="b">
        <v>0</v>
      </c>
    </row>
    <row r="2689">
      <c r="A2689" s="16"/>
      <c r="B2689" s="17"/>
      <c r="C2689" s="24"/>
      <c r="D2689" s="44"/>
      <c r="E2689" s="19"/>
      <c r="F2689" s="35"/>
      <c r="G2689" s="20">
        <v>1899.0</v>
      </c>
      <c r="H2689" s="21"/>
      <c r="I2689" s="21"/>
      <c r="J2689" s="21"/>
      <c r="K2689" s="16"/>
      <c r="L2689" s="22"/>
      <c r="M2689" s="55"/>
      <c r="N2689" s="23" t="s">
        <v>200</v>
      </c>
      <c r="O2689" s="23" t="s">
        <v>200</v>
      </c>
      <c r="P2689" s="24"/>
      <c r="Q2689" s="23"/>
      <c r="R2689" s="25"/>
      <c r="S2689" s="26"/>
      <c r="T2689" s="16" t="b">
        <v>0</v>
      </c>
    </row>
    <row r="2690">
      <c r="A2690" s="4"/>
      <c r="B2690" s="5"/>
      <c r="C2690" s="13"/>
      <c r="D2690" s="39"/>
      <c r="E2690" s="7"/>
      <c r="F2690" s="34"/>
      <c r="G2690" s="8">
        <v>1899.0</v>
      </c>
      <c r="H2690" s="9"/>
      <c r="I2690" s="9"/>
      <c r="J2690" s="9"/>
      <c r="K2690" s="4"/>
      <c r="L2690" s="10"/>
      <c r="M2690" s="54"/>
      <c r="N2690" s="12" t="s">
        <v>200</v>
      </c>
      <c r="O2690" s="12" t="s">
        <v>200</v>
      </c>
      <c r="P2690" s="13"/>
      <c r="Q2690" s="12"/>
      <c r="R2690" s="14"/>
      <c r="S2690" s="15"/>
      <c r="T2690" s="4" t="b">
        <v>0</v>
      </c>
    </row>
    <row r="2691">
      <c r="A2691" s="16"/>
      <c r="B2691" s="17"/>
      <c r="C2691" s="24"/>
      <c r="D2691" s="44"/>
      <c r="E2691" s="19"/>
      <c r="F2691" s="35"/>
      <c r="G2691" s="20">
        <v>1899.0</v>
      </c>
      <c r="H2691" s="21"/>
      <c r="I2691" s="21"/>
      <c r="J2691" s="21"/>
      <c r="K2691" s="16"/>
      <c r="L2691" s="22"/>
      <c r="M2691" s="55"/>
      <c r="N2691" s="23" t="s">
        <v>200</v>
      </c>
      <c r="O2691" s="23" t="s">
        <v>200</v>
      </c>
      <c r="P2691" s="24"/>
      <c r="Q2691" s="23"/>
      <c r="R2691" s="25"/>
      <c r="S2691" s="26"/>
      <c r="T2691" s="16" t="b">
        <v>0</v>
      </c>
    </row>
    <row r="2692">
      <c r="A2692" s="4"/>
      <c r="B2692" s="5"/>
      <c r="C2692" s="13"/>
      <c r="D2692" s="39"/>
      <c r="E2692" s="7"/>
      <c r="F2692" s="34"/>
      <c r="G2692" s="8">
        <v>1899.0</v>
      </c>
      <c r="H2692" s="9"/>
      <c r="I2692" s="9"/>
      <c r="J2692" s="9"/>
      <c r="K2692" s="4"/>
      <c r="L2692" s="10"/>
      <c r="M2692" s="54"/>
      <c r="N2692" s="12" t="s">
        <v>200</v>
      </c>
      <c r="O2692" s="12" t="s">
        <v>200</v>
      </c>
      <c r="P2692" s="13"/>
      <c r="Q2692" s="12"/>
      <c r="R2692" s="14"/>
      <c r="S2692" s="15"/>
      <c r="T2692" s="4" t="b">
        <v>0</v>
      </c>
    </row>
    <row r="2693">
      <c r="A2693" s="16"/>
      <c r="B2693" s="17"/>
      <c r="C2693" s="24"/>
      <c r="D2693" s="44"/>
      <c r="E2693" s="19"/>
      <c r="F2693" s="35"/>
      <c r="G2693" s="20">
        <v>1899.0</v>
      </c>
      <c r="H2693" s="21"/>
      <c r="I2693" s="21"/>
      <c r="J2693" s="21"/>
      <c r="K2693" s="16"/>
      <c r="L2693" s="22"/>
      <c r="M2693" s="55"/>
      <c r="N2693" s="23" t="s">
        <v>200</v>
      </c>
      <c r="O2693" s="23" t="s">
        <v>200</v>
      </c>
      <c r="P2693" s="24"/>
      <c r="Q2693" s="23"/>
      <c r="R2693" s="25"/>
      <c r="S2693" s="26"/>
      <c r="T2693" s="16" t="b">
        <v>0</v>
      </c>
    </row>
    <row r="2694">
      <c r="A2694" s="4"/>
      <c r="B2694" s="5"/>
      <c r="C2694" s="13"/>
      <c r="D2694" s="39"/>
      <c r="E2694" s="7"/>
      <c r="F2694" s="34"/>
      <c r="G2694" s="8">
        <v>1899.0</v>
      </c>
      <c r="H2694" s="9"/>
      <c r="I2694" s="9"/>
      <c r="J2694" s="9"/>
      <c r="K2694" s="4"/>
      <c r="L2694" s="10"/>
      <c r="M2694" s="54"/>
      <c r="N2694" s="12" t="s">
        <v>200</v>
      </c>
      <c r="O2694" s="12" t="s">
        <v>200</v>
      </c>
      <c r="P2694" s="13"/>
      <c r="Q2694" s="12"/>
      <c r="R2694" s="14"/>
      <c r="S2694" s="15"/>
      <c r="T2694" s="4" t="b">
        <v>0</v>
      </c>
    </row>
    <row r="2695">
      <c r="A2695" s="16"/>
      <c r="B2695" s="17"/>
      <c r="C2695" s="24"/>
      <c r="D2695" s="44"/>
      <c r="E2695" s="19"/>
      <c r="F2695" s="35"/>
      <c r="G2695" s="20">
        <v>1899.0</v>
      </c>
      <c r="H2695" s="21"/>
      <c r="I2695" s="21"/>
      <c r="J2695" s="21"/>
      <c r="K2695" s="16"/>
      <c r="L2695" s="22"/>
      <c r="M2695" s="55"/>
      <c r="N2695" s="23" t="s">
        <v>200</v>
      </c>
      <c r="O2695" s="23" t="s">
        <v>200</v>
      </c>
      <c r="P2695" s="24"/>
      <c r="Q2695" s="23"/>
      <c r="R2695" s="25"/>
      <c r="S2695" s="26"/>
      <c r="T2695" s="16" t="b">
        <v>0</v>
      </c>
    </row>
    <row r="2696">
      <c r="A2696" s="4"/>
      <c r="B2696" s="5"/>
      <c r="C2696" s="13"/>
      <c r="D2696" s="39"/>
      <c r="E2696" s="7"/>
      <c r="F2696" s="34"/>
      <c r="G2696" s="8">
        <v>1899.0</v>
      </c>
      <c r="H2696" s="9"/>
      <c r="I2696" s="9"/>
      <c r="J2696" s="9"/>
      <c r="K2696" s="4"/>
      <c r="L2696" s="10"/>
      <c r="M2696" s="54"/>
      <c r="N2696" s="12" t="s">
        <v>200</v>
      </c>
      <c r="O2696" s="12" t="s">
        <v>200</v>
      </c>
      <c r="P2696" s="13"/>
      <c r="Q2696" s="12"/>
      <c r="R2696" s="14"/>
      <c r="S2696" s="15"/>
      <c r="T2696" s="4" t="b">
        <v>0</v>
      </c>
    </row>
    <row r="2697">
      <c r="A2697" s="16"/>
      <c r="B2697" s="17"/>
      <c r="C2697" s="24"/>
      <c r="D2697" s="44"/>
      <c r="E2697" s="19"/>
      <c r="F2697" s="35"/>
      <c r="G2697" s="20">
        <v>1899.0</v>
      </c>
      <c r="H2697" s="21"/>
      <c r="I2697" s="21"/>
      <c r="J2697" s="21"/>
      <c r="K2697" s="16"/>
      <c r="L2697" s="22"/>
      <c r="M2697" s="55"/>
      <c r="N2697" s="23" t="s">
        <v>200</v>
      </c>
      <c r="O2697" s="23" t="s">
        <v>200</v>
      </c>
      <c r="P2697" s="24"/>
      <c r="Q2697" s="23"/>
      <c r="R2697" s="25"/>
      <c r="S2697" s="26"/>
      <c r="T2697" s="16" t="b">
        <v>0</v>
      </c>
    </row>
    <row r="2698">
      <c r="A2698" s="4"/>
      <c r="B2698" s="5"/>
      <c r="C2698" s="13"/>
      <c r="D2698" s="39"/>
      <c r="E2698" s="7"/>
      <c r="F2698" s="34"/>
      <c r="G2698" s="8">
        <v>1899.0</v>
      </c>
      <c r="H2698" s="9"/>
      <c r="I2698" s="9"/>
      <c r="J2698" s="9"/>
      <c r="K2698" s="4"/>
      <c r="L2698" s="10"/>
      <c r="M2698" s="54"/>
      <c r="N2698" s="12" t="s">
        <v>200</v>
      </c>
      <c r="O2698" s="12" t="s">
        <v>200</v>
      </c>
      <c r="P2698" s="13"/>
      <c r="Q2698" s="12"/>
      <c r="R2698" s="14"/>
      <c r="S2698" s="15"/>
      <c r="T2698" s="4" t="b">
        <v>0</v>
      </c>
    </row>
    <row r="2699">
      <c r="A2699" s="16"/>
      <c r="B2699" s="17"/>
      <c r="C2699" s="24"/>
      <c r="D2699" s="44"/>
      <c r="E2699" s="19"/>
      <c r="F2699" s="35"/>
      <c r="G2699" s="20">
        <v>1899.0</v>
      </c>
      <c r="H2699" s="21"/>
      <c r="I2699" s="21"/>
      <c r="J2699" s="21"/>
      <c r="K2699" s="16"/>
      <c r="L2699" s="22"/>
      <c r="M2699" s="55"/>
      <c r="N2699" s="23" t="s">
        <v>200</v>
      </c>
      <c r="O2699" s="23" t="s">
        <v>200</v>
      </c>
      <c r="P2699" s="24"/>
      <c r="Q2699" s="23"/>
      <c r="R2699" s="25"/>
      <c r="S2699" s="26"/>
      <c r="T2699" s="16" t="b">
        <v>0</v>
      </c>
    </row>
    <row r="2700">
      <c r="A2700" s="4"/>
      <c r="B2700" s="5"/>
      <c r="C2700" s="13"/>
      <c r="D2700" s="39"/>
      <c r="E2700" s="7"/>
      <c r="F2700" s="34"/>
      <c r="G2700" s="8">
        <v>1899.0</v>
      </c>
      <c r="H2700" s="9"/>
      <c r="I2700" s="9"/>
      <c r="J2700" s="9"/>
      <c r="K2700" s="4"/>
      <c r="L2700" s="10"/>
      <c r="M2700" s="54"/>
      <c r="N2700" s="12" t="s">
        <v>200</v>
      </c>
      <c r="O2700" s="12" t="s">
        <v>200</v>
      </c>
      <c r="P2700" s="13"/>
      <c r="Q2700" s="12"/>
      <c r="R2700" s="14"/>
      <c r="S2700" s="15"/>
      <c r="T2700" s="4" t="b">
        <v>0</v>
      </c>
    </row>
    <row r="2701">
      <c r="A2701" s="16"/>
      <c r="B2701" s="17"/>
      <c r="C2701" s="24"/>
      <c r="D2701" s="44"/>
      <c r="E2701" s="19"/>
      <c r="F2701" s="35"/>
      <c r="G2701" s="20">
        <v>1899.0</v>
      </c>
      <c r="H2701" s="21"/>
      <c r="I2701" s="21"/>
      <c r="J2701" s="21"/>
      <c r="K2701" s="16"/>
      <c r="L2701" s="22"/>
      <c r="M2701" s="55"/>
      <c r="N2701" s="23" t="s">
        <v>200</v>
      </c>
      <c r="O2701" s="23" t="s">
        <v>200</v>
      </c>
      <c r="P2701" s="24"/>
      <c r="Q2701" s="23"/>
      <c r="R2701" s="25"/>
      <c r="S2701" s="26"/>
      <c r="T2701" s="16" t="b">
        <v>0</v>
      </c>
    </row>
    <row r="2702">
      <c r="A2702" s="4"/>
      <c r="B2702" s="5"/>
      <c r="C2702" s="13"/>
      <c r="D2702" s="39"/>
      <c r="E2702" s="7"/>
      <c r="F2702" s="34"/>
      <c r="G2702" s="8">
        <v>1899.0</v>
      </c>
      <c r="H2702" s="9"/>
      <c r="I2702" s="9"/>
      <c r="J2702" s="9"/>
      <c r="K2702" s="4"/>
      <c r="L2702" s="10"/>
      <c r="M2702" s="54"/>
      <c r="N2702" s="12" t="s">
        <v>200</v>
      </c>
      <c r="O2702" s="12" t="s">
        <v>200</v>
      </c>
      <c r="P2702" s="13"/>
      <c r="Q2702" s="12"/>
      <c r="R2702" s="14"/>
      <c r="S2702" s="15"/>
      <c r="T2702" s="4" t="b">
        <v>0</v>
      </c>
    </row>
    <row r="2703">
      <c r="A2703" s="16"/>
      <c r="B2703" s="17"/>
      <c r="C2703" s="24"/>
      <c r="D2703" s="44"/>
      <c r="E2703" s="19"/>
      <c r="F2703" s="35"/>
      <c r="G2703" s="20">
        <v>1899.0</v>
      </c>
      <c r="H2703" s="21"/>
      <c r="I2703" s="21"/>
      <c r="J2703" s="21"/>
      <c r="K2703" s="16"/>
      <c r="L2703" s="22"/>
      <c r="M2703" s="55"/>
      <c r="N2703" s="23" t="s">
        <v>200</v>
      </c>
      <c r="O2703" s="23" t="s">
        <v>200</v>
      </c>
      <c r="P2703" s="24"/>
      <c r="Q2703" s="23"/>
      <c r="R2703" s="25"/>
      <c r="S2703" s="26"/>
      <c r="T2703" s="16" t="b">
        <v>0</v>
      </c>
    </row>
    <row r="2704">
      <c r="A2704" s="4"/>
      <c r="B2704" s="5"/>
      <c r="C2704" s="13"/>
      <c r="D2704" s="39"/>
      <c r="E2704" s="7"/>
      <c r="F2704" s="34"/>
      <c r="G2704" s="8">
        <v>1899.0</v>
      </c>
      <c r="H2704" s="9"/>
      <c r="I2704" s="9"/>
      <c r="J2704" s="9"/>
      <c r="K2704" s="4"/>
      <c r="L2704" s="10"/>
      <c r="M2704" s="54"/>
      <c r="N2704" s="12" t="s">
        <v>200</v>
      </c>
      <c r="O2704" s="12" t="s">
        <v>200</v>
      </c>
      <c r="P2704" s="13"/>
      <c r="Q2704" s="12"/>
      <c r="R2704" s="14"/>
      <c r="S2704" s="15"/>
      <c r="T2704" s="4" t="b">
        <v>0</v>
      </c>
    </row>
    <row r="2705">
      <c r="A2705" s="16"/>
      <c r="B2705" s="17"/>
      <c r="C2705" s="24"/>
      <c r="D2705" s="44"/>
      <c r="E2705" s="19"/>
      <c r="F2705" s="35"/>
      <c r="G2705" s="20">
        <v>1899.0</v>
      </c>
      <c r="H2705" s="21"/>
      <c r="I2705" s="21"/>
      <c r="J2705" s="21"/>
      <c r="K2705" s="16"/>
      <c r="L2705" s="22"/>
      <c r="M2705" s="55"/>
      <c r="N2705" s="23" t="s">
        <v>200</v>
      </c>
      <c r="O2705" s="23" t="s">
        <v>200</v>
      </c>
      <c r="P2705" s="24"/>
      <c r="Q2705" s="23"/>
      <c r="R2705" s="25"/>
      <c r="S2705" s="26"/>
      <c r="T2705" s="16" t="b">
        <v>0</v>
      </c>
    </row>
    <row r="2706">
      <c r="A2706" s="4"/>
      <c r="B2706" s="5"/>
      <c r="C2706" s="13"/>
      <c r="D2706" s="39"/>
      <c r="E2706" s="7"/>
      <c r="F2706" s="34"/>
      <c r="G2706" s="8">
        <v>1899.0</v>
      </c>
      <c r="H2706" s="9"/>
      <c r="I2706" s="9"/>
      <c r="J2706" s="9"/>
      <c r="K2706" s="4"/>
      <c r="L2706" s="10"/>
      <c r="M2706" s="54"/>
      <c r="N2706" s="12" t="s">
        <v>200</v>
      </c>
      <c r="O2706" s="12" t="s">
        <v>200</v>
      </c>
      <c r="P2706" s="13"/>
      <c r="Q2706" s="12"/>
      <c r="R2706" s="14"/>
      <c r="S2706" s="15"/>
      <c r="T2706" s="4" t="b">
        <v>0</v>
      </c>
    </row>
    <row r="2707">
      <c r="A2707" s="16"/>
      <c r="B2707" s="17"/>
      <c r="C2707" s="24"/>
      <c r="D2707" s="44"/>
      <c r="E2707" s="19"/>
      <c r="F2707" s="35"/>
      <c r="G2707" s="20">
        <v>1899.0</v>
      </c>
      <c r="H2707" s="21"/>
      <c r="I2707" s="21"/>
      <c r="J2707" s="21"/>
      <c r="K2707" s="16"/>
      <c r="L2707" s="22"/>
      <c r="M2707" s="55"/>
      <c r="N2707" s="23" t="s">
        <v>200</v>
      </c>
      <c r="O2707" s="23" t="s">
        <v>200</v>
      </c>
      <c r="P2707" s="24"/>
      <c r="Q2707" s="23"/>
      <c r="R2707" s="25"/>
      <c r="S2707" s="26"/>
      <c r="T2707" s="16" t="b">
        <v>0</v>
      </c>
    </row>
    <row r="2708">
      <c r="A2708" s="4"/>
      <c r="B2708" s="5"/>
      <c r="C2708" s="13"/>
      <c r="D2708" s="39"/>
      <c r="E2708" s="7"/>
      <c r="F2708" s="34"/>
      <c r="G2708" s="8">
        <v>1899.0</v>
      </c>
      <c r="H2708" s="9"/>
      <c r="I2708" s="9"/>
      <c r="J2708" s="9"/>
      <c r="K2708" s="4"/>
      <c r="L2708" s="10"/>
      <c r="M2708" s="54"/>
      <c r="N2708" s="12" t="s">
        <v>200</v>
      </c>
      <c r="O2708" s="12" t="s">
        <v>200</v>
      </c>
      <c r="P2708" s="13"/>
      <c r="Q2708" s="12"/>
      <c r="R2708" s="14"/>
      <c r="S2708" s="15"/>
      <c r="T2708" s="4" t="b">
        <v>0</v>
      </c>
    </row>
    <row r="2709">
      <c r="A2709" s="16"/>
      <c r="B2709" s="17"/>
      <c r="C2709" s="24"/>
      <c r="D2709" s="44"/>
      <c r="E2709" s="19"/>
      <c r="F2709" s="35"/>
      <c r="G2709" s="20">
        <v>1899.0</v>
      </c>
      <c r="H2709" s="21"/>
      <c r="I2709" s="21"/>
      <c r="J2709" s="21"/>
      <c r="K2709" s="16"/>
      <c r="L2709" s="22"/>
      <c r="M2709" s="55"/>
      <c r="N2709" s="23" t="s">
        <v>200</v>
      </c>
      <c r="O2709" s="23" t="s">
        <v>200</v>
      </c>
      <c r="P2709" s="24"/>
      <c r="Q2709" s="23"/>
      <c r="R2709" s="25"/>
      <c r="S2709" s="26"/>
      <c r="T2709" s="16" t="b">
        <v>0</v>
      </c>
    </row>
    <row r="2710">
      <c r="A2710" s="4"/>
      <c r="B2710" s="5"/>
      <c r="C2710" s="13"/>
      <c r="D2710" s="39"/>
      <c r="E2710" s="7"/>
      <c r="F2710" s="34"/>
      <c r="G2710" s="8">
        <v>1899.0</v>
      </c>
      <c r="H2710" s="9"/>
      <c r="I2710" s="9"/>
      <c r="J2710" s="9"/>
      <c r="K2710" s="4"/>
      <c r="L2710" s="10"/>
      <c r="M2710" s="54"/>
      <c r="N2710" s="12" t="s">
        <v>200</v>
      </c>
      <c r="O2710" s="12" t="s">
        <v>200</v>
      </c>
      <c r="P2710" s="13"/>
      <c r="Q2710" s="12"/>
      <c r="R2710" s="14"/>
      <c r="S2710" s="15"/>
      <c r="T2710" s="4" t="b">
        <v>0</v>
      </c>
    </row>
    <row r="2711">
      <c r="A2711" s="16"/>
      <c r="B2711" s="17"/>
      <c r="C2711" s="24"/>
      <c r="D2711" s="44"/>
      <c r="E2711" s="19"/>
      <c r="F2711" s="35"/>
      <c r="G2711" s="20">
        <v>1899.0</v>
      </c>
      <c r="H2711" s="21"/>
      <c r="I2711" s="21"/>
      <c r="J2711" s="21"/>
      <c r="K2711" s="16"/>
      <c r="L2711" s="22"/>
      <c r="M2711" s="55"/>
      <c r="N2711" s="23" t="s">
        <v>200</v>
      </c>
      <c r="O2711" s="23" t="s">
        <v>200</v>
      </c>
      <c r="P2711" s="24"/>
      <c r="Q2711" s="23"/>
      <c r="R2711" s="25"/>
      <c r="S2711" s="26"/>
      <c r="T2711" s="16" t="b">
        <v>0</v>
      </c>
    </row>
    <row r="2712">
      <c r="A2712" s="4"/>
      <c r="B2712" s="5"/>
      <c r="C2712" s="13"/>
      <c r="D2712" s="39"/>
      <c r="E2712" s="7"/>
      <c r="F2712" s="34"/>
      <c r="G2712" s="8">
        <v>1899.0</v>
      </c>
      <c r="H2712" s="9"/>
      <c r="I2712" s="9"/>
      <c r="J2712" s="9"/>
      <c r="K2712" s="4"/>
      <c r="L2712" s="10"/>
      <c r="M2712" s="54"/>
      <c r="N2712" s="12" t="s">
        <v>200</v>
      </c>
      <c r="O2712" s="12" t="s">
        <v>200</v>
      </c>
      <c r="P2712" s="13"/>
      <c r="Q2712" s="12"/>
      <c r="R2712" s="14"/>
      <c r="S2712" s="15"/>
      <c r="T2712" s="4" t="b">
        <v>0</v>
      </c>
    </row>
    <row r="2713">
      <c r="A2713" s="16"/>
      <c r="B2713" s="17"/>
      <c r="C2713" s="24"/>
      <c r="D2713" s="44"/>
      <c r="E2713" s="19"/>
      <c r="F2713" s="35"/>
      <c r="G2713" s="20">
        <v>1899.0</v>
      </c>
      <c r="H2713" s="21"/>
      <c r="I2713" s="21"/>
      <c r="J2713" s="21"/>
      <c r="K2713" s="16"/>
      <c r="L2713" s="22"/>
      <c r="M2713" s="55"/>
      <c r="N2713" s="23" t="s">
        <v>200</v>
      </c>
      <c r="O2713" s="23" t="s">
        <v>200</v>
      </c>
      <c r="P2713" s="24"/>
      <c r="Q2713" s="23"/>
      <c r="R2713" s="25"/>
      <c r="S2713" s="26"/>
      <c r="T2713" s="16" t="b">
        <v>0</v>
      </c>
    </row>
    <row r="2714">
      <c r="A2714" s="4"/>
      <c r="B2714" s="5"/>
      <c r="C2714" s="13"/>
      <c r="D2714" s="39"/>
      <c r="E2714" s="7"/>
      <c r="F2714" s="34"/>
      <c r="G2714" s="8">
        <v>1899.0</v>
      </c>
      <c r="H2714" s="9"/>
      <c r="I2714" s="9"/>
      <c r="J2714" s="9"/>
      <c r="K2714" s="4"/>
      <c r="L2714" s="10"/>
      <c r="M2714" s="54"/>
      <c r="N2714" s="12" t="s">
        <v>200</v>
      </c>
      <c r="O2714" s="12" t="s">
        <v>200</v>
      </c>
      <c r="P2714" s="13"/>
      <c r="Q2714" s="12"/>
      <c r="R2714" s="14"/>
      <c r="S2714" s="15"/>
      <c r="T2714" s="4" t="b">
        <v>0</v>
      </c>
    </row>
    <row r="2715">
      <c r="A2715" s="16"/>
      <c r="B2715" s="17"/>
      <c r="C2715" s="24"/>
      <c r="D2715" s="44"/>
      <c r="E2715" s="19"/>
      <c r="F2715" s="35"/>
      <c r="G2715" s="20">
        <v>1899.0</v>
      </c>
      <c r="H2715" s="21"/>
      <c r="I2715" s="21"/>
      <c r="J2715" s="21"/>
      <c r="K2715" s="16"/>
      <c r="L2715" s="22"/>
      <c r="M2715" s="55"/>
      <c r="N2715" s="23" t="s">
        <v>200</v>
      </c>
      <c r="O2715" s="23" t="s">
        <v>200</v>
      </c>
      <c r="P2715" s="24"/>
      <c r="Q2715" s="23"/>
      <c r="R2715" s="25"/>
      <c r="S2715" s="26"/>
      <c r="T2715" s="16" t="b">
        <v>0</v>
      </c>
    </row>
    <row r="2716">
      <c r="A2716" s="4"/>
      <c r="B2716" s="5"/>
      <c r="C2716" s="13"/>
      <c r="D2716" s="39"/>
      <c r="E2716" s="7"/>
      <c r="F2716" s="34"/>
      <c r="G2716" s="8">
        <v>1899.0</v>
      </c>
      <c r="H2716" s="9"/>
      <c r="I2716" s="9"/>
      <c r="J2716" s="9"/>
      <c r="K2716" s="4"/>
      <c r="L2716" s="10"/>
      <c r="M2716" s="54"/>
      <c r="N2716" s="12" t="s">
        <v>200</v>
      </c>
      <c r="O2716" s="12" t="s">
        <v>200</v>
      </c>
      <c r="P2716" s="13"/>
      <c r="Q2716" s="12"/>
      <c r="R2716" s="14"/>
      <c r="S2716" s="15"/>
      <c r="T2716" s="4" t="b">
        <v>0</v>
      </c>
    </row>
    <row r="2717">
      <c r="A2717" s="16"/>
      <c r="B2717" s="17"/>
      <c r="C2717" s="24"/>
      <c r="D2717" s="44"/>
      <c r="E2717" s="19"/>
      <c r="F2717" s="35"/>
      <c r="G2717" s="20">
        <v>1899.0</v>
      </c>
      <c r="H2717" s="21"/>
      <c r="I2717" s="21"/>
      <c r="J2717" s="21"/>
      <c r="K2717" s="16"/>
      <c r="L2717" s="22"/>
      <c r="M2717" s="55"/>
      <c r="N2717" s="23" t="s">
        <v>200</v>
      </c>
      <c r="O2717" s="23" t="s">
        <v>200</v>
      </c>
      <c r="P2717" s="24"/>
      <c r="Q2717" s="23"/>
      <c r="R2717" s="25"/>
      <c r="S2717" s="26"/>
      <c r="T2717" s="16" t="b">
        <v>0</v>
      </c>
    </row>
    <row r="2718">
      <c r="A2718" s="4"/>
      <c r="B2718" s="5"/>
      <c r="C2718" s="13"/>
      <c r="D2718" s="39"/>
      <c r="E2718" s="7"/>
      <c r="F2718" s="34"/>
      <c r="G2718" s="8">
        <v>1899.0</v>
      </c>
      <c r="H2718" s="9"/>
      <c r="I2718" s="9"/>
      <c r="J2718" s="9"/>
      <c r="K2718" s="4"/>
      <c r="L2718" s="10"/>
      <c r="M2718" s="54"/>
      <c r="N2718" s="12" t="s">
        <v>200</v>
      </c>
      <c r="O2718" s="12" t="s">
        <v>200</v>
      </c>
      <c r="P2718" s="13"/>
      <c r="Q2718" s="12"/>
      <c r="R2718" s="14"/>
      <c r="S2718" s="15"/>
      <c r="T2718" s="4" t="b">
        <v>0</v>
      </c>
    </row>
    <row r="2719">
      <c r="A2719" s="16"/>
      <c r="B2719" s="17"/>
      <c r="C2719" s="24"/>
      <c r="D2719" s="44"/>
      <c r="E2719" s="19"/>
      <c r="F2719" s="35"/>
      <c r="G2719" s="20">
        <v>1899.0</v>
      </c>
      <c r="H2719" s="21"/>
      <c r="I2719" s="21"/>
      <c r="J2719" s="21"/>
      <c r="K2719" s="16"/>
      <c r="L2719" s="22"/>
      <c r="M2719" s="55"/>
      <c r="N2719" s="23" t="s">
        <v>200</v>
      </c>
      <c r="O2719" s="23" t="s">
        <v>200</v>
      </c>
      <c r="P2719" s="24"/>
      <c r="Q2719" s="23"/>
      <c r="R2719" s="25"/>
      <c r="S2719" s="26"/>
      <c r="T2719" s="16" t="b">
        <v>0</v>
      </c>
    </row>
    <row r="2720">
      <c r="A2720" s="4"/>
      <c r="B2720" s="5"/>
      <c r="C2720" s="13"/>
      <c r="D2720" s="39"/>
      <c r="E2720" s="7"/>
      <c r="F2720" s="34"/>
      <c r="G2720" s="8">
        <v>1899.0</v>
      </c>
      <c r="H2720" s="9"/>
      <c r="I2720" s="9"/>
      <c r="J2720" s="9"/>
      <c r="K2720" s="4"/>
      <c r="L2720" s="10"/>
      <c r="M2720" s="54"/>
      <c r="N2720" s="12" t="s">
        <v>200</v>
      </c>
      <c r="O2720" s="12" t="s">
        <v>200</v>
      </c>
      <c r="P2720" s="13"/>
      <c r="Q2720" s="12"/>
      <c r="R2720" s="14"/>
      <c r="S2720" s="15"/>
      <c r="T2720" s="4" t="b">
        <v>0</v>
      </c>
    </row>
    <row r="2721">
      <c r="A2721" s="16"/>
      <c r="B2721" s="17"/>
      <c r="C2721" s="24"/>
      <c r="D2721" s="44"/>
      <c r="E2721" s="19"/>
      <c r="F2721" s="35"/>
      <c r="G2721" s="20">
        <v>1899.0</v>
      </c>
      <c r="H2721" s="21"/>
      <c r="I2721" s="21"/>
      <c r="J2721" s="21"/>
      <c r="K2721" s="16"/>
      <c r="L2721" s="22"/>
      <c r="M2721" s="55"/>
      <c r="N2721" s="23" t="s">
        <v>200</v>
      </c>
      <c r="O2721" s="23" t="s">
        <v>200</v>
      </c>
      <c r="P2721" s="24"/>
      <c r="Q2721" s="23"/>
      <c r="R2721" s="25"/>
      <c r="S2721" s="26"/>
      <c r="T2721" s="16" t="b">
        <v>0</v>
      </c>
    </row>
    <row r="2722">
      <c r="A2722" s="4"/>
      <c r="B2722" s="5"/>
      <c r="C2722" s="13"/>
      <c r="D2722" s="39"/>
      <c r="E2722" s="7"/>
      <c r="F2722" s="34"/>
      <c r="G2722" s="8">
        <v>1899.0</v>
      </c>
      <c r="H2722" s="9"/>
      <c r="I2722" s="9"/>
      <c r="J2722" s="9"/>
      <c r="K2722" s="4"/>
      <c r="L2722" s="10"/>
      <c r="M2722" s="54"/>
      <c r="N2722" s="12" t="s">
        <v>200</v>
      </c>
      <c r="O2722" s="12" t="s">
        <v>200</v>
      </c>
      <c r="P2722" s="13"/>
      <c r="Q2722" s="12"/>
      <c r="R2722" s="14"/>
      <c r="S2722" s="15"/>
      <c r="T2722" s="4" t="b">
        <v>0</v>
      </c>
    </row>
    <row r="2723">
      <c r="A2723" s="16"/>
      <c r="B2723" s="17"/>
      <c r="C2723" s="24"/>
      <c r="D2723" s="44"/>
      <c r="E2723" s="19"/>
      <c r="F2723" s="35"/>
      <c r="G2723" s="20">
        <v>1899.0</v>
      </c>
      <c r="H2723" s="21"/>
      <c r="I2723" s="21"/>
      <c r="J2723" s="21"/>
      <c r="K2723" s="16"/>
      <c r="L2723" s="22"/>
      <c r="M2723" s="55"/>
      <c r="N2723" s="23" t="s">
        <v>200</v>
      </c>
      <c r="O2723" s="23" t="s">
        <v>200</v>
      </c>
      <c r="P2723" s="24"/>
      <c r="Q2723" s="23"/>
      <c r="R2723" s="25"/>
      <c r="S2723" s="26"/>
      <c r="T2723" s="16" t="b">
        <v>0</v>
      </c>
    </row>
    <row r="2724">
      <c r="A2724" s="4"/>
      <c r="B2724" s="5"/>
      <c r="C2724" s="13"/>
      <c r="D2724" s="39"/>
      <c r="E2724" s="7"/>
      <c r="F2724" s="34"/>
      <c r="G2724" s="8">
        <v>1899.0</v>
      </c>
      <c r="H2724" s="9"/>
      <c r="I2724" s="9"/>
      <c r="J2724" s="9"/>
      <c r="K2724" s="4"/>
      <c r="L2724" s="10"/>
      <c r="M2724" s="54"/>
      <c r="N2724" s="12" t="s">
        <v>200</v>
      </c>
      <c r="O2724" s="12" t="s">
        <v>200</v>
      </c>
      <c r="P2724" s="13"/>
      <c r="Q2724" s="12"/>
      <c r="R2724" s="14"/>
      <c r="S2724" s="15"/>
      <c r="T2724" s="4" t="b">
        <v>0</v>
      </c>
    </row>
    <row r="2725">
      <c r="A2725" s="16"/>
      <c r="B2725" s="17"/>
      <c r="C2725" s="24"/>
      <c r="D2725" s="44"/>
      <c r="E2725" s="19"/>
      <c r="F2725" s="35"/>
      <c r="G2725" s="20">
        <v>1899.0</v>
      </c>
      <c r="H2725" s="21"/>
      <c r="I2725" s="21"/>
      <c r="J2725" s="21"/>
      <c r="K2725" s="16"/>
      <c r="L2725" s="22"/>
      <c r="M2725" s="55"/>
      <c r="N2725" s="23" t="s">
        <v>200</v>
      </c>
      <c r="O2725" s="23" t="s">
        <v>200</v>
      </c>
      <c r="P2725" s="24"/>
      <c r="Q2725" s="23"/>
      <c r="R2725" s="25"/>
      <c r="S2725" s="26"/>
      <c r="T2725" s="16" t="b">
        <v>0</v>
      </c>
    </row>
    <row r="2726">
      <c r="A2726" s="4"/>
      <c r="B2726" s="5"/>
      <c r="C2726" s="13"/>
      <c r="D2726" s="39"/>
      <c r="E2726" s="7"/>
      <c r="F2726" s="34"/>
      <c r="G2726" s="8">
        <v>1899.0</v>
      </c>
      <c r="H2726" s="9"/>
      <c r="I2726" s="9"/>
      <c r="J2726" s="9"/>
      <c r="K2726" s="4"/>
      <c r="L2726" s="10"/>
      <c r="M2726" s="54"/>
      <c r="N2726" s="12" t="s">
        <v>200</v>
      </c>
      <c r="O2726" s="12" t="s">
        <v>200</v>
      </c>
      <c r="P2726" s="13"/>
      <c r="Q2726" s="12"/>
      <c r="R2726" s="14"/>
      <c r="S2726" s="15"/>
      <c r="T2726" s="4" t="b">
        <v>0</v>
      </c>
    </row>
    <row r="2727">
      <c r="A2727" s="16"/>
      <c r="B2727" s="17"/>
      <c r="C2727" s="24"/>
      <c r="D2727" s="44"/>
      <c r="E2727" s="19"/>
      <c r="F2727" s="35"/>
      <c r="G2727" s="20">
        <v>1899.0</v>
      </c>
      <c r="H2727" s="21"/>
      <c r="I2727" s="21"/>
      <c r="J2727" s="21"/>
      <c r="K2727" s="16"/>
      <c r="L2727" s="22"/>
      <c r="M2727" s="55"/>
      <c r="N2727" s="23" t="s">
        <v>200</v>
      </c>
      <c r="O2727" s="23" t="s">
        <v>200</v>
      </c>
      <c r="P2727" s="24"/>
      <c r="Q2727" s="23"/>
      <c r="R2727" s="25"/>
      <c r="S2727" s="26"/>
      <c r="T2727" s="16" t="b">
        <v>0</v>
      </c>
    </row>
    <row r="2728">
      <c r="A2728" s="4"/>
      <c r="B2728" s="5"/>
      <c r="C2728" s="13"/>
      <c r="D2728" s="39"/>
      <c r="E2728" s="7"/>
      <c r="F2728" s="34"/>
      <c r="G2728" s="8">
        <v>1899.0</v>
      </c>
      <c r="H2728" s="9"/>
      <c r="I2728" s="9"/>
      <c r="J2728" s="9"/>
      <c r="K2728" s="4"/>
      <c r="L2728" s="10"/>
      <c r="M2728" s="54"/>
      <c r="N2728" s="12" t="s">
        <v>200</v>
      </c>
      <c r="O2728" s="12" t="s">
        <v>200</v>
      </c>
      <c r="P2728" s="13"/>
      <c r="Q2728" s="12"/>
      <c r="R2728" s="14"/>
      <c r="S2728" s="15"/>
      <c r="T2728" s="4" t="b">
        <v>0</v>
      </c>
    </row>
    <row r="2729">
      <c r="A2729" s="16"/>
      <c r="B2729" s="17"/>
      <c r="C2729" s="24"/>
      <c r="D2729" s="44"/>
      <c r="E2729" s="19"/>
      <c r="F2729" s="35"/>
      <c r="G2729" s="20">
        <v>1899.0</v>
      </c>
      <c r="H2729" s="21"/>
      <c r="I2729" s="21"/>
      <c r="J2729" s="21"/>
      <c r="K2729" s="16"/>
      <c r="L2729" s="22"/>
      <c r="M2729" s="55"/>
      <c r="N2729" s="23" t="s">
        <v>200</v>
      </c>
      <c r="O2729" s="23" t="s">
        <v>200</v>
      </c>
      <c r="P2729" s="24"/>
      <c r="Q2729" s="23"/>
      <c r="R2729" s="25"/>
      <c r="S2729" s="26"/>
      <c r="T2729" s="16" t="b">
        <v>0</v>
      </c>
    </row>
    <row r="2730">
      <c r="A2730" s="4"/>
      <c r="B2730" s="5"/>
      <c r="C2730" s="13"/>
      <c r="D2730" s="39"/>
      <c r="E2730" s="7"/>
      <c r="F2730" s="34"/>
      <c r="G2730" s="8">
        <v>1899.0</v>
      </c>
      <c r="H2730" s="9"/>
      <c r="I2730" s="9"/>
      <c r="J2730" s="9"/>
      <c r="K2730" s="4"/>
      <c r="L2730" s="10"/>
      <c r="M2730" s="54"/>
      <c r="N2730" s="12" t="s">
        <v>200</v>
      </c>
      <c r="O2730" s="12" t="s">
        <v>200</v>
      </c>
      <c r="P2730" s="13"/>
      <c r="Q2730" s="12"/>
      <c r="R2730" s="14"/>
      <c r="S2730" s="15"/>
      <c r="T2730" s="4" t="b">
        <v>0</v>
      </c>
    </row>
    <row r="2731">
      <c r="A2731" s="16"/>
      <c r="B2731" s="17"/>
      <c r="C2731" s="24"/>
      <c r="D2731" s="44"/>
      <c r="E2731" s="19"/>
      <c r="F2731" s="35"/>
      <c r="G2731" s="20">
        <v>1899.0</v>
      </c>
      <c r="H2731" s="21"/>
      <c r="I2731" s="21"/>
      <c r="J2731" s="21"/>
      <c r="K2731" s="16"/>
      <c r="L2731" s="22"/>
      <c r="M2731" s="55"/>
      <c r="N2731" s="23" t="s">
        <v>200</v>
      </c>
      <c r="O2731" s="23" t="s">
        <v>200</v>
      </c>
      <c r="P2731" s="24"/>
      <c r="Q2731" s="23"/>
      <c r="R2731" s="25"/>
      <c r="S2731" s="26"/>
      <c r="T2731" s="16" t="b">
        <v>0</v>
      </c>
    </row>
    <row r="2732">
      <c r="A2732" s="4"/>
      <c r="B2732" s="5"/>
      <c r="C2732" s="13"/>
      <c r="D2732" s="39"/>
      <c r="E2732" s="7"/>
      <c r="F2732" s="34"/>
      <c r="G2732" s="8">
        <v>1899.0</v>
      </c>
      <c r="H2732" s="9"/>
      <c r="I2732" s="9"/>
      <c r="J2732" s="9"/>
      <c r="K2732" s="4"/>
      <c r="L2732" s="10"/>
      <c r="M2732" s="54"/>
      <c r="N2732" s="12" t="s">
        <v>200</v>
      </c>
      <c r="O2732" s="12" t="s">
        <v>200</v>
      </c>
      <c r="P2732" s="13"/>
      <c r="Q2732" s="12"/>
      <c r="R2732" s="14"/>
      <c r="S2732" s="15"/>
      <c r="T2732" s="4" t="b">
        <v>0</v>
      </c>
    </row>
    <row r="2733">
      <c r="A2733" s="16"/>
      <c r="B2733" s="17"/>
      <c r="C2733" s="24"/>
      <c r="D2733" s="44"/>
      <c r="E2733" s="19"/>
      <c r="F2733" s="35"/>
      <c r="G2733" s="20">
        <v>1899.0</v>
      </c>
      <c r="H2733" s="21"/>
      <c r="I2733" s="21"/>
      <c r="J2733" s="21"/>
      <c r="K2733" s="16"/>
      <c r="L2733" s="22"/>
      <c r="M2733" s="55"/>
      <c r="N2733" s="23" t="s">
        <v>200</v>
      </c>
      <c r="O2733" s="23" t="s">
        <v>200</v>
      </c>
      <c r="P2733" s="24"/>
      <c r="Q2733" s="23"/>
      <c r="R2733" s="25"/>
      <c r="S2733" s="26"/>
      <c r="T2733" s="16" t="b">
        <v>0</v>
      </c>
    </row>
    <row r="2734">
      <c r="A2734" s="4"/>
      <c r="B2734" s="5"/>
      <c r="C2734" s="13"/>
      <c r="D2734" s="39"/>
      <c r="E2734" s="7"/>
      <c r="F2734" s="34"/>
      <c r="G2734" s="8">
        <v>1899.0</v>
      </c>
      <c r="H2734" s="9"/>
      <c r="I2734" s="9"/>
      <c r="J2734" s="9"/>
      <c r="K2734" s="4"/>
      <c r="L2734" s="10"/>
      <c r="M2734" s="54"/>
      <c r="N2734" s="12" t="s">
        <v>200</v>
      </c>
      <c r="O2734" s="12" t="s">
        <v>200</v>
      </c>
      <c r="P2734" s="13"/>
      <c r="Q2734" s="12"/>
      <c r="R2734" s="14"/>
      <c r="S2734" s="15"/>
      <c r="T2734" s="4" t="b">
        <v>0</v>
      </c>
    </row>
    <row r="2735">
      <c r="A2735" s="16"/>
      <c r="B2735" s="17"/>
      <c r="C2735" s="24"/>
      <c r="D2735" s="44"/>
      <c r="E2735" s="19"/>
      <c r="F2735" s="35"/>
      <c r="G2735" s="20">
        <v>1899.0</v>
      </c>
      <c r="H2735" s="21"/>
      <c r="I2735" s="21"/>
      <c r="J2735" s="21"/>
      <c r="K2735" s="16"/>
      <c r="L2735" s="22"/>
      <c r="M2735" s="55"/>
      <c r="N2735" s="23" t="s">
        <v>200</v>
      </c>
      <c r="O2735" s="23" t="s">
        <v>200</v>
      </c>
      <c r="P2735" s="24"/>
      <c r="Q2735" s="23"/>
      <c r="R2735" s="25"/>
      <c r="S2735" s="26"/>
      <c r="T2735" s="16" t="b">
        <v>0</v>
      </c>
    </row>
    <row r="2736">
      <c r="A2736" s="4"/>
      <c r="B2736" s="5"/>
      <c r="C2736" s="13"/>
      <c r="D2736" s="39"/>
      <c r="E2736" s="7"/>
      <c r="F2736" s="34"/>
      <c r="G2736" s="8">
        <v>1899.0</v>
      </c>
      <c r="H2736" s="9"/>
      <c r="I2736" s="9"/>
      <c r="J2736" s="9"/>
      <c r="K2736" s="4"/>
      <c r="L2736" s="10"/>
      <c r="M2736" s="54"/>
      <c r="N2736" s="12" t="s">
        <v>200</v>
      </c>
      <c r="O2736" s="12" t="s">
        <v>200</v>
      </c>
      <c r="P2736" s="13"/>
      <c r="Q2736" s="12"/>
      <c r="R2736" s="14"/>
      <c r="S2736" s="15"/>
      <c r="T2736" s="4" t="b">
        <v>0</v>
      </c>
    </row>
    <row r="2737">
      <c r="A2737" s="16"/>
      <c r="B2737" s="17"/>
      <c r="C2737" s="24"/>
      <c r="D2737" s="44"/>
      <c r="E2737" s="19"/>
      <c r="F2737" s="35"/>
      <c r="G2737" s="20">
        <v>1899.0</v>
      </c>
      <c r="H2737" s="21"/>
      <c r="I2737" s="21"/>
      <c r="J2737" s="21"/>
      <c r="K2737" s="16"/>
      <c r="L2737" s="22"/>
      <c r="M2737" s="55"/>
      <c r="N2737" s="23" t="s">
        <v>200</v>
      </c>
      <c r="O2737" s="23" t="s">
        <v>200</v>
      </c>
      <c r="P2737" s="24"/>
      <c r="Q2737" s="23"/>
      <c r="R2737" s="25"/>
      <c r="S2737" s="26"/>
      <c r="T2737" s="16" t="b">
        <v>0</v>
      </c>
    </row>
    <row r="2738">
      <c r="A2738" s="4"/>
      <c r="B2738" s="5"/>
      <c r="C2738" s="13"/>
      <c r="D2738" s="39"/>
      <c r="E2738" s="7"/>
      <c r="F2738" s="34"/>
      <c r="G2738" s="8">
        <v>1899.0</v>
      </c>
      <c r="H2738" s="9"/>
      <c r="I2738" s="9"/>
      <c r="J2738" s="9"/>
      <c r="K2738" s="4"/>
      <c r="L2738" s="10"/>
      <c r="M2738" s="54"/>
      <c r="N2738" s="12" t="s">
        <v>200</v>
      </c>
      <c r="O2738" s="12" t="s">
        <v>200</v>
      </c>
      <c r="P2738" s="13"/>
      <c r="Q2738" s="12"/>
      <c r="R2738" s="14"/>
      <c r="S2738" s="15"/>
      <c r="T2738" s="4" t="b">
        <v>0</v>
      </c>
    </row>
    <row r="2739">
      <c r="A2739" s="16"/>
      <c r="B2739" s="17"/>
      <c r="C2739" s="24"/>
      <c r="D2739" s="44"/>
      <c r="E2739" s="19"/>
      <c r="F2739" s="35"/>
      <c r="G2739" s="20">
        <v>1899.0</v>
      </c>
      <c r="H2739" s="21"/>
      <c r="I2739" s="21"/>
      <c r="J2739" s="21"/>
      <c r="K2739" s="16"/>
      <c r="L2739" s="22"/>
      <c r="M2739" s="55"/>
      <c r="N2739" s="23" t="s">
        <v>200</v>
      </c>
      <c r="O2739" s="23" t="s">
        <v>200</v>
      </c>
      <c r="P2739" s="24"/>
      <c r="Q2739" s="23"/>
      <c r="R2739" s="25"/>
      <c r="S2739" s="26"/>
      <c r="T2739" s="16" t="b">
        <v>0</v>
      </c>
    </row>
    <row r="2740">
      <c r="A2740" s="4"/>
      <c r="B2740" s="5"/>
      <c r="C2740" s="13"/>
      <c r="D2740" s="39"/>
      <c r="E2740" s="7"/>
      <c r="F2740" s="34"/>
      <c r="G2740" s="8">
        <v>1899.0</v>
      </c>
      <c r="H2740" s="9"/>
      <c r="I2740" s="9"/>
      <c r="J2740" s="9"/>
      <c r="K2740" s="4"/>
      <c r="L2740" s="10"/>
      <c r="M2740" s="54"/>
      <c r="N2740" s="12" t="s">
        <v>200</v>
      </c>
      <c r="O2740" s="12" t="s">
        <v>200</v>
      </c>
      <c r="P2740" s="13"/>
      <c r="Q2740" s="12"/>
      <c r="R2740" s="14"/>
      <c r="S2740" s="15"/>
      <c r="T2740" s="4" t="b">
        <v>0</v>
      </c>
    </row>
    <row r="2741">
      <c r="A2741" s="16"/>
      <c r="B2741" s="17"/>
      <c r="C2741" s="24"/>
      <c r="D2741" s="44"/>
      <c r="E2741" s="19"/>
      <c r="F2741" s="35"/>
      <c r="G2741" s="20">
        <v>1899.0</v>
      </c>
      <c r="H2741" s="21"/>
      <c r="I2741" s="21"/>
      <c r="J2741" s="21"/>
      <c r="K2741" s="16"/>
      <c r="L2741" s="22"/>
      <c r="M2741" s="55"/>
      <c r="N2741" s="23" t="s">
        <v>200</v>
      </c>
      <c r="O2741" s="23" t="s">
        <v>200</v>
      </c>
      <c r="P2741" s="24"/>
      <c r="Q2741" s="23"/>
      <c r="R2741" s="25"/>
      <c r="S2741" s="26"/>
      <c r="T2741" s="16" t="b">
        <v>0</v>
      </c>
    </row>
    <row r="2742">
      <c r="A2742" s="4"/>
      <c r="B2742" s="5"/>
      <c r="C2742" s="13"/>
      <c r="D2742" s="39"/>
      <c r="E2742" s="7"/>
      <c r="F2742" s="34"/>
      <c r="G2742" s="8">
        <v>1899.0</v>
      </c>
      <c r="H2742" s="9"/>
      <c r="I2742" s="9"/>
      <c r="J2742" s="9"/>
      <c r="K2742" s="4"/>
      <c r="L2742" s="10"/>
      <c r="M2742" s="54"/>
      <c r="N2742" s="12" t="s">
        <v>200</v>
      </c>
      <c r="O2742" s="12" t="s">
        <v>200</v>
      </c>
      <c r="P2742" s="13"/>
      <c r="Q2742" s="12"/>
      <c r="R2742" s="14"/>
      <c r="S2742" s="15"/>
      <c r="T2742" s="4" t="b">
        <v>0</v>
      </c>
    </row>
    <row r="2743">
      <c r="A2743" s="16"/>
      <c r="B2743" s="17"/>
      <c r="C2743" s="24"/>
      <c r="D2743" s="44"/>
      <c r="E2743" s="19"/>
      <c r="F2743" s="35"/>
      <c r="G2743" s="20">
        <v>1899.0</v>
      </c>
      <c r="H2743" s="21"/>
      <c r="I2743" s="21"/>
      <c r="J2743" s="21"/>
      <c r="K2743" s="16"/>
      <c r="L2743" s="22"/>
      <c r="M2743" s="55"/>
      <c r="N2743" s="23" t="s">
        <v>200</v>
      </c>
      <c r="O2743" s="23" t="s">
        <v>200</v>
      </c>
      <c r="P2743" s="24"/>
      <c r="Q2743" s="23"/>
      <c r="R2743" s="25"/>
      <c r="S2743" s="26"/>
      <c r="T2743" s="16" t="b">
        <v>0</v>
      </c>
    </row>
    <row r="2744">
      <c r="A2744" s="4"/>
      <c r="B2744" s="5"/>
      <c r="C2744" s="13"/>
      <c r="D2744" s="39"/>
      <c r="E2744" s="7"/>
      <c r="F2744" s="34"/>
      <c r="G2744" s="8">
        <v>1899.0</v>
      </c>
      <c r="H2744" s="9"/>
      <c r="I2744" s="9"/>
      <c r="J2744" s="9"/>
      <c r="K2744" s="4"/>
      <c r="L2744" s="10"/>
      <c r="M2744" s="54"/>
      <c r="N2744" s="12" t="s">
        <v>200</v>
      </c>
      <c r="O2744" s="12" t="s">
        <v>200</v>
      </c>
      <c r="P2744" s="13"/>
      <c r="Q2744" s="12"/>
      <c r="R2744" s="14"/>
      <c r="S2744" s="15"/>
      <c r="T2744" s="4" t="b">
        <v>0</v>
      </c>
    </row>
    <row r="2745">
      <c r="A2745" s="16"/>
      <c r="B2745" s="17"/>
      <c r="C2745" s="24"/>
      <c r="D2745" s="44"/>
      <c r="E2745" s="19"/>
      <c r="F2745" s="35"/>
      <c r="G2745" s="20">
        <v>1899.0</v>
      </c>
      <c r="H2745" s="21"/>
      <c r="I2745" s="21"/>
      <c r="J2745" s="21"/>
      <c r="K2745" s="16"/>
      <c r="L2745" s="22"/>
      <c r="M2745" s="55"/>
      <c r="N2745" s="23" t="s">
        <v>200</v>
      </c>
      <c r="O2745" s="23" t="s">
        <v>200</v>
      </c>
      <c r="P2745" s="24"/>
      <c r="Q2745" s="23"/>
      <c r="R2745" s="25"/>
      <c r="S2745" s="26"/>
      <c r="T2745" s="16" t="b">
        <v>0</v>
      </c>
    </row>
    <row r="2746">
      <c r="A2746" s="4"/>
      <c r="B2746" s="5"/>
      <c r="C2746" s="13"/>
      <c r="D2746" s="39"/>
      <c r="E2746" s="7"/>
      <c r="F2746" s="34"/>
      <c r="G2746" s="8">
        <v>1899.0</v>
      </c>
      <c r="H2746" s="9"/>
      <c r="I2746" s="9"/>
      <c r="J2746" s="9"/>
      <c r="K2746" s="4"/>
      <c r="L2746" s="10"/>
      <c r="M2746" s="54"/>
      <c r="N2746" s="12" t="s">
        <v>200</v>
      </c>
      <c r="O2746" s="12" t="s">
        <v>200</v>
      </c>
      <c r="P2746" s="13"/>
      <c r="Q2746" s="12"/>
      <c r="R2746" s="14"/>
      <c r="S2746" s="15"/>
      <c r="T2746" s="4" t="b">
        <v>0</v>
      </c>
    </row>
    <row r="2747">
      <c r="A2747" s="16"/>
      <c r="B2747" s="17"/>
      <c r="C2747" s="24"/>
      <c r="D2747" s="44"/>
      <c r="E2747" s="19"/>
      <c r="F2747" s="35"/>
      <c r="G2747" s="20">
        <v>1899.0</v>
      </c>
      <c r="H2747" s="21"/>
      <c r="I2747" s="21"/>
      <c r="J2747" s="21"/>
      <c r="K2747" s="16"/>
      <c r="L2747" s="22"/>
      <c r="M2747" s="55"/>
      <c r="N2747" s="23" t="s">
        <v>200</v>
      </c>
      <c r="O2747" s="23" t="s">
        <v>200</v>
      </c>
      <c r="P2747" s="24"/>
      <c r="Q2747" s="23"/>
      <c r="R2747" s="25"/>
      <c r="S2747" s="26"/>
      <c r="T2747" s="16" t="b">
        <v>0</v>
      </c>
    </row>
    <row r="2748">
      <c r="A2748" s="4"/>
      <c r="B2748" s="5"/>
      <c r="C2748" s="13"/>
      <c r="D2748" s="39"/>
      <c r="E2748" s="7"/>
      <c r="F2748" s="34"/>
      <c r="G2748" s="8">
        <v>1899.0</v>
      </c>
      <c r="H2748" s="9"/>
      <c r="I2748" s="9"/>
      <c r="J2748" s="9"/>
      <c r="K2748" s="4"/>
      <c r="L2748" s="10"/>
      <c r="M2748" s="54"/>
      <c r="N2748" s="12" t="s">
        <v>200</v>
      </c>
      <c r="O2748" s="12" t="s">
        <v>200</v>
      </c>
      <c r="P2748" s="13"/>
      <c r="Q2748" s="12"/>
      <c r="R2748" s="14"/>
      <c r="S2748" s="15"/>
      <c r="T2748" s="4" t="b">
        <v>0</v>
      </c>
    </row>
    <row r="2749">
      <c r="A2749" s="16"/>
      <c r="B2749" s="17"/>
      <c r="C2749" s="24"/>
      <c r="D2749" s="44"/>
      <c r="E2749" s="19"/>
      <c r="F2749" s="35"/>
      <c r="G2749" s="20">
        <v>1899.0</v>
      </c>
      <c r="H2749" s="21"/>
      <c r="I2749" s="21"/>
      <c r="J2749" s="21"/>
      <c r="K2749" s="16"/>
      <c r="L2749" s="22"/>
      <c r="M2749" s="55"/>
      <c r="N2749" s="23" t="s">
        <v>200</v>
      </c>
      <c r="O2749" s="23" t="s">
        <v>200</v>
      </c>
      <c r="P2749" s="24"/>
      <c r="Q2749" s="23"/>
      <c r="R2749" s="25"/>
      <c r="S2749" s="26"/>
      <c r="T2749" s="16" t="b">
        <v>0</v>
      </c>
    </row>
    <row r="2750">
      <c r="A2750" s="4"/>
      <c r="B2750" s="5"/>
      <c r="C2750" s="13"/>
      <c r="D2750" s="39"/>
      <c r="E2750" s="7"/>
      <c r="F2750" s="34"/>
      <c r="G2750" s="8">
        <v>1899.0</v>
      </c>
      <c r="H2750" s="9"/>
      <c r="I2750" s="9"/>
      <c r="J2750" s="9"/>
      <c r="K2750" s="4"/>
      <c r="L2750" s="10"/>
      <c r="M2750" s="54"/>
      <c r="N2750" s="12" t="s">
        <v>200</v>
      </c>
      <c r="O2750" s="12" t="s">
        <v>200</v>
      </c>
      <c r="P2750" s="13"/>
      <c r="Q2750" s="12"/>
      <c r="R2750" s="14"/>
      <c r="S2750" s="15"/>
      <c r="T2750" s="4" t="b">
        <v>0</v>
      </c>
    </row>
    <row r="2751">
      <c r="A2751" s="16"/>
      <c r="B2751" s="17"/>
      <c r="C2751" s="24"/>
      <c r="D2751" s="44"/>
      <c r="E2751" s="19"/>
      <c r="F2751" s="35"/>
      <c r="G2751" s="20">
        <v>1899.0</v>
      </c>
      <c r="H2751" s="21"/>
      <c r="I2751" s="21"/>
      <c r="J2751" s="21"/>
      <c r="K2751" s="16"/>
      <c r="L2751" s="22"/>
      <c r="M2751" s="55"/>
      <c r="N2751" s="23" t="s">
        <v>200</v>
      </c>
      <c r="O2751" s="23" t="s">
        <v>200</v>
      </c>
      <c r="P2751" s="24"/>
      <c r="Q2751" s="23"/>
      <c r="R2751" s="25"/>
      <c r="S2751" s="26"/>
      <c r="T2751" s="16" t="b">
        <v>0</v>
      </c>
    </row>
    <row r="2752">
      <c r="A2752" s="4"/>
      <c r="B2752" s="5"/>
      <c r="C2752" s="13"/>
      <c r="D2752" s="39"/>
      <c r="E2752" s="7"/>
      <c r="F2752" s="34"/>
      <c r="G2752" s="8">
        <v>1899.0</v>
      </c>
      <c r="H2752" s="9"/>
      <c r="I2752" s="9"/>
      <c r="J2752" s="9"/>
      <c r="K2752" s="4"/>
      <c r="L2752" s="10"/>
      <c r="M2752" s="54"/>
      <c r="N2752" s="12" t="s">
        <v>200</v>
      </c>
      <c r="O2752" s="12" t="s">
        <v>200</v>
      </c>
      <c r="P2752" s="13"/>
      <c r="Q2752" s="12"/>
      <c r="R2752" s="14"/>
      <c r="S2752" s="15"/>
      <c r="T2752" s="4" t="b">
        <v>0</v>
      </c>
    </row>
    <row r="2753">
      <c r="A2753" s="16"/>
      <c r="B2753" s="17"/>
      <c r="C2753" s="24"/>
      <c r="D2753" s="44"/>
      <c r="E2753" s="19"/>
      <c r="F2753" s="35"/>
      <c r="G2753" s="20">
        <v>1899.0</v>
      </c>
      <c r="H2753" s="21"/>
      <c r="I2753" s="21"/>
      <c r="J2753" s="21"/>
      <c r="K2753" s="16"/>
      <c r="L2753" s="22"/>
      <c r="M2753" s="55"/>
      <c r="N2753" s="23" t="s">
        <v>200</v>
      </c>
      <c r="O2753" s="23" t="s">
        <v>200</v>
      </c>
      <c r="P2753" s="24"/>
      <c r="Q2753" s="23"/>
      <c r="R2753" s="25"/>
      <c r="S2753" s="26"/>
      <c r="T2753" s="16" t="b">
        <v>0</v>
      </c>
    </row>
    <row r="2754">
      <c r="A2754" s="4"/>
      <c r="B2754" s="5"/>
      <c r="C2754" s="13"/>
      <c r="D2754" s="39"/>
      <c r="E2754" s="7"/>
      <c r="F2754" s="34"/>
      <c r="G2754" s="8">
        <v>1899.0</v>
      </c>
      <c r="H2754" s="9"/>
      <c r="I2754" s="9"/>
      <c r="J2754" s="9"/>
      <c r="K2754" s="4"/>
      <c r="L2754" s="10"/>
      <c r="M2754" s="54"/>
      <c r="N2754" s="12" t="s">
        <v>200</v>
      </c>
      <c r="O2754" s="12" t="s">
        <v>200</v>
      </c>
      <c r="P2754" s="13"/>
      <c r="Q2754" s="12"/>
      <c r="R2754" s="14"/>
      <c r="S2754" s="15"/>
      <c r="T2754" s="4" t="b">
        <v>0</v>
      </c>
    </row>
    <row r="2755">
      <c r="A2755" s="16"/>
      <c r="B2755" s="17"/>
      <c r="C2755" s="24"/>
      <c r="D2755" s="44"/>
      <c r="E2755" s="19"/>
      <c r="F2755" s="35"/>
      <c r="G2755" s="20">
        <v>1899.0</v>
      </c>
      <c r="H2755" s="21"/>
      <c r="I2755" s="21"/>
      <c r="J2755" s="21"/>
      <c r="K2755" s="16"/>
      <c r="L2755" s="22"/>
      <c r="M2755" s="55"/>
      <c r="N2755" s="23" t="s">
        <v>200</v>
      </c>
      <c r="O2755" s="23" t="s">
        <v>200</v>
      </c>
      <c r="P2755" s="24"/>
      <c r="Q2755" s="23"/>
      <c r="R2755" s="25"/>
      <c r="S2755" s="26"/>
      <c r="T2755" s="16" t="b">
        <v>0</v>
      </c>
    </row>
    <row r="2756">
      <c r="A2756" s="4"/>
      <c r="B2756" s="5"/>
      <c r="C2756" s="13"/>
      <c r="D2756" s="39"/>
      <c r="E2756" s="7"/>
      <c r="F2756" s="34"/>
      <c r="G2756" s="8">
        <v>1899.0</v>
      </c>
      <c r="H2756" s="9"/>
      <c r="I2756" s="9"/>
      <c r="J2756" s="9"/>
      <c r="K2756" s="4"/>
      <c r="L2756" s="10"/>
      <c r="M2756" s="54"/>
      <c r="N2756" s="12" t="s">
        <v>200</v>
      </c>
      <c r="O2756" s="12" t="s">
        <v>200</v>
      </c>
      <c r="P2756" s="13"/>
      <c r="Q2756" s="12"/>
      <c r="R2756" s="14"/>
      <c r="S2756" s="15"/>
      <c r="T2756" s="4" t="b">
        <v>0</v>
      </c>
    </row>
    <row r="2757">
      <c r="A2757" s="16"/>
      <c r="B2757" s="17"/>
      <c r="C2757" s="24"/>
      <c r="D2757" s="44"/>
      <c r="E2757" s="19"/>
      <c r="F2757" s="35"/>
      <c r="G2757" s="20">
        <v>1899.0</v>
      </c>
      <c r="H2757" s="21"/>
      <c r="I2757" s="21"/>
      <c r="J2757" s="21"/>
      <c r="K2757" s="16"/>
      <c r="L2757" s="22"/>
      <c r="M2757" s="55"/>
      <c r="N2757" s="23" t="s">
        <v>200</v>
      </c>
      <c r="O2757" s="23" t="s">
        <v>200</v>
      </c>
      <c r="P2757" s="24"/>
      <c r="Q2757" s="23"/>
      <c r="R2757" s="25"/>
      <c r="S2757" s="26"/>
      <c r="T2757" s="16" t="b">
        <v>0</v>
      </c>
    </row>
    <row r="2758">
      <c r="A2758" s="4"/>
      <c r="B2758" s="5"/>
      <c r="C2758" s="13"/>
      <c r="D2758" s="39"/>
      <c r="E2758" s="7"/>
      <c r="F2758" s="34"/>
      <c r="G2758" s="8">
        <v>1899.0</v>
      </c>
      <c r="H2758" s="9"/>
      <c r="I2758" s="9"/>
      <c r="J2758" s="9"/>
      <c r="K2758" s="4"/>
      <c r="L2758" s="10"/>
      <c r="M2758" s="54"/>
      <c r="N2758" s="12" t="s">
        <v>200</v>
      </c>
      <c r="O2758" s="12" t="s">
        <v>200</v>
      </c>
      <c r="P2758" s="13"/>
      <c r="Q2758" s="12"/>
      <c r="R2758" s="14"/>
      <c r="S2758" s="15"/>
      <c r="T2758" s="4" t="b">
        <v>0</v>
      </c>
    </row>
    <row r="2759">
      <c r="A2759" s="16"/>
      <c r="B2759" s="17"/>
      <c r="C2759" s="24"/>
      <c r="D2759" s="44"/>
      <c r="E2759" s="19"/>
      <c r="F2759" s="35"/>
      <c r="G2759" s="20">
        <v>1899.0</v>
      </c>
      <c r="H2759" s="21"/>
      <c r="I2759" s="21"/>
      <c r="J2759" s="21"/>
      <c r="K2759" s="16"/>
      <c r="L2759" s="22"/>
      <c r="M2759" s="55"/>
      <c r="N2759" s="23" t="s">
        <v>200</v>
      </c>
      <c r="O2759" s="23" t="s">
        <v>200</v>
      </c>
      <c r="P2759" s="24"/>
      <c r="Q2759" s="23"/>
      <c r="R2759" s="25"/>
      <c r="S2759" s="26"/>
      <c r="T2759" s="16" t="b">
        <v>0</v>
      </c>
    </row>
    <row r="2760">
      <c r="A2760" s="4"/>
      <c r="B2760" s="5"/>
      <c r="C2760" s="13"/>
      <c r="D2760" s="39"/>
      <c r="E2760" s="7"/>
      <c r="F2760" s="34"/>
      <c r="G2760" s="8">
        <v>1899.0</v>
      </c>
      <c r="H2760" s="9"/>
      <c r="I2760" s="9"/>
      <c r="J2760" s="9"/>
      <c r="K2760" s="4"/>
      <c r="L2760" s="10"/>
      <c r="M2760" s="54"/>
      <c r="N2760" s="12" t="s">
        <v>200</v>
      </c>
      <c r="O2760" s="12" t="s">
        <v>200</v>
      </c>
      <c r="P2760" s="13"/>
      <c r="Q2760" s="12"/>
      <c r="R2760" s="14"/>
      <c r="S2760" s="15"/>
      <c r="T2760" s="4" t="b">
        <v>0</v>
      </c>
    </row>
    <row r="2761">
      <c r="A2761" s="16"/>
      <c r="B2761" s="17"/>
      <c r="C2761" s="24"/>
      <c r="D2761" s="44"/>
      <c r="E2761" s="19"/>
      <c r="F2761" s="35"/>
      <c r="G2761" s="20">
        <v>1899.0</v>
      </c>
      <c r="H2761" s="21"/>
      <c r="I2761" s="21"/>
      <c r="J2761" s="21"/>
      <c r="K2761" s="16"/>
      <c r="L2761" s="22"/>
      <c r="M2761" s="55"/>
      <c r="N2761" s="23" t="s">
        <v>200</v>
      </c>
      <c r="O2761" s="23" t="s">
        <v>200</v>
      </c>
      <c r="P2761" s="24"/>
      <c r="Q2761" s="23"/>
      <c r="R2761" s="25"/>
      <c r="S2761" s="26"/>
      <c r="T2761" s="16" t="b">
        <v>0</v>
      </c>
    </row>
    <row r="2762">
      <c r="A2762" s="4"/>
      <c r="B2762" s="5"/>
      <c r="C2762" s="13"/>
      <c r="D2762" s="39"/>
      <c r="E2762" s="7"/>
      <c r="F2762" s="34"/>
      <c r="G2762" s="8">
        <v>1899.0</v>
      </c>
      <c r="H2762" s="9"/>
      <c r="I2762" s="9"/>
      <c r="J2762" s="9"/>
      <c r="K2762" s="4"/>
      <c r="L2762" s="10"/>
      <c r="M2762" s="54"/>
      <c r="N2762" s="12" t="s">
        <v>200</v>
      </c>
      <c r="O2762" s="12" t="s">
        <v>200</v>
      </c>
      <c r="P2762" s="13"/>
      <c r="Q2762" s="12"/>
      <c r="R2762" s="14"/>
      <c r="S2762" s="15"/>
      <c r="T2762" s="4" t="b">
        <v>0</v>
      </c>
    </row>
    <row r="2763">
      <c r="A2763" s="16"/>
      <c r="B2763" s="17"/>
      <c r="C2763" s="24"/>
      <c r="D2763" s="44"/>
      <c r="E2763" s="19"/>
      <c r="F2763" s="35"/>
      <c r="G2763" s="20">
        <v>1899.0</v>
      </c>
      <c r="H2763" s="21"/>
      <c r="I2763" s="21"/>
      <c r="J2763" s="21"/>
      <c r="K2763" s="16"/>
      <c r="L2763" s="22"/>
      <c r="M2763" s="55"/>
      <c r="N2763" s="23" t="s">
        <v>200</v>
      </c>
      <c r="O2763" s="23" t="s">
        <v>200</v>
      </c>
      <c r="P2763" s="24"/>
      <c r="Q2763" s="23"/>
      <c r="R2763" s="25"/>
      <c r="S2763" s="26"/>
      <c r="T2763" s="16" t="b">
        <v>0</v>
      </c>
    </row>
    <row r="2764">
      <c r="A2764" s="4"/>
      <c r="B2764" s="5"/>
      <c r="C2764" s="13"/>
      <c r="D2764" s="39"/>
      <c r="E2764" s="7"/>
      <c r="F2764" s="34"/>
      <c r="G2764" s="8">
        <v>1899.0</v>
      </c>
      <c r="H2764" s="9"/>
      <c r="I2764" s="9"/>
      <c r="J2764" s="9"/>
      <c r="K2764" s="4"/>
      <c r="L2764" s="10"/>
      <c r="M2764" s="54"/>
      <c r="N2764" s="12" t="s">
        <v>200</v>
      </c>
      <c r="O2764" s="12" t="s">
        <v>200</v>
      </c>
      <c r="P2764" s="13"/>
      <c r="Q2764" s="12"/>
      <c r="R2764" s="14"/>
      <c r="S2764" s="15"/>
      <c r="T2764" s="4" t="b">
        <v>0</v>
      </c>
    </row>
    <row r="2765">
      <c r="A2765" s="16"/>
      <c r="B2765" s="17"/>
      <c r="C2765" s="24"/>
      <c r="D2765" s="44"/>
      <c r="E2765" s="19"/>
      <c r="F2765" s="35"/>
      <c r="G2765" s="20">
        <v>1899.0</v>
      </c>
      <c r="H2765" s="21"/>
      <c r="I2765" s="21"/>
      <c r="J2765" s="21"/>
      <c r="K2765" s="16"/>
      <c r="L2765" s="22"/>
      <c r="M2765" s="55"/>
      <c r="N2765" s="23" t="s">
        <v>200</v>
      </c>
      <c r="O2765" s="23" t="s">
        <v>200</v>
      </c>
      <c r="P2765" s="24"/>
      <c r="Q2765" s="23"/>
      <c r="R2765" s="25"/>
      <c r="S2765" s="26"/>
      <c r="T2765" s="16" t="b">
        <v>0</v>
      </c>
    </row>
    <row r="2766">
      <c r="A2766" s="4"/>
      <c r="B2766" s="5"/>
      <c r="C2766" s="13"/>
      <c r="D2766" s="39"/>
      <c r="E2766" s="7"/>
      <c r="F2766" s="34"/>
      <c r="G2766" s="8">
        <v>1899.0</v>
      </c>
      <c r="H2766" s="9"/>
      <c r="I2766" s="9"/>
      <c r="J2766" s="9"/>
      <c r="K2766" s="4"/>
      <c r="L2766" s="10"/>
      <c r="M2766" s="54"/>
      <c r="N2766" s="12" t="s">
        <v>200</v>
      </c>
      <c r="O2766" s="12" t="s">
        <v>200</v>
      </c>
      <c r="P2766" s="13"/>
      <c r="Q2766" s="12"/>
      <c r="R2766" s="14"/>
      <c r="S2766" s="15"/>
      <c r="T2766" s="4" t="b">
        <v>0</v>
      </c>
    </row>
    <row r="2767">
      <c r="A2767" s="16"/>
      <c r="B2767" s="17"/>
      <c r="C2767" s="24"/>
      <c r="D2767" s="44"/>
      <c r="E2767" s="19"/>
      <c r="F2767" s="35"/>
      <c r="G2767" s="20">
        <v>1899.0</v>
      </c>
      <c r="H2767" s="21"/>
      <c r="I2767" s="21"/>
      <c r="J2767" s="21"/>
      <c r="K2767" s="16"/>
      <c r="L2767" s="22"/>
      <c r="M2767" s="55"/>
      <c r="N2767" s="23" t="s">
        <v>200</v>
      </c>
      <c r="O2767" s="23" t="s">
        <v>200</v>
      </c>
      <c r="P2767" s="24"/>
      <c r="Q2767" s="23"/>
      <c r="R2767" s="25"/>
      <c r="S2767" s="26"/>
      <c r="T2767" s="16" t="b">
        <v>0</v>
      </c>
    </row>
    <row r="2768">
      <c r="A2768" s="4"/>
      <c r="B2768" s="5"/>
      <c r="C2768" s="13"/>
      <c r="D2768" s="39"/>
      <c r="E2768" s="7"/>
      <c r="F2768" s="34"/>
      <c r="G2768" s="8">
        <v>1899.0</v>
      </c>
      <c r="H2768" s="9"/>
      <c r="I2768" s="9"/>
      <c r="J2768" s="9"/>
      <c r="K2768" s="4"/>
      <c r="L2768" s="10"/>
      <c r="M2768" s="54"/>
      <c r="N2768" s="12" t="s">
        <v>200</v>
      </c>
      <c r="O2768" s="12" t="s">
        <v>200</v>
      </c>
      <c r="P2768" s="13"/>
      <c r="Q2768" s="12"/>
      <c r="R2768" s="14"/>
      <c r="S2768" s="15"/>
      <c r="T2768" s="4" t="b">
        <v>0</v>
      </c>
    </row>
    <row r="2769">
      <c r="A2769" s="16"/>
      <c r="B2769" s="17"/>
      <c r="C2769" s="24"/>
      <c r="D2769" s="44"/>
      <c r="E2769" s="19"/>
      <c r="F2769" s="35"/>
      <c r="G2769" s="20">
        <v>1899.0</v>
      </c>
      <c r="H2769" s="21"/>
      <c r="I2769" s="21"/>
      <c r="J2769" s="21"/>
      <c r="K2769" s="16"/>
      <c r="L2769" s="22"/>
      <c r="M2769" s="55"/>
      <c r="N2769" s="23" t="s">
        <v>200</v>
      </c>
      <c r="O2769" s="23" t="s">
        <v>200</v>
      </c>
      <c r="P2769" s="24"/>
      <c r="Q2769" s="23"/>
      <c r="R2769" s="25"/>
      <c r="S2769" s="26"/>
      <c r="T2769" s="16" t="b">
        <v>0</v>
      </c>
    </row>
    <row r="2770">
      <c r="A2770" s="4"/>
      <c r="B2770" s="5"/>
      <c r="C2770" s="13"/>
      <c r="D2770" s="39"/>
      <c r="E2770" s="7"/>
      <c r="F2770" s="34"/>
      <c r="G2770" s="8">
        <v>1899.0</v>
      </c>
      <c r="H2770" s="9"/>
      <c r="I2770" s="9"/>
      <c r="J2770" s="9"/>
      <c r="K2770" s="4"/>
      <c r="L2770" s="10"/>
      <c r="M2770" s="54"/>
      <c r="N2770" s="12" t="s">
        <v>200</v>
      </c>
      <c r="O2770" s="12" t="s">
        <v>200</v>
      </c>
      <c r="P2770" s="13"/>
      <c r="Q2770" s="12"/>
      <c r="R2770" s="14"/>
      <c r="S2770" s="15"/>
      <c r="T2770" s="4" t="b">
        <v>0</v>
      </c>
    </row>
    <row r="2771">
      <c r="A2771" s="16"/>
      <c r="B2771" s="17"/>
      <c r="C2771" s="24"/>
      <c r="D2771" s="44"/>
      <c r="E2771" s="19"/>
      <c r="F2771" s="35"/>
      <c r="G2771" s="20">
        <v>1899.0</v>
      </c>
      <c r="H2771" s="21"/>
      <c r="I2771" s="21"/>
      <c r="J2771" s="21"/>
      <c r="K2771" s="16"/>
      <c r="L2771" s="22"/>
      <c r="M2771" s="55"/>
      <c r="N2771" s="23" t="s">
        <v>200</v>
      </c>
      <c r="O2771" s="23" t="s">
        <v>200</v>
      </c>
      <c r="P2771" s="24"/>
      <c r="Q2771" s="23"/>
      <c r="R2771" s="25"/>
      <c r="S2771" s="26"/>
      <c r="T2771" s="16" t="b">
        <v>0</v>
      </c>
    </row>
    <row r="2772">
      <c r="A2772" s="4"/>
      <c r="B2772" s="5"/>
      <c r="C2772" s="13"/>
      <c r="D2772" s="39"/>
      <c r="E2772" s="7"/>
      <c r="F2772" s="34"/>
      <c r="G2772" s="8">
        <v>1899.0</v>
      </c>
      <c r="H2772" s="9"/>
      <c r="I2772" s="9"/>
      <c r="J2772" s="9"/>
      <c r="K2772" s="4"/>
      <c r="L2772" s="10"/>
      <c r="M2772" s="54"/>
      <c r="N2772" s="12" t="s">
        <v>200</v>
      </c>
      <c r="O2772" s="12" t="s">
        <v>200</v>
      </c>
      <c r="P2772" s="13"/>
      <c r="Q2772" s="12"/>
      <c r="R2772" s="14"/>
      <c r="S2772" s="15"/>
      <c r="T2772" s="4" t="b">
        <v>0</v>
      </c>
    </row>
    <row r="2773">
      <c r="A2773" s="16"/>
      <c r="B2773" s="17"/>
      <c r="C2773" s="24"/>
      <c r="D2773" s="44"/>
      <c r="E2773" s="19"/>
      <c r="F2773" s="35"/>
      <c r="G2773" s="20">
        <v>1899.0</v>
      </c>
      <c r="H2773" s="21"/>
      <c r="I2773" s="21"/>
      <c r="J2773" s="21"/>
      <c r="K2773" s="16"/>
      <c r="L2773" s="22"/>
      <c r="M2773" s="55"/>
      <c r="N2773" s="23" t="s">
        <v>200</v>
      </c>
      <c r="O2773" s="23" t="s">
        <v>200</v>
      </c>
      <c r="P2773" s="24"/>
      <c r="Q2773" s="23"/>
      <c r="R2773" s="25"/>
      <c r="S2773" s="26"/>
      <c r="T2773" s="16" t="b">
        <v>0</v>
      </c>
    </row>
    <row r="2774">
      <c r="A2774" s="4"/>
      <c r="B2774" s="5"/>
      <c r="C2774" s="13"/>
      <c r="D2774" s="39"/>
      <c r="E2774" s="7"/>
      <c r="F2774" s="34"/>
      <c r="G2774" s="8">
        <v>1899.0</v>
      </c>
      <c r="H2774" s="9"/>
      <c r="I2774" s="9"/>
      <c r="J2774" s="9"/>
      <c r="K2774" s="4"/>
      <c r="L2774" s="10"/>
      <c r="M2774" s="54"/>
      <c r="N2774" s="12" t="s">
        <v>200</v>
      </c>
      <c r="O2774" s="12" t="s">
        <v>200</v>
      </c>
      <c r="P2774" s="13"/>
      <c r="Q2774" s="12"/>
      <c r="R2774" s="14"/>
      <c r="S2774" s="15"/>
      <c r="T2774" s="4" t="b">
        <v>0</v>
      </c>
    </row>
    <row r="2775">
      <c r="A2775" s="16"/>
      <c r="B2775" s="17"/>
      <c r="C2775" s="24"/>
      <c r="D2775" s="44"/>
      <c r="E2775" s="19"/>
      <c r="F2775" s="35"/>
      <c r="G2775" s="20">
        <v>1899.0</v>
      </c>
      <c r="H2775" s="21"/>
      <c r="I2775" s="21"/>
      <c r="J2775" s="21"/>
      <c r="K2775" s="16"/>
      <c r="L2775" s="22"/>
      <c r="M2775" s="55"/>
      <c r="N2775" s="23" t="s">
        <v>200</v>
      </c>
      <c r="O2775" s="23" t="s">
        <v>200</v>
      </c>
      <c r="P2775" s="24"/>
      <c r="Q2775" s="23"/>
      <c r="R2775" s="25"/>
      <c r="S2775" s="26"/>
      <c r="T2775" s="16" t="b">
        <v>0</v>
      </c>
    </row>
    <row r="2776">
      <c r="A2776" s="4"/>
      <c r="B2776" s="5"/>
      <c r="C2776" s="13"/>
      <c r="D2776" s="39"/>
      <c r="E2776" s="7"/>
      <c r="F2776" s="34"/>
      <c r="G2776" s="8">
        <v>1899.0</v>
      </c>
      <c r="H2776" s="9"/>
      <c r="I2776" s="9"/>
      <c r="J2776" s="9"/>
      <c r="K2776" s="4"/>
      <c r="L2776" s="10"/>
      <c r="M2776" s="54"/>
      <c r="N2776" s="12" t="s">
        <v>200</v>
      </c>
      <c r="O2776" s="12" t="s">
        <v>200</v>
      </c>
      <c r="P2776" s="13"/>
      <c r="Q2776" s="12"/>
      <c r="R2776" s="14"/>
      <c r="S2776" s="15"/>
      <c r="T2776" s="4" t="b">
        <v>0</v>
      </c>
    </row>
    <row r="2777">
      <c r="A2777" s="16"/>
      <c r="B2777" s="17"/>
      <c r="C2777" s="24"/>
      <c r="D2777" s="44"/>
      <c r="E2777" s="19"/>
      <c r="F2777" s="35"/>
      <c r="G2777" s="20">
        <v>1899.0</v>
      </c>
      <c r="H2777" s="21"/>
      <c r="I2777" s="21"/>
      <c r="J2777" s="21"/>
      <c r="K2777" s="16"/>
      <c r="L2777" s="22"/>
      <c r="M2777" s="55"/>
      <c r="N2777" s="23" t="s">
        <v>200</v>
      </c>
      <c r="O2777" s="23" t="s">
        <v>200</v>
      </c>
      <c r="P2777" s="24"/>
      <c r="Q2777" s="23"/>
      <c r="R2777" s="25"/>
      <c r="S2777" s="26"/>
      <c r="T2777" s="16" t="b">
        <v>0</v>
      </c>
    </row>
    <row r="2778">
      <c r="A2778" s="4"/>
      <c r="B2778" s="5"/>
      <c r="C2778" s="13"/>
      <c r="D2778" s="39"/>
      <c r="E2778" s="7"/>
      <c r="F2778" s="34"/>
      <c r="G2778" s="8">
        <v>1899.0</v>
      </c>
      <c r="H2778" s="9"/>
      <c r="I2778" s="9"/>
      <c r="J2778" s="9"/>
      <c r="K2778" s="4"/>
      <c r="L2778" s="10"/>
      <c r="M2778" s="54"/>
      <c r="N2778" s="12" t="s">
        <v>200</v>
      </c>
      <c r="O2778" s="12" t="s">
        <v>200</v>
      </c>
      <c r="P2778" s="13"/>
      <c r="Q2778" s="12"/>
      <c r="R2778" s="14"/>
      <c r="S2778" s="15"/>
      <c r="T2778" s="4" t="b">
        <v>0</v>
      </c>
    </row>
    <row r="2779">
      <c r="A2779" s="16"/>
      <c r="B2779" s="17"/>
      <c r="C2779" s="24"/>
      <c r="D2779" s="44"/>
      <c r="E2779" s="19"/>
      <c r="F2779" s="35"/>
      <c r="G2779" s="20">
        <v>1899.0</v>
      </c>
      <c r="H2779" s="21"/>
      <c r="I2779" s="21"/>
      <c r="J2779" s="21"/>
      <c r="K2779" s="16"/>
      <c r="L2779" s="22"/>
      <c r="M2779" s="55"/>
      <c r="N2779" s="23" t="s">
        <v>200</v>
      </c>
      <c r="O2779" s="23" t="s">
        <v>200</v>
      </c>
      <c r="P2779" s="24"/>
      <c r="Q2779" s="23"/>
      <c r="R2779" s="25"/>
      <c r="S2779" s="26"/>
      <c r="T2779" s="16" t="b">
        <v>0</v>
      </c>
    </row>
    <row r="2780">
      <c r="A2780" s="4"/>
      <c r="B2780" s="5"/>
      <c r="C2780" s="13"/>
      <c r="D2780" s="39"/>
      <c r="E2780" s="7"/>
      <c r="F2780" s="34"/>
      <c r="G2780" s="8">
        <v>1899.0</v>
      </c>
      <c r="H2780" s="9"/>
      <c r="I2780" s="9"/>
      <c r="J2780" s="9"/>
      <c r="K2780" s="4"/>
      <c r="L2780" s="10"/>
      <c r="M2780" s="54"/>
      <c r="N2780" s="12" t="s">
        <v>200</v>
      </c>
      <c r="O2780" s="12" t="s">
        <v>200</v>
      </c>
      <c r="P2780" s="13"/>
      <c r="Q2780" s="12"/>
      <c r="R2780" s="14"/>
      <c r="S2780" s="15"/>
      <c r="T2780" s="4" t="b">
        <v>0</v>
      </c>
    </row>
    <row r="2781">
      <c r="A2781" s="16"/>
      <c r="B2781" s="17"/>
      <c r="C2781" s="24"/>
      <c r="D2781" s="44"/>
      <c r="E2781" s="19"/>
      <c r="F2781" s="35"/>
      <c r="G2781" s="20">
        <v>1899.0</v>
      </c>
      <c r="H2781" s="21"/>
      <c r="I2781" s="21"/>
      <c r="J2781" s="21"/>
      <c r="K2781" s="16"/>
      <c r="L2781" s="22"/>
      <c r="M2781" s="55"/>
      <c r="N2781" s="23" t="s">
        <v>200</v>
      </c>
      <c r="O2781" s="23" t="s">
        <v>200</v>
      </c>
      <c r="P2781" s="24"/>
      <c r="Q2781" s="23"/>
      <c r="R2781" s="25"/>
      <c r="S2781" s="26"/>
      <c r="T2781" s="16" t="b">
        <v>0</v>
      </c>
    </row>
    <row r="2782">
      <c r="A2782" s="4"/>
      <c r="B2782" s="5"/>
      <c r="C2782" s="13"/>
      <c r="D2782" s="39"/>
      <c r="E2782" s="7"/>
      <c r="F2782" s="34"/>
      <c r="G2782" s="8">
        <v>1899.0</v>
      </c>
      <c r="H2782" s="9"/>
      <c r="I2782" s="9"/>
      <c r="J2782" s="9"/>
      <c r="K2782" s="4"/>
      <c r="L2782" s="10"/>
      <c r="M2782" s="54"/>
      <c r="N2782" s="12" t="s">
        <v>200</v>
      </c>
      <c r="O2782" s="12" t="s">
        <v>200</v>
      </c>
      <c r="P2782" s="13"/>
      <c r="Q2782" s="12"/>
      <c r="R2782" s="14"/>
      <c r="S2782" s="15"/>
      <c r="T2782" s="4" t="b">
        <v>0</v>
      </c>
    </row>
    <row r="2783">
      <c r="A2783" s="16"/>
      <c r="B2783" s="17"/>
      <c r="C2783" s="24"/>
      <c r="D2783" s="44"/>
      <c r="E2783" s="19"/>
      <c r="F2783" s="35"/>
      <c r="G2783" s="20">
        <v>1899.0</v>
      </c>
      <c r="H2783" s="21"/>
      <c r="I2783" s="21"/>
      <c r="J2783" s="21"/>
      <c r="K2783" s="16"/>
      <c r="L2783" s="22"/>
      <c r="M2783" s="55"/>
      <c r="N2783" s="23" t="s">
        <v>200</v>
      </c>
      <c r="O2783" s="23" t="s">
        <v>200</v>
      </c>
      <c r="P2783" s="24"/>
      <c r="Q2783" s="23"/>
      <c r="R2783" s="25"/>
      <c r="S2783" s="26"/>
      <c r="T2783" s="16" t="b">
        <v>0</v>
      </c>
    </row>
    <row r="2784">
      <c r="A2784" s="4"/>
      <c r="B2784" s="5"/>
      <c r="C2784" s="13"/>
      <c r="D2784" s="39"/>
      <c r="E2784" s="7"/>
      <c r="F2784" s="34"/>
      <c r="G2784" s="8">
        <v>1899.0</v>
      </c>
      <c r="H2784" s="9"/>
      <c r="I2784" s="9"/>
      <c r="J2784" s="9"/>
      <c r="K2784" s="4"/>
      <c r="L2784" s="10"/>
      <c r="M2784" s="54"/>
      <c r="N2784" s="12" t="s">
        <v>200</v>
      </c>
      <c r="O2784" s="12" t="s">
        <v>200</v>
      </c>
      <c r="P2784" s="13"/>
      <c r="Q2784" s="12"/>
      <c r="R2784" s="14"/>
      <c r="S2784" s="15"/>
      <c r="T2784" s="4" t="b">
        <v>0</v>
      </c>
    </row>
    <row r="2785">
      <c r="A2785" s="16"/>
      <c r="B2785" s="17"/>
      <c r="C2785" s="24"/>
      <c r="D2785" s="44"/>
      <c r="E2785" s="19"/>
      <c r="F2785" s="35"/>
      <c r="G2785" s="20">
        <v>1899.0</v>
      </c>
      <c r="H2785" s="21"/>
      <c r="I2785" s="21"/>
      <c r="J2785" s="21"/>
      <c r="K2785" s="16"/>
      <c r="L2785" s="22"/>
      <c r="M2785" s="55"/>
      <c r="N2785" s="23" t="s">
        <v>200</v>
      </c>
      <c r="O2785" s="23" t="s">
        <v>200</v>
      </c>
      <c r="P2785" s="24"/>
      <c r="Q2785" s="23"/>
      <c r="R2785" s="25"/>
      <c r="S2785" s="26"/>
      <c r="T2785" s="16" t="b">
        <v>0</v>
      </c>
    </row>
    <row r="2786">
      <c r="A2786" s="4"/>
      <c r="B2786" s="5"/>
      <c r="C2786" s="13"/>
      <c r="D2786" s="39"/>
      <c r="E2786" s="7"/>
      <c r="F2786" s="34"/>
      <c r="G2786" s="8">
        <v>1899.0</v>
      </c>
      <c r="H2786" s="9"/>
      <c r="I2786" s="9"/>
      <c r="J2786" s="9"/>
      <c r="K2786" s="4"/>
      <c r="L2786" s="10"/>
      <c r="M2786" s="54"/>
      <c r="N2786" s="12" t="s">
        <v>200</v>
      </c>
      <c r="O2786" s="12" t="s">
        <v>200</v>
      </c>
      <c r="P2786" s="13"/>
      <c r="Q2786" s="12"/>
      <c r="R2786" s="14"/>
      <c r="S2786" s="15"/>
      <c r="T2786" s="4" t="b">
        <v>0</v>
      </c>
    </row>
    <row r="2787">
      <c r="A2787" s="16"/>
      <c r="B2787" s="17"/>
      <c r="C2787" s="24"/>
      <c r="D2787" s="44"/>
      <c r="E2787" s="19"/>
      <c r="F2787" s="35"/>
      <c r="G2787" s="20">
        <v>1899.0</v>
      </c>
      <c r="H2787" s="21"/>
      <c r="I2787" s="21"/>
      <c r="J2787" s="21"/>
      <c r="K2787" s="16"/>
      <c r="L2787" s="22"/>
      <c r="M2787" s="55"/>
      <c r="N2787" s="23" t="s">
        <v>200</v>
      </c>
      <c r="O2787" s="23" t="s">
        <v>200</v>
      </c>
      <c r="P2787" s="24"/>
      <c r="Q2787" s="23"/>
      <c r="R2787" s="25"/>
      <c r="S2787" s="26"/>
      <c r="T2787" s="16" t="b">
        <v>0</v>
      </c>
    </row>
    <row r="2788">
      <c r="A2788" s="4"/>
      <c r="B2788" s="5"/>
      <c r="C2788" s="13"/>
      <c r="D2788" s="39"/>
      <c r="E2788" s="7"/>
      <c r="F2788" s="34"/>
      <c r="G2788" s="8">
        <v>1899.0</v>
      </c>
      <c r="H2788" s="9"/>
      <c r="I2788" s="9"/>
      <c r="J2788" s="9"/>
      <c r="K2788" s="4"/>
      <c r="L2788" s="10"/>
      <c r="M2788" s="54"/>
      <c r="N2788" s="12" t="s">
        <v>200</v>
      </c>
      <c r="O2788" s="12" t="s">
        <v>200</v>
      </c>
      <c r="P2788" s="13"/>
      <c r="Q2788" s="12"/>
      <c r="R2788" s="14"/>
      <c r="S2788" s="15"/>
      <c r="T2788" s="4" t="b">
        <v>0</v>
      </c>
    </row>
    <row r="2789">
      <c r="A2789" s="16"/>
      <c r="B2789" s="17"/>
      <c r="C2789" s="24"/>
      <c r="D2789" s="44"/>
      <c r="E2789" s="19"/>
      <c r="F2789" s="35"/>
      <c r="G2789" s="20">
        <v>1899.0</v>
      </c>
      <c r="H2789" s="21"/>
      <c r="I2789" s="21"/>
      <c r="J2789" s="21"/>
      <c r="K2789" s="16"/>
      <c r="L2789" s="22"/>
      <c r="M2789" s="55"/>
      <c r="N2789" s="23" t="s">
        <v>200</v>
      </c>
      <c r="O2789" s="23" t="s">
        <v>200</v>
      </c>
      <c r="P2789" s="24"/>
      <c r="Q2789" s="23"/>
      <c r="R2789" s="25"/>
      <c r="S2789" s="26"/>
      <c r="T2789" s="16" t="b">
        <v>0</v>
      </c>
    </row>
    <row r="2790">
      <c r="A2790" s="4"/>
      <c r="B2790" s="5"/>
      <c r="C2790" s="13"/>
      <c r="D2790" s="39"/>
      <c r="E2790" s="7"/>
      <c r="F2790" s="34"/>
      <c r="G2790" s="8">
        <v>1899.0</v>
      </c>
      <c r="H2790" s="9"/>
      <c r="I2790" s="9"/>
      <c r="J2790" s="9"/>
      <c r="K2790" s="4"/>
      <c r="L2790" s="10"/>
      <c r="M2790" s="54"/>
      <c r="N2790" s="12" t="s">
        <v>200</v>
      </c>
      <c r="O2790" s="12" t="s">
        <v>200</v>
      </c>
      <c r="P2790" s="13"/>
      <c r="Q2790" s="12"/>
      <c r="R2790" s="14"/>
      <c r="S2790" s="15"/>
      <c r="T2790" s="4" t="b">
        <v>0</v>
      </c>
    </row>
    <row r="2791">
      <c r="A2791" s="16"/>
      <c r="B2791" s="17"/>
      <c r="C2791" s="24"/>
      <c r="D2791" s="44"/>
      <c r="E2791" s="19"/>
      <c r="F2791" s="35"/>
      <c r="G2791" s="20">
        <v>1899.0</v>
      </c>
      <c r="H2791" s="21"/>
      <c r="I2791" s="21"/>
      <c r="J2791" s="21"/>
      <c r="K2791" s="16"/>
      <c r="L2791" s="22"/>
      <c r="M2791" s="55"/>
      <c r="N2791" s="23" t="s">
        <v>200</v>
      </c>
      <c r="O2791" s="23" t="s">
        <v>200</v>
      </c>
      <c r="P2791" s="24"/>
      <c r="Q2791" s="23"/>
      <c r="R2791" s="25"/>
      <c r="S2791" s="26"/>
      <c r="T2791" s="16" t="b">
        <v>0</v>
      </c>
    </row>
    <row r="2792">
      <c r="A2792" s="4"/>
      <c r="B2792" s="5"/>
      <c r="C2792" s="13"/>
      <c r="D2792" s="39"/>
      <c r="E2792" s="7"/>
      <c r="F2792" s="34"/>
      <c r="G2792" s="8">
        <v>1899.0</v>
      </c>
      <c r="H2792" s="9"/>
      <c r="I2792" s="9"/>
      <c r="J2792" s="9"/>
      <c r="K2792" s="4"/>
      <c r="L2792" s="10"/>
      <c r="M2792" s="54"/>
      <c r="N2792" s="12" t="s">
        <v>200</v>
      </c>
      <c r="O2792" s="12" t="s">
        <v>200</v>
      </c>
      <c r="P2792" s="13"/>
      <c r="Q2792" s="12"/>
      <c r="R2792" s="14"/>
      <c r="S2792" s="15"/>
      <c r="T2792" s="4" t="b">
        <v>0</v>
      </c>
    </row>
    <row r="2793">
      <c r="A2793" s="16"/>
      <c r="B2793" s="17"/>
      <c r="C2793" s="24"/>
      <c r="D2793" s="44"/>
      <c r="E2793" s="19"/>
      <c r="F2793" s="35"/>
      <c r="G2793" s="20">
        <v>1899.0</v>
      </c>
      <c r="H2793" s="21"/>
      <c r="I2793" s="21"/>
      <c r="J2793" s="21"/>
      <c r="K2793" s="16"/>
      <c r="L2793" s="22"/>
      <c r="M2793" s="55"/>
      <c r="N2793" s="23" t="s">
        <v>200</v>
      </c>
      <c r="O2793" s="23" t="s">
        <v>200</v>
      </c>
      <c r="P2793" s="24"/>
      <c r="Q2793" s="23"/>
      <c r="R2793" s="25"/>
      <c r="S2793" s="26"/>
      <c r="T2793" s="16" t="b">
        <v>0</v>
      </c>
    </row>
    <row r="2794">
      <c r="A2794" s="4"/>
      <c r="B2794" s="5"/>
      <c r="C2794" s="13"/>
      <c r="D2794" s="39"/>
      <c r="E2794" s="7"/>
      <c r="F2794" s="34"/>
      <c r="G2794" s="8">
        <v>1899.0</v>
      </c>
      <c r="H2794" s="9"/>
      <c r="I2794" s="9"/>
      <c r="J2794" s="9"/>
      <c r="K2794" s="4"/>
      <c r="L2794" s="10"/>
      <c r="M2794" s="54"/>
      <c r="N2794" s="12" t="s">
        <v>200</v>
      </c>
      <c r="O2794" s="12" t="s">
        <v>200</v>
      </c>
      <c r="P2794" s="13"/>
      <c r="Q2794" s="12"/>
      <c r="R2794" s="14"/>
      <c r="S2794" s="15"/>
      <c r="T2794" s="4" t="b">
        <v>0</v>
      </c>
    </row>
    <row r="2795">
      <c r="A2795" s="16"/>
      <c r="B2795" s="17"/>
      <c r="C2795" s="24"/>
      <c r="D2795" s="44"/>
      <c r="E2795" s="19"/>
      <c r="F2795" s="35"/>
      <c r="G2795" s="20">
        <v>1899.0</v>
      </c>
      <c r="H2795" s="21"/>
      <c r="I2795" s="21"/>
      <c r="J2795" s="21"/>
      <c r="K2795" s="16"/>
      <c r="L2795" s="22"/>
      <c r="M2795" s="55"/>
      <c r="N2795" s="23" t="s">
        <v>200</v>
      </c>
      <c r="O2795" s="23" t="s">
        <v>200</v>
      </c>
      <c r="P2795" s="24"/>
      <c r="Q2795" s="23"/>
      <c r="R2795" s="25"/>
      <c r="S2795" s="26"/>
      <c r="T2795" s="16" t="b">
        <v>0</v>
      </c>
    </row>
    <row r="2796">
      <c r="A2796" s="4"/>
      <c r="B2796" s="5"/>
      <c r="C2796" s="13"/>
      <c r="D2796" s="39"/>
      <c r="E2796" s="7"/>
      <c r="F2796" s="34"/>
      <c r="G2796" s="8">
        <v>1899.0</v>
      </c>
      <c r="H2796" s="9"/>
      <c r="I2796" s="9"/>
      <c r="J2796" s="9"/>
      <c r="K2796" s="4"/>
      <c r="L2796" s="10"/>
      <c r="M2796" s="54"/>
      <c r="N2796" s="12" t="s">
        <v>200</v>
      </c>
      <c r="O2796" s="12" t="s">
        <v>200</v>
      </c>
      <c r="P2796" s="13"/>
      <c r="Q2796" s="12"/>
      <c r="R2796" s="14"/>
      <c r="S2796" s="15"/>
      <c r="T2796" s="4" t="b">
        <v>0</v>
      </c>
    </row>
    <row r="2797">
      <c r="A2797" s="16"/>
      <c r="B2797" s="17"/>
      <c r="C2797" s="24"/>
      <c r="D2797" s="44"/>
      <c r="E2797" s="19"/>
      <c r="F2797" s="35"/>
      <c r="G2797" s="20">
        <v>1899.0</v>
      </c>
      <c r="H2797" s="21"/>
      <c r="I2797" s="21"/>
      <c r="J2797" s="21"/>
      <c r="K2797" s="16"/>
      <c r="L2797" s="22"/>
      <c r="M2797" s="55"/>
      <c r="N2797" s="23" t="s">
        <v>200</v>
      </c>
      <c r="O2797" s="23" t="s">
        <v>200</v>
      </c>
      <c r="P2797" s="24"/>
      <c r="Q2797" s="23"/>
      <c r="R2797" s="25"/>
      <c r="S2797" s="26"/>
      <c r="T2797" s="16" t="b">
        <v>0</v>
      </c>
    </row>
    <row r="2798">
      <c r="A2798" s="4"/>
      <c r="B2798" s="5"/>
      <c r="C2798" s="13"/>
      <c r="D2798" s="39"/>
      <c r="E2798" s="7"/>
      <c r="F2798" s="34"/>
      <c r="G2798" s="8">
        <v>1899.0</v>
      </c>
      <c r="H2798" s="9"/>
      <c r="I2798" s="9"/>
      <c r="J2798" s="9"/>
      <c r="K2798" s="4"/>
      <c r="L2798" s="10"/>
      <c r="M2798" s="54"/>
      <c r="N2798" s="12" t="s">
        <v>200</v>
      </c>
      <c r="O2798" s="12" t="s">
        <v>200</v>
      </c>
      <c r="P2798" s="13"/>
      <c r="Q2798" s="12"/>
      <c r="R2798" s="14"/>
      <c r="S2798" s="15"/>
      <c r="T2798" s="4" t="b">
        <v>0</v>
      </c>
    </row>
    <row r="2799">
      <c r="A2799" s="16"/>
      <c r="B2799" s="17"/>
      <c r="C2799" s="24"/>
      <c r="D2799" s="44"/>
      <c r="E2799" s="19"/>
      <c r="F2799" s="35"/>
      <c r="G2799" s="20">
        <v>1899.0</v>
      </c>
      <c r="H2799" s="21"/>
      <c r="I2799" s="21"/>
      <c r="J2799" s="21"/>
      <c r="K2799" s="16"/>
      <c r="L2799" s="22"/>
      <c r="M2799" s="55"/>
      <c r="N2799" s="23" t="s">
        <v>200</v>
      </c>
      <c r="O2799" s="23" t="s">
        <v>200</v>
      </c>
      <c r="P2799" s="24"/>
      <c r="Q2799" s="23"/>
      <c r="R2799" s="25"/>
      <c r="S2799" s="26"/>
      <c r="T2799" s="16" t="b">
        <v>0</v>
      </c>
    </row>
    <row r="2800">
      <c r="A2800" s="4"/>
      <c r="B2800" s="5"/>
      <c r="C2800" s="13"/>
      <c r="D2800" s="39"/>
      <c r="E2800" s="7"/>
      <c r="F2800" s="34"/>
      <c r="G2800" s="8">
        <v>1899.0</v>
      </c>
      <c r="H2800" s="9"/>
      <c r="I2800" s="9"/>
      <c r="J2800" s="9"/>
      <c r="K2800" s="4"/>
      <c r="L2800" s="10"/>
      <c r="M2800" s="54"/>
      <c r="N2800" s="12" t="s">
        <v>200</v>
      </c>
      <c r="O2800" s="12" t="s">
        <v>200</v>
      </c>
      <c r="P2800" s="13"/>
      <c r="Q2800" s="12"/>
      <c r="R2800" s="14"/>
      <c r="S2800" s="15"/>
      <c r="T2800" s="4" t="b">
        <v>0</v>
      </c>
    </row>
    <row r="2801">
      <c r="A2801" s="16"/>
      <c r="B2801" s="17"/>
      <c r="C2801" s="24"/>
      <c r="D2801" s="44"/>
      <c r="E2801" s="19"/>
      <c r="F2801" s="35"/>
      <c r="G2801" s="20">
        <v>1899.0</v>
      </c>
      <c r="H2801" s="21"/>
      <c r="I2801" s="21"/>
      <c r="J2801" s="21"/>
      <c r="K2801" s="16"/>
      <c r="L2801" s="22"/>
      <c r="M2801" s="55"/>
      <c r="N2801" s="23" t="s">
        <v>200</v>
      </c>
      <c r="O2801" s="23" t="s">
        <v>200</v>
      </c>
      <c r="P2801" s="24"/>
      <c r="Q2801" s="23"/>
      <c r="R2801" s="25"/>
      <c r="S2801" s="26"/>
      <c r="T2801" s="16" t="b">
        <v>0</v>
      </c>
    </row>
    <row r="2802">
      <c r="A2802" s="4"/>
      <c r="B2802" s="5"/>
      <c r="C2802" s="13"/>
      <c r="D2802" s="39"/>
      <c r="E2802" s="7"/>
      <c r="F2802" s="34"/>
      <c r="G2802" s="8">
        <v>1899.0</v>
      </c>
      <c r="H2802" s="9"/>
      <c r="I2802" s="9"/>
      <c r="J2802" s="9"/>
      <c r="K2802" s="4"/>
      <c r="L2802" s="10"/>
      <c r="M2802" s="54"/>
      <c r="N2802" s="12" t="s">
        <v>200</v>
      </c>
      <c r="O2802" s="12" t="s">
        <v>200</v>
      </c>
      <c r="P2802" s="13"/>
      <c r="Q2802" s="12"/>
      <c r="R2802" s="14"/>
      <c r="S2802" s="15"/>
      <c r="T2802" s="4" t="b">
        <v>0</v>
      </c>
    </row>
    <row r="2803">
      <c r="A2803" s="16"/>
      <c r="B2803" s="17"/>
      <c r="C2803" s="24"/>
      <c r="D2803" s="44"/>
      <c r="E2803" s="19"/>
      <c r="F2803" s="35"/>
      <c r="G2803" s="20">
        <v>1899.0</v>
      </c>
      <c r="H2803" s="21"/>
      <c r="I2803" s="21"/>
      <c r="J2803" s="21"/>
      <c r="K2803" s="16"/>
      <c r="L2803" s="22"/>
      <c r="M2803" s="55"/>
      <c r="N2803" s="23" t="s">
        <v>200</v>
      </c>
      <c r="O2803" s="23" t="s">
        <v>200</v>
      </c>
      <c r="P2803" s="24"/>
      <c r="Q2803" s="23"/>
      <c r="R2803" s="25"/>
      <c r="S2803" s="26"/>
      <c r="T2803" s="16" t="b">
        <v>0</v>
      </c>
    </row>
    <row r="2804">
      <c r="A2804" s="4"/>
      <c r="B2804" s="5"/>
      <c r="C2804" s="13"/>
      <c r="D2804" s="39"/>
      <c r="E2804" s="7"/>
      <c r="F2804" s="34"/>
      <c r="G2804" s="8">
        <v>1899.0</v>
      </c>
      <c r="H2804" s="9"/>
      <c r="I2804" s="9"/>
      <c r="J2804" s="9"/>
      <c r="K2804" s="4"/>
      <c r="L2804" s="10"/>
      <c r="M2804" s="54"/>
      <c r="N2804" s="12" t="s">
        <v>200</v>
      </c>
      <c r="O2804" s="12" t="s">
        <v>200</v>
      </c>
      <c r="P2804" s="13"/>
      <c r="Q2804" s="12"/>
      <c r="R2804" s="14"/>
      <c r="S2804" s="15"/>
      <c r="T2804" s="4" t="b">
        <v>0</v>
      </c>
    </row>
    <row r="2805">
      <c r="A2805" s="16"/>
      <c r="B2805" s="17"/>
      <c r="C2805" s="24"/>
      <c r="D2805" s="44"/>
      <c r="E2805" s="19"/>
      <c r="F2805" s="35"/>
      <c r="G2805" s="20">
        <v>1899.0</v>
      </c>
      <c r="H2805" s="21"/>
      <c r="I2805" s="21"/>
      <c r="J2805" s="21"/>
      <c r="K2805" s="16"/>
      <c r="L2805" s="22"/>
      <c r="M2805" s="55"/>
      <c r="N2805" s="23" t="s">
        <v>200</v>
      </c>
      <c r="O2805" s="23" t="s">
        <v>200</v>
      </c>
      <c r="P2805" s="24"/>
      <c r="Q2805" s="23"/>
      <c r="R2805" s="25"/>
      <c r="S2805" s="26"/>
      <c r="T2805" s="16" t="b">
        <v>0</v>
      </c>
    </row>
    <row r="2806">
      <c r="A2806" s="4"/>
      <c r="B2806" s="5"/>
      <c r="C2806" s="13"/>
      <c r="D2806" s="39"/>
      <c r="E2806" s="7"/>
      <c r="F2806" s="34"/>
      <c r="G2806" s="8">
        <v>1899.0</v>
      </c>
      <c r="H2806" s="9"/>
      <c r="I2806" s="9"/>
      <c r="J2806" s="9"/>
      <c r="K2806" s="4"/>
      <c r="L2806" s="10"/>
      <c r="M2806" s="54"/>
      <c r="N2806" s="12" t="s">
        <v>200</v>
      </c>
      <c r="O2806" s="12" t="s">
        <v>200</v>
      </c>
      <c r="P2806" s="13"/>
      <c r="Q2806" s="12"/>
      <c r="R2806" s="14"/>
      <c r="S2806" s="15"/>
      <c r="T2806" s="4" t="b">
        <v>0</v>
      </c>
    </row>
    <row r="2807">
      <c r="A2807" s="16"/>
      <c r="B2807" s="17"/>
      <c r="C2807" s="24"/>
      <c r="D2807" s="44"/>
      <c r="E2807" s="19"/>
      <c r="F2807" s="35"/>
      <c r="G2807" s="20">
        <v>1899.0</v>
      </c>
      <c r="H2807" s="21"/>
      <c r="I2807" s="21"/>
      <c r="J2807" s="21"/>
      <c r="K2807" s="16"/>
      <c r="L2807" s="22"/>
      <c r="M2807" s="55"/>
      <c r="N2807" s="23" t="s">
        <v>200</v>
      </c>
      <c r="O2807" s="23" t="s">
        <v>200</v>
      </c>
      <c r="P2807" s="24"/>
      <c r="Q2807" s="23"/>
      <c r="R2807" s="25"/>
      <c r="S2807" s="26"/>
      <c r="T2807" s="16" t="b">
        <v>0</v>
      </c>
    </row>
    <row r="2808">
      <c r="A2808" s="4"/>
      <c r="B2808" s="5"/>
      <c r="C2808" s="13"/>
      <c r="D2808" s="39"/>
      <c r="E2808" s="7"/>
      <c r="F2808" s="34"/>
      <c r="G2808" s="8">
        <v>1899.0</v>
      </c>
      <c r="H2808" s="9"/>
      <c r="I2808" s="9"/>
      <c r="J2808" s="9"/>
      <c r="K2808" s="4"/>
      <c r="L2808" s="10"/>
      <c r="M2808" s="54"/>
      <c r="N2808" s="12" t="s">
        <v>200</v>
      </c>
      <c r="O2808" s="12" t="s">
        <v>200</v>
      </c>
      <c r="P2808" s="13"/>
      <c r="Q2808" s="12"/>
      <c r="R2808" s="14"/>
      <c r="S2808" s="15"/>
      <c r="T2808" s="4" t="b">
        <v>0</v>
      </c>
    </row>
    <row r="2809">
      <c r="A2809" s="16"/>
      <c r="B2809" s="17"/>
      <c r="C2809" s="24"/>
      <c r="D2809" s="44"/>
      <c r="E2809" s="19"/>
      <c r="F2809" s="35"/>
      <c r="G2809" s="20">
        <v>1899.0</v>
      </c>
      <c r="H2809" s="21"/>
      <c r="I2809" s="21"/>
      <c r="J2809" s="21"/>
      <c r="K2809" s="16"/>
      <c r="L2809" s="22"/>
      <c r="M2809" s="55"/>
      <c r="N2809" s="23" t="s">
        <v>200</v>
      </c>
      <c r="O2809" s="23" t="s">
        <v>200</v>
      </c>
      <c r="P2809" s="24"/>
      <c r="Q2809" s="23"/>
      <c r="R2809" s="25"/>
      <c r="S2809" s="26"/>
      <c r="T2809" s="16" t="b">
        <v>0</v>
      </c>
    </row>
    <row r="2810">
      <c r="A2810" s="4"/>
      <c r="B2810" s="5"/>
      <c r="C2810" s="13"/>
      <c r="D2810" s="39"/>
      <c r="E2810" s="7"/>
      <c r="F2810" s="34"/>
      <c r="G2810" s="8">
        <v>1899.0</v>
      </c>
      <c r="H2810" s="9"/>
      <c r="I2810" s="9"/>
      <c r="J2810" s="9"/>
      <c r="K2810" s="4"/>
      <c r="L2810" s="10"/>
      <c r="M2810" s="54"/>
      <c r="N2810" s="12" t="s">
        <v>200</v>
      </c>
      <c r="O2810" s="12" t="s">
        <v>200</v>
      </c>
      <c r="P2810" s="13"/>
      <c r="Q2810" s="12"/>
      <c r="R2810" s="14"/>
      <c r="S2810" s="15"/>
      <c r="T2810" s="4" t="b">
        <v>0</v>
      </c>
    </row>
    <row r="2811">
      <c r="A2811" s="16"/>
      <c r="B2811" s="17"/>
      <c r="C2811" s="24"/>
      <c r="D2811" s="44"/>
      <c r="E2811" s="19"/>
      <c r="F2811" s="35"/>
      <c r="G2811" s="20">
        <v>1899.0</v>
      </c>
      <c r="H2811" s="21"/>
      <c r="I2811" s="21"/>
      <c r="J2811" s="21"/>
      <c r="K2811" s="16"/>
      <c r="L2811" s="22"/>
      <c r="M2811" s="55"/>
      <c r="N2811" s="23" t="s">
        <v>200</v>
      </c>
      <c r="O2811" s="23" t="s">
        <v>200</v>
      </c>
      <c r="P2811" s="24"/>
      <c r="Q2811" s="23"/>
      <c r="R2811" s="25"/>
      <c r="S2811" s="26"/>
      <c r="T2811" s="16" t="b">
        <v>0</v>
      </c>
    </row>
    <row r="2812">
      <c r="A2812" s="4"/>
      <c r="B2812" s="5"/>
      <c r="C2812" s="13"/>
      <c r="D2812" s="39"/>
      <c r="E2812" s="7"/>
      <c r="F2812" s="34"/>
      <c r="G2812" s="8">
        <v>1899.0</v>
      </c>
      <c r="H2812" s="9"/>
      <c r="I2812" s="9"/>
      <c r="J2812" s="9"/>
      <c r="K2812" s="4"/>
      <c r="L2812" s="10"/>
      <c r="M2812" s="54"/>
      <c r="N2812" s="12" t="s">
        <v>200</v>
      </c>
      <c r="O2812" s="12" t="s">
        <v>200</v>
      </c>
      <c r="P2812" s="13"/>
      <c r="Q2812" s="12"/>
      <c r="R2812" s="14"/>
      <c r="S2812" s="15"/>
      <c r="T2812" s="4" t="b">
        <v>0</v>
      </c>
    </row>
    <row r="2813">
      <c r="A2813" s="16"/>
      <c r="B2813" s="17"/>
      <c r="C2813" s="24"/>
      <c r="D2813" s="44"/>
      <c r="E2813" s="19"/>
      <c r="F2813" s="35"/>
      <c r="G2813" s="20">
        <v>1899.0</v>
      </c>
      <c r="H2813" s="21"/>
      <c r="I2813" s="21"/>
      <c r="J2813" s="21"/>
      <c r="K2813" s="16"/>
      <c r="L2813" s="22"/>
      <c r="M2813" s="55"/>
      <c r="N2813" s="23" t="s">
        <v>200</v>
      </c>
      <c r="O2813" s="23" t="s">
        <v>200</v>
      </c>
      <c r="P2813" s="24"/>
      <c r="Q2813" s="23"/>
      <c r="R2813" s="25"/>
      <c r="S2813" s="26"/>
      <c r="T2813" s="16" t="b">
        <v>0</v>
      </c>
    </row>
    <row r="2814">
      <c r="A2814" s="4"/>
      <c r="B2814" s="5"/>
      <c r="C2814" s="13"/>
      <c r="D2814" s="39"/>
      <c r="E2814" s="7"/>
      <c r="F2814" s="34"/>
      <c r="G2814" s="8">
        <v>1899.0</v>
      </c>
      <c r="H2814" s="9"/>
      <c r="I2814" s="9"/>
      <c r="J2814" s="9"/>
      <c r="K2814" s="4"/>
      <c r="L2814" s="10"/>
      <c r="M2814" s="54"/>
      <c r="N2814" s="12" t="s">
        <v>200</v>
      </c>
      <c r="O2814" s="12" t="s">
        <v>200</v>
      </c>
      <c r="P2814" s="13"/>
      <c r="Q2814" s="12"/>
      <c r="R2814" s="14"/>
      <c r="S2814" s="15"/>
      <c r="T2814" s="4" t="b">
        <v>0</v>
      </c>
    </row>
    <row r="2815">
      <c r="A2815" s="16"/>
      <c r="B2815" s="17"/>
      <c r="C2815" s="24"/>
      <c r="D2815" s="44"/>
      <c r="E2815" s="19"/>
      <c r="F2815" s="35"/>
      <c r="G2815" s="20">
        <v>1899.0</v>
      </c>
      <c r="H2815" s="21"/>
      <c r="I2815" s="21"/>
      <c r="J2815" s="21"/>
      <c r="K2815" s="16"/>
      <c r="L2815" s="22"/>
      <c r="M2815" s="55"/>
      <c r="N2815" s="23" t="s">
        <v>200</v>
      </c>
      <c r="O2815" s="23" t="s">
        <v>200</v>
      </c>
      <c r="P2815" s="24"/>
      <c r="Q2815" s="23"/>
      <c r="R2815" s="25"/>
      <c r="S2815" s="26"/>
      <c r="T2815" s="16" t="b">
        <v>0</v>
      </c>
    </row>
    <row r="2816">
      <c r="A2816" s="4"/>
      <c r="B2816" s="5"/>
      <c r="C2816" s="13"/>
      <c r="D2816" s="39"/>
      <c r="E2816" s="7"/>
      <c r="F2816" s="34"/>
      <c r="G2816" s="8">
        <v>1899.0</v>
      </c>
      <c r="H2816" s="9"/>
      <c r="I2816" s="9"/>
      <c r="J2816" s="9"/>
      <c r="K2816" s="4"/>
      <c r="L2816" s="10"/>
      <c r="M2816" s="54"/>
      <c r="N2816" s="12" t="s">
        <v>200</v>
      </c>
      <c r="O2816" s="12" t="s">
        <v>200</v>
      </c>
      <c r="P2816" s="13"/>
      <c r="Q2816" s="12"/>
      <c r="R2816" s="14"/>
      <c r="S2816" s="15"/>
      <c r="T2816" s="4" t="b">
        <v>0</v>
      </c>
    </row>
    <row r="2817">
      <c r="A2817" s="16"/>
      <c r="B2817" s="17"/>
      <c r="C2817" s="24"/>
      <c r="D2817" s="44"/>
      <c r="E2817" s="19"/>
      <c r="F2817" s="35"/>
      <c r="G2817" s="20">
        <v>1899.0</v>
      </c>
      <c r="H2817" s="21"/>
      <c r="I2817" s="21"/>
      <c r="J2817" s="21"/>
      <c r="K2817" s="16"/>
      <c r="L2817" s="22"/>
      <c r="M2817" s="55"/>
      <c r="N2817" s="23" t="s">
        <v>200</v>
      </c>
      <c r="O2817" s="23" t="s">
        <v>200</v>
      </c>
      <c r="P2817" s="24"/>
      <c r="Q2817" s="23"/>
      <c r="R2817" s="25"/>
      <c r="S2817" s="26"/>
      <c r="T2817" s="16" t="b">
        <v>0</v>
      </c>
    </row>
    <row r="2818">
      <c r="A2818" s="4"/>
      <c r="B2818" s="5"/>
      <c r="C2818" s="13"/>
      <c r="D2818" s="39"/>
      <c r="E2818" s="7"/>
      <c r="F2818" s="34"/>
      <c r="G2818" s="8">
        <v>1899.0</v>
      </c>
      <c r="H2818" s="9"/>
      <c r="I2818" s="9"/>
      <c r="J2818" s="9"/>
      <c r="K2818" s="4"/>
      <c r="L2818" s="10"/>
      <c r="M2818" s="54"/>
      <c r="N2818" s="12" t="s">
        <v>200</v>
      </c>
      <c r="O2818" s="12" t="s">
        <v>200</v>
      </c>
      <c r="P2818" s="13"/>
      <c r="Q2818" s="12"/>
      <c r="R2818" s="14"/>
      <c r="S2818" s="15"/>
      <c r="T2818" s="4" t="b">
        <v>0</v>
      </c>
    </row>
    <row r="2819">
      <c r="A2819" s="16"/>
      <c r="B2819" s="17"/>
      <c r="C2819" s="24"/>
      <c r="D2819" s="44"/>
      <c r="E2819" s="19"/>
      <c r="F2819" s="35"/>
      <c r="G2819" s="20">
        <v>1899.0</v>
      </c>
      <c r="H2819" s="21"/>
      <c r="I2819" s="21"/>
      <c r="J2819" s="21"/>
      <c r="K2819" s="16"/>
      <c r="L2819" s="22"/>
      <c r="M2819" s="55"/>
      <c r="N2819" s="23" t="s">
        <v>200</v>
      </c>
      <c r="O2819" s="23" t="s">
        <v>200</v>
      </c>
      <c r="P2819" s="24"/>
      <c r="Q2819" s="23"/>
      <c r="R2819" s="25"/>
      <c r="S2819" s="26"/>
      <c r="T2819" s="16" t="b">
        <v>0</v>
      </c>
    </row>
    <row r="2820">
      <c r="A2820" s="4"/>
      <c r="B2820" s="5"/>
      <c r="C2820" s="13"/>
      <c r="D2820" s="39"/>
      <c r="E2820" s="7"/>
      <c r="F2820" s="34"/>
      <c r="G2820" s="8">
        <v>1899.0</v>
      </c>
      <c r="H2820" s="9"/>
      <c r="I2820" s="9"/>
      <c r="J2820" s="9"/>
      <c r="K2820" s="4"/>
      <c r="L2820" s="10"/>
      <c r="M2820" s="54"/>
      <c r="N2820" s="12" t="s">
        <v>200</v>
      </c>
      <c r="O2820" s="12" t="s">
        <v>200</v>
      </c>
      <c r="P2820" s="13"/>
      <c r="Q2820" s="12"/>
      <c r="R2820" s="14"/>
      <c r="S2820" s="15"/>
      <c r="T2820" s="4" t="b">
        <v>0</v>
      </c>
    </row>
    <row r="2821">
      <c r="A2821" s="16"/>
      <c r="B2821" s="17"/>
      <c r="C2821" s="24"/>
      <c r="D2821" s="44"/>
      <c r="E2821" s="19"/>
      <c r="F2821" s="35"/>
      <c r="G2821" s="20">
        <v>1899.0</v>
      </c>
      <c r="H2821" s="21"/>
      <c r="I2821" s="21"/>
      <c r="J2821" s="21"/>
      <c r="K2821" s="16"/>
      <c r="L2821" s="22"/>
      <c r="M2821" s="55"/>
      <c r="N2821" s="23" t="s">
        <v>200</v>
      </c>
      <c r="O2821" s="23" t="s">
        <v>200</v>
      </c>
      <c r="P2821" s="24"/>
      <c r="Q2821" s="23"/>
      <c r="R2821" s="25"/>
      <c r="S2821" s="26"/>
      <c r="T2821" s="16" t="b">
        <v>0</v>
      </c>
    </row>
    <row r="2822">
      <c r="A2822" s="4"/>
      <c r="B2822" s="5"/>
      <c r="C2822" s="13"/>
      <c r="D2822" s="39"/>
      <c r="E2822" s="7"/>
      <c r="F2822" s="34"/>
      <c r="G2822" s="8">
        <v>1899.0</v>
      </c>
      <c r="H2822" s="9"/>
      <c r="I2822" s="9"/>
      <c r="J2822" s="9"/>
      <c r="K2822" s="4"/>
      <c r="L2822" s="10"/>
      <c r="M2822" s="54"/>
      <c r="N2822" s="12" t="s">
        <v>200</v>
      </c>
      <c r="O2822" s="12" t="s">
        <v>200</v>
      </c>
      <c r="P2822" s="13"/>
      <c r="Q2822" s="12"/>
      <c r="R2822" s="14"/>
      <c r="S2822" s="15"/>
      <c r="T2822" s="4" t="b">
        <v>0</v>
      </c>
    </row>
    <row r="2823">
      <c r="A2823" s="16"/>
      <c r="B2823" s="17"/>
      <c r="C2823" s="24"/>
      <c r="D2823" s="44"/>
      <c r="E2823" s="19"/>
      <c r="F2823" s="35"/>
      <c r="G2823" s="20">
        <v>1899.0</v>
      </c>
      <c r="H2823" s="21"/>
      <c r="I2823" s="21"/>
      <c r="J2823" s="21"/>
      <c r="K2823" s="16"/>
      <c r="L2823" s="22"/>
      <c r="M2823" s="55"/>
      <c r="N2823" s="23" t="s">
        <v>200</v>
      </c>
      <c r="O2823" s="23" t="s">
        <v>200</v>
      </c>
      <c r="P2823" s="24"/>
      <c r="Q2823" s="23"/>
      <c r="R2823" s="25"/>
      <c r="S2823" s="26"/>
      <c r="T2823" s="16" t="b">
        <v>0</v>
      </c>
    </row>
    <row r="2824">
      <c r="A2824" s="4"/>
      <c r="B2824" s="5"/>
      <c r="C2824" s="13"/>
      <c r="D2824" s="39"/>
      <c r="E2824" s="7"/>
      <c r="F2824" s="34"/>
      <c r="G2824" s="8">
        <v>1899.0</v>
      </c>
      <c r="H2824" s="9"/>
      <c r="I2824" s="9"/>
      <c r="J2824" s="9"/>
      <c r="K2824" s="4"/>
      <c r="L2824" s="10"/>
      <c r="M2824" s="54"/>
      <c r="N2824" s="12" t="s">
        <v>200</v>
      </c>
      <c r="O2824" s="12" t="s">
        <v>200</v>
      </c>
      <c r="P2824" s="13"/>
      <c r="Q2824" s="12"/>
      <c r="R2824" s="14"/>
      <c r="S2824" s="15"/>
      <c r="T2824" s="4" t="b">
        <v>0</v>
      </c>
    </row>
    <row r="2825">
      <c r="A2825" s="16"/>
      <c r="B2825" s="17"/>
      <c r="C2825" s="24"/>
      <c r="D2825" s="44"/>
      <c r="E2825" s="19"/>
      <c r="F2825" s="35"/>
      <c r="G2825" s="20">
        <v>1899.0</v>
      </c>
      <c r="H2825" s="21"/>
      <c r="I2825" s="21"/>
      <c r="J2825" s="21"/>
      <c r="K2825" s="16"/>
      <c r="L2825" s="22"/>
      <c r="M2825" s="55"/>
      <c r="N2825" s="23" t="s">
        <v>200</v>
      </c>
      <c r="O2825" s="23" t="s">
        <v>200</v>
      </c>
      <c r="P2825" s="24"/>
      <c r="Q2825" s="23"/>
      <c r="R2825" s="25"/>
      <c r="S2825" s="26"/>
      <c r="T2825" s="16" t="b">
        <v>0</v>
      </c>
    </row>
    <row r="2826">
      <c r="A2826" s="4"/>
      <c r="B2826" s="5"/>
      <c r="C2826" s="13"/>
      <c r="D2826" s="39"/>
      <c r="E2826" s="7"/>
      <c r="F2826" s="34"/>
      <c r="G2826" s="8">
        <v>1899.0</v>
      </c>
      <c r="H2826" s="9"/>
      <c r="I2826" s="9"/>
      <c r="J2826" s="9"/>
      <c r="K2826" s="4"/>
      <c r="L2826" s="10"/>
      <c r="M2826" s="54"/>
      <c r="N2826" s="12" t="s">
        <v>200</v>
      </c>
      <c r="O2826" s="12" t="s">
        <v>200</v>
      </c>
      <c r="P2826" s="13"/>
      <c r="Q2826" s="12"/>
      <c r="R2826" s="14"/>
      <c r="S2826" s="15"/>
      <c r="T2826" s="4" t="b">
        <v>0</v>
      </c>
    </row>
    <row r="2827">
      <c r="A2827" s="16"/>
      <c r="B2827" s="17"/>
      <c r="C2827" s="24"/>
      <c r="D2827" s="44"/>
      <c r="E2827" s="19"/>
      <c r="F2827" s="35"/>
      <c r="G2827" s="20">
        <v>1899.0</v>
      </c>
      <c r="H2827" s="21"/>
      <c r="I2827" s="21"/>
      <c r="J2827" s="21"/>
      <c r="K2827" s="16"/>
      <c r="L2827" s="22"/>
      <c r="M2827" s="55"/>
      <c r="N2827" s="23" t="s">
        <v>200</v>
      </c>
      <c r="O2827" s="23" t="s">
        <v>200</v>
      </c>
      <c r="P2827" s="24"/>
      <c r="Q2827" s="23"/>
      <c r="R2827" s="25"/>
      <c r="S2827" s="26"/>
      <c r="T2827" s="16" t="b">
        <v>0</v>
      </c>
    </row>
    <row r="2828">
      <c r="A2828" s="4"/>
      <c r="B2828" s="5"/>
      <c r="C2828" s="13"/>
      <c r="D2828" s="39"/>
      <c r="E2828" s="7"/>
      <c r="F2828" s="34"/>
      <c r="G2828" s="8">
        <v>1899.0</v>
      </c>
      <c r="H2828" s="9"/>
      <c r="I2828" s="9"/>
      <c r="J2828" s="9"/>
      <c r="K2828" s="4"/>
      <c r="L2828" s="10"/>
      <c r="M2828" s="54"/>
      <c r="N2828" s="12" t="s">
        <v>200</v>
      </c>
      <c r="O2828" s="12" t="s">
        <v>200</v>
      </c>
      <c r="P2828" s="13"/>
      <c r="Q2828" s="12"/>
      <c r="R2828" s="14"/>
      <c r="S2828" s="15"/>
      <c r="T2828" s="4" t="b">
        <v>0</v>
      </c>
    </row>
    <row r="2829">
      <c r="A2829" s="16"/>
      <c r="B2829" s="17"/>
      <c r="C2829" s="24"/>
      <c r="D2829" s="44"/>
      <c r="E2829" s="19"/>
      <c r="F2829" s="35"/>
      <c r="G2829" s="20">
        <v>1899.0</v>
      </c>
      <c r="H2829" s="21"/>
      <c r="I2829" s="21"/>
      <c r="J2829" s="21"/>
      <c r="K2829" s="16"/>
      <c r="L2829" s="22"/>
      <c r="M2829" s="55"/>
      <c r="N2829" s="23" t="s">
        <v>200</v>
      </c>
      <c r="O2829" s="23" t="s">
        <v>200</v>
      </c>
      <c r="P2829" s="24"/>
      <c r="Q2829" s="23"/>
      <c r="R2829" s="25"/>
      <c r="S2829" s="26"/>
      <c r="T2829" s="16" t="b">
        <v>0</v>
      </c>
    </row>
    <row r="2830">
      <c r="A2830" s="4"/>
      <c r="B2830" s="5"/>
      <c r="C2830" s="13"/>
      <c r="D2830" s="39"/>
      <c r="E2830" s="7"/>
      <c r="F2830" s="34"/>
      <c r="G2830" s="8">
        <v>1899.0</v>
      </c>
      <c r="H2830" s="9"/>
      <c r="I2830" s="9"/>
      <c r="J2830" s="9"/>
      <c r="K2830" s="4"/>
      <c r="L2830" s="10"/>
      <c r="M2830" s="54"/>
      <c r="N2830" s="12" t="s">
        <v>200</v>
      </c>
      <c r="O2830" s="12" t="s">
        <v>200</v>
      </c>
      <c r="P2830" s="13"/>
      <c r="Q2830" s="12"/>
      <c r="R2830" s="14"/>
      <c r="S2830" s="15"/>
      <c r="T2830" s="4" t="b">
        <v>0</v>
      </c>
    </row>
    <row r="2831">
      <c r="A2831" s="16"/>
      <c r="B2831" s="17"/>
      <c r="C2831" s="24"/>
      <c r="D2831" s="44"/>
      <c r="E2831" s="19"/>
      <c r="F2831" s="35"/>
      <c r="G2831" s="20">
        <v>1899.0</v>
      </c>
      <c r="H2831" s="21"/>
      <c r="I2831" s="21"/>
      <c r="J2831" s="21"/>
      <c r="K2831" s="16"/>
      <c r="L2831" s="22"/>
      <c r="M2831" s="55"/>
      <c r="N2831" s="23" t="s">
        <v>200</v>
      </c>
      <c r="O2831" s="23" t="s">
        <v>200</v>
      </c>
      <c r="P2831" s="24"/>
      <c r="Q2831" s="23"/>
      <c r="R2831" s="25"/>
      <c r="S2831" s="26"/>
      <c r="T2831" s="16" t="b">
        <v>0</v>
      </c>
    </row>
    <row r="2832">
      <c r="A2832" s="4"/>
      <c r="B2832" s="5"/>
      <c r="C2832" s="13"/>
      <c r="D2832" s="39"/>
      <c r="E2832" s="7"/>
      <c r="F2832" s="34"/>
      <c r="G2832" s="8">
        <v>1899.0</v>
      </c>
      <c r="H2832" s="9"/>
      <c r="I2832" s="9"/>
      <c r="J2832" s="9"/>
      <c r="K2832" s="4"/>
      <c r="L2832" s="10"/>
      <c r="M2832" s="54"/>
      <c r="N2832" s="12" t="s">
        <v>200</v>
      </c>
      <c r="O2832" s="12" t="s">
        <v>200</v>
      </c>
      <c r="P2832" s="13"/>
      <c r="Q2832" s="12"/>
      <c r="R2832" s="14"/>
      <c r="S2832" s="15"/>
      <c r="T2832" s="4" t="b">
        <v>0</v>
      </c>
    </row>
    <row r="2833">
      <c r="A2833" s="16"/>
      <c r="B2833" s="17"/>
      <c r="C2833" s="24"/>
      <c r="D2833" s="44"/>
      <c r="E2833" s="19"/>
      <c r="F2833" s="35"/>
      <c r="G2833" s="20">
        <v>1899.0</v>
      </c>
      <c r="H2833" s="21"/>
      <c r="I2833" s="21"/>
      <c r="J2833" s="21"/>
      <c r="K2833" s="16"/>
      <c r="L2833" s="22"/>
      <c r="M2833" s="55"/>
      <c r="N2833" s="23" t="s">
        <v>200</v>
      </c>
      <c r="O2833" s="23" t="s">
        <v>200</v>
      </c>
      <c r="P2833" s="24"/>
      <c r="Q2833" s="23"/>
      <c r="R2833" s="25"/>
      <c r="S2833" s="26"/>
      <c r="T2833" s="16" t="b">
        <v>0</v>
      </c>
    </row>
    <row r="2834">
      <c r="A2834" s="4"/>
      <c r="B2834" s="5"/>
      <c r="C2834" s="13"/>
      <c r="D2834" s="39"/>
      <c r="E2834" s="7"/>
      <c r="F2834" s="34"/>
      <c r="G2834" s="8">
        <v>1899.0</v>
      </c>
      <c r="H2834" s="9"/>
      <c r="I2834" s="9"/>
      <c r="J2834" s="9"/>
      <c r="K2834" s="4"/>
      <c r="L2834" s="10"/>
      <c r="M2834" s="54"/>
      <c r="N2834" s="12" t="s">
        <v>200</v>
      </c>
      <c r="O2834" s="12" t="s">
        <v>200</v>
      </c>
      <c r="P2834" s="13"/>
      <c r="Q2834" s="12"/>
      <c r="R2834" s="14"/>
      <c r="S2834" s="15"/>
      <c r="T2834" s="4" t="b">
        <v>0</v>
      </c>
    </row>
    <row r="2835">
      <c r="A2835" s="16"/>
      <c r="B2835" s="17"/>
      <c r="C2835" s="24"/>
      <c r="D2835" s="44"/>
      <c r="E2835" s="19"/>
      <c r="F2835" s="35"/>
      <c r="G2835" s="20">
        <v>1899.0</v>
      </c>
      <c r="H2835" s="21"/>
      <c r="I2835" s="21"/>
      <c r="J2835" s="21"/>
      <c r="K2835" s="16"/>
      <c r="L2835" s="22"/>
      <c r="M2835" s="55"/>
      <c r="N2835" s="23" t="s">
        <v>200</v>
      </c>
      <c r="O2835" s="23" t="s">
        <v>200</v>
      </c>
      <c r="P2835" s="24"/>
      <c r="Q2835" s="23"/>
      <c r="R2835" s="25"/>
      <c r="S2835" s="26"/>
      <c r="T2835" s="16" t="b">
        <v>0</v>
      </c>
    </row>
    <row r="2836">
      <c r="A2836" s="4"/>
      <c r="B2836" s="5"/>
      <c r="C2836" s="13"/>
      <c r="D2836" s="39"/>
      <c r="E2836" s="7"/>
      <c r="F2836" s="34"/>
      <c r="G2836" s="8">
        <v>1899.0</v>
      </c>
      <c r="H2836" s="9"/>
      <c r="I2836" s="9"/>
      <c r="J2836" s="9"/>
      <c r="K2836" s="4"/>
      <c r="L2836" s="10"/>
      <c r="M2836" s="54"/>
      <c r="N2836" s="12" t="s">
        <v>200</v>
      </c>
      <c r="O2836" s="12" t="s">
        <v>200</v>
      </c>
      <c r="P2836" s="13"/>
      <c r="Q2836" s="12"/>
      <c r="R2836" s="14"/>
      <c r="S2836" s="15"/>
      <c r="T2836" s="4" t="b">
        <v>0</v>
      </c>
    </row>
    <row r="2837">
      <c r="A2837" s="16"/>
      <c r="B2837" s="17"/>
      <c r="C2837" s="24"/>
      <c r="D2837" s="44"/>
      <c r="E2837" s="19"/>
      <c r="F2837" s="35"/>
      <c r="G2837" s="20">
        <v>1899.0</v>
      </c>
      <c r="H2837" s="21"/>
      <c r="I2837" s="21"/>
      <c r="J2837" s="21"/>
      <c r="K2837" s="16"/>
      <c r="L2837" s="22"/>
      <c r="M2837" s="55"/>
      <c r="N2837" s="23" t="s">
        <v>200</v>
      </c>
      <c r="O2837" s="23" t="s">
        <v>200</v>
      </c>
      <c r="P2837" s="24"/>
      <c r="Q2837" s="23"/>
      <c r="R2837" s="25"/>
      <c r="S2837" s="26"/>
      <c r="T2837" s="16" t="b">
        <v>0</v>
      </c>
    </row>
    <row r="2838">
      <c r="A2838" s="4"/>
      <c r="B2838" s="5"/>
      <c r="C2838" s="13"/>
      <c r="D2838" s="39"/>
      <c r="E2838" s="7"/>
      <c r="F2838" s="34"/>
      <c r="G2838" s="8">
        <v>1899.0</v>
      </c>
      <c r="H2838" s="9"/>
      <c r="I2838" s="9"/>
      <c r="J2838" s="9"/>
      <c r="K2838" s="4"/>
      <c r="L2838" s="10"/>
      <c r="M2838" s="54"/>
      <c r="N2838" s="12" t="s">
        <v>200</v>
      </c>
      <c r="O2838" s="12" t="s">
        <v>200</v>
      </c>
      <c r="P2838" s="13"/>
      <c r="Q2838" s="12"/>
      <c r="R2838" s="14"/>
      <c r="S2838" s="15"/>
      <c r="T2838" s="4" t="b">
        <v>0</v>
      </c>
    </row>
    <row r="2839">
      <c r="A2839" s="16"/>
      <c r="B2839" s="17"/>
      <c r="C2839" s="24"/>
      <c r="D2839" s="44"/>
      <c r="E2839" s="19"/>
      <c r="F2839" s="35"/>
      <c r="G2839" s="20">
        <v>1899.0</v>
      </c>
      <c r="H2839" s="21"/>
      <c r="I2839" s="21"/>
      <c r="J2839" s="21"/>
      <c r="K2839" s="16"/>
      <c r="L2839" s="22"/>
      <c r="M2839" s="55"/>
      <c r="N2839" s="23" t="s">
        <v>200</v>
      </c>
      <c r="O2839" s="23" t="s">
        <v>200</v>
      </c>
      <c r="P2839" s="24"/>
      <c r="Q2839" s="23"/>
      <c r="R2839" s="25"/>
      <c r="S2839" s="26"/>
      <c r="T2839" s="16" t="b">
        <v>0</v>
      </c>
    </row>
    <row r="2840">
      <c r="A2840" s="4"/>
      <c r="B2840" s="5"/>
      <c r="C2840" s="13"/>
      <c r="D2840" s="39"/>
      <c r="E2840" s="7"/>
      <c r="F2840" s="34"/>
      <c r="G2840" s="8">
        <v>1899.0</v>
      </c>
      <c r="H2840" s="9"/>
      <c r="I2840" s="9"/>
      <c r="J2840" s="9"/>
      <c r="K2840" s="4"/>
      <c r="L2840" s="10"/>
      <c r="M2840" s="54"/>
      <c r="N2840" s="12" t="s">
        <v>200</v>
      </c>
      <c r="O2840" s="12" t="s">
        <v>200</v>
      </c>
      <c r="P2840" s="13"/>
      <c r="Q2840" s="12"/>
      <c r="R2840" s="14"/>
      <c r="S2840" s="15"/>
      <c r="T2840" s="4" t="b">
        <v>0</v>
      </c>
    </row>
    <row r="2841">
      <c r="A2841" s="16"/>
      <c r="B2841" s="17"/>
      <c r="C2841" s="24"/>
      <c r="D2841" s="44"/>
      <c r="E2841" s="19"/>
      <c r="F2841" s="35"/>
      <c r="G2841" s="20">
        <v>1899.0</v>
      </c>
      <c r="H2841" s="21"/>
      <c r="I2841" s="21"/>
      <c r="J2841" s="21"/>
      <c r="K2841" s="16"/>
      <c r="L2841" s="22"/>
      <c r="M2841" s="55"/>
      <c r="N2841" s="23" t="s">
        <v>200</v>
      </c>
      <c r="O2841" s="23" t="s">
        <v>200</v>
      </c>
      <c r="P2841" s="24"/>
      <c r="Q2841" s="23"/>
      <c r="R2841" s="25"/>
      <c r="S2841" s="26"/>
      <c r="T2841" s="16" t="b">
        <v>0</v>
      </c>
    </row>
    <row r="2842">
      <c r="A2842" s="4"/>
      <c r="B2842" s="5"/>
      <c r="C2842" s="13"/>
      <c r="D2842" s="39"/>
      <c r="E2842" s="7"/>
      <c r="F2842" s="34"/>
      <c r="G2842" s="8">
        <v>1899.0</v>
      </c>
      <c r="H2842" s="9"/>
      <c r="I2842" s="9"/>
      <c r="J2842" s="9"/>
      <c r="K2842" s="4"/>
      <c r="L2842" s="10"/>
      <c r="M2842" s="54"/>
      <c r="N2842" s="12" t="s">
        <v>200</v>
      </c>
      <c r="O2842" s="12" t="s">
        <v>200</v>
      </c>
      <c r="P2842" s="13"/>
      <c r="Q2842" s="12"/>
      <c r="R2842" s="14"/>
      <c r="S2842" s="15"/>
      <c r="T2842" s="4" t="b">
        <v>0</v>
      </c>
    </row>
    <row r="2843">
      <c r="A2843" s="16"/>
      <c r="B2843" s="17"/>
      <c r="C2843" s="24"/>
      <c r="D2843" s="44"/>
      <c r="E2843" s="19"/>
      <c r="F2843" s="35"/>
      <c r="G2843" s="20">
        <v>1899.0</v>
      </c>
      <c r="H2843" s="21"/>
      <c r="I2843" s="21"/>
      <c r="J2843" s="21"/>
      <c r="K2843" s="16"/>
      <c r="L2843" s="22"/>
      <c r="M2843" s="55"/>
      <c r="N2843" s="23" t="s">
        <v>200</v>
      </c>
      <c r="O2843" s="23" t="s">
        <v>200</v>
      </c>
      <c r="P2843" s="24"/>
      <c r="Q2843" s="23"/>
      <c r="R2843" s="25"/>
      <c r="S2843" s="26"/>
      <c r="T2843" s="16" t="b">
        <v>0</v>
      </c>
    </row>
    <row r="2844">
      <c r="A2844" s="4"/>
      <c r="B2844" s="5"/>
      <c r="C2844" s="13"/>
      <c r="D2844" s="39"/>
      <c r="E2844" s="7"/>
      <c r="F2844" s="34"/>
      <c r="G2844" s="8">
        <v>1899.0</v>
      </c>
      <c r="H2844" s="9"/>
      <c r="I2844" s="9"/>
      <c r="J2844" s="9"/>
      <c r="K2844" s="4"/>
      <c r="L2844" s="10"/>
      <c r="M2844" s="54"/>
      <c r="N2844" s="12" t="s">
        <v>200</v>
      </c>
      <c r="O2844" s="12" t="s">
        <v>200</v>
      </c>
      <c r="P2844" s="13"/>
      <c r="Q2844" s="12"/>
      <c r="R2844" s="14"/>
      <c r="S2844" s="15"/>
      <c r="T2844" s="4" t="b">
        <v>0</v>
      </c>
    </row>
    <row r="2845">
      <c r="A2845" s="16"/>
      <c r="B2845" s="17"/>
      <c r="C2845" s="24"/>
      <c r="D2845" s="44"/>
      <c r="E2845" s="19"/>
      <c r="F2845" s="35"/>
      <c r="G2845" s="20">
        <v>1899.0</v>
      </c>
      <c r="H2845" s="21"/>
      <c r="I2845" s="21"/>
      <c r="J2845" s="21"/>
      <c r="K2845" s="16"/>
      <c r="L2845" s="22"/>
      <c r="M2845" s="55"/>
      <c r="N2845" s="23" t="s">
        <v>200</v>
      </c>
      <c r="O2845" s="23" t="s">
        <v>200</v>
      </c>
      <c r="P2845" s="24"/>
      <c r="Q2845" s="23"/>
      <c r="R2845" s="25"/>
      <c r="S2845" s="26"/>
      <c r="T2845" s="16" t="b">
        <v>0</v>
      </c>
    </row>
    <row r="2846">
      <c r="A2846" s="4"/>
      <c r="B2846" s="5"/>
      <c r="C2846" s="13"/>
      <c r="D2846" s="39"/>
      <c r="E2846" s="7"/>
      <c r="F2846" s="34"/>
      <c r="G2846" s="8">
        <v>1899.0</v>
      </c>
      <c r="H2846" s="9"/>
      <c r="I2846" s="9"/>
      <c r="J2846" s="9"/>
      <c r="K2846" s="4"/>
      <c r="L2846" s="10"/>
      <c r="M2846" s="54"/>
      <c r="N2846" s="12" t="s">
        <v>200</v>
      </c>
      <c r="O2846" s="12" t="s">
        <v>200</v>
      </c>
      <c r="P2846" s="13"/>
      <c r="Q2846" s="12"/>
      <c r="R2846" s="14"/>
      <c r="S2846" s="15"/>
      <c r="T2846" s="4" t="b">
        <v>0</v>
      </c>
    </row>
    <row r="2847">
      <c r="A2847" s="16"/>
      <c r="B2847" s="17"/>
      <c r="C2847" s="24"/>
      <c r="D2847" s="44"/>
      <c r="E2847" s="19"/>
      <c r="F2847" s="35"/>
      <c r="G2847" s="20">
        <v>1899.0</v>
      </c>
      <c r="H2847" s="21"/>
      <c r="I2847" s="21"/>
      <c r="J2847" s="21"/>
      <c r="K2847" s="16"/>
      <c r="L2847" s="22"/>
      <c r="M2847" s="55"/>
      <c r="N2847" s="23" t="s">
        <v>200</v>
      </c>
      <c r="O2847" s="23" t="s">
        <v>200</v>
      </c>
      <c r="P2847" s="24"/>
      <c r="Q2847" s="23"/>
      <c r="R2847" s="25"/>
      <c r="S2847" s="26"/>
      <c r="T2847" s="16" t="b">
        <v>0</v>
      </c>
    </row>
    <row r="2848">
      <c r="A2848" s="4"/>
      <c r="B2848" s="5"/>
      <c r="C2848" s="13"/>
      <c r="D2848" s="39"/>
      <c r="E2848" s="7"/>
      <c r="F2848" s="34"/>
      <c r="G2848" s="8">
        <v>1899.0</v>
      </c>
      <c r="H2848" s="9"/>
      <c r="I2848" s="9"/>
      <c r="J2848" s="9"/>
      <c r="K2848" s="4"/>
      <c r="L2848" s="10"/>
      <c r="M2848" s="54"/>
      <c r="N2848" s="12" t="s">
        <v>200</v>
      </c>
      <c r="O2848" s="12" t="s">
        <v>200</v>
      </c>
      <c r="P2848" s="13"/>
      <c r="Q2848" s="12"/>
      <c r="R2848" s="14"/>
      <c r="S2848" s="15"/>
      <c r="T2848" s="4" t="b">
        <v>0</v>
      </c>
    </row>
    <row r="2849">
      <c r="A2849" s="16"/>
      <c r="B2849" s="17"/>
      <c r="C2849" s="24"/>
      <c r="D2849" s="44"/>
      <c r="E2849" s="19"/>
      <c r="F2849" s="35"/>
      <c r="G2849" s="20">
        <v>1899.0</v>
      </c>
      <c r="H2849" s="21"/>
      <c r="I2849" s="21"/>
      <c r="J2849" s="21"/>
      <c r="K2849" s="16"/>
      <c r="L2849" s="22"/>
      <c r="M2849" s="55"/>
      <c r="N2849" s="23" t="s">
        <v>200</v>
      </c>
      <c r="O2849" s="23" t="s">
        <v>200</v>
      </c>
      <c r="P2849" s="24"/>
      <c r="Q2849" s="23"/>
      <c r="R2849" s="25"/>
      <c r="S2849" s="26"/>
      <c r="T2849" s="16" t="b">
        <v>0</v>
      </c>
    </row>
    <row r="2850">
      <c r="A2850" s="4"/>
      <c r="B2850" s="5"/>
      <c r="C2850" s="13"/>
      <c r="D2850" s="39"/>
      <c r="E2850" s="7"/>
      <c r="F2850" s="34"/>
      <c r="G2850" s="8">
        <v>1899.0</v>
      </c>
      <c r="H2850" s="9"/>
      <c r="I2850" s="9"/>
      <c r="J2850" s="9"/>
      <c r="K2850" s="4"/>
      <c r="L2850" s="10"/>
      <c r="M2850" s="54"/>
      <c r="N2850" s="12" t="s">
        <v>200</v>
      </c>
      <c r="O2850" s="12" t="s">
        <v>200</v>
      </c>
      <c r="P2850" s="13"/>
      <c r="Q2850" s="12"/>
      <c r="R2850" s="14"/>
      <c r="S2850" s="15"/>
      <c r="T2850" s="4" t="b">
        <v>0</v>
      </c>
    </row>
    <row r="2851">
      <c r="A2851" s="16"/>
      <c r="B2851" s="17"/>
      <c r="C2851" s="24"/>
      <c r="D2851" s="44"/>
      <c r="E2851" s="19"/>
      <c r="F2851" s="35"/>
      <c r="G2851" s="20">
        <v>1899.0</v>
      </c>
      <c r="H2851" s="21"/>
      <c r="I2851" s="21"/>
      <c r="J2851" s="21"/>
      <c r="K2851" s="16"/>
      <c r="L2851" s="22"/>
      <c r="M2851" s="55"/>
      <c r="N2851" s="23" t="s">
        <v>200</v>
      </c>
      <c r="O2851" s="23" t="s">
        <v>200</v>
      </c>
      <c r="P2851" s="24"/>
      <c r="Q2851" s="23"/>
      <c r="R2851" s="25"/>
      <c r="S2851" s="26"/>
      <c r="T2851" s="16" t="b">
        <v>0</v>
      </c>
    </row>
    <row r="2852">
      <c r="A2852" s="4"/>
      <c r="B2852" s="5"/>
      <c r="C2852" s="13"/>
      <c r="D2852" s="39"/>
      <c r="E2852" s="7"/>
      <c r="F2852" s="34"/>
      <c r="G2852" s="8">
        <v>1899.0</v>
      </c>
      <c r="H2852" s="9"/>
      <c r="I2852" s="9"/>
      <c r="J2852" s="9"/>
      <c r="K2852" s="4"/>
      <c r="L2852" s="10"/>
      <c r="M2852" s="54"/>
      <c r="N2852" s="12" t="s">
        <v>200</v>
      </c>
      <c r="O2852" s="12" t="s">
        <v>200</v>
      </c>
      <c r="P2852" s="13"/>
      <c r="Q2852" s="12"/>
      <c r="R2852" s="14"/>
      <c r="S2852" s="15"/>
      <c r="T2852" s="4" t="b">
        <v>0</v>
      </c>
    </row>
    <row r="2853">
      <c r="A2853" s="16"/>
      <c r="B2853" s="17"/>
      <c r="C2853" s="24"/>
      <c r="D2853" s="44"/>
      <c r="E2853" s="19"/>
      <c r="F2853" s="35"/>
      <c r="G2853" s="20">
        <v>1899.0</v>
      </c>
      <c r="H2853" s="21"/>
      <c r="I2853" s="21"/>
      <c r="J2853" s="21"/>
      <c r="K2853" s="16"/>
      <c r="L2853" s="22"/>
      <c r="M2853" s="55"/>
      <c r="N2853" s="23" t="s">
        <v>200</v>
      </c>
      <c r="O2853" s="23" t="s">
        <v>200</v>
      </c>
      <c r="P2853" s="24"/>
      <c r="Q2853" s="23"/>
      <c r="R2853" s="25"/>
      <c r="S2853" s="26"/>
      <c r="T2853" s="16" t="b">
        <v>0</v>
      </c>
    </row>
    <row r="2854">
      <c r="A2854" s="4"/>
      <c r="B2854" s="5"/>
      <c r="C2854" s="13"/>
      <c r="D2854" s="39"/>
      <c r="E2854" s="7"/>
      <c r="F2854" s="34"/>
      <c r="G2854" s="8">
        <v>1899.0</v>
      </c>
      <c r="H2854" s="9"/>
      <c r="I2854" s="9"/>
      <c r="J2854" s="9"/>
      <c r="K2854" s="4"/>
      <c r="L2854" s="10"/>
      <c r="M2854" s="54"/>
      <c r="N2854" s="12" t="s">
        <v>200</v>
      </c>
      <c r="O2854" s="12" t="s">
        <v>200</v>
      </c>
      <c r="P2854" s="13"/>
      <c r="Q2854" s="12"/>
      <c r="R2854" s="14"/>
      <c r="S2854" s="15"/>
      <c r="T2854" s="4" t="b">
        <v>0</v>
      </c>
    </row>
    <row r="2855">
      <c r="A2855" s="16"/>
      <c r="B2855" s="17"/>
      <c r="C2855" s="24"/>
      <c r="D2855" s="44"/>
      <c r="E2855" s="19"/>
      <c r="F2855" s="35"/>
      <c r="G2855" s="20">
        <v>1899.0</v>
      </c>
      <c r="H2855" s="21"/>
      <c r="I2855" s="21"/>
      <c r="J2855" s="21"/>
      <c r="K2855" s="16"/>
      <c r="L2855" s="22"/>
      <c r="M2855" s="55"/>
      <c r="N2855" s="23" t="s">
        <v>200</v>
      </c>
      <c r="O2855" s="23" t="s">
        <v>200</v>
      </c>
      <c r="P2855" s="24"/>
      <c r="Q2855" s="23"/>
      <c r="R2855" s="25"/>
      <c r="S2855" s="26"/>
      <c r="T2855" s="16" t="b">
        <v>0</v>
      </c>
    </row>
    <row r="2856">
      <c r="A2856" s="4"/>
      <c r="B2856" s="5"/>
      <c r="C2856" s="13"/>
      <c r="D2856" s="39"/>
      <c r="E2856" s="7"/>
      <c r="F2856" s="34"/>
      <c r="G2856" s="8">
        <v>1899.0</v>
      </c>
      <c r="H2856" s="9"/>
      <c r="I2856" s="9"/>
      <c r="J2856" s="9"/>
      <c r="K2856" s="4"/>
      <c r="L2856" s="10"/>
      <c r="M2856" s="54"/>
      <c r="N2856" s="12" t="s">
        <v>200</v>
      </c>
      <c r="O2856" s="12" t="s">
        <v>200</v>
      </c>
      <c r="P2856" s="13"/>
      <c r="Q2856" s="12"/>
      <c r="R2856" s="14"/>
      <c r="S2856" s="15"/>
      <c r="T2856" s="4" t="b">
        <v>0</v>
      </c>
    </row>
    <row r="2857">
      <c r="A2857" s="16"/>
      <c r="B2857" s="17"/>
      <c r="C2857" s="24"/>
      <c r="D2857" s="44"/>
      <c r="E2857" s="19"/>
      <c r="F2857" s="35"/>
      <c r="G2857" s="20">
        <v>1899.0</v>
      </c>
      <c r="H2857" s="21"/>
      <c r="I2857" s="21"/>
      <c r="J2857" s="21"/>
      <c r="K2857" s="16"/>
      <c r="L2857" s="22"/>
      <c r="M2857" s="55"/>
      <c r="N2857" s="23" t="s">
        <v>200</v>
      </c>
      <c r="O2857" s="23" t="s">
        <v>200</v>
      </c>
      <c r="P2857" s="24"/>
      <c r="Q2857" s="23"/>
      <c r="R2857" s="25"/>
      <c r="S2857" s="26"/>
      <c r="T2857" s="16" t="b">
        <v>0</v>
      </c>
    </row>
    <row r="2858">
      <c r="A2858" s="4"/>
      <c r="B2858" s="5"/>
      <c r="C2858" s="13"/>
      <c r="D2858" s="39"/>
      <c r="E2858" s="7"/>
      <c r="F2858" s="34"/>
      <c r="G2858" s="8">
        <v>1899.0</v>
      </c>
      <c r="H2858" s="9"/>
      <c r="I2858" s="9"/>
      <c r="J2858" s="9"/>
      <c r="K2858" s="4"/>
      <c r="L2858" s="10"/>
      <c r="M2858" s="54"/>
      <c r="N2858" s="12" t="s">
        <v>200</v>
      </c>
      <c r="O2858" s="12" t="s">
        <v>200</v>
      </c>
      <c r="P2858" s="13"/>
      <c r="Q2858" s="12"/>
      <c r="R2858" s="14"/>
      <c r="S2858" s="15"/>
      <c r="T2858" s="4" t="b">
        <v>0</v>
      </c>
    </row>
    <row r="2859">
      <c r="A2859" s="16"/>
      <c r="B2859" s="17"/>
      <c r="C2859" s="24"/>
      <c r="D2859" s="44"/>
      <c r="E2859" s="19"/>
      <c r="F2859" s="35"/>
      <c r="G2859" s="20">
        <v>1899.0</v>
      </c>
      <c r="H2859" s="21"/>
      <c r="I2859" s="21"/>
      <c r="J2859" s="21"/>
      <c r="K2859" s="16"/>
      <c r="L2859" s="22"/>
      <c r="M2859" s="55"/>
      <c r="N2859" s="23" t="s">
        <v>200</v>
      </c>
      <c r="O2859" s="23" t="s">
        <v>200</v>
      </c>
      <c r="P2859" s="24"/>
      <c r="Q2859" s="23"/>
      <c r="R2859" s="25"/>
      <c r="S2859" s="26"/>
      <c r="T2859" s="16" t="b">
        <v>0</v>
      </c>
    </row>
    <row r="2860">
      <c r="A2860" s="4"/>
      <c r="B2860" s="5"/>
      <c r="C2860" s="13"/>
      <c r="D2860" s="39"/>
      <c r="E2860" s="7"/>
      <c r="F2860" s="34"/>
      <c r="G2860" s="8">
        <v>1899.0</v>
      </c>
      <c r="H2860" s="9"/>
      <c r="I2860" s="9"/>
      <c r="J2860" s="9"/>
      <c r="K2860" s="4"/>
      <c r="L2860" s="10"/>
      <c r="M2860" s="54"/>
      <c r="N2860" s="12" t="s">
        <v>200</v>
      </c>
      <c r="O2860" s="12" t="s">
        <v>200</v>
      </c>
      <c r="P2860" s="13"/>
      <c r="Q2860" s="12"/>
      <c r="R2860" s="14"/>
      <c r="S2860" s="15"/>
      <c r="T2860" s="4" t="b">
        <v>0</v>
      </c>
    </row>
    <row r="2861">
      <c r="A2861" s="16"/>
      <c r="B2861" s="17"/>
      <c r="C2861" s="24"/>
      <c r="D2861" s="44"/>
      <c r="E2861" s="19"/>
      <c r="F2861" s="35"/>
      <c r="G2861" s="20">
        <v>1899.0</v>
      </c>
      <c r="H2861" s="21"/>
      <c r="I2861" s="21"/>
      <c r="J2861" s="21"/>
      <c r="K2861" s="16"/>
      <c r="L2861" s="22"/>
      <c r="M2861" s="55"/>
      <c r="N2861" s="23" t="s">
        <v>200</v>
      </c>
      <c r="O2861" s="23" t="s">
        <v>200</v>
      </c>
      <c r="P2861" s="24"/>
      <c r="Q2861" s="23"/>
      <c r="R2861" s="25"/>
      <c r="S2861" s="26"/>
      <c r="T2861" s="16" t="b">
        <v>0</v>
      </c>
    </row>
    <row r="2862">
      <c r="A2862" s="4"/>
      <c r="B2862" s="5"/>
      <c r="C2862" s="13"/>
      <c r="D2862" s="39"/>
      <c r="E2862" s="7"/>
      <c r="F2862" s="34"/>
      <c r="G2862" s="8">
        <v>1899.0</v>
      </c>
      <c r="H2862" s="9"/>
      <c r="I2862" s="9"/>
      <c r="J2862" s="9"/>
      <c r="K2862" s="4"/>
      <c r="L2862" s="10"/>
      <c r="M2862" s="54"/>
      <c r="N2862" s="12" t="s">
        <v>200</v>
      </c>
      <c r="O2862" s="12" t="s">
        <v>200</v>
      </c>
      <c r="P2862" s="13"/>
      <c r="Q2862" s="12"/>
      <c r="R2862" s="14"/>
      <c r="S2862" s="15"/>
      <c r="T2862" s="4" t="b">
        <v>0</v>
      </c>
    </row>
    <row r="2863">
      <c r="A2863" s="16"/>
      <c r="B2863" s="17"/>
      <c r="C2863" s="24"/>
      <c r="D2863" s="44"/>
      <c r="E2863" s="19"/>
      <c r="F2863" s="35"/>
      <c r="G2863" s="20">
        <v>1899.0</v>
      </c>
      <c r="H2863" s="21"/>
      <c r="I2863" s="21"/>
      <c r="J2863" s="21"/>
      <c r="K2863" s="16"/>
      <c r="L2863" s="22"/>
      <c r="M2863" s="55"/>
      <c r="N2863" s="23" t="s">
        <v>200</v>
      </c>
      <c r="O2863" s="23" t="s">
        <v>200</v>
      </c>
      <c r="P2863" s="24"/>
      <c r="Q2863" s="23"/>
      <c r="R2863" s="25"/>
      <c r="S2863" s="26"/>
      <c r="T2863" s="16" t="b">
        <v>0</v>
      </c>
    </row>
    <row r="2864">
      <c r="A2864" s="4"/>
      <c r="B2864" s="5"/>
      <c r="C2864" s="13"/>
      <c r="D2864" s="39"/>
      <c r="E2864" s="7"/>
      <c r="F2864" s="34"/>
      <c r="G2864" s="8">
        <v>1899.0</v>
      </c>
      <c r="H2864" s="9"/>
      <c r="I2864" s="9"/>
      <c r="J2864" s="9"/>
      <c r="K2864" s="4"/>
      <c r="L2864" s="10"/>
      <c r="M2864" s="54"/>
      <c r="N2864" s="12" t="s">
        <v>200</v>
      </c>
      <c r="O2864" s="12" t="s">
        <v>200</v>
      </c>
      <c r="P2864" s="13"/>
      <c r="Q2864" s="12"/>
      <c r="R2864" s="14"/>
      <c r="S2864" s="15"/>
      <c r="T2864" s="4" t="b">
        <v>0</v>
      </c>
    </row>
    <row r="2865">
      <c r="A2865" s="16"/>
      <c r="B2865" s="17"/>
      <c r="C2865" s="24"/>
      <c r="D2865" s="44"/>
      <c r="E2865" s="19"/>
      <c r="F2865" s="35"/>
      <c r="G2865" s="20">
        <v>1899.0</v>
      </c>
      <c r="H2865" s="21"/>
      <c r="I2865" s="21"/>
      <c r="J2865" s="21"/>
      <c r="K2865" s="16"/>
      <c r="L2865" s="22"/>
      <c r="M2865" s="55"/>
      <c r="N2865" s="23" t="s">
        <v>200</v>
      </c>
      <c r="O2865" s="23" t="s">
        <v>200</v>
      </c>
      <c r="P2865" s="24"/>
      <c r="Q2865" s="23"/>
      <c r="R2865" s="25"/>
      <c r="S2865" s="26"/>
      <c r="T2865" s="16" t="b">
        <v>0</v>
      </c>
    </row>
    <row r="2866">
      <c r="A2866" s="4"/>
      <c r="B2866" s="5"/>
      <c r="C2866" s="13"/>
      <c r="D2866" s="39"/>
      <c r="E2866" s="7"/>
      <c r="F2866" s="34"/>
      <c r="G2866" s="8">
        <v>1899.0</v>
      </c>
      <c r="H2866" s="9"/>
      <c r="I2866" s="9"/>
      <c r="J2866" s="9"/>
      <c r="K2866" s="4"/>
      <c r="L2866" s="10"/>
      <c r="M2866" s="54"/>
      <c r="N2866" s="12" t="s">
        <v>200</v>
      </c>
      <c r="O2866" s="12" t="s">
        <v>200</v>
      </c>
      <c r="P2866" s="13"/>
      <c r="Q2866" s="12"/>
      <c r="R2866" s="14"/>
      <c r="S2866" s="15"/>
      <c r="T2866" s="4" t="b">
        <v>0</v>
      </c>
    </row>
    <row r="2867">
      <c r="A2867" s="16"/>
      <c r="B2867" s="17"/>
      <c r="C2867" s="24"/>
      <c r="D2867" s="44"/>
      <c r="E2867" s="19"/>
      <c r="F2867" s="35"/>
      <c r="G2867" s="20">
        <v>1899.0</v>
      </c>
      <c r="H2867" s="21"/>
      <c r="I2867" s="21"/>
      <c r="J2867" s="21"/>
      <c r="K2867" s="16"/>
      <c r="L2867" s="22"/>
      <c r="M2867" s="55"/>
      <c r="N2867" s="23" t="s">
        <v>200</v>
      </c>
      <c r="O2867" s="23" t="s">
        <v>200</v>
      </c>
      <c r="P2867" s="24"/>
      <c r="Q2867" s="23"/>
      <c r="R2867" s="25"/>
      <c r="S2867" s="26"/>
      <c r="T2867" s="16" t="b">
        <v>0</v>
      </c>
    </row>
    <row r="2868">
      <c r="A2868" s="4"/>
      <c r="B2868" s="5"/>
      <c r="C2868" s="13"/>
      <c r="D2868" s="39"/>
      <c r="E2868" s="7"/>
      <c r="F2868" s="34"/>
      <c r="G2868" s="8">
        <v>1899.0</v>
      </c>
      <c r="H2868" s="9"/>
      <c r="I2868" s="9"/>
      <c r="J2868" s="9"/>
      <c r="K2868" s="4"/>
      <c r="L2868" s="10"/>
      <c r="M2868" s="54"/>
      <c r="N2868" s="12" t="s">
        <v>200</v>
      </c>
      <c r="O2868" s="12" t="s">
        <v>200</v>
      </c>
      <c r="P2868" s="13"/>
      <c r="Q2868" s="12"/>
      <c r="R2868" s="14"/>
      <c r="S2868" s="15"/>
      <c r="T2868" s="4" t="b">
        <v>0</v>
      </c>
    </row>
    <row r="2869">
      <c r="A2869" s="16"/>
      <c r="B2869" s="17"/>
      <c r="C2869" s="24"/>
      <c r="D2869" s="44"/>
      <c r="E2869" s="19"/>
      <c r="F2869" s="35"/>
      <c r="G2869" s="20">
        <v>1899.0</v>
      </c>
      <c r="H2869" s="21"/>
      <c r="I2869" s="21"/>
      <c r="J2869" s="21"/>
      <c r="K2869" s="16"/>
      <c r="L2869" s="22"/>
      <c r="M2869" s="55"/>
      <c r="N2869" s="23" t="s">
        <v>200</v>
      </c>
      <c r="O2869" s="23" t="s">
        <v>200</v>
      </c>
      <c r="P2869" s="24"/>
      <c r="Q2869" s="23"/>
      <c r="R2869" s="25"/>
      <c r="S2869" s="26"/>
      <c r="T2869" s="16" t="b">
        <v>0</v>
      </c>
    </row>
    <row r="2870">
      <c r="A2870" s="4"/>
      <c r="B2870" s="5"/>
      <c r="C2870" s="13"/>
      <c r="D2870" s="39"/>
      <c r="E2870" s="7"/>
      <c r="F2870" s="34"/>
      <c r="G2870" s="8">
        <v>1899.0</v>
      </c>
      <c r="H2870" s="9"/>
      <c r="I2870" s="9"/>
      <c r="J2870" s="9"/>
      <c r="K2870" s="4"/>
      <c r="L2870" s="10"/>
      <c r="M2870" s="54"/>
      <c r="N2870" s="12" t="s">
        <v>200</v>
      </c>
      <c r="O2870" s="12" t="s">
        <v>200</v>
      </c>
      <c r="P2870" s="13"/>
      <c r="Q2870" s="12"/>
      <c r="R2870" s="14"/>
      <c r="S2870" s="15"/>
      <c r="T2870" s="4" t="b">
        <v>0</v>
      </c>
    </row>
    <row r="2871">
      <c r="A2871" s="16"/>
      <c r="B2871" s="17"/>
      <c r="C2871" s="24"/>
      <c r="D2871" s="44"/>
      <c r="E2871" s="19"/>
      <c r="F2871" s="35"/>
      <c r="G2871" s="20">
        <v>1899.0</v>
      </c>
      <c r="H2871" s="21"/>
      <c r="I2871" s="21"/>
      <c r="J2871" s="21"/>
      <c r="K2871" s="16"/>
      <c r="L2871" s="22"/>
      <c r="M2871" s="55"/>
      <c r="N2871" s="23" t="s">
        <v>200</v>
      </c>
      <c r="O2871" s="23" t="s">
        <v>200</v>
      </c>
      <c r="P2871" s="24"/>
      <c r="Q2871" s="23"/>
      <c r="R2871" s="25"/>
      <c r="S2871" s="26"/>
      <c r="T2871" s="16" t="b">
        <v>0</v>
      </c>
    </row>
    <row r="2872">
      <c r="A2872" s="4"/>
      <c r="B2872" s="5"/>
      <c r="C2872" s="13"/>
      <c r="D2872" s="39"/>
      <c r="E2872" s="7"/>
      <c r="F2872" s="34"/>
      <c r="G2872" s="8">
        <v>1899.0</v>
      </c>
      <c r="H2872" s="9"/>
      <c r="I2872" s="9"/>
      <c r="J2872" s="9"/>
      <c r="K2872" s="4"/>
      <c r="L2872" s="10"/>
      <c r="M2872" s="54"/>
      <c r="N2872" s="12" t="s">
        <v>200</v>
      </c>
      <c r="O2872" s="12" t="s">
        <v>200</v>
      </c>
      <c r="P2872" s="13"/>
      <c r="Q2872" s="12"/>
      <c r="R2872" s="14"/>
      <c r="S2872" s="15"/>
      <c r="T2872" s="4" t="b">
        <v>0</v>
      </c>
    </row>
    <row r="2873">
      <c r="A2873" s="16"/>
      <c r="B2873" s="17"/>
      <c r="C2873" s="24"/>
      <c r="D2873" s="44"/>
      <c r="E2873" s="19"/>
      <c r="F2873" s="35"/>
      <c r="G2873" s="20">
        <v>1899.0</v>
      </c>
      <c r="H2873" s="21"/>
      <c r="I2873" s="21"/>
      <c r="J2873" s="21"/>
      <c r="K2873" s="16"/>
      <c r="L2873" s="22"/>
      <c r="M2873" s="55"/>
      <c r="N2873" s="23" t="s">
        <v>200</v>
      </c>
      <c r="O2873" s="23" t="s">
        <v>200</v>
      </c>
      <c r="P2873" s="24"/>
      <c r="Q2873" s="23"/>
      <c r="R2873" s="25"/>
      <c r="S2873" s="26"/>
      <c r="T2873" s="16" t="b">
        <v>0</v>
      </c>
    </row>
    <row r="2874">
      <c r="A2874" s="4"/>
      <c r="B2874" s="5"/>
      <c r="C2874" s="13"/>
      <c r="D2874" s="39"/>
      <c r="E2874" s="7"/>
      <c r="F2874" s="34"/>
      <c r="G2874" s="8">
        <v>1899.0</v>
      </c>
      <c r="H2874" s="9"/>
      <c r="I2874" s="9"/>
      <c r="J2874" s="9"/>
      <c r="K2874" s="4"/>
      <c r="L2874" s="10"/>
      <c r="M2874" s="54"/>
      <c r="N2874" s="12" t="s">
        <v>200</v>
      </c>
      <c r="O2874" s="12" t="s">
        <v>200</v>
      </c>
      <c r="P2874" s="13"/>
      <c r="Q2874" s="12"/>
      <c r="R2874" s="14"/>
      <c r="S2874" s="15"/>
      <c r="T2874" s="4" t="b">
        <v>0</v>
      </c>
    </row>
    <row r="2875">
      <c r="A2875" s="16"/>
      <c r="B2875" s="17"/>
      <c r="C2875" s="24"/>
      <c r="D2875" s="44"/>
      <c r="E2875" s="19"/>
      <c r="F2875" s="35"/>
      <c r="G2875" s="20">
        <v>1899.0</v>
      </c>
      <c r="H2875" s="21"/>
      <c r="I2875" s="21"/>
      <c r="J2875" s="21"/>
      <c r="K2875" s="16"/>
      <c r="L2875" s="22"/>
      <c r="M2875" s="55"/>
      <c r="N2875" s="23" t="s">
        <v>200</v>
      </c>
      <c r="O2875" s="23" t="s">
        <v>200</v>
      </c>
      <c r="P2875" s="24"/>
      <c r="Q2875" s="23"/>
      <c r="R2875" s="25"/>
      <c r="S2875" s="26"/>
      <c r="T2875" s="16" t="b">
        <v>0</v>
      </c>
    </row>
    <row r="2876">
      <c r="A2876" s="4"/>
      <c r="B2876" s="5"/>
      <c r="C2876" s="13"/>
      <c r="D2876" s="39"/>
      <c r="E2876" s="7"/>
      <c r="F2876" s="34"/>
      <c r="G2876" s="8">
        <v>1899.0</v>
      </c>
      <c r="H2876" s="9"/>
      <c r="I2876" s="9"/>
      <c r="J2876" s="9"/>
      <c r="K2876" s="4"/>
      <c r="L2876" s="10"/>
      <c r="M2876" s="54"/>
      <c r="N2876" s="12" t="s">
        <v>200</v>
      </c>
      <c r="O2876" s="12" t="s">
        <v>200</v>
      </c>
      <c r="P2876" s="13"/>
      <c r="Q2876" s="12"/>
      <c r="R2876" s="14"/>
      <c r="S2876" s="15"/>
      <c r="T2876" s="4" t="b">
        <v>0</v>
      </c>
    </row>
    <row r="2877">
      <c r="A2877" s="16"/>
      <c r="B2877" s="17"/>
      <c r="C2877" s="24"/>
      <c r="D2877" s="44"/>
      <c r="E2877" s="19"/>
      <c r="F2877" s="35"/>
      <c r="G2877" s="20">
        <v>1899.0</v>
      </c>
      <c r="H2877" s="21"/>
      <c r="I2877" s="21"/>
      <c r="J2877" s="21"/>
      <c r="K2877" s="16"/>
      <c r="L2877" s="22"/>
      <c r="M2877" s="55"/>
      <c r="N2877" s="23" t="s">
        <v>200</v>
      </c>
      <c r="O2877" s="23" t="s">
        <v>200</v>
      </c>
      <c r="P2877" s="24"/>
      <c r="Q2877" s="23"/>
      <c r="R2877" s="25"/>
      <c r="S2877" s="26"/>
      <c r="T2877" s="16" t="b">
        <v>0</v>
      </c>
    </row>
    <row r="2878">
      <c r="A2878" s="4"/>
      <c r="B2878" s="5"/>
      <c r="C2878" s="13"/>
      <c r="D2878" s="39"/>
      <c r="E2878" s="7"/>
      <c r="F2878" s="34"/>
      <c r="G2878" s="8">
        <v>1899.0</v>
      </c>
      <c r="H2878" s="9"/>
      <c r="I2878" s="9"/>
      <c r="J2878" s="9"/>
      <c r="K2878" s="4"/>
      <c r="L2878" s="10"/>
      <c r="M2878" s="54"/>
      <c r="N2878" s="12" t="s">
        <v>200</v>
      </c>
      <c r="O2878" s="12" t="s">
        <v>200</v>
      </c>
      <c r="P2878" s="13"/>
      <c r="Q2878" s="12"/>
      <c r="R2878" s="14"/>
      <c r="S2878" s="15"/>
      <c r="T2878" s="4" t="b">
        <v>0</v>
      </c>
    </row>
    <row r="2879">
      <c r="A2879" s="16"/>
      <c r="B2879" s="17"/>
      <c r="C2879" s="24"/>
      <c r="D2879" s="44"/>
      <c r="E2879" s="19"/>
      <c r="F2879" s="35"/>
      <c r="G2879" s="20">
        <v>1899.0</v>
      </c>
      <c r="H2879" s="21"/>
      <c r="I2879" s="21"/>
      <c r="J2879" s="21"/>
      <c r="K2879" s="16"/>
      <c r="L2879" s="22"/>
      <c r="M2879" s="55"/>
      <c r="N2879" s="23" t="s">
        <v>200</v>
      </c>
      <c r="O2879" s="23" t="s">
        <v>200</v>
      </c>
      <c r="P2879" s="24"/>
      <c r="Q2879" s="23"/>
      <c r="R2879" s="25"/>
      <c r="S2879" s="26"/>
      <c r="T2879" s="16" t="b">
        <v>0</v>
      </c>
    </row>
    <row r="2880">
      <c r="A2880" s="4"/>
      <c r="B2880" s="5"/>
      <c r="C2880" s="13"/>
      <c r="D2880" s="39"/>
      <c r="E2880" s="7"/>
      <c r="F2880" s="34"/>
      <c r="G2880" s="8">
        <v>1899.0</v>
      </c>
      <c r="H2880" s="9"/>
      <c r="I2880" s="9"/>
      <c r="J2880" s="9"/>
      <c r="K2880" s="4"/>
      <c r="L2880" s="10"/>
      <c r="M2880" s="54"/>
      <c r="N2880" s="12" t="s">
        <v>200</v>
      </c>
      <c r="O2880" s="12" t="s">
        <v>200</v>
      </c>
      <c r="P2880" s="13"/>
      <c r="Q2880" s="12"/>
      <c r="R2880" s="14"/>
      <c r="S2880" s="15"/>
      <c r="T2880" s="4" t="b">
        <v>0</v>
      </c>
    </row>
    <row r="2881">
      <c r="A2881" s="16"/>
      <c r="B2881" s="17"/>
      <c r="C2881" s="24"/>
      <c r="D2881" s="44"/>
      <c r="E2881" s="19"/>
      <c r="F2881" s="35"/>
      <c r="G2881" s="20">
        <v>1899.0</v>
      </c>
      <c r="H2881" s="21"/>
      <c r="I2881" s="21"/>
      <c r="J2881" s="21"/>
      <c r="K2881" s="16"/>
      <c r="L2881" s="22"/>
      <c r="M2881" s="55"/>
      <c r="N2881" s="23" t="s">
        <v>200</v>
      </c>
      <c r="O2881" s="23" t="s">
        <v>200</v>
      </c>
      <c r="P2881" s="24"/>
      <c r="Q2881" s="23"/>
      <c r="R2881" s="25"/>
      <c r="S2881" s="26"/>
      <c r="T2881" s="16" t="b">
        <v>0</v>
      </c>
    </row>
    <row r="2882">
      <c r="A2882" s="4"/>
      <c r="B2882" s="5"/>
      <c r="C2882" s="13"/>
      <c r="D2882" s="39"/>
      <c r="E2882" s="7"/>
      <c r="F2882" s="34"/>
      <c r="G2882" s="8">
        <v>1899.0</v>
      </c>
      <c r="H2882" s="9"/>
      <c r="I2882" s="9"/>
      <c r="J2882" s="9"/>
      <c r="K2882" s="4"/>
      <c r="L2882" s="10"/>
      <c r="M2882" s="54"/>
      <c r="N2882" s="12" t="s">
        <v>200</v>
      </c>
      <c r="O2882" s="12" t="s">
        <v>200</v>
      </c>
      <c r="P2882" s="13"/>
      <c r="Q2882" s="12"/>
      <c r="R2882" s="14"/>
      <c r="S2882" s="15"/>
      <c r="T2882" s="4" t="b">
        <v>0</v>
      </c>
    </row>
    <row r="2883">
      <c r="A2883" s="16"/>
      <c r="B2883" s="17"/>
      <c r="C2883" s="24"/>
      <c r="D2883" s="44"/>
      <c r="E2883" s="19"/>
      <c r="F2883" s="35"/>
      <c r="G2883" s="20">
        <v>1899.0</v>
      </c>
      <c r="H2883" s="21"/>
      <c r="I2883" s="21"/>
      <c r="J2883" s="21"/>
      <c r="K2883" s="16"/>
      <c r="L2883" s="22"/>
      <c r="M2883" s="55"/>
      <c r="N2883" s="23" t="s">
        <v>200</v>
      </c>
      <c r="O2883" s="23" t="s">
        <v>200</v>
      </c>
      <c r="P2883" s="24"/>
      <c r="Q2883" s="23"/>
      <c r="R2883" s="25"/>
      <c r="S2883" s="26"/>
      <c r="T2883" s="16" t="b">
        <v>0</v>
      </c>
    </row>
    <row r="2884">
      <c r="A2884" s="4"/>
      <c r="B2884" s="5"/>
      <c r="C2884" s="13"/>
      <c r="D2884" s="39"/>
      <c r="E2884" s="7"/>
      <c r="F2884" s="34"/>
      <c r="G2884" s="8">
        <v>1899.0</v>
      </c>
      <c r="H2884" s="9"/>
      <c r="I2884" s="9"/>
      <c r="J2884" s="9"/>
      <c r="K2884" s="4"/>
      <c r="L2884" s="10"/>
      <c r="M2884" s="54"/>
      <c r="N2884" s="12" t="s">
        <v>200</v>
      </c>
      <c r="O2884" s="12" t="s">
        <v>200</v>
      </c>
      <c r="P2884" s="13"/>
      <c r="Q2884" s="12"/>
      <c r="R2884" s="14"/>
      <c r="S2884" s="15"/>
      <c r="T2884" s="4" t="b">
        <v>0</v>
      </c>
    </row>
    <row r="2885">
      <c r="A2885" s="16"/>
      <c r="B2885" s="17"/>
      <c r="C2885" s="24"/>
      <c r="D2885" s="44"/>
      <c r="E2885" s="19"/>
      <c r="F2885" s="35"/>
      <c r="G2885" s="20">
        <v>1899.0</v>
      </c>
      <c r="H2885" s="21"/>
      <c r="I2885" s="21"/>
      <c r="J2885" s="21"/>
      <c r="K2885" s="16"/>
      <c r="L2885" s="22"/>
      <c r="M2885" s="55"/>
      <c r="N2885" s="23" t="s">
        <v>200</v>
      </c>
      <c r="O2885" s="23" t="s">
        <v>200</v>
      </c>
      <c r="P2885" s="24"/>
      <c r="Q2885" s="23"/>
      <c r="R2885" s="25"/>
      <c r="S2885" s="26"/>
      <c r="T2885" s="16" t="b">
        <v>0</v>
      </c>
    </row>
    <row r="2886">
      <c r="A2886" s="4"/>
      <c r="B2886" s="5"/>
      <c r="C2886" s="13"/>
      <c r="D2886" s="39"/>
      <c r="E2886" s="7"/>
      <c r="F2886" s="34"/>
      <c r="G2886" s="8">
        <v>1899.0</v>
      </c>
      <c r="H2886" s="9"/>
      <c r="I2886" s="9"/>
      <c r="J2886" s="9"/>
      <c r="K2886" s="4"/>
      <c r="L2886" s="10"/>
      <c r="M2886" s="54"/>
      <c r="N2886" s="12" t="s">
        <v>200</v>
      </c>
      <c r="O2886" s="12" t="s">
        <v>200</v>
      </c>
      <c r="P2886" s="13"/>
      <c r="Q2886" s="12"/>
      <c r="R2886" s="14"/>
      <c r="S2886" s="15"/>
      <c r="T2886" s="4" t="b">
        <v>0</v>
      </c>
    </row>
    <row r="2887">
      <c r="A2887" s="16"/>
      <c r="B2887" s="17"/>
      <c r="C2887" s="24"/>
      <c r="D2887" s="44"/>
      <c r="E2887" s="19"/>
      <c r="F2887" s="35"/>
      <c r="G2887" s="20">
        <v>1899.0</v>
      </c>
      <c r="H2887" s="21"/>
      <c r="I2887" s="21"/>
      <c r="J2887" s="21"/>
      <c r="K2887" s="16"/>
      <c r="L2887" s="22"/>
      <c r="M2887" s="55"/>
      <c r="N2887" s="23" t="s">
        <v>200</v>
      </c>
      <c r="O2887" s="23" t="s">
        <v>200</v>
      </c>
      <c r="P2887" s="24"/>
      <c r="Q2887" s="23"/>
      <c r="R2887" s="25"/>
      <c r="S2887" s="26"/>
      <c r="T2887" s="16" t="b">
        <v>0</v>
      </c>
    </row>
    <row r="2888">
      <c r="A2888" s="4"/>
      <c r="B2888" s="5"/>
      <c r="C2888" s="13"/>
      <c r="D2888" s="39"/>
      <c r="E2888" s="7"/>
      <c r="F2888" s="34"/>
      <c r="G2888" s="8">
        <v>1899.0</v>
      </c>
      <c r="H2888" s="9"/>
      <c r="I2888" s="9"/>
      <c r="J2888" s="9"/>
      <c r="K2888" s="4"/>
      <c r="L2888" s="10"/>
      <c r="M2888" s="54"/>
      <c r="N2888" s="12" t="s">
        <v>200</v>
      </c>
      <c r="O2888" s="12" t="s">
        <v>200</v>
      </c>
      <c r="P2888" s="13"/>
      <c r="Q2888" s="12"/>
      <c r="R2888" s="14"/>
      <c r="S2888" s="15"/>
      <c r="T2888" s="4" t="b">
        <v>0</v>
      </c>
    </row>
    <row r="2889">
      <c r="A2889" s="16"/>
      <c r="B2889" s="17"/>
      <c r="C2889" s="24"/>
      <c r="D2889" s="44"/>
      <c r="E2889" s="19"/>
      <c r="F2889" s="35"/>
      <c r="G2889" s="20">
        <v>1899.0</v>
      </c>
      <c r="H2889" s="21"/>
      <c r="I2889" s="21"/>
      <c r="J2889" s="21"/>
      <c r="K2889" s="16"/>
      <c r="L2889" s="22"/>
      <c r="M2889" s="55"/>
      <c r="N2889" s="23" t="s">
        <v>200</v>
      </c>
      <c r="O2889" s="23" t="s">
        <v>200</v>
      </c>
      <c r="P2889" s="24"/>
      <c r="Q2889" s="23"/>
      <c r="R2889" s="25"/>
      <c r="S2889" s="26"/>
      <c r="T2889" s="16" t="b">
        <v>0</v>
      </c>
    </row>
    <row r="2890">
      <c r="A2890" s="4"/>
      <c r="B2890" s="5"/>
      <c r="C2890" s="13"/>
      <c r="D2890" s="39"/>
      <c r="E2890" s="7"/>
      <c r="F2890" s="34"/>
      <c r="G2890" s="8">
        <v>1899.0</v>
      </c>
      <c r="H2890" s="9"/>
      <c r="I2890" s="9"/>
      <c r="J2890" s="9"/>
      <c r="K2890" s="4"/>
      <c r="L2890" s="10"/>
      <c r="M2890" s="54"/>
      <c r="N2890" s="12" t="s">
        <v>200</v>
      </c>
      <c r="O2890" s="12" t="s">
        <v>200</v>
      </c>
      <c r="P2890" s="13"/>
      <c r="Q2890" s="12"/>
      <c r="R2890" s="14"/>
      <c r="S2890" s="15"/>
      <c r="T2890" s="4" t="b">
        <v>0</v>
      </c>
    </row>
    <row r="2891">
      <c r="A2891" s="16"/>
      <c r="B2891" s="17"/>
      <c r="C2891" s="24"/>
      <c r="D2891" s="44"/>
      <c r="E2891" s="19"/>
      <c r="F2891" s="35"/>
      <c r="G2891" s="20">
        <v>1899.0</v>
      </c>
      <c r="H2891" s="21"/>
      <c r="I2891" s="21"/>
      <c r="J2891" s="21"/>
      <c r="K2891" s="16"/>
      <c r="L2891" s="22"/>
      <c r="M2891" s="55"/>
      <c r="N2891" s="23" t="s">
        <v>200</v>
      </c>
      <c r="O2891" s="23" t="s">
        <v>200</v>
      </c>
      <c r="P2891" s="24"/>
      <c r="Q2891" s="23"/>
      <c r="R2891" s="25"/>
      <c r="S2891" s="26"/>
      <c r="T2891" s="16" t="b">
        <v>0</v>
      </c>
    </row>
    <row r="2892">
      <c r="A2892" s="4"/>
      <c r="B2892" s="5"/>
      <c r="C2892" s="13"/>
      <c r="D2892" s="39"/>
      <c r="E2892" s="7"/>
      <c r="F2892" s="34"/>
      <c r="G2892" s="8">
        <v>1899.0</v>
      </c>
      <c r="H2892" s="9"/>
      <c r="I2892" s="9"/>
      <c r="J2892" s="9"/>
      <c r="K2892" s="4"/>
      <c r="L2892" s="10"/>
      <c r="M2892" s="54"/>
      <c r="N2892" s="12" t="s">
        <v>200</v>
      </c>
      <c r="O2892" s="12" t="s">
        <v>200</v>
      </c>
      <c r="P2892" s="13"/>
      <c r="Q2892" s="12"/>
      <c r="R2892" s="14"/>
      <c r="S2892" s="15"/>
      <c r="T2892" s="4" t="b">
        <v>0</v>
      </c>
    </row>
    <row r="2893">
      <c r="A2893" s="16"/>
      <c r="B2893" s="17"/>
      <c r="C2893" s="24"/>
      <c r="D2893" s="44"/>
      <c r="E2893" s="19"/>
      <c r="F2893" s="35"/>
      <c r="G2893" s="20">
        <v>1899.0</v>
      </c>
      <c r="H2893" s="21"/>
      <c r="I2893" s="21"/>
      <c r="J2893" s="21"/>
      <c r="K2893" s="16"/>
      <c r="L2893" s="22"/>
      <c r="M2893" s="55"/>
      <c r="N2893" s="23" t="s">
        <v>200</v>
      </c>
      <c r="O2893" s="23" t="s">
        <v>200</v>
      </c>
      <c r="P2893" s="24"/>
      <c r="Q2893" s="23"/>
      <c r="R2893" s="25"/>
      <c r="S2893" s="26"/>
      <c r="T2893" s="16" t="b">
        <v>0</v>
      </c>
    </row>
    <row r="2894">
      <c r="A2894" s="4"/>
      <c r="B2894" s="5"/>
      <c r="C2894" s="13"/>
      <c r="D2894" s="39"/>
      <c r="E2894" s="7"/>
      <c r="F2894" s="34"/>
      <c r="G2894" s="8">
        <v>1899.0</v>
      </c>
      <c r="H2894" s="9"/>
      <c r="I2894" s="9"/>
      <c r="J2894" s="9"/>
      <c r="K2894" s="4"/>
      <c r="L2894" s="10"/>
      <c r="M2894" s="54"/>
      <c r="N2894" s="12" t="s">
        <v>200</v>
      </c>
      <c r="O2894" s="12" t="s">
        <v>200</v>
      </c>
      <c r="P2894" s="13"/>
      <c r="Q2894" s="12"/>
      <c r="R2894" s="14"/>
      <c r="S2894" s="15"/>
      <c r="T2894" s="4" t="b">
        <v>0</v>
      </c>
    </row>
    <row r="2895">
      <c r="A2895" s="16"/>
      <c r="B2895" s="17"/>
      <c r="C2895" s="24"/>
      <c r="D2895" s="44"/>
      <c r="E2895" s="19"/>
      <c r="F2895" s="35"/>
      <c r="G2895" s="20">
        <v>1899.0</v>
      </c>
      <c r="H2895" s="21"/>
      <c r="I2895" s="21"/>
      <c r="J2895" s="21"/>
      <c r="K2895" s="16"/>
      <c r="L2895" s="22"/>
      <c r="M2895" s="55"/>
      <c r="N2895" s="23" t="s">
        <v>200</v>
      </c>
      <c r="O2895" s="23" t="s">
        <v>200</v>
      </c>
      <c r="P2895" s="24"/>
      <c r="Q2895" s="23"/>
      <c r="R2895" s="25"/>
      <c r="S2895" s="26"/>
      <c r="T2895" s="16" t="b">
        <v>0</v>
      </c>
    </row>
    <row r="2896">
      <c r="A2896" s="4"/>
      <c r="B2896" s="5"/>
      <c r="C2896" s="13"/>
      <c r="D2896" s="39"/>
      <c r="E2896" s="7"/>
      <c r="F2896" s="34"/>
      <c r="G2896" s="8">
        <v>1899.0</v>
      </c>
      <c r="H2896" s="9"/>
      <c r="I2896" s="9"/>
      <c r="J2896" s="9"/>
      <c r="K2896" s="4"/>
      <c r="L2896" s="10"/>
      <c r="M2896" s="54"/>
      <c r="N2896" s="12" t="s">
        <v>200</v>
      </c>
      <c r="O2896" s="12" t="s">
        <v>200</v>
      </c>
      <c r="P2896" s="13"/>
      <c r="Q2896" s="12"/>
      <c r="R2896" s="14"/>
      <c r="S2896" s="15"/>
      <c r="T2896" s="4" t="b">
        <v>0</v>
      </c>
    </row>
    <row r="2897">
      <c r="A2897" s="16"/>
      <c r="B2897" s="17"/>
      <c r="C2897" s="24"/>
      <c r="D2897" s="44"/>
      <c r="E2897" s="19"/>
      <c r="F2897" s="35"/>
      <c r="G2897" s="20">
        <v>1899.0</v>
      </c>
      <c r="H2897" s="21"/>
      <c r="I2897" s="21"/>
      <c r="J2897" s="21"/>
      <c r="K2897" s="16"/>
      <c r="L2897" s="22"/>
      <c r="M2897" s="55"/>
      <c r="N2897" s="23" t="s">
        <v>200</v>
      </c>
      <c r="O2897" s="23" t="s">
        <v>200</v>
      </c>
      <c r="P2897" s="24"/>
      <c r="Q2897" s="23"/>
      <c r="R2897" s="25"/>
      <c r="S2897" s="26"/>
      <c r="T2897" s="16" t="b">
        <v>0</v>
      </c>
    </row>
    <row r="2898">
      <c r="A2898" s="4"/>
      <c r="B2898" s="5"/>
      <c r="C2898" s="13"/>
      <c r="D2898" s="39"/>
      <c r="E2898" s="7"/>
      <c r="F2898" s="34"/>
      <c r="G2898" s="8">
        <v>1899.0</v>
      </c>
      <c r="H2898" s="9"/>
      <c r="I2898" s="9"/>
      <c r="J2898" s="9"/>
      <c r="K2898" s="4"/>
      <c r="L2898" s="10"/>
      <c r="M2898" s="54"/>
      <c r="N2898" s="12" t="s">
        <v>200</v>
      </c>
      <c r="O2898" s="12" t="s">
        <v>200</v>
      </c>
      <c r="P2898" s="13"/>
      <c r="Q2898" s="12"/>
      <c r="R2898" s="14"/>
      <c r="S2898" s="15"/>
      <c r="T2898" s="4" t="b">
        <v>0</v>
      </c>
    </row>
    <row r="2899">
      <c r="A2899" s="16"/>
      <c r="B2899" s="17"/>
      <c r="C2899" s="24"/>
      <c r="D2899" s="44"/>
      <c r="E2899" s="19"/>
      <c r="F2899" s="35"/>
      <c r="G2899" s="20">
        <v>1899.0</v>
      </c>
      <c r="H2899" s="21"/>
      <c r="I2899" s="21"/>
      <c r="J2899" s="21"/>
      <c r="K2899" s="16"/>
      <c r="L2899" s="22"/>
      <c r="M2899" s="55"/>
      <c r="N2899" s="23" t="s">
        <v>200</v>
      </c>
      <c r="O2899" s="23" t="s">
        <v>200</v>
      </c>
      <c r="P2899" s="24"/>
      <c r="Q2899" s="23"/>
      <c r="R2899" s="25"/>
      <c r="S2899" s="26"/>
      <c r="T2899" s="16" t="b">
        <v>0</v>
      </c>
    </row>
    <row r="2900">
      <c r="A2900" s="4"/>
      <c r="B2900" s="5"/>
      <c r="C2900" s="13"/>
      <c r="D2900" s="39"/>
      <c r="E2900" s="7"/>
      <c r="F2900" s="34"/>
      <c r="G2900" s="8">
        <v>1899.0</v>
      </c>
      <c r="H2900" s="9"/>
      <c r="I2900" s="9"/>
      <c r="J2900" s="9"/>
      <c r="K2900" s="4"/>
      <c r="L2900" s="10"/>
      <c r="M2900" s="54"/>
      <c r="N2900" s="12" t="s">
        <v>200</v>
      </c>
      <c r="O2900" s="12" t="s">
        <v>200</v>
      </c>
      <c r="P2900" s="13"/>
      <c r="Q2900" s="12"/>
      <c r="R2900" s="14"/>
      <c r="S2900" s="15"/>
      <c r="T2900" s="4" t="b">
        <v>0</v>
      </c>
    </row>
    <row r="2901">
      <c r="A2901" s="16"/>
      <c r="B2901" s="17"/>
      <c r="C2901" s="24"/>
      <c r="D2901" s="44"/>
      <c r="E2901" s="19"/>
      <c r="F2901" s="35"/>
      <c r="G2901" s="20">
        <v>1899.0</v>
      </c>
      <c r="H2901" s="21"/>
      <c r="I2901" s="21"/>
      <c r="J2901" s="21"/>
      <c r="K2901" s="16"/>
      <c r="L2901" s="22"/>
      <c r="M2901" s="55"/>
      <c r="N2901" s="23" t="s">
        <v>200</v>
      </c>
      <c r="O2901" s="23" t="s">
        <v>200</v>
      </c>
      <c r="P2901" s="24"/>
      <c r="Q2901" s="23"/>
      <c r="R2901" s="25"/>
      <c r="S2901" s="26"/>
      <c r="T2901" s="16" t="b">
        <v>0</v>
      </c>
    </row>
    <row r="2902">
      <c r="A2902" s="4"/>
      <c r="B2902" s="5"/>
      <c r="C2902" s="13"/>
      <c r="D2902" s="39"/>
      <c r="E2902" s="7"/>
      <c r="F2902" s="34"/>
      <c r="G2902" s="8">
        <v>1899.0</v>
      </c>
      <c r="H2902" s="9"/>
      <c r="I2902" s="9"/>
      <c r="J2902" s="9"/>
      <c r="K2902" s="4"/>
      <c r="L2902" s="10"/>
      <c r="M2902" s="54"/>
      <c r="N2902" s="12" t="s">
        <v>200</v>
      </c>
      <c r="O2902" s="12" t="s">
        <v>200</v>
      </c>
      <c r="P2902" s="13"/>
      <c r="Q2902" s="12"/>
      <c r="R2902" s="14"/>
      <c r="S2902" s="15"/>
      <c r="T2902" s="4" t="b">
        <v>0</v>
      </c>
    </row>
    <row r="2903">
      <c r="A2903" s="16"/>
      <c r="B2903" s="17"/>
      <c r="C2903" s="24"/>
      <c r="D2903" s="44"/>
      <c r="E2903" s="19"/>
      <c r="F2903" s="35"/>
      <c r="G2903" s="20">
        <v>1899.0</v>
      </c>
      <c r="H2903" s="21"/>
      <c r="I2903" s="21"/>
      <c r="J2903" s="21"/>
      <c r="K2903" s="16"/>
      <c r="L2903" s="22"/>
      <c r="M2903" s="55"/>
      <c r="N2903" s="23" t="s">
        <v>200</v>
      </c>
      <c r="O2903" s="23" t="s">
        <v>200</v>
      </c>
      <c r="P2903" s="24"/>
      <c r="Q2903" s="23"/>
      <c r="R2903" s="25"/>
      <c r="S2903" s="26"/>
      <c r="T2903" s="16" t="b">
        <v>0</v>
      </c>
    </row>
    <row r="2904">
      <c r="A2904" s="4"/>
      <c r="B2904" s="5"/>
      <c r="C2904" s="13"/>
      <c r="D2904" s="39"/>
      <c r="E2904" s="7"/>
      <c r="F2904" s="34"/>
      <c r="G2904" s="8">
        <v>1899.0</v>
      </c>
      <c r="H2904" s="9"/>
      <c r="I2904" s="9"/>
      <c r="J2904" s="9"/>
      <c r="K2904" s="4"/>
      <c r="L2904" s="10"/>
      <c r="M2904" s="54"/>
      <c r="N2904" s="12" t="s">
        <v>200</v>
      </c>
      <c r="O2904" s="12" t="s">
        <v>200</v>
      </c>
      <c r="P2904" s="13"/>
      <c r="Q2904" s="12"/>
      <c r="R2904" s="14"/>
      <c r="S2904" s="15"/>
      <c r="T2904" s="4" t="b">
        <v>0</v>
      </c>
    </row>
    <row r="2905">
      <c r="A2905" s="16"/>
      <c r="B2905" s="17"/>
      <c r="C2905" s="24"/>
      <c r="D2905" s="44"/>
      <c r="E2905" s="19"/>
      <c r="F2905" s="35"/>
      <c r="G2905" s="20">
        <v>1899.0</v>
      </c>
      <c r="H2905" s="21"/>
      <c r="I2905" s="21"/>
      <c r="J2905" s="21"/>
      <c r="K2905" s="16"/>
      <c r="L2905" s="22"/>
      <c r="M2905" s="55"/>
      <c r="N2905" s="23" t="s">
        <v>200</v>
      </c>
      <c r="O2905" s="23" t="s">
        <v>200</v>
      </c>
      <c r="P2905" s="24"/>
      <c r="Q2905" s="23"/>
      <c r="R2905" s="25"/>
      <c r="S2905" s="26"/>
      <c r="T2905" s="16" t="b">
        <v>0</v>
      </c>
    </row>
    <row r="2906">
      <c r="A2906" s="4"/>
      <c r="B2906" s="5"/>
      <c r="C2906" s="13"/>
      <c r="D2906" s="39"/>
      <c r="E2906" s="7"/>
      <c r="F2906" s="34"/>
      <c r="G2906" s="8">
        <v>1899.0</v>
      </c>
      <c r="H2906" s="9"/>
      <c r="I2906" s="9"/>
      <c r="J2906" s="9"/>
      <c r="K2906" s="4"/>
      <c r="L2906" s="10"/>
      <c r="M2906" s="54"/>
      <c r="N2906" s="12" t="s">
        <v>200</v>
      </c>
      <c r="O2906" s="12" t="s">
        <v>200</v>
      </c>
      <c r="P2906" s="13"/>
      <c r="Q2906" s="12"/>
      <c r="R2906" s="14"/>
      <c r="S2906" s="15"/>
      <c r="T2906" s="4" t="b">
        <v>0</v>
      </c>
    </row>
    <row r="2907">
      <c r="A2907" s="16"/>
      <c r="B2907" s="17"/>
      <c r="C2907" s="24"/>
      <c r="D2907" s="44"/>
      <c r="E2907" s="19"/>
      <c r="F2907" s="35"/>
      <c r="G2907" s="20">
        <v>1899.0</v>
      </c>
      <c r="H2907" s="21"/>
      <c r="I2907" s="21"/>
      <c r="J2907" s="21"/>
      <c r="K2907" s="16"/>
      <c r="L2907" s="22"/>
      <c r="M2907" s="55"/>
      <c r="N2907" s="23" t="s">
        <v>200</v>
      </c>
      <c r="O2907" s="23" t="s">
        <v>200</v>
      </c>
      <c r="P2907" s="24"/>
      <c r="Q2907" s="23"/>
      <c r="R2907" s="25"/>
      <c r="S2907" s="26"/>
      <c r="T2907" s="16" t="b">
        <v>0</v>
      </c>
    </row>
    <row r="2908">
      <c r="A2908" s="4"/>
      <c r="B2908" s="5"/>
      <c r="C2908" s="13"/>
      <c r="D2908" s="39"/>
      <c r="E2908" s="7"/>
      <c r="F2908" s="34"/>
      <c r="G2908" s="8">
        <v>1899.0</v>
      </c>
      <c r="H2908" s="9"/>
      <c r="I2908" s="9"/>
      <c r="J2908" s="9"/>
      <c r="K2908" s="4"/>
      <c r="L2908" s="10"/>
      <c r="M2908" s="54"/>
      <c r="N2908" s="12" t="s">
        <v>200</v>
      </c>
      <c r="O2908" s="12" t="s">
        <v>200</v>
      </c>
      <c r="P2908" s="13"/>
      <c r="Q2908" s="12"/>
      <c r="R2908" s="14"/>
      <c r="S2908" s="15"/>
      <c r="T2908" s="4" t="b">
        <v>0</v>
      </c>
    </row>
    <row r="2909">
      <c r="A2909" s="16"/>
      <c r="B2909" s="17"/>
      <c r="C2909" s="24"/>
      <c r="D2909" s="44"/>
      <c r="E2909" s="19"/>
      <c r="F2909" s="35"/>
      <c r="G2909" s="20">
        <v>1899.0</v>
      </c>
      <c r="H2909" s="21"/>
      <c r="I2909" s="21"/>
      <c r="J2909" s="21"/>
      <c r="K2909" s="16"/>
      <c r="L2909" s="22"/>
      <c r="M2909" s="55"/>
      <c r="N2909" s="23" t="s">
        <v>200</v>
      </c>
      <c r="O2909" s="23" t="s">
        <v>200</v>
      </c>
      <c r="P2909" s="24"/>
      <c r="Q2909" s="23"/>
      <c r="R2909" s="25"/>
      <c r="S2909" s="26"/>
      <c r="T2909" s="16" t="b">
        <v>0</v>
      </c>
    </row>
    <row r="2910">
      <c r="A2910" s="4"/>
      <c r="B2910" s="5"/>
      <c r="C2910" s="13"/>
      <c r="D2910" s="39"/>
      <c r="E2910" s="7"/>
      <c r="F2910" s="34"/>
      <c r="G2910" s="8">
        <v>1899.0</v>
      </c>
      <c r="H2910" s="9"/>
      <c r="I2910" s="9"/>
      <c r="J2910" s="9"/>
      <c r="K2910" s="4"/>
      <c r="L2910" s="10"/>
      <c r="M2910" s="54"/>
      <c r="N2910" s="12" t="s">
        <v>200</v>
      </c>
      <c r="O2910" s="12" t="s">
        <v>200</v>
      </c>
      <c r="P2910" s="13"/>
      <c r="Q2910" s="12"/>
      <c r="R2910" s="14"/>
      <c r="S2910" s="15"/>
      <c r="T2910" s="4" t="b">
        <v>0</v>
      </c>
    </row>
    <row r="2911">
      <c r="A2911" s="16"/>
      <c r="B2911" s="17"/>
      <c r="C2911" s="24"/>
      <c r="D2911" s="44"/>
      <c r="E2911" s="19"/>
      <c r="F2911" s="35"/>
      <c r="G2911" s="20">
        <v>1899.0</v>
      </c>
      <c r="H2911" s="21"/>
      <c r="I2911" s="21"/>
      <c r="J2911" s="21"/>
      <c r="K2911" s="16"/>
      <c r="L2911" s="22"/>
      <c r="M2911" s="55"/>
      <c r="N2911" s="23" t="s">
        <v>200</v>
      </c>
      <c r="O2911" s="23" t="s">
        <v>200</v>
      </c>
      <c r="P2911" s="24"/>
      <c r="Q2911" s="23"/>
      <c r="R2911" s="25"/>
      <c r="S2911" s="26"/>
      <c r="T2911" s="16" t="b">
        <v>0</v>
      </c>
    </row>
    <row r="2912">
      <c r="A2912" s="4"/>
      <c r="B2912" s="5"/>
      <c r="C2912" s="13"/>
      <c r="D2912" s="39"/>
      <c r="E2912" s="7"/>
      <c r="F2912" s="34"/>
      <c r="G2912" s="8">
        <v>1899.0</v>
      </c>
      <c r="H2912" s="9"/>
      <c r="I2912" s="9"/>
      <c r="J2912" s="9"/>
      <c r="K2912" s="4"/>
      <c r="L2912" s="10"/>
      <c r="M2912" s="54"/>
      <c r="N2912" s="12" t="s">
        <v>200</v>
      </c>
      <c r="O2912" s="12" t="s">
        <v>200</v>
      </c>
      <c r="P2912" s="13"/>
      <c r="Q2912" s="12"/>
      <c r="R2912" s="14"/>
      <c r="S2912" s="15"/>
      <c r="T2912" s="4" t="b">
        <v>0</v>
      </c>
    </row>
    <row r="2913">
      <c r="A2913" s="16"/>
      <c r="B2913" s="17"/>
      <c r="C2913" s="24"/>
      <c r="D2913" s="44"/>
      <c r="E2913" s="19"/>
      <c r="F2913" s="35"/>
      <c r="G2913" s="20">
        <v>1899.0</v>
      </c>
      <c r="H2913" s="21"/>
      <c r="I2913" s="21"/>
      <c r="J2913" s="21"/>
      <c r="K2913" s="16"/>
      <c r="L2913" s="22"/>
      <c r="M2913" s="55"/>
      <c r="N2913" s="23" t="s">
        <v>200</v>
      </c>
      <c r="O2913" s="23" t="s">
        <v>200</v>
      </c>
      <c r="P2913" s="24"/>
      <c r="Q2913" s="23"/>
      <c r="R2913" s="25"/>
      <c r="S2913" s="26"/>
      <c r="T2913" s="16" t="b">
        <v>0</v>
      </c>
    </row>
    <row r="2914">
      <c r="A2914" s="4"/>
      <c r="B2914" s="5"/>
      <c r="C2914" s="13"/>
      <c r="D2914" s="39"/>
      <c r="E2914" s="7"/>
      <c r="F2914" s="34"/>
      <c r="G2914" s="8">
        <v>1899.0</v>
      </c>
      <c r="H2914" s="9"/>
      <c r="I2914" s="9"/>
      <c r="J2914" s="9"/>
      <c r="K2914" s="4"/>
      <c r="L2914" s="10"/>
      <c r="M2914" s="54"/>
      <c r="N2914" s="12" t="s">
        <v>200</v>
      </c>
      <c r="O2914" s="12" t="s">
        <v>200</v>
      </c>
      <c r="P2914" s="13"/>
      <c r="Q2914" s="12"/>
      <c r="R2914" s="14"/>
      <c r="S2914" s="15"/>
      <c r="T2914" s="4" t="b">
        <v>0</v>
      </c>
    </row>
    <row r="2915">
      <c r="A2915" s="16"/>
      <c r="B2915" s="17"/>
      <c r="C2915" s="24"/>
      <c r="D2915" s="44"/>
      <c r="E2915" s="19"/>
      <c r="F2915" s="35"/>
      <c r="G2915" s="20">
        <v>1899.0</v>
      </c>
      <c r="H2915" s="21"/>
      <c r="I2915" s="21"/>
      <c r="J2915" s="21"/>
      <c r="K2915" s="16"/>
      <c r="L2915" s="22"/>
      <c r="M2915" s="55"/>
      <c r="N2915" s="23" t="s">
        <v>200</v>
      </c>
      <c r="O2915" s="23" t="s">
        <v>200</v>
      </c>
      <c r="P2915" s="24"/>
      <c r="Q2915" s="23"/>
      <c r="R2915" s="25"/>
      <c r="S2915" s="26"/>
      <c r="T2915" s="16" t="b">
        <v>0</v>
      </c>
    </row>
    <row r="2916">
      <c r="A2916" s="4"/>
      <c r="B2916" s="5"/>
      <c r="C2916" s="13"/>
      <c r="D2916" s="39"/>
      <c r="E2916" s="7"/>
      <c r="F2916" s="34"/>
      <c r="G2916" s="8">
        <v>1899.0</v>
      </c>
      <c r="H2916" s="9"/>
      <c r="I2916" s="9"/>
      <c r="J2916" s="9"/>
      <c r="K2916" s="4"/>
      <c r="L2916" s="10"/>
      <c r="M2916" s="54"/>
      <c r="N2916" s="12" t="s">
        <v>200</v>
      </c>
      <c r="O2916" s="12" t="s">
        <v>200</v>
      </c>
      <c r="P2916" s="13"/>
      <c r="Q2916" s="12"/>
      <c r="R2916" s="14"/>
      <c r="S2916" s="15"/>
      <c r="T2916" s="4" t="b">
        <v>0</v>
      </c>
    </row>
    <row r="2917">
      <c r="A2917" s="16"/>
      <c r="B2917" s="17"/>
      <c r="C2917" s="24"/>
      <c r="D2917" s="44"/>
      <c r="E2917" s="19"/>
      <c r="F2917" s="35"/>
      <c r="G2917" s="20">
        <v>1899.0</v>
      </c>
      <c r="H2917" s="21"/>
      <c r="I2917" s="21"/>
      <c r="J2917" s="21"/>
      <c r="K2917" s="16"/>
      <c r="L2917" s="22"/>
      <c r="M2917" s="55"/>
      <c r="N2917" s="23" t="s">
        <v>200</v>
      </c>
      <c r="O2917" s="23" t="s">
        <v>200</v>
      </c>
      <c r="P2917" s="24"/>
      <c r="Q2917" s="23"/>
      <c r="R2917" s="25"/>
      <c r="S2917" s="26"/>
      <c r="T2917" s="16" t="b">
        <v>0</v>
      </c>
    </row>
    <row r="2918">
      <c r="A2918" s="4"/>
      <c r="B2918" s="5"/>
      <c r="C2918" s="13"/>
      <c r="D2918" s="39"/>
      <c r="E2918" s="7"/>
      <c r="F2918" s="34"/>
      <c r="G2918" s="8">
        <v>1899.0</v>
      </c>
      <c r="H2918" s="9"/>
      <c r="I2918" s="9"/>
      <c r="J2918" s="9"/>
      <c r="K2918" s="4"/>
      <c r="L2918" s="10"/>
      <c r="M2918" s="54"/>
      <c r="N2918" s="12" t="s">
        <v>200</v>
      </c>
      <c r="O2918" s="12" t="s">
        <v>200</v>
      </c>
      <c r="P2918" s="13"/>
      <c r="Q2918" s="12"/>
      <c r="R2918" s="14"/>
      <c r="S2918" s="15"/>
      <c r="T2918" s="4" t="b">
        <v>0</v>
      </c>
    </row>
    <row r="2919">
      <c r="A2919" s="16"/>
      <c r="B2919" s="17"/>
      <c r="C2919" s="24"/>
      <c r="D2919" s="44"/>
      <c r="E2919" s="19"/>
      <c r="F2919" s="35"/>
      <c r="G2919" s="20">
        <v>1899.0</v>
      </c>
      <c r="H2919" s="21"/>
      <c r="I2919" s="21"/>
      <c r="J2919" s="21"/>
      <c r="K2919" s="16"/>
      <c r="L2919" s="22"/>
      <c r="M2919" s="55"/>
      <c r="N2919" s="23" t="s">
        <v>200</v>
      </c>
      <c r="O2919" s="23" t="s">
        <v>200</v>
      </c>
      <c r="P2919" s="24"/>
      <c r="Q2919" s="23"/>
      <c r="R2919" s="25"/>
      <c r="S2919" s="26"/>
      <c r="T2919" s="16" t="b">
        <v>0</v>
      </c>
    </row>
    <row r="2920">
      <c r="A2920" s="4"/>
      <c r="B2920" s="5"/>
      <c r="C2920" s="13"/>
      <c r="D2920" s="39"/>
      <c r="E2920" s="7"/>
      <c r="F2920" s="34"/>
      <c r="G2920" s="8">
        <v>1899.0</v>
      </c>
      <c r="H2920" s="9"/>
      <c r="I2920" s="9"/>
      <c r="J2920" s="9"/>
      <c r="K2920" s="4"/>
      <c r="L2920" s="10"/>
      <c r="M2920" s="54"/>
      <c r="N2920" s="12" t="s">
        <v>200</v>
      </c>
      <c r="O2920" s="12" t="s">
        <v>200</v>
      </c>
      <c r="P2920" s="13"/>
      <c r="Q2920" s="12"/>
      <c r="R2920" s="14"/>
      <c r="S2920" s="15"/>
      <c r="T2920" s="4" t="b">
        <v>0</v>
      </c>
    </row>
    <row r="2921">
      <c r="A2921" s="16"/>
      <c r="B2921" s="17"/>
      <c r="C2921" s="24"/>
      <c r="D2921" s="44"/>
      <c r="E2921" s="19"/>
      <c r="F2921" s="35"/>
      <c r="G2921" s="20">
        <v>1899.0</v>
      </c>
      <c r="H2921" s="21"/>
      <c r="I2921" s="21"/>
      <c r="J2921" s="21"/>
      <c r="K2921" s="16"/>
      <c r="L2921" s="22"/>
      <c r="M2921" s="55"/>
      <c r="N2921" s="23" t="s">
        <v>200</v>
      </c>
      <c r="O2921" s="23" t="s">
        <v>200</v>
      </c>
      <c r="P2921" s="24"/>
      <c r="Q2921" s="23"/>
      <c r="R2921" s="25"/>
      <c r="S2921" s="26"/>
      <c r="T2921" s="16" t="b">
        <v>0</v>
      </c>
    </row>
    <row r="2922">
      <c r="A2922" s="4"/>
      <c r="B2922" s="5"/>
      <c r="C2922" s="13"/>
      <c r="D2922" s="39"/>
      <c r="E2922" s="7"/>
      <c r="F2922" s="34"/>
      <c r="G2922" s="8">
        <v>1899.0</v>
      </c>
      <c r="H2922" s="9"/>
      <c r="I2922" s="9"/>
      <c r="J2922" s="9"/>
      <c r="K2922" s="4"/>
      <c r="L2922" s="10"/>
      <c r="M2922" s="54"/>
      <c r="N2922" s="12" t="s">
        <v>200</v>
      </c>
      <c r="O2922" s="12" t="s">
        <v>200</v>
      </c>
      <c r="P2922" s="13"/>
      <c r="Q2922" s="12"/>
      <c r="R2922" s="14"/>
      <c r="S2922" s="15"/>
      <c r="T2922" s="4" t="b">
        <v>0</v>
      </c>
    </row>
    <row r="2923">
      <c r="A2923" s="16"/>
      <c r="B2923" s="17"/>
      <c r="C2923" s="24"/>
      <c r="D2923" s="44"/>
      <c r="E2923" s="19"/>
      <c r="F2923" s="35"/>
      <c r="G2923" s="20">
        <v>1899.0</v>
      </c>
      <c r="H2923" s="21"/>
      <c r="I2923" s="21"/>
      <c r="J2923" s="21"/>
      <c r="K2923" s="16"/>
      <c r="L2923" s="22"/>
      <c r="M2923" s="55"/>
      <c r="N2923" s="23" t="s">
        <v>200</v>
      </c>
      <c r="O2923" s="23" t="s">
        <v>200</v>
      </c>
      <c r="P2923" s="24"/>
      <c r="Q2923" s="23"/>
      <c r="R2923" s="25"/>
      <c r="S2923" s="26"/>
      <c r="T2923" s="16" t="b">
        <v>0</v>
      </c>
    </row>
    <row r="2924">
      <c r="A2924" s="4"/>
      <c r="B2924" s="5"/>
      <c r="C2924" s="13"/>
      <c r="D2924" s="39"/>
      <c r="E2924" s="7"/>
      <c r="F2924" s="34"/>
      <c r="G2924" s="8">
        <v>1899.0</v>
      </c>
      <c r="H2924" s="9"/>
      <c r="I2924" s="9"/>
      <c r="J2924" s="9"/>
      <c r="K2924" s="4"/>
      <c r="L2924" s="10"/>
      <c r="M2924" s="54"/>
      <c r="N2924" s="12" t="s">
        <v>200</v>
      </c>
      <c r="O2924" s="12" t="s">
        <v>200</v>
      </c>
      <c r="P2924" s="13"/>
      <c r="Q2924" s="12"/>
      <c r="R2924" s="14"/>
      <c r="S2924" s="15"/>
      <c r="T2924" s="4" t="b">
        <v>0</v>
      </c>
    </row>
    <row r="2925">
      <c r="A2925" s="16"/>
      <c r="B2925" s="17"/>
      <c r="C2925" s="24"/>
      <c r="D2925" s="44"/>
      <c r="E2925" s="19"/>
      <c r="F2925" s="35"/>
      <c r="G2925" s="20">
        <v>1899.0</v>
      </c>
      <c r="H2925" s="21"/>
      <c r="I2925" s="21"/>
      <c r="J2925" s="21"/>
      <c r="K2925" s="16"/>
      <c r="L2925" s="22"/>
      <c r="M2925" s="55"/>
      <c r="N2925" s="23" t="s">
        <v>200</v>
      </c>
      <c r="O2925" s="23" t="s">
        <v>200</v>
      </c>
      <c r="P2925" s="24"/>
      <c r="Q2925" s="23"/>
      <c r="R2925" s="25"/>
      <c r="S2925" s="26"/>
      <c r="T2925" s="16" t="b">
        <v>0</v>
      </c>
    </row>
    <row r="2926">
      <c r="A2926" s="4"/>
      <c r="B2926" s="5"/>
      <c r="C2926" s="13"/>
      <c r="D2926" s="39"/>
      <c r="E2926" s="7"/>
      <c r="F2926" s="34"/>
      <c r="G2926" s="8">
        <v>1899.0</v>
      </c>
      <c r="H2926" s="9"/>
      <c r="I2926" s="9"/>
      <c r="J2926" s="9"/>
      <c r="K2926" s="4"/>
      <c r="L2926" s="10"/>
      <c r="M2926" s="54"/>
      <c r="N2926" s="12" t="s">
        <v>200</v>
      </c>
      <c r="O2926" s="12" t="s">
        <v>200</v>
      </c>
      <c r="P2926" s="13"/>
      <c r="Q2926" s="12"/>
      <c r="R2926" s="14"/>
      <c r="S2926" s="15"/>
      <c r="T2926" s="4" t="b">
        <v>0</v>
      </c>
    </row>
    <row r="2927">
      <c r="A2927" s="16"/>
      <c r="B2927" s="17"/>
      <c r="C2927" s="24"/>
      <c r="D2927" s="44"/>
      <c r="E2927" s="19"/>
      <c r="F2927" s="35"/>
      <c r="G2927" s="20">
        <v>1899.0</v>
      </c>
      <c r="H2927" s="21"/>
      <c r="I2927" s="21"/>
      <c r="J2927" s="21"/>
      <c r="K2927" s="16"/>
      <c r="L2927" s="22"/>
      <c r="M2927" s="55"/>
      <c r="N2927" s="23" t="s">
        <v>200</v>
      </c>
      <c r="O2927" s="23" t="s">
        <v>200</v>
      </c>
      <c r="P2927" s="24"/>
      <c r="Q2927" s="23"/>
      <c r="R2927" s="25"/>
      <c r="S2927" s="26"/>
      <c r="T2927" s="16" t="b">
        <v>0</v>
      </c>
    </row>
    <row r="2928">
      <c r="A2928" s="4"/>
      <c r="B2928" s="5"/>
      <c r="C2928" s="13"/>
      <c r="D2928" s="39"/>
      <c r="E2928" s="7"/>
      <c r="F2928" s="34"/>
      <c r="G2928" s="8">
        <v>1899.0</v>
      </c>
      <c r="H2928" s="9"/>
      <c r="I2928" s="9"/>
      <c r="J2928" s="9"/>
      <c r="K2928" s="4"/>
      <c r="L2928" s="10"/>
      <c r="M2928" s="54"/>
      <c r="N2928" s="12" t="s">
        <v>200</v>
      </c>
      <c r="O2928" s="12" t="s">
        <v>200</v>
      </c>
      <c r="P2928" s="13"/>
      <c r="Q2928" s="12"/>
      <c r="R2928" s="14"/>
      <c r="S2928" s="15"/>
      <c r="T2928" s="4" t="b">
        <v>0</v>
      </c>
    </row>
    <row r="2929">
      <c r="A2929" s="16"/>
      <c r="B2929" s="17"/>
      <c r="C2929" s="24"/>
      <c r="D2929" s="44"/>
      <c r="E2929" s="19"/>
      <c r="F2929" s="35"/>
      <c r="G2929" s="20">
        <v>1899.0</v>
      </c>
      <c r="H2929" s="21"/>
      <c r="I2929" s="21"/>
      <c r="J2929" s="21"/>
      <c r="K2929" s="16"/>
      <c r="L2929" s="22"/>
      <c r="M2929" s="55"/>
      <c r="N2929" s="23" t="s">
        <v>200</v>
      </c>
      <c r="O2929" s="23" t="s">
        <v>200</v>
      </c>
      <c r="P2929" s="24"/>
      <c r="Q2929" s="23"/>
      <c r="R2929" s="25"/>
      <c r="S2929" s="26"/>
      <c r="T2929" s="16" t="b">
        <v>0</v>
      </c>
    </row>
    <row r="2930">
      <c r="A2930" s="4"/>
      <c r="B2930" s="5"/>
      <c r="C2930" s="13"/>
      <c r="D2930" s="39"/>
      <c r="E2930" s="7"/>
      <c r="F2930" s="34"/>
      <c r="G2930" s="8">
        <v>1899.0</v>
      </c>
      <c r="H2930" s="9"/>
      <c r="I2930" s="9"/>
      <c r="J2930" s="9"/>
      <c r="K2930" s="4"/>
      <c r="L2930" s="10"/>
      <c r="M2930" s="54"/>
      <c r="N2930" s="12" t="s">
        <v>200</v>
      </c>
      <c r="O2930" s="12" t="s">
        <v>200</v>
      </c>
      <c r="P2930" s="13"/>
      <c r="Q2930" s="12"/>
      <c r="R2930" s="14"/>
      <c r="S2930" s="15"/>
      <c r="T2930" s="4" t="b">
        <v>0</v>
      </c>
    </row>
    <row r="2931">
      <c r="A2931" s="16"/>
      <c r="B2931" s="17"/>
      <c r="C2931" s="24"/>
      <c r="D2931" s="44"/>
      <c r="E2931" s="19"/>
      <c r="F2931" s="35"/>
      <c r="G2931" s="20">
        <v>1899.0</v>
      </c>
      <c r="H2931" s="21"/>
      <c r="I2931" s="21"/>
      <c r="J2931" s="21"/>
      <c r="K2931" s="16"/>
      <c r="L2931" s="22"/>
      <c r="M2931" s="55"/>
      <c r="N2931" s="23" t="s">
        <v>200</v>
      </c>
      <c r="O2931" s="23" t="s">
        <v>200</v>
      </c>
      <c r="P2931" s="24"/>
      <c r="Q2931" s="23"/>
      <c r="R2931" s="25"/>
      <c r="S2931" s="26"/>
      <c r="T2931" s="16" t="b">
        <v>0</v>
      </c>
    </row>
    <row r="2932">
      <c r="A2932" s="4"/>
      <c r="B2932" s="5"/>
      <c r="C2932" s="13"/>
      <c r="D2932" s="39"/>
      <c r="E2932" s="7"/>
      <c r="F2932" s="34"/>
      <c r="G2932" s="8">
        <v>1899.0</v>
      </c>
      <c r="H2932" s="9"/>
      <c r="I2932" s="9"/>
      <c r="J2932" s="9"/>
      <c r="K2932" s="4"/>
      <c r="L2932" s="10"/>
      <c r="M2932" s="54"/>
      <c r="N2932" s="12" t="s">
        <v>200</v>
      </c>
      <c r="O2932" s="12" t="s">
        <v>200</v>
      </c>
      <c r="P2932" s="13"/>
      <c r="Q2932" s="12"/>
      <c r="R2932" s="14"/>
      <c r="S2932" s="15"/>
      <c r="T2932" s="4" t="b">
        <v>0</v>
      </c>
    </row>
    <row r="2933">
      <c r="A2933" s="16"/>
      <c r="B2933" s="17"/>
      <c r="C2933" s="24"/>
      <c r="D2933" s="44"/>
      <c r="E2933" s="19"/>
      <c r="F2933" s="35"/>
      <c r="G2933" s="20">
        <v>1899.0</v>
      </c>
      <c r="H2933" s="21"/>
      <c r="I2933" s="21"/>
      <c r="J2933" s="21"/>
      <c r="K2933" s="16"/>
      <c r="L2933" s="22"/>
      <c r="M2933" s="55"/>
      <c r="N2933" s="23" t="s">
        <v>200</v>
      </c>
      <c r="O2933" s="23" t="s">
        <v>200</v>
      </c>
      <c r="P2933" s="24"/>
      <c r="Q2933" s="23"/>
      <c r="R2933" s="25"/>
      <c r="S2933" s="26"/>
      <c r="T2933" s="16" t="b">
        <v>0</v>
      </c>
    </row>
    <row r="2934">
      <c r="A2934" s="4"/>
      <c r="B2934" s="5"/>
      <c r="C2934" s="13"/>
      <c r="D2934" s="39"/>
      <c r="E2934" s="7"/>
      <c r="F2934" s="34"/>
      <c r="G2934" s="8">
        <v>1899.0</v>
      </c>
      <c r="H2934" s="9"/>
      <c r="I2934" s="9"/>
      <c r="J2934" s="9"/>
      <c r="K2934" s="4"/>
      <c r="L2934" s="10"/>
      <c r="M2934" s="54"/>
      <c r="N2934" s="12" t="s">
        <v>200</v>
      </c>
      <c r="O2934" s="12" t="s">
        <v>200</v>
      </c>
      <c r="P2934" s="13"/>
      <c r="Q2934" s="12"/>
      <c r="R2934" s="14"/>
      <c r="S2934" s="15"/>
      <c r="T2934" s="4" t="b">
        <v>0</v>
      </c>
    </row>
    <row r="2935">
      <c r="A2935" s="16"/>
      <c r="B2935" s="17"/>
      <c r="C2935" s="24"/>
      <c r="D2935" s="44"/>
      <c r="E2935" s="19"/>
      <c r="F2935" s="35"/>
      <c r="G2935" s="20">
        <v>1899.0</v>
      </c>
      <c r="H2935" s="21"/>
      <c r="I2935" s="21"/>
      <c r="J2935" s="21"/>
      <c r="K2935" s="16"/>
      <c r="L2935" s="22"/>
      <c r="M2935" s="55"/>
      <c r="N2935" s="23" t="s">
        <v>200</v>
      </c>
      <c r="O2935" s="23" t="s">
        <v>200</v>
      </c>
      <c r="P2935" s="24"/>
      <c r="Q2935" s="23"/>
      <c r="R2935" s="25"/>
      <c r="S2935" s="26"/>
      <c r="T2935" s="16" t="b">
        <v>0</v>
      </c>
    </row>
    <row r="2936">
      <c r="A2936" s="4"/>
      <c r="B2936" s="5"/>
      <c r="C2936" s="13"/>
      <c r="D2936" s="39"/>
      <c r="E2936" s="7"/>
      <c r="F2936" s="34"/>
      <c r="G2936" s="8">
        <v>1899.0</v>
      </c>
      <c r="H2936" s="9"/>
      <c r="I2936" s="9"/>
      <c r="J2936" s="9"/>
      <c r="K2936" s="4"/>
      <c r="L2936" s="10"/>
      <c r="M2936" s="54"/>
      <c r="N2936" s="12" t="s">
        <v>200</v>
      </c>
      <c r="O2936" s="12" t="s">
        <v>200</v>
      </c>
      <c r="P2936" s="13"/>
      <c r="Q2936" s="12"/>
      <c r="R2936" s="14"/>
      <c r="S2936" s="15"/>
      <c r="T2936" s="4" t="b">
        <v>0</v>
      </c>
    </row>
    <row r="2937">
      <c r="A2937" s="16"/>
      <c r="B2937" s="17"/>
      <c r="C2937" s="24"/>
      <c r="D2937" s="44"/>
      <c r="E2937" s="19"/>
      <c r="F2937" s="35"/>
      <c r="G2937" s="20">
        <v>1899.0</v>
      </c>
      <c r="H2937" s="21"/>
      <c r="I2937" s="21"/>
      <c r="J2937" s="21"/>
      <c r="K2937" s="16"/>
      <c r="L2937" s="22"/>
      <c r="M2937" s="55"/>
      <c r="N2937" s="23" t="s">
        <v>200</v>
      </c>
      <c r="O2937" s="23" t="s">
        <v>200</v>
      </c>
      <c r="P2937" s="24"/>
      <c r="Q2937" s="23"/>
      <c r="R2937" s="25"/>
      <c r="S2937" s="26"/>
      <c r="T2937" s="16" t="b">
        <v>0</v>
      </c>
    </row>
    <row r="2938">
      <c r="A2938" s="4"/>
      <c r="B2938" s="5"/>
      <c r="C2938" s="13"/>
      <c r="D2938" s="39"/>
      <c r="E2938" s="7"/>
      <c r="F2938" s="34"/>
      <c r="G2938" s="8">
        <v>1899.0</v>
      </c>
      <c r="H2938" s="9"/>
      <c r="I2938" s="9"/>
      <c r="J2938" s="9"/>
      <c r="K2938" s="4"/>
      <c r="L2938" s="10"/>
      <c r="M2938" s="54"/>
      <c r="N2938" s="12" t="s">
        <v>200</v>
      </c>
      <c r="O2938" s="12" t="s">
        <v>200</v>
      </c>
      <c r="P2938" s="13"/>
      <c r="Q2938" s="12"/>
      <c r="R2938" s="14"/>
      <c r="S2938" s="15"/>
      <c r="T2938" s="4" t="b">
        <v>0</v>
      </c>
    </row>
    <row r="2939">
      <c r="A2939" s="16"/>
      <c r="B2939" s="17"/>
      <c r="C2939" s="24"/>
      <c r="D2939" s="44"/>
      <c r="E2939" s="19"/>
      <c r="F2939" s="35"/>
      <c r="G2939" s="20">
        <v>1899.0</v>
      </c>
      <c r="H2939" s="21"/>
      <c r="I2939" s="21"/>
      <c r="J2939" s="21"/>
      <c r="K2939" s="16"/>
      <c r="L2939" s="22"/>
      <c r="M2939" s="55"/>
      <c r="N2939" s="23" t="s">
        <v>200</v>
      </c>
      <c r="O2939" s="23" t="s">
        <v>200</v>
      </c>
      <c r="P2939" s="24"/>
      <c r="Q2939" s="23"/>
      <c r="R2939" s="25"/>
      <c r="S2939" s="26"/>
      <c r="T2939" s="16" t="b">
        <v>0</v>
      </c>
    </row>
    <row r="2940">
      <c r="A2940" s="4"/>
      <c r="B2940" s="5"/>
      <c r="C2940" s="13"/>
      <c r="D2940" s="39"/>
      <c r="E2940" s="7"/>
      <c r="F2940" s="34"/>
      <c r="G2940" s="8">
        <v>1899.0</v>
      </c>
      <c r="H2940" s="9"/>
      <c r="I2940" s="9"/>
      <c r="J2940" s="9"/>
      <c r="K2940" s="4"/>
      <c r="L2940" s="10"/>
      <c r="M2940" s="54"/>
      <c r="N2940" s="12" t="s">
        <v>200</v>
      </c>
      <c r="O2940" s="12" t="s">
        <v>200</v>
      </c>
      <c r="P2940" s="13"/>
      <c r="Q2940" s="12"/>
      <c r="R2940" s="14"/>
      <c r="S2940" s="15"/>
      <c r="T2940" s="4" t="b">
        <v>0</v>
      </c>
    </row>
    <row r="2941">
      <c r="A2941" s="16"/>
      <c r="B2941" s="17"/>
      <c r="C2941" s="24"/>
      <c r="D2941" s="44"/>
      <c r="E2941" s="19"/>
      <c r="F2941" s="35"/>
      <c r="G2941" s="20">
        <v>1899.0</v>
      </c>
      <c r="H2941" s="21"/>
      <c r="I2941" s="21"/>
      <c r="J2941" s="21"/>
      <c r="K2941" s="16"/>
      <c r="L2941" s="22"/>
      <c r="M2941" s="55"/>
      <c r="N2941" s="23" t="s">
        <v>200</v>
      </c>
      <c r="O2941" s="23" t="s">
        <v>200</v>
      </c>
      <c r="P2941" s="24"/>
      <c r="Q2941" s="23"/>
      <c r="R2941" s="25"/>
      <c r="S2941" s="26"/>
      <c r="T2941" s="16" t="b">
        <v>0</v>
      </c>
    </row>
    <row r="2942">
      <c r="A2942" s="4"/>
      <c r="B2942" s="5"/>
      <c r="C2942" s="13"/>
      <c r="D2942" s="39"/>
      <c r="E2942" s="7"/>
      <c r="F2942" s="34"/>
      <c r="G2942" s="8">
        <v>1899.0</v>
      </c>
      <c r="H2942" s="9"/>
      <c r="I2942" s="9"/>
      <c r="J2942" s="9"/>
      <c r="K2942" s="4"/>
      <c r="L2942" s="10"/>
      <c r="M2942" s="54"/>
      <c r="N2942" s="12" t="s">
        <v>200</v>
      </c>
      <c r="O2942" s="12" t="s">
        <v>200</v>
      </c>
      <c r="P2942" s="13"/>
      <c r="Q2942" s="12"/>
      <c r="R2942" s="14"/>
      <c r="S2942" s="15"/>
      <c r="T2942" s="4" t="b">
        <v>0</v>
      </c>
    </row>
    <row r="2943">
      <c r="A2943" s="16"/>
      <c r="B2943" s="17"/>
      <c r="C2943" s="24"/>
      <c r="D2943" s="44"/>
      <c r="E2943" s="19"/>
      <c r="F2943" s="35"/>
      <c r="G2943" s="20">
        <v>1899.0</v>
      </c>
      <c r="H2943" s="21"/>
      <c r="I2943" s="21"/>
      <c r="J2943" s="21"/>
      <c r="K2943" s="16"/>
      <c r="L2943" s="22"/>
      <c r="M2943" s="55"/>
      <c r="N2943" s="23" t="s">
        <v>200</v>
      </c>
      <c r="O2943" s="23" t="s">
        <v>200</v>
      </c>
      <c r="P2943" s="24"/>
      <c r="Q2943" s="23"/>
      <c r="R2943" s="25"/>
      <c r="S2943" s="26"/>
      <c r="T2943" s="16" t="b">
        <v>0</v>
      </c>
    </row>
    <row r="2944">
      <c r="A2944" s="4"/>
      <c r="B2944" s="5"/>
      <c r="C2944" s="13"/>
      <c r="D2944" s="39"/>
      <c r="E2944" s="7"/>
      <c r="F2944" s="34"/>
      <c r="G2944" s="8">
        <v>1899.0</v>
      </c>
      <c r="H2944" s="9"/>
      <c r="I2944" s="9"/>
      <c r="J2944" s="9"/>
      <c r="K2944" s="4"/>
      <c r="L2944" s="10"/>
      <c r="M2944" s="54"/>
      <c r="N2944" s="12" t="s">
        <v>200</v>
      </c>
      <c r="O2944" s="12" t="s">
        <v>200</v>
      </c>
      <c r="P2944" s="13"/>
      <c r="Q2944" s="12"/>
      <c r="R2944" s="14"/>
      <c r="S2944" s="15"/>
      <c r="T2944" s="4" t="b">
        <v>0</v>
      </c>
    </row>
    <row r="2945">
      <c r="A2945" s="16"/>
      <c r="B2945" s="17"/>
      <c r="C2945" s="24"/>
      <c r="D2945" s="44"/>
      <c r="E2945" s="19"/>
      <c r="F2945" s="35"/>
      <c r="G2945" s="20">
        <v>1899.0</v>
      </c>
      <c r="H2945" s="21"/>
      <c r="I2945" s="21"/>
      <c r="J2945" s="21"/>
      <c r="K2945" s="16"/>
      <c r="L2945" s="22"/>
      <c r="M2945" s="55"/>
      <c r="N2945" s="23" t="s">
        <v>200</v>
      </c>
      <c r="O2945" s="23" t="s">
        <v>200</v>
      </c>
      <c r="P2945" s="24"/>
      <c r="Q2945" s="23"/>
      <c r="R2945" s="25"/>
      <c r="S2945" s="26"/>
      <c r="T2945" s="16" t="b">
        <v>0</v>
      </c>
    </row>
    <row r="2946">
      <c r="A2946" s="4"/>
      <c r="B2946" s="5"/>
      <c r="C2946" s="13"/>
      <c r="D2946" s="39"/>
      <c r="E2946" s="7"/>
      <c r="F2946" s="34"/>
      <c r="G2946" s="8">
        <v>1899.0</v>
      </c>
      <c r="H2946" s="9"/>
      <c r="I2946" s="9"/>
      <c r="J2946" s="9"/>
      <c r="K2946" s="4"/>
      <c r="L2946" s="10"/>
      <c r="M2946" s="54"/>
      <c r="N2946" s="12" t="s">
        <v>200</v>
      </c>
      <c r="O2946" s="12" t="s">
        <v>200</v>
      </c>
      <c r="P2946" s="13"/>
      <c r="Q2946" s="12"/>
      <c r="R2946" s="14"/>
      <c r="S2946" s="15"/>
      <c r="T2946" s="4" t="b">
        <v>0</v>
      </c>
    </row>
    <row r="2947">
      <c r="A2947" s="16"/>
      <c r="B2947" s="17"/>
      <c r="C2947" s="24"/>
      <c r="D2947" s="44"/>
      <c r="E2947" s="19"/>
      <c r="F2947" s="35"/>
      <c r="G2947" s="20">
        <v>1899.0</v>
      </c>
      <c r="H2947" s="21"/>
      <c r="I2947" s="21"/>
      <c r="J2947" s="21"/>
      <c r="K2947" s="16"/>
      <c r="L2947" s="22"/>
      <c r="M2947" s="55"/>
      <c r="N2947" s="23" t="s">
        <v>200</v>
      </c>
      <c r="O2947" s="23" t="s">
        <v>200</v>
      </c>
      <c r="P2947" s="24"/>
      <c r="Q2947" s="23"/>
      <c r="R2947" s="25"/>
      <c r="S2947" s="26"/>
      <c r="T2947" s="16" t="b">
        <v>0</v>
      </c>
    </row>
    <row r="2948">
      <c r="A2948" s="4"/>
      <c r="B2948" s="5"/>
      <c r="C2948" s="13"/>
      <c r="D2948" s="39"/>
      <c r="E2948" s="7"/>
      <c r="F2948" s="34"/>
      <c r="G2948" s="8">
        <v>1899.0</v>
      </c>
      <c r="H2948" s="9"/>
      <c r="I2948" s="9"/>
      <c r="J2948" s="9"/>
      <c r="K2948" s="4"/>
      <c r="L2948" s="10"/>
      <c r="M2948" s="54"/>
      <c r="N2948" s="12" t="s">
        <v>200</v>
      </c>
      <c r="O2948" s="12" t="s">
        <v>200</v>
      </c>
      <c r="P2948" s="13"/>
      <c r="Q2948" s="12"/>
      <c r="R2948" s="14"/>
      <c r="S2948" s="15"/>
      <c r="T2948" s="4" t="b">
        <v>0</v>
      </c>
    </row>
    <row r="2949">
      <c r="A2949" s="16"/>
      <c r="B2949" s="17"/>
      <c r="C2949" s="24"/>
      <c r="D2949" s="44"/>
      <c r="E2949" s="19"/>
      <c r="F2949" s="35"/>
      <c r="G2949" s="20">
        <v>1899.0</v>
      </c>
      <c r="H2949" s="21"/>
      <c r="I2949" s="21"/>
      <c r="J2949" s="21"/>
      <c r="K2949" s="16"/>
      <c r="L2949" s="22"/>
      <c r="M2949" s="55"/>
      <c r="N2949" s="23" t="s">
        <v>200</v>
      </c>
      <c r="O2949" s="23" t="s">
        <v>200</v>
      </c>
      <c r="P2949" s="24"/>
      <c r="Q2949" s="23"/>
      <c r="R2949" s="25"/>
      <c r="S2949" s="26"/>
      <c r="T2949" s="16" t="b">
        <v>0</v>
      </c>
    </row>
    <row r="2950">
      <c r="A2950" s="4"/>
      <c r="B2950" s="5"/>
      <c r="C2950" s="13"/>
      <c r="D2950" s="39"/>
      <c r="E2950" s="7"/>
      <c r="F2950" s="34"/>
      <c r="G2950" s="8">
        <v>1899.0</v>
      </c>
      <c r="H2950" s="9"/>
      <c r="I2950" s="9"/>
      <c r="J2950" s="9"/>
      <c r="K2950" s="4"/>
      <c r="L2950" s="10"/>
      <c r="M2950" s="54"/>
      <c r="N2950" s="12" t="s">
        <v>200</v>
      </c>
      <c r="O2950" s="12" t="s">
        <v>200</v>
      </c>
      <c r="P2950" s="13"/>
      <c r="Q2950" s="12"/>
      <c r="R2950" s="14"/>
      <c r="S2950" s="15"/>
      <c r="T2950" s="4" t="b">
        <v>0</v>
      </c>
    </row>
    <row r="2951">
      <c r="A2951" s="16"/>
      <c r="B2951" s="17"/>
      <c r="C2951" s="24"/>
      <c r="D2951" s="44"/>
      <c r="E2951" s="19"/>
      <c r="F2951" s="35"/>
      <c r="G2951" s="20">
        <v>1899.0</v>
      </c>
      <c r="H2951" s="21"/>
      <c r="I2951" s="21"/>
      <c r="J2951" s="21"/>
      <c r="K2951" s="16"/>
      <c r="L2951" s="22"/>
      <c r="M2951" s="55"/>
      <c r="N2951" s="23" t="s">
        <v>200</v>
      </c>
      <c r="O2951" s="23" t="s">
        <v>200</v>
      </c>
      <c r="P2951" s="24"/>
      <c r="Q2951" s="23"/>
      <c r="R2951" s="25"/>
      <c r="S2951" s="26"/>
      <c r="T2951" s="16" t="b">
        <v>0</v>
      </c>
    </row>
    <row r="2952">
      <c r="A2952" s="4"/>
      <c r="B2952" s="5"/>
      <c r="C2952" s="13"/>
      <c r="D2952" s="39"/>
      <c r="E2952" s="7"/>
      <c r="F2952" s="34"/>
      <c r="G2952" s="8">
        <v>1899.0</v>
      </c>
      <c r="H2952" s="9"/>
      <c r="I2952" s="9"/>
      <c r="J2952" s="9"/>
      <c r="K2952" s="4"/>
      <c r="L2952" s="10"/>
      <c r="M2952" s="54"/>
      <c r="N2952" s="12" t="s">
        <v>200</v>
      </c>
      <c r="O2952" s="12" t="s">
        <v>200</v>
      </c>
      <c r="P2952" s="13"/>
      <c r="Q2952" s="12"/>
      <c r="R2952" s="14"/>
      <c r="S2952" s="15"/>
      <c r="T2952" s="4" t="b">
        <v>0</v>
      </c>
    </row>
    <row r="2953">
      <c r="A2953" s="16"/>
      <c r="B2953" s="17"/>
      <c r="C2953" s="24"/>
      <c r="D2953" s="44"/>
      <c r="E2953" s="19"/>
      <c r="F2953" s="35"/>
      <c r="G2953" s="20">
        <v>1899.0</v>
      </c>
      <c r="H2953" s="21"/>
      <c r="I2953" s="21"/>
      <c r="J2953" s="21"/>
      <c r="K2953" s="16"/>
      <c r="L2953" s="22"/>
      <c r="M2953" s="55"/>
      <c r="N2953" s="23" t="s">
        <v>200</v>
      </c>
      <c r="O2953" s="23" t="s">
        <v>200</v>
      </c>
      <c r="P2953" s="24"/>
      <c r="Q2953" s="23"/>
      <c r="R2953" s="25"/>
      <c r="S2953" s="26"/>
      <c r="T2953" s="16" t="b">
        <v>0</v>
      </c>
    </row>
    <row r="2954">
      <c r="A2954" s="4"/>
      <c r="B2954" s="5"/>
      <c r="C2954" s="13"/>
      <c r="D2954" s="39"/>
      <c r="E2954" s="7"/>
      <c r="F2954" s="34"/>
      <c r="G2954" s="8">
        <v>1899.0</v>
      </c>
      <c r="H2954" s="9"/>
      <c r="I2954" s="9"/>
      <c r="J2954" s="9"/>
      <c r="K2954" s="4"/>
      <c r="L2954" s="10"/>
      <c r="M2954" s="54"/>
      <c r="N2954" s="12" t="s">
        <v>200</v>
      </c>
      <c r="O2954" s="12" t="s">
        <v>200</v>
      </c>
      <c r="P2954" s="13"/>
      <c r="Q2954" s="12"/>
      <c r="R2954" s="14"/>
      <c r="S2954" s="15"/>
      <c r="T2954" s="4" t="b">
        <v>0</v>
      </c>
    </row>
  </sheetData>
  <autoFilter ref="$A$1:$T$1954">
    <filterColumn colId="18">
      <filters blank="1">
        <filter val="Jul 2023"/>
      </filters>
    </filterColumn>
  </autoFilter>
  <customSheetViews>
    <customSheetView guid="{2E02AFAC-475C-46D3-9E84-362286EA9B98}" filter="1" showAutoFilter="1">
      <autoFilter ref="$A$1:$T$960">
        <filterColumn colId="2">
          <filters>
            <filter val="Pending Approval"/>
          </filters>
        </filterColumn>
      </autoFilter>
    </customSheetView>
    <customSheetView guid="{D1AD8115-ED37-4382-92BF-77300F085E30}" filter="1" showAutoFilter="1">
      <autoFilter ref="$A$1:$T$1954">
        <filterColumn colId="19">
          <filters>
            <filter val="FALSE"/>
          </filters>
        </filterColumn>
        <filterColumn colId="18">
          <filters blank="1">
            <filter val="Jun 2023"/>
            <filter val="Jun 2022"/>
            <filter val="Jun 2021"/>
            <filter val="Oct 2021"/>
            <filter val="Dec 2021"/>
            <filter val="Jan 2022"/>
            <filter val="Feb 2022"/>
            <filter val="Aug 2022"/>
            <filter val="Jul 2022"/>
            <filter val="Jul 2021"/>
            <filter val="Aug 2021"/>
            <filter val="Sept 2021"/>
            <filter val="Jul 2023"/>
            <filter val="Nov 2021"/>
            <filter val="Sep 2022"/>
            <filter val="May 2023"/>
            <filter val="May 2022"/>
            <filter val="Apr 2022"/>
            <filter val="Mar 2022"/>
          </filters>
        </filterColumn>
        <filterColumn colId="2">
          <filters>
            <filter val="Paid"/>
          </filters>
        </filterColumn>
        <filterColumn colId="4">
          <filters blank="1">
            <filter val="Dec 15, 2021"/>
            <filter val="Jan 6, 2022"/>
            <filter val="Aug 1, 2021"/>
            <filter val="Apr 28, 2023"/>
            <filter val="Dec 15, 2022"/>
            <filter val="Apr 15, 2022"/>
            <filter val="Sep 15, 2022"/>
            <filter val="December Mid Month"/>
            <filter val="Jun 28, 2022"/>
            <filter val="May 1, 2021"/>
            <filter val="Jan 23, 2023"/>
            <filter val="Jan 13, 2023"/>
            <filter val="Jun 15, 2022"/>
            <filter val="Jun 1, 2021"/>
            <filter val="May 15, 2022"/>
            <filter val="Oct 30, 2021"/>
            <filter val="Jan 28, 2022"/>
            <filter val="Mar 7, 2022"/>
            <filter val="Mar 7, 2023"/>
            <filter val="Mar 15, 2022"/>
            <filter val="Sep 1, 2023"/>
            <filter val="Mar 15, 2023"/>
            <filter val="Sep 1, 2021"/>
            <filter val="Aug 17, 2023"/>
            <filter val="Jun 2, 2022"/>
            <filter val="Dec 17, 2021"/>
            <filter val="Nov 1, 2021"/>
            <filter val="Jul 6, 2023"/>
            <filter val="Apr 6, 2023"/>
            <filter val="Sep 9, 2022"/>
            <filter val="Apr 22, 2022"/>
            <filter val="Aug 23, 2022"/>
            <filter val="Nov 7, 2022"/>
            <filter val="Mar 9, 2023"/>
            <filter val="Jul 15, 2022"/>
            <filter val="Jul 15, 2023"/>
            <filter val="Feb 13, 2023"/>
            <filter val="Dec 22, 2021"/>
            <filter val="Mar 22, 2022"/>
            <filter val="Oct 27, 2022"/>
            <filter val="Apr 29, 2022"/>
            <filter val="Jul 31, 2023"/>
            <filter val="Jan 3, 2023"/>
            <filter val="Nov 18, 2022"/>
            <filter val="Oct 15, 2022"/>
            <filter val="Nov 23, 2022"/>
            <filter val="Oct 31, 2023"/>
            <filter val="Oct 31, 2022"/>
            <filter val="Mar 13, 2023"/>
            <filter val="Jul 1, 2021"/>
            <filter val="Apr 8, 2022"/>
            <filter val="October Mid Month"/>
            <filter val="Feb 28, 2022"/>
            <filter val="Feb 22, 2022"/>
            <filter val="Feb 28, 2023"/>
            <filter val="TBD"/>
            <filter val="Dec 7, 2022"/>
            <filter val="Feb 15, 2023"/>
            <filter val="Oct 31, 2021"/>
            <filter val="Feb 15, 2022"/>
            <filter val="Jan 31, 2023"/>
            <filter val="Jan 31, 2022"/>
            <filter val="On hold until confirmation or update"/>
            <filter val="Jan 5, 2023"/>
            <filter val="Feb 2, 2023"/>
            <filter val="Aug 31, 2023"/>
            <filter val="Aug 31, 2022"/>
            <filter val="Sep 29, 2022"/>
            <filter val="Dec 16, 2022"/>
            <filter val="Jun 3, 2022"/>
            <filter val="Nov 30, 2021"/>
            <filter val="Nov 30, 2022"/>
            <filter val="Jan 14, 2022"/>
            <filter val="Mar 23, 2023"/>
            <filter val="Nov 15, 2022"/>
            <filter val="Mar 31, 2023"/>
            <filter val="Mar 31, 2022"/>
            <filter val="Sep 30, 2022"/>
            <filter val="May 27, 2022"/>
            <filter val="Jul 29, 2022"/>
            <filter val="May 13, 2022"/>
            <filter val="Feb 27, 2023"/>
            <filter val="May 6, 2022"/>
            <filter val="Dec 30, 2022"/>
            <filter val="Dec 2, 2022"/>
            <filter val="Oct 29, 2021"/>
            <filter val="Jun 30, 2022"/>
            <filter val="Jun 30, 2023"/>
            <filter val="Oct 1, 2021"/>
            <filter val="Aug 15, 2023"/>
            <filter val="Apr 14, 2023"/>
            <filter val="Feb 7, 2022"/>
            <filter val="Aug 15, 2022"/>
            <filter val="Apr 30, 2023"/>
            <filter val="Jan 24, 2022"/>
            <filter val="Dec 1, 2021"/>
            <filter val="Jul 11, 2022"/>
            <filter val="Dec 1, 2022"/>
            <filter val="Dec 31, 2022"/>
            <filter val="Dec 31, 2021"/>
            <filter val="May 31, 2022"/>
          </filters>
        </filterColumn>
      </autoFilter>
    </customSheetView>
    <customSheetView guid="{92123471-A40A-4476-A386-739D4EE68A39}" filter="1" showAutoFilter="1">
      <autoFilter ref="$A$1:$T$960">
        <filterColumn colId="2">
          <filters>
            <filter val="Paid"/>
            <filter val="Cancelled"/>
          </filters>
        </filterColumn>
        <filterColumn colId="19">
          <filters>
            <filter val="FALSE"/>
          </filters>
        </filterColumn>
        <filterColumn colId="18">
          <filters blank="1">
            <filter val="Jun 2023"/>
            <filter val="Jun 2022"/>
            <filter val="Jun 2021"/>
            <filter val="Oct 2022"/>
            <filter val="Oct 2021"/>
            <filter val="Dec 2022"/>
            <filter val="Feb 2023"/>
            <filter val="Jan 2022"/>
            <filter val="Feb 2022"/>
            <filter val="Aug 2022"/>
            <filter val="Jul 2022"/>
            <filter val="Jul 2021"/>
            <filter val="Sept 2021"/>
            <filter val="Jan 2023"/>
            <filter val="Jul 2023"/>
            <filter val="Nov 2022"/>
            <filter val="Sep 2022"/>
            <filter val="May 2023"/>
            <filter val="May 2022"/>
            <filter val="Apr 2022"/>
            <filter val="Apr 2023"/>
            <filter val="Mar 2023"/>
            <filter val="Mar 2022"/>
          </filters>
        </filterColumn>
      </autoFilter>
    </customSheetView>
    <customSheetView guid="{F6D90920-73E0-4A2A-8FB2-7260F668C960}" filter="1" showAutoFilter="1">
      <autoFilter ref="$A$1:$T$960">
        <filterColumn colId="19">
          <filters>
            <filter val="FALSE"/>
          </filters>
        </filterColumn>
      </autoFilter>
    </customSheetView>
  </customSheetViews>
  <conditionalFormatting sqref="J442 J1012">
    <cfRule type="expression" dxfId="1" priority="1">
      <formula>AND($C442&lt;&gt;"",$O442&lt;&gt;"")</formula>
    </cfRule>
  </conditionalFormatting>
  <conditionalFormatting sqref="F61:F63">
    <cfRule type="expression" dxfId="2" priority="2">
      <formula>AND(F61="",OR(D61="Invoiced",D61="Paid",D61="Delayed Payment",D61="Delayed Payment"))</formula>
    </cfRule>
  </conditionalFormatting>
  <conditionalFormatting sqref="C1:C2954">
    <cfRule type="containsText" dxfId="3" priority="3" operator="containsText" text="Paid">
      <formula>NOT(ISERROR(SEARCH(("Paid"),(C1))))</formula>
    </cfRule>
  </conditionalFormatting>
  <conditionalFormatting sqref="C1:C2954">
    <cfRule type="containsText" dxfId="4" priority="4" operator="containsText" text="Pending">
      <formula>NOT(ISERROR(SEARCH(("Pending"),(C1))))</formula>
    </cfRule>
  </conditionalFormatting>
  <conditionalFormatting sqref="C1:C2954">
    <cfRule type="containsText" dxfId="5" priority="5" operator="containsText" text="Cancelled">
      <formula>NOT(ISERROR(SEARCH(("Cancelled"),(C1))))</formula>
    </cfRule>
  </conditionalFormatting>
  <conditionalFormatting sqref="C1:C2954">
    <cfRule type="containsText" dxfId="6" priority="6" operator="containsText" text="Invoiced">
      <formula>NOT(ISERROR(SEARCH(("Invoiced"),(C1))))</formula>
    </cfRule>
  </conditionalFormatting>
  <conditionalFormatting sqref="C1:C2954">
    <cfRule type="containsText" dxfId="7" priority="7" operator="containsText" text="Delayed">
      <formula>NOT(ISERROR(SEARCH(("Delayed"),(C1))))</formula>
    </cfRule>
  </conditionalFormatting>
  <conditionalFormatting sqref="C1:C2954">
    <cfRule type="containsText" dxfId="8" priority="8" operator="containsText" text="Ready">
      <formula>NOT(ISERROR(SEARCH(("Ready"),(C1))))</formula>
    </cfRule>
  </conditionalFormatting>
  <conditionalFormatting sqref="D1:D2954">
    <cfRule type="expression" dxfId="2" priority="9">
      <formula>AND(D1="",OR(C1="Invoiced",C1="Paid",C1="Delayed Payment"))</formula>
    </cfRule>
  </conditionalFormatting>
  <conditionalFormatting sqref="S2:S2954">
    <cfRule type="expression" dxfId="2" priority="10">
      <formula>AND($S2="",$C2="Paid")</formula>
    </cfRule>
  </conditionalFormatting>
  <conditionalFormatting sqref="E1:E2954">
    <cfRule type="expression" dxfId="2" priority="11">
      <formula>AND(E1="",OR(C1="Invoiced",C1="Paid",C1="Delayed Payment",C1="Delayed Payment"))</formula>
    </cfRule>
  </conditionalFormatting>
  <conditionalFormatting sqref="F1:F2954 G1">
    <cfRule type="expression" dxfId="2" priority="12">
      <formula>AND(C1="Paid",F1="")</formula>
    </cfRule>
  </conditionalFormatting>
  <conditionalFormatting sqref="B1:B1019 Q1006:Q1019 B1021:B1031 B1051:B2954">
    <cfRule type="expression" dxfId="9" priority="13">
      <formula>AND(C1="Paid",S1="")</formula>
    </cfRule>
  </conditionalFormatting>
  <conditionalFormatting sqref="O1:O2954">
    <cfRule type="cellIs" dxfId="10" priority="14" operator="lessThan">
      <formula>1</formula>
    </cfRule>
  </conditionalFormatting>
  <conditionalFormatting sqref="O1:O2954">
    <cfRule type="containsBlanks" dxfId="10" priority="15">
      <formula>LEN(TRIM(O1))=0</formula>
    </cfRule>
  </conditionalFormatting>
  <conditionalFormatting sqref="A2:A1033 A1051:A2954">
    <cfRule type="expression" dxfId="11" priority="16">
      <formula>ISBLANK(R2)</formula>
    </cfRule>
  </conditionalFormatting>
  <conditionalFormatting sqref="A2:A1033 A1051:A2954">
    <cfRule type="notContainsBlanks" dxfId="12" priority="17">
      <formula>LEN(TRIM(A2))&gt;0</formula>
    </cfRule>
  </conditionalFormatting>
  <dataValidations>
    <dataValidation type="list" allowBlank="1" sqref="G264">
      <formula1>"Feb 21,Mar 21"</formula1>
    </dataValidation>
    <dataValidation type="list" allowBlank="1" showErrorMessage="1" sqref="A2:A1033 A1051:A1954 A1956:A2954">
      <formula1>Projects!$A$2:$A2954</formula1>
    </dataValidation>
    <dataValidation type="list" allowBlank="1" showErrorMessage="1" sqref="S2:S2954">
      <formula1>List_BW_Invoices</formula1>
    </dataValidation>
    <dataValidation type="list" allowBlank="1" showErrorMessage="1" sqref="C2:C1954 C1956:C2954">
      <formula1>List_Invoice_Status</formula1>
    </dataValidation>
  </dataValidations>
  <hyperlinks>
    <hyperlink r:id="rId2" ref="A48"/>
    <hyperlink r:id="rId3" ref="A97"/>
    <hyperlink r:id="rId4" ref="A139"/>
    <hyperlink r:id="rId5" ref="J140"/>
    <hyperlink r:id="rId6" ref="A187"/>
    <hyperlink r:id="rId7" ref="A239"/>
    <hyperlink r:id="rId8" ref="A289"/>
    <hyperlink r:id="rId9" ref="J298"/>
    <hyperlink r:id="rId10" ref="J299"/>
    <hyperlink r:id="rId11" ref="A331"/>
    <hyperlink r:id="rId12" ref="A423"/>
    <hyperlink r:id="rId13" ref="A464"/>
    <hyperlink r:id="rId14" ref="J505"/>
    <hyperlink r:id="rId15" ref="J507"/>
    <hyperlink r:id="rId16" ref="J801"/>
  </hyperlinks>
  <drawing r:id="rId17"/>
  <legacyDrawing r:id="rId18"/>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2.0"/>
    <col customWidth="1" min="2" max="2" width="31.88"/>
    <col customWidth="1" min="3" max="4" width="41.63"/>
  </cols>
  <sheetData>
    <row r="1">
      <c r="A1" s="306" t="s">
        <v>2210</v>
      </c>
      <c r="B1" s="307" t="s">
        <v>2211</v>
      </c>
      <c r="C1" s="306" t="s">
        <v>2212</v>
      </c>
      <c r="D1" s="308"/>
      <c r="E1" s="308"/>
      <c r="F1" s="308"/>
      <c r="G1" s="308"/>
      <c r="H1" s="308"/>
      <c r="I1" s="308"/>
      <c r="J1" s="308"/>
      <c r="K1" s="308"/>
      <c r="L1" s="308"/>
      <c r="M1" s="308"/>
      <c r="N1" s="308"/>
      <c r="O1" s="308"/>
      <c r="P1" s="308"/>
      <c r="Q1" s="308"/>
      <c r="R1" s="308"/>
      <c r="S1" s="308"/>
      <c r="T1" s="308"/>
      <c r="U1" s="308"/>
      <c r="V1" s="308"/>
      <c r="W1" s="308"/>
      <c r="X1" s="308"/>
      <c r="Y1" s="308"/>
      <c r="Z1" s="308"/>
    </row>
    <row r="2">
      <c r="A2" s="81" t="s">
        <v>2213</v>
      </c>
      <c r="B2" s="309"/>
      <c r="C2" s="81" t="s">
        <v>2214</v>
      </c>
      <c r="D2" s="309"/>
      <c r="E2" s="309"/>
      <c r="F2" s="309"/>
      <c r="G2" s="309"/>
      <c r="H2" s="309"/>
      <c r="I2" s="309"/>
      <c r="J2" s="309"/>
      <c r="K2" s="309"/>
      <c r="L2" s="309"/>
      <c r="M2" s="309"/>
      <c r="N2" s="309"/>
      <c r="O2" s="309"/>
      <c r="P2" s="309"/>
      <c r="Q2" s="309"/>
      <c r="R2" s="309"/>
      <c r="S2" s="309"/>
      <c r="T2" s="309"/>
      <c r="U2" s="309"/>
      <c r="V2" s="309"/>
      <c r="W2" s="309"/>
      <c r="X2" s="309"/>
      <c r="Y2" s="309"/>
      <c r="Z2" s="309"/>
    </row>
    <row r="3">
      <c r="A3" s="81" t="s">
        <v>2215</v>
      </c>
      <c r="B3" s="309"/>
      <c r="C3" s="81" t="s">
        <v>2216</v>
      </c>
      <c r="D3" s="309"/>
      <c r="E3" s="309"/>
      <c r="F3" s="309"/>
      <c r="G3" s="309"/>
      <c r="H3" s="309"/>
      <c r="I3" s="309"/>
      <c r="J3" s="309"/>
      <c r="K3" s="309"/>
      <c r="L3" s="309"/>
      <c r="M3" s="309"/>
      <c r="N3" s="309"/>
      <c r="O3" s="309"/>
      <c r="P3" s="309"/>
      <c r="Q3" s="309"/>
      <c r="R3" s="309"/>
      <c r="S3" s="309"/>
      <c r="T3" s="309"/>
      <c r="U3" s="309"/>
      <c r="V3" s="309"/>
      <c r="W3" s="309"/>
      <c r="X3" s="309"/>
      <c r="Y3" s="309"/>
      <c r="Z3" s="309"/>
    </row>
    <row r="4">
      <c r="A4" s="81" t="s">
        <v>2217</v>
      </c>
      <c r="B4" s="309"/>
      <c r="C4" s="81" t="s">
        <v>2218</v>
      </c>
      <c r="D4" s="309"/>
      <c r="E4" s="309"/>
      <c r="F4" s="309"/>
      <c r="G4" s="309"/>
      <c r="H4" s="309"/>
      <c r="I4" s="309"/>
      <c r="J4" s="309"/>
      <c r="K4" s="309"/>
      <c r="L4" s="309"/>
      <c r="M4" s="309"/>
      <c r="N4" s="309"/>
      <c r="O4" s="309"/>
      <c r="P4" s="309"/>
      <c r="Q4" s="309"/>
      <c r="R4" s="309"/>
      <c r="S4" s="309"/>
      <c r="T4" s="309"/>
      <c r="U4" s="309"/>
      <c r="V4" s="309"/>
      <c r="W4" s="309"/>
      <c r="X4" s="309"/>
      <c r="Y4" s="309"/>
      <c r="Z4" s="309"/>
    </row>
    <row r="5">
      <c r="A5" s="81" t="s">
        <v>2219</v>
      </c>
      <c r="B5" s="309"/>
      <c r="C5" s="81" t="s">
        <v>2220</v>
      </c>
      <c r="D5" s="309"/>
      <c r="E5" s="309"/>
      <c r="F5" s="309"/>
      <c r="G5" s="309"/>
      <c r="H5" s="309"/>
      <c r="I5" s="309"/>
      <c r="J5" s="309"/>
      <c r="K5" s="309"/>
      <c r="L5" s="309"/>
      <c r="M5" s="309"/>
      <c r="N5" s="309"/>
      <c r="O5" s="309"/>
      <c r="P5" s="309"/>
      <c r="Q5" s="309"/>
      <c r="R5" s="309"/>
      <c r="S5" s="309"/>
      <c r="T5" s="309"/>
      <c r="U5" s="309"/>
      <c r="V5" s="309"/>
      <c r="W5" s="309"/>
      <c r="X5" s="309"/>
      <c r="Y5" s="309"/>
      <c r="Z5" s="309"/>
    </row>
    <row r="6">
      <c r="A6" s="194"/>
      <c r="B6" s="309"/>
      <c r="C6" s="81" t="s">
        <v>2221</v>
      </c>
      <c r="D6" s="309"/>
      <c r="E6" s="309"/>
      <c r="F6" s="309"/>
      <c r="G6" s="309"/>
      <c r="H6" s="309"/>
      <c r="I6" s="309"/>
      <c r="J6" s="309"/>
      <c r="K6" s="309"/>
      <c r="L6" s="309"/>
      <c r="M6" s="309"/>
      <c r="N6" s="309"/>
      <c r="O6" s="309"/>
      <c r="P6" s="309"/>
      <c r="Q6" s="309"/>
      <c r="R6" s="309"/>
      <c r="S6" s="309"/>
      <c r="T6" s="309"/>
      <c r="U6" s="309"/>
      <c r="V6" s="309"/>
      <c r="W6" s="309"/>
      <c r="X6" s="309"/>
      <c r="Y6" s="309"/>
      <c r="Z6" s="309"/>
    </row>
    <row r="7">
      <c r="A7" s="194"/>
      <c r="B7" s="309"/>
      <c r="C7" s="194"/>
      <c r="D7" s="309"/>
      <c r="E7" s="309"/>
      <c r="F7" s="309"/>
      <c r="G7" s="309"/>
      <c r="H7" s="309"/>
      <c r="I7" s="309"/>
      <c r="J7" s="309"/>
      <c r="K7" s="309"/>
      <c r="L7" s="309"/>
      <c r="M7" s="309"/>
      <c r="N7" s="309"/>
      <c r="O7" s="309"/>
      <c r="P7" s="309"/>
      <c r="Q7" s="309"/>
      <c r="R7" s="309"/>
      <c r="S7" s="309"/>
      <c r="T7" s="309"/>
      <c r="U7" s="309"/>
      <c r="V7" s="309"/>
      <c r="W7" s="309"/>
      <c r="X7" s="309"/>
      <c r="Y7" s="309"/>
      <c r="Z7" s="309"/>
    </row>
    <row r="8">
      <c r="A8" s="194"/>
      <c r="B8" s="309"/>
      <c r="C8" s="194"/>
      <c r="D8" s="309"/>
      <c r="E8" s="309"/>
      <c r="F8" s="309"/>
      <c r="G8" s="309"/>
      <c r="H8" s="309"/>
      <c r="I8" s="309"/>
      <c r="J8" s="309"/>
      <c r="K8" s="309"/>
      <c r="L8" s="309"/>
      <c r="M8" s="309"/>
      <c r="N8" s="309"/>
      <c r="O8" s="309"/>
      <c r="P8" s="309"/>
      <c r="Q8" s="309"/>
      <c r="R8" s="309"/>
      <c r="S8" s="309"/>
      <c r="T8" s="309"/>
      <c r="U8" s="309"/>
      <c r="V8" s="309"/>
      <c r="W8" s="309"/>
      <c r="X8" s="309"/>
      <c r="Y8" s="309"/>
      <c r="Z8" s="309"/>
    </row>
    <row r="9">
      <c r="A9" s="194"/>
      <c r="B9" s="309"/>
      <c r="C9" s="194"/>
      <c r="D9" s="309"/>
      <c r="E9" s="309"/>
      <c r="F9" s="309"/>
      <c r="G9" s="309"/>
      <c r="H9" s="309"/>
      <c r="I9" s="309"/>
      <c r="J9" s="309"/>
      <c r="K9" s="309"/>
      <c r="L9" s="309"/>
      <c r="M9" s="309"/>
      <c r="N9" s="309"/>
      <c r="O9" s="309"/>
      <c r="P9" s="309"/>
      <c r="Q9" s="309"/>
      <c r="R9" s="309"/>
      <c r="S9" s="309"/>
      <c r="T9" s="309"/>
      <c r="U9" s="309"/>
      <c r="V9" s="309"/>
      <c r="W9" s="309"/>
      <c r="X9" s="309"/>
      <c r="Y9" s="309"/>
      <c r="Z9" s="309"/>
    </row>
    <row r="10">
      <c r="A10" s="304"/>
      <c r="B10" s="81"/>
      <c r="D10" s="309"/>
      <c r="E10" s="309"/>
      <c r="F10" s="309"/>
      <c r="G10" s="309"/>
      <c r="H10" s="309"/>
      <c r="I10" s="309"/>
      <c r="J10" s="309"/>
      <c r="K10" s="309"/>
      <c r="L10" s="309"/>
      <c r="M10" s="309"/>
      <c r="N10" s="309"/>
      <c r="O10" s="309"/>
      <c r="P10" s="309"/>
      <c r="Q10" s="309"/>
      <c r="R10" s="309"/>
      <c r="S10" s="309"/>
      <c r="T10" s="309"/>
      <c r="U10" s="309"/>
      <c r="V10" s="309"/>
      <c r="W10" s="309"/>
      <c r="X10" s="309"/>
      <c r="Y10" s="309"/>
      <c r="Z10" s="309"/>
    </row>
    <row r="11">
      <c r="A11" s="304">
        <v>5900.0</v>
      </c>
      <c r="B11" s="81">
        <v>0.11864</v>
      </c>
      <c r="C11" s="223">
        <f>A11*B11</f>
        <v>699.976</v>
      </c>
      <c r="D11" s="309"/>
      <c r="E11" s="309"/>
      <c r="F11" s="309"/>
      <c r="G11" s="309"/>
      <c r="H11" s="309"/>
      <c r="I11" s="309"/>
      <c r="J11" s="309"/>
      <c r="K11" s="309"/>
      <c r="L11" s="309"/>
      <c r="M11" s="309"/>
      <c r="N11" s="309"/>
      <c r="O11" s="309"/>
      <c r="P11" s="309"/>
      <c r="Q11" s="309"/>
      <c r="R11" s="309"/>
      <c r="S11" s="309"/>
      <c r="T11" s="309"/>
      <c r="U11" s="309"/>
      <c r="V11" s="309"/>
      <c r="W11" s="309"/>
      <c r="X11" s="309"/>
      <c r="Y11" s="309"/>
      <c r="Z11" s="309"/>
    </row>
    <row r="12">
      <c r="A12" s="304"/>
      <c r="B12" s="81"/>
      <c r="D12" s="309"/>
      <c r="E12" s="309"/>
      <c r="F12" s="309"/>
      <c r="G12" s="309"/>
      <c r="H12" s="309"/>
      <c r="I12" s="309"/>
      <c r="J12" s="309"/>
      <c r="K12" s="309"/>
      <c r="L12" s="309"/>
      <c r="M12" s="309"/>
      <c r="N12" s="309"/>
      <c r="O12" s="309"/>
      <c r="P12" s="309"/>
      <c r="Q12" s="309"/>
      <c r="R12" s="309"/>
      <c r="S12" s="309"/>
      <c r="T12" s="309"/>
      <c r="U12" s="309"/>
      <c r="V12" s="309"/>
      <c r="W12" s="309"/>
      <c r="X12" s="309"/>
      <c r="Y12" s="309"/>
      <c r="Z12" s="309"/>
    </row>
    <row r="13">
      <c r="A13" s="304"/>
      <c r="B13" s="81"/>
      <c r="D13" s="309"/>
      <c r="E13" s="309"/>
      <c r="F13" s="309"/>
      <c r="G13" s="309"/>
      <c r="H13" s="309"/>
      <c r="I13" s="309"/>
      <c r="J13" s="309"/>
      <c r="K13" s="309"/>
      <c r="L13" s="309"/>
      <c r="M13" s="309"/>
      <c r="N13" s="309"/>
      <c r="O13" s="309"/>
      <c r="P13" s="309"/>
      <c r="Q13" s="309"/>
      <c r="R13" s="309"/>
      <c r="S13" s="309"/>
      <c r="T13" s="309"/>
      <c r="U13" s="309"/>
      <c r="V13" s="309"/>
      <c r="W13" s="309"/>
      <c r="X13" s="309"/>
      <c r="Y13" s="309"/>
      <c r="Z13" s="309"/>
    </row>
    <row r="14">
      <c r="A14" s="194"/>
      <c r="B14" s="309"/>
      <c r="C14" s="194"/>
      <c r="D14" s="309"/>
      <c r="E14" s="309"/>
      <c r="F14" s="309"/>
      <c r="G14" s="309"/>
      <c r="H14" s="309"/>
      <c r="I14" s="309"/>
      <c r="J14" s="309"/>
      <c r="K14" s="309"/>
      <c r="L14" s="309"/>
      <c r="M14" s="309"/>
      <c r="N14" s="309"/>
      <c r="O14" s="309"/>
      <c r="P14" s="309"/>
      <c r="Q14" s="309"/>
      <c r="R14" s="309"/>
      <c r="S14" s="309"/>
      <c r="T14" s="309"/>
      <c r="U14" s="309"/>
      <c r="V14" s="309"/>
      <c r="W14" s="309"/>
      <c r="X14" s="309"/>
      <c r="Y14" s="309"/>
      <c r="Z14" s="309"/>
    </row>
    <row r="15">
      <c r="A15" s="194"/>
      <c r="B15" s="309"/>
      <c r="C15" s="194"/>
      <c r="D15" s="309"/>
      <c r="E15" s="309"/>
      <c r="F15" s="309"/>
      <c r="G15" s="309"/>
      <c r="H15" s="309"/>
      <c r="I15" s="309"/>
      <c r="J15" s="309"/>
      <c r="K15" s="309"/>
      <c r="L15" s="309"/>
      <c r="M15" s="309"/>
      <c r="N15" s="309"/>
      <c r="O15" s="309"/>
      <c r="P15" s="309"/>
      <c r="Q15" s="309"/>
      <c r="R15" s="309"/>
      <c r="S15" s="309"/>
      <c r="T15" s="309"/>
      <c r="U15" s="309"/>
      <c r="V15" s="309"/>
      <c r="W15" s="309"/>
      <c r="X15" s="309"/>
      <c r="Y15" s="309"/>
      <c r="Z15" s="309"/>
    </row>
    <row r="16">
      <c r="A16" s="194"/>
      <c r="B16" s="309"/>
      <c r="C16" s="194"/>
      <c r="D16" s="309"/>
      <c r="E16" s="309"/>
      <c r="F16" s="309"/>
      <c r="G16" s="309"/>
      <c r="H16" s="309"/>
      <c r="I16" s="309"/>
      <c r="J16" s="309"/>
      <c r="K16" s="309"/>
      <c r="L16" s="309"/>
      <c r="M16" s="309"/>
      <c r="N16" s="309"/>
      <c r="O16" s="309"/>
      <c r="P16" s="309"/>
      <c r="Q16" s="309"/>
      <c r="R16" s="309"/>
      <c r="S16" s="309"/>
      <c r="T16" s="309"/>
      <c r="U16" s="309"/>
      <c r="V16" s="309"/>
      <c r="W16" s="309"/>
      <c r="X16" s="309"/>
      <c r="Y16" s="309"/>
      <c r="Z16" s="309"/>
    </row>
    <row r="17">
      <c r="A17" s="194"/>
      <c r="B17" s="309"/>
      <c r="C17" s="194"/>
      <c r="D17" s="309"/>
      <c r="E17" s="309"/>
      <c r="F17" s="309"/>
      <c r="G17" s="309"/>
      <c r="H17" s="309"/>
      <c r="I17" s="309"/>
      <c r="J17" s="309"/>
      <c r="K17" s="309"/>
      <c r="L17" s="309"/>
      <c r="M17" s="309"/>
      <c r="N17" s="309"/>
      <c r="O17" s="309"/>
      <c r="P17" s="309"/>
      <c r="Q17" s="309"/>
      <c r="R17" s="309"/>
      <c r="S17" s="309"/>
      <c r="T17" s="309"/>
      <c r="U17" s="309"/>
      <c r="V17" s="309"/>
      <c r="W17" s="309"/>
      <c r="X17" s="309"/>
      <c r="Y17" s="309"/>
      <c r="Z17" s="309"/>
    </row>
    <row r="18">
      <c r="A18" s="194"/>
      <c r="B18" s="309"/>
      <c r="C18" s="194"/>
      <c r="D18" s="309"/>
      <c r="E18" s="309"/>
      <c r="F18" s="309"/>
      <c r="G18" s="309"/>
      <c r="H18" s="309"/>
      <c r="I18" s="309"/>
      <c r="J18" s="309"/>
      <c r="K18" s="309"/>
      <c r="L18" s="309"/>
      <c r="M18" s="309"/>
      <c r="N18" s="309"/>
      <c r="O18" s="309"/>
      <c r="P18" s="309"/>
      <c r="Q18" s="309"/>
      <c r="R18" s="309"/>
      <c r="S18" s="309"/>
      <c r="T18" s="309"/>
      <c r="U18" s="309"/>
      <c r="V18" s="309"/>
      <c r="W18" s="309"/>
      <c r="X18" s="309"/>
      <c r="Y18" s="309"/>
      <c r="Z18" s="309"/>
    </row>
    <row r="19">
      <c r="A19" s="194"/>
      <c r="B19" s="309"/>
      <c r="C19" s="194"/>
      <c r="D19" s="309"/>
      <c r="E19" s="309"/>
      <c r="F19" s="309"/>
      <c r="G19" s="309"/>
      <c r="H19" s="309"/>
      <c r="I19" s="309"/>
      <c r="J19" s="309"/>
      <c r="K19" s="309"/>
      <c r="L19" s="309"/>
      <c r="M19" s="309"/>
      <c r="N19" s="309"/>
      <c r="O19" s="309"/>
      <c r="P19" s="309"/>
      <c r="Q19" s="309"/>
      <c r="R19" s="309"/>
      <c r="S19" s="309"/>
      <c r="T19" s="309"/>
      <c r="U19" s="309"/>
      <c r="V19" s="309"/>
      <c r="W19" s="309"/>
      <c r="X19" s="309"/>
      <c r="Y19" s="309"/>
      <c r="Z19" s="309"/>
    </row>
    <row r="20">
      <c r="A20" s="194"/>
      <c r="B20" s="309"/>
      <c r="C20" s="194"/>
      <c r="D20" s="309"/>
      <c r="E20" s="309"/>
      <c r="F20" s="309"/>
      <c r="G20" s="309"/>
      <c r="H20" s="309"/>
      <c r="I20" s="309"/>
      <c r="J20" s="309"/>
      <c r="K20" s="309"/>
      <c r="L20" s="309"/>
      <c r="M20" s="309"/>
      <c r="N20" s="309"/>
      <c r="O20" s="309"/>
      <c r="P20" s="309"/>
      <c r="Q20" s="309"/>
      <c r="R20" s="309"/>
      <c r="S20" s="309"/>
      <c r="T20" s="309"/>
      <c r="U20" s="309"/>
      <c r="V20" s="309"/>
      <c r="W20" s="309"/>
      <c r="X20" s="309"/>
      <c r="Y20" s="309"/>
      <c r="Z20" s="309"/>
    </row>
    <row r="21">
      <c r="A21" s="194"/>
      <c r="B21" s="309"/>
      <c r="C21" s="194"/>
      <c r="D21" s="309"/>
      <c r="E21" s="309"/>
      <c r="F21" s="309"/>
      <c r="G21" s="309"/>
      <c r="H21" s="309"/>
      <c r="I21" s="309"/>
      <c r="J21" s="309"/>
      <c r="K21" s="309"/>
      <c r="L21" s="309"/>
      <c r="M21" s="309"/>
      <c r="N21" s="309"/>
      <c r="O21" s="309"/>
      <c r="P21" s="309"/>
      <c r="Q21" s="309"/>
      <c r="R21" s="309"/>
      <c r="S21" s="309"/>
      <c r="T21" s="309"/>
      <c r="U21" s="309"/>
      <c r="V21" s="309"/>
      <c r="W21" s="309"/>
      <c r="X21" s="309"/>
      <c r="Y21" s="309"/>
      <c r="Z21" s="309"/>
    </row>
    <row r="22">
      <c r="A22" s="194"/>
      <c r="B22" s="309"/>
      <c r="C22" s="194"/>
      <c r="D22" s="309"/>
      <c r="E22" s="309"/>
      <c r="F22" s="309"/>
      <c r="G22" s="309"/>
      <c r="H22" s="309"/>
      <c r="I22" s="309"/>
      <c r="J22" s="309"/>
      <c r="K22" s="309"/>
      <c r="L22" s="309"/>
      <c r="M22" s="309"/>
      <c r="N22" s="309"/>
      <c r="O22" s="309"/>
      <c r="P22" s="309"/>
      <c r="Q22" s="309"/>
      <c r="R22" s="309"/>
      <c r="S22" s="309"/>
      <c r="T22" s="309"/>
      <c r="U22" s="309"/>
      <c r="V22" s="309"/>
      <c r="W22" s="309"/>
      <c r="X22" s="309"/>
      <c r="Y22" s="309"/>
      <c r="Z22" s="309"/>
    </row>
    <row r="23">
      <c r="A23" s="194"/>
      <c r="B23" s="309"/>
      <c r="C23" s="194"/>
      <c r="D23" s="309"/>
      <c r="E23" s="309"/>
      <c r="F23" s="309"/>
      <c r="G23" s="309"/>
      <c r="H23" s="309"/>
      <c r="I23" s="309"/>
      <c r="J23" s="309"/>
      <c r="K23" s="309"/>
      <c r="L23" s="309"/>
      <c r="M23" s="309"/>
      <c r="N23" s="309"/>
      <c r="O23" s="309"/>
      <c r="P23" s="309"/>
      <c r="Q23" s="309"/>
      <c r="R23" s="309"/>
      <c r="S23" s="309"/>
      <c r="T23" s="309"/>
      <c r="U23" s="309"/>
      <c r="V23" s="309"/>
      <c r="W23" s="309"/>
      <c r="X23" s="309"/>
      <c r="Y23" s="309"/>
      <c r="Z23" s="309"/>
    </row>
    <row r="24">
      <c r="A24" s="194"/>
      <c r="B24" s="309"/>
      <c r="C24" s="194"/>
      <c r="D24" s="309"/>
      <c r="E24" s="309"/>
      <c r="F24" s="309"/>
      <c r="G24" s="309"/>
      <c r="H24" s="309"/>
      <c r="I24" s="309"/>
      <c r="J24" s="309"/>
      <c r="K24" s="309"/>
      <c r="L24" s="309"/>
      <c r="M24" s="309"/>
      <c r="N24" s="309"/>
      <c r="O24" s="309"/>
      <c r="P24" s="309"/>
      <c r="Q24" s="309"/>
      <c r="R24" s="309"/>
      <c r="S24" s="309"/>
      <c r="T24" s="309"/>
      <c r="U24" s="309"/>
      <c r="V24" s="309"/>
      <c r="W24" s="309"/>
      <c r="X24" s="309"/>
      <c r="Y24" s="309"/>
      <c r="Z24" s="309"/>
    </row>
    <row r="25">
      <c r="A25" s="194"/>
      <c r="B25" s="309"/>
      <c r="C25" s="194"/>
      <c r="D25" s="309"/>
      <c r="E25" s="309"/>
      <c r="F25" s="309"/>
      <c r="G25" s="309"/>
      <c r="H25" s="309"/>
      <c r="I25" s="309"/>
      <c r="J25" s="309"/>
      <c r="K25" s="309"/>
      <c r="L25" s="309"/>
      <c r="M25" s="309"/>
      <c r="N25" s="309"/>
      <c r="O25" s="309"/>
      <c r="P25" s="309"/>
      <c r="Q25" s="309"/>
      <c r="R25" s="309"/>
      <c r="S25" s="309"/>
      <c r="T25" s="309"/>
      <c r="U25" s="309"/>
      <c r="V25" s="309"/>
      <c r="W25" s="309"/>
      <c r="X25" s="309"/>
      <c r="Y25" s="309"/>
      <c r="Z25" s="309"/>
    </row>
    <row r="26">
      <c r="A26" s="194"/>
      <c r="B26" s="309"/>
      <c r="C26" s="194"/>
      <c r="D26" s="309"/>
      <c r="E26" s="309"/>
      <c r="F26" s="309"/>
      <c r="G26" s="309"/>
      <c r="H26" s="309"/>
      <c r="I26" s="309"/>
      <c r="J26" s="309"/>
      <c r="K26" s="309"/>
      <c r="L26" s="309"/>
      <c r="M26" s="309"/>
      <c r="N26" s="309"/>
      <c r="O26" s="309"/>
      <c r="P26" s="309"/>
      <c r="Q26" s="309"/>
      <c r="R26" s="309"/>
      <c r="S26" s="309"/>
      <c r="T26" s="309"/>
      <c r="U26" s="309"/>
      <c r="V26" s="309"/>
      <c r="W26" s="309"/>
      <c r="X26" s="309"/>
      <c r="Y26" s="309"/>
      <c r="Z26" s="309"/>
    </row>
    <row r="27">
      <c r="A27" s="194"/>
      <c r="B27" s="309"/>
      <c r="C27" s="194"/>
      <c r="D27" s="309"/>
      <c r="E27" s="309"/>
      <c r="F27" s="309"/>
      <c r="G27" s="309"/>
      <c r="H27" s="309"/>
      <c r="I27" s="309"/>
      <c r="J27" s="309"/>
      <c r="K27" s="309"/>
      <c r="L27" s="309"/>
      <c r="M27" s="309"/>
      <c r="N27" s="309"/>
      <c r="O27" s="309"/>
      <c r="P27" s="309"/>
      <c r="Q27" s="309"/>
      <c r="R27" s="309"/>
      <c r="S27" s="309"/>
      <c r="T27" s="309"/>
      <c r="U27" s="309"/>
      <c r="V27" s="309"/>
      <c r="W27" s="309"/>
      <c r="X27" s="309"/>
      <c r="Y27" s="309"/>
      <c r="Z27" s="309"/>
    </row>
    <row r="28">
      <c r="A28" s="194"/>
      <c r="B28" s="309"/>
      <c r="C28" s="194"/>
      <c r="D28" s="309"/>
      <c r="E28" s="309"/>
      <c r="F28" s="309"/>
      <c r="G28" s="309"/>
      <c r="H28" s="309"/>
      <c r="I28" s="309"/>
      <c r="J28" s="309"/>
      <c r="K28" s="309"/>
      <c r="L28" s="309"/>
      <c r="M28" s="309"/>
      <c r="N28" s="309"/>
      <c r="O28" s="309"/>
      <c r="P28" s="309"/>
      <c r="Q28" s="309"/>
      <c r="R28" s="309"/>
      <c r="S28" s="309"/>
      <c r="T28" s="309"/>
      <c r="U28" s="309"/>
      <c r="V28" s="309"/>
      <c r="W28" s="309"/>
      <c r="X28" s="309"/>
      <c r="Y28" s="309"/>
      <c r="Z28" s="309"/>
    </row>
    <row r="29">
      <c r="A29" s="194"/>
      <c r="B29" s="309"/>
      <c r="C29" s="194"/>
      <c r="D29" s="309"/>
      <c r="E29" s="309"/>
      <c r="F29" s="309"/>
      <c r="G29" s="309"/>
      <c r="H29" s="309"/>
      <c r="I29" s="309"/>
      <c r="J29" s="309"/>
      <c r="K29" s="309"/>
      <c r="L29" s="309"/>
      <c r="M29" s="309"/>
      <c r="N29" s="309"/>
      <c r="O29" s="309"/>
      <c r="P29" s="309"/>
      <c r="Q29" s="309"/>
      <c r="R29" s="309"/>
      <c r="S29" s="309"/>
      <c r="T29" s="309"/>
      <c r="U29" s="309"/>
      <c r="V29" s="309"/>
      <c r="W29" s="309"/>
      <c r="X29" s="309"/>
      <c r="Y29" s="309"/>
      <c r="Z29" s="309"/>
    </row>
    <row r="30">
      <c r="A30" s="194"/>
      <c r="B30" s="309"/>
      <c r="C30" s="194"/>
      <c r="D30" s="309"/>
      <c r="E30" s="309"/>
      <c r="F30" s="309"/>
      <c r="G30" s="309"/>
      <c r="H30" s="309"/>
      <c r="I30" s="309"/>
      <c r="J30" s="309"/>
      <c r="K30" s="309"/>
      <c r="L30" s="309"/>
      <c r="M30" s="309"/>
      <c r="N30" s="309"/>
      <c r="O30" s="309"/>
      <c r="P30" s="309"/>
      <c r="Q30" s="309"/>
      <c r="R30" s="309"/>
      <c r="S30" s="309"/>
      <c r="T30" s="309"/>
      <c r="U30" s="309"/>
      <c r="V30" s="309"/>
      <c r="W30" s="309"/>
      <c r="X30" s="309"/>
      <c r="Y30" s="309"/>
      <c r="Z30" s="309"/>
    </row>
    <row r="31">
      <c r="A31" s="194"/>
      <c r="B31" s="309"/>
      <c r="C31" s="194"/>
      <c r="D31" s="309"/>
      <c r="E31" s="309"/>
      <c r="F31" s="309"/>
      <c r="G31" s="309"/>
      <c r="H31" s="309"/>
      <c r="I31" s="309"/>
      <c r="J31" s="309"/>
      <c r="K31" s="309"/>
      <c r="L31" s="309"/>
      <c r="M31" s="309"/>
      <c r="N31" s="309"/>
      <c r="O31" s="309"/>
      <c r="P31" s="309"/>
      <c r="Q31" s="309"/>
      <c r="R31" s="309"/>
      <c r="S31" s="309"/>
      <c r="T31" s="309"/>
      <c r="U31" s="309"/>
      <c r="V31" s="309"/>
      <c r="W31" s="309"/>
      <c r="X31" s="309"/>
      <c r="Y31" s="309"/>
      <c r="Z31" s="309"/>
    </row>
    <row r="32">
      <c r="A32" s="194"/>
      <c r="B32" s="309"/>
      <c r="C32" s="194"/>
      <c r="D32" s="309"/>
      <c r="E32" s="309"/>
      <c r="F32" s="309"/>
      <c r="G32" s="309"/>
      <c r="H32" s="309"/>
      <c r="I32" s="309"/>
      <c r="J32" s="309"/>
      <c r="K32" s="309"/>
      <c r="L32" s="309"/>
      <c r="M32" s="309"/>
      <c r="N32" s="309"/>
      <c r="O32" s="309"/>
      <c r="P32" s="309"/>
      <c r="Q32" s="309"/>
      <c r="R32" s="309"/>
      <c r="S32" s="309"/>
      <c r="T32" s="309"/>
      <c r="U32" s="309"/>
      <c r="V32" s="309"/>
      <c r="W32" s="309"/>
      <c r="X32" s="309"/>
      <c r="Y32" s="309"/>
      <c r="Z32" s="309"/>
    </row>
    <row r="33">
      <c r="A33" s="194"/>
      <c r="B33" s="309"/>
      <c r="C33" s="194"/>
      <c r="D33" s="309"/>
      <c r="E33" s="309"/>
      <c r="F33" s="309"/>
      <c r="G33" s="309"/>
      <c r="H33" s="309"/>
      <c r="I33" s="309"/>
      <c r="J33" s="309"/>
      <c r="K33" s="309"/>
      <c r="L33" s="309"/>
      <c r="M33" s="309"/>
      <c r="N33" s="309"/>
      <c r="O33" s="309"/>
      <c r="P33" s="309"/>
      <c r="Q33" s="309"/>
      <c r="R33" s="309"/>
      <c r="S33" s="309"/>
      <c r="T33" s="309"/>
      <c r="U33" s="309"/>
      <c r="V33" s="309"/>
      <c r="W33" s="309"/>
      <c r="X33" s="309"/>
      <c r="Y33" s="309"/>
      <c r="Z33" s="309"/>
    </row>
    <row r="34">
      <c r="A34" s="194"/>
      <c r="B34" s="309"/>
      <c r="C34" s="194"/>
      <c r="D34" s="309"/>
      <c r="E34" s="309"/>
      <c r="F34" s="309"/>
      <c r="G34" s="309"/>
      <c r="H34" s="309"/>
      <c r="I34" s="309"/>
      <c r="J34" s="309"/>
      <c r="K34" s="309"/>
      <c r="L34" s="309"/>
      <c r="M34" s="309"/>
      <c r="N34" s="309"/>
      <c r="O34" s="309"/>
      <c r="P34" s="309"/>
      <c r="Q34" s="309"/>
      <c r="R34" s="309"/>
      <c r="S34" s="309"/>
      <c r="T34" s="309"/>
      <c r="U34" s="309"/>
      <c r="V34" s="309"/>
      <c r="W34" s="309"/>
      <c r="X34" s="309"/>
      <c r="Y34" s="309"/>
      <c r="Z34" s="309"/>
    </row>
    <row r="35">
      <c r="A35" s="194"/>
      <c r="B35" s="309"/>
      <c r="C35" s="194"/>
      <c r="D35" s="309"/>
      <c r="E35" s="309"/>
      <c r="F35" s="309"/>
      <c r="G35" s="309"/>
      <c r="H35" s="309"/>
      <c r="I35" s="309"/>
      <c r="J35" s="309"/>
      <c r="K35" s="309"/>
      <c r="L35" s="309"/>
      <c r="M35" s="309"/>
      <c r="N35" s="309"/>
      <c r="O35" s="309"/>
      <c r="P35" s="309"/>
      <c r="Q35" s="309"/>
      <c r="R35" s="309"/>
      <c r="S35" s="309"/>
      <c r="T35" s="309"/>
      <c r="U35" s="309"/>
      <c r="V35" s="309"/>
      <c r="W35" s="309"/>
      <c r="X35" s="309"/>
      <c r="Y35" s="309"/>
      <c r="Z35" s="309"/>
    </row>
    <row r="36">
      <c r="A36" s="194"/>
      <c r="B36" s="309"/>
      <c r="C36" s="194"/>
      <c r="D36" s="309"/>
      <c r="E36" s="309"/>
      <c r="F36" s="309"/>
      <c r="G36" s="309"/>
      <c r="H36" s="309"/>
      <c r="I36" s="309"/>
      <c r="J36" s="309"/>
      <c r="K36" s="309"/>
      <c r="L36" s="309"/>
      <c r="M36" s="309"/>
      <c r="N36" s="309"/>
      <c r="O36" s="309"/>
      <c r="P36" s="309"/>
      <c r="Q36" s="309"/>
      <c r="R36" s="309"/>
      <c r="S36" s="309"/>
      <c r="T36" s="309"/>
      <c r="U36" s="309"/>
      <c r="V36" s="309"/>
      <c r="W36" s="309"/>
      <c r="X36" s="309"/>
      <c r="Y36" s="309"/>
      <c r="Z36" s="309"/>
    </row>
    <row r="37">
      <c r="A37" s="194"/>
      <c r="B37" s="309"/>
      <c r="C37" s="194"/>
      <c r="D37" s="309"/>
      <c r="E37" s="309"/>
      <c r="F37" s="309"/>
      <c r="G37" s="309"/>
      <c r="H37" s="309"/>
      <c r="I37" s="309"/>
      <c r="J37" s="309"/>
      <c r="K37" s="309"/>
      <c r="L37" s="309"/>
      <c r="M37" s="309"/>
      <c r="N37" s="309"/>
      <c r="O37" s="309"/>
      <c r="P37" s="309"/>
      <c r="Q37" s="309"/>
      <c r="R37" s="309"/>
      <c r="S37" s="309"/>
      <c r="T37" s="309"/>
      <c r="U37" s="309"/>
      <c r="V37" s="309"/>
      <c r="W37" s="309"/>
      <c r="X37" s="309"/>
      <c r="Y37" s="309"/>
      <c r="Z37" s="309"/>
    </row>
    <row r="38">
      <c r="A38" s="194"/>
      <c r="B38" s="309"/>
      <c r="C38" s="194"/>
      <c r="D38" s="309"/>
      <c r="E38" s="309"/>
      <c r="F38" s="309"/>
      <c r="G38" s="309"/>
      <c r="H38" s="309"/>
      <c r="I38" s="309"/>
      <c r="J38" s="309"/>
      <c r="K38" s="309"/>
      <c r="L38" s="309"/>
      <c r="M38" s="309"/>
      <c r="N38" s="309"/>
      <c r="O38" s="309"/>
      <c r="P38" s="309"/>
      <c r="Q38" s="309"/>
      <c r="R38" s="309"/>
      <c r="S38" s="309"/>
      <c r="T38" s="309"/>
      <c r="U38" s="309"/>
      <c r="V38" s="309"/>
      <c r="W38" s="309"/>
      <c r="X38" s="309"/>
      <c r="Y38" s="309"/>
      <c r="Z38" s="309"/>
    </row>
    <row r="39">
      <c r="A39" s="194"/>
      <c r="B39" s="309"/>
      <c r="C39" s="194"/>
      <c r="D39" s="309"/>
      <c r="E39" s="309"/>
      <c r="F39" s="309"/>
      <c r="G39" s="309"/>
      <c r="H39" s="309"/>
      <c r="I39" s="309"/>
      <c r="J39" s="309"/>
      <c r="K39" s="309"/>
      <c r="L39" s="309"/>
      <c r="M39" s="309"/>
      <c r="N39" s="309"/>
      <c r="O39" s="309"/>
      <c r="P39" s="309"/>
      <c r="Q39" s="309"/>
      <c r="R39" s="309"/>
      <c r="S39" s="309"/>
      <c r="T39" s="309"/>
      <c r="U39" s="309"/>
      <c r="V39" s="309"/>
      <c r="W39" s="309"/>
      <c r="X39" s="309"/>
      <c r="Y39" s="309"/>
      <c r="Z39" s="309"/>
    </row>
    <row r="40">
      <c r="A40" s="194"/>
      <c r="B40" s="309"/>
      <c r="C40" s="194"/>
      <c r="D40" s="309"/>
      <c r="E40" s="309"/>
      <c r="F40" s="309"/>
      <c r="G40" s="309"/>
      <c r="H40" s="309"/>
      <c r="I40" s="309"/>
      <c r="J40" s="309"/>
      <c r="K40" s="309"/>
      <c r="L40" s="309"/>
      <c r="M40" s="309"/>
      <c r="N40" s="309"/>
      <c r="O40" s="309"/>
      <c r="P40" s="309"/>
      <c r="Q40" s="309"/>
      <c r="R40" s="309"/>
      <c r="S40" s="309"/>
      <c r="T40" s="309"/>
      <c r="U40" s="309"/>
      <c r="V40" s="309"/>
      <c r="W40" s="309"/>
      <c r="X40" s="309"/>
      <c r="Y40" s="309"/>
      <c r="Z40" s="309"/>
    </row>
    <row r="41">
      <c r="A41" s="194"/>
      <c r="B41" s="309"/>
      <c r="C41" s="194"/>
      <c r="D41" s="309"/>
      <c r="E41" s="309"/>
      <c r="F41" s="309"/>
      <c r="G41" s="309"/>
      <c r="H41" s="309"/>
      <c r="I41" s="309"/>
      <c r="J41" s="309"/>
      <c r="K41" s="309"/>
      <c r="L41" s="309"/>
      <c r="M41" s="309"/>
      <c r="N41" s="309"/>
      <c r="O41" s="309"/>
      <c r="P41" s="309"/>
      <c r="Q41" s="309"/>
      <c r="R41" s="309"/>
      <c r="S41" s="309"/>
      <c r="T41" s="309"/>
      <c r="U41" s="309"/>
      <c r="V41" s="309"/>
      <c r="W41" s="309"/>
      <c r="X41" s="309"/>
      <c r="Y41" s="309"/>
      <c r="Z41" s="309"/>
    </row>
    <row r="42">
      <c r="A42" s="194"/>
      <c r="B42" s="309"/>
      <c r="C42" s="194"/>
      <c r="D42" s="309"/>
      <c r="E42" s="309"/>
      <c r="F42" s="309"/>
      <c r="G42" s="309"/>
      <c r="H42" s="309"/>
      <c r="I42" s="309"/>
      <c r="J42" s="309"/>
      <c r="K42" s="309"/>
      <c r="L42" s="309"/>
      <c r="M42" s="309"/>
      <c r="N42" s="309"/>
      <c r="O42" s="309"/>
      <c r="P42" s="309"/>
      <c r="Q42" s="309"/>
      <c r="R42" s="309"/>
      <c r="S42" s="309"/>
      <c r="T42" s="309"/>
      <c r="U42" s="309"/>
      <c r="V42" s="309"/>
      <c r="W42" s="309"/>
      <c r="X42" s="309"/>
      <c r="Y42" s="309"/>
      <c r="Z42" s="309"/>
    </row>
    <row r="43">
      <c r="A43" s="194"/>
      <c r="B43" s="309"/>
      <c r="C43" s="194"/>
      <c r="D43" s="309"/>
      <c r="E43" s="309"/>
      <c r="F43" s="309"/>
      <c r="G43" s="309"/>
      <c r="H43" s="309"/>
      <c r="I43" s="309"/>
      <c r="J43" s="309"/>
      <c r="K43" s="309"/>
      <c r="L43" s="309"/>
      <c r="M43" s="309"/>
      <c r="N43" s="309"/>
      <c r="O43" s="309"/>
      <c r="P43" s="309"/>
      <c r="Q43" s="309"/>
      <c r="R43" s="309"/>
      <c r="S43" s="309"/>
      <c r="T43" s="309"/>
      <c r="U43" s="309"/>
      <c r="V43" s="309"/>
      <c r="W43" s="309"/>
      <c r="X43" s="309"/>
      <c r="Y43" s="309"/>
      <c r="Z43" s="309"/>
    </row>
    <row r="44">
      <c r="A44" s="194"/>
      <c r="B44" s="309"/>
      <c r="C44" s="194"/>
      <c r="D44" s="309"/>
      <c r="E44" s="309"/>
      <c r="F44" s="309"/>
      <c r="G44" s="309"/>
      <c r="H44" s="309"/>
      <c r="I44" s="309"/>
      <c r="J44" s="309"/>
      <c r="K44" s="309"/>
      <c r="L44" s="309"/>
      <c r="M44" s="309"/>
      <c r="N44" s="309"/>
      <c r="O44" s="309"/>
      <c r="P44" s="309"/>
      <c r="Q44" s="309"/>
      <c r="R44" s="309"/>
      <c r="S44" s="309"/>
      <c r="T44" s="309"/>
      <c r="U44" s="309"/>
      <c r="V44" s="309"/>
      <c r="W44" s="309"/>
      <c r="X44" s="309"/>
      <c r="Y44" s="309"/>
      <c r="Z44" s="309"/>
    </row>
    <row r="45">
      <c r="A45" s="194"/>
      <c r="B45" s="309"/>
      <c r="C45" s="194"/>
      <c r="D45" s="309"/>
      <c r="E45" s="309"/>
      <c r="F45" s="309"/>
      <c r="G45" s="309"/>
      <c r="H45" s="309"/>
      <c r="I45" s="309"/>
      <c r="J45" s="309"/>
      <c r="K45" s="309"/>
      <c r="L45" s="309"/>
      <c r="M45" s="309"/>
      <c r="N45" s="309"/>
      <c r="O45" s="309"/>
      <c r="P45" s="309"/>
      <c r="Q45" s="309"/>
      <c r="R45" s="309"/>
      <c r="S45" s="309"/>
      <c r="T45" s="309"/>
      <c r="U45" s="309"/>
      <c r="V45" s="309"/>
      <c r="W45" s="309"/>
      <c r="X45" s="309"/>
      <c r="Y45" s="309"/>
      <c r="Z45" s="309"/>
    </row>
    <row r="46">
      <c r="A46" s="194"/>
      <c r="B46" s="309"/>
      <c r="C46" s="194"/>
      <c r="D46" s="309"/>
      <c r="E46" s="309"/>
      <c r="F46" s="309"/>
      <c r="G46" s="309"/>
      <c r="H46" s="309"/>
      <c r="I46" s="309"/>
      <c r="J46" s="309"/>
      <c r="K46" s="309"/>
      <c r="L46" s="309"/>
      <c r="M46" s="309"/>
      <c r="N46" s="309"/>
      <c r="O46" s="309"/>
      <c r="P46" s="309"/>
      <c r="Q46" s="309"/>
      <c r="R46" s="309"/>
      <c r="S46" s="309"/>
      <c r="T46" s="309"/>
      <c r="U46" s="309"/>
      <c r="V46" s="309"/>
      <c r="W46" s="309"/>
      <c r="X46" s="309"/>
      <c r="Y46" s="309"/>
      <c r="Z46" s="309"/>
    </row>
    <row r="47">
      <c r="A47" s="194"/>
      <c r="B47" s="309"/>
      <c r="C47" s="194"/>
      <c r="D47" s="309"/>
      <c r="E47" s="309"/>
      <c r="F47" s="309"/>
      <c r="G47" s="309"/>
      <c r="H47" s="309"/>
      <c r="I47" s="309"/>
      <c r="J47" s="309"/>
      <c r="K47" s="309"/>
      <c r="L47" s="309"/>
      <c r="M47" s="309"/>
      <c r="N47" s="309"/>
      <c r="O47" s="309"/>
      <c r="P47" s="309"/>
      <c r="Q47" s="309"/>
      <c r="R47" s="309"/>
      <c r="S47" s="309"/>
      <c r="T47" s="309"/>
      <c r="U47" s="309"/>
      <c r="V47" s="309"/>
      <c r="W47" s="309"/>
      <c r="X47" s="309"/>
      <c r="Y47" s="309"/>
      <c r="Z47" s="309"/>
    </row>
    <row r="48">
      <c r="A48" s="194"/>
      <c r="B48" s="309"/>
      <c r="C48" s="194"/>
      <c r="D48" s="309"/>
      <c r="E48" s="309"/>
      <c r="F48" s="309"/>
      <c r="G48" s="309"/>
      <c r="H48" s="309"/>
      <c r="I48" s="309"/>
      <c r="J48" s="309"/>
      <c r="K48" s="309"/>
      <c r="L48" s="309"/>
      <c r="M48" s="309"/>
      <c r="N48" s="309"/>
      <c r="O48" s="309"/>
      <c r="P48" s="309"/>
      <c r="Q48" s="309"/>
      <c r="R48" s="309"/>
      <c r="S48" s="309"/>
      <c r="T48" s="309"/>
      <c r="U48" s="309"/>
      <c r="V48" s="309"/>
      <c r="W48" s="309"/>
      <c r="X48" s="309"/>
      <c r="Y48" s="309"/>
      <c r="Z48" s="309"/>
    </row>
    <row r="49">
      <c r="A49" s="194"/>
      <c r="B49" s="309"/>
      <c r="C49" s="194"/>
      <c r="D49" s="309"/>
      <c r="E49" s="309"/>
      <c r="F49" s="309"/>
      <c r="G49" s="309"/>
      <c r="H49" s="309"/>
      <c r="I49" s="309"/>
      <c r="J49" s="309"/>
      <c r="K49" s="309"/>
      <c r="L49" s="309"/>
      <c r="M49" s="309"/>
      <c r="N49" s="309"/>
      <c r="O49" s="309"/>
      <c r="P49" s="309"/>
      <c r="Q49" s="309"/>
      <c r="R49" s="309"/>
      <c r="S49" s="309"/>
      <c r="T49" s="309"/>
      <c r="U49" s="309"/>
      <c r="V49" s="309"/>
      <c r="W49" s="309"/>
      <c r="X49" s="309"/>
      <c r="Y49" s="309"/>
      <c r="Z49" s="309"/>
    </row>
    <row r="50">
      <c r="A50" s="194"/>
      <c r="B50" s="309"/>
      <c r="C50" s="194"/>
      <c r="D50" s="309"/>
      <c r="E50" s="309"/>
      <c r="F50" s="309"/>
      <c r="G50" s="309"/>
      <c r="H50" s="309"/>
      <c r="I50" s="309"/>
      <c r="J50" s="309"/>
      <c r="K50" s="309"/>
      <c r="L50" s="309"/>
      <c r="M50" s="309"/>
      <c r="N50" s="309"/>
      <c r="O50" s="309"/>
      <c r="P50" s="309"/>
      <c r="Q50" s="309"/>
      <c r="R50" s="309"/>
      <c r="S50" s="309"/>
      <c r="T50" s="309"/>
      <c r="U50" s="309"/>
      <c r="V50" s="309"/>
      <c r="W50" s="309"/>
      <c r="X50" s="309"/>
      <c r="Y50" s="309"/>
      <c r="Z50" s="309"/>
    </row>
    <row r="51">
      <c r="A51" s="194"/>
      <c r="B51" s="309"/>
      <c r="C51" s="194"/>
      <c r="D51" s="309"/>
      <c r="E51" s="309"/>
      <c r="F51" s="309"/>
      <c r="G51" s="309"/>
      <c r="H51" s="309"/>
      <c r="I51" s="309"/>
      <c r="J51" s="309"/>
      <c r="K51" s="309"/>
      <c r="L51" s="309"/>
      <c r="M51" s="309"/>
      <c r="N51" s="309"/>
      <c r="O51" s="309"/>
      <c r="P51" s="309"/>
      <c r="Q51" s="309"/>
      <c r="R51" s="309"/>
      <c r="S51" s="309"/>
      <c r="T51" s="309"/>
      <c r="U51" s="309"/>
      <c r="V51" s="309"/>
      <c r="W51" s="309"/>
      <c r="X51" s="309"/>
      <c r="Y51" s="309"/>
      <c r="Z51" s="309"/>
    </row>
    <row r="52">
      <c r="A52" s="194"/>
      <c r="B52" s="309"/>
      <c r="C52" s="194"/>
      <c r="D52" s="309"/>
      <c r="E52" s="309"/>
      <c r="F52" s="309"/>
      <c r="G52" s="309"/>
      <c r="H52" s="309"/>
      <c r="I52" s="309"/>
      <c r="J52" s="309"/>
      <c r="K52" s="309"/>
      <c r="L52" s="309"/>
      <c r="M52" s="309"/>
      <c r="N52" s="309"/>
      <c r="O52" s="309"/>
      <c r="P52" s="309"/>
      <c r="Q52" s="309"/>
      <c r="R52" s="309"/>
      <c r="S52" s="309"/>
      <c r="T52" s="309"/>
      <c r="U52" s="309"/>
      <c r="V52" s="309"/>
      <c r="W52" s="309"/>
      <c r="X52" s="309"/>
      <c r="Y52" s="309"/>
      <c r="Z52" s="309"/>
    </row>
    <row r="53">
      <c r="A53" s="194"/>
      <c r="B53" s="309"/>
      <c r="C53" s="194"/>
      <c r="D53" s="309"/>
      <c r="E53" s="309"/>
      <c r="F53" s="309"/>
      <c r="G53" s="309"/>
      <c r="H53" s="309"/>
      <c r="I53" s="309"/>
      <c r="J53" s="309"/>
      <c r="K53" s="309"/>
      <c r="L53" s="309"/>
      <c r="M53" s="309"/>
      <c r="N53" s="309"/>
      <c r="O53" s="309"/>
      <c r="P53" s="309"/>
      <c r="Q53" s="309"/>
      <c r="R53" s="309"/>
      <c r="S53" s="309"/>
      <c r="T53" s="309"/>
      <c r="U53" s="309"/>
      <c r="V53" s="309"/>
      <c r="W53" s="309"/>
      <c r="X53" s="309"/>
      <c r="Y53" s="309"/>
      <c r="Z53" s="309"/>
    </row>
    <row r="54">
      <c r="A54" s="194"/>
      <c r="B54" s="309"/>
      <c r="C54" s="194"/>
      <c r="D54" s="309"/>
      <c r="E54" s="309"/>
      <c r="F54" s="309"/>
      <c r="G54" s="309"/>
      <c r="H54" s="309"/>
      <c r="I54" s="309"/>
      <c r="J54" s="309"/>
      <c r="K54" s="309"/>
      <c r="L54" s="309"/>
      <c r="M54" s="309"/>
      <c r="N54" s="309"/>
      <c r="O54" s="309"/>
      <c r="P54" s="309"/>
      <c r="Q54" s="309"/>
      <c r="R54" s="309"/>
      <c r="S54" s="309"/>
      <c r="T54" s="309"/>
      <c r="U54" s="309"/>
      <c r="V54" s="309"/>
      <c r="W54" s="309"/>
      <c r="X54" s="309"/>
      <c r="Y54" s="309"/>
      <c r="Z54" s="309"/>
    </row>
    <row r="55">
      <c r="A55" s="194"/>
      <c r="B55" s="309"/>
      <c r="C55" s="194"/>
      <c r="D55" s="309"/>
      <c r="E55" s="309"/>
      <c r="F55" s="309"/>
      <c r="G55" s="309"/>
      <c r="H55" s="309"/>
      <c r="I55" s="309"/>
      <c r="J55" s="309"/>
      <c r="K55" s="309"/>
      <c r="L55" s="309"/>
      <c r="M55" s="309"/>
      <c r="N55" s="309"/>
      <c r="O55" s="309"/>
      <c r="P55" s="309"/>
      <c r="Q55" s="309"/>
      <c r="R55" s="309"/>
      <c r="S55" s="309"/>
      <c r="T55" s="309"/>
      <c r="U55" s="309"/>
      <c r="V55" s="309"/>
      <c r="W55" s="309"/>
      <c r="X55" s="309"/>
      <c r="Y55" s="309"/>
      <c r="Z55" s="309"/>
    </row>
    <row r="56">
      <c r="A56" s="194"/>
      <c r="B56" s="309"/>
      <c r="C56" s="194"/>
      <c r="D56" s="309"/>
      <c r="E56" s="309"/>
      <c r="F56" s="309"/>
      <c r="G56" s="309"/>
      <c r="H56" s="309"/>
      <c r="I56" s="309"/>
      <c r="J56" s="309"/>
      <c r="K56" s="309"/>
      <c r="L56" s="309"/>
      <c r="M56" s="309"/>
      <c r="N56" s="309"/>
      <c r="O56" s="309"/>
      <c r="P56" s="309"/>
      <c r="Q56" s="309"/>
      <c r="R56" s="309"/>
      <c r="S56" s="309"/>
      <c r="T56" s="309"/>
      <c r="U56" s="309"/>
      <c r="V56" s="309"/>
      <c r="W56" s="309"/>
      <c r="X56" s="309"/>
      <c r="Y56" s="309"/>
      <c r="Z56" s="309"/>
    </row>
    <row r="57">
      <c r="A57" s="194"/>
      <c r="B57" s="309"/>
      <c r="C57" s="194"/>
      <c r="D57" s="309"/>
      <c r="E57" s="309"/>
      <c r="F57" s="309"/>
      <c r="G57" s="309"/>
      <c r="H57" s="309"/>
      <c r="I57" s="309"/>
      <c r="J57" s="309"/>
      <c r="K57" s="309"/>
      <c r="L57" s="309"/>
      <c r="M57" s="309"/>
      <c r="N57" s="309"/>
      <c r="O57" s="309"/>
      <c r="P57" s="309"/>
      <c r="Q57" s="309"/>
      <c r="R57" s="309"/>
      <c r="S57" s="309"/>
      <c r="T57" s="309"/>
      <c r="U57" s="309"/>
      <c r="V57" s="309"/>
      <c r="W57" s="309"/>
      <c r="X57" s="309"/>
      <c r="Y57" s="309"/>
      <c r="Z57" s="309"/>
    </row>
    <row r="58">
      <c r="A58" s="194"/>
      <c r="B58" s="309"/>
      <c r="C58" s="194"/>
      <c r="D58" s="309"/>
      <c r="E58" s="309"/>
      <c r="F58" s="309"/>
      <c r="G58" s="309"/>
      <c r="H58" s="309"/>
      <c r="I58" s="309"/>
      <c r="J58" s="309"/>
      <c r="K58" s="309"/>
      <c r="L58" s="309"/>
      <c r="M58" s="309"/>
      <c r="N58" s="309"/>
      <c r="O58" s="309"/>
      <c r="P58" s="309"/>
      <c r="Q58" s="309"/>
      <c r="R58" s="309"/>
      <c r="S58" s="309"/>
      <c r="T58" s="309"/>
      <c r="U58" s="309"/>
      <c r="V58" s="309"/>
      <c r="W58" s="309"/>
      <c r="X58" s="309"/>
      <c r="Y58" s="309"/>
      <c r="Z58" s="309"/>
    </row>
    <row r="59">
      <c r="A59" s="194"/>
      <c r="B59" s="309"/>
      <c r="C59" s="194"/>
      <c r="D59" s="309"/>
      <c r="E59" s="309"/>
      <c r="F59" s="309"/>
      <c r="G59" s="309"/>
      <c r="H59" s="309"/>
      <c r="I59" s="309"/>
      <c r="J59" s="309"/>
      <c r="K59" s="309"/>
      <c r="L59" s="309"/>
      <c r="M59" s="309"/>
      <c r="N59" s="309"/>
      <c r="O59" s="309"/>
      <c r="P59" s="309"/>
      <c r="Q59" s="309"/>
      <c r="R59" s="309"/>
      <c r="S59" s="309"/>
      <c r="T59" s="309"/>
      <c r="U59" s="309"/>
      <c r="V59" s="309"/>
      <c r="W59" s="309"/>
      <c r="X59" s="309"/>
      <c r="Y59" s="309"/>
      <c r="Z59" s="309"/>
    </row>
    <row r="60">
      <c r="A60" s="194"/>
      <c r="B60" s="309"/>
      <c r="C60" s="194"/>
      <c r="D60" s="309"/>
      <c r="E60" s="309"/>
      <c r="F60" s="309"/>
      <c r="G60" s="309"/>
      <c r="H60" s="309"/>
      <c r="I60" s="309"/>
      <c r="J60" s="309"/>
      <c r="K60" s="309"/>
      <c r="L60" s="309"/>
      <c r="M60" s="309"/>
      <c r="N60" s="309"/>
      <c r="O60" s="309"/>
      <c r="P60" s="309"/>
      <c r="Q60" s="309"/>
      <c r="R60" s="309"/>
      <c r="S60" s="309"/>
      <c r="T60" s="309"/>
      <c r="U60" s="309"/>
      <c r="V60" s="309"/>
      <c r="W60" s="309"/>
      <c r="X60" s="309"/>
      <c r="Y60" s="309"/>
      <c r="Z60" s="309"/>
    </row>
    <row r="61">
      <c r="A61" s="194"/>
      <c r="B61" s="309"/>
      <c r="C61" s="194"/>
      <c r="D61" s="309"/>
      <c r="E61" s="309"/>
      <c r="F61" s="309"/>
      <c r="G61" s="309"/>
      <c r="H61" s="309"/>
      <c r="I61" s="309"/>
      <c r="J61" s="309"/>
      <c r="K61" s="309"/>
      <c r="L61" s="309"/>
      <c r="M61" s="309"/>
      <c r="N61" s="309"/>
      <c r="O61" s="309"/>
      <c r="P61" s="309"/>
      <c r="Q61" s="309"/>
      <c r="R61" s="309"/>
      <c r="S61" s="309"/>
      <c r="T61" s="309"/>
      <c r="U61" s="309"/>
      <c r="V61" s="309"/>
      <c r="W61" s="309"/>
      <c r="X61" s="309"/>
      <c r="Y61" s="309"/>
      <c r="Z61" s="309"/>
    </row>
    <row r="62">
      <c r="A62" s="194"/>
      <c r="B62" s="309"/>
      <c r="C62" s="194"/>
      <c r="D62" s="309"/>
      <c r="E62" s="309"/>
      <c r="F62" s="309"/>
      <c r="G62" s="309"/>
      <c r="H62" s="309"/>
      <c r="I62" s="309"/>
      <c r="J62" s="309"/>
      <c r="K62" s="309"/>
      <c r="L62" s="309"/>
      <c r="M62" s="309"/>
      <c r="N62" s="309"/>
      <c r="O62" s="309"/>
      <c r="P62" s="309"/>
      <c r="Q62" s="309"/>
      <c r="R62" s="309"/>
      <c r="S62" s="309"/>
      <c r="T62" s="309"/>
      <c r="U62" s="309"/>
      <c r="V62" s="309"/>
      <c r="W62" s="309"/>
      <c r="X62" s="309"/>
      <c r="Y62" s="309"/>
      <c r="Z62" s="309"/>
    </row>
    <row r="63">
      <c r="A63" s="194"/>
      <c r="B63" s="309"/>
      <c r="C63" s="194"/>
      <c r="D63" s="309"/>
      <c r="E63" s="309"/>
      <c r="F63" s="309"/>
      <c r="G63" s="309"/>
      <c r="H63" s="309"/>
      <c r="I63" s="309"/>
      <c r="J63" s="309"/>
      <c r="K63" s="309"/>
      <c r="L63" s="309"/>
      <c r="M63" s="309"/>
      <c r="N63" s="309"/>
      <c r="O63" s="309"/>
      <c r="P63" s="309"/>
      <c r="Q63" s="309"/>
      <c r="R63" s="309"/>
      <c r="S63" s="309"/>
      <c r="T63" s="309"/>
      <c r="U63" s="309"/>
      <c r="V63" s="309"/>
      <c r="W63" s="309"/>
      <c r="X63" s="309"/>
      <c r="Y63" s="309"/>
      <c r="Z63" s="309"/>
    </row>
    <row r="64">
      <c r="A64" s="194"/>
      <c r="B64" s="309"/>
      <c r="C64" s="194"/>
      <c r="D64" s="309"/>
      <c r="E64" s="309"/>
      <c r="F64" s="309"/>
      <c r="G64" s="309"/>
      <c r="H64" s="309"/>
      <c r="I64" s="309"/>
      <c r="J64" s="309"/>
      <c r="K64" s="309"/>
      <c r="L64" s="309"/>
      <c r="M64" s="309"/>
      <c r="N64" s="309"/>
      <c r="O64" s="309"/>
      <c r="P64" s="309"/>
      <c r="Q64" s="309"/>
      <c r="R64" s="309"/>
      <c r="S64" s="309"/>
      <c r="T64" s="309"/>
      <c r="U64" s="309"/>
      <c r="V64" s="309"/>
      <c r="W64" s="309"/>
      <c r="X64" s="309"/>
      <c r="Y64" s="309"/>
      <c r="Z64" s="309"/>
    </row>
    <row r="65">
      <c r="A65" s="194"/>
      <c r="B65" s="309"/>
      <c r="C65" s="194"/>
      <c r="D65" s="309"/>
      <c r="E65" s="309"/>
      <c r="F65" s="309"/>
      <c r="G65" s="309"/>
      <c r="H65" s="309"/>
      <c r="I65" s="309"/>
      <c r="J65" s="309"/>
      <c r="K65" s="309"/>
      <c r="L65" s="309"/>
      <c r="M65" s="309"/>
      <c r="N65" s="309"/>
      <c r="O65" s="309"/>
      <c r="P65" s="309"/>
      <c r="Q65" s="309"/>
      <c r="R65" s="309"/>
      <c r="S65" s="309"/>
      <c r="T65" s="309"/>
      <c r="U65" s="309"/>
      <c r="V65" s="309"/>
      <c r="W65" s="309"/>
      <c r="X65" s="309"/>
      <c r="Y65" s="309"/>
      <c r="Z65" s="309"/>
    </row>
    <row r="66">
      <c r="A66" s="194"/>
      <c r="B66" s="309"/>
      <c r="C66" s="194"/>
      <c r="D66" s="309"/>
      <c r="E66" s="309"/>
      <c r="F66" s="309"/>
      <c r="G66" s="309"/>
      <c r="H66" s="309"/>
      <c r="I66" s="309"/>
      <c r="J66" s="309"/>
      <c r="K66" s="309"/>
      <c r="L66" s="309"/>
      <c r="M66" s="309"/>
      <c r="N66" s="309"/>
      <c r="O66" s="309"/>
      <c r="P66" s="309"/>
      <c r="Q66" s="309"/>
      <c r="R66" s="309"/>
      <c r="S66" s="309"/>
      <c r="T66" s="309"/>
      <c r="U66" s="309"/>
      <c r="V66" s="309"/>
      <c r="W66" s="309"/>
      <c r="X66" s="309"/>
      <c r="Y66" s="309"/>
      <c r="Z66" s="309"/>
    </row>
    <row r="67">
      <c r="A67" s="194"/>
      <c r="B67" s="309"/>
      <c r="C67" s="194"/>
      <c r="D67" s="309"/>
      <c r="E67" s="309"/>
      <c r="F67" s="309"/>
      <c r="G67" s="309"/>
      <c r="H67" s="309"/>
      <c r="I67" s="309"/>
      <c r="J67" s="309"/>
      <c r="K67" s="309"/>
      <c r="L67" s="309"/>
      <c r="M67" s="309"/>
      <c r="N67" s="309"/>
      <c r="O67" s="309"/>
      <c r="P67" s="309"/>
      <c r="Q67" s="309"/>
      <c r="R67" s="309"/>
      <c r="S67" s="309"/>
      <c r="T67" s="309"/>
      <c r="U67" s="309"/>
      <c r="V67" s="309"/>
      <c r="W67" s="309"/>
      <c r="X67" s="309"/>
      <c r="Y67" s="309"/>
      <c r="Z67" s="309"/>
    </row>
    <row r="68">
      <c r="A68" s="194"/>
      <c r="B68" s="309"/>
      <c r="C68" s="194"/>
      <c r="D68" s="309"/>
      <c r="E68" s="309"/>
      <c r="F68" s="309"/>
      <c r="G68" s="309"/>
      <c r="H68" s="309"/>
      <c r="I68" s="309"/>
      <c r="J68" s="309"/>
      <c r="K68" s="309"/>
      <c r="L68" s="309"/>
      <c r="M68" s="309"/>
      <c r="N68" s="309"/>
      <c r="O68" s="309"/>
      <c r="P68" s="309"/>
      <c r="Q68" s="309"/>
      <c r="R68" s="309"/>
      <c r="S68" s="309"/>
      <c r="T68" s="309"/>
      <c r="U68" s="309"/>
      <c r="V68" s="309"/>
      <c r="W68" s="309"/>
      <c r="X68" s="309"/>
      <c r="Y68" s="309"/>
      <c r="Z68" s="309"/>
    </row>
    <row r="69">
      <c r="A69" s="194"/>
      <c r="B69" s="309"/>
      <c r="C69" s="194"/>
      <c r="D69" s="309"/>
      <c r="E69" s="309"/>
      <c r="F69" s="309"/>
      <c r="G69" s="309"/>
      <c r="H69" s="309"/>
      <c r="I69" s="309"/>
      <c r="J69" s="309"/>
      <c r="K69" s="309"/>
      <c r="L69" s="309"/>
      <c r="M69" s="309"/>
      <c r="N69" s="309"/>
      <c r="O69" s="309"/>
      <c r="P69" s="309"/>
      <c r="Q69" s="309"/>
      <c r="R69" s="309"/>
      <c r="S69" s="309"/>
      <c r="T69" s="309"/>
      <c r="U69" s="309"/>
      <c r="V69" s="309"/>
      <c r="W69" s="309"/>
      <c r="X69" s="309"/>
      <c r="Y69" s="309"/>
      <c r="Z69" s="309"/>
    </row>
    <row r="70">
      <c r="A70" s="194"/>
      <c r="B70" s="309"/>
      <c r="C70" s="194"/>
      <c r="D70" s="309"/>
      <c r="E70" s="309"/>
      <c r="F70" s="309"/>
      <c r="G70" s="309"/>
      <c r="H70" s="309"/>
      <c r="I70" s="309"/>
      <c r="J70" s="309"/>
      <c r="K70" s="309"/>
      <c r="L70" s="309"/>
      <c r="M70" s="309"/>
      <c r="N70" s="309"/>
      <c r="O70" s="309"/>
      <c r="P70" s="309"/>
      <c r="Q70" s="309"/>
      <c r="R70" s="309"/>
      <c r="S70" s="309"/>
      <c r="T70" s="309"/>
      <c r="U70" s="309"/>
      <c r="V70" s="309"/>
      <c r="W70" s="309"/>
      <c r="X70" s="309"/>
      <c r="Y70" s="309"/>
      <c r="Z70" s="309"/>
    </row>
    <row r="71">
      <c r="A71" s="194"/>
      <c r="B71" s="309"/>
      <c r="C71" s="194"/>
      <c r="D71" s="309"/>
      <c r="E71" s="309"/>
      <c r="F71" s="309"/>
      <c r="G71" s="309"/>
      <c r="H71" s="309"/>
      <c r="I71" s="309"/>
      <c r="J71" s="309"/>
      <c r="K71" s="309"/>
      <c r="L71" s="309"/>
      <c r="M71" s="309"/>
      <c r="N71" s="309"/>
      <c r="O71" s="309"/>
      <c r="P71" s="309"/>
      <c r="Q71" s="309"/>
      <c r="R71" s="309"/>
      <c r="S71" s="309"/>
      <c r="T71" s="309"/>
      <c r="U71" s="309"/>
      <c r="V71" s="309"/>
      <c r="W71" s="309"/>
      <c r="X71" s="309"/>
      <c r="Y71" s="309"/>
      <c r="Z71" s="309"/>
    </row>
    <row r="72">
      <c r="A72" s="194"/>
      <c r="B72" s="309"/>
      <c r="C72" s="194"/>
      <c r="D72" s="309"/>
      <c r="E72" s="309"/>
      <c r="F72" s="309"/>
      <c r="G72" s="309"/>
      <c r="H72" s="309"/>
      <c r="I72" s="309"/>
      <c r="J72" s="309"/>
      <c r="K72" s="309"/>
      <c r="L72" s="309"/>
      <c r="M72" s="309"/>
      <c r="N72" s="309"/>
      <c r="O72" s="309"/>
      <c r="P72" s="309"/>
      <c r="Q72" s="309"/>
      <c r="R72" s="309"/>
      <c r="S72" s="309"/>
      <c r="T72" s="309"/>
      <c r="U72" s="309"/>
      <c r="V72" s="309"/>
      <c r="W72" s="309"/>
      <c r="X72" s="309"/>
      <c r="Y72" s="309"/>
      <c r="Z72" s="309"/>
    </row>
    <row r="73">
      <c r="A73" s="194"/>
      <c r="B73" s="309"/>
      <c r="C73" s="194"/>
      <c r="D73" s="309"/>
      <c r="E73" s="309"/>
      <c r="F73" s="309"/>
      <c r="G73" s="309"/>
      <c r="H73" s="309"/>
      <c r="I73" s="309"/>
      <c r="J73" s="309"/>
      <c r="K73" s="309"/>
      <c r="L73" s="309"/>
      <c r="M73" s="309"/>
      <c r="N73" s="309"/>
      <c r="O73" s="309"/>
      <c r="P73" s="309"/>
      <c r="Q73" s="309"/>
      <c r="R73" s="309"/>
      <c r="S73" s="309"/>
      <c r="T73" s="309"/>
      <c r="U73" s="309"/>
      <c r="V73" s="309"/>
      <c r="W73" s="309"/>
      <c r="X73" s="309"/>
      <c r="Y73" s="309"/>
      <c r="Z73" s="309"/>
    </row>
    <row r="74">
      <c r="A74" s="194"/>
      <c r="B74" s="309"/>
      <c r="C74" s="194"/>
      <c r="D74" s="309"/>
      <c r="E74" s="309"/>
      <c r="F74" s="309"/>
      <c r="G74" s="309"/>
      <c r="H74" s="309"/>
      <c r="I74" s="309"/>
      <c r="J74" s="309"/>
      <c r="K74" s="309"/>
      <c r="L74" s="309"/>
      <c r="M74" s="309"/>
      <c r="N74" s="309"/>
      <c r="O74" s="309"/>
      <c r="P74" s="309"/>
      <c r="Q74" s="309"/>
      <c r="R74" s="309"/>
      <c r="S74" s="309"/>
      <c r="T74" s="309"/>
      <c r="U74" s="309"/>
      <c r="V74" s="309"/>
      <c r="W74" s="309"/>
      <c r="X74" s="309"/>
      <c r="Y74" s="309"/>
      <c r="Z74" s="309"/>
    </row>
    <row r="75">
      <c r="A75" s="194"/>
      <c r="B75" s="309"/>
      <c r="C75" s="194"/>
      <c r="D75" s="309"/>
      <c r="E75" s="309"/>
      <c r="F75" s="309"/>
      <c r="G75" s="309"/>
      <c r="H75" s="309"/>
      <c r="I75" s="309"/>
      <c r="J75" s="309"/>
      <c r="K75" s="309"/>
      <c r="L75" s="309"/>
      <c r="M75" s="309"/>
      <c r="N75" s="309"/>
      <c r="O75" s="309"/>
      <c r="P75" s="309"/>
      <c r="Q75" s="309"/>
      <c r="R75" s="309"/>
      <c r="S75" s="309"/>
      <c r="T75" s="309"/>
      <c r="U75" s="309"/>
      <c r="V75" s="309"/>
      <c r="W75" s="309"/>
      <c r="X75" s="309"/>
      <c r="Y75" s="309"/>
      <c r="Z75" s="309"/>
    </row>
    <row r="76">
      <c r="A76" s="194"/>
      <c r="B76" s="309"/>
      <c r="C76" s="194"/>
      <c r="D76" s="309"/>
      <c r="E76" s="309"/>
      <c r="F76" s="309"/>
      <c r="G76" s="309"/>
      <c r="H76" s="309"/>
      <c r="I76" s="309"/>
      <c r="J76" s="309"/>
      <c r="K76" s="309"/>
      <c r="L76" s="309"/>
      <c r="M76" s="309"/>
      <c r="N76" s="309"/>
      <c r="O76" s="309"/>
      <c r="P76" s="309"/>
      <c r="Q76" s="309"/>
      <c r="R76" s="309"/>
      <c r="S76" s="309"/>
      <c r="T76" s="309"/>
      <c r="U76" s="309"/>
      <c r="V76" s="309"/>
      <c r="W76" s="309"/>
      <c r="X76" s="309"/>
      <c r="Y76" s="309"/>
      <c r="Z76" s="309"/>
    </row>
    <row r="77">
      <c r="A77" s="194"/>
      <c r="B77" s="309"/>
      <c r="C77" s="194"/>
      <c r="D77" s="309"/>
      <c r="E77" s="309"/>
      <c r="F77" s="309"/>
      <c r="G77" s="309"/>
      <c r="H77" s="309"/>
      <c r="I77" s="309"/>
      <c r="J77" s="309"/>
      <c r="K77" s="309"/>
      <c r="L77" s="309"/>
      <c r="M77" s="309"/>
      <c r="N77" s="309"/>
      <c r="O77" s="309"/>
      <c r="P77" s="309"/>
      <c r="Q77" s="309"/>
      <c r="R77" s="309"/>
      <c r="S77" s="309"/>
      <c r="T77" s="309"/>
      <c r="U77" s="309"/>
      <c r="V77" s="309"/>
      <c r="W77" s="309"/>
      <c r="X77" s="309"/>
      <c r="Y77" s="309"/>
      <c r="Z77" s="309"/>
    </row>
    <row r="78">
      <c r="A78" s="194"/>
      <c r="B78" s="309"/>
      <c r="C78" s="194"/>
      <c r="D78" s="309"/>
      <c r="E78" s="309"/>
      <c r="F78" s="309"/>
      <c r="G78" s="309"/>
      <c r="H78" s="309"/>
      <c r="I78" s="309"/>
      <c r="J78" s="309"/>
      <c r="K78" s="309"/>
      <c r="L78" s="309"/>
      <c r="M78" s="309"/>
      <c r="N78" s="309"/>
      <c r="O78" s="309"/>
      <c r="P78" s="309"/>
      <c r="Q78" s="309"/>
      <c r="R78" s="309"/>
      <c r="S78" s="309"/>
      <c r="T78" s="309"/>
      <c r="U78" s="309"/>
      <c r="V78" s="309"/>
      <c r="W78" s="309"/>
      <c r="X78" s="309"/>
      <c r="Y78" s="309"/>
      <c r="Z78" s="309"/>
    </row>
    <row r="79">
      <c r="A79" s="194"/>
      <c r="B79" s="309"/>
      <c r="C79" s="194"/>
      <c r="D79" s="309"/>
      <c r="E79" s="309"/>
      <c r="F79" s="309"/>
      <c r="G79" s="309"/>
      <c r="H79" s="309"/>
      <c r="I79" s="309"/>
      <c r="J79" s="309"/>
      <c r="K79" s="309"/>
      <c r="L79" s="309"/>
      <c r="M79" s="309"/>
      <c r="N79" s="309"/>
      <c r="O79" s="309"/>
      <c r="P79" s="309"/>
      <c r="Q79" s="309"/>
      <c r="R79" s="309"/>
      <c r="S79" s="309"/>
      <c r="T79" s="309"/>
      <c r="U79" s="309"/>
      <c r="V79" s="309"/>
      <c r="W79" s="309"/>
      <c r="X79" s="309"/>
      <c r="Y79" s="309"/>
      <c r="Z79" s="309"/>
    </row>
    <row r="80">
      <c r="A80" s="194"/>
      <c r="B80" s="309"/>
      <c r="C80" s="194"/>
      <c r="D80" s="309"/>
      <c r="E80" s="309"/>
      <c r="F80" s="309"/>
      <c r="G80" s="309"/>
      <c r="H80" s="309"/>
      <c r="I80" s="309"/>
      <c r="J80" s="309"/>
      <c r="K80" s="309"/>
      <c r="L80" s="309"/>
      <c r="M80" s="309"/>
      <c r="N80" s="309"/>
      <c r="O80" s="309"/>
      <c r="P80" s="309"/>
      <c r="Q80" s="309"/>
      <c r="R80" s="309"/>
      <c r="S80" s="309"/>
      <c r="T80" s="309"/>
      <c r="U80" s="309"/>
      <c r="V80" s="309"/>
      <c r="W80" s="309"/>
      <c r="X80" s="309"/>
      <c r="Y80" s="309"/>
      <c r="Z80" s="309"/>
    </row>
    <row r="81">
      <c r="A81" s="194"/>
      <c r="B81" s="309"/>
      <c r="C81" s="194"/>
      <c r="D81" s="309"/>
      <c r="E81" s="309"/>
      <c r="F81" s="309"/>
      <c r="G81" s="309"/>
      <c r="H81" s="309"/>
      <c r="I81" s="309"/>
      <c r="J81" s="309"/>
      <c r="K81" s="309"/>
      <c r="L81" s="309"/>
      <c r="M81" s="309"/>
      <c r="N81" s="309"/>
      <c r="O81" s="309"/>
      <c r="P81" s="309"/>
      <c r="Q81" s="309"/>
      <c r="R81" s="309"/>
      <c r="S81" s="309"/>
      <c r="T81" s="309"/>
      <c r="U81" s="309"/>
      <c r="V81" s="309"/>
      <c r="W81" s="309"/>
      <c r="X81" s="309"/>
      <c r="Y81" s="309"/>
      <c r="Z81" s="309"/>
    </row>
    <row r="82">
      <c r="A82" s="194"/>
      <c r="B82" s="309"/>
      <c r="C82" s="194"/>
      <c r="D82" s="309"/>
      <c r="E82" s="309"/>
      <c r="F82" s="309"/>
      <c r="G82" s="309"/>
      <c r="H82" s="309"/>
      <c r="I82" s="309"/>
      <c r="J82" s="309"/>
      <c r="K82" s="309"/>
      <c r="L82" s="309"/>
      <c r="M82" s="309"/>
      <c r="N82" s="309"/>
      <c r="O82" s="309"/>
      <c r="P82" s="309"/>
      <c r="Q82" s="309"/>
      <c r="R82" s="309"/>
      <c r="S82" s="309"/>
      <c r="T82" s="309"/>
      <c r="U82" s="309"/>
      <c r="V82" s="309"/>
      <c r="W82" s="309"/>
      <c r="X82" s="309"/>
      <c r="Y82" s="309"/>
      <c r="Z82" s="309"/>
    </row>
    <row r="83">
      <c r="A83" s="194"/>
      <c r="B83" s="309"/>
      <c r="C83" s="194"/>
      <c r="D83" s="309"/>
      <c r="E83" s="309"/>
      <c r="F83" s="309"/>
      <c r="G83" s="309"/>
      <c r="H83" s="309"/>
      <c r="I83" s="309"/>
      <c r="J83" s="309"/>
      <c r="K83" s="309"/>
      <c r="L83" s="309"/>
      <c r="M83" s="309"/>
      <c r="N83" s="309"/>
      <c r="O83" s="309"/>
      <c r="P83" s="309"/>
      <c r="Q83" s="309"/>
      <c r="R83" s="309"/>
      <c r="S83" s="309"/>
      <c r="T83" s="309"/>
      <c r="U83" s="309"/>
      <c r="V83" s="309"/>
      <c r="W83" s="309"/>
      <c r="X83" s="309"/>
      <c r="Y83" s="309"/>
      <c r="Z83" s="309"/>
    </row>
    <row r="84">
      <c r="A84" s="194"/>
      <c r="B84" s="309"/>
      <c r="C84" s="194"/>
      <c r="D84" s="309"/>
      <c r="E84" s="309"/>
      <c r="F84" s="309"/>
      <c r="G84" s="309"/>
      <c r="H84" s="309"/>
      <c r="I84" s="309"/>
      <c r="J84" s="309"/>
      <c r="K84" s="309"/>
      <c r="L84" s="309"/>
      <c r="M84" s="309"/>
      <c r="N84" s="309"/>
      <c r="O84" s="309"/>
      <c r="P84" s="309"/>
      <c r="Q84" s="309"/>
      <c r="R84" s="309"/>
      <c r="S84" s="309"/>
      <c r="T84" s="309"/>
      <c r="U84" s="309"/>
      <c r="V84" s="309"/>
      <c r="W84" s="309"/>
      <c r="X84" s="309"/>
      <c r="Y84" s="309"/>
      <c r="Z84" s="309"/>
    </row>
    <row r="85">
      <c r="A85" s="194"/>
      <c r="B85" s="309"/>
      <c r="C85" s="194"/>
      <c r="D85" s="309"/>
      <c r="E85" s="309"/>
      <c r="F85" s="309"/>
      <c r="G85" s="309"/>
      <c r="H85" s="309"/>
      <c r="I85" s="309"/>
      <c r="J85" s="309"/>
      <c r="K85" s="309"/>
      <c r="L85" s="309"/>
      <c r="M85" s="309"/>
      <c r="N85" s="309"/>
      <c r="O85" s="309"/>
      <c r="P85" s="309"/>
      <c r="Q85" s="309"/>
      <c r="R85" s="309"/>
      <c r="S85" s="309"/>
      <c r="T85" s="309"/>
      <c r="U85" s="309"/>
      <c r="V85" s="309"/>
      <c r="W85" s="309"/>
      <c r="X85" s="309"/>
      <c r="Y85" s="309"/>
      <c r="Z85" s="309"/>
    </row>
    <row r="86">
      <c r="A86" s="194"/>
      <c r="B86" s="309"/>
      <c r="C86" s="194"/>
      <c r="D86" s="309"/>
      <c r="E86" s="309"/>
      <c r="F86" s="309"/>
      <c r="G86" s="309"/>
      <c r="H86" s="309"/>
      <c r="I86" s="309"/>
      <c r="J86" s="309"/>
      <c r="K86" s="309"/>
      <c r="L86" s="309"/>
      <c r="M86" s="309"/>
      <c r="N86" s="309"/>
      <c r="O86" s="309"/>
      <c r="P86" s="309"/>
      <c r="Q86" s="309"/>
      <c r="R86" s="309"/>
      <c r="S86" s="309"/>
      <c r="T86" s="309"/>
      <c r="U86" s="309"/>
      <c r="V86" s="309"/>
      <c r="W86" s="309"/>
      <c r="X86" s="309"/>
      <c r="Y86" s="309"/>
      <c r="Z86" s="309"/>
    </row>
    <row r="87">
      <c r="A87" s="194"/>
      <c r="B87" s="309"/>
      <c r="C87" s="194"/>
      <c r="D87" s="309"/>
      <c r="E87" s="309"/>
      <c r="F87" s="309"/>
      <c r="G87" s="309"/>
      <c r="H87" s="309"/>
      <c r="I87" s="309"/>
      <c r="J87" s="309"/>
      <c r="K87" s="309"/>
      <c r="L87" s="309"/>
      <c r="M87" s="309"/>
      <c r="N87" s="309"/>
      <c r="O87" s="309"/>
      <c r="P87" s="309"/>
      <c r="Q87" s="309"/>
      <c r="R87" s="309"/>
      <c r="S87" s="309"/>
      <c r="T87" s="309"/>
      <c r="U87" s="309"/>
      <c r="V87" s="309"/>
      <c r="W87" s="309"/>
      <c r="X87" s="309"/>
      <c r="Y87" s="309"/>
      <c r="Z87" s="309"/>
    </row>
    <row r="88">
      <c r="A88" s="194"/>
      <c r="B88" s="309"/>
      <c r="C88" s="194"/>
      <c r="D88" s="309"/>
      <c r="E88" s="309"/>
      <c r="F88" s="309"/>
      <c r="G88" s="309"/>
      <c r="H88" s="309"/>
      <c r="I88" s="309"/>
      <c r="J88" s="309"/>
      <c r="K88" s="309"/>
      <c r="L88" s="309"/>
      <c r="M88" s="309"/>
      <c r="N88" s="309"/>
      <c r="O88" s="309"/>
      <c r="P88" s="309"/>
      <c r="Q88" s="309"/>
      <c r="R88" s="309"/>
      <c r="S88" s="309"/>
      <c r="T88" s="309"/>
      <c r="U88" s="309"/>
      <c r="V88" s="309"/>
      <c r="W88" s="309"/>
      <c r="X88" s="309"/>
      <c r="Y88" s="309"/>
      <c r="Z88" s="309"/>
    </row>
    <row r="89">
      <c r="A89" s="194"/>
      <c r="B89" s="309"/>
      <c r="C89" s="194"/>
      <c r="D89" s="309"/>
      <c r="E89" s="309"/>
      <c r="F89" s="309"/>
      <c r="G89" s="309"/>
      <c r="H89" s="309"/>
      <c r="I89" s="309"/>
      <c r="J89" s="309"/>
      <c r="K89" s="309"/>
      <c r="L89" s="309"/>
      <c r="M89" s="309"/>
      <c r="N89" s="309"/>
      <c r="O89" s="309"/>
      <c r="P89" s="309"/>
      <c r="Q89" s="309"/>
      <c r="R89" s="309"/>
      <c r="S89" s="309"/>
      <c r="T89" s="309"/>
      <c r="U89" s="309"/>
      <c r="V89" s="309"/>
      <c r="W89" s="309"/>
      <c r="X89" s="309"/>
      <c r="Y89" s="309"/>
      <c r="Z89" s="309"/>
    </row>
    <row r="90">
      <c r="A90" s="194"/>
      <c r="B90" s="309"/>
      <c r="C90" s="194"/>
      <c r="D90" s="309"/>
      <c r="E90" s="309"/>
      <c r="F90" s="309"/>
      <c r="G90" s="309"/>
      <c r="H90" s="309"/>
      <c r="I90" s="309"/>
      <c r="J90" s="309"/>
      <c r="K90" s="309"/>
      <c r="L90" s="309"/>
      <c r="M90" s="309"/>
      <c r="N90" s="309"/>
      <c r="O90" s="309"/>
      <c r="P90" s="309"/>
      <c r="Q90" s="309"/>
      <c r="R90" s="309"/>
      <c r="S90" s="309"/>
      <c r="T90" s="309"/>
      <c r="U90" s="309"/>
      <c r="V90" s="309"/>
      <c r="W90" s="309"/>
      <c r="X90" s="309"/>
      <c r="Y90" s="309"/>
      <c r="Z90" s="309"/>
    </row>
    <row r="91">
      <c r="A91" s="194"/>
      <c r="B91" s="309"/>
      <c r="C91" s="194"/>
      <c r="D91" s="309"/>
      <c r="E91" s="309"/>
      <c r="F91" s="309"/>
      <c r="G91" s="309"/>
      <c r="H91" s="309"/>
      <c r="I91" s="309"/>
      <c r="J91" s="309"/>
      <c r="K91" s="309"/>
      <c r="L91" s="309"/>
      <c r="M91" s="309"/>
      <c r="N91" s="309"/>
      <c r="O91" s="309"/>
      <c r="P91" s="309"/>
      <c r="Q91" s="309"/>
      <c r="R91" s="309"/>
      <c r="S91" s="309"/>
      <c r="T91" s="309"/>
      <c r="U91" s="309"/>
      <c r="V91" s="309"/>
      <c r="W91" s="309"/>
      <c r="X91" s="309"/>
      <c r="Y91" s="309"/>
      <c r="Z91" s="309"/>
    </row>
    <row r="92">
      <c r="A92" s="194"/>
      <c r="B92" s="309"/>
      <c r="C92" s="194"/>
      <c r="D92" s="309"/>
      <c r="E92" s="309"/>
      <c r="F92" s="309"/>
      <c r="G92" s="309"/>
      <c r="H92" s="309"/>
      <c r="I92" s="309"/>
      <c r="J92" s="309"/>
      <c r="K92" s="309"/>
      <c r="L92" s="309"/>
      <c r="M92" s="309"/>
      <c r="N92" s="309"/>
      <c r="O92" s="309"/>
      <c r="P92" s="309"/>
      <c r="Q92" s="309"/>
      <c r="R92" s="309"/>
      <c r="S92" s="309"/>
      <c r="T92" s="309"/>
      <c r="U92" s="309"/>
      <c r="V92" s="309"/>
      <c r="W92" s="309"/>
      <c r="X92" s="309"/>
      <c r="Y92" s="309"/>
      <c r="Z92" s="309"/>
    </row>
    <row r="93">
      <c r="A93" s="194"/>
      <c r="B93" s="309"/>
      <c r="C93" s="194"/>
      <c r="D93" s="309"/>
      <c r="E93" s="309"/>
      <c r="F93" s="309"/>
      <c r="G93" s="309"/>
      <c r="H93" s="309"/>
      <c r="I93" s="309"/>
      <c r="J93" s="309"/>
      <c r="K93" s="309"/>
      <c r="L93" s="309"/>
      <c r="M93" s="309"/>
      <c r="N93" s="309"/>
      <c r="O93" s="309"/>
      <c r="P93" s="309"/>
      <c r="Q93" s="309"/>
      <c r="R93" s="309"/>
      <c r="S93" s="309"/>
      <c r="T93" s="309"/>
      <c r="U93" s="309"/>
      <c r="V93" s="309"/>
      <c r="W93" s="309"/>
      <c r="X93" s="309"/>
      <c r="Y93" s="309"/>
      <c r="Z93" s="309"/>
    </row>
    <row r="94">
      <c r="A94" s="194"/>
      <c r="B94" s="309"/>
      <c r="C94" s="194"/>
      <c r="D94" s="309"/>
      <c r="E94" s="309"/>
      <c r="F94" s="309"/>
      <c r="G94" s="309"/>
      <c r="H94" s="309"/>
      <c r="I94" s="309"/>
      <c r="J94" s="309"/>
      <c r="K94" s="309"/>
      <c r="L94" s="309"/>
      <c r="M94" s="309"/>
      <c r="N94" s="309"/>
      <c r="O94" s="309"/>
      <c r="P94" s="309"/>
      <c r="Q94" s="309"/>
      <c r="R94" s="309"/>
      <c r="S94" s="309"/>
      <c r="T94" s="309"/>
      <c r="U94" s="309"/>
      <c r="V94" s="309"/>
      <c r="W94" s="309"/>
      <c r="X94" s="309"/>
      <c r="Y94" s="309"/>
      <c r="Z94" s="309"/>
    </row>
    <row r="95">
      <c r="A95" s="194"/>
      <c r="B95" s="309"/>
      <c r="C95" s="194"/>
      <c r="D95" s="309"/>
      <c r="E95" s="309"/>
      <c r="F95" s="309"/>
      <c r="G95" s="309"/>
      <c r="H95" s="309"/>
      <c r="I95" s="309"/>
      <c r="J95" s="309"/>
      <c r="K95" s="309"/>
      <c r="L95" s="309"/>
      <c r="M95" s="309"/>
      <c r="N95" s="309"/>
      <c r="O95" s="309"/>
      <c r="P95" s="309"/>
      <c r="Q95" s="309"/>
      <c r="R95" s="309"/>
      <c r="S95" s="309"/>
      <c r="T95" s="309"/>
      <c r="U95" s="309"/>
      <c r="V95" s="309"/>
      <c r="W95" s="309"/>
      <c r="X95" s="309"/>
      <c r="Y95" s="309"/>
      <c r="Z95" s="309"/>
    </row>
    <row r="96">
      <c r="A96" s="194"/>
      <c r="B96" s="309"/>
      <c r="C96" s="194"/>
      <c r="D96" s="309"/>
      <c r="E96" s="309"/>
      <c r="F96" s="309"/>
      <c r="G96" s="309"/>
      <c r="H96" s="309"/>
      <c r="I96" s="309"/>
      <c r="J96" s="309"/>
      <c r="K96" s="309"/>
      <c r="L96" s="309"/>
      <c r="M96" s="309"/>
      <c r="N96" s="309"/>
      <c r="O96" s="309"/>
      <c r="P96" s="309"/>
      <c r="Q96" s="309"/>
      <c r="R96" s="309"/>
      <c r="S96" s="309"/>
      <c r="T96" s="309"/>
      <c r="U96" s="309"/>
      <c r="V96" s="309"/>
      <c r="W96" s="309"/>
      <c r="X96" s="309"/>
      <c r="Y96" s="309"/>
      <c r="Z96" s="309"/>
    </row>
    <row r="97">
      <c r="A97" s="194"/>
      <c r="B97" s="309"/>
      <c r="C97" s="194"/>
      <c r="D97" s="309"/>
      <c r="E97" s="309"/>
      <c r="F97" s="309"/>
      <c r="G97" s="309"/>
      <c r="H97" s="309"/>
      <c r="I97" s="309"/>
      <c r="J97" s="309"/>
      <c r="K97" s="309"/>
      <c r="L97" s="309"/>
      <c r="M97" s="309"/>
      <c r="N97" s="309"/>
      <c r="O97" s="309"/>
      <c r="P97" s="309"/>
      <c r="Q97" s="309"/>
      <c r="R97" s="309"/>
      <c r="S97" s="309"/>
      <c r="T97" s="309"/>
      <c r="U97" s="309"/>
      <c r="V97" s="309"/>
      <c r="W97" s="309"/>
      <c r="X97" s="309"/>
      <c r="Y97" s="309"/>
      <c r="Z97" s="309"/>
    </row>
    <row r="98">
      <c r="A98" s="194"/>
      <c r="B98" s="309"/>
      <c r="C98" s="194"/>
      <c r="D98" s="309"/>
      <c r="E98" s="309"/>
      <c r="F98" s="309"/>
      <c r="G98" s="309"/>
      <c r="H98" s="309"/>
      <c r="I98" s="309"/>
      <c r="J98" s="309"/>
      <c r="K98" s="309"/>
      <c r="L98" s="309"/>
      <c r="M98" s="309"/>
      <c r="N98" s="309"/>
      <c r="O98" s="309"/>
      <c r="P98" s="309"/>
      <c r="Q98" s="309"/>
      <c r="R98" s="309"/>
      <c r="S98" s="309"/>
      <c r="T98" s="309"/>
      <c r="U98" s="309"/>
      <c r="V98" s="309"/>
      <c r="W98" s="309"/>
      <c r="X98" s="309"/>
      <c r="Y98" s="309"/>
      <c r="Z98" s="309"/>
    </row>
    <row r="99">
      <c r="A99" s="194"/>
      <c r="B99" s="309"/>
      <c r="C99" s="194"/>
      <c r="D99" s="309"/>
      <c r="E99" s="309"/>
      <c r="F99" s="309"/>
      <c r="G99" s="309"/>
      <c r="H99" s="309"/>
      <c r="I99" s="309"/>
      <c r="J99" s="309"/>
      <c r="K99" s="309"/>
      <c r="L99" s="309"/>
      <c r="M99" s="309"/>
      <c r="N99" s="309"/>
      <c r="O99" s="309"/>
      <c r="P99" s="309"/>
      <c r="Q99" s="309"/>
      <c r="R99" s="309"/>
      <c r="S99" s="309"/>
      <c r="T99" s="309"/>
      <c r="U99" s="309"/>
      <c r="V99" s="309"/>
      <c r="W99" s="309"/>
      <c r="X99" s="309"/>
      <c r="Y99" s="309"/>
      <c r="Z99" s="309"/>
    </row>
    <row r="100">
      <c r="A100" s="194"/>
      <c r="B100" s="309"/>
      <c r="C100" s="194"/>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row>
    <row r="101">
      <c r="A101" s="194"/>
      <c r="B101" s="309"/>
      <c r="C101" s="194"/>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row>
    <row r="102">
      <c r="A102" s="194"/>
      <c r="B102" s="309"/>
      <c r="C102" s="194"/>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row>
    <row r="103">
      <c r="A103" s="194"/>
      <c r="B103" s="309"/>
      <c r="C103" s="194"/>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row>
    <row r="104">
      <c r="A104" s="194"/>
      <c r="B104" s="309"/>
      <c r="C104" s="194"/>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row>
    <row r="105">
      <c r="A105" s="194"/>
      <c r="B105" s="309"/>
      <c r="C105" s="194"/>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row>
    <row r="106">
      <c r="A106" s="194"/>
      <c r="B106" s="309"/>
      <c r="C106" s="194"/>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row>
    <row r="107">
      <c r="A107" s="194"/>
      <c r="B107" s="309"/>
      <c r="C107" s="194"/>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row>
    <row r="108">
      <c r="A108" s="194"/>
      <c r="B108" s="309"/>
      <c r="C108" s="194"/>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row>
    <row r="109">
      <c r="A109" s="194"/>
      <c r="B109" s="309"/>
      <c r="C109" s="194"/>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row>
    <row r="110">
      <c r="A110" s="194"/>
      <c r="B110" s="309"/>
      <c r="C110" s="194"/>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row>
    <row r="111">
      <c r="A111" s="194"/>
      <c r="B111" s="309"/>
      <c r="C111" s="194"/>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row>
    <row r="112">
      <c r="A112" s="194"/>
      <c r="B112" s="309"/>
      <c r="C112" s="194"/>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row>
    <row r="113">
      <c r="A113" s="194"/>
      <c r="B113" s="309"/>
      <c r="C113" s="194"/>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row>
    <row r="114">
      <c r="A114" s="194"/>
      <c r="B114" s="309"/>
      <c r="C114" s="194"/>
      <c r="D114" s="309"/>
      <c r="E114" s="309"/>
      <c r="F114" s="309"/>
      <c r="G114" s="309"/>
      <c r="H114" s="309"/>
      <c r="I114" s="309"/>
      <c r="J114" s="309"/>
      <c r="K114" s="309"/>
      <c r="L114" s="309"/>
      <c r="M114" s="309"/>
      <c r="N114" s="309"/>
      <c r="O114" s="309"/>
      <c r="P114" s="309"/>
      <c r="Q114" s="309"/>
      <c r="R114" s="309"/>
      <c r="S114" s="309"/>
      <c r="T114" s="309"/>
      <c r="U114" s="309"/>
      <c r="V114" s="309"/>
      <c r="W114" s="309"/>
      <c r="X114" s="309"/>
      <c r="Y114" s="309"/>
      <c r="Z114" s="309"/>
    </row>
    <row r="115">
      <c r="A115" s="194"/>
      <c r="B115" s="309"/>
      <c r="C115" s="194"/>
      <c r="D115" s="309"/>
      <c r="E115" s="309"/>
      <c r="F115" s="309"/>
      <c r="G115" s="309"/>
      <c r="H115" s="309"/>
      <c r="I115" s="309"/>
      <c r="J115" s="309"/>
      <c r="K115" s="309"/>
      <c r="L115" s="309"/>
      <c r="M115" s="309"/>
      <c r="N115" s="309"/>
      <c r="O115" s="309"/>
      <c r="P115" s="309"/>
      <c r="Q115" s="309"/>
      <c r="R115" s="309"/>
      <c r="S115" s="309"/>
      <c r="T115" s="309"/>
      <c r="U115" s="309"/>
      <c r="V115" s="309"/>
      <c r="W115" s="309"/>
      <c r="X115" s="309"/>
      <c r="Y115" s="309"/>
      <c r="Z115" s="309"/>
    </row>
    <row r="116">
      <c r="A116" s="194"/>
      <c r="B116" s="309"/>
      <c r="C116" s="194"/>
      <c r="D116" s="309"/>
      <c r="E116" s="309"/>
      <c r="F116" s="309"/>
      <c r="G116" s="309"/>
      <c r="H116" s="309"/>
      <c r="I116" s="309"/>
      <c r="J116" s="309"/>
      <c r="K116" s="309"/>
      <c r="L116" s="309"/>
      <c r="M116" s="309"/>
      <c r="N116" s="309"/>
      <c r="O116" s="309"/>
      <c r="P116" s="309"/>
      <c r="Q116" s="309"/>
      <c r="R116" s="309"/>
      <c r="S116" s="309"/>
      <c r="T116" s="309"/>
      <c r="U116" s="309"/>
      <c r="V116" s="309"/>
      <c r="W116" s="309"/>
      <c r="X116" s="309"/>
      <c r="Y116" s="309"/>
      <c r="Z116" s="309"/>
    </row>
    <row r="117">
      <c r="A117" s="194"/>
      <c r="B117" s="309"/>
      <c r="C117" s="194"/>
      <c r="D117" s="309"/>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row>
    <row r="118">
      <c r="A118" s="194"/>
      <c r="B118" s="309"/>
      <c r="C118" s="194"/>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row>
    <row r="119">
      <c r="A119" s="194"/>
      <c r="B119" s="309"/>
      <c r="C119" s="194"/>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row>
    <row r="120">
      <c r="A120" s="194"/>
      <c r="B120" s="309"/>
      <c r="C120" s="194"/>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row>
    <row r="121">
      <c r="A121" s="194"/>
      <c r="B121" s="309"/>
      <c r="C121" s="194"/>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row>
    <row r="122">
      <c r="A122" s="194"/>
      <c r="B122" s="309"/>
      <c r="C122" s="194"/>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row>
    <row r="123">
      <c r="A123" s="194"/>
      <c r="B123" s="309"/>
      <c r="C123" s="194"/>
      <c r="D123" s="309"/>
      <c r="E123" s="309"/>
      <c r="F123" s="309"/>
      <c r="G123" s="309"/>
      <c r="H123" s="309"/>
      <c r="I123" s="309"/>
      <c r="J123" s="309"/>
      <c r="K123" s="309"/>
      <c r="L123" s="309"/>
      <c r="M123" s="309"/>
      <c r="N123" s="309"/>
      <c r="O123" s="309"/>
      <c r="P123" s="309"/>
      <c r="Q123" s="309"/>
      <c r="R123" s="309"/>
      <c r="S123" s="309"/>
      <c r="T123" s="309"/>
      <c r="U123" s="309"/>
      <c r="V123" s="309"/>
      <c r="W123" s="309"/>
      <c r="X123" s="309"/>
      <c r="Y123" s="309"/>
      <c r="Z123" s="309"/>
    </row>
    <row r="124">
      <c r="A124" s="194"/>
      <c r="B124" s="309"/>
      <c r="C124" s="194"/>
      <c r="D124" s="309"/>
      <c r="E124" s="309"/>
      <c r="F124" s="309"/>
      <c r="G124" s="309"/>
      <c r="H124" s="309"/>
      <c r="I124" s="309"/>
      <c r="J124" s="309"/>
      <c r="K124" s="309"/>
      <c r="L124" s="309"/>
      <c r="M124" s="309"/>
      <c r="N124" s="309"/>
      <c r="O124" s="309"/>
      <c r="P124" s="309"/>
      <c r="Q124" s="309"/>
      <c r="R124" s="309"/>
      <c r="S124" s="309"/>
      <c r="T124" s="309"/>
      <c r="U124" s="309"/>
      <c r="V124" s="309"/>
      <c r="W124" s="309"/>
      <c r="X124" s="309"/>
      <c r="Y124" s="309"/>
      <c r="Z124" s="309"/>
    </row>
    <row r="125">
      <c r="A125" s="194"/>
      <c r="B125" s="309"/>
      <c r="C125" s="194"/>
      <c r="D125" s="309"/>
      <c r="E125" s="309"/>
      <c r="F125" s="309"/>
      <c r="G125" s="309"/>
      <c r="H125" s="309"/>
      <c r="I125" s="309"/>
      <c r="J125" s="309"/>
      <c r="K125" s="309"/>
      <c r="L125" s="309"/>
      <c r="M125" s="309"/>
      <c r="N125" s="309"/>
      <c r="O125" s="309"/>
      <c r="P125" s="309"/>
      <c r="Q125" s="309"/>
      <c r="R125" s="309"/>
      <c r="S125" s="309"/>
      <c r="T125" s="309"/>
      <c r="U125" s="309"/>
      <c r="V125" s="309"/>
      <c r="W125" s="309"/>
      <c r="X125" s="309"/>
      <c r="Y125" s="309"/>
      <c r="Z125" s="309"/>
    </row>
    <row r="126">
      <c r="A126" s="194"/>
      <c r="B126" s="309"/>
      <c r="C126" s="194"/>
      <c r="D126" s="309"/>
      <c r="E126" s="309"/>
      <c r="F126" s="309"/>
      <c r="G126" s="309"/>
      <c r="H126" s="309"/>
      <c r="I126" s="309"/>
      <c r="J126" s="309"/>
      <c r="K126" s="309"/>
      <c r="L126" s="309"/>
      <c r="M126" s="309"/>
      <c r="N126" s="309"/>
      <c r="O126" s="309"/>
      <c r="P126" s="309"/>
      <c r="Q126" s="309"/>
      <c r="R126" s="309"/>
      <c r="S126" s="309"/>
      <c r="T126" s="309"/>
      <c r="U126" s="309"/>
      <c r="V126" s="309"/>
      <c r="W126" s="309"/>
      <c r="X126" s="309"/>
      <c r="Y126" s="309"/>
      <c r="Z126" s="309"/>
    </row>
    <row r="127">
      <c r="A127" s="194"/>
      <c r="B127" s="309"/>
      <c r="C127" s="194"/>
      <c r="D127" s="309"/>
      <c r="E127" s="309"/>
      <c r="F127" s="309"/>
      <c r="G127" s="309"/>
      <c r="H127" s="309"/>
      <c r="I127" s="309"/>
      <c r="J127" s="309"/>
      <c r="K127" s="309"/>
      <c r="L127" s="309"/>
      <c r="M127" s="309"/>
      <c r="N127" s="309"/>
      <c r="O127" s="309"/>
      <c r="P127" s="309"/>
      <c r="Q127" s="309"/>
      <c r="R127" s="309"/>
      <c r="S127" s="309"/>
      <c r="T127" s="309"/>
      <c r="U127" s="309"/>
      <c r="V127" s="309"/>
      <c r="W127" s="309"/>
      <c r="X127" s="309"/>
      <c r="Y127" s="309"/>
      <c r="Z127" s="309"/>
    </row>
    <row r="128">
      <c r="A128" s="194"/>
      <c r="B128" s="309"/>
      <c r="C128" s="194"/>
      <c r="D128" s="309"/>
      <c r="E128" s="309"/>
      <c r="F128" s="309"/>
      <c r="G128" s="309"/>
      <c r="H128" s="309"/>
      <c r="I128" s="309"/>
      <c r="J128" s="309"/>
      <c r="K128" s="309"/>
      <c r="L128" s="309"/>
      <c r="M128" s="309"/>
      <c r="N128" s="309"/>
      <c r="O128" s="309"/>
      <c r="P128" s="309"/>
      <c r="Q128" s="309"/>
      <c r="R128" s="309"/>
      <c r="S128" s="309"/>
      <c r="T128" s="309"/>
      <c r="U128" s="309"/>
      <c r="V128" s="309"/>
      <c r="W128" s="309"/>
      <c r="X128" s="309"/>
      <c r="Y128" s="309"/>
      <c r="Z128" s="309"/>
    </row>
    <row r="129">
      <c r="A129" s="194"/>
      <c r="B129" s="309"/>
      <c r="C129" s="194"/>
      <c r="D129" s="309"/>
      <c r="E129" s="309"/>
      <c r="F129" s="309"/>
      <c r="G129" s="309"/>
      <c r="H129" s="309"/>
      <c r="I129" s="309"/>
      <c r="J129" s="309"/>
      <c r="K129" s="309"/>
      <c r="L129" s="309"/>
      <c r="M129" s="309"/>
      <c r="N129" s="309"/>
      <c r="O129" s="309"/>
      <c r="P129" s="309"/>
      <c r="Q129" s="309"/>
      <c r="R129" s="309"/>
      <c r="S129" s="309"/>
      <c r="T129" s="309"/>
      <c r="U129" s="309"/>
      <c r="V129" s="309"/>
      <c r="W129" s="309"/>
      <c r="X129" s="309"/>
      <c r="Y129" s="309"/>
      <c r="Z129" s="309"/>
    </row>
    <row r="130">
      <c r="A130" s="194"/>
      <c r="B130" s="309"/>
      <c r="C130" s="194"/>
      <c r="D130" s="309"/>
      <c r="E130" s="309"/>
      <c r="F130" s="309"/>
      <c r="G130" s="309"/>
      <c r="H130" s="309"/>
      <c r="I130" s="309"/>
      <c r="J130" s="309"/>
      <c r="K130" s="309"/>
      <c r="L130" s="309"/>
      <c r="M130" s="309"/>
      <c r="N130" s="309"/>
      <c r="O130" s="309"/>
      <c r="P130" s="309"/>
      <c r="Q130" s="309"/>
      <c r="R130" s="309"/>
      <c r="S130" s="309"/>
      <c r="T130" s="309"/>
      <c r="U130" s="309"/>
      <c r="V130" s="309"/>
      <c r="W130" s="309"/>
      <c r="X130" s="309"/>
      <c r="Y130" s="309"/>
      <c r="Z130" s="309"/>
    </row>
    <row r="131">
      <c r="A131" s="194"/>
      <c r="B131" s="309"/>
      <c r="C131" s="194"/>
      <c r="D131" s="309"/>
      <c r="E131" s="309"/>
      <c r="F131" s="309"/>
      <c r="G131" s="309"/>
      <c r="H131" s="309"/>
      <c r="I131" s="309"/>
      <c r="J131" s="309"/>
      <c r="K131" s="309"/>
      <c r="L131" s="309"/>
      <c r="M131" s="309"/>
      <c r="N131" s="309"/>
      <c r="O131" s="309"/>
      <c r="P131" s="309"/>
      <c r="Q131" s="309"/>
      <c r="R131" s="309"/>
      <c r="S131" s="309"/>
      <c r="T131" s="309"/>
      <c r="U131" s="309"/>
      <c r="V131" s="309"/>
      <c r="W131" s="309"/>
      <c r="X131" s="309"/>
      <c r="Y131" s="309"/>
      <c r="Z131" s="309"/>
    </row>
    <row r="132">
      <c r="A132" s="194"/>
      <c r="B132" s="309"/>
      <c r="C132" s="194"/>
      <c r="D132" s="309"/>
      <c r="E132" s="309"/>
      <c r="F132" s="309"/>
      <c r="G132" s="309"/>
      <c r="H132" s="309"/>
      <c r="I132" s="309"/>
      <c r="J132" s="309"/>
      <c r="K132" s="309"/>
      <c r="L132" s="309"/>
      <c r="M132" s="309"/>
      <c r="N132" s="309"/>
      <c r="O132" s="309"/>
      <c r="P132" s="309"/>
      <c r="Q132" s="309"/>
      <c r="R132" s="309"/>
      <c r="S132" s="309"/>
      <c r="T132" s="309"/>
      <c r="U132" s="309"/>
      <c r="V132" s="309"/>
      <c r="W132" s="309"/>
      <c r="X132" s="309"/>
      <c r="Y132" s="309"/>
      <c r="Z132" s="309"/>
    </row>
    <row r="133">
      <c r="A133" s="194"/>
      <c r="B133" s="309"/>
      <c r="C133" s="194"/>
      <c r="D133" s="309"/>
      <c r="E133" s="309"/>
      <c r="F133" s="309"/>
      <c r="G133" s="309"/>
      <c r="H133" s="309"/>
      <c r="I133" s="309"/>
      <c r="J133" s="309"/>
      <c r="K133" s="309"/>
      <c r="L133" s="309"/>
      <c r="M133" s="309"/>
      <c r="N133" s="309"/>
      <c r="O133" s="309"/>
      <c r="P133" s="309"/>
      <c r="Q133" s="309"/>
      <c r="R133" s="309"/>
      <c r="S133" s="309"/>
      <c r="T133" s="309"/>
      <c r="U133" s="309"/>
      <c r="V133" s="309"/>
      <c r="W133" s="309"/>
      <c r="X133" s="309"/>
      <c r="Y133" s="309"/>
      <c r="Z133" s="309"/>
    </row>
    <row r="134">
      <c r="A134" s="194"/>
      <c r="B134" s="309"/>
      <c r="C134" s="194"/>
      <c r="D134" s="309"/>
      <c r="E134" s="309"/>
      <c r="F134" s="309"/>
      <c r="G134" s="309"/>
      <c r="H134" s="309"/>
      <c r="I134" s="309"/>
      <c r="J134" s="309"/>
      <c r="K134" s="309"/>
      <c r="L134" s="309"/>
      <c r="M134" s="309"/>
      <c r="N134" s="309"/>
      <c r="O134" s="309"/>
      <c r="P134" s="309"/>
      <c r="Q134" s="309"/>
      <c r="R134" s="309"/>
      <c r="S134" s="309"/>
      <c r="T134" s="309"/>
      <c r="U134" s="309"/>
      <c r="V134" s="309"/>
      <c r="W134" s="309"/>
      <c r="X134" s="309"/>
      <c r="Y134" s="309"/>
      <c r="Z134" s="309"/>
    </row>
    <row r="135">
      <c r="A135" s="194"/>
      <c r="B135" s="309"/>
      <c r="C135" s="194"/>
      <c r="D135" s="309"/>
      <c r="E135" s="309"/>
      <c r="F135" s="309"/>
      <c r="G135" s="309"/>
      <c r="H135" s="309"/>
      <c r="I135" s="309"/>
      <c r="J135" s="309"/>
      <c r="K135" s="309"/>
      <c r="L135" s="309"/>
      <c r="M135" s="309"/>
      <c r="N135" s="309"/>
      <c r="O135" s="309"/>
      <c r="P135" s="309"/>
      <c r="Q135" s="309"/>
      <c r="R135" s="309"/>
      <c r="S135" s="309"/>
      <c r="T135" s="309"/>
      <c r="U135" s="309"/>
      <c r="V135" s="309"/>
      <c r="W135" s="309"/>
      <c r="X135" s="309"/>
      <c r="Y135" s="309"/>
      <c r="Z135" s="309"/>
    </row>
    <row r="136">
      <c r="A136" s="194"/>
      <c r="B136" s="309"/>
      <c r="C136" s="194"/>
      <c r="D136" s="309"/>
      <c r="E136" s="309"/>
      <c r="F136" s="309"/>
      <c r="G136" s="309"/>
      <c r="H136" s="309"/>
      <c r="I136" s="309"/>
      <c r="J136" s="309"/>
      <c r="K136" s="309"/>
      <c r="L136" s="309"/>
      <c r="M136" s="309"/>
      <c r="N136" s="309"/>
      <c r="O136" s="309"/>
      <c r="P136" s="309"/>
      <c r="Q136" s="309"/>
      <c r="R136" s="309"/>
      <c r="S136" s="309"/>
      <c r="T136" s="309"/>
      <c r="U136" s="309"/>
      <c r="V136" s="309"/>
      <c r="W136" s="309"/>
      <c r="X136" s="309"/>
      <c r="Y136" s="309"/>
      <c r="Z136" s="309"/>
    </row>
    <row r="137">
      <c r="A137" s="194"/>
      <c r="B137" s="309"/>
      <c r="C137" s="194"/>
      <c r="D137" s="309"/>
      <c r="E137" s="309"/>
      <c r="F137" s="309"/>
      <c r="G137" s="309"/>
      <c r="H137" s="309"/>
      <c r="I137" s="309"/>
      <c r="J137" s="309"/>
      <c r="K137" s="309"/>
      <c r="L137" s="309"/>
      <c r="M137" s="309"/>
      <c r="N137" s="309"/>
      <c r="O137" s="309"/>
      <c r="P137" s="309"/>
      <c r="Q137" s="309"/>
      <c r="R137" s="309"/>
      <c r="S137" s="309"/>
      <c r="T137" s="309"/>
      <c r="U137" s="309"/>
      <c r="V137" s="309"/>
      <c r="W137" s="309"/>
      <c r="X137" s="309"/>
      <c r="Y137" s="309"/>
      <c r="Z137" s="309"/>
    </row>
    <row r="138">
      <c r="A138" s="194"/>
      <c r="B138" s="309"/>
      <c r="C138" s="194"/>
      <c r="D138" s="309"/>
      <c r="E138" s="309"/>
      <c r="F138" s="309"/>
      <c r="G138" s="309"/>
      <c r="H138" s="309"/>
      <c r="I138" s="309"/>
      <c r="J138" s="309"/>
      <c r="K138" s="309"/>
      <c r="L138" s="309"/>
      <c r="M138" s="309"/>
      <c r="N138" s="309"/>
      <c r="O138" s="309"/>
      <c r="P138" s="309"/>
      <c r="Q138" s="309"/>
      <c r="R138" s="309"/>
      <c r="S138" s="309"/>
      <c r="T138" s="309"/>
      <c r="U138" s="309"/>
      <c r="V138" s="309"/>
      <c r="W138" s="309"/>
      <c r="X138" s="309"/>
      <c r="Y138" s="309"/>
      <c r="Z138" s="309"/>
    </row>
    <row r="139">
      <c r="A139" s="194"/>
      <c r="B139" s="309"/>
      <c r="C139" s="194"/>
      <c r="D139" s="309"/>
      <c r="E139" s="309"/>
      <c r="F139" s="309"/>
      <c r="G139" s="309"/>
      <c r="H139" s="309"/>
      <c r="I139" s="309"/>
      <c r="J139" s="309"/>
      <c r="K139" s="309"/>
      <c r="L139" s="309"/>
      <c r="M139" s="309"/>
      <c r="N139" s="309"/>
      <c r="O139" s="309"/>
      <c r="P139" s="309"/>
      <c r="Q139" s="309"/>
      <c r="R139" s="309"/>
      <c r="S139" s="309"/>
      <c r="T139" s="309"/>
      <c r="U139" s="309"/>
      <c r="V139" s="309"/>
      <c r="W139" s="309"/>
      <c r="X139" s="309"/>
      <c r="Y139" s="309"/>
      <c r="Z139" s="309"/>
    </row>
    <row r="140">
      <c r="A140" s="194"/>
      <c r="B140" s="309"/>
      <c r="C140" s="194"/>
      <c r="D140" s="309"/>
      <c r="E140" s="309"/>
      <c r="F140" s="309"/>
      <c r="G140" s="309"/>
      <c r="H140" s="309"/>
      <c r="I140" s="309"/>
      <c r="J140" s="309"/>
      <c r="K140" s="309"/>
      <c r="L140" s="309"/>
      <c r="M140" s="309"/>
      <c r="N140" s="309"/>
      <c r="O140" s="309"/>
      <c r="P140" s="309"/>
      <c r="Q140" s="309"/>
      <c r="R140" s="309"/>
      <c r="S140" s="309"/>
      <c r="T140" s="309"/>
      <c r="U140" s="309"/>
      <c r="V140" s="309"/>
      <c r="W140" s="309"/>
      <c r="X140" s="309"/>
      <c r="Y140" s="309"/>
      <c r="Z140" s="309"/>
    </row>
    <row r="141">
      <c r="A141" s="194"/>
      <c r="B141" s="309"/>
      <c r="C141" s="194"/>
      <c r="D141" s="309"/>
      <c r="E141" s="309"/>
      <c r="F141" s="309"/>
      <c r="G141" s="309"/>
      <c r="H141" s="309"/>
      <c r="I141" s="309"/>
      <c r="J141" s="309"/>
      <c r="K141" s="309"/>
      <c r="L141" s="309"/>
      <c r="M141" s="309"/>
      <c r="N141" s="309"/>
      <c r="O141" s="309"/>
      <c r="P141" s="309"/>
      <c r="Q141" s="309"/>
      <c r="R141" s="309"/>
      <c r="S141" s="309"/>
      <c r="T141" s="309"/>
      <c r="U141" s="309"/>
      <c r="V141" s="309"/>
      <c r="W141" s="309"/>
      <c r="X141" s="309"/>
      <c r="Y141" s="309"/>
      <c r="Z141" s="309"/>
    </row>
    <row r="142">
      <c r="A142" s="194"/>
      <c r="B142" s="309"/>
      <c r="C142" s="194"/>
      <c r="D142" s="309"/>
      <c r="E142" s="309"/>
      <c r="F142" s="309"/>
      <c r="G142" s="309"/>
      <c r="H142" s="309"/>
      <c r="I142" s="309"/>
      <c r="J142" s="309"/>
      <c r="K142" s="309"/>
      <c r="L142" s="309"/>
      <c r="M142" s="309"/>
      <c r="N142" s="309"/>
      <c r="O142" s="309"/>
      <c r="P142" s="309"/>
      <c r="Q142" s="309"/>
      <c r="R142" s="309"/>
      <c r="S142" s="309"/>
      <c r="T142" s="309"/>
      <c r="U142" s="309"/>
      <c r="V142" s="309"/>
      <c r="W142" s="309"/>
      <c r="X142" s="309"/>
      <c r="Y142" s="309"/>
      <c r="Z142" s="309"/>
    </row>
    <row r="143">
      <c r="A143" s="194"/>
      <c r="B143" s="309"/>
      <c r="C143" s="194"/>
      <c r="D143" s="309"/>
      <c r="E143" s="309"/>
      <c r="F143" s="309"/>
      <c r="G143" s="309"/>
      <c r="H143" s="309"/>
      <c r="I143" s="309"/>
      <c r="J143" s="309"/>
      <c r="K143" s="309"/>
      <c r="L143" s="309"/>
      <c r="M143" s="309"/>
      <c r="N143" s="309"/>
      <c r="O143" s="309"/>
      <c r="P143" s="309"/>
      <c r="Q143" s="309"/>
      <c r="R143" s="309"/>
      <c r="S143" s="309"/>
      <c r="T143" s="309"/>
      <c r="U143" s="309"/>
      <c r="V143" s="309"/>
      <c r="W143" s="309"/>
      <c r="X143" s="309"/>
      <c r="Y143" s="309"/>
      <c r="Z143" s="309"/>
    </row>
    <row r="144">
      <c r="A144" s="194"/>
      <c r="B144" s="309"/>
      <c r="C144" s="194"/>
      <c r="D144" s="309"/>
      <c r="E144" s="309"/>
      <c r="F144" s="309"/>
      <c r="G144" s="309"/>
      <c r="H144" s="309"/>
      <c r="I144" s="309"/>
      <c r="J144" s="309"/>
      <c r="K144" s="309"/>
      <c r="L144" s="309"/>
      <c r="M144" s="309"/>
      <c r="N144" s="309"/>
      <c r="O144" s="309"/>
      <c r="P144" s="309"/>
      <c r="Q144" s="309"/>
      <c r="R144" s="309"/>
      <c r="S144" s="309"/>
      <c r="T144" s="309"/>
      <c r="U144" s="309"/>
      <c r="V144" s="309"/>
      <c r="W144" s="309"/>
      <c r="X144" s="309"/>
      <c r="Y144" s="309"/>
      <c r="Z144" s="309"/>
    </row>
    <row r="145">
      <c r="A145" s="194"/>
      <c r="B145" s="309"/>
      <c r="C145" s="194"/>
      <c r="D145" s="309"/>
      <c r="E145" s="309"/>
      <c r="F145" s="309"/>
      <c r="G145" s="309"/>
      <c r="H145" s="309"/>
      <c r="I145" s="309"/>
      <c r="J145" s="309"/>
      <c r="K145" s="309"/>
      <c r="L145" s="309"/>
      <c r="M145" s="309"/>
      <c r="N145" s="309"/>
      <c r="O145" s="309"/>
      <c r="P145" s="309"/>
      <c r="Q145" s="309"/>
      <c r="R145" s="309"/>
      <c r="S145" s="309"/>
      <c r="T145" s="309"/>
      <c r="U145" s="309"/>
      <c r="V145" s="309"/>
      <c r="W145" s="309"/>
      <c r="X145" s="309"/>
      <c r="Y145" s="309"/>
      <c r="Z145" s="309"/>
    </row>
    <row r="146">
      <c r="A146" s="194"/>
      <c r="B146" s="309"/>
      <c r="C146" s="194"/>
      <c r="D146" s="309"/>
      <c r="E146" s="309"/>
      <c r="F146" s="309"/>
      <c r="G146" s="309"/>
      <c r="H146" s="309"/>
      <c r="I146" s="309"/>
      <c r="J146" s="309"/>
      <c r="K146" s="309"/>
      <c r="L146" s="309"/>
      <c r="M146" s="309"/>
      <c r="N146" s="309"/>
      <c r="O146" s="309"/>
      <c r="P146" s="309"/>
      <c r="Q146" s="309"/>
      <c r="R146" s="309"/>
      <c r="S146" s="309"/>
      <c r="T146" s="309"/>
      <c r="U146" s="309"/>
      <c r="V146" s="309"/>
      <c r="W146" s="309"/>
      <c r="X146" s="309"/>
      <c r="Y146" s="309"/>
      <c r="Z146" s="309"/>
    </row>
    <row r="147">
      <c r="A147" s="194"/>
      <c r="B147" s="309"/>
      <c r="C147" s="194"/>
      <c r="D147" s="309"/>
      <c r="E147" s="309"/>
      <c r="F147" s="309"/>
      <c r="G147" s="309"/>
      <c r="H147" s="309"/>
      <c r="I147" s="309"/>
      <c r="J147" s="309"/>
      <c r="K147" s="309"/>
      <c r="L147" s="309"/>
      <c r="M147" s="309"/>
      <c r="N147" s="309"/>
      <c r="O147" s="309"/>
      <c r="P147" s="309"/>
      <c r="Q147" s="309"/>
      <c r="R147" s="309"/>
      <c r="S147" s="309"/>
      <c r="T147" s="309"/>
      <c r="U147" s="309"/>
      <c r="V147" s="309"/>
      <c r="W147" s="309"/>
      <c r="X147" s="309"/>
      <c r="Y147" s="309"/>
      <c r="Z147" s="309"/>
    </row>
    <row r="148">
      <c r="A148" s="194"/>
      <c r="B148" s="309"/>
      <c r="C148" s="194"/>
      <c r="D148" s="309"/>
      <c r="E148" s="309"/>
      <c r="F148" s="309"/>
      <c r="G148" s="309"/>
      <c r="H148" s="309"/>
      <c r="I148" s="309"/>
      <c r="J148" s="309"/>
      <c r="K148" s="309"/>
      <c r="L148" s="309"/>
      <c r="M148" s="309"/>
      <c r="N148" s="309"/>
      <c r="O148" s="309"/>
      <c r="P148" s="309"/>
      <c r="Q148" s="309"/>
      <c r="R148" s="309"/>
      <c r="S148" s="309"/>
      <c r="T148" s="309"/>
      <c r="U148" s="309"/>
      <c r="V148" s="309"/>
      <c r="W148" s="309"/>
      <c r="X148" s="309"/>
      <c r="Y148" s="309"/>
      <c r="Z148" s="309"/>
    </row>
    <row r="149">
      <c r="A149" s="194"/>
      <c r="B149" s="309"/>
      <c r="C149" s="194"/>
      <c r="D149" s="309"/>
      <c r="E149" s="309"/>
      <c r="F149" s="309"/>
      <c r="G149" s="309"/>
      <c r="H149" s="309"/>
      <c r="I149" s="309"/>
      <c r="J149" s="309"/>
      <c r="K149" s="309"/>
      <c r="L149" s="309"/>
      <c r="M149" s="309"/>
      <c r="N149" s="309"/>
      <c r="O149" s="309"/>
      <c r="P149" s="309"/>
      <c r="Q149" s="309"/>
      <c r="R149" s="309"/>
      <c r="S149" s="309"/>
      <c r="T149" s="309"/>
      <c r="U149" s="309"/>
      <c r="V149" s="309"/>
      <c r="W149" s="309"/>
      <c r="X149" s="309"/>
      <c r="Y149" s="309"/>
      <c r="Z149" s="309"/>
    </row>
    <row r="150">
      <c r="A150" s="194"/>
      <c r="B150" s="309"/>
      <c r="C150" s="194"/>
      <c r="D150" s="309"/>
      <c r="E150" s="309"/>
      <c r="F150" s="309"/>
      <c r="G150" s="309"/>
      <c r="H150" s="309"/>
      <c r="I150" s="309"/>
      <c r="J150" s="309"/>
      <c r="K150" s="309"/>
      <c r="L150" s="309"/>
      <c r="M150" s="309"/>
      <c r="N150" s="309"/>
      <c r="O150" s="309"/>
      <c r="P150" s="309"/>
      <c r="Q150" s="309"/>
      <c r="R150" s="309"/>
      <c r="S150" s="309"/>
      <c r="T150" s="309"/>
      <c r="U150" s="309"/>
      <c r="V150" s="309"/>
      <c r="W150" s="309"/>
      <c r="X150" s="309"/>
      <c r="Y150" s="309"/>
      <c r="Z150" s="309"/>
    </row>
    <row r="151">
      <c r="A151" s="194"/>
      <c r="B151" s="309"/>
      <c r="C151" s="194"/>
      <c r="D151" s="309"/>
      <c r="E151" s="309"/>
      <c r="F151" s="309"/>
      <c r="G151" s="309"/>
      <c r="H151" s="309"/>
      <c r="I151" s="309"/>
      <c r="J151" s="309"/>
      <c r="K151" s="309"/>
      <c r="L151" s="309"/>
      <c r="M151" s="309"/>
      <c r="N151" s="309"/>
      <c r="O151" s="309"/>
      <c r="P151" s="309"/>
      <c r="Q151" s="309"/>
      <c r="R151" s="309"/>
      <c r="S151" s="309"/>
      <c r="T151" s="309"/>
      <c r="U151" s="309"/>
      <c r="V151" s="309"/>
      <c r="W151" s="309"/>
      <c r="X151" s="309"/>
      <c r="Y151" s="309"/>
      <c r="Z151" s="309"/>
    </row>
    <row r="152">
      <c r="A152" s="194"/>
      <c r="B152" s="309"/>
      <c r="C152" s="194"/>
      <c r="D152" s="309"/>
      <c r="E152" s="309"/>
      <c r="F152" s="309"/>
      <c r="G152" s="309"/>
      <c r="H152" s="309"/>
      <c r="I152" s="309"/>
      <c r="J152" s="309"/>
      <c r="K152" s="309"/>
      <c r="L152" s="309"/>
      <c r="M152" s="309"/>
      <c r="N152" s="309"/>
      <c r="O152" s="309"/>
      <c r="P152" s="309"/>
      <c r="Q152" s="309"/>
      <c r="R152" s="309"/>
      <c r="S152" s="309"/>
      <c r="T152" s="309"/>
      <c r="U152" s="309"/>
      <c r="V152" s="309"/>
      <c r="W152" s="309"/>
      <c r="X152" s="309"/>
      <c r="Y152" s="309"/>
      <c r="Z152" s="309"/>
    </row>
    <row r="153">
      <c r="A153" s="194"/>
      <c r="B153" s="309"/>
      <c r="C153" s="194"/>
      <c r="D153" s="309"/>
      <c r="E153" s="309"/>
      <c r="F153" s="309"/>
      <c r="G153" s="309"/>
      <c r="H153" s="309"/>
      <c r="I153" s="309"/>
      <c r="J153" s="309"/>
      <c r="K153" s="309"/>
      <c r="L153" s="309"/>
      <c r="M153" s="309"/>
      <c r="N153" s="309"/>
      <c r="O153" s="309"/>
      <c r="P153" s="309"/>
      <c r="Q153" s="309"/>
      <c r="R153" s="309"/>
      <c r="S153" s="309"/>
      <c r="T153" s="309"/>
      <c r="U153" s="309"/>
      <c r="V153" s="309"/>
      <c r="W153" s="309"/>
      <c r="X153" s="309"/>
      <c r="Y153" s="309"/>
      <c r="Z153" s="309"/>
    </row>
    <row r="154">
      <c r="A154" s="194"/>
      <c r="B154" s="309"/>
      <c r="C154" s="194"/>
      <c r="D154" s="309"/>
      <c r="E154" s="309"/>
      <c r="F154" s="309"/>
      <c r="G154" s="309"/>
      <c r="H154" s="309"/>
      <c r="I154" s="309"/>
      <c r="J154" s="309"/>
      <c r="K154" s="309"/>
      <c r="L154" s="309"/>
      <c r="M154" s="309"/>
      <c r="N154" s="309"/>
      <c r="O154" s="309"/>
      <c r="P154" s="309"/>
      <c r="Q154" s="309"/>
      <c r="R154" s="309"/>
      <c r="S154" s="309"/>
      <c r="T154" s="309"/>
      <c r="U154" s="309"/>
      <c r="V154" s="309"/>
      <c r="W154" s="309"/>
      <c r="X154" s="309"/>
      <c r="Y154" s="309"/>
      <c r="Z154" s="309"/>
    </row>
    <row r="155">
      <c r="A155" s="194"/>
      <c r="B155" s="309"/>
      <c r="C155" s="194"/>
      <c r="D155" s="309"/>
      <c r="E155" s="309"/>
      <c r="F155" s="309"/>
      <c r="G155" s="309"/>
      <c r="H155" s="309"/>
      <c r="I155" s="309"/>
      <c r="J155" s="309"/>
      <c r="K155" s="309"/>
      <c r="L155" s="309"/>
      <c r="M155" s="309"/>
      <c r="N155" s="309"/>
      <c r="O155" s="309"/>
      <c r="P155" s="309"/>
      <c r="Q155" s="309"/>
      <c r="R155" s="309"/>
      <c r="S155" s="309"/>
      <c r="T155" s="309"/>
      <c r="U155" s="309"/>
      <c r="V155" s="309"/>
      <c r="W155" s="309"/>
      <c r="X155" s="309"/>
      <c r="Y155" s="309"/>
      <c r="Z155" s="309"/>
    </row>
    <row r="156">
      <c r="A156" s="194"/>
      <c r="B156" s="309"/>
      <c r="C156" s="194"/>
      <c r="D156" s="309"/>
      <c r="E156" s="309"/>
      <c r="F156" s="309"/>
      <c r="G156" s="309"/>
      <c r="H156" s="309"/>
      <c r="I156" s="309"/>
      <c r="J156" s="309"/>
      <c r="K156" s="309"/>
      <c r="L156" s="309"/>
      <c r="M156" s="309"/>
      <c r="N156" s="309"/>
      <c r="O156" s="309"/>
      <c r="P156" s="309"/>
      <c r="Q156" s="309"/>
      <c r="R156" s="309"/>
      <c r="S156" s="309"/>
      <c r="T156" s="309"/>
      <c r="U156" s="309"/>
      <c r="V156" s="309"/>
      <c r="W156" s="309"/>
      <c r="X156" s="309"/>
      <c r="Y156" s="309"/>
      <c r="Z156" s="309"/>
    </row>
    <row r="157">
      <c r="A157" s="194"/>
      <c r="B157" s="309"/>
      <c r="C157" s="194"/>
      <c r="D157" s="309"/>
      <c r="E157" s="309"/>
      <c r="F157" s="309"/>
      <c r="G157" s="309"/>
      <c r="H157" s="309"/>
      <c r="I157" s="309"/>
      <c r="J157" s="309"/>
      <c r="K157" s="309"/>
      <c r="L157" s="309"/>
      <c r="M157" s="309"/>
      <c r="N157" s="309"/>
      <c r="O157" s="309"/>
      <c r="P157" s="309"/>
      <c r="Q157" s="309"/>
      <c r="R157" s="309"/>
      <c r="S157" s="309"/>
      <c r="T157" s="309"/>
      <c r="U157" s="309"/>
      <c r="V157" s="309"/>
      <c r="W157" s="309"/>
      <c r="X157" s="309"/>
      <c r="Y157" s="309"/>
      <c r="Z157" s="309"/>
    </row>
    <row r="158">
      <c r="A158" s="194"/>
      <c r="B158" s="309"/>
      <c r="C158" s="194"/>
      <c r="D158" s="309"/>
      <c r="E158" s="309"/>
      <c r="F158" s="309"/>
      <c r="G158" s="309"/>
      <c r="H158" s="309"/>
      <c r="I158" s="309"/>
      <c r="J158" s="309"/>
      <c r="K158" s="309"/>
      <c r="L158" s="309"/>
      <c r="M158" s="309"/>
      <c r="N158" s="309"/>
      <c r="O158" s="309"/>
      <c r="P158" s="309"/>
      <c r="Q158" s="309"/>
      <c r="R158" s="309"/>
      <c r="S158" s="309"/>
      <c r="T158" s="309"/>
      <c r="U158" s="309"/>
      <c r="V158" s="309"/>
      <c r="W158" s="309"/>
      <c r="X158" s="309"/>
      <c r="Y158" s="309"/>
      <c r="Z158" s="309"/>
    </row>
    <row r="159">
      <c r="A159" s="194"/>
      <c r="B159" s="309"/>
      <c r="C159" s="194"/>
      <c r="D159" s="309"/>
      <c r="E159" s="309"/>
      <c r="F159" s="309"/>
      <c r="G159" s="309"/>
      <c r="H159" s="309"/>
      <c r="I159" s="309"/>
      <c r="J159" s="309"/>
      <c r="K159" s="309"/>
      <c r="L159" s="309"/>
      <c r="M159" s="309"/>
      <c r="N159" s="309"/>
      <c r="O159" s="309"/>
      <c r="P159" s="309"/>
      <c r="Q159" s="309"/>
      <c r="R159" s="309"/>
      <c r="S159" s="309"/>
      <c r="T159" s="309"/>
      <c r="U159" s="309"/>
      <c r="V159" s="309"/>
      <c r="W159" s="309"/>
      <c r="X159" s="309"/>
      <c r="Y159" s="309"/>
      <c r="Z159" s="309"/>
    </row>
    <row r="160">
      <c r="A160" s="194"/>
      <c r="B160" s="309"/>
      <c r="C160" s="194"/>
      <c r="D160" s="309"/>
      <c r="E160" s="309"/>
      <c r="F160" s="309"/>
      <c r="G160" s="309"/>
      <c r="H160" s="309"/>
      <c r="I160" s="309"/>
      <c r="J160" s="309"/>
      <c r="K160" s="309"/>
      <c r="L160" s="309"/>
      <c r="M160" s="309"/>
      <c r="N160" s="309"/>
      <c r="O160" s="309"/>
      <c r="P160" s="309"/>
      <c r="Q160" s="309"/>
      <c r="R160" s="309"/>
      <c r="S160" s="309"/>
      <c r="T160" s="309"/>
      <c r="U160" s="309"/>
      <c r="V160" s="309"/>
      <c r="W160" s="309"/>
      <c r="X160" s="309"/>
      <c r="Y160" s="309"/>
      <c r="Z160" s="309"/>
    </row>
    <row r="161">
      <c r="A161" s="194"/>
      <c r="B161" s="309"/>
      <c r="C161" s="194"/>
      <c r="D161" s="309"/>
      <c r="E161" s="309"/>
      <c r="F161" s="309"/>
      <c r="G161" s="309"/>
      <c r="H161" s="309"/>
      <c r="I161" s="309"/>
      <c r="J161" s="309"/>
      <c r="K161" s="309"/>
      <c r="L161" s="309"/>
      <c r="M161" s="309"/>
      <c r="N161" s="309"/>
      <c r="O161" s="309"/>
      <c r="P161" s="309"/>
      <c r="Q161" s="309"/>
      <c r="R161" s="309"/>
      <c r="S161" s="309"/>
      <c r="T161" s="309"/>
      <c r="U161" s="309"/>
      <c r="V161" s="309"/>
      <c r="W161" s="309"/>
      <c r="X161" s="309"/>
      <c r="Y161" s="309"/>
      <c r="Z161" s="309"/>
    </row>
    <row r="162">
      <c r="A162" s="194"/>
      <c r="B162" s="309"/>
      <c r="C162" s="194"/>
      <c r="D162" s="309"/>
      <c r="E162" s="309"/>
      <c r="F162" s="309"/>
      <c r="G162" s="309"/>
      <c r="H162" s="309"/>
      <c r="I162" s="309"/>
      <c r="J162" s="309"/>
      <c r="K162" s="309"/>
      <c r="L162" s="309"/>
      <c r="M162" s="309"/>
      <c r="N162" s="309"/>
      <c r="O162" s="309"/>
      <c r="P162" s="309"/>
      <c r="Q162" s="309"/>
      <c r="R162" s="309"/>
      <c r="S162" s="309"/>
      <c r="T162" s="309"/>
      <c r="U162" s="309"/>
      <c r="V162" s="309"/>
      <c r="W162" s="309"/>
      <c r="X162" s="309"/>
      <c r="Y162" s="309"/>
      <c r="Z162" s="309"/>
    </row>
    <row r="163">
      <c r="A163" s="194"/>
      <c r="B163" s="309"/>
      <c r="C163" s="194"/>
      <c r="D163" s="309"/>
      <c r="E163" s="309"/>
      <c r="F163" s="309"/>
      <c r="G163" s="309"/>
      <c r="H163" s="309"/>
      <c r="I163" s="309"/>
      <c r="J163" s="309"/>
      <c r="K163" s="309"/>
      <c r="L163" s="309"/>
      <c r="M163" s="309"/>
      <c r="N163" s="309"/>
      <c r="O163" s="309"/>
      <c r="P163" s="309"/>
      <c r="Q163" s="309"/>
      <c r="R163" s="309"/>
      <c r="S163" s="309"/>
      <c r="T163" s="309"/>
      <c r="U163" s="309"/>
      <c r="V163" s="309"/>
      <c r="W163" s="309"/>
      <c r="X163" s="309"/>
      <c r="Y163" s="309"/>
      <c r="Z163" s="309"/>
    </row>
    <row r="164">
      <c r="A164" s="194"/>
      <c r="B164" s="309"/>
      <c r="C164" s="194"/>
      <c r="D164" s="309"/>
      <c r="E164" s="309"/>
      <c r="F164" s="309"/>
      <c r="G164" s="309"/>
      <c r="H164" s="309"/>
      <c r="I164" s="309"/>
      <c r="J164" s="309"/>
      <c r="K164" s="309"/>
      <c r="L164" s="309"/>
      <c r="M164" s="309"/>
      <c r="N164" s="309"/>
      <c r="O164" s="309"/>
      <c r="P164" s="309"/>
      <c r="Q164" s="309"/>
      <c r="R164" s="309"/>
      <c r="S164" s="309"/>
      <c r="T164" s="309"/>
      <c r="U164" s="309"/>
      <c r="V164" s="309"/>
      <c r="W164" s="309"/>
      <c r="X164" s="309"/>
      <c r="Y164" s="309"/>
      <c r="Z164" s="309"/>
    </row>
    <row r="165">
      <c r="A165" s="194"/>
      <c r="B165" s="309"/>
      <c r="C165" s="194"/>
      <c r="D165" s="309"/>
      <c r="E165" s="309"/>
      <c r="F165" s="309"/>
      <c r="G165" s="309"/>
      <c r="H165" s="309"/>
      <c r="I165" s="309"/>
      <c r="J165" s="309"/>
      <c r="K165" s="309"/>
      <c r="L165" s="309"/>
      <c r="M165" s="309"/>
      <c r="N165" s="309"/>
      <c r="O165" s="309"/>
      <c r="P165" s="309"/>
      <c r="Q165" s="309"/>
      <c r="R165" s="309"/>
      <c r="S165" s="309"/>
      <c r="T165" s="309"/>
      <c r="U165" s="309"/>
      <c r="V165" s="309"/>
      <c r="W165" s="309"/>
      <c r="X165" s="309"/>
      <c r="Y165" s="309"/>
      <c r="Z165" s="309"/>
    </row>
    <row r="166">
      <c r="A166" s="194"/>
      <c r="B166" s="309"/>
      <c r="C166" s="194"/>
      <c r="D166" s="309"/>
      <c r="E166" s="309"/>
      <c r="F166" s="309"/>
      <c r="G166" s="309"/>
      <c r="H166" s="309"/>
      <c r="I166" s="309"/>
      <c r="J166" s="309"/>
      <c r="K166" s="309"/>
      <c r="L166" s="309"/>
      <c r="M166" s="309"/>
      <c r="N166" s="309"/>
      <c r="O166" s="309"/>
      <c r="P166" s="309"/>
      <c r="Q166" s="309"/>
      <c r="R166" s="309"/>
      <c r="S166" s="309"/>
      <c r="T166" s="309"/>
      <c r="U166" s="309"/>
      <c r="V166" s="309"/>
      <c r="W166" s="309"/>
      <c r="X166" s="309"/>
      <c r="Y166" s="309"/>
      <c r="Z166" s="309"/>
    </row>
    <row r="167">
      <c r="A167" s="194"/>
      <c r="B167" s="309"/>
      <c r="C167" s="194"/>
      <c r="D167" s="309"/>
      <c r="E167" s="309"/>
      <c r="F167" s="309"/>
      <c r="G167" s="309"/>
      <c r="H167" s="309"/>
      <c r="I167" s="309"/>
      <c r="J167" s="309"/>
      <c r="K167" s="309"/>
      <c r="L167" s="309"/>
      <c r="M167" s="309"/>
      <c r="N167" s="309"/>
      <c r="O167" s="309"/>
      <c r="P167" s="309"/>
      <c r="Q167" s="309"/>
      <c r="R167" s="309"/>
      <c r="S167" s="309"/>
      <c r="T167" s="309"/>
      <c r="U167" s="309"/>
      <c r="V167" s="309"/>
      <c r="W167" s="309"/>
      <c r="X167" s="309"/>
      <c r="Y167" s="309"/>
      <c r="Z167" s="309"/>
    </row>
    <row r="168">
      <c r="A168" s="194"/>
      <c r="B168" s="309"/>
      <c r="C168" s="194"/>
      <c r="D168" s="309"/>
      <c r="E168" s="309"/>
      <c r="F168" s="309"/>
      <c r="G168" s="309"/>
      <c r="H168" s="309"/>
      <c r="I168" s="309"/>
      <c r="J168" s="309"/>
      <c r="K168" s="309"/>
      <c r="L168" s="309"/>
      <c r="M168" s="309"/>
      <c r="N168" s="309"/>
      <c r="O168" s="309"/>
      <c r="P168" s="309"/>
      <c r="Q168" s="309"/>
      <c r="R168" s="309"/>
      <c r="S168" s="309"/>
      <c r="T168" s="309"/>
      <c r="U168" s="309"/>
      <c r="V168" s="309"/>
      <c r="W168" s="309"/>
      <c r="X168" s="309"/>
      <c r="Y168" s="309"/>
      <c r="Z168" s="309"/>
    </row>
    <row r="169">
      <c r="A169" s="194"/>
      <c r="B169" s="309"/>
      <c r="C169" s="194"/>
      <c r="D169" s="309"/>
      <c r="E169" s="309"/>
      <c r="F169" s="309"/>
      <c r="G169" s="309"/>
      <c r="H169" s="309"/>
      <c r="I169" s="309"/>
      <c r="J169" s="309"/>
      <c r="K169" s="309"/>
      <c r="L169" s="309"/>
      <c r="M169" s="309"/>
      <c r="N169" s="309"/>
      <c r="O169" s="309"/>
      <c r="P169" s="309"/>
      <c r="Q169" s="309"/>
      <c r="R169" s="309"/>
      <c r="S169" s="309"/>
      <c r="T169" s="309"/>
      <c r="U169" s="309"/>
      <c r="V169" s="309"/>
      <c r="W169" s="309"/>
      <c r="X169" s="309"/>
      <c r="Y169" s="309"/>
      <c r="Z169" s="309"/>
    </row>
    <row r="170">
      <c r="A170" s="194"/>
      <c r="B170" s="309"/>
      <c r="C170" s="194"/>
      <c r="D170" s="309"/>
      <c r="E170" s="309"/>
      <c r="F170" s="309"/>
      <c r="G170" s="309"/>
      <c r="H170" s="309"/>
      <c r="I170" s="309"/>
      <c r="J170" s="309"/>
      <c r="K170" s="309"/>
      <c r="L170" s="309"/>
      <c r="M170" s="309"/>
      <c r="N170" s="309"/>
      <c r="O170" s="309"/>
      <c r="P170" s="309"/>
      <c r="Q170" s="309"/>
      <c r="R170" s="309"/>
      <c r="S170" s="309"/>
      <c r="T170" s="309"/>
      <c r="U170" s="309"/>
      <c r="V170" s="309"/>
      <c r="W170" s="309"/>
      <c r="X170" s="309"/>
      <c r="Y170" s="309"/>
      <c r="Z170" s="309"/>
    </row>
    <row r="171">
      <c r="A171" s="194"/>
      <c r="B171" s="309"/>
      <c r="C171" s="194"/>
      <c r="D171" s="309"/>
      <c r="E171" s="309"/>
      <c r="F171" s="309"/>
      <c r="G171" s="309"/>
      <c r="H171" s="309"/>
      <c r="I171" s="309"/>
      <c r="J171" s="309"/>
      <c r="K171" s="309"/>
      <c r="L171" s="309"/>
      <c r="M171" s="309"/>
      <c r="N171" s="309"/>
      <c r="O171" s="309"/>
      <c r="P171" s="309"/>
      <c r="Q171" s="309"/>
      <c r="R171" s="309"/>
      <c r="S171" s="309"/>
      <c r="T171" s="309"/>
      <c r="U171" s="309"/>
      <c r="V171" s="309"/>
      <c r="W171" s="309"/>
      <c r="X171" s="309"/>
      <c r="Y171" s="309"/>
      <c r="Z171" s="309"/>
    </row>
    <row r="172">
      <c r="A172" s="194"/>
      <c r="B172" s="309"/>
      <c r="C172" s="194"/>
      <c r="D172" s="309"/>
      <c r="E172" s="309"/>
      <c r="F172" s="309"/>
      <c r="G172" s="309"/>
      <c r="H172" s="309"/>
      <c r="I172" s="309"/>
      <c r="J172" s="309"/>
      <c r="K172" s="309"/>
      <c r="L172" s="309"/>
      <c r="M172" s="309"/>
      <c r="N172" s="309"/>
      <c r="O172" s="309"/>
      <c r="P172" s="309"/>
      <c r="Q172" s="309"/>
      <c r="R172" s="309"/>
      <c r="S172" s="309"/>
      <c r="T172" s="309"/>
      <c r="U172" s="309"/>
      <c r="V172" s="309"/>
      <c r="W172" s="309"/>
      <c r="X172" s="309"/>
      <c r="Y172" s="309"/>
      <c r="Z172" s="309"/>
    </row>
    <row r="173">
      <c r="A173" s="194"/>
      <c r="B173" s="309"/>
      <c r="C173" s="194"/>
      <c r="D173" s="309"/>
      <c r="E173" s="309"/>
      <c r="F173" s="309"/>
      <c r="G173" s="309"/>
      <c r="H173" s="309"/>
      <c r="I173" s="309"/>
      <c r="J173" s="309"/>
      <c r="K173" s="309"/>
      <c r="L173" s="309"/>
      <c r="M173" s="309"/>
      <c r="N173" s="309"/>
      <c r="O173" s="309"/>
      <c r="P173" s="309"/>
      <c r="Q173" s="309"/>
      <c r="R173" s="309"/>
      <c r="S173" s="309"/>
      <c r="T173" s="309"/>
      <c r="U173" s="309"/>
      <c r="V173" s="309"/>
      <c r="W173" s="309"/>
      <c r="X173" s="309"/>
      <c r="Y173" s="309"/>
      <c r="Z173" s="309"/>
    </row>
    <row r="174">
      <c r="A174" s="194"/>
      <c r="B174" s="309"/>
      <c r="C174" s="194"/>
      <c r="D174" s="309"/>
      <c r="E174" s="309"/>
      <c r="F174" s="309"/>
      <c r="G174" s="309"/>
      <c r="H174" s="309"/>
      <c r="I174" s="309"/>
      <c r="J174" s="309"/>
      <c r="K174" s="309"/>
      <c r="L174" s="309"/>
      <c r="M174" s="309"/>
      <c r="N174" s="309"/>
      <c r="O174" s="309"/>
      <c r="P174" s="309"/>
      <c r="Q174" s="309"/>
      <c r="R174" s="309"/>
      <c r="S174" s="309"/>
      <c r="T174" s="309"/>
      <c r="U174" s="309"/>
      <c r="V174" s="309"/>
      <c r="W174" s="309"/>
      <c r="X174" s="309"/>
      <c r="Y174" s="309"/>
      <c r="Z174" s="309"/>
    </row>
    <row r="175">
      <c r="A175" s="194"/>
      <c r="B175" s="309"/>
      <c r="C175" s="194"/>
      <c r="D175" s="309"/>
      <c r="E175" s="309"/>
      <c r="F175" s="309"/>
      <c r="G175" s="309"/>
      <c r="H175" s="309"/>
      <c r="I175" s="309"/>
      <c r="J175" s="309"/>
      <c r="K175" s="309"/>
      <c r="L175" s="309"/>
      <c r="M175" s="309"/>
      <c r="N175" s="309"/>
      <c r="O175" s="309"/>
      <c r="P175" s="309"/>
      <c r="Q175" s="309"/>
      <c r="R175" s="309"/>
      <c r="S175" s="309"/>
      <c r="T175" s="309"/>
      <c r="U175" s="309"/>
      <c r="V175" s="309"/>
      <c r="W175" s="309"/>
      <c r="X175" s="309"/>
      <c r="Y175" s="309"/>
      <c r="Z175" s="309"/>
    </row>
    <row r="176">
      <c r="A176" s="194"/>
      <c r="B176" s="309"/>
      <c r="C176" s="194"/>
      <c r="D176" s="309"/>
      <c r="E176" s="309"/>
      <c r="F176" s="309"/>
      <c r="G176" s="309"/>
      <c r="H176" s="309"/>
      <c r="I176" s="309"/>
      <c r="J176" s="309"/>
      <c r="K176" s="309"/>
      <c r="L176" s="309"/>
      <c r="M176" s="309"/>
      <c r="N176" s="309"/>
      <c r="O176" s="309"/>
      <c r="P176" s="309"/>
      <c r="Q176" s="309"/>
      <c r="R176" s="309"/>
      <c r="S176" s="309"/>
      <c r="T176" s="309"/>
      <c r="U176" s="309"/>
      <c r="V176" s="309"/>
      <c r="W176" s="309"/>
      <c r="X176" s="309"/>
      <c r="Y176" s="309"/>
      <c r="Z176" s="309"/>
    </row>
    <row r="177">
      <c r="A177" s="194"/>
      <c r="B177" s="309"/>
      <c r="C177" s="194"/>
      <c r="D177" s="309"/>
      <c r="E177" s="309"/>
      <c r="F177" s="309"/>
      <c r="G177" s="309"/>
      <c r="H177" s="309"/>
      <c r="I177" s="309"/>
      <c r="J177" s="309"/>
      <c r="K177" s="309"/>
      <c r="L177" s="309"/>
      <c r="M177" s="309"/>
      <c r="N177" s="309"/>
      <c r="O177" s="309"/>
      <c r="P177" s="309"/>
      <c r="Q177" s="309"/>
      <c r="R177" s="309"/>
      <c r="S177" s="309"/>
      <c r="T177" s="309"/>
      <c r="U177" s="309"/>
      <c r="V177" s="309"/>
      <c r="W177" s="309"/>
      <c r="X177" s="309"/>
      <c r="Y177" s="309"/>
      <c r="Z177" s="309"/>
    </row>
    <row r="178">
      <c r="A178" s="194"/>
      <c r="B178" s="309"/>
      <c r="C178" s="194"/>
      <c r="D178" s="309"/>
      <c r="E178" s="309"/>
      <c r="F178" s="309"/>
      <c r="G178" s="309"/>
      <c r="H178" s="309"/>
      <c r="I178" s="309"/>
      <c r="J178" s="309"/>
      <c r="K178" s="309"/>
      <c r="L178" s="309"/>
      <c r="M178" s="309"/>
      <c r="N178" s="309"/>
      <c r="O178" s="309"/>
      <c r="P178" s="309"/>
      <c r="Q178" s="309"/>
      <c r="R178" s="309"/>
      <c r="S178" s="309"/>
      <c r="T178" s="309"/>
      <c r="U178" s="309"/>
      <c r="V178" s="309"/>
      <c r="W178" s="309"/>
      <c r="X178" s="309"/>
      <c r="Y178" s="309"/>
      <c r="Z178" s="309"/>
    </row>
    <row r="179">
      <c r="A179" s="194"/>
      <c r="B179" s="309"/>
      <c r="C179" s="194"/>
      <c r="D179" s="309"/>
      <c r="E179" s="309"/>
      <c r="F179" s="309"/>
      <c r="G179" s="309"/>
      <c r="H179" s="309"/>
      <c r="I179" s="309"/>
      <c r="J179" s="309"/>
      <c r="K179" s="309"/>
      <c r="L179" s="309"/>
      <c r="M179" s="309"/>
      <c r="N179" s="309"/>
      <c r="O179" s="309"/>
      <c r="P179" s="309"/>
      <c r="Q179" s="309"/>
      <c r="R179" s="309"/>
      <c r="S179" s="309"/>
      <c r="T179" s="309"/>
      <c r="U179" s="309"/>
      <c r="V179" s="309"/>
      <c r="W179" s="309"/>
      <c r="X179" s="309"/>
      <c r="Y179" s="309"/>
      <c r="Z179" s="309"/>
    </row>
    <row r="180">
      <c r="A180" s="194"/>
      <c r="B180" s="309"/>
      <c r="C180" s="194"/>
      <c r="D180" s="309"/>
      <c r="E180" s="309"/>
      <c r="F180" s="309"/>
      <c r="G180" s="309"/>
      <c r="H180" s="309"/>
      <c r="I180" s="309"/>
      <c r="J180" s="309"/>
      <c r="K180" s="309"/>
      <c r="L180" s="309"/>
      <c r="M180" s="309"/>
      <c r="N180" s="309"/>
      <c r="O180" s="309"/>
      <c r="P180" s="309"/>
      <c r="Q180" s="309"/>
      <c r="R180" s="309"/>
      <c r="S180" s="309"/>
      <c r="T180" s="309"/>
      <c r="U180" s="309"/>
      <c r="V180" s="309"/>
      <c r="W180" s="309"/>
      <c r="X180" s="309"/>
      <c r="Y180" s="309"/>
      <c r="Z180" s="309"/>
    </row>
    <row r="181">
      <c r="A181" s="194"/>
      <c r="B181" s="309"/>
      <c r="C181" s="194"/>
      <c r="D181" s="309"/>
      <c r="E181" s="309"/>
      <c r="F181" s="309"/>
      <c r="G181" s="309"/>
      <c r="H181" s="309"/>
      <c r="I181" s="309"/>
      <c r="J181" s="309"/>
      <c r="K181" s="309"/>
      <c r="L181" s="309"/>
      <c r="M181" s="309"/>
      <c r="N181" s="309"/>
      <c r="O181" s="309"/>
      <c r="P181" s="309"/>
      <c r="Q181" s="309"/>
      <c r="R181" s="309"/>
      <c r="S181" s="309"/>
      <c r="T181" s="309"/>
      <c r="U181" s="309"/>
      <c r="V181" s="309"/>
      <c r="W181" s="309"/>
      <c r="X181" s="309"/>
      <c r="Y181" s="309"/>
      <c r="Z181" s="309"/>
    </row>
    <row r="182">
      <c r="A182" s="194"/>
      <c r="B182" s="309"/>
      <c r="C182" s="194"/>
      <c r="D182" s="309"/>
      <c r="E182" s="309"/>
      <c r="F182" s="309"/>
      <c r="G182" s="309"/>
      <c r="H182" s="309"/>
      <c r="I182" s="309"/>
      <c r="J182" s="309"/>
      <c r="K182" s="309"/>
      <c r="L182" s="309"/>
      <c r="M182" s="309"/>
      <c r="N182" s="309"/>
      <c r="O182" s="309"/>
      <c r="P182" s="309"/>
      <c r="Q182" s="309"/>
      <c r="R182" s="309"/>
      <c r="S182" s="309"/>
      <c r="T182" s="309"/>
      <c r="U182" s="309"/>
      <c r="V182" s="309"/>
      <c r="W182" s="309"/>
      <c r="X182" s="309"/>
      <c r="Y182" s="309"/>
      <c r="Z182" s="309"/>
    </row>
    <row r="183">
      <c r="A183" s="194"/>
      <c r="B183" s="309"/>
      <c r="C183" s="194"/>
      <c r="D183" s="309"/>
      <c r="E183" s="309"/>
      <c r="F183" s="309"/>
      <c r="G183" s="309"/>
      <c r="H183" s="309"/>
      <c r="I183" s="309"/>
      <c r="J183" s="309"/>
      <c r="K183" s="309"/>
      <c r="L183" s="309"/>
      <c r="M183" s="309"/>
      <c r="N183" s="309"/>
      <c r="O183" s="309"/>
      <c r="P183" s="309"/>
      <c r="Q183" s="309"/>
      <c r="R183" s="309"/>
      <c r="S183" s="309"/>
      <c r="T183" s="309"/>
      <c r="U183" s="309"/>
      <c r="V183" s="309"/>
      <c r="W183" s="309"/>
      <c r="X183" s="309"/>
      <c r="Y183" s="309"/>
      <c r="Z183" s="309"/>
    </row>
    <row r="184">
      <c r="A184" s="194"/>
      <c r="B184" s="309"/>
      <c r="C184" s="194"/>
      <c r="D184" s="309"/>
      <c r="E184" s="309"/>
      <c r="F184" s="309"/>
      <c r="G184" s="309"/>
      <c r="H184" s="309"/>
      <c r="I184" s="309"/>
      <c r="J184" s="309"/>
      <c r="K184" s="309"/>
      <c r="L184" s="309"/>
      <c r="M184" s="309"/>
      <c r="N184" s="309"/>
      <c r="O184" s="309"/>
      <c r="P184" s="309"/>
      <c r="Q184" s="309"/>
      <c r="R184" s="309"/>
      <c r="S184" s="309"/>
      <c r="T184" s="309"/>
      <c r="U184" s="309"/>
      <c r="V184" s="309"/>
      <c r="W184" s="309"/>
      <c r="X184" s="309"/>
      <c r="Y184" s="309"/>
      <c r="Z184" s="309"/>
    </row>
    <row r="185">
      <c r="A185" s="194"/>
      <c r="B185" s="309"/>
      <c r="C185" s="194"/>
      <c r="D185" s="309"/>
      <c r="E185" s="309"/>
      <c r="F185" s="309"/>
      <c r="G185" s="309"/>
      <c r="H185" s="309"/>
      <c r="I185" s="309"/>
      <c r="J185" s="309"/>
      <c r="K185" s="309"/>
      <c r="L185" s="309"/>
      <c r="M185" s="309"/>
      <c r="N185" s="309"/>
      <c r="O185" s="309"/>
      <c r="P185" s="309"/>
      <c r="Q185" s="309"/>
      <c r="R185" s="309"/>
      <c r="S185" s="309"/>
      <c r="T185" s="309"/>
      <c r="U185" s="309"/>
      <c r="V185" s="309"/>
      <c r="W185" s="309"/>
      <c r="X185" s="309"/>
      <c r="Y185" s="309"/>
      <c r="Z185" s="309"/>
    </row>
    <row r="186">
      <c r="A186" s="194"/>
      <c r="B186" s="309"/>
      <c r="C186" s="194"/>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row>
    <row r="187">
      <c r="A187" s="194"/>
      <c r="B187" s="309"/>
      <c r="C187" s="194"/>
      <c r="D187" s="309"/>
      <c r="E187" s="309"/>
      <c r="F187" s="309"/>
      <c r="G187" s="309"/>
      <c r="H187" s="309"/>
      <c r="I187" s="309"/>
      <c r="J187" s="309"/>
      <c r="K187" s="309"/>
      <c r="L187" s="309"/>
      <c r="M187" s="309"/>
      <c r="N187" s="309"/>
      <c r="O187" s="309"/>
      <c r="P187" s="309"/>
      <c r="Q187" s="309"/>
      <c r="R187" s="309"/>
      <c r="S187" s="309"/>
      <c r="T187" s="309"/>
      <c r="U187" s="309"/>
      <c r="V187" s="309"/>
      <c r="W187" s="309"/>
      <c r="X187" s="309"/>
      <c r="Y187" s="309"/>
      <c r="Z187" s="309"/>
    </row>
    <row r="188">
      <c r="A188" s="194"/>
      <c r="B188" s="309"/>
      <c r="C188" s="194"/>
      <c r="D188" s="309"/>
      <c r="E188" s="309"/>
      <c r="F188" s="309"/>
      <c r="G188" s="309"/>
      <c r="H188" s="309"/>
      <c r="I188" s="309"/>
      <c r="J188" s="309"/>
      <c r="K188" s="309"/>
      <c r="L188" s="309"/>
      <c r="M188" s="309"/>
      <c r="N188" s="309"/>
      <c r="O188" s="309"/>
      <c r="P188" s="309"/>
      <c r="Q188" s="309"/>
      <c r="R188" s="309"/>
      <c r="S188" s="309"/>
      <c r="T188" s="309"/>
      <c r="U188" s="309"/>
      <c r="V188" s="309"/>
      <c r="W188" s="309"/>
      <c r="X188" s="309"/>
      <c r="Y188" s="309"/>
      <c r="Z188" s="309"/>
    </row>
    <row r="189">
      <c r="A189" s="194"/>
      <c r="B189" s="309"/>
      <c r="C189" s="194"/>
      <c r="D189" s="309"/>
      <c r="E189" s="309"/>
      <c r="F189" s="309"/>
      <c r="G189" s="309"/>
      <c r="H189" s="309"/>
      <c r="I189" s="309"/>
      <c r="J189" s="309"/>
      <c r="K189" s="309"/>
      <c r="L189" s="309"/>
      <c r="M189" s="309"/>
      <c r="N189" s="309"/>
      <c r="O189" s="309"/>
      <c r="P189" s="309"/>
      <c r="Q189" s="309"/>
      <c r="R189" s="309"/>
      <c r="S189" s="309"/>
      <c r="T189" s="309"/>
      <c r="U189" s="309"/>
      <c r="V189" s="309"/>
      <c r="W189" s="309"/>
      <c r="X189" s="309"/>
      <c r="Y189" s="309"/>
      <c r="Z189" s="309"/>
    </row>
    <row r="190">
      <c r="A190" s="194"/>
      <c r="B190" s="309"/>
      <c r="C190" s="194"/>
      <c r="D190" s="309"/>
      <c r="E190" s="309"/>
      <c r="F190" s="309"/>
      <c r="G190" s="309"/>
      <c r="H190" s="309"/>
      <c r="I190" s="309"/>
      <c r="J190" s="309"/>
      <c r="K190" s="309"/>
      <c r="L190" s="309"/>
      <c r="M190" s="309"/>
      <c r="N190" s="309"/>
      <c r="O190" s="309"/>
      <c r="P190" s="309"/>
      <c r="Q190" s="309"/>
      <c r="R190" s="309"/>
      <c r="S190" s="309"/>
      <c r="T190" s="309"/>
      <c r="U190" s="309"/>
      <c r="V190" s="309"/>
      <c r="W190" s="309"/>
      <c r="X190" s="309"/>
      <c r="Y190" s="309"/>
      <c r="Z190" s="309"/>
    </row>
    <row r="191">
      <c r="A191" s="194"/>
      <c r="B191" s="309"/>
      <c r="C191" s="194"/>
      <c r="D191" s="309"/>
      <c r="E191" s="309"/>
      <c r="F191" s="309"/>
      <c r="G191" s="309"/>
      <c r="H191" s="309"/>
      <c r="I191" s="309"/>
      <c r="J191" s="309"/>
      <c r="K191" s="309"/>
      <c r="L191" s="309"/>
      <c r="M191" s="309"/>
      <c r="N191" s="309"/>
      <c r="O191" s="309"/>
      <c r="P191" s="309"/>
      <c r="Q191" s="309"/>
      <c r="R191" s="309"/>
      <c r="S191" s="309"/>
      <c r="T191" s="309"/>
      <c r="U191" s="309"/>
      <c r="V191" s="309"/>
      <c r="W191" s="309"/>
      <c r="X191" s="309"/>
      <c r="Y191" s="309"/>
      <c r="Z191" s="309"/>
    </row>
    <row r="192">
      <c r="A192" s="194"/>
      <c r="B192" s="309"/>
      <c r="C192" s="194"/>
      <c r="D192" s="309"/>
      <c r="E192" s="309"/>
      <c r="F192" s="309"/>
      <c r="G192" s="309"/>
      <c r="H192" s="309"/>
      <c r="I192" s="309"/>
      <c r="J192" s="309"/>
      <c r="K192" s="309"/>
      <c r="L192" s="309"/>
      <c r="M192" s="309"/>
      <c r="N192" s="309"/>
      <c r="O192" s="309"/>
      <c r="P192" s="309"/>
      <c r="Q192" s="309"/>
      <c r="R192" s="309"/>
      <c r="S192" s="309"/>
      <c r="T192" s="309"/>
      <c r="U192" s="309"/>
      <c r="V192" s="309"/>
      <c r="W192" s="309"/>
      <c r="X192" s="309"/>
      <c r="Y192" s="309"/>
      <c r="Z192" s="309"/>
    </row>
    <row r="193">
      <c r="A193" s="194"/>
      <c r="B193" s="309"/>
      <c r="C193" s="194"/>
      <c r="D193" s="309"/>
      <c r="E193" s="309"/>
      <c r="F193" s="309"/>
      <c r="G193" s="309"/>
      <c r="H193" s="309"/>
      <c r="I193" s="309"/>
      <c r="J193" s="309"/>
      <c r="K193" s="309"/>
      <c r="L193" s="309"/>
      <c r="M193" s="309"/>
      <c r="N193" s="309"/>
      <c r="O193" s="309"/>
      <c r="P193" s="309"/>
      <c r="Q193" s="309"/>
      <c r="R193" s="309"/>
      <c r="S193" s="309"/>
      <c r="T193" s="309"/>
      <c r="U193" s="309"/>
      <c r="V193" s="309"/>
      <c r="W193" s="309"/>
      <c r="X193" s="309"/>
      <c r="Y193" s="309"/>
      <c r="Z193" s="309"/>
    </row>
    <row r="194">
      <c r="A194" s="194"/>
      <c r="B194" s="309"/>
      <c r="C194" s="194"/>
      <c r="D194" s="309"/>
      <c r="E194" s="309"/>
      <c r="F194" s="309"/>
      <c r="G194" s="309"/>
      <c r="H194" s="309"/>
      <c r="I194" s="309"/>
      <c r="J194" s="309"/>
      <c r="K194" s="309"/>
      <c r="L194" s="309"/>
      <c r="M194" s="309"/>
      <c r="N194" s="309"/>
      <c r="O194" s="309"/>
      <c r="P194" s="309"/>
      <c r="Q194" s="309"/>
      <c r="R194" s="309"/>
      <c r="S194" s="309"/>
      <c r="T194" s="309"/>
      <c r="U194" s="309"/>
      <c r="V194" s="309"/>
      <c r="W194" s="309"/>
      <c r="X194" s="309"/>
      <c r="Y194" s="309"/>
      <c r="Z194" s="309"/>
    </row>
    <row r="195">
      <c r="A195" s="194"/>
      <c r="B195" s="309"/>
      <c r="C195" s="194"/>
      <c r="D195" s="309"/>
      <c r="E195" s="309"/>
      <c r="F195" s="309"/>
      <c r="G195" s="309"/>
      <c r="H195" s="309"/>
      <c r="I195" s="309"/>
      <c r="J195" s="309"/>
      <c r="K195" s="309"/>
      <c r="L195" s="309"/>
      <c r="M195" s="309"/>
      <c r="N195" s="309"/>
      <c r="O195" s="309"/>
      <c r="P195" s="309"/>
      <c r="Q195" s="309"/>
      <c r="R195" s="309"/>
      <c r="S195" s="309"/>
      <c r="T195" s="309"/>
      <c r="U195" s="309"/>
      <c r="V195" s="309"/>
      <c r="W195" s="309"/>
      <c r="X195" s="309"/>
      <c r="Y195" s="309"/>
      <c r="Z195" s="309"/>
    </row>
    <row r="196">
      <c r="A196" s="194"/>
      <c r="B196" s="309"/>
      <c r="C196" s="194"/>
      <c r="D196" s="309"/>
      <c r="E196" s="309"/>
      <c r="F196" s="309"/>
      <c r="G196" s="309"/>
      <c r="H196" s="309"/>
      <c r="I196" s="309"/>
      <c r="J196" s="309"/>
      <c r="K196" s="309"/>
      <c r="L196" s="309"/>
      <c r="M196" s="309"/>
      <c r="N196" s="309"/>
      <c r="O196" s="309"/>
      <c r="P196" s="309"/>
      <c r="Q196" s="309"/>
      <c r="R196" s="309"/>
      <c r="S196" s="309"/>
      <c r="T196" s="309"/>
      <c r="U196" s="309"/>
      <c r="V196" s="309"/>
      <c r="W196" s="309"/>
      <c r="X196" s="309"/>
      <c r="Y196" s="309"/>
      <c r="Z196" s="309"/>
    </row>
    <row r="197">
      <c r="A197" s="194"/>
      <c r="B197" s="309"/>
      <c r="C197" s="194"/>
      <c r="D197" s="309"/>
      <c r="E197" s="309"/>
      <c r="F197" s="309"/>
      <c r="G197" s="309"/>
      <c r="H197" s="309"/>
      <c r="I197" s="309"/>
      <c r="J197" s="309"/>
      <c r="K197" s="309"/>
      <c r="L197" s="309"/>
      <c r="M197" s="309"/>
      <c r="N197" s="309"/>
      <c r="O197" s="309"/>
      <c r="P197" s="309"/>
      <c r="Q197" s="309"/>
      <c r="R197" s="309"/>
      <c r="S197" s="309"/>
      <c r="T197" s="309"/>
      <c r="U197" s="309"/>
      <c r="V197" s="309"/>
      <c r="W197" s="309"/>
      <c r="X197" s="309"/>
      <c r="Y197" s="309"/>
      <c r="Z197" s="309"/>
    </row>
    <row r="198">
      <c r="A198" s="194"/>
      <c r="B198" s="309"/>
      <c r="C198" s="194"/>
      <c r="D198" s="309"/>
      <c r="E198" s="309"/>
      <c r="F198" s="309"/>
      <c r="G198" s="309"/>
      <c r="H198" s="309"/>
      <c r="I198" s="309"/>
      <c r="J198" s="309"/>
      <c r="K198" s="309"/>
      <c r="L198" s="309"/>
      <c r="M198" s="309"/>
      <c r="N198" s="309"/>
      <c r="O198" s="309"/>
      <c r="P198" s="309"/>
      <c r="Q198" s="309"/>
      <c r="R198" s="309"/>
      <c r="S198" s="309"/>
      <c r="T198" s="309"/>
      <c r="U198" s="309"/>
      <c r="V198" s="309"/>
      <c r="W198" s="309"/>
      <c r="X198" s="309"/>
      <c r="Y198" s="309"/>
      <c r="Z198" s="309"/>
    </row>
    <row r="199">
      <c r="A199" s="194"/>
      <c r="B199" s="309"/>
      <c r="C199" s="194"/>
      <c r="D199" s="309"/>
      <c r="E199" s="309"/>
      <c r="F199" s="309"/>
      <c r="G199" s="309"/>
      <c r="H199" s="309"/>
      <c r="I199" s="309"/>
      <c r="J199" s="309"/>
      <c r="K199" s="309"/>
      <c r="L199" s="309"/>
      <c r="M199" s="309"/>
      <c r="N199" s="309"/>
      <c r="O199" s="309"/>
      <c r="P199" s="309"/>
      <c r="Q199" s="309"/>
      <c r="R199" s="309"/>
      <c r="S199" s="309"/>
      <c r="T199" s="309"/>
      <c r="U199" s="309"/>
      <c r="V199" s="309"/>
      <c r="W199" s="309"/>
      <c r="X199" s="309"/>
      <c r="Y199" s="309"/>
      <c r="Z199" s="309"/>
    </row>
    <row r="200">
      <c r="A200" s="194"/>
      <c r="B200" s="309"/>
      <c r="C200" s="194"/>
      <c r="D200" s="309"/>
      <c r="E200" s="309"/>
      <c r="F200" s="309"/>
      <c r="G200" s="309"/>
      <c r="H200" s="309"/>
      <c r="I200" s="309"/>
      <c r="J200" s="309"/>
      <c r="K200" s="309"/>
      <c r="L200" s="309"/>
      <c r="M200" s="309"/>
      <c r="N200" s="309"/>
      <c r="O200" s="309"/>
      <c r="P200" s="309"/>
      <c r="Q200" s="309"/>
      <c r="R200" s="309"/>
      <c r="S200" s="309"/>
      <c r="T200" s="309"/>
      <c r="U200" s="309"/>
      <c r="V200" s="309"/>
      <c r="W200" s="309"/>
      <c r="X200" s="309"/>
      <c r="Y200" s="309"/>
      <c r="Z200" s="309"/>
    </row>
    <row r="201">
      <c r="A201" s="194"/>
      <c r="B201" s="309"/>
      <c r="C201" s="194"/>
      <c r="D201" s="309"/>
      <c r="E201" s="309"/>
      <c r="F201" s="309"/>
      <c r="G201" s="309"/>
      <c r="H201" s="309"/>
      <c r="I201" s="309"/>
      <c r="J201" s="309"/>
      <c r="K201" s="309"/>
      <c r="L201" s="309"/>
      <c r="M201" s="309"/>
      <c r="N201" s="309"/>
      <c r="O201" s="309"/>
      <c r="P201" s="309"/>
      <c r="Q201" s="309"/>
      <c r="R201" s="309"/>
      <c r="S201" s="309"/>
      <c r="T201" s="309"/>
      <c r="U201" s="309"/>
      <c r="V201" s="309"/>
      <c r="W201" s="309"/>
      <c r="X201" s="309"/>
      <c r="Y201" s="309"/>
      <c r="Z201" s="309"/>
    </row>
    <row r="202">
      <c r="A202" s="194"/>
      <c r="B202" s="309"/>
      <c r="C202" s="194"/>
      <c r="D202" s="309"/>
      <c r="E202" s="309"/>
      <c r="F202" s="309"/>
      <c r="G202" s="309"/>
      <c r="H202" s="309"/>
      <c r="I202" s="309"/>
      <c r="J202" s="309"/>
      <c r="K202" s="309"/>
      <c r="L202" s="309"/>
      <c r="M202" s="309"/>
      <c r="N202" s="309"/>
      <c r="O202" s="309"/>
      <c r="P202" s="309"/>
      <c r="Q202" s="309"/>
      <c r="R202" s="309"/>
      <c r="S202" s="309"/>
      <c r="T202" s="309"/>
      <c r="U202" s="309"/>
      <c r="V202" s="309"/>
      <c r="W202" s="309"/>
      <c r="X202" s="309"/>
      <c r="Y202" s="309"/>
      <c r="Z202" s="309"/>
    </row>
    <row r="203">
      <c r="A203" s="194"/>
      <c r="B203" s="309"/>
      <c r="C203" s="194"/>
      <c r="D203" s="309"/>
      <c r="E203" s="309"/>
      <c r="F203" s="309"/>
      <c r="G203" s="309"/>
      <c r="H203" s="309"/>
      <c r="I203" s="309"/>
      <c r="J203" s="309"/>
      <c r="K203" s="309"/>
      <c r="L203" s="309"/>
      <c r="M203" s="309"/>
      <c r="N203" s="309"/>
      <c r="O203" s="309"/>
      <c r="P203" s="309"/>
      <c r="Q203" s="309"/>
      <c r="R203" s="309"/>
      <c r="S203" s="309"/>
      <c r="T203" s="309"/>
      <c r="U203" s="309"/>
      <c r="V203" s="309"/>
      <c r="W203" s="309"/>
      <c r="X203" s="309"/>
      <c r="Y203" s="309"/>
      <c r="Z203" s="309"/>
    </row>
    <row r="204">
      <c r="A204" s="194"/>
      <c r="B204" s="309"/>
      <c r="C204" s="194"/>
      <c r="D204" s="309"/>
      <c r="E204" s="309"/>
      <c r="F204" s="309"/>
      <c r="G204" s="309"/>
      <c r="H204" s="309"/>
      <c r="I204" s="309"/>
      <c r="J204" s="309"/>
      <c r="K204" s="309"/>
      <c r="L204" s="309"/>
      <c r="M204" s="309"/>
      <c r="N204" s="309"/>
      <c r="O204" s="309"/>
      <c r="P204" s="309"/>
      <c r="Q204" s="309"/>
      <c r="R204" s="309"/>
      <c r="S204" s="309"/>
      <c r="T204" s="309"/>
      <c r="U204" s="309"/>
      <c r="V204" s="309"/>
      <c r="W204" s="309"/>
      <c r="X204" s="309"/>
      <c r="Y204" s="309"/>
      <c r="Z204" s="309"/>
    </row>
    <row r="205">
      <c r="A205" s="194"/>
      <c r="B205" s="309"/>
      <c r="C205" s="194"/>
      <c r="D205" s="309"/>
      <c r="E205" s="309"/>
      <c r="F205" s="309"/>
      <c r="G205" s="309"/>
      <c r="H205" s="309"/>
      <c r="I205" s="309"/>
      <c r="J205" s="309"/>
      <c r="K205" s="309"/>
      <c r="L205" s="309"/>
      <c r="M205" s="309"/>
      <c r="N205" s="309"/>
      <c r="O205" s="309"/>
      <c r="P205" s="309"/>
      <c r="Q205" s="309"/>
      <c r="R205" s="309"/>
      <c r="S205" s="309"/>
      <c r="T205" s="309"/>
      <c r="U205" s="309"/>
      <c r="V205" s="309"/>
      <c r="W205" s="309"/>
      <c r="X205" s="309"/>
      <c r="Y205" s="309"/>
      <c r="Z205" s="309"/>
    </row>
    <row r="206">
      <c r="A206" s="194"/>
      <c r="B206" s="309"/>
      <c r="C206" s="194"/>
      <c r="D206" s="309"/>
      <c r="E206" s="309"/>
      <c r="F206" s="309"/>
      <c r="G206" s="309"/>
      <c r="H206" s="309"/>
      <c r="I206" s="309"/>
      <c r="J206" s="309"/>
      <c r="K206" s="309"/>
      <c r="L206" s="309"/>
      <c r="M206" s="309"/>
      <c r="N206" s="309"/>
      <c r="O206" s="309"/>
      <c r="P206" s="309"/>
      <c r="Q206" s="309"/>
      <c r="R206" s="309"/>
      <c r="S206" s="309"/>
      <c r="T206" s="309"/>
      <c r="U206" s="309"/>
      <c r="V206" s="309"/>
      <c r="W206" s="309"/>
      <c r="X206" s="309"/>
      <c r="Y206" s="309"/>
      <c r="Z206" s="309"/>
    </row>
    <row r="207">
      <c r="A207" s="194"/>
      <c r="B207" s="309"/>
      <c r="C207" s="194"/>
      <c r="D207" s="309"/>
      <c r="E207" s="309"/>
      <c r="F207" s="309"/>
      <c r="G207" s="309"/>
      <c r="H207" s="309"/>
      <c r="I207" s="309"/>
      <c r="J207" s="309"/>
      <c r="K207" s="309"/>
      <c r="L207" s="309"/>
      <c r="M207" s="309"/>
      <c r="N207" s="309"/>
      <c r="O207" s="309"/>
      <c r="P207" s="309"/>
      <c r="Q207" s="309"/>
      <c r="R207" s="309"/>
      <c r="S207" s="309"/>
      <c r="T207" s="309"/>
      <c r="U207" s="309"/>
      <c r="V207" s="309"/>
      <c r="W207" s="309"/>
      <c r="X207" s="309"/>
      <c r="Y207" s="309"/>
      <c r="Z207" s="309"/>
    </row>
    <row r="208">
      <c r="A208" s="194"/>
      <c r="B208" s="309"/>
      <c r="C208" s="194"/>
      <c r="D208" s="309"/>
      <c r="E208" s="309"/>
      <c r="F208" s="309"/>
      <c r="G208" s="309"/>
      <c r="H208" s="309"/>
      <c r="I208" s="309"/>
      <c r="J208" s="309"/>
      <c r="K208" s="309"/>
      <c r="L208" s="309"/>
      <c r="M208" s="309"/>
      <c r="N208" s="309"/>
      <c r="O208" s="309"/>
      <c r="P208" s="309"/>
      <c r="Q208" s="309"/>
      <c r="R208" s="309"/>
      <c r="S208" s="309"/>
      <c r="T208" s="309"/>
      <c r="U208" s="309"/>
      <c r="V208" s="309"/>
      <c r="W208" s="309"/>
      <c r="X208" s="309"/>
      <c r="Y208" s="309"/>
      <c r="Z208" s="309"/>
    </row>
    <row r="209">
      <c r="A209" s="194"/>
      <c r="B209" s="309"/>
      <c r="C209" s="194"/>
      <c r="D209" s="309"/>
      <c r="E209" s="309"/>
      <c r="F209" s="309"/>
      <c r="G209" s="309"/>
      <c r="H209" s="309"/>
      <c r="I209" s="309"/>
      <c r="J209" s="309"/>
      <c r="K209" s="309"/>
      <c r="L209" s="309"/>
      <c r="M209" s="309"/>
      <c r="N209" s="309"/>
      <c r="O209" s="309"/>
      <c r="P209" s="309"/>
      <c r="Q209" s="309"/>
      <c r="R209" s="309"/>
      <c r="S209" s="309"/>
      <c r="T209" s="309"/>
      <c r="U209" s="309"/>
      <c r="V209" s="309"/>
      <c r="W209" s="309"/>
      <c r="X209" s="309"/>
      <c r="Y209" s="309"/>
      <c r="Z209" s="309"/>
    </row>
    <row r="210">
      <c r="A210" s="194"/>
      <c r="B210" s="309"/>
      <c r="C210" s="194"/>
      <c r="D210" s="309"/>
      <c r="E210" s="309"/>
      <c r="F210" s="309"/>
      <c r="G210" s="309"/>
      <c r="H210" s="309"/>
      <c r="I210" s="309"/>
      <c r="J210" s="309"/>
      <c r="K210" s="309"/>
      <c r="L210" s="309"/>
      <c r="M210" s="309"/>
      <c r="N210" s="309"/>
      <c r="O210" s="309"/>
      <c r="P210" s="309"/>
      <c r="Q210" s="309"/>
      <c r="R210" s="309"/>
      <c r="S210" s="309"/>
      <c r="T210" s="309"/>
      <c r="U210" s="309"/>
      <c r="V210" s="309"/>
      <c r="W210" s="309"/>
      <c r="X210" s="309"/>
      <c r="Y210" s="309"/>
      <c r="Z210" s="309"/>
    </row>
    <row r="211">
      <c r="A211" s="194"/>
      <c r="B211" s="309"/>
      <c r="C211" s="194"/>
      <c r="D211" s="309"/>
      <c r="E211" s="309"/>
      <c r="F211" s="309"/>
      <c r="G211" s="309"/>
      <c r="H211" s="309"/>
      <c r="I211" s="309"/>
      <c r="J211" s="309"/>
      <c r="K211" s="309"/>
      <c r="L211" s="309"/>
      <c r="M211" s="309"/>
      <c r="N211" s="309"/>
      <c r="O211" s="309"/>
      <c r="P211" s="309"/>
      <c r="Q211" s="309"/>
      <c r="R211" s="309"/>
      <c r="S211" s="309"/>
      <c r="T211" s="309"/>
      <c r="U211" s="309"/>
      <c r="V211" s="309"/>
      <c r="W211" s="309"/>
      <c r="X211" s="309"/>
      <c r="Y211" s="309"/>
      <c r="Z211" s="309"/>
    </row>
    <row r="212">
      <c r="A212" s="194"/>
      <c r="B212" s="309"/>
      <c r="C212" s="194"/>
      <c r="D212" s="309"/>
      <c r="E212" s="309"/>
      <c r="F212" s="309"/>
      <c r="G212" s="309"/>
      <c r="H212" s="309"/>
      <c r="I212" s="309"/>
      <c r="J212" s="309"/>
      <c r="K212" s="309"/>
      <c r="L212" s="309"/>
      <c r="M212" s="309"/>
      <c r="N212" s="309"/>
      <c r="O212" s="309"/>
      <c r="P212" s="309"/>
      <c r="Q212" s="309"/>
      <c r="R212" s="309"/>
      <c r="S212" s="309"/>
      <c r="T212" s="309"/>
      <c r="U212" s="309"/>
      <c r="V212" s="309"/>
      <c r="W212" s="309"/>
      <c r="X212" s="309"/>
      <c r="Y212" s="309"/>
      <c r="Z212" s="309"/>
    </row>
    <row r="213">
      <c r="A213" s="194"/>
      <c r="B213" s="309"/>
      <c r="C213" s="194"/>
      <c r="D213" s="309"/>
      <c r="E213" s="309"/>
      <c r="F213" s="309"/>
      <c r="G213" s="309"/>
      <c r="H213" s="309"/>
      <c r="I213" s="309"/>
      <c r="J213" s="309"/>
      <c r="K213" s="309"/>
      <c r="L213" s="309"/>
      <c r="M213" s="309"/>
      <c r="N213" s="309"/>
      <c r="O213" s="309"/>
      <c r="P213" s="309"/>
      <c r="Q213" s="309"/>
      <c r="R213" s="309"/>
      <c r="S213" s="309"/>
      <c r="T213" s="309"/>
      <c r="U213" s="309"/>
      <c r="V213" s="309"/>
      <c r="W213" s="309"/>
      <c r="X213" s="309"/>
      <c r="Y213" s="309"/>
      <c r="Z213" s="309"/>
    </row>
    <row r="214">
      <c r="A214" s="194"/>
      <c r="B214" s="309"/>
      <c r="C214" s="194"/>
      <c r="D214" s="309"/>
      <c r="E214" s="309"/>
      <c r="F214" s="309"/>
      <c r="G214" s="309"/>
      <c r="H214" s="309"/>
      <c r="I214" s="309"/>
      <c r="J214" s="309"/>
      <c r="K214" s="309"/>
      <c r="L214" s="309"/>
      <c r="M214" s="309"/>
      <c r="N214" s="309"/>
      <c r="O214" s="309"/>
      <c r="P214" s="309"/>
      <c r="Q214" s="309"/>
      <c r="R214" s="309"/>
      <c r="S214" s="309"/>
      <c r="T214" s="309"/>
      <c r="U214" s="309"/>
      <c r="V214" s="309"/>
      <c r="W214" s="309"/>
      <c r="X214" s="309"/>
      <c r="Y214" s="309"/>
      <c r="Z214" s="309"/>
    </row>
    <row r="215">
      <c r="A215" s="194"/>
      <c r="B215" s="309"/>
      <c r="C215" s="194"/>
      <c r="D215" s="309"/>
      <c r="E215" s="309"/>
      <c r="F215" s="309"/>
      <c r="G215" s="309"/>
      <c r="H215" s="309"/>
      <c r="I215" s="309"/>
      <c r="J215" s="309"/>
      <c r="K215" s="309"/>
      <c r="L215" s="309"/>
      <c r="M215" s="309"/>
      <c r="N215" s="309"/>
      <c r="O215" s="309"/>
      <c r="P215" s="309"/>
      <c r="Q215" s="309"/>
      <c r="R215" s="309"/>
      <c r="S215" s="309"/>
      <c r="T215" s="309"/>
      <c r="U215" s="309"/>
      <c r="V215" s="309"/>
      <c r="W215" s="309"/>
      <c r="X215" s="309"/>
      <c r="Y215" s="309"/>
      <c r="Z215" s="309"/>
    </row>
    <row r="216">
      <c r="A216" s="194"/>
      <c r="B216" s="309"/>
      <c r="C216" s="194"/>
      <c r="D216" s="309"/>
      <c r="E216" s="309"/>
      <c r="F216" s="309"/>
      <c r="G216" s="309"/>
      <c r="H216" s="309"/>
      <c r="I216" s="309"/>
      <c r="J216" s="309"/>
      <c r="K216" s="309"/>
      <c r="L216" s="309"/>
      <c r="M216" s="309"/>
      <c r="N216" s="309"/>
      <c r="O216" s="309"/>
      <c r="P216" s="309"/>
      <c r="Q216" s="309"/>
      <c r="R216" s="309"/>
      <c r="S216" s="309"/>
      <c r="T216" s="309"/>
      <c r="U216" s="309"/>
      <c r="V216" s="309"/>
      <c r="W216" s="309"/>
      <c r="X216" s="309"/>
      <c r="Y216" s="309"/>
      <c r="Z216" s="309"/>
    </row>
    <row r="217">
      <c r="A217" s="194"/>
      <c r="B217" s="309"/>
      <c r="C217" s="194"/>
      <c r="D217" s="309"/>
      <c r="E217" s="309"/>
      <c r="F217" s="309"/>
      <c r="G217" s="309"/>
      <c r="H217" s="309"/>
      <c r="I217" s="309"/>
      <c r="J217" s="309"/>
      <c r="K217" s="309"/>
      <c r="L217" s="309"/>
      <c r="M217" s="309"/>
      <c r="N217" s="309"/>
      <c r="O217" s="309"/>
      <c r="P217" s="309"/>
      <c r="Q217" s="309"/>
      <c r="R217" s="309"/>
      <c r="S217" s="309"/>
      <c r="T217" s="309"/>
      <c r="U217" s="309"/>
      <c r="V217" s="309"/>
      <c r="W217" s="309"/>
      <c r="X217" s="309"/>
      <c r="Y217" s="309"/>
      <c r="Z217" s="309"/>
    </row>
    <row r="218">
      <c r="A218" s="194"/>
      <c r="B218" s="309"/>
      <c r="C218" s="194"/>
      <c r="D218" s="309"/>
      <c r="E218" s="309"/>
      <c r="F218" s="309"/>
      <c r="G218" s="309"/>
      <c r="H218" s="309"/>
      <c r="I218" s="309"/>
      <c r="J218" s="309"/>
      <c r="K218" s="309"/>
      <c r="L218" s="309"/>
      <c r="M218" s="309"/>
      <c r="N218" s="309"/>
      <c r="O218" s="309"/>
      <c r="P218" s="309"/>
      <c r="Q218" s="309"/>
      <c r="R218" s="309"/>
      <c r="S218" s="309"/>
      <c r="T218" s="309"/>
      <c r="U218" s="309"/>
      <c r="V218" s="309"/>
      <c r="W218" s="309"/>
      <c r="X218" s="309"/>
      <c r="Y218" s="309"/>
      <c r="Z218" s="309"/>
    </row>
    <row r="219">
      <c r="A219" s="194"/>
      <c r="B219" s="309"/>
      <c r="C219" s="194"/>
      <c r="D219" s="309"/>
      <c r="E219" s="309"/>
      <c r="F219" s="309"/>
      <c r="G219" s="309"/>
      <c r="H219" s="309"/>
      <c r="I219" s="309"/>
      <c r="J219" s="309"/>
      <c r="K219" s="309"/>
      <c r="L219" s="309"/>
      <c r="M219" s="309"/>
      <c r="N219" s="309"/>
      <c r="O219" s="309"/>
      <c r="P219" s="309"/>
      <c r="Q219" s="309"/>
      <c r="R219" s="309"/>
      <c r="S219" s="309"/>
      <c r="T219" s="309"/>
      <c r="U219" s="309"/>
      <c r="V219" s="309"/>
      <c r="W219" s="309"/>
      <c r="X219" s="309"/>
      <c r="Y219" s="309"/>
      <c r="Z219" s="309"/>
    </row>
    <row r="220">
      <c r="A220" s="194"/>
      <c r="B220" s="309"/>
      <c r="C220" s="194"/>
      <c r="D220" s="309"/>
      <c r="E220" s="309"/>
      <c r="F220" s="309"/>
      <c r="G220" s="309"/>
      <c r="H220" s="309"/>
      <c r="I220" s="309"/>
      <c r="J220" s="309"/>
      <c r="K220" s="309"/>
      <c r="L220" s="309"/>
      <c r="M220" s="309"/>
      <c r="N220" s="309"/>
      <c r="O220" s="309"/>
      <c r="P220" s="309"/>
      <c r="Q220" s="309"/>
      <c r="R220" s="309"/>
      <c r="S220" s="309"/>
      <c r="T220" s="309"/>
      <c r="U220" s="309"/>
      <c r="V220" s="309"/>
      <c r="W220" s="309"/>
      <c r="X220" s="309"/>
      <c r="Y220" s="309"/>
      <c r="Z220" s="309"/>
    </row>
    <row r="221">
      <c r="A221" s="194"/>
      <c r="B221" s="309"/>
      <c r="C221" s="194"/>
      <c r="D221" s="309"/>
      <c r="E221" s="309"/>
      <c r="F221" s="309"/>
      <c r="G221" s="309"/>
      <c r="H221" s="309"/>
      <c r="I221" s="309"/>
      <c r="J221" s="309"/>
      <c r="K221" s="309"/>
      <c r="L221" s="309"/>
      <c r="M221" s="309"/>
      <c r="N221" s="309"/>
      <c r="O221" s="309"/>
      <c r="P221" s="309"/>
      <c r="Q221" s="309"/>
      <c r="R221" s="309"/>
      <c r="S221" s="309"/>
      <c r="T221" s="309"/>
      <c r="U221" s="309"/>
      <c r="V221" s="309"/>
      <c r="W221" s="309"/>
      <c r="X221" s="309"/>
      <c r="Y221" s="309"/>
      <c r="Z221" s="309"/>
    </row>
    <row r="222">
      <c r="A222" s="194"/>
      <c r="B222" s="309"/>
      <c r="C222" s="194"/>
      <c r="D222" s="309"/>
      <c r="E222" s="309"/>
      <c r="F222" s="309"/>
      <c r="G222" s="309"/>
      <c r="H222" s="309"/>
      <c r="I222" s="309"/>
      <c r="J222" s="309"/>
      <c r="K222" s="309"/>
      <c r="L222" s="309"/>
      <c r="M222" s="309"/>
      <c r="N222" s="309"/>
      <c r="O222" s="309"/>
      <c r="P222" s="309"/>
      <c r="Q222" s="309"/>
      <c r="R222" s="309"/>
      <c r="S222" s="309"/>
      <c r="T222" s="309"/>
      <c r="U222" s="309"/>
      <c r="V222" s="309"/>
      <c r="W222" s="309"/>
      <c r="X222" s="309"/>
      <c r="Y222" s="309"/>
      <c r="Z222" s="309"/>
    </row>
    <row r="223">
      <c r="A223" s="194"/>
      <c r="B223" s="309"/>
      <c r="C223" s="194"/>
      <c r="D223" s="309"/>
      <c r="E223" s="309"/>
      <c r="F223" s="309"/>
      <c r="G223" s="309"/>
      <c r="H223" s="309"/>
      <c r="I223" s="309"/>
      <c r="J223" s="309"/>
      <c r="K223" s="309"/>
      <c r="L223" s="309"/>
      <c r="M223" s="309"/>
      <c r="N223" s="309"/>
      <c r="O223" s="309"/>
      <c r="P223" s="309"/>
      <c r="Q223" s="309"/>
      <c r="R223" s="309"/>
      <c r="S223" s="309"/>
      <c r="T223" s="309"/>
      <c r="U223" s="309"/>
      <c r="V223" s="309"/>
      <c r="W223" s="309"/>
      <c r="X223" s="309"/>
      <c r="Y223" s="309"/>
      <c r="Z223" s="309"/>
    </row>
    <row r="224">
      <c r="A224" s="194"/>
      <c r="B224" s="309"/>
      <c r="C224" s="194"/>
      <c r="D224" s="309"/>
      <c r="E224" s="309"/>
      <c r="F224" s="309"/>
      <c r="G224" s="309"/>
      <c r="H224" s="309"/>
      <c r="I224" s="309"/>
      <c r="J224" s="309"/>
      <c r="K224" s="309"/>
      <c r="L224" s="309"/>
      <c r="M224" s="309"/>
      <c r="N224" s="309"/>
      <c r="O224" s="309"/>
      <c r="P224" s="309"/>
      <c r="Q224" s="309"/>
      <c r="R224" s="309"/>
      <c r="S224" s="309"/>
      <c r="T224" s="309"/>
      <c r="U224" s="309"/>
      <c r="V224" s="309"/>
      <c r="W224" s="309"/>
      <c r="X224" s="309"/>
      <c r="Y224" s="309"/>
      <c r="Z224" s="309"/>
    </row>
    <row r="225">
      <c r="A225" s="194"/>
      <c r="B225" s="309"/>
      <c r="C225" s="194"/>
      <c r="D225" s="309"/>
      <c r="E225" s="309"/>
      <c r="F225" s="309"/>
      <c r="G225" s="309"/>
      <c r="H225" s="309"/>
      <c r="I225" s="309"/>
      <c r="J225" s="309"/>
      <c r="K225" s="309"/>
      <c r="L225" s="309"/>
      <c r="M225" s="309"/>
      <c r="N225" s="309"/>
      <c r="O225" s="309"/>
      <c r="P225" s="309"/>
      <c r="Q225" s="309"/>
      <c r="R225" s="309"/>
      <c r="S225" s="309"/>
      <c r="T225" s="309"/>
      <c r="U225" s="309"/>
      <c r="V225" s="309"/>
      <c r="W225" s="309"/>
      <c r="X225" s="309"/>
      <c r="Y225" s="309"/>
      <c r="Z225" s="309"/>
    </row>
    <row r="226">
      <c r="A226" s="194"/>
      <c r="B226" s="309"/>
      <c r="C226" s="194"/>
      <c r="D226" s="309"/>
      <c r="E226" s="309"/>
      <c r="F226" s="309"/>
      <c r="G226" s="309"/>
      <c r="H226" s="309"/>
      <c r="I226" s="309"/>
      <c r="J226" s="309"/>
      <c r="K226" s="309"/>
      <c r="L226" s="309"/>
      <c r="M226" s="309"/>
      <c r="N226" s="309"/>
      <c r="O226" s="309"/>
      <c r="P226" s="309"/>
      <c r="Q226" s="309"/>
      <c r="R226" s="309"/>
      <c r="S226" s="309"/>
      <c r="T226" s="309"/>
      <c r="U226" s="309"/>
      <c r="V226" s="309"/>
      <c r="W226" s="309"/>
      <c r="X226" s="309"/>
      <c r="Y226" s="309"/>
      <c r="Z226" s="309"/>
    </row>
    <row r="227">
      <c r="A227" s="194"/>
      <c r="B227" s="309"/>
      <c r="C227" s="194"/>
      <c r="D227" s="309"/>
      <c r="E227" s="309"/>
      <c r="F227" s="309"/>
      <c r="G227" s="309"/>
      <c r="H227" s="309"/>
      <c r="I227" s="309"/>
      <c r="J227" s="309"/>
      <c r="K227" s="309"/>
      <c r="L227" s="309"/>
      <c r="M227" s="309"/>
      <c r="N227" s="309"/>
      <c r="O227" s="309"/>
      <c r="P227" s="309"/>
      <c r="Q227" s="309"/>
      <c r="R227" s="309"/>
      <c r="S227" s="309"/>
      <c r="T227" s="309"/>
      <c r="U227" s="309"/>
      <c r="V227" s="309"/>
      <c r="W227" s="309"/>
      <c r="X227" s="309"/>
      <c r="Y227" s="309"/>
      <c r="Z227" s="309"/>
    </row>
    <row r="228">
      <c r="A228" s="194"/>
      <c r="B228" s="309"/>
      <c r="C228" s="194"/>
      <c r="D228" s="309"/>
      <c r="E228" s="309"/>
      <c r="F228" s="309"/>
      <c r="G228" s="309"/>
      <c r="H228" s="309"/>
      <c r="I228" s="309"/>
      <c r="J228" s="309"/>
      <c r="K228" s="309"/>
      <c r="L228" s="309"/>
      <c r="M228" s="309"/>
      <c r="N228" s="309"/>
      <c r="O228" s="309"/>
      <c r="P228" s="309"/>
      <c r="Q228" s="309"/>
      <c r="R228" s="309"/>
      <c r="S228" s="309"/>
      <c r="T228" s="309"/>
      <c r="U228" s="309"/>
      <c r="V228" s="309"/>
      <c r="W228" s="309"/>
      <c r="X228" s="309"/>
      <c r="Y228" s="309"/>
      <c r="Z228" s="309"/>
    </row>
    <row r="229">
      <c r="A229" s="194"/>
      <c r="B229" s="309"/>
      <c r="C229" s="194"/>
      <c r="D229" s="309"/>
      <c r="E229" s="309"/>
      <c r="F229" s="309"/>
      <c r="G229" s="309"/>
      <c r="H229" s="309"/>
      <c r="I229" s="309"/>
      <c r="J229" s="309"/>
      <c r="K229" s="309"/>
      <c r="L229" s="309"/>
      <c r="M229" s="309"/>
      <c r="N229" s="309"/>
      <c r="O229" s="309"/>
      <c r="P229" s="309"/>
      <c r="Q229" s="309"/>
      <c r="R229" s="309"/>
      <c r="S229" s="309"/>
      <c r="T229" s="309"/>
      <c r="U229" s="309"/>
      <c r="V229" s="309"/>
      <c r="W229" s="309"/>
      <c r="X229" s="309"/>
      <c r="Y229" s="309"/>
      <c r="Z229" s="309"/>
    </row>
    <row r="230">
      <c r="A230" s="194"/>
      <c r="B230" s="309"/>
      <c r="C230" s="194"/>
      <c r="D230" s="309"/>
      <c r="E230" s="309"/>
      <c r="F230" s="309"/>
      <c r="G230" s="309"/>
      <c r="H230" s="309"/>
      <c r="I230" s="309"/>
      <c r="J230" s="309"/>
      <c r="K230" s="309"/>
      <c r="L230" s="309"/>
      <c r="M230" s="309"/>
      <c r="N230" s="309"/>
      <c r="O230" s="309"/>
      <c r="P230" s="309"/>
      <c r="Q230" s="309"/>
      <c r="R230" s="309"/>
      <c r="S230" s="309"/>
      <c r="T230" s="309"/>
      <c r="U230" s="309"/>
      <c r="V230" s="309"/>
      <c r="W230" s="309"/>
      <c r="X230" s="309"/>
      <c r="Y230" s="309"/>
      <c r="Z230" s="309"/>
    </row>
    <row r="231">
      <c r="A231" s="194"/>
      <c r="B231" s="309"/>
      <c r="C231" s="194"/>
      <c r="D231" s="309"/>
      <c r="E231" s="309"/>
      <c r="F231" s="309"/>
      <c r="G231" s="309"/>
      <c r="H231" s="309"/>
      <c r="I231" s="309"/>
      <c r="J231" s="309"/>
      <c r="K231" s="309"/>
      <c r="L231" s="309"/>
      <c r="M231" s="309"/>
      <c r="N231" s="309"/>
      <c r="O231" s="309"/>
      <c r="P231" s="309"/>
      <c r="Q231" s="309"/>
      <c r="R231" s="309"/>
      <c r="S231" s="309"/>
      <c r="T231" s="309"/>
      <c r="U231" s="309"/>
      <c r="V231" s="309"/>
      <c r="W231" s="309"/>
      <c r="X231" s="309"/>
      <c r="Y231" s="309"/>
      <c r="Z231" s="309"/>
    </row>
    <row r="232">
      <c r="A232" s="194"/>
      <c r="B232" s="309"/>
      <c r="C232" s="194"/>
      <c r="D232" s="309"/>
      <c r="E232" s="309"/>
      <c r="F232" s="309"/>
      <c r="G232" s="309"/>
      <c r="H232" s="309"/>
      <c r="I232" s="309"/>
      <c r="J232" s="309"/>
      <c r="K232" s="309"/>
      <c r="L232" s="309"/>
      <c r="M232" s="309"/>
      <c r="N232" s="309"/>
      <c r="O232" s="309"/>
      <c r="P232" s="309"/>
      <c r="Q232" s="309"/>
      <c r="R232" s="309"/>
      <c r="S232" s="309"/>
      <c r="T232" s="309"/>
      <c r="U232" s="309"/>
      <c r="V232" s="309"/>
      <c r="W232" s="309"/>
      <c r="X232" s="309"/>
      <c r="Y232" s="309"/>
      <c r="Z232" s="309"/>
    </row>
    <row r="233">
      <c r="A233" s="194"/>
      <c r="B233" s="309"/>
      <c r="C233" s="194"/>
      <c r="D233" s="309"/>
      <c r="E233" s="309"/>
      <c r="F233" s="309"/>
      <c r="G233" s="309"/>
      <c r="H233" s="309"/>
      <c r="I233" s="309"/>
      <c r="J233" s="309"/>
      <c r="K233" s="309"/>
      <c r="L233" s="309"/>
      <c r="M233" s="309"/>
      <c r="N233" s="309"/>
      <c r="O233" s="309"/>
      <c r="P233" s="309"/>
      <c r="Q233" s="309"/>
      <c r="R233" s="309"/>
      <c r="S233" s="309"/>
      <c r="T233" s="309"/>
      <c r="U233" s="309"/>
      <c r="V233" s="309"/>
      <c r="W233" s="309"/>
      <c r="X233" s="309"/>
      <c r="Y233" s="309"/>
      <c r="Z233" s="309"/>
    </row>
    <row r="234">
      <c r="A234" s="194"/>
      <c r="B234" s="309"/>
      <c r="C234" s="194"/>
      <c r="D234" s="309"/>
      <c r="E234" s="309"/>
      <c r="F234" s="309"/>
      <c r="G234" s="309"/>
      <c r="H234" s="309"/>
      <c r="I234" s="309"/>
      <c r="J234" s="309"/>
      <c r="K234" s="309"/>
      <c r="L234" s="309"/>
      <c r="M234" s="309"/>
      <c r="N234" s="309"/>
      <c r="O234" s="309"/>
      <c r="P234" s="309"/>
      <c r="Q234" s="309"/>
      <c r="R234" s="309"/>
      <c r="S234" s="309"/>
      <c r="T234" s="309"/>
      <c r="U234" s="309"/>
      <c r="V234" s="309"/>
      <c r="W234" s="309"/>
      <c r="X234" s="309"/>
      <c r="Y234" s="309"/>
      <c r="Z234" s="309"/>
    </row>
    <row r="235">
      <c r="A235" s="194"/>
      <c r="B235" s="309"/>
      <c r="C235" s="194"/>
      <c r="D235" s="309"/>
      <c r="E235" s="309"/>
      <c r="F235" s="309"/>
      <c r="G235" s="309"/>
      <c r="H235" s="309"/>
      <c r="I235" s="309"/>
      <c r="J235" s="309"/>
      <c r="K235" s="309"/>
      <c r="L235" s="309"/>
      <c r="M235" s="309"/>
      <c r="N235" s="309"/>
      <c r="O235" s="309"/>
      <c r="P235" s="309"/>
      <c r="Q235" s="309"/>
      <c r="R235" s="309"/>
      <c r="S235" s="309"/>
      <c r="T235" s="309"/>
      <c r="U235" s="309"/>
      <c r="V235" s="309"/>
      <c r="W235" s="309"/>
      <c r="X235" s="309"/>
      <c r="Y235" s="309"/>
      <c r="Z235" s="309"/>
    </row>
    <row r="236">
      <c r="A236" s="194"/>
      <c r="B236" s="309"/>
      <c r="C236" s="194"/>
      <c r="D236" s="309"/>
      <c r="E236" s="309"/>
      <c r="F236" s="309"/>
      <c r="G236" s="309"/>
      <c r="H236" s="309"/>
      <c r="I236" s="309"/>
      <c r="J236" s="309"/>
      <c r="K236" s="309"/>
      <c r="L236" s="309"/>
      <c r="M236" s="309"/>
      <c r="N236" s="309"/>
      <c r="O236" s="309"/>
      <c r="P236" s="309"/>
      <c r="Q236" s="309"/>
      <c r="R236" s="309"/>
      <c r="S236" s="309"/>
      <c r="T236" s="309"/>
      <c r="U236" s="309"/>
      <c r="V236" s="309"/>
      <c r="W236" s="309"/>
      <c r="X236" s="309"/>
      <c r="Y236" s="309"/>
      <c r="Z236" s="309"/>
    </row>
    <row r="237">
      <c r="A237" s="194"/>
      <c r="B237" s="309"/>
      <c r="C237" s="194"/>
      <c r="D237" s="309"/>
      <c r="E237" s="309"/>
      <c r="F237" s="309"/>
      <c r="G237" s="309"/>
      <c r="H237" s="309"/>
      <c r="I237" s="309"/>
      <c r="J237" s="309"/>
      <c r="K237" s="309"/>
      <c r="L237" s="309"/>
      <c r="M237" s="309"/>
      <c r="N237" s="309"/>
      <c r="O237" s="309"/>
      <c r="P237" s="309"/>
      <c r="Q237" s="309"/>
      <c r="R237" s="309"/>
      <c r="S237" s="309"/>
      <c r="T237" s="309"/>
      <c r="U237" s="309"/>
      <c r="V237" s="309"/>
      <c r="W237" s="309"/>
      <c r="X237" s="309"/>
      <c r="Y237" s="309"/>
      <c r="Z237" s="309"/>
    </row>
    <row r="238">
      <c r="A238" s="194"/>
      <c r="B238" s="309"/>
      <c r="C238" s="194"/>
      <c r="D238" s="309"/>
      <c r="E238" s="309"/>
      <c r="F238" s="309"/>
      <c r="G238" s="309"/>
      <c r="H238" s="309"/>
      <c r="I238" s="309"/>
      <c r="J238" s="309"/>
      <c r="K238" s="309"/>
      <c r="L238" s="309"/>
      <c r="M238" s="309"/>
      <c r="N238" s="309"/>
      <c r="O238" s="309"/>
      <c r="P238" s="309"/>
      <c r="Q238" s="309"/>
      <c r="R238" s="309"/>
      <c r="S238" s="309"/>
      <c r="T238" s="309"/>
      <c r="U238" s="309"/>
      <c r="V238" s="309"/>
      <c r="W238" s="309"/>
      <c r="X238" s="309"/>
      <c r="Y238" s="309"/>
      <c r="Z238" s="309"/>
    </row>
    <row r="239">
      <c r="A239" s="194"/>
      <c r="B239" s="309"/>
      <c r="C239" s="194"/>
      <c r="D239" s="309"/>
      <c r="E239" s="309"/>
      <c r="F239" s="309"/>
      <c r="G239" s="309"/>
      <c r="H239" s="309"/>
      <c r="I239" s="309"/>
      <c r="J239" s="309"/>
      <c r="K239" s="309"/>
      <c r="L239" s="309"/>
      <c r="M239" s="309"/>
      <c r="N239" s="309"/>
      <c r="O239" s="309"/>
      <c r="P239" s="309"/>
      <c r="Q239" s="309"/>
      <c r="R239" s="309"/>
      <c r="S239" s="309"/>
      <c r="T239" s="309"/>
      <c r="U239" s="309"/>
      <c r="V239" s="309"/>
      <c r="W239" s="309"/>
      <c r="X239" s="309"/>
      <c r="Y239" s="309"/>
      <c r="Z239" s="309"/>
    </row>
    <row r="240">
      <c r="A240" s="194"/>
      <c r="B240" s="309"/>
      <c r="C240" s="194"/>
      <c r="D240" s="309"/>
      <c r="E240" s="309"/>
      <c r="F240" s="309"/>
      <c r="G240" s="309"/>
      <c r="H240" s="309"/>
      <c r="I240" s="309"/>
      <c r="J240" s="309"/>
      <c r="K240" s="309"/>
      <c r="L240" s="309"/>
      <c r="M240" s="309"/>
      <c r="N240" s="309"/>
      <c r="O240" s="309"/>
      <c r="P240" s="309"/>
      <c r="Q240" s="309"/>
      <c r="R240" s="309"/>
      <c r="S240" s="309"/>
      <c r="T240" s="309"/>
      <c r="U240" s="309"/>
      <c r="V240" s="309"/>
      <c r="W240" s="309"/>
      <c r="X240" s="309"/>
      <c r="Y240" s="309"/>
      <c r="Z240" s="309"/>
    </row>
    <row r="241">
      <c r="A241" s="194"/>
      <c r="B241" s="309"/>
      <c r="C241" s="194"/>
      <c r="D241" s="309"/>
      <c r="E241" s="309"/>
      <c r="F241" s="309"/>
      <c r="G241" s="309"/>
      <c r="H241" s="309"/>
      <c r="I241" s="309"/>
      <c r="J241" s="309"/>
      <c r="K241" s="309"/>
      <c r="L241" s="309"/>
      <c r="M241" s="309"/>
      <c r="N241" s="309"/>
      <c r="O241" s="309"/>
      <c r="P241" s="309"/>
      <c r="Q241" s="309"/>
      <c r="R241" s="309"/>
      <c r="S241" s="309"/>
      <c r="T241" s="309"/>
      <c r="U241" s="309"/>
      <c r="V241" s="309"/>
      <c r="W241" s="309"/>
      <c r="X241" s="309"/>
      <c r="Y241" s="309"/>
      <c r="Z241" s="309"/>
    </row>
    <row r="242">
      <c r="A242" s="194"/>
      <c r="B242" s="309"/>
      <c r="C242" s="194"/>
      <c r="D242" s="309"/>
      <c r="E242" s="309"/>
      <c r="F242" s="309"/>
      <c r="G242" s="309"/>
      <c r="H242" s="309"/>
      <c r="I242" s="309"/>
      <c r="J242" s="309"/>
      <c r="K242" s="309"/>
      <c r="L242" s="309"/>
      <c r="M242" s="309"/>
      <c r="N242" s="309"/>
      <c r="O242" s="309"/>
      <c r="P242" s="309"/>
      <c r="Q242" s="309"/>
      <c r="R242" s="309"/>
      <c r="S242" s="309"/>
      <c r="T242" s="309"/>
      <c r="U242" s="309"/>
      <c r="V242" s="309"/>
      <c r="W242" s="309"/>
      <c r="X242" s="309"/>
      <c r="Y242" s="309"/>
      <c r="Z242" s="309"/>
    </row>
    <row r="243">
      <c r="A243" s="194"/>
      <c r="B243" s="309"/>
      <c r="C243" s="194"/>
      <c r="D243" s="309"/>
      <c r="E243" s="309"/>
      <c r="F243" s="309"/>
      <c r="G243" s="309"/>
      <c r="H243" s="309"/>
      <c r="I243" s="309"/>
      <c r="J243" s="309"/>
      <c r="K243" s="309"/>
      <c r="L243" s="309"/>
      <c r="M243" s="309"/>
      <c r="N243" s="309"/>
      <c r="O243" s="309"/>
      <c r="P243" s="309"/>
      <c r="Q243" s="309"/>
      <c r="R243" s="309"/>
      <c r="S243" s="309"/>
      <c r="T243" s="309"/>
      <c r="U243" s="309"/>
      <c r="V243" s="309"/>
      <c r="W243" s="309"/>
      <c r="X243" s="309"/>
      <c r="Y243" s="309"/>
      <c r="Z243" s="309"/>
    </row>
    <row r="244">
      <c r="A244" s="194"/>
      <c r="B244" s="309"/>
      <c r="C244" s="194"/>
      <c r="D244" s="309"/>
      <c r="E244" s="309"/>
      <c r="F244" s="309"/>
      <c r="G244" s="309"/>
      <c r="H244" s="309"/>
      <c r="I244" s="309"/>
      <c r="J244" s="309"/>
      <c r="K244" s="309"/>
      <c r="L244" s="309"/>
      <c r="M244" s="309"/>
      <c r="N244" s="309"/>
      <c r="O244" s="309"/>
      <c r="P244" s="309"/>
      <c r="Q244" s="309"/>
      <c r="R244" s="309"/>
      <c r="S244" s="309"/>
      <c r="T244" s="309"/>
      <c r="U244" s="309"/>
      <c r="V244" s="309"/>
      <c r="W244" s="309"/>
      <c r="X244" s="309"/>
      <c r="Y244" s="309"/>
      <c r="Z244" s="309"/>
    </row>
    <row r="245">
      <c r="A245" s="194"/>
      <c r="B245" s="309"/>
      <c r="C245" s="194"/>
      <c r="D245" s="309"/>
      <c r="E245" s="309"/>
      <c r="F245" s="309"/>
      <c r="G245" s="309"/>
      <c r="H245" s="309"/>
      <c r="I245" s="309"/>
      <c r="J245" s="309"/>
      <c r="K245" s="309"/>
      <c r="L245" s="309"/>
      <c r="M245" s="309"/>
      <c r="N245" s="309"/>
      <c r="O245" s="309"/>
      <c r="P245" s="309"/>
      <c r="Q245" s="309"/>
      <c r="R245" s="309"/>
      <c r="S245" s="309"/>
      <c r="T245" s="309"/>
      <c r="U245" s="309"/>
      <c r="V245" s="309"/>
      <c r="W245" s="309"/>
      <c r="X245" s="309"/>
      <c r="Y245" s="309"/>
      <c r="Z245" s="309"/>
    </row>
    <row r="246">
      <c r="A246" s="194"/>
      <c r="B246" s="309"/>
      <c r="C246" s="194"/>
      <c r="D246" s="309"/>
      <c r="E246" s="309"/>
      <c r="F246" s="309"/>
      <c r="G246" s="309"/>
      <c r="H246" s="309"/>
      <c r="I246" s="309"/>
      <c r="J246" s="309"/>
      <c r="K246" s="309"/>
      <c r="L246" s="309"/>
      <c r="M246" s="309"/>
      <c r="N246" s="309"/>
      <c r="O246" s="309"/>
      <c r="P246" s="309"/>
      <c r="Q246" s="309"/>
      <c r="R246" s="309"/>
      <c r="S246" s="309"/>
      <c r="T246" s="309"/>
      <c r="U246" s="309"/>
      <c r="V246" s="309"/>
      <c r="W246" s="309"/>
      <c r="X246" s="309"/>
      <c r="Y246" s="309"/>
      <c r="Z246" s="309"/>
    </row>
    <row r="247">
      <c r="A247" s="194"/>
      <c r="B247" s="309"/>
      <c r="C247" s="194"/>
      <c r="D247" s="309"/>
      <c r="E247" s="309"/>
      <c r="F247" s="309"/>
      <c r="G247" s="309"/>
      <c r="H247" s="309"/>
      <c r="I247" s="309"/>
      <c r="J247" s="309"/>
      <c r="K247" s="309"/>
      <c r="L247" s="309"/>
      <c r="M247" s="309"/>
      <c r="N247" s="309"/>
      <c r="O247" s="309"/>
      <c r="P247" s="309"/>
      <c r="Q247" s="309"/>
      <c r="R247" s="309"/>
      <c r="S247" s="309"/>
      <c r="T247" s="309"/>
      <c r="U247" s="309"/>
      <c r="V247" s="309"/>
      <c r="W247" s="309"/>
      <c r="X247" s="309"/>
      <c r="Y247" s="309"/>
      <c r="Z247" s="309"/>
    </row>
    <row r="248">
      <c r="A248" s="194"/>
      <c r="B248" s="309"/>
      <c r="C248" s="194"/>
      <c r="D248" s="309"/>
      <c r="E248" s="309"/>
      <c r="F248" s="309"/>
      <c r="G248" s="309"/>
      <c r="H248" s="309"/>
      <c r="I248" s="309"/>
      <c r="J248" s="309"/>
      <c r="K248" s="309"/>
      <c r="L248" s="309"/>
      <c r="M248" s="309"/>
      <c r="N248" s="309"/>
      <c r="O248" s="309"/>
      <c r="P248" s="309"/>
      <c r="Q248" s="309"/>
      <c r="R248" s="309"/>
      <c r="S248" s="309"/>
      <c r="T248" s="309"/>
      <c r="U248" s="309"/>
      <c r="V248" s="309"/>
      <c r="W248" s="309"/>
      <c r="X248" s="309"/>
      <c r="Y248" s="309"/>
      <c r="Z248" s="309"/>
    </row>
    <row r="249">
      <c r="A249" s="194"/>
      <c r="B249" s="309"/>
      <c r="C249" s="194"/>
      <c r="D249" s="309"/>
      <c r="E249" s="309"/>
      <c r="F249" s="309"/>
      <c r="G249" s="309"/>
      <c r="H249" s="309"/>
      <c r="I249" s="309"/>
      <c r="J249" s="309"/>
      <c r="K249" s="309"/>
      <c r="L249" s="309"/>
      <c r="M249" s="309"/>
      <c r="N249" s="309"/>
      <c r="O249" s="309"/>
      <c r="P249" s="309"/>
      <c r="Q249" s="309"/>
      <c r="R249" s="309"/>
      <c r="S249" s="309"/>
      <c r="T249" s="309"/>
      <c r="U249" s="309"/>
      <c r="V249" s="309"/>
      <c r="W249" s="309"/>
      <c r="X249" s="309"/>
      <c r="Y249" s="309"/>
      <c r="Z249" s="309"/>
    </row>
    <row r="250">
      <c r="A250" s="194"/>
      <c r="B250" s="309"/>
      <c r="C250" s="194"/>
      <c r="D250" s="309"/>
      <c r="E250" s="309"/>
      <c r="F250" s="309"/>
      <c r="G250" s="309"/>
      <c r="H250" s="309"/>
      <c r="I250" s="309"/>
      <c r="J250" s="309"/>
      <c r="K250" s="309"/>
      <c r="L250" s="309"/>
      <c r="M250" s="309"/>
      <c r="N250" s="309"/>
      <c r="O250" s="309"/>
      <c r="P250" s="309"/>
      <c r="Q250" s="309"/>
      <c r="R250" s="309"/>
      <c r="S250" s="309"/>
      <c r="T250" s="309"/>
      <c r="U250" s="309"/>
      <c r="V250" s="309"/>
      <c r="W250" s="309"/>
      <c r="X250" s="309"/>
      <c r="Y250" s="309"/>
      <c r="Z250" s="309"/>
    </row>
    <row r="251">
      <c r="A251" s="194"/>
      <c r="B251" s="309"/>
      <c r="C251" s="194"/>
      <c r="D251" s="309"/>
      <c r="E251" s="309"/>
      <c r="F251" s="309"/>
      <c r="G251" s="309"/>
      <c r="H251" s="309"/>
      <c r="I251" s="309"/>
      <c r="J251" s="309"/>
      <c r="K251" s="309"/>
      <c r="L251" s="309"/>
      <c r="M251" s="309"/>
      <c r="N251" s="309"/>
      <c r="O251" s="309"/>
      <c r="P251" s="309"/>
      <c r="Q251" s="309"/>
      <c r="R251" s="309"/>
      <c r="S251" s="309"/>
      <c r="T251" s="309"/>
      <c r="U251" s="309"/>
      <c r="V251" s="309"/>
      <c r="W251" s="309"/>
      <c r="X251" s="309"/>
      <c r="Y251" s="309"/>
      <c r="Z251" s="309"/>
    </row>
    <row r="252">
      <c r="A252" s="194"/>
      <c r="B252" s="309"/>
      <c r="C252" s="194"/>
      <c r="D252" s="309"/>
      <c r="E252" s="309"/>
      <c r="F252" s="309"/>
      <c r="G252" s="309"/>
      <c r="H252" s="309"/>
      <c r="I252" s="309"/>
      <c r="J252" s="309"/>
      <c r="K252" s="309"/>
      <c r="L252" s="309"/>
      <c r="M252" s="309"/>
      <c r="N252" s="309"/>
      <c r="O252" s="309"/>
      <c r="P252" s="309"/>
      <c r="Q252" s="309"/>
      <c r="R252" s="309"/>
      <c r="S252" s="309"/>
      <c r="T252" s="309"/>
      <c r="U252" s="309"/>
      <c r="V252" s="309"/>
      <c r="W252" s="309"/>
      <c r="X252" s="309"/>
      <c r="Y252" s="309"/>
      <c r="Z252" s="309"/>
    </row>
    <row r="253">
      <c r="A253" s="194"/>
      <c r="B253" s="309"/>
      <c r="C253" s="194"/>
      <c r="D253" s="309"/>
      <c r="E253" s="309"/>
      <c r="F253" s="309"/>
      <c r="G253" s="309"/>
      <c r="H253" s="309"/>
      <c r="I253" s="309"/>
      <c r="J253" s="309"/>
      <c r="K253" s="309"/>
      <c r="L253" s="309"/>
      <c r="M253" s="309"/>
      <c r="N253" s="309"/>
      <c r="O253" s="309"/>
      <c r="P253" s="309"/>
      <c r="Q253" s="309"/>
      <c r="R253" s="309"/>
      <c r="S253" s="309"/>
      <c r="T253" s="309"/>
      <c r="U253" s="309"/>
      <c r="V253" s="309"/>
      <c r="W253" s="309"/>
      <c r="X253" s="309"/>
      <c r="Y253" s="309"/>
      <c r="Z253" s="309"/>
    </row>
    <row r="254">
      <c r="A254" s="194"/>
      <c r="B254" s="309"/>
      <c r="C254" s="194"/>
      <c r="D254" s="309"/>
      <c r="E254" s="309"/>
      <c r="F254" s="309"/>
      <c r="G254" s="309"/>
      <c r="H254" s="309"/>
      <c r="I254" s="309"/>
      <c r="J254" s="309"/>
      <c r="K254" s="309"/>
      <c r="L254" s="309"/>
      <c r="M254" s="309"/>
      <c r="N254" s="309"/>
      <c r="O254" s="309"/>
      <c r="P254" s="309"/>
      <c r="Q254" s="309"/>
      <c r="R254" s="309"/>
      <c r="S254" s="309"/>
      <c r="T254" s="309"/>
      <c r="U254" s="309"/>
      <c r="V254" s="309"/>
      <c r="W254" s="309"/>
      <c r="X254" s="309"/>
      <c r="Y254" s="309"/>
      <c r="Z254" s="309"/>
    </row>
    <row r="255">
      <c r="A255" s="194"/>
      <c r="B255" s="309"/>
      <c r="C255" s="194"/>
      <c r="D255" s="309"/>
      <c r="E255" s="309"/>
      <c r="F255" s="309"/>
      <c r="G255" s="309"/>
      <c r="H255" s="309"/>
      <c r="I255" s="309"/>
      <c r="J255" s="309"/>
      <c r="K255" s="309"/>
      <c r="L255" s="309"/>
      <c r="M255" s="309"/>
      <c r="N255" s="309"/>
      <c r="O255" s="309"/>
      <c r="P255" s="309"/>
      <c r="Q255" s="309"/>
      <c r="R255" s="309"/>
      <c r="S255" s="309"/>
      <c r="T255" s="309"/>
      <c r="U255" s="309"/>
      <c r="V255" s="309"/>
      <c r="W255" s="309"/>
      <c r="X255" s="309"/>
      <c r="Y255" s="309"/>
      <c r="Z255" s="309"/>
    </row>
    <row r="256">
      <c r="A256" s="194"/>
      <c r="B256" s="309"/>
      <c r="C256" s="194"/>
      <c r="D256" s="309"/>
      <c r="E256" s="309"/>
      <c r="F256" s="309"/>
      <c r="G256" s="309"/>
      <c r="H256" s="309"/>
      <c r="I256" s="309"/>
      <c r="J256" s="309"/>
      <c r="K256" s="309"/>
      <c r="L256" s="309"/>
      <c r="M256" s="309"/>
      <c r="N256" s="309"/>
      <c r="O256" s="309"/>
      <c r="P256" s="309"/>
      <c r="Q256" s="309"/>
      <c r="R256" s="309"/>
      <c r="S256" s="309"/>
      <c r="T256" s="309"/>
      <c r="U256" s="309"/>
      <c r="V256" s="309"/>
      <c r="W256" s="309"/>
      <c r="X256" s="309"/>
      <c r="Y256" s="309"/>
      <c r="Z256" s="309"/>
    </row>
    <row r="257">
      <c r="A257" s="194"/>
      <c r="B257" s="309"/>
      <c r="C257" s="194"/>
      <c r="D257" s="309"/>
      <c r="E257" s="309"/>
      <c r="F257" s="309"/>
      <c r="G257" s="309"/>
      <c r="H257" s="309"/>
      <c r="I257" s="309"/>
      <c r="J257" s="309"/>
      <c r="K257" s="309"/>
      <c r="L257" s="309"/>
      <c r="M257" s="309"/>
      <c r="N257" s="309"/>
      <c r="O257" s="309"/>
      <c r="P257" s="309"/>
      <c r="Q257" s="309"/>
      <c r="R257" s="309"/>
      <c r="S257" s="309"/>
      <c r="T257" s="309"/>
      <c r="U257" s="309"/>
      <c r="V257" s="309"/>
      <c r="W257" s="309"/>
      <c r="X257" s="309"/>
      <c r="Y257" s="309"/>
      <c r="Z257" s="309"/>
    </row>
    <row r="258">
      <c r="A258" s="194"/>
      <c r="B258" s="309"/>
      <c r="C258" s="194"/>
      <c r="D258" s="309"/>
      <c r="E258" s="309"/>
      <c r="F258" s="309"/>
      <c r="G258" s="309"/>
      <c r="H258" s="309"/>
      <c r="I258" s="309"/>
      <c r="J258" s="309"/>
      <c r="K258" s="309"/>
      <c r="L258" s="309"/>
      <c r="M258" s="309"/>
      <c r="N258" s="309"/>
      <c r="O258" s="309"/>
      <c r="P258" s="309"/>
      <c r="Q258" s="309"/>
      <c r="R258" s="309"/>
      <c r="S258" s="309"/>
      <c r="T258" s="309"/>
      <c r="U258" s="309"/>
      <c r="V258" s="309"/>
      <c r="W258" s="309"/>
      <c r="X258" s="309"/>
      <c r="Y258" s="309"/>
      <c r="Z258" s="309"/>
    </row>
    <row r="259">
      <c r="A259" s="194"/>
      <c r="B259" s="309"/>
      <c r="C259" s="194"/>
      <c r="D259" s="309"/>
      <c r="E259" s="309"/>
      <c r="F259" s="309"/>
      <c r="G259" s="309"/>
      <c r="H259" s="309"/>
      <c r="I259" s="309"/>
      <c r="J259" s="309"/>
      <c r="K259" s="309"/>
      <c r="L259" s="309"/>
      <c r="M259" s="309"/>
      <c r="N259" s="309"/>
      <c r="O259" s="309"/>
      <c r="P259" s="309"/>
      <c r="Q259" s="309"/>
      <c r="R259" s="309"/>
      <c r="S259" s="309"/>
      <c r="T259" s="309"/>
      <c r="U259" s="309"/>
      <c r="V259" s="309"/>
      <c r="W259" s="309"/>
      <c r="X259" s="309"/>
      <c r="Y259" s="309"/>
      <c r="Z259" s="309"/>
    </row>
    <row r="260">
      <c r="A260" s="194"/>
      <c r="B260" s="309"/>
      <c r="C260" s="194"/>
      <c r="D260" s="309"/>
      <c r="E260" s="309"/>
      <c r="F260" s="309"/>
      <c r="G260" s="309"/>
      <c r="H260" s="309"/>
      <c r="I260" s="309"/>
      <c r="J260" s="309"/>
      <c r="K260" s="309"/>
      <c r="L260" s="309"/>
      <c r="M260" s="309"/>
      <c r="N260" s="309"/>
      <c r="O260" s="309"/>
      <c r="P260" s="309"/>
      <c r="Q260" s="309"/>
      <c r="R260" s="309"/>
      <c r="S260" s="309"/>
      <c r="T260" s="309"/>
      <c r="U260" s="309"/>
      <c r="V260" s="309"/>
      <c r="W260" s="309"/>
      <c r="X260" s="309"/>
      <c r="Y260" s="309"/>
      <c r="Z260" s="309"/>
    </row>
    <row r="261">
      <c r="A261" s="194"/>
      <c r="B261" s="309"/>
      <c r="C261" s="194"/>
      <c r="D261" s="309"/>
      <c r="E261" s="309"/>
      <c r="F261" s="309"/>
      <c r="G261" s="309"/>
      <c r="H261" s="309"/>
      <c r="I261" s="309"/>
      <c r="J261" s="309"/>
      <c r="K261" s="309"/>
      <c r="L261" s="309"/>
      <c r="M261" s="309"/>
      <c r="N261" s="309"/>
      <c r="O261" s="309"/>
      <c r="P261" s="309"/>
      <c r="Q261" s="309"/>
      <c r="R261" s="309"/>
      <c r="S261" s="309"/>
      <c r="T261" s="309"/>
      <c r="U261" s="309"/>
      <c r="V261" s="309"/>
      <c r="W261" s="309"/>
      <c r="X261" s="309"/>
      <c r="Y261" s="309"/>
      <c r="Z261" s="309"/>
    </row>
    <row r="262">
      <c r="A262" s="194"/>
      <c r="B262" s="309"/>
      <c r="C262" s="194"/>
      <c r="D262" s="309"/>
      <c r="E262" s="309"/>
      <c r="F262" s="309"/>
      <c r="G262" s="309"/>
      <c r="H262" s="309"/>
      <c r="I262" s="309"/>
      <c r="J262" s="309"/>
      <c r="K262" s="309"/>
      <c r="L262" s="309"/>
      <c r="M262" s="309"/>
      <c r="N262" s="309"/>
      <c r="O262" s="309"/>
      <c r="P262" s="309"/>
      <c r="Q262" s="309"/>
      <c r="R262" s="309"/>
      <c r="S262" s="309"/>
      <c r="T262" s="309"/>
      <c r="U262" s="309"/>
      <c r="V262" s="309"/>
      <c r="W262" s="309"/>
      <c r="X262" s="309"/>
      <c r="Y262" s="309"/>
      <c r="Z262" s="309"/>
    </row>
    <row r="263">
      <c r="A263" s="194"/>
      <c r="B263" s="309"/>
      <c r="C263" s="194"/>
      <c r="D263" s="309"/>
      <c r="E263" s="309"/>
      <c r="F263" s="309"/>
      <c r="G263" s="309"/>
      <c r="H263" s="309"/>
      <c r="I263" s="309"/>
      <c r="J263" s="309"/>
      <c r="K263" s="309"/>
      <c r="L263" s="309"/>
      <c r="M263" s="309"/>
      <c r="N263" s="309"/>
      <c r="O263" s="309"/>
      <c r="P263" s="309"/>
      <c r="Q263" s="309"/>
      <c r="R263" s="309"/>
      <c r="S263" s="309"/>
      <c r="T263" s="309"/>
      <c r="U263" s="309"/>
      <c r="V263" s="309"/>
      <c r="W263" s="309"/>
      <c r="X263" s="309"/>
      <c r="Y263" s="309"/>
      <c r="Z263" s="309"/>
    </row>
    <row r="264">
      <c r="A264" s="194"/>
      <c r="B264" s="309"/>
      <c r="C264" s="194"/>
      <c r="D264" s="309"/>
      <c r="E264" s="309"/>
      <c r="F264" s="309"/>
      <c r="G264" s="309"/>
      <c r="H264" s="309"/>
      <c r="I264" s="309"/>
      <c r="J264" s="309"/>
      <c r="K264" s="309"/>
      <c r="L264" s="309"/>
      <c r="M264" s="309"/>
      <c r="N264" s="309"/>
      <c r="O264" s="309"/>
      <c r="P264" s="309"/>
      <c r="Q264" s="309"/>
      <c r="R264" s="309"/>
      <c r="S264" s="309"/>
      <c r="T264" s="309"/>
      <c r="U264" s="309"/>
      <c r="V264" s="309"/>
      <c r="W264" s="309"/>
      <c r="X264" s="309"/>
      <c r="Y264" s="309"/>
      <c r="Z264" s="309"/>
    </row>
    <row r="265">
      <c r="A265" s="194"/>
      <c r="B265" s="309"/>
      <c r="C265" s="194"/>
      <c r="D265" s="309"/>
      <c r="E265" s="309"/>
      <c r="F265" s="309"/>
      <c r="G265" s="309"/>
      <c r="H265" s="309"/>
      <c r="I265" s="309"/>
      <c r="J265" s="309"/>
      <c r="K265" s="309"/>
      <c r="L265" s="309"/>
      <c r="M265" s="309"/>
      <c r="N265" s="309"/>
      <c r="O265" s="309"/>
      <c r="P265" s="309"/>
      <c r="Q265" s="309"/>
      <c r="R265" s="309"/>
      <c r="S265" s="309"/>
      <c r="T265" s="309"/>
      <c r="U265" s="309"/>
      <c r="V265" s="309"/>
      <c r="W265" s="309"/>
      <c r="X265" s="309"/>
      <c r="Y265" s="309"/>
      <c r="Z265" s="309"/>
    </row>
    <row r="266">
      <c r="A266" s="194"/>
      <c r="B266" s="309"/>
      <c r="C266" s="194"/>
      <c r="D266" s="309"/>
      <c r="E266" s="309"/>
      <c r="F266" s="309"/>
      <c r="G266" s="309"/>
      <c r="H266" s="309"/>
      <c r="I266" s="309"/>
      <c r="J266" s="309"/>
      <c r="K266" s="309"/>
      <c r="L266" s="309"/>
      <c r="M266" s="309"/>
      <c r="N266" s="309"/>
      <c r="O266" s="309"/>
      <c r="P266" s="309"/>
      <c r="Q266" s="309"/>
      <c r="R266" s="309"/>
      <c r="S266" s="309"/>
      <c r="T266" s="309"/>
      <c r="U266" s="309"/>
      <c r="V266" s="309"/>
      <c r="W266" s="309"/>
      <c r="X266" s="309"/>
      <c r="Y266" s="309"/>
      <c r="Z266" s="309"/>
    </row>
    <row r="267">
      <c r="A267" s="194"/>
      <c r="B267" s="309"/>
      <c r="C267" s="194"/>
      <c r="D267" s="309"/>
      <c r="E267" s="309"/>
      <c r="F267" s="309"/>
      <c r="G267" s="309"/>
      <c r="H267" s="309"/>
      <c r="I267" s="309"/>
      <c r="J267" s="309"/>
      <c r="K267" s="309"/>
      <c r="L267" s="309"/>
      <c r="M267" s="309"/>
      <c r="N267" s="309"/>
      <c r="O267" s="309"/>
      <c r="P267" s="309"/>
      <c r="Q267" s="309"/>
      <c r="R267" s="309"/>
      <c r="S267" s="309"/>
      <c r="T267" s="309"/>
      <c r="U267" s="309"/>
      <c r="V267" s="309"/>
      <c r="W267" s="309"/>
      <c r="X267" s="309"/>
      <c r="Y267" s="309"/>
      <c r="Z267" s="309"/>
    </row>
    <row r="268">
      <c r="A268" s="194"/>
      <c r="B268" s="309"/>
      <c r="C268" s="194"/>
      <c r="D268" s="309"/>
      <c r="E268" s="309"/>
      <c r="F268" s="309"/>
      <c r="G268" s="309"/>
      <c r="H268" s="309"/>
      <c r="I268" s="309"/>
      <c r="J268" s="309"/>
      <c r="K268" s="309"/>
      <c r="L268" s="309"/>
      <c r="M268" s="309"/>
      <c r="N268" s="309"/>
      <c r="O268" s="309"/>
      <c r="P268" s="309"/>
      <c r="Q268" s="309"/>
      <c r="R268" s="309"/>
      <c r="S268" s="309"/>
      <c r="T268" s="309"/>
      <c r="U268" s="309"/>
      <c r="V268" s="309"/>
      <c r="W268" s="309"/>
      <c r="X268" s="309"/>
      <c r="Y268" s="309"/>
      <c r="Z268" s="309"/>
    </row>
    <row r="269">
      <c r="A269" s="194"/>
      <c r="B269" s="309"/>
      <c r="C269" s="194"/>
      <c r="D269" s="309"/>
      <c r="E269" s="309"/>
      <c r="F269" s="309"/>
      <c r="G269" s="309"/>
      <c r="H269" s="309"/>
      <c r="I269" s="309"/>
      <c r="J269" s="309"/>
      <c r="K269" s="309"/>
      <c r="L269" s="309"/>
      <c r="M269" s="309"/>
      <c r="N269" s="309"/>
      <c r="O269" s="309"/>
      <c r="P269" s="309"/>
      <c r="Q269" s="309"/>
      <c r="R269" s="309"/>
      <c r="S269" s="309"/>
      <c r="T269" s="309"/>
      <c r="U269" s="309"/>
      <c r="V269" s="309"/>
      <c r="W269" s="309"/>
      <c r="X269" s="309"/>
      <c r="Y269" s="309"/>
      <c r="Z269" s="309"/>
    </row>
    <row r="270">
      <c r="A270" s="194"/>
      <c r="B270" s="309"/>
      <c r="C270" s="194"/>
      <c r="D270" s="309"/>
      <c r="E270" s="309"/>
      <c r="F270" s="309"/>
      <c r="G270" s="309"/>
      <c r="H270" s="309"/>
      <c r="I270" s="309"/>
      <c r="J270" s="309"/>
      <c r="K270" s="309"/>
      <c r="L270" s="309"/>
      <c r="M270" s="309"/>
      <c r="N270" s="309"/>
      <c r="O270" s="309"/>
      <c r="P270" s="309"/>
      <c r="Q270" s="309"/>
      <c r="R270" s="309"/>
      <c r="S270" s="309"/>
      <c r="T270" s="309"/>
      <c r="U270" s="309"/>
      <c r="V270" s="309"/>
      <c r="W270" s="309"/>
      <c r="X270" s="309"/>
      <c r="Y270" s="309"/>
      <c r="Z270" s="309"/>
    </row>
    <row r="271">
      <c r="A271" s="194"/>
      <c r="B271" s="309"/>
      <c r="C271" s="194"/>
      <c r="D271" s="309"/>
      <c r="E271" s="309"/>
      <c r="F271" s="309"/>
      <c r="G271" s="309"/>
      <c r="H271" s="309"/>
      <c r="I271" s="309"/>
      <c r="J271" s="309"/>
      <c r="K271" s="309"/>
      <c r="L271" s="309"/>
      <c r="M271" s="309"/>
      <c r="N271" s="309"/>
      <c r="O271" s="309"/>
      <c r="P271" s="309"/>
      <c r="Q271" s="309"/>
      <c r="R271" s="309"/>
      <c r="S271" s="309"/>
      <c r="T271" s="309"/>
      <c r="U271" s="309"/>
      <c r="V271" s="309"/>
      <c r="W271" s="309"/>
      <c r="X271" s="309"/>
      <c r="Y271" s="309"/>
      <c r="Z271" s="309"/>
    </row>
    <row r="272">
      <c r="A272" s="194"/>
      <c r="B272" s="309"/>
      <c r="C272" s="194"/>
      <c r="D272" s="309"/>
      <c r="E272" s="309"/>
      <c r="F272" s="309"/>
      <c r="G272" s="309"/>
      <c r="H272" s="309"/>
      <c r="I272" s="309"/>
      <c r="J272" s="309"/>
      <c r="K272" s="309"/>
      <c r="L272" s="309"/>
      <c r="M272" s="309"/>
      <c r="N272" s="309"/>
      <c r="O272" s="309"/>
      <c r="P272" s="309"/>
      <c r="Q272" s="309"/>
      <c r="R272" s="309"/>
      <c r="S272" s="309"/>
      <c r="T272" s="309"/>
      <c r="U272" s="309"/>
      <c r="V272" s="309"/>
      <c r="W272" s="309"/>
      <c r="X272" s="309"/>
      <c r="Y272" s="309"/>
      <c r="Z272" s="309"/>
    </row>
    <row r="273">
      <c r="A273" s="194"/>
      <c r="B273" s="309"/>
      <c r="C273" s="194"/>
      <c r="D273" s="309"/>
      <c r="E273" s="309"/>
      <c r="F273" s="309"/>
      <c r="G273" s="309"/>
      <c r="H273" s="309"/>
      <c r="I273" s="309"/>
      <c r="J273" s="309"/>
      <c r="K273" s="309"/>
      <c r="L273" s="309"/>
      <c r="M273" s="309"/>
      <c r="N273" s="309"/>
      <c r="O273" s="309"/>
      <c r="P273" s="309"/>
      <c r="Q273" s="309"/>
      <c r="R273" s="309"/>
      <c r="S273" s="309"/>
      <c r="T273" s="309"/>
      <c r="U273" s="309"/>
      <c r="V273" s="309"/>
      <c r="W273" s="309"/>
      <c r="X273" s="309"/>
      <c r="Y273" s="309"/>
      <c r="Z273" s="309"/>
    </row>
    <row r="274">
      <c r="A274" s="194"/>
      <c r="B274" s="309"/>
      <c r="C274" s="194"/>
      <c r="D274" s="309"/>
      <c r="E274" s="309"/>
      <c r="F274" s="309"/>
      <c r="G274" s="309"/>
      <c r="H274" s="309"/>
      <c r="I274" s="309"/>
      <c r="J274" s="309"/>
      <c r="K274" s="309"/>
      <c r="L274" s="309"/>
      <c r="M274" s="309"/>
      <c r="N274" s="309"/>
      <c r="O274" s="309"/>
      <c r="P274" s="309"/>
      <c r="Q274" s="309"/>
      <c r="R274" s="309"/>
      <c r="S274" s="309"/>
      <c r="T274" s="309"/>
      <c r="U274" s="309"/>
      <c r="V274" s="309"/>
      <c r="W274" s="309"/>
      <c r="X274" s="309"/>
      <c r="Y274" s="309"/>
      <c r="Z274" s="309"/>
    </row>
    <row r="275">
      <c r="A275" s="194"/>
      <c r="B275" s="309"/>
      <c r="C275" s="194"/>
      <c r="D275" s="309"/>
      <c r="E275" s="309"/>
      <c r="F275" s="309"/>
      <c r="G275" s="309"/>
      <c r="H275" s="309"/>
      <c r="I275" s="309"/>
      <c r="J275" s="309"/>
      <c r="K275" s="309"/>
      <c r="L275" s="309"/>
      <c r="M275" s="309"/>
      <c r="N275" s="309"/>
      <c r="O275" s="309"/>
      <c r="P275" s="309"/>
      <c r="Q275" s="309"/>
      <c r="R275" s="309"/>
      <c r="S275" s="309"/>
      <c r="T275" s="309"/>
      <c r="U275" s="309"/>
      <c r="V275" s="309"/>
      <c r="W275" s="309"/>
      <c r="X275" s="309"/>
      <c r="Y275" s="309"/>
      <c r="Z275" s="309"/>
    </row>
    <row r="276">
      <c r="A276" s="194"/>
      <c r="B276" s="309"/>
      <c r="C276" s="194"/>
      <c r="D276" s="309"/>
      <c r="E276" s="309"/>
      <c r="F276" s="309"/>
      <c r="G276" s="309"/>
      <c r="H276" s="309"/>
      <c r="I276" s="309"/>
      <c r="J276" s="309"/>
      <c r="K276" s="309"/>
      <c r="L276" s="309"/>
      <c r="M276" s="309"/>
      <c r="N276" s="309"/>
      <c r="O276" s="309"/>
      <c r="P276" s="309"/>
      <c r="Q276" s="309"/>
      <c r="R276" s="309"/>
      <c r="S276" s="309"/>
      <c r="T276" s="309"/>
      <c r="U276" s="309"/>
      <c r="V276" s="309"/>
      <c r="W276" s="309"/>
      <c r="X276" s="309"/>
      <c r="Y276" s="309"/>
      <c r="Z276" s="309"/>
    </row>
    <row r="277">
      <c r="A277" s="194"/>
      <c r="B277" s="309"/>
      <c r="C277" s="194"/>
      <c r="D277" s="309"/>
      <c r="E277" s="309"/>
      <c r="F277" s="309"/>
      <c r="G277" s="309"/>
      <c r="H277" s="309"/>
      <c r="I277" s="309"/>
      <c r="J277" s="309"/>
      <c r="K277" s="309"/>
      <c r="L277" s="309"/>
      <c r="M277" s="309"/>
      <c r="N277" s="309"/>
      <c r="O277" s="309"/>
      <c r="P277" s="309"/>
      <c r="Q277" s="309"/>
      <c r="R277" s="309"/>
      <c r="S277" s="309"/>
      <c r="T277" s="309"/>
      <c r="U277" s="309"/>
      <c r="V277" s="309"/>
      <c r="W277" s="309"/>
      <c r="X277" s="309"/>
      <c r="Y277" s="309"/>
      <c r="Z277" s="309"/>
    </row>
    <row r="278">
      <c r="A278" s="194"/>
      <c r="B278" s="309"/>
      <c r="C278" s="194"/>
      <c r="D278" s="309"/>
      <c r="E278" s="309"/>
      <c r="F278" s="309"/>
      <c r="G278" s="309"/>
      <c r="H278" s="309"/>
      <c r="I278" s="309"/>
      <c r="J278" s="309"/>
      <c r="K278" s="309"/>
      <c r="L278" s="309"/>
      <c r="M278" s="309"/>
      <c r="N278" s="309"/>
      <c r="O278" s="309"/>
      <c r="P278" s="309"/>
      <c r="Q278" s="309"/>
      <c r="R278" s="309"/>
      <c r="S278" s="309"/>
      <c r="T278" s="309"/>
      <c r="U278" s="309"/>
      <c r="V278" s="309"/>
      <c r="W278" s="309"/>
      <c r="X278" s="309"/>
      <c r="Y278" s="309"/>
      <c r="Z278" s="309"/>
    </row>
    <row r="279">
      <c r="A279" s="194"/>
      <c r="B279" s="309"/>
      <c r="C279" s="194"/>
      <c r="D279" s="309"/>
      <c r="E279" s="309"/>
      <c r="F279" s="309"/>
      <c r="G279" s="309"/>
      <c r="H279" s="309"/>
      <c r="I279" s="309"/>
      <c r="J279" s="309"/>
      <c r="K279" s="309"/>
      <c r="L279" s="309"/>
      <c r="M279" s="309"/>
      <c r="N279" s="309"/>
      <c r="O279" s="309"/>
      <c r="P279" s="309"/>
      <c r="Q279" s="309"/>
      <c r="R279" s="309"/>
      <c r="S279" s="309"/>
      <c r="T279" s="309"/>
      <c r="U279" s="309"/>
      <c r="V279" s="309"/>
      <c r="W279" s="309"/>
      <c r="X279" s="309"/>
      <c r="Y279" s="309"/>
      <c r="Z279" s="309"/>
    </row>
    <row r="280">
      <c r="A280" s="194"/>
      <c r="B280" s="309"/>
      <c r="C280" s="194"/>
      <c r="D280" s="309"/>
      <c r="E280" s="309"/>
      <c r="F280" s="309"/>
      <c r="G280" s="309"/>
      <c r="H280" s="309"/>
      <c r="I280" s="309"/>
      <c r="J280" s="309"/>
      <c r="K280" s="309"/>
      <c r="L280" s="309"/>
      <c r="M280" s="309"/>
      <c r="N280" s="309"/>
      <c r="O280" s="309"/>
      <c r="P280" s="309"/>
      <c r="Q280" s="309"/>
      <c r="R280" s="309"/>
      <c r="S280" s="309"/>
      <c r="T280" s="309"/>
      <c r="U280" s="309"/>
      <c r="V280" s="309"/>
      <c r="W280" s="309"/>
      <c r="X280" s="309"/>
      <c r="Y280" s="309"/>
      <c r="Z280" s="309"/>
    </row>
    <row r="281">
      <c r="A281" s="194"/>
      <c r="B281" s="309"/>
      <c r="C281" s="194"/>
      <c r="D281" s="309"/>
      <c r="E281" s="309"/>
      <c r="F281" s="309"/>
      <c r="G281" s="309"/>
      <c r="H281" s="309"/>
      <c r="I281" s="309"/>
      <c r="J281" s="309"/>
      <c r="K281" s="309"/>
      <c r="L281" s="309"/>
      <c r="M281" s="309"/>
      <c r="N281" s="309"/>
      <c r="O281" s="309"/>
      <c r="P281" s="309"/>
      <c r="Q281" s="309"/>
      <c r="R281" s="309"/>
      <c r="S281" s="309"/>
      <c r="T281" s="309"/>
      <c r="U281" s="309"/>
      <c r="V281" s="309"/>
      <c r="W281" s="309"/>
      <c r="X281" s="309"/>
      <c r="Y281" s="309"/>
      <c r="Z281" s="309"/>
    </row>
    <row r="282">
      <c r="A282" s="194"/>
      <c r="B282" s="309"/>
      <c r="C282" s="194"/>
      <c r="D282" s="309"/>
      <c r="E282" s="309"/>
      <c r="F282" s="309"/>
      <c r="G282" s="309"/>
      <c r="H282" s="309"/>
      <c r="I282" s="309"/>
      <c r="J282" s="309"/>
      <c r="K282" s="309"/>
      <c r="L282" s="309"/>
      <c r="M282" s="309"/>
      <c r="N282" s="309"/>
      <c r="O282" s="309"/>
      <c r="P282" s="309"/>
      <c r="Q282" s="309"/>
      <c r="R282" s="309"/>
      <c r="S282" s="309"/>
      <c r="T282" s="309"/>
      <c r="U282" s="309"/>
      <c r="V282" s="309"/>
      <c r="W282" s="309"/>
      <c r="X282" s="309"/>
      <c r="Y282" s="309"/>
      <c r="Z282" s="309"/>
    </row>
    <row r="283">
      <c r="A283" s="194"/>
      <c r="B283" s="309"/>
      <c r="C283" s="194"/>
      <c r="D283" s="309"/>
      <c r="E283" s="309"/>
      <c r="F283" s="309"/>
      <c r="G283" s="309"/>
      <c r="H283" s="309"/>
      <c r="I283" s="309"/>
      <c r="J283" s="309"/>
      <c r="K283" s="309"/>
      <c r="L283" s="309"/>
      <c r="M283" s="309"/>
      <c r="N283" s="309"/>
      <c r="O283" s="309"/>
      <c r="P283" s="309"/>
      <c r="Q283" s="309"/>
      <c r="R283" s="309"/>
      <c r="S283" s="309"/>
      <c r="T283" s="309"/>
      <c r="U283" s="309"/>
      <c r="V283" s="309"/>
      <c r="W283" s="309"/>
      <c r="X283" s="309"/>
      <c r="Y283" s="309"/>
      <c r="Z283" s="309"/>
    </row>
    <row r="284">
      <c r="A284" s="194"/>
      <c r="B284" s="309"/>
      <c r="C284" s="194"/>
      <c r="D284" s="309"/>
      <c r="E284" s="309"/>
      <c r="F284" s="309"/>
      <c r="G284" s="309"/>
      <c r="H284" s="309"/>
      <c r="I284" s="309"/>
      <c r="J284" s="309"/>
      <c r="K284" s="309"/>
      <c r="L284" s="309"/>
      <c r="M284" s="309"/>
      <c r="N284" s="309"/>
      <c r="O284" s="309"/>
      <c r="P284" s="309"/>
      <c r="Q284" s="309"/>
      <c r="R284" s="309"/>
      <c r="S284" s="309"/>
      <c r="T284" s="309"/>
      <c r="U284" s="309"/>
      <c r="V284" s="309"/>
      <c r="W284" s="309"/>
      <c r="X284" s="309"/>
      <c r="Y284" s="309"/>
      <c r="Z284" s="309"/>
    </row>
    <row r="285">
      <c r="A285" s="194"/>
      <c r="B285" s="309"/>
      <c r="C285" s="194"/>
      <c r="D285" s="309"/>
      <c r="E285" s="309"/>
      <c r="F285" s="309"/>
      <c r="G285" s="309"/>
      <c r="H285" s="309"/>
      <c r="I285" s="309"/>
      <c r="J285" s="309"/>
      <c r="K285" s="309"/>
      <c r="L285" s="309"/>
      <c r="M285" s="309"/>
      <c r="N285" s="309"/>
      <c r="O285" s="309"/>
      <c r="P285" s="309"/>
      <c r="Q285" s="309"/>
      <c r="R285" s="309"/>
      <c r="S285" s="309"/>
      <c r="T285" s="309"/>
      <c r="U285" s="309"/>
      <c r="V285" s="309"/>
      <c r="W285" s="309"/>
      <c r="X285" s="309"/>
      <c r="Y285" s="309"/>
      <c r="Z285" s="309"/>
    </row>
    <row r="286">
      <c r="A286" s="194"/>
      <c r="B286" s="309"/>
      <c r="C286" s="194"/>
      <c r="D286" s="309"/>
      <c r="E286" s="309"/>
      <c r="F286" s="309"/>
      <c r="G286" s="309"/>
      <c r="H286" s="309"/>
      <c r="I286" s="309"/>
      <c r="J286" s="309"/>
      <c r="K286" s="309"/>
      <c r="L286" s="309"/>
      <c r="M286" s="309"/>
      <c r="N286" s="309"/>
      <c r="O286" s="309"/>
      <c r="P286" s="309"/>
      <c r="Q286" s="309"/>
      <c r="R286" s="309"/>
      <c r="S286" s="309"/>
      <c r="T286" s="309"/>
      <c r="U286" s="309"/>
      <c r="V286" s="309"/>
      <c r="W286" s="309"/>
      <c r="X286" s="309"/>
      <c r="Y286" s="309"/>
      <c r="Z286" s="309"/>
    </row>
    <row r="287">
      <c r="A287" s="194"/>
      <c r="B287" s="309"/>
      <c r="C287" s="194"/>
      <c r="D287" s="309"/>
      <c r="E287" s="309"/>
      <c r="F287" s="309"/>
      <c r="G287" s="309"/>
      <c r="H287" s="309"/>
      <c r="I287" s="309"/>
      <c r="J287" s="309"/>
      <c r="K287" s="309"/>
      <c r="L287" s="309"/>
      <c r="M287" s="309"/>
      <c r="N287" s="309"/>
      <c r="O287" s="309"/>
      <c r="P287" s="309"/>
      <c r="Q287" s="309"/>
      <c r="R287" s="309"/>
      <c r="S287" s="309"/>
      <c r="T287" s="309"/>
      <c r="U287" s="309"/>
      <c r="V287" s="309"/>
      <c r="W287" s="309"/>
      <c r="X287" s="309"/>
      <c r="Y287" s="309"/>
      <c r="Z287" s="309"/>
    </row>
    <row r="288">
      <c r="A288" s="194"/>
      <c r="B288" s="309"/>
      <c r="C288" s="194"/>
      <c r="D288" s="309"/>
      <c r="E288" s="309"/>
      <c r="F288" s="309"/>
      <c r="G288" s="309"/>
      <c r="H288" s="309"/>
      <c r="I288" s="309"/>
      <c r="J288" s="309"/>
      <c r="K288" s="309"/>
      <c r="L288" s="309"/>
      <c r="M288" s="309"/>
      <c r="N288" s="309"/>
      <c r="O288" s="309"/>
      <c r="P288" s="309"/>
      <c r="Q288" s="309"/>
      <c r="R288" s="309"/>
      <c r="S288" s="309"/>
      <c r="T288" s="309"/>
      <c r="U288" s="309"/>
      <c r="V288" s="309"/>
      <c r="W288" s="309"/>
      <c r="X288" s="309"/>
      <c r="Y288" s="309"/>
      <c r="Z288" s="309"/>
    </row>
    <row r="289">
      <c r="A289" s="194"/>
      <c r="B289" s="309"/>
      <c r="C289" s="194"/>
      <c r="D289" s="309"/>
      <c r="E289" s="309"/>
      <c r="F289" s="309"/>
      <c r="G289" s="309"/>
      <c r="H289" s="309"/>
      <c r="I289" s="309"/>
      <c r="J289" s="309"/>
      <c r="K289" s="309"/>
      <c r="L289" s="309"/>
      <c r="M289" s="309"/>
      <c r="N289" s="309"/>
      <c r="O289" s="309"/>
      <c r="P289" s="309"/>
      <c r="Q289" s="309"/>
      <c r="R289" s="309"/>
      <c r="S289" s="309"/>
      <c r="T289" s="309"/>
      <c r="U289" s="309"/>
      <c r="V289" s="309"/>
      <c r="W289" s="309"/>
      <c r="X289" s="309"/>
      <c r="Y289" s="309"/>
      <c r="Z289" s="309"/>
    </row>
    <row r="290">
      <c r="A290" s="194"/>
      <c r="B290" s="309"/>
      <c r="C290" s="194"/>
      <c r="D290" s="309"/>
      <c r="E290" s="309"/>
      <c r="F290" s="309"/>
      <c r="G290" s="309"/>
      <c r="H290" s="309"/>
      <c r="I290" s="309"/>
      <c r="J290" s="309"/>
      <c r="K290" s="309"/>
      <c r="L290" s="309"/>
      <c r="M290" s="309"/>
      <c r="N290" s="309"/>
      <c r="O290" s="309"/>
      <c r="P290" s="309"/>
      <c r="Q290" s="309"/>
      <c r="R290" s="309"/>
      <c r="S290" s="309"/>
      <c r="T290" s="309"/>
      <c r="U290" s="309"/>
      <c r="V290" s="309"/>
      <c r="W290" s="309"/>
      <c r="X290" s="309"/>
      <c r="Y290" s="309"/>
      <c r="Z290" s="309"/>
    </row>
    <row r="291">
      <c r="A291" s="194"/>
      <c r="B291" s="309"/>
      <c r="C291" s="194"/>
      <c r="D291" s="309"/>
      <c r="E291" s="309"/>
      <c r="F291" s="309"/>
      <c r="G291" s="309"/>
      <c r="H291" s="309"/>
      <c r="I291" s="309"/>
      <c r="J291" s="309"/>
      <c r="K291" s="309"/>
      <c r="L291" s="309"/>
      <c r="M291" s="309"/>
      <c r="N291" s="309"/>
      <c r="O291" s="309"/>
      <c r="P291" s="309"/>
      <c r="Q291" s="309"/>
      <c r="R291" s="309"/>
      <c r="S291" s="309"/>
      <c r="T291" s="309"/>
      <c r="U291" s="309"/>
      <c r="V291" s="309"/>
      <c r="W291" s="309"/>
      <c r="X291" s="309"/>
      <c r="Y291" s="309"/>
      <c r="Z291" s="309"/>
    </row>
    <row r="292">
      <c r="A292" s="194"/>
      <c r="B292" s="309"/>
      <c r="C292" s="194"/>
      <c r="D292" s="309"/>
      <c r="E292" s="309"/>
      <c r="F292" s="309"/>
      <c r="G292" s="309"/>
      <c r="H292" s="309"/>
      <c r="I292" s="309"/>
      <c r="J292" s="309"/>
      <c r="K292" s="309"/>
      <c r="L292" s="309"/>
      <c r="M292" s="309"/>
      <c r="N292" s="309"/>
      <c r="O292" s="309"/>
      <c r="P292" s="309"/>
      <c r="Q292" s="309"/>
      <c r="R292" s="309"/>
      <c r="S292" s="309"/>
      <c r="T292" s="309"/>
      <c r="U292" s="309"/>
      <c r="V292" s="309"/>
      <c r="W292" s="309"/>
      <c r="X292" s="309"/>
      <c r="Y292" s="309"/>
      <c r="Z292" s="309"/>
    </row>
    <row r="293">
      <c r="A293" s="194"/>
      <c r="B293" s="309"/>
      <c r="C293" s="194"/>
      <c r="D293" s="309"/>
      <c r="E293" s="309"/>
      <c r="F293" s="309"/>
      <c r="G293" s="309"/>
      <c r="H293" s="309"/>
      <c r="I293" s="309"/>
      <c r="J293" s="309"/>
      <c r="K293" s="309"/>
      <c r="L293" s="309"/>
      <c r="M293" s="309"/>
      <c r="N293" s="309"/>
      <c r="O293" s="309"/>
      <c r="P293" s="309"/>
      <c r="Q293" s="309"/>
      <c r="R293" s="309"/>
      <c r="S293" s="309"/>
      <c r="T293" s="309"/>
      <c r="U293" s="309"/>
      <c r="V293" s="309"/>
      <c r="W293" s="309"/>
      <c r="X293" s="309"/>
      <c r="Y293" s="309"/>
      <c r="Z293" s="309"/>
    </row>
    <row r="294">
      <c r="A294" s="194"/>
      <c r="B294" s="309"/>
      <c r="C294" s="194"/>
      <c r="D294" s="309"/>
      <c r="E294" s="309"/>
      <c r="F294" s="309"/>
      <c r="G294" s="309"/>
      <c r="H294" s="309"/>
      <c r="I294" s="309"/>
      <c r="J294" s="309"/>
      <c r="K294" s="309"/>
      <c r="L294" s="309"/>
      <c r="M294" s="309"/>
      <c r="N294" s="309"/>
      <c r="O294" s="309"/>
      <c r="P294" s="309"/>
      <c r="Q294" s="309"/>
      <c r="R294" s="309"/>
      <c r="S294" s="309"/>
      <c r="T294" s="309"/>
      <c r="U294" s="309"/>
      <c r="V294" s="309"/>
      <c r="W294" s="309"/>
      <c r="X294" s="309"/>
      <c r="Y294" s="309"/>
      <c r="Z294" s="309"/>
    </row>
    <row r="295">
      <c r="A295" s="194"/>
      <c r="B295" s="309"/>
      <c r="C295" s="194"/>
      <c r="D295" s="309"/>
      <c r="E295" s="309"/>
      <c r="F295" s="309"/>
      <c r="G295" s="309"/>
      <c r="H295" s="309"/>
      <c r="I295" s="309"/>
      <c r="J295" s="309"/>
      <c r="K295" s="309"/>
      <c r="L295" s="309"/>
      <c r="M295" s="309"/>
      <c r="N295" s="309"/>
      <c r="O295" s="309"/>
      <c r="P295" s="309"/>
      <c r="Q295" s="309"/>
      <c r="R295" s="309"/>
      <c r="S295" s="309"/>
      <c r="T295" s="309"/>
      <c r="U295" s="309"/>
      <c r="V295" s="309"/>
      <c r="W295" s="309"/>
      <c r="X295" s="309"/>
      <c r="Y295" s="309"/>
      <c r="Z295" s="309"/>
    </row>
    <row r="296">
      <c r="A296" s="194"/>
      <c r="B296" s="309"/>
      <c r="C296" s="194"/>
      <c r="D296" s="309"/>
      <c r="E296" s="309"/>
      <c r="F296" s="309"/>
      <c r="G296" s="309"/>
      <c r="H296" s="309"/>
      <c r="I296" s="309"/>
      <c r="J296" s="309"/>
      <c r="K296" s="309"/>
      <c r="L296" s="309"/>
      <c r="M296" s="309"/>
      <c r="N296" s="309"/>
      <c r="O296" s="309"/>
      <c r="P296" s="309"/>
      <c r="Q296" s="309"/>
      <c r="R296" s="309"/>
      <c r="S296" s="309"/>
      <c r="T296" s="309"/>
      <c r="U296" s="309"/>
      <c r="V296" s="309"/>
      <c r="W296" s="309"/>
      <c r="X296" s="309"/>
      <c r="Y296" s="309"/>
      <c r="Z296" s="309"/>
    </row>
    <row r="297">
      <c r="A297" s="194"/>
      <c r="B297" s="309"/>
      <c r="C297" s="194"/>
      <c r="D297" s="309"/>
      <c r="E297" s="309"/>
      <c r="F297" s="309"/>
      <c r="G297" s="309"/>
      <c r="H297" s="309"/>
      <c r="I297" s="309"/>
      <c r="J297" s="309"/>
      <c r="K297" s="309"/>
      <c r="L297" s="309"/>
      <c r="M297" s="309"/>
      <c r="N297" s="309"/>
      <c r="O297" s="309"/>
      <c r="P297" s="309"/>
      <c r="Q297" s="309"/>
      <c r="R297" s="309"/>
      <c r="S297" s="309"/>
      <c r="T297" s="309"/>
      <c r="U297" s="309"/>
      <c r="V297" s="309"/>
      <c r="W297" s="309"/>
      <c r="X297" s="309"/>
      <c r="Y297" s="309"/>
      <c r="Z297" s="309"/>
    </row>
    <row r="298">
      <c r="A298" s="194"/>
      <c r="B298" s="309"/>
      <c r="C298" s="194"/>
      <c r="D298" s="309"/>
      <c r="E298" s="309"/>
      <c r="F298" s="309"/>
      <c r="G298" s="309"/>
      <c r="H298" s="309"/>
      <c r="I298" s="309"/>
      <c r="J298" s="309"/>
      <c r="K298" s="309"/>
      <c r="L298" s="309"/>
      <c r="M298" s="309"/>
      <c r="N298" s="309"/>
      <c r="O298" s="309"/>
      <c r="P298" s="309"/>
      <c r="Q298" s="309"/>
      <c r="R298" s="309"/>
      <c r="S298" s="309"/>
      <c r="T298" s="309"/>
      <c r="U298" s="309"/>
      <c r="V298" s="309"/>
      <c r="W298" s="309"/>
      <c r="X298" s="309"/>
      <c r="Y298" s="309"/>
      <c r="Z298" s="309"/>
    </row>
    <row r="299">
      <c r="A299" s="194"/>
      <c r="B299" s="309"/>
      <c r="C299" s="194"/>
      <c r="D299" s="309"/>
      <c r="E299" s="309"/>
      <c r="F299" s="309"/>
      <c r="G299" s="309"/>
      <c r="H299" s="309"/>
      <c r="I299" s="309"/>
      <c r="J299" s="309"/>
      <c r="K299" s="309"/>
      <c r="L299" s="309"/>
      <c r="M299" s="309"/>
      <c r="N299" s="309"/>
      <c r="O299" s="309"/>
      <c r="P299" s="309"/>
      <c r="Q299" s="309"/>
      <c r="R299" s="309"/>
      <c r="S299" s="309"/>
      <c r="T299" s="309"/>
      <c r="U299" s="309"/>
      <c r="V299" s="309"/>
      <c r="W299" s="309"/>
      <c r="X299" s="309"/>
      <c r="Y299" s="309"/>
      <c r="Z299" s="309"/>
    </row>
    <row r="300">
      <c r="A300" s="194"/>
      <c r="B300" s="309"/>
      <c r="C300" s="194"/>
      <c r="D300" s="309"/>
      <c r="E300" s="309"/>
      <c r="F300" s="309"/>
      <c r="G300" s="309"/>
      <c r="H300" s="309"/>
      <c r="I300" s="309"/>
      <c r="J300" s="309"/>
      <c r="K300" s="309"/>
      <c r="L300" s="309"/>
      <c r="M300" s="309"/>
      <c r="N300" s="309"/>
      <c r="O300" s="309"/>
      <c r="P300" s="309"/>
      <c r="Q300" s="309"/>
      <c r="R300" s="309"/>
      <c r="S300" s="309"/>
      <c r="T300" s="309"/>
      <c r="U300" s="309"/>
      <c r="V300" s="309"/>
      <c r="W300" s="309"/>
      <c r="X300" s="309"/>
      <c r="Y300" s="309"/>
      <c r="Z300" s="309"/>
    </row>
    <row r="301">
      <c r="A301" s="194"/>
      <c r="B301" s="309"/>
      <c r="C301" s="194"/>
      <c r="D301" s="309"/>
      <c r="E301" s="309"/>
      <c r="F301" s="309"/>
      <c r="G301" s="309"/>
      <c r="H301" s="309"/>
      <c r="I301" s="309"/>
      <c r="J301" s="309"/>
      <c r="K301" s="309"/>
      <c r="L301" s="309"/>
      <c r="M301" s="309"/>
      <c r="N301" s="309"/>
      <c r="O301" s="309"/>
      <c r="P301" s="309"/>
      <c r="Q301" s="309"/>
      <c r="R301" s="309"/>
      <c r="S301" s="309"/>
      <c r="T301" s="309"/>
      <c r="U301" s="309"/>
      <c r="V301" s="309"/>
      <c r="W301" s="309"/>
      <c r="X301" s="309"/>
      <c r="Y301" s="309"/>
      <c r="Z301" s="309"/>
    </row>
    <row r="302">
      <c r="A302" s="194"/>
      <c r="B302" s="309"/>
      <c r="C302" s="194"/>
      <c r="D302" s="309"/>
      <c r="E302" s="309"/>
      <c r="F302" s="309"/>
      <c r="G302" s="309"/>
      <c r="H302" s="309"/>
      <c r="I302" s="309"/>
      <c r="J302" s="309"/>
      <c r="K302" s="309"/>
      <c r="L302" s="309"/>
      <c r="M302" s="309"/>
      <c r="N302" s="309"/>
      <c r="O302" s="309"/>
      <c r="P302" s="309"/>
      <c r="Q302" s="309"/>
      <c r="R302" s="309"/>
      <c r="S302" s="309"/>
      <c r="T302" s="309"/>
      <c r="U302" s="309"/>
      <c r="V302" s="309"/>
      <c r="W302" s="309"/>
      <c r="X302" s="309"/>
      <c r="Y302" s="309"/>
      <c r="Z302" s="309"/>
    </row>
    <row r="303">
      <c r="A303" s="194"/>
      <c r="B303" s="309"/>
      <c r="C303" s="194"/>
      <c r="D303" s="309"/>
      <c r="E303" s="309"/>
      <c r="F303" s="309"/>
      <c r="G303" s="309"/>
      <c r="H303" s="309"/>
      <c r="I303" s="309"/>
      <c r="J303" s="309"/>
      <c r="K303" s="309"/>
      <c r="L303" s="309"/>
      <c r="M303" s="309"/>
      <c r="N303" s="309"/>
      <c r="O303" s="309"/>
      <c r="P303" s="309"/>
      <c r="Q303" s="309"/>
      <c r="R303" s="309"/>
      <c r="S303" s="309"/>
      <c r="T303" s="309"/>
      <c r="U303" s="309"/>
      <c r="V303" s="309"/>
      <c r="W303" s="309"/>
      <c r="X303" s="309"/>
      <c r="Y303" s="309"/>
      <c r="Z303" s="309"/>
    </row>
    <row r="304">
      <c r="A304" s="194"/>
      <c r="B304" s="309"/>
      <c r="C304" s="194"/>
      <c r="D304" s="309"/>
      <c r="E304" s="309"/>
      <c r="F304" s="309"/>
      <c r="G304" s="309"/>
      <c r="H304" s="309"/>
      <c r="I304" s="309"/>
      <c r="J304" s="309"/>
      <c r="K304" s="309"/>
      <c r="L304" s="309"/>
      <c r="M304" s="309"/>
      <c r="N304" s="309"/>
      <c r="O304" s="309"/>
      <c r="P304" s="309"/>
      <c r="Q304" s="309"/>
      <c r="R304" s="309"/>
      <c r="S304" s="309"/>
      <c r="T304" s="309"/>
      <c r="U304" s="309"/>
      <c r="V304" s="309"/>
      <c r="W304" s="309"/>
      <c r="X304" s="309"/>
      <c r="Y304" s="309"/>
      <c r="Z304" s="309"/>
    </row>
    <row r="305">
      <c r="A305" s="194"/>
      <c r="B305" s="309"/>
      <c r="C305" s="194"/>
      <c r="D305" s="309"/>
      <c r="E305" s="309"/>
      <c r="F305" s="309"/>
      <c r="G305" s="309"/>
      <c r="H305" s="309"/>
      <c r="I305" s="309"/>
      <c r="J305" s="309"/>
      <c r="K305" s="309"/>
      <c r="L305" s="309"/>
      <c r="M305" s="309"/>
      <c r="N305" s="309"/>
      <c r="O305" s="309"/>
      <c r="P305" s="309"/>
      <c r="Q305" s="309"/>
      <c r="R305" s="309"/>
      <c r="S305" s="309"/>
      <c r="T305" s="309"/>
      <c r="U305" s="309"/>
      <c r="V305" s="309"/>
      <c r="W305" s="309"/>
      <c r="X305" s="309"/>
      <c r="Y305" s="309"/>
      <c r="Z305" s="309"/>
    </row>
    <row r="306">
      <c r="A306" s="194"/>
      <c r="B306" s="309"/>
      <c r="C306" s="194"/>
      <c r="D306" s="309"/>
      <c r="E306" s="309"/>
      <c r="F306" s="309"/>
      <c r="G306" s="309"/>
      <c r="H306" s="309"/>
      <c r="I306" s="309"/>
      <c r="J306" s="309"/>
      <c r="K306" s="309"/>
      <c r="L306" s="309"/>
      <c r="M306" s="309"/>
      <c r="N306" s="309"/>
      <c r="O306" s="309"/>
      <c r="P306" s="309"/>
      <c r="Q306" s="309"/>
      <c r="R306" s="309"/>
      <c r="S306" s="309"/>
      <c r="T306" s="309"/>
      <c r="U306" s="309"/>
      <c r="V306" s="309"/>
      <c r="W306" s="309"/>
      <c r="X306" s="309"/>
      <c r="Y306" s="309"/>
      <c r="Z306" s="309"/>
    </row>
    <row r="307">
      <c r="A307" s="194"/>
      <c r="B307" s="309"/>
      <c r="C307" s="194"/>
      <c r="D307" s="309"/>
      <c r="E307" s="309"/>
      <c r="F307" s="309"/>
      <c r="G307" s="309"/>
      <c r="H307" s="309"/>
      <c r="I307" s="309"/>
      <c r="J307" s="309"/>
      <c r="K307" s="309"/>
      <c r="L307" s="309"/>
      <c r="M307" s="309"/>
      <c r="N307" s="309"/>
      <c r="O307" s="309"/>
      <c r="P307" s="309"/>
      <c r="Q307" s="309"/>
      <c r="R307" s="309"/>
      <c r="S307" s="309"/>
      <c r="T307" s="309"/>
      <c r="U307" s="309"/>
      <c r="V307" s="309"/>
      <c r="W307" s="309"/>
      <c r="X307" s="309"/>
      <c r="Y307" s="309"/>
      <c r="Z307" s="309"/>
    </row>
    <row r="308">
      <c r="A308" s="194"/>
      <c r="B308" s="309"/>
      <c r="C308" s="194"/>
      <c r="D308" s="309"/>
      <c r="E308" s="309"/>
      <c r="F308" s="309"/>
      <c r="G308" s="309"/>
      <c r="H308" s="309"/>
      <c r="I308" s="309"/>
      <c r="J308" s="309"/>
      <c r="K308" s="309"/>
      <c r="L308" s="309"/>
      <c r="M308" s="309"/>
      <c r="N308" s="309"/>
      <c r="O308" s="309"/>
      <c r="P308" s="309"/>
      <c r="Q308" s="309"/>
      <c r="R308" s="309"/>
      <c r="S308" s="309"/>
      <c r="T308" s="309"/>
      <c r="U308" s="309"/>
      <c r="V308" s="309"/>
      <c r="W308" s="309"/>
      <c r="X308" s="309"/>
      <c r="Y308" s="309"/>
      <c r="Z308" s="309"/>
    </row>
    <row r="309">
      <c r="A309" s="194"/>
      <c r="B309" s="309"/>
      <c r="C309" s="194"/>
      <c r="D309" s="309"/>
      <c r="E309" s="309"/>
      <c r="F309" s="309"/>
      <c r="G309" s="309"/>
      <c r="H309" s="309"/>
      <c r="I309" s="309"/>
      <c r="J309" s="309"/>
      <c r="K309" s="309"/>
      <c r="L309" s="309"/>
      <c r="M309" s="309"/>
      <c r="N309" s="309"/>
      <c r="O309" s="309"/>
      <c r="P309" s="309"/>
      <c r="Q309" s="309"/>
      <c r="R309" s="309"/>
      <c r="S309" s="309"/>
      <c r="T309" s="309"/>
      <c r="U309" s="309"/>
      <c r="V309" s="309"/>
      <c r="W309" s="309"/>
      <c r="X309" s="309"/>
      <c r="Y309" s="309"/>
      <c r="Z309" s="309"/>
    </row>
    <row r="310">
      <c r="A310" s="194"/>
      <c r="B310" s="309"/>
      <c r="C310" s="194"/>
      <c r="D310" s="309"/>
      <c r="E310" s="309"/>
      <c r="F310" s="309"/>
      <c r="G310" s="309"/>
      <c r="H310" s="309"/>
      <c r="I310" s="309"/>
      <c r="J310" s="309"/>
      <c r="K310" s="309"/>
      <c r="L310" s="309"/>
      <c r="M310" s="309"/>
      <c r="N310" s="309"/>
      <c r="O310" s="309"/>
      <c r="P310" s="309"/>
      <c r="Q310" s="309"/>
      <c r="R310" s="309"/>
      <c r="S310" s="309"/>
      <c r="T310" s="309"/>
      <c r="U310" s="309"/>
      <c r="V310" s="309"/>
      <c r="W310" s="309"/>
      <c r="X310" s="309"/>
      <c r="Y310" s="309"/>
      <c r="Z310" s="309"/>
    </row>
    <row r="311">
      <c r="A311" s="194"/>
      <c r="B311" s="309"/>
      <c r="C311" s="194"/>
      <c r="D311" s="309"/>
      <c r="E311" s="309"/>
      <c r="F311" s="309"/>
      <c r="G311" s="309"/>
      <c r="H311" s="309"/>
      <c r="I311" s="309"/>
      <c r="J311" s="309"/>
      <c r="K311" s="309"/>
      <c r="L311" s="309"/>
      <c r="M311" s="309"/>
      <c r="N311" s="309"/>
      <c r="O311" s="309"/>
      <c r="P311" s="309"/>
      <c r="Q311" s="309"/>
      <c r="R311" s="309"/>
      <c r="S311" s="309"/>
      <c r="T311" s="309"/>
      <c r="U311" s="309"/>
      <c r="V311" s="309"/>
      <c r="W311" s="309"/>
      <c r="X311" s="309"/>
      <c r="Y311" s="309"/>
      <c r="Z311" s="309"/>
    </row>
    <row r="312">
      <c r="A312" s="194"/>
      <c r="B312" s="309"/>
      <c r="C312" s="194"/>
      <c r="D312" s="309"/>
      <c r="E312" s="309"/>
      <c r="F312" s="309"/>
      <c r="G312" s="309"/>
      <c r="H312" s="309"/>
      <c r="I312" s="309"/>
      <c r="J312" s="309"/>
      <c r="K312" s="309"/>
      <c r="L312" s="309"/>
      <c r="M312" s="309"/>
      <c r="N312" s="309"/>
      <c r="O312" s="309"/>
      <c r="P312" s="309"/>
      <c r="Q312" s="309"/>
      <c r="R312" s="309"/>
      <c r="S312" s="309"/>
      <c r="T312" s="309"/>
      <c r="U312" s="309"/>
      <c r="V312" s="309"/>
      <c r="W312" s="309"/>
      <c r="X312" s="309"/>
      <c r="Y312" s="309"/>
      <c r="Z312" s="309"/>
    </row>
    <row r="313">
      <c r="A313" s="194"/>
      <c r="B313" s="309"/>
      <c r="C313" s="194"/>
      <c r="D313" s="309"/>
      <c r="E313" s="309"/>
      <c r="F313" s="309"/>
      <c r="G313" s="309"/>
      <c r="H313" s="309"/>
      <c r="I313" s="309"/>
      <c r="J313" s="309"/>
      <c r="K313" s="309"/>
      <c r="L313" s="309"/>
      <c r="M313" s="309"/>
      <c r="N313" s="309"/>
      <c r="O313" s="309"/>
      <c r="P313" s="309"/>
      <c r="Q313" s="309"/>
      <c r="R313" s="309"/>
      <c r="S313" s="309"/>
      <c r="T313" s="309"/>
      <c r="U313" s="309"/>
      <c r="V313" s="309"/>
      <c r="W313" s="309"/>
      <c r="X313" s="309"/>
      <c r="Y313" s="309"/>
      <c r="Z313" s="309"/>
    </row>
    <row r="314">
      <c r="A314" s="194"/>
      <c r="B314" s="309"/>
      <c r="C314" s="194"/>
      <c r="D314" s="309"/>
      <c r="E314" s="309"/>
      <c r="F314" s="309"/>
      <c r="G314" s="309"/>
      <c r="H314" s="309"/>
      <c r="I314" s="309"/>
      <c r="J314" s="309"/>
      <c r="K314" s="309"/>
      <c r="L314" s="309"/>
      <c r="M314" s="309"/>
      <c r="N314" s="309"/>
      <c r="O314" s="309"/>
      <c r="P314" s="309"/>
      <c r="Q314" s="309"/>
      <c r="R314" s="309"/>
      <c r="S314" s="309"/>
      <c r="T314" s="309"/>
      <c r="U314" s="309"/>
      <c r="V314" s="309"/>
      <c r="W314" s="309"/>
      <c r="X314" s="309"/>
      <c r="Y314" s="309"/>
      <c r="Z314" s="309"/>
    </row>
    <row r="315">
      <c r="A315" s="194"/>
      <c r="B315" s="309"/>
      <c r="C315" s="194"/>
      <c r="D315" s="309"/>
      <c r="E315" s="309"/>
      <c r="F315" s="309"/>
      <c r="G315" s="309"/>
      <c r="H315" s="309"/>
      <c r="I315" s="309"/>
      <c r="J315" s="309"/>
      <c r="K315" s="309"/>
      <c r="L315" s="309"/>
      <c r="M315" s="309"/>
      <c r="N315" s="309"/>
      <c r="O315" s="309"/>
      <c r="P315" s="309"/>
      <c r="Q315" s="309"/>
      <c r="R315" s="309"/>
      <c r="S315" s="309"/>
      <c r="T315" s="309"/>
      <c r="U315" s="309"/>
      <c r="V315" s="309"/>
      <c r="W315" s="309"/>
      <c r="X315" s="309"/>
      <c r="Y315" s="309"/>
      <c r="Z315" s="309"/>
    </row>
    <row r="316">
      <c r="A316" s="194"/>
      <c r="B316" s="309"/>
      <c r="C316" s="194"/>
      <c r="D316" s="309"/>
      <c r="E316" s="309"/>
      <c r="F316" s="309"/>
      <c r="G316" s="309"/>
      <c r="H316" s="309"/>
      <c r="I316" s="309"/>
      <c r="J316" s="309"/>
      <c r="K316" s="309"/>
      <c r="L316" s="309"/>
      <c r="M316" s="309"/>
      <c r="N316" s="309"/>
      <c r="O316" s="309"/>
      <c r="P316" s="309"/>
      <c r="Q316" s="309"/>
      <c r="R316" s="309"/>
      <c r="S316" s="309"/>
      <c r="T316" s="309"/>
      <c r="U316" s="309"/>
      <c r="V316" s="309"/>
      <c r="W316" s="309"/>
      <c r="X316" s="309"/>
      <c r="Y316" s="309"/>
      <c r="Z316" s="309"/>
    </row>
    <row r="317">
      <c r="A317" s="194"/>
      <c r="B317" s="309"/>
      <c r="C317" s="194"/>
      <c r="D317" s="309"/>
      <c r="E317" s="309"/>
      <c r="F317" s="309"/>
      <c r="G317" s="309"/>
      <c r="H317" s="309"/>
      <c r="I317" s="309"/>
      <c r="J317" s="309"/>
      <c r="K317" s="309"/>
      <c r="L317" s="309"/>
      <c r="M317" s="309"/>
      <c r="N317" s="309"/>
      <c r="O317" s="309"/>
      <c r="P317" s="309"/>
      <c r="Q317" s="309"/>
      <c r="R317" s="309"/>
      <c r="S317" s="309"/>
      <c r="T317" s="309"/>
      <c r="U317" s="309"/>
      <c r="V317" s="309"/>
      <c r="W317" s="309"/>
      <c r="X317" s="309"/>
      <c r="Y317" s="309"/>
      <c r="Z317" s="309"/>
    </row>
    <row r="318">
      <c r="A318" s="194"/>
      <c r="B318" s="309"/>
      <c r="C318" s="194"/>
      <c r="D318" s="309"/>
      <c r="E318" s="309"/>
      <c r="F318" s="309"/>
      <c r="G318" s="309"/>
      <c r="H318" s="309"/>
      <c r="I318" s="309"/>
      <c r="J318" s="309"/>
      <c r="K318" s="309"/>
      <c r="L318" s="309"/>
      <c r="M318" s="309"/>
      <c r="N318" s="309"/>
      <c r="O318" s="309"/>
      <c r="P318" s="309"/>
      <c r="Q318" s="309"/>
      <c r="R318" s="309"/>
      <c r="S318" s="309"/>
      <c r="T318" s="309"/>
      <c r="U318" s="309"/>
      <c r="V318" s="309"/>
      <c r="W318" s="309"/>
      <c r="X318" s="309"/>
      <c r="Y318" s="309"/>
      <c r="Z318" s="309"/>
    </row>
    <row r="319">
      <c r="A319" s="194"/>
      <c r="B319" s="309"/>
      <c r="C319" s="194"/>
      <c r="D319" s="309"/>
      <c r="E319" s="309"/>
      <c r="F319" s="309"/>
      <c r="G319" s="309"/>
      <c r="H319" s="309"/>
      <c r="I319" s="309"/>
      <c r="J319" s="309"/>
      <c r="K319" s="309"/>
      <c r="L319" s="309"/>
      <c r="M319" s="309"/>
      <c r="N319" s="309"/>
      <c r="O319" s="309"/>
      <c r="P319" s="309"/>
      <c r="Q319" s="309"/>
      <c r="R319" s="309"/>
      <c r="S319" s="309"/>
      <c r="T319" s="309"/>
      <c r="U319" s="309"/>
      <c r="V319" s="309"/>
      <c r="W319" s="309"/>
      <c r="X319" s="309"/>
      <c r="Y319" s="309"/>
      <c r="Z319" s="309"/>
    </row>
    <row r="320">
      <c r="A320" s="194"/>
      <c r="B320" s="309"/>
      <c r="C320" s="194"/>
      <c r="D320" s="309"/>
      <c r="E320" s="309"/>
      <c r="F320" s="309"/>
      <c r="G320" s="309"/>
      <c r="H320" s="309"/>
      <c r="I320" s="309"/>
      <c r="J320" s="309"/>
      <c r="K320" s="309"/>
      <c r="L320" s="309"/>
      <c r="M320" s="309"/>
      <c r="N320" s="309"/>
      <c r="O320" s="309"/>
      <c r="P320" s="309"/>
      <c r="Q320" s="309"/>
      <c r="R320" s="309"/>
      <c r="S320" s="309"/>
      <c r="T320" s="309"/>
      <c r="U320" s="309"/>
      <c r="V320" s="309"/>
      <c r="W320" s="309"/>
      <c r="X320" s="309"/>
      <c r="Y320" s="309"/>
      <c r="Z320" s="309"/>
    </row>
    <row r="321">
      <c r="A321" s="194"/>
      <c r="B321" s="309"/>
      <c r="C321" s="194"/>
      <c r="D321" s="309"/>
      <c r="E321" s="309"/>
      <c r="F321" s="309"/>
      <c r="G321" s="309"/>
      <c r="H321" s="309"/>
      <c r="I321" s="309"/>
      <c r="J321" s="309"/>
      <c r="K321" s="309"/>
      <c r="L321" s="309"/>
      <c r="M321" s="309"/>
      <c r="N321" s="309"/>
      <c r="O321" s="309"/>
      <c r="P321" s="309"/>
      <c r="Q321" s="309"/>
      <c r="R321" s="309"/>
      <c r="S321" s="309"/>
      <c r="T321" s="309"/>
      <c r="U321" s="309"/>
      <c r="V321" s="309"/>
      <c r="W321" s="309"/>
      <c r="X321" s="309"/>
      <c r="Y321" s="309"/>
      <c r="Z321" s="309"/>
    </row>
    <row r="322">
      <c r="A322" s="194"/>
      <c r="B322" s="309"/>
      <c r="C322" s="194"/>
      <c r="D322" s="309"/>
      <c r="E322" s="309"/>
      <c r="F322" s="309"/>
      <c r="G322" s="309"/>
      <c r="H322" s="309"/>
      <c r="I322" s="309"/>
      <c r="J322" s="309"/>
      <c r="K322" s="309"/>
      <c r="L322" s="309"/>
      <c r="M322" s="309"/>
      <c r="N322" s="309"/>
      <c r="O322" s="309"/>
      <c r="P322" s="309"/>
      <c r="Q322" s="309"/>
      <c r="R322" s="309"/>
      <c r="S322" s="309"/>
      <c r="T322" s="309"/>
      <c r="U322" s="309"/>
      <c r="V322" s="309"/>
      <c r="W322" s="309"/>
      <c r="X322" s="309"/>
      <c r="Y322" s="309"/>
      <c r="Z322" s="309"/>
    </row>
    <row r="323">
      <c r="A323" s="194"/>
      <c r="B323" s="309"/>
      <c r="C323" s="194"/>
      <c r="D323" s="309"/>
      <c r="E323" s="309"/>
      <c r="F323" s="309"/>
      <c r="G323" s="309"/>
      <c r="H323" s="309"/>
      <c r="I323" s="309"/>
      <c r="J323" s="309"/>
      <c r="K323" s="309"/>
      <c r="L323" s="309"/>
      <c r="M323" s="309"/>
      <c r="N323" s="309"/>
      <c r="O323" s="309"/>
      <c r="P323" s="309"/>
      <c r="Q323" s="309"/>
      <c r="R323" s="309"/>
      <c r="S323" s="309"/>
      <c r="T323" s="309"/>
      <c r="U323" s="309"/>
      <c r="V323" s="309"/>
      <c r="W323" s="309"/>
      <c r="X323" s="309"/>
      <c r="Y323" s="309"/>
      <c r="Z323" s="309"/>
    </row>
    <row r="324">
      <c r="A324" s="194"/>
      <c r="B324" s="309"/>
      <c r="C324" s="194"/>
      <c r="D324" s="309"/>
      <c r="E324" s="309"/>
      <c r="F324" s="309"/>
      <c r="G324" s="309"/>
      <c r="H324" s="309"/>
      <c r="I324" s="309"/>
      <c r="J324" s="309"/>
      <c r="K324" s="309"/>
      <c r="L324" s="309"/>
      <c r="M324" s="309"/>
      <c r="N324" s="309"/>
      <c r="O324" s="309"/>
      <c r="P324" s="309"/>
      <c r="Q324" s="309"/>
      <c r="R324" s="309"/>
      <c r="S324" s="309"/>
      <c r="T324" s="309"/>
      <c r="U324" s="309"/>
      <c r="V324" s="309"/>
      <c r="W324" s="309"/>
      <c r="X324" s="309"/>
      <c r="Y324" s="309"/>
      <c r="Z324" s="309"/>
    </row>
    <row r="325">
      <c r="A325" s="194"/>
      <c r="B325" s="309"/>
      <c r="C325" s="194"/>
      <c r="D325" s="309"/>
      <c r="E325" s="309"/>
      <c r="F325" s="309"/>
      <c r="G325" s="309"/>
      <c r="H325" s="309"/>
      <c r="I325" s="309"/>
      <c r="J325" s="309"/>
      <c r="K325" s="309"/>
      <c r="L325" s="309"/>
      <c r="M325" s="309"/>
      <c r="N325" s="309"/>
      <c r="O325" s="309"/>
      <c r="P325" s="309"/>
      <c r="Q325" s="309"/>
      <c r="R325" s="309"/>
      <c r="S325" s="309"/>
      <c r="T325" s="309"/>
      <c r="U325" s="309"/>
      <c r="V325" s="309"/>
      <c r="W325" s="309"/>
      <c r="X325" s="309"/>
      <c r="Y325" s="309"/>
      <c r="Z325" s="309"/>
    </row>
    <row r="326">
      <c r="A326" s="194"/>
      <c r="B326" s="309"/>
      <c r="C326" s="194"/>
      <c r="D326" s="309"/>
      <c r="E326" s="309"/>
      <c r="F326" s="309"/>
      <c r="G326" s="309"/>
      <c r="H326" s="309"/>
      <c r="I326" s="309"/>
      <c r="J326" s="309"/>
      <c r="K326" s="309"/>
      <c r="L326" s="309"/>
      <c r="M326" s="309"/>
      <c r="N326" s="309"/>
      <c r="O326" s="309"/>
      <c r="P326" s="309"/>
      <c r="Q326" s="309"/>
      <c r="R326" s="309"/>
      <c r="S326" s="309"/>
      <c r="T326" s="309"/>
      <c r="U326" s="309"/>
      <c r="V326" s="309"/>
      <c r="W326" s="309"/>
      <c r="X326" s="309"/>
      <c r="Y326" s="309"/>
      <c r="Z326" s="309"/>
    </row>
    <row r="327">
      <c r="A327" s="194"/>
      <c r="B327" s="309"/>
      <c r="C327" s="194"/>
      <c r="D327" s="309"/>
      <c r="E327" s="309"/>
      <c r="F327" s="309"/>
      <c r="G327" s="309"/>
      <c r="H327" s="309"/>
      <c r="I327" s="309"/>
      <c r="J327" s="309"/>
      <c r="K327" s="309"/>
      <c r="L327" s="309"/>
      <c r="M327" s="309"/>
      <c r="N327" s="309"/>
      <c r="O327" s="309"/>
      <c r="P327" s="309"/>
      <c r="Q327" s="309"/>
      <c r="R327" s="309"/>
      <c r="S327" s="309"/>
      <c r="T327" s="309"/>
      <c r="U327" s="309"/>
      <c r="V327" s="309"/>
      <c r="W327" s="309"/>
      <c r="X327" s="309"/>
      <c r="Y327" s="309"/>
      <c r="Z327" s="309"/>
    </row>
    <row r="328">
      <c r="A328" s="194"/>
      <c r="B328" s="309"/>
      <c r="C328" s="194"/>
      <c r="D328" s="309"/>
      <c r="E328" s="309"/>
      <c r="F328" s="309"/>
      <c r="G328" s="309"/>
      <c r="H328" s="309"/>
      <c r="I328" s="309"/>
      <c r="J328" s="309"/>
      <c r="K328" s="309"/>
      <c r="L328" s="309"/>
      <c r="M328" s="309"/>
      <c r="N328" s="309"/>
      <c r="O328" s="309"/>
      <c r="P328" s="309"/>
      <c r="Q328" s="309"/>
      <c r="R328" s="309"/>
      <c r="S328" s="309"/>
      <c r="T328" s="309"/>
      <c r="U328" s="309"/>
      <c r="V328" s="309"/>
      <c r="W328" s="309"/>
      <c r="X328" s="309"/>
      <c r="Y328" s="309"/>
      <c r="Z328" s="309"/>
    </row>
    <row r="329">
      <c r="A329" s="194"/>
      <c r="B329" s="309"/>
      <c r="C329" s="194"/>
      <c r="D329" s="309"/>
      <c r="E329" s="309"/>
      <c r="F329" s="309"/>
      <c r="G329" s="309"/>
      <c r="H329" s="309"/>
      <c r="I329" s="309"/>
      <c r="J329" s="309"/>
      <c r="K329" s="309"/>
      <c r="L329" s="309"/>
      <c r="M329" s="309"/>
      <c r="N329" s="309"/>
      <c r="O329" s="309"/>
      <c r="P329" s="309"/>
      <c r="Q329" s="309"/>
      <c r="R329" s="309"/>
      <c r="S329" s="309"/>
      <c r="T329" s="309"/>
      <c r="U329" s="309"/>
      <c r="V329" s="309"/>
      <c r="W329" s="309"/>
      <c r="X329" s="309"/>
      <c r="Y329" s="309"/>
      <c r="Z329" s="309"/>
    </row>
    <row r="330">
      <c r="A330" s="194"/>
      <c r="B330" s="309"/>
      <c r="C330" s="194"/>
      <c r="D330" s="309"/>
      <c r="E330" s="309"/>
      <c r="F330" s="309"/>
      <c r="G330" s="309"/>
      <c r="H330" s="309"/>
      <c r="I330" s="309"/>
      <c r="J330" s="309"/>
      <c r="K330" s="309"/>
      <c r="L330" s="309"/>
      <c r="M330" s="309"/>
      <c r="N330" s="309"/>
      <c r="O330" s="309"/>
      <c r="P330" s="309"/>
      <c r="Q330" s="309"/>
      <c r="R330" s="309"/>
      <c r="S330" s="309"/>
      <c r="T330" s="309"/>
      <c r="U330" s="309"/>
      <c r="V330" s="309"/>
      <c r="W330" s="309"/>
      <c r="X330" s="309"/>
      <c r="Y330" s="309"/>
      <c r="Z330" s="309"/>
    </row>
    <row r="331">
      <c r="A331" s="194"/>
      <c r="B331" s="309"/>
      <c r="C331" s="194"/>
      <c r="D331" s="309"/>
      <c r="E331" s="309"/>
      <c r="F331" s="309"/>
      <c r="G331" s="309"/>
      <c r="H331" s="309"/>
      <c r="I331" s="309"/>
      <c r="J331" s="309"/>
      <c r="K331" s="309"/>
      <c r="L331" s="309"/>
      <c r="M331" s="309"/>
      <c r="N331" s="309"/>
      <c r="O331" s="309"/>
      <c r="P331" s="309"/>
      <c r="Q331" s="309"/>
      <c r="R331" s="309"/>
      <c r="S331" s="309"/>
      <c r="T331" s="309"/>
      <c r="U331" s="309"/>
      <c r="V331" s="309"/>
      <c r="W331" s="309"/>
      <c r="X331" s="309"/>
      <c r="Y331" s="309"/>
      <c r="Z331" s="309"/>
    </row>
    <row r="332">
      <c r="A332" s="194"/>
      <c r="B332" s="309"/>
      <c r="C332" s="194"/>
      <c r="D332" s="309"/>
      <c r="E332" s="309"/>
      <c r="F332" s="309"/>
      <c r="G332" s="309"/>
      <c r="H332" s="309"/>
      <c r="I332" s="309"/>
      <c r="J332" s="309"/>
      <c r="K332" s="309"/>
      <c r="L332" s="309"/>
      <c r="M332" s="309"/>
      <c r="N332" s="309"/>
      <c r="O332" s="309"/>
      <c r="P332" s="309"/>
      <c r="Q332" s="309"/>
      <c r="R332" s="309"/>
      <c r="S332" s="309"/>
      <c r="T332" s="309"/>
      <c r="U332" s="309"/>
      <c r="V332" s="309"/>
      <c r="W332" s="309"/>
      <c r="X332" s="309"/>
      <c r="Y332" s="309"/>
      <c r="Z332" s="309"/>
    </row>
    <row r="333">
      <c r="A333" s="194"/>
      <c r="B333" s="309"/>
      <c r="C333" s="194"/>
      <c r="D333" s="309"/>
      <c r="E333" s="309"/>
      <c r="F333" s="309"/>
      <c r="G333" s="309"/>
      <c r="H333" s="309"/>
      <c r="I333" s="309"/>
      <c r="J333" s="309"/>
      <c r="K333" s="309"/>
      <c r="L333" s="309"/>
      <c r="M333" s="309"/>
      <c r="N333" s="309"/>
      <c r="O333" s="309"/>
      <c r="P333" s="309"/>
      <c r="Q333" s="309"/>
      <c r="R333" s="309"/>
      <c r="S333" s="309"/>
      <c r="T333" s="309"/>
      <c r="U333" s="309"/>
      <c r="V333" s="309"/>
      <c r="W333" s="309"/>
      <c r="X333" s="309"/>
      <c r="Y333" s="309"/>
      <c r="Z333" s="309"/>
    </row>
    <row r="334">
      <c r="A334" s="194"/>
      <c r="B334" s="309"/>
      <c r="C334" s="194"/>
      <c r="D334" s="309"/>
      <c r="E334" s="309"/>
      <c r="F334" s="309"/>
      <c r="G334" s="309"/>
      <c r="H334" s="309"/>
      <c r="I334" s="309"/>
      <c r="J334" s="309"/>
      <c r="K334" s="309"/>
      <c r="L334" s="309"/>
      <c r="M334" s="309"/>
      <c r="N334" s="309"/>
      <c r="O334" s="309"/>
      <c r="P334" s="309"/>
      <c r="Q334" s="309"/>
      <c r="R334" s="309"/>
      <c r="S334" s="309"/>
      <c r="T334" s="309"/>
      <c r="U334" s="309"/>
      <c r="V334" s="309"/>
      <c r="W334" s="309"/>
      <c r="X334" s="309"/>
      <c r="Y334" s="309"/>
      <c r="Z334" s="309"/>
    </row>
    <row r="335">
      <c r="A335" s="194"/>
      <c r="B335" s="309"/>
      <c r="C335" s="194"/>
      <c r="D335" s="309"/>
      <c r="E335" s="309"/>
      <c r="F335" s="309"/>
      <c r="G335" s="309"/>
      <c r="H335" s="309"/>
      <c r="I335" s="309"/>
      <c r="J335" s="309"/>
      <c r="K335" s="309"/>
      <c r="L335" s="309"/>
      <c r="M335" s="309"/>
      <c r="N335" s="309"/>
      <c r="O335" s="309"/>
      <c r="P335" s="309"/>
      <c r="Q335" s="309"/>
      <c r="R335" s="309"/>
      <c r="S335" s="309"/>
      <c r="T335" s="309"/>
      <c r="U335" s="309"/>
      <c r="V335" s="309"/>
      <c r="W335" s="309"/>
      <c r="X335" s="309"/>
      <c r="Y335" s="309"/>
      <c r="Z335" s="309"/>
    </row>
    <row r="336">
      <c r="A336" s="194"/>
      <c r="B336" s="309"/>
      <c r="C336" s="194"/>
      <c r="D336" s="309"/>
      <c r="E336" s="309"/>
      <c r="F336" s="309"/>
      <c r="G336" s="309"/>
      <c r="H336" s="309"/>
      <c r="I336" s="309"/>
      <c r="J336" s="309"/>
      <c r="K336" s="309"/>
      <c r="L336" s="309"/>
      <c r="M336" s="309"/>
      <c r="N336" s="309"/>
      <c r="O336" s="309"/>
      <c r="P336" s="309"/>
      <c r="Q336" s="309"/>
      <c r="R336" s="309"/>
      <c r="S336" s="309"/>
      <c r="T336" s="309"/>
      <c r="U336" s="309"/>
      <c r="V336" s="309"/>
      <c r="W336" s="309"/>
      <c r="X336" s="309"/>
      <c r="Y336" s="309"/>
      <c r="Z336" s="309"/>
    </row>
    <row r="337">
      <c r="A337" s="194"/>
      <c r="B337" s="309"/>
      <c r="C337" s="194"/>
      <c r="D337" s="309"/>
      <c r="E337" s="309"/>
      <c r="F337" s="309"/>
      <c r="G337" s="309"/>
      <c r="H337" s="309"/>
      <c r="I337" s="309"/>
      <c r="J337" s="309"/>
      <c r="K337" s="309"/>
      <c r="L337" s="309"/>
      <c r="M337" s="309"/>
      <c r="N337" s="309"/>
      <c r="O337" s="309"/>
      <c r="P337" s="309"/>
      <c r="Q337" s="309"/>
      <c r="R337" s="309"/>
      <c r="S337" s="309"/>
      <c r="T337" s="309"/>
      <c r="U337" s="309"/>
      <c r="V337" s="309"/>
      <c r="W337" s="309"/>
      <c r="X337" s="309"/>
      <c r="Y337" s="309"/>
      <c r="Z337" s="309"/>
    </row>
    <row r="338">
      <c r="A338" s="194"/>
      <c r="B338" s="309"/>
      <c r="C338" s="194"/>
      <c r="D338" s="309"/>
      <c r="E338" s="309"/>
      <c r="F338" s="309"/>
      <c r="G338" s="309"/>
      <c r="H338" s="309"/>
      <c r="I338" s="309"/>
      <c r="J338" s="309"/>
      <c r="K338" s="309"/>
      <c r="L338" s="309"/>
      <c r="M338" s="309"/>
      <c r="N338" s="309"/>
      <c r="O338" s="309"/>
      <c r="P338" s="309"/>
      <c r="Q338" s="309"/>
      <c r="R338" s="309"/>
      <c r="S338" s="309"/>
      <c r="T338" s="309"/>
      <c r="U338" s="309"/>
      <c r="V338" s="309"/>
      <c r="W338" s="309"/>
      <c r="X338" s="309"/>
      <c r="Y338" s="309"/>
      <c r="Z338" s="309"/>
    </row>
    <row r="339">
      <c r="A339" s="194"/>
      <c r="B339" s="309"/>
      <c r="C339" s="194"/>
      <c r="D339" s="309"/>
      <c r="E339" s="309"/>
      <c r="F339" s="309"/>
      <c r="G339" s="309"/>
      <c r="H339" s="309"/>
      <c r="I339" s="309"/>
      <c r="J339" s="309"/>
      <c r="K339" s="309"/>
      <c r="L339" s="309"/>
      <c r="M339" s="309"/>
      <c r="N339" s="309"/>
      <c r="O339" s="309"/>
      <c r="P339" s="309"/>
      <c r="Q339" s="309"/>
      <c r="R339" s="309"/>
      <c r="S339" s="309"/>
      <c r="T339" s="309"/>
      <c r="U339" s="309"/>
      <c r="V339" s="309"/>
      <c r="W339" s="309"/>
      <c r="X339" s="309"/>
      <c r="Y339" s="309"/>
      <c r="Z339" s="309"/>
    </row>
    <row r="340">
      <c r="A340" s="194"/>
      <c r="B340" s="309"/>
      <c r="C340" s="194"/>
      <c r="D340" s="309"/>
      <c r="E340" s="309"/>
      <c r="F340" s="309"/>
      <c r="G340" s="309"/>
      <c r="H340" s="309"/>
      <c r="I340" s="309"/>
      <c r="J340" s="309"/>
      <c r="K340" s="309"/>
      <c r="L340" s="309"/>
      <c r="M340" s="309"/>
      <c r="N340" s="309"/>
      <c r="O340" s="309"/>
      <c r="P340" s="309"/>
      <c r="Q340" s="309"/>
      <c r="R340" s="309"/>
      <c r="S340" s="309"/>
      <c r="T340" s="309"/>
      <c r="U340" s="309"/>
      <c r="V340" s="309"/>
      <c r="W340" s="309"/>
      <c r="X340" s="309"/>
      <c r="Y340" s="309"/>
      <c r="Z340" s="309"/>
    </row>
    <row r="341">
      <c r="A341" s="194"/>
      <c r="B341" s="309"/>
      <c r="C341" s="194"/>
      <c r="D341" s="309"/>
      <c r="E341" s="309"/>
      <c r="F341" s="309"/>
      <c r="G341" s="309"/>
      <c r="H341" s="309"/>
      <c r="I341" s="309"/>
      <c r="J341" s="309"/>
      <c r="K341" s="309"/>
      <c r="L341" s="309"/>
      <c r="M341" s="309"/>
      <c r="N341" s="309"/>
      <c r="O341" s="309"/>
      <c r="P341" s="309"/>
      <c r="Q341" s="309"/>
      <c r="R341" s="309"/>
      <c r="S341" s="309"/>
      <c r="T341" s="309"/>
      <c r="U341" s="309"/>
      <c r="V341" s="309"/>
      <c r="W341" s="309"/>
      <c r="X341" s="309"/>
      <c r="Y341" s="309"/>
      <c r="Z341" s="309"/>
    </row>
    <row r="342">
      <c r="A342" s="194"/>
      <c r="B342" s="309"/>
      <c r="C342" s="194"/>
      <c r="D342" s="309"/>
      <c r="E342" s="309"/>
      <c r="F342" s="309"/>
      <c r="G342" s="309"/>
      <c r="H342" s="309"/>
      <c r="I342" s="309"/>
      <c r="J342" s="309"/>
      <c r="K342" s="309"/>
      <c r="L342" s="309"/>
      <c r="M342" s="309"/>
      <c r="N342" s="309"/>
      <c r="O342" s="309"/>
      <c r="P342" s="309"/>
      <c r="Q342" s="309"/>
      <c r="R342" s="309"/>
      <c r="S342" s="309"/>
      <c r="T342" s="309"/>
      <c r="U342" s="309"/>
      <c r="V342" s="309"/>
      <c r="W342" s="309"/>
      <c r="X342" s="309"/>
      <c r="Y342" s="309"/>
      <c r="Z342" s="309"/>
    </row>
    <row r="343">
      <c r="A343" s="194"/>
      <c r="B343" s="309"/>
      <c r="C343" s="194"/>
      <c r="D343" s="309"/>
      <c r="E343" s="309"/>
      <c r="F343" s="309"/>
      <c r="G343" s="309"/>
      <c r="H343" s="309"/>
      <c r="I343" s="309"/>
      <c r="J343" s="309"/>
      <c r="K343" s="309"/>
      <c r="L343" s="309"/>
      <c r="M343" s="309"/>
      <c r="N343" s="309"/>
      <c r="O343" s="309"/>
      <c r="P343" s="309"/>
      <c r="Q343" s="309"/>
      <c r="R343" s="309"/>
      <c r="S343" s="309"/>
      <c r="T343" s="309"/>
      <c r="U343" s="309"/>
      <c r="V343" s="309"/>
      <c r="W343" s="309"/>
      <c r="X343" s="309"/>
      <c r="Y343" s="309"/>
      <c r="Z343" s="309"/>
    </row>
    <row r="344">
      <c r="A344" s="194"/>
      <c r="B344" s="309"/>
      <c r="C344" s="194"/>
      <c r="D344" s="309"/>
      <c r="E344" s="309"/>
      <c r="F344" s="309"/>
      <c r="G344" s="309"/>
      <c r="H344" s="309"/>
      <c r="I344" s="309"/>
      <c r="J344" s="309"/>
      <c r="K344" s="309"/>
      <c r="L344" s="309"/>
      <c r="M344" s="309"/>
      <c r="N344" s="309"/>
      <c r="O344" s="309"/>
      <c r="P344" s="309"/>
      <c r="Q344" s="309"/>
      <c r="R344" s="309"/>
      <c r="S344" s="309"/>
      <c r="T344" s="309"/>
      <c r="U344" s="309"/>
      <c r="V344" s="309"/>
      <c r="W344" s="309"/>
      <c r="X344" s="309"/>
      <c r="Y344" s="309"/>
      <c r="Z344" s="309"/>
    </row>
    <row r="345">
      <c r="A345" s="194"/>
      <c r="B345" s="309"/>
      <c r="C345" s="194"/>
      <c r="D345" s="309"/>
      <c r="E345" s="309"/>
      <c r="F345" s="309"/>
      <c r="G345" s="309"/>
      <c r="H345" s="309"/>
      <c r="I345" s="309"/>
      <c r="J345" s="309"/>
      <c r="K345" s="309"/>
      <c r="L345" s="309"/>
      <c r="M345" s="309"/>
      <c r="N345" s="309"/>
      <c r="O345" s="309"/>
      <c r="P345" s="309"/>
      <c r="Q345" s="309"/>
      <c r="R345" s="309"/>
      <c r="S345" s="309"/>
      <c r="T345" s="309"/>
      <c r="U345" s="309"/>
      <c r="V345" s="309"/>
      <c r="W345" s="309"/>
      <c r="X345" s="309"/>
      <c r="Y345" s="309"/>
      <c r="Z345" s="309"/>
    </row>
    <row r="346">
      <c r="A346" s="194"/>
      <c r="B346" s="309"/>
      <c r="C346" s="194"/>
      <c r="D346" s="309"/>
      <c r="E346" s="309"/>
      <c r="F346" s="309"/>
      <c r="G346" s="309"/>
      <c r="H346" s="309"/>
      <c r="I346" s="309"/>
      <c r="J346" s="309"/>
      <c r="K346" s="309"/>
      <c r="L346" s="309"/>
      <c r="M346" s="309"/>
      <c r="N346" s="309"/>
      <c r="O346" s="309"/>
      <c r="P346" s="309"/>
      <c r="Q346" s="309"/>
      <c r="R346" s="309"/>
      <c r="S346" s="309"/>
      <c r="T346" s="309"/>
      <c r="U346" s="309"/>
      <c r="V346" s="309"/>
      <c r="W346" s="309"/>
      <c r="X346" s="309"/>
      <c r="Y346" s="309"/>
      <c r="Z346" s="309"/>
    </row>
    <row r="347">
      <c r="A347" s="194"/>
      <c r="B347" s="309"/>
      <c r="C347" s="194"/>
      <c r="D347" s="309"/>
      <c r="E347" s="309"/>
      <c r="F347" s="309"/>
      <c r="G347" s="309"/>
      <c r="H347" s="309"/>
      <c r="I347" s="309"/>
      <c r="J347" s="309"/>
      <c r="K347" s="309"/>
      <c r="L347" s="309"/>
      <c r="M347" s="309"/>
      <c r="N347" s="309"/>
      <c r="O347" s="309"/>
      <c r="P347" s="309"/>
      <c r="Q347" s="309"/>
      <c r="R347" s="309"/>
      <c r="S347" s="309"/>
      <c r="T347" s="309"/>
      <c r="U347" s="309"/>
      <c r="V347" s="309"/>
      <c r="W347" s="309"/>
      <c r="X347" s="309"/>
      <c r="Y347" s="309"/>
      <c r="Z347" s="309"/>
    </row>
    <row r="348">
      <c r="A348" s="194"/>
      <c r="B348" s="309"/>
      <c r="C348" s="194"/>
      <c r="D348" s="309"/>
      <c r="E348" s="309"/>
      <c r="F348" s="309"/>
      <c r="G348" s="309"/>
      <c r="H348" s="309"/>
      <c r="I348" s="309"/>
      <c r="J348" s="309"/>
      <c r="K348" s="309"/>
      <c r="L348" s="309"/>
      <c r="M348" s="309"/>
      <c r="N348" s="309"/>
      <c r="O348" s="309"/>
      <c r="P348" s="309"/>
      <c r="Q348" s="309"/>
      <c r="R348" s="309"/>
      <c r="S348" s="309"/>
      <c r="T348" s="309"/>
      <c r="U348" s="309"/>
      <c r="V348" s="309"/>
      <c r="W348" s="309"/>
      <c r="X348" s="309"/>
      <c r="Y348" s="309"/>
      <c r="Z348" s="309"/>
    </row>
    <row r="349">
      <c r="A349" s="194"/>
      <c r="B349" s="309"/>
      <c r="C349" s="194"/>
      <c r="D349" s="309"/>
      <c r="E349" s="309"/>
      <c r="F349" s="309"/>
      <c r="G349" s="309"/>
      <c r="H349" s="309"/>
      <c r="I349" s="309"/>
      <c r="J349" s="309"/>
      <c r="K349" s="309"/>
      <c r="L349" s="309"/>
      <c r="M349" s="309"/>
      <c r="N349" s="309"/>
      <c r="O349" s="309"/>
      <c r="P349" s="309"/>
      <c r="Q349" s="309"/>
      <c r="R349" s="309"/>
      <c r="S349" s="309"/>
      <c r="T349" s="309"/>
      <c r="U349" s="309"/>
      <c r="V349" s="309"/>
      <c r="W349" s="309"/>
      <c r="X349" s="309"/>
      <c r="Y349" s="309"/>
      <c r="Z349" s="309"/>
    </row>
    <row r="350">
      <c r="A350" s="194"/>
      <c r="B350" s="309"/>
      <c r="C350" s="194"/>
      <c r="D350" s="309"/>
      <c r="E350" s="309"/>
      <c r="F350" s="309"/>
      <c r="G350" s="309"/>
      <c r="H350" s="309"/>
      <c r="I350" s="309"/>
      <c r="J350" s="309"/>
      <c r="K350" s="309"/>
      <c r="L350" s="309"/>
      <c r="M350" s="309"/>
      <c r="N350" s="309"/>
      <c r="O350" s="309"/>
      <c r="P350" s="309"/>
      <c r="Q350" s="309"/>
      <c r="R350" s="309"/>
      <c r="S350" s="309"/>
      <c r="T350" s="309"/>
      <c r="U350" s="309"/>
      <c r="V350" s="309"/>
      <c r="W350" s="309"/>
      <c r="X350" s="309"/>
      <c r="Y350" s="309"/>
      <c r="Z350" s="309"/>
    </row>
    <row r="351">
      <c r="A351" s="194"/>
      <c r="B351" s="309"/>
      <c r="C351" s="194"/>
      <c r="D351" s="309"/>
      <c r="E351" s="309"/>
      <c r="F351" s="309"/>
      <c r="G351" s="309"/>
      <c r="H351" s="309"/>
      <c r="I351" s="309"/>
      <c r="J351" s="309"/>
      <c r="K351" s="309"/>
      <c r="L351" s="309"/>
      <c r="M351" s="309"/>
      <c r="N351" s="309"/>
      <c r="O351" s="309"/>
      <c r="P351" s="309"/>
      <c r="Q351" s="309"/>
      <c r="R351" s="309"/>
      <c r="S351" s="309"/>
      <c r="T351" s="309"/>
      <c r="U351" s="309"/>
      <c r="V351" s="309"/>
      <c r="W351" s="309"/>
      <c r="X351" s="309"/>
      <c r="Y351" s="309"/>
      <c r="Z351" s="309"/>
    </row>
    <row r="352">
      <c r="A352" s="194"/>
      <c r="B352" s="309"/>
      <c r="C352" s="194"/>
      <c r="D352" s="309"/>
      <c r="E352" s="309"/>
      <c r="F352" s="309"/>
      <c r="G352" s="309"/>
      <c r="H352" s="309"/>
      <c r="I352" s="309"/>
      <c r="J352" s="309"/>
      <c r="K352" s="309"/>
      <c r="L352" s="309"/>
      <c r="M352" s="309"/>
      <c r="N352" s="309"/>
      <c r="O352" s="309"/>
      <c r="P352" s="309"/>
      <c r="Q352" s="309"/>
      <c r="R352" s="309"/>
      <c r="S352" s="309"/>
      <c r="T352" s="309"/>
      <c r="U352" s="309"/>
      <c r="V352" s="309"/>
      <c r="W352" s="309"/>
      <c r="X352" s="309"/>
      <c r="Y352" s="309"/>
      <c r="Z352" s="309"/>
    </row>
    <row r="353">
      <c r="A353" s="194"/>
      <c r="B353" s="309"/>
      <c r="C353" s="194"/>
      <c r="D353" s="309"/>
      <c r="E353" s="309"/>
      <c r="F353" s="309"/>
      <c r="G353" s="309"/>
      <c r="H353" s="309"/>
      <c r="I353" s="309"/>
      <c r="J353" s="309"/>
      <c r="K353" s="309"/>
      <c r="L353" s="309"/>
      <c r="M353" s="309"/>
      <c r="N353" s="309"/>
      <c r="O353" s="309"/>
      <c r="P353" s="309"/>
      <c r="Q353" s="309"/>
      <c r="R353" s="309"/>
      <c r="S353" s="309"/>
      <c r="T353" s="309"/>
      <c r="U353" s="309"/>
      <c r="V353" s="309"/>
      <c r="W353" s="309"/>
      <c r="X353" s="309"/>
      <c r="Y353" s="309"/>
      <c r="Z353" s="309"/>
    </row>
    <row r="354">
      <c r="A354" s="194"/>
      <c r="B354" s="309"/>
      <c r="C354" s="194"/>
      <c r="D354" s="309"/>
      <c r="E354" s="309"/>
      <c r="F354" s="309"/>
      <c r="G354" s="309"/>
      <c r="H354" s="309"/>
      <c r="I354" s="309"/>
      <c r="J354" s="309"/>
      <c r="K354" s="309"/>
      <c r="L354" s="309"/>
      <c r="M354" s="309"/>
      <c r="N354" s="309"/>
      <c r="O354" s="309"/>
      <c r="P354" s="309"/>
      <c r="Q354" s="309"/>
      <c r="R354" s="309"/>
      <c r="S354" s="309"/>
      <c r="T354" s="309"/>
      <c r="U354" s="309"/>
      <c r="V354" s="309"/>
      <c r="W354" s="309"/>
      <c r="X354" s="309"/>
      <c r="Y354" s="309"/>
      <c r="Z354" s="309"/>
    </row>
    <row r="355">
      <c r="A355" s="194"/>
      <c r="B355" s="309"/>
      <c r="C355" s="194"/>
      <c r="D355" s="309"/>
      <c r="E355" s="309"/>
      <c r="F355" s="309"/>
      <c r="G355" s="309"/>
      <c r="H355" s="309"/>
      <c r="I355" s="309"/>
      <c r="J355" s="309"/>
      <c r="K355" s="309"/>
      <c r="L355" s="309"/>
      <c r="M355" s="309"/>
      <c r="N355" s="309"/>
      <c r="O355" s="309"/>
      <c r="P355" s="309"/>
      <c r="Q355" s="309"/>
      <c r="R355" s="309"/>
      <c r="S355" s="309"/>
      <c r="T355" s="309"/>
      <c r="U355" s="309"/>
      <c r="V355" s="309"/>
      <c r="W355" s="309"/>
      <c r="X355" s="309"/>
      <c r="Y355" s="309"/>
      <c r="Z355" s="309"/>
    </row>
    <row r="356">
      <c r="A356" s="194"/>
      <c r="B356" s="309"/>
      <c r="C356" s="194"/>
      <c r="D356" s="309"/>
      <c r="E356" s="309"/>
      <c r="F356" s="309"/>
      <c r="G356" s="309"/>
      <c r="H356" s="309"/>
      <c r="I356" s="309"/>
      <c r="J356" s="309"/>
      <c r="K356" s="309"/>
      <c r="L356" s="309"/>
      <c r="M356" s="309"/>
      <c r="N356" s="309"/>
      <c r="O356" s="309"/>
      <c r="P356" s="309"/>
      <c r="Q356" s="309"/>
      <c r="R356" s="309"/>
      <c r="S356" s="309"/>
      <c r="T356" s="309"/>
      <c r="U356" s="309"/>
      <c r="V356" s="309"/>
      <c r="W356" s="309"/>
      <c r="X356" s="309"/>
      <c r="Y356" s="309"/>
      <c r="Z356" s="309"/>
    </row>
    <row r="357">
      <c r="A357" s="194"/>
      <c r="B357" s="309"/>
      <c r="C357" s="194"/>
      <c r="D357" s="309"/>
      <c r="E357" s="309"/>
      <c r="F357" s="309"/>
      <c r="G357" s="309"/>
      <c r="H357" s="309"/>
      <c r="I357" s="309"/>
      <c r="J357" s="309"/>
      <c r="K357" s="309"/>
      <c r="L357" s="309"/>
      <c r="M357" s="309"/>
      <c r="N357" s="309"/>
      <c r="O357" s="309"/>
      <c r="P357" s="309"/>
      <c r="Q357" s="309"/>
      <c r="R357" s="309"/>
      <c r="S357" s="309"/>
      <c r="T357" s="309"/>
      <c r="U357" s="309"/>
      <c r="V357" s="309"/>
      <c r="W357" s="309"/>
      <c r="X357" s="309"/>
      <c r="Y357" s="309"/>
      <c r="Z357" s="309"/>
    </row>
    <row r="358">
      <c r="A358" s="194"/>
      <c r="B358" s="309"/>
      <c r="C358" s="194"/>
      <c r="D358" s="309"/>
      <c r="E358" s="309"/>
      <c r="F358" s="309"/>
      <c r="G358" s="309"/>
      <c r="H358" s="309"/>
      <c r="I358" s="309"/>
      <c r="J358" s="309"/>
      <c r="K358" s="309"/>
      <c r="L358" s="309"/>
      <c r="M358" s="309"/>
      <c r="N358" s="309"/>
      <c r="O358" s="309"/>
      <c r="P358" s="309"/>
      <c r="Q358" s="309"/>
      <c r="R358" s="309"/>
      <c r="S358" s="309"/>
      <c r="T358" s="309"/>
      <c r="U358" s="309"/>
      <c r="V358" s="309"/>
      <c r="W358" s="309"/>
      <c r="X358" s="309"/>
      <c r="Y358" s="309"/>
      <c r="Z358" s="309"/>
    </row>
    <row r="359">
      <c r="A359" s="194"/>
      <c r="B359" s="309"/>
      <c r="C359" s="194"/>
      <c r="D359" s="309"/>
      <c r="E359" s="309"/>
      <c r="F359" s="309"/>
      <c r="G359" s="309"/>
      <c r="H359" s="309"/>
      <c r="I359" s="309"/>
      <c r="J359" s="309"/>
      <c r="K359" s="309"/>
      <c r="L359" s="309"/>
      <c r="M359" s="309"/>
      <c r="N359" s="309"/>
      <c r="O359" s="309"/>
      <c r="P359" s="309"/>
      <c r="Q359" s="309"/>
      <c r="R359" s="309"/>
      <c r="S359" s="309"/>
      <c r="T359" s="309"/>
      <c r="U359" s="309"/>
      <c r="V359" s="309"/>
      <c r="W359" s="309"/>
      <c r="X359" s="309"/>
      <c r="Y359" s="309"/>
      <c r="Z359" s="309"/>
    </row>
    <row r="360">
      <c r="A360" s="194"/>
      <c r="B360" s="309"/>
      <c r="C360" s="194"/>
      <c r="D360" s="309"/>
      <c r="E360" s="309"/>
      <c r="F360" s="309"/>
      <c r="G360" s="309"/>
      <c r="H360" s="309"/>
      <c r="I360" s="309"/>
      <c r="J360" s="309"/>
      <c r="K360" s="309"/>
      <c r="L360" s="309"/>
      <c r="M360" s="309"/>
      <c r="N360" s="309"/>
      <c r="O360" s="309"/>
      <c r="P360" s="309"/>
      <c r="Q360" s="309"/>
      <c r="R360" s="309"/>
      <c r="S360" s="309"/>
      <c r="T360" s="309"/>
      <c r="U360" s="309"/>
      <c r="V360" s="309"/>
      <c r="W360" s="309"/>
      <c r="X360" s="309"/>
      <c r="Y360" s="309"/>
      <c r="Z360" s="309"/>
    </row>
    <row r="361">
      <c r="A361" s="194"/>
      <c r="B361" s="309"/>
      <c r="C361" s="194"/>
      <c r="D361" s="309"/>
      <c r="E361" s="309"/>
      <c r="F361" s="309"/>
      <c r="G361" s="309"/>
      <c r="H361" s="309"/>
      <c r="I361" s="309"/>
      <c r="J361" s="309"/>
      <c r="K361" s="309"/>
      <c r="L361" s="309"/>
      <c r="M361" s="309"/>
      <c r="N361" s="309"/>
      <c r="O361" s="309"/>
      <c r="P361" s="309"/>
      <c r="Q361" s="309"/>
      <c r="R361" s="309"/>
      <c r="S361" s="309"/>
      <c r="T361" s="309"/>
      <c r="U361" s="309"/>
      <c r="V361" s="309"/>
      <c r="W361" s="309"/>
      <c r="X361" s="309"/>
      <c r="Y361" s="309"/>
      <c r="Z361" s="309"/>
    </row>
    <row r="362">
      <c r="A362" s="194"/>
      <c r="B362" s="309"/>
      <c r="C362" s="194"/>
      <c r="D362" s="309"/>
      <c r="E362" s="309"/>
      <c r="F362" s="309"/>
      <c r="G362" s="309"/>
      <c r="H362" s="309"/>
      <c r="I362" s="309"/>
      <c r="J362" s="309"/>
      <c r="K362" s="309"/>
      <c r="L362" s="309"/>
      <c r="M362" s="309"/>
      <c r="N362" s="309"/>
      <c r="O362" s="309"/>
      <c r="P362" s="309"/>
      <c r="Q362" s="309"/>
      <c r="R362" s="309"/>
      <c r="S362" s="309"/>
      <c r="T362" s="309"/>
      <c r="U362" s="309"/>
      <c r="V362" s="309"/>
      <c r="W362" s="309"/>
      <c r="X362" s="309"/>
      <c r="Y362" s="309"/>
      <c r="Z362" s="309"/>
    </row>
    <row r="363">
      <c r="A363" s="194"/>
      <c r="B363" s="309"/>
      <c r="C363" s="194"/>
      <c r="D363" s="309"/>
      <c r="E363" s="309"/>
      <c r="F363" s="309"/>
      <c r="G363" s="309"/>
      <c r="H363" s="309"/>
      <c r="I363" s="309"/>
      <c r="J363" s="309"/>
      <c r="K363" s="309"/>
      <c r="L363" s="309"/>
      <c r="M363" s="309"/>
      <c r="N363" s="309"/>
      <c r="O363" s="309"/>
      <c r="P363" s="309"/>
      <c r="Q363" s="309"/>
      <c r="R363" s="309"/>
      <c r="S363" s="309"/>
      <c r="T363" s="309"/>
      <c r="U363" s="309"/>
      <c r="V363" s="309"/>
      <c r="W363" s="309"/>
      <c r="X363" s="309"/>
      <c r="Y363" s="309"/>
      <c r="Z363" s="309"/>
    </row>
    <row r="364">
      <c r="A364" s="194"/>
      <c r="B364" s="309"/>
      <c r="C364" s="194"/>
      <c r="D364" s="309"/>
      <c r="E364" s="309"/>
      <c r="F364" s="309"/>
      <c r="G364" s="309"/>
      <c r="H364" s="309"/>
      <c r="I364" s="309"/>
      <c r="J364" s="309"/>
      <c r="K364" s="309"/>
      <c r="L364" s="309"/>
      <c r="M364" s="309"/>
      <c r="N364" s="309"/>
      <c r="O364" s="309"/>
      <c r="P364" s="309"/>
      <c r="Q364" s="309"/>
      <c r="R364" s="309"/>
      <c r="S364" s="309"/>
      <c r="T364" s="309"/>
      <c r="U364" s="309"/>
      <c r="V364" s="309"/>
      <c r="W364" s="309"/>
      <c r="X364" s="309"/>
      <c r="Y364" s="309"/>
      <c r="Z364" s="309"/>
    </row>
    <row r="365">
      <c r="A365" s="194"/>
      <c r="B365" s="309"/>
      <c r="C365" s="194"/>
      <c r="D365" s="309"/>
      <c r="E365" s="309"/>
      <c r="F365" s="309"/>
      <c r="G365" s="309"/>
      <c r="H365" s="309"/>
      <c r="I365" s="309"/>
      <c r="J365" s="309"/>
      <c r="K365" s="309"/>
      <c r="L365" s="309"/>
      <c r="M365" s="309"/>
      <c r="N365" s="309"/>
      <c r="O365" s="309"/>
      <c r="P365" s="309"/>
      <c r="Q365" s="309"/>
      <c r="R365" s="309"/>
      <c r="S365" s="309"/>
      <c r="T365" s="309"/>
      <c r="U365" s="309"/>
      <c r="V365" s="309"/>
      <c r="W365" s="309"/>
      <c r="X365" s="309"/>
      <c r="Y365" s="309"/>
      <c r="Z365" s="309"/>
    </row>
    <row r="366">
      <c r="A366" s="194"/>
      <c r="B366" s="309"/>
      <c r="C366" s="194"/>
      <c r="D366" s="309"/>
      <c r="E366" s="309"/>
      <c r="F366" s="309"/>
      <c r="G366" s="309"/>
      <c r="H366" s="309"/>
      <c r="I366" s="309"/>
      <c r="J366" s="309"/>
      <c r="K366" s="309"/>
      <c r="L366" s="309"/>
      <c r="M366" s="309"/>
      <c r="N366" s="309"/>
      <c r="O366" s="309"/>
      <c r="P366" s="309"/>
      <c r="Q366" s="309"/>
      <c r="R366" s="309"/>
      <c r="S366" s="309"/>
      <c r="T366" s="309"/>
      <c r="U366" s="309"/>
      <c r="V366" s="309"/>
      <c r="W366" s="309"/>
      <c r="X366" s="309"/>
      <c r="Y366" s="309"/>
      <c r="Z366" s="309"/>
    </row>
    <row r="367">
      <c r="A367" s="194"/>
      <c r="B367" s="309"/>
      <c r="C367" s="194"/>
      <c r="D367" s="309"/>
      <c r="E367" s="309"/>
      <c r="F367" s="309"/>
      <c r="G367" s="309"/>
      <c r="H367" s="309"/>
      <c r="I367" s="309"/>
      <c r="J367" s="309"/>
      <c r="K367" s="309"/>
      <c r="L367" s="309"/>
      <c r="M367" s="309"/>
      <c r="N367" s="309"/>
      <c r="O367" s="309"/>
      <c r="P367" s="309"/>
      <c r="Q367" s="309"/>
      <c r="R367" s="309"/>
      <c r="S367" s="309"/>
      <c r="T367" s="309"/>
      <c r="U367" s="309"/>
      <c r="V367" s="309"/>
      <c r="W367" s="309"/>
      <c r="X367" s="309"/>
      <c r="Y367" s="309"/>
      <c r="Z367" s="309"/>
    </row>
    <row r="368">
      <c r="A368" s="194"/>
      <c r="B368" s="309"/>
      <c r="C368" s="194"/>
      <c r="D368" s="309"/>
      <c r="E368" s="309"/>
      <c r="F368" s="309"/>
      <c r="G368" s="309"/>
      <c r="H368" s="309"/>
      <c r="I368" s="309"/>
      <c r="J368" s="309"/>
      <c r="K368" s="309"/>
      <c r="L368" s="309"/>
      <c r="M368" s="309"/>
      <c r="N368" s="309"/>
      <c r="O368" s="309"/>
      <c r="P368" s="309"/>
      <c r="Q368" s="309"/>
      <c r="R368" s="309"/>
      <c r="S368" s="309"/>
      <c r="T368" s="309"/>
      <c r="U368" s="309"/>
      <c r="V368" s="309"/>
      <c r="W368" s="309"/>
      <c r="X368" s="309"/>
      <c r="Y368" s="309"/>
      <c r="Z368" s="309"/>
    </row>
    <row r="369">
      <c r="A369" s="194"/>
      <c r="B369" s="309"/>
      <c r="C369" s="194"/>
      <c r="D369" s="309"/>
      <c r="E369" s="309"/>
      <c r="F369" s="309"/>
      <c r="G369" s="309"/>
      <c r="H369" s="309"/>
      <c r="I369" s="309"/>
      <c r="J369" s="309"/>
      <c r="K369" s="309"/>
      <c r="L369" s="309"/>
      <c r="M369" s="309"/>
      <c r="N369" s="309"/>
      <c r="O369" s="309"/>
      <c r="P369" s="309"/>
      <c r="Q369" s="309"/>
      <c r="R369" s="309"/>
      <c r="S369" s="309"/>
      <c r="T369" s="309"/>
      <c r="U369" s="309"/>
      <c r="V369" s="309"/>
      <c r="W369" s="309"/>
      <c r="X369" s="309"/>
      <c r="Y369" s="309"/>
      <c r="Z369" s="309"/>
    </row>
    <row r="370">
      <c r="A370" s="194"/>
      <c r="B370" s="309"/>
      <c r="C370" s="194"/>
      <c r="D370" s="309"/>
      <c r="E370" s="309"/>
      <c r="F370" s="309"/>
      <c r="G370" s="309"/>
      <c r="H370" s="309"/>
      <c r="I370" s="309"/>
      <c r="J370" s="309"/>
      <c r="K370" s="309"/>
      <c r="L370" s="309"/>
      <c r="M370" s="309"/>
      <c r="N370" s="309"/>
      <c r="O370" s="309"/>
      <c r="P370" s="309"/>
      <c r="Q370" s="309"/>
      <c r="R370" s="309"/>
      <c r="S370" s="309"/>
      <c r="T370" s="309"/>
      <c r="U370" s="309"/>
      <c r="V370" s="309"/>
      <c r="W370" s="309"/>
      <c r="X370" s="309"/>
      <c r="Y370" s="309"/>
      <c r="Z370" s="309"/>
    </row>
    <row r="371">
      <c r="A371" s="194"/>
      <c r="B371" s="309"/>
      <c r="C371" s="194"/>
      <c r="D371" s="309"/>
      <c r="E371" s="309"/>
      <c r="F371" s="309"/>
      <c r="G371" s="309"/>
      <c r="H371" s="309"/>
      <c r="I371" s="309"/>
      <c r="J371" s="309"/>
      <c r="K371" s="309"/>
      <c r="L371" s="309"/>
      <c r="M371" s="309"/>
      <c r="N371" s="309"/>
      <c r="O371" s="309"/>
      <c r="P371" s="309"/>
      <c r="Q371" s="309"/>
      <c r="R371" s="309"/>
      <c r="S371" s="309"/>
      <c r="T371" s="309"/>
      <c r="U371" s="309"/>
      <c r="V371" s="309"/>
      <c r="W371" s="309"/>
      <c r="X371" s="309"/>
      <c r="Y371" s="309"/>
      <c r="Z371" s="309"/>
    </row>
    <row r="372">
      <c r="A372" s="194"/>
      <c r="B372" s="309"/>
      <c r="C372" s="194"/>
      <c r="D372" s="309"/>
      <c r="E372" s="309"/>
      <c r="F372" s="309"/>
      <c r="G372" s="309"/>
      <c r="H372" s="309"/>
      <c r="I372" s="309"/>
      <c r="J372" s="309"/>
      <c r="K372" s="309"/>
      <c r="L372" s="309"/>
      <c r="M372" s="309"/>
      <c r="N372" s="309"/>
      <c r="O372" s="309"/>
      <c r="P372" s="309"/>
      <c r="Q372" s="309"/>
      <c r="R372" s="309"/>
      <c r="S372" s="309"/>
      <c r="T372" s="309"/>
      <c r="U372" s="309"/>
      <c r="V372" s="309"/>
      <c r="W372" s="309"/>
      <c r="X372" s="309"/>
      <c r="Y372" s="309"/>
      <c r="Z372" s="309"/>
    </row>
    <row r="373">
      <c r="A373" s="194"/>
      <c r="B373" s="309"/>
      <c r="C373" s="194"/>
      <c r="D373" s="309"/>
      <c r="E373" s="309"/>
      <c r="F373" s="309"/>
      <c r="G373" s="309"/>
      <c r="H373" s="309"/>
      <c r="I373" s="309"/>
      <c r="J373" s="309"/>
      <c r="K373" s="309"/>
      <c r="L373" s="309"/>
      <c r="M373" s="309"/>
      <c r="N373" s="309"/>
      <c r="O373" s="309"/>
      <c r="P373" s="309"/>
      <c r="Q373" s="309"/>
      <c r="R373" s="309"/>
      <c r="S373" s="309"/>
      <c r="T373" s="309"/>
      <c r="U373" s="309"/>
      <c r="V373" s="309"/>
      <c r="W373" s="309"/>
      <c r="X373" s="309"/>
      <c r="Y373" s="309"/>
      <c r="Z373" s="309"/>
    </row>
    <row r="374">
      <c r="A374" s="194"/>
      <c r="B374" s="309"/>
      <c r="C374" s="194"/>
      <c r="D374" s="309"/>
      <c r="E374" s="309"/>
      <c r="F374" s="309"/>
      <c r="G374" s="309"/>
      <c r="H374" s="309"/>
      <c r="I374" s="309"/>
      <c r="J374" s="309"/>
      <c r="K374" s="309"/>
      <c r="L374" s="309"/>
      <c r="M374" s="309"/>
      <c r="N374" s="309"/>
      <c r="O374" s="309"/>
      <c r="P374" s="309"/>
      <c r="Q374" s="309"/>
      <c r="R374" s="309"/>
      <c r="S374" s="309"/>
      <c r="T374" s="309"/>
      <c r="U374" s="309"/>
      <c r="V374" s="309"/>
      <c r="W374" s="309"/>
      <c r="X374" s="309"/>
      <c r="Y374" s="309"/>
      <c r="Z374" s="309"/>
    </row>
    <row r="375">
      <c r="A375" s="194"/>
      <c r="B375" s="309"/>
      <c r="C375" s="194"/>
      <c r="D375" s="309"/>
      <c r="E375" s="309"/>
      <c r="F375" s="309"/>
      <c r="G375" s="309"/>
      <c r="H375" s="309"/>
      <c r="I375" s="309"/>
      <c r="J375" s="309"/>
      <c r="K375" s="309"/>
      <c r="L375" s="309"/>
      <c r="M375" s="309"/>
      <c r="N375" s="309"/>
      <c r="O375" s="309"/>
      <c r="P375" s="309"/>
      <c r="Q375" s="309"/>
      <c r="R375" s="309"/>
      <c r="S375" s="309"/>
      <c r="T375" s="309"/>
      <c r="U375" s="309"/>
      <c r="V375" s="309"/>
      <c r="W375" s="309"/>
      <c r="X375" s="309"/>
      <c r="Y375" s="309"/>
      <c r="Z375" s="309"/>
    </row>
    <row r="376">
      <c r="A376" s="194"/>
      <c r="B376" s="309"/>
      <c r="C376" s="194"/>
      <c r="D376" s="309"/>
      <c r="E376" s="309"/>
      <c r="F376" s="309"/>
      <c r="G376" s="309"/>
      <c r="H376" s="309"/>
      <c r="I376" s="309"/>
      <c r="J376" s="309"/>
      <c r="K376" s="309"/>
      <c r="L376" s="309"/>
      <c r="M376" s="309"/>
      <c r="N376" s="309"/>
      <c r="O376" s="309"/>
      <c r="P376" s="309"/>
      <c r="Q376" s="309"/>
      <c r="R376" s="309"/>
      <c r="S376" s="309"/>
      <c r="T376" s="309"/>
      <c r="U376" s="309"/>
      <c r="V376" s="309"/>
      <c r="W376" s="309"/>
      <c r="X376" s="309"/>
      <c r="Y376" s="309"/>
      <c r="Z376" s="309"/>
    </row>
    <row r="377">
      <c r="A377" s="194"/>
      <c r="B377" s="309"/>
      <c r="C377" s="194"/>
      <c r="D377" s="309"/>
      <c r="E377" s="309"/>
      <c r="F377" s="309"/>
      <c r="G377" s="309"/>
      <c r="H377" s="309"/>
      <c r="I377" s="309"/>
      <c r="J377" s="309"/>
      <c r="K377" s="309"/>
      <c r="L377" s="309"/>
      <c r="M377" s="309"/>
      <c r="N377" s="309"/>
      <c r="O377" s="309"/>
      <c r="P377" s="309"/>
      <c r="Q377" s="309"/>
      <c r="R377" s="309"/>
      <c r="S377" s="309"/>
      <c r="T377" s="309"/>
      <c r="U377" s="309"/>
      <c r="V377" s="309"/>
      <c r="W377" s="309"/>
      <c r="X377" s="309"/>
      <c r="Y377" s="309"/>
      <c r="Z377" s="309"/>
    </row>
    <row r="378">
      <c r="A378" s="194"/>
      <c r="B378" s="309"/>
      <c r="C378" s="194"/>
      <c r="D378" s="309"/>
      <c r="E378" s="309"/>
      <c r="F378" s="309"/>
      <c r="G378" s="309"/>
      <c r="H378" s="309"/>
      <c r="I378" s="309"/>
      <c r="J378" s="309"/>
      <c r="K378" s="309"/>
      <c r="L378" s="309"/>
      <c r="M378" s="309"/>
      <c r="N378" s="309"/>
      <c r="O378" s="309"/>
      <c r="P378" s="309"/>
      <c r="Q378" s="309"/>
      <c r="R378" s="309"/>
      <c r="S378" s="309"/>
      <c r="T378" s="309"/>
      <c r="U378" s="309"/>
      <c r="V378" s="309"/>
      <c r="W378" s="309"/>
      <c r="X378" s="309"/>
      <c r="Y378" s="309"/>
      <c r="Z378" s="309"/>
    </row>
    <row r="379">
      <c r="A379" s="194"/>
      <c r="B379" s="309"/>
      <c r="C379" s="194"/>
      <c r="D379" s="309"/>
      <c r="E379" s="309"/>
      <c r="F379" s="309"/>
      <c r="G379" s="309"/>
      <c r="H379" s="309"/>
      <c r="I379" s="309"/>
      <c r="J379" s="309"/>
      <c r="K379" s="309"/>
      <c r="L379" s="309"/>
      <c r="M379" s="309"/>
      <c r="N379" s="309"/>
      <c r="O379" s="309"/>
      <c r="P379" s="309"/>
      <c r="Q379" s="309"/>
      <c r="R379" s="309"/>
      <c r="S379" s="309"/>
      <c r="T379" s="309"/>
      <c r="U379" s="309"/>
      <c r="V379" s="309"/>
      <c r="W379" s="309"/>
      <c r="X379" s="309"/>
      <c r="Y379" s="309"/>
      <c r="Z379" s="309"/>
    </row>
    <row r="380">
      <c r="A380" s="194"/>
      <c r="B380" s="309"/>
      <c r="C380" s="194"/>
      <c r="D380" s="309"/>
      <c r="E380" s="309"/>
      <c r="F380" s="309"/>
      <c r="G380" s="309"/>
      <c r="H380" s="309"/>
      <c r="I380" s="309"/>
      <c r="J380" s="309"/>
      <c r="K380" s="309"/>
      <c r="L380" s="309"/>
      <c r="M380" s="309"/>
      <c r="N380" s="309"/>
      <c r="O380" s="309"/>
      <c r="P380" s="309"/>
      <c r="Q380" s="309"/>
      <c r="R380" s="309"/>
      <c r="S380" s="309"/>
      <c r="T380" s="309"/>
      <c r="U380" s="309"/>
      <c r="V380" s="309"/>
      <c r="W380" s="309"/>
      <c r="X380" s="309"/>
      <c r="Y380" s="309"/>
      <c r="Z380" s="309"/>
    </row>
    <row r="381">
      <c r="A381" s="194"/>
      <c r="B381" s="309"/>
      <c r="C381" s="194"/>
      <c r="D381" s="309"/>
      <c r="E381" s="309"/>
      <c r="F381" s="309"/>
      <c r="G381" s="309"/>
      <c r="H381" s="309"/>
      <c r="I381" s="309"/>
      <c r="J381" s="309"/>
      <c r="K381" s="309"/>
      <c r="L381" s="309"/>
      <c r="M381" s="309"/>
      <c r="N381" s="309"/>
      <c r="O381" s="309"/>
      <c r="P381" s="309"/>
      <c r="Q381" s="309"/>
      <c r="R381" s="309"/>
      <c r="S381" s="309"/>
      <c r="T381" s="309"/>
      <c r="U381" s="309"/>
      <c r="V381" s="309"/>
      <c r="W381" s="309"/>
      <c r="X381" s="309"/>
      <c r="Y381" s="309"/>
      <c r="Z381" s="309"/>
    </row>
    <row r="382">
      <c r="A382" s="194"/>
      <c r="B382" s="309"/>
      <c r="C382" s="194"/>
      <c r="D382" s="309"/>
      <c r="E382" s="309"/>
      <c r="F382" s="309"/>
      <c r="G382" s="309"/>
      <c r="H382" s="309"/>
      <c r="I382" s="309"/>
      <c r="J382" s="309"/>
      <c r="K382" s="309"/>
      <c r="L382" s="309"/>
      <c r="M382" s="309"/>
      <c r="N382" s="309"/>
      <c r="O382" s="309"/>
      <c r="P382" s="309"/>
      <c r="Q382" s="309"/>
      <c r="R382" s="309"/>
      <c r="S382" s="309"/>
      <c r="T382" s="309"/>
      <c r="U382" s="309"/>
      <c r="V382" s="309"/>
      <c r="W382" s="309"/>
      <c r="X382" s="309"/>
      <c r="Y382" s="309"/>
      <c r="Z382" s="309"/>
    </row>
    <row r="383">
      <c r="A383" s="194"/>
      <c r="B383" s="309"/>
      <c r="C383" s="194"/>
      <c r="D383" s="309"/>
      <c r="E383" s="309"/>
      <c r="F383" s="309"/>
      <c r="G383" s="309"/>
      <c r="H383" s="309"/>
      <c r="I383" s="309"/>
      <c r="J383" s="309"/>
      <c r="K383" s="309"/>
      <c r="L383" s="309"/>
      <c r="M383" s="309"/>
      <c r="N383" s="309"/>
      <c r="O383" s="309"/>
      <c r="P383" s="309"/>
      <c r="Q383" s="309"/>
      <c r="R383" s="309"/>
      <c r="S383" s="309"/>
      <c r="T383" s="309"/>
      <c r="U383" s="309"/>
      <c r="V383" s="309"/>
      <c r="W383" s="309"/>
      <c r="X383" s="309"/>
      <c r="Y383" s="309"/>
      <c r="Z383" s="309"/>
    </row>
    <row r="384">
      <c r="A384" s="194"/>
      <c r="B384" s="309"/>
      <c r="C384" s="194"/>
      <c r="D384" s="309"/>
      <c r="E384" s="309"/>
      <c r="F384" s="309"/>
      <c r="G384" s="309"/>
      <c r="H384" s="309"/>
      <c r="I384" s="309"/>
      <c r="J384" s="309"/>
      <c r="K384" s="309"/>
      <c r="L384" s="309"/>
      <c r="M384" s="309"/>
      <c r="N384" s="309"/>
      <c r="O384" s="309"/>
      <c r="P384" s="309"/>
      <c r="Q384" s="309"/>
      <c r="R384" s="309"/>
      <c r="S384" s="309"/>
      <c r="T384" s="309"/>
      <c r="U384" s="309"/>
      <c r="V384" s="309"/>
      <c r="W384" s="309"/>
      <c r="X384" s="309"/>
      <c r="Y384" s="309"/>
      <c r="Z384" s="309"/>
    </row>
    <row r="385">
      <c r="A385" s="194"/>
      <c r="B385" s="309"/>
      <c r="C385" s="194"/>
      <c r="D385" s="309"/>
      <c r="E385" s="309"/>
      <c r="F385" s="309"/>
      <c r="G385" s="309"/>
      <c r="H385" s="309"/>
      <c r="I385" s="309"/>
      <c r="J385" s="309"/>
      <c r="K385" s="309"/>
      <c r="L385" s="309"/>
      <c r="M385" s="309"/>
      <c r="N385" s="309"/>
      <c r="O385" s="309"/>
      <c r="P385" s="309"/>
      <c r="Q385" s="309"/>
      <c r="R385" s="309"/>
      <c r="S385" s="309"/>
      <c r="T385" s="309"/>
      <c r="U385" s="309"/>
      <c r="V385" s="309"/>
      <c r="W385" s="309"/>
      <c r="X385" s="309"/>
      <c r="Y385" s="309"/>
      <c r="Z385" s="309"/>
    </row>
    <row r="386">
      <c r="A386" s="194"/>
      <c r="B386" s="309"/>
      <c r="C386" s="194"/>
      <c r="D386" s="309"/>
      <c r="E386" s="309"/>
      <c r="F386" s="309"/>
      <c r="G386" s="309"/>
      <c r="H386" s="309"/>
      <c r="I386" s="309"/>
      <c r="J386" s="309"/>
      <c r="K386" s="309"/>
      <c r="L386" s="309"/>
      <c r="M386" s="309"/>
      <c r="N386" s="309"/>
      <c r="O386" s="309"/>
      <c r="P386" s="309"/>
      <c r="Q386" s="309"/>
      <c r="R386" s="309"/>
      <c r="S386" s="309"/>
      <c r="T386" s="309"/>
      <c r="U386" s="309"/>
      <c r="V386" s="309"/>
      <c r="W386" s="309"/>
      <c r="X386" s="309"/>
      <c r="Y386" s="309"/>
      <c r="Z386" s="309"/>
    </row>
    <row r="387">
      <c r="A387" s="194"/>
      <c r="B387" s="309"/>
      <c r="C387" s="194"/>
      <c r="D387" s="309"/>
      <c r="E387" s="309"/>
      <c r="F387" s="309"/>
      <c r="G387" s="309"/>
      <c r="H387" s="309"/>
      <c r="I387" s="309"/>
      <c r="J387" s="309"/>
      <c r="K387" s="309"/>
      <c r="L387" s="309"/>
      <c r="M387" s="309"/>
      <c r="N387" s="309"/>
      <c r="O387" s="309"/>
      <c r="P387" s="309"/>
      <c r="Q387" s="309"/>
      <c r="R387" s="309"/>
      <c r="S387" s="309"/>
      <c r="T387" s="309"/>
      <c r="U387" s="309"/>
      <c r="V387" s="309"/>
      <c r="W387" s="309"/>
      <c r="X387" s="309"/>
      <c r="Y387" s="309"/>
      <c r="Z387" s="309"/>
    </row>
    <row r="388">
      <c r="A388" s="194"/>
      <c r="B388" s="309"/>
      <c r="C388" s="194"/>
      <c r="D388" s="309"/>
      <c r="E388" s="309"/>
      <c r="F388" s="309"/>
      <c r="G388" s="309"/>
      <c r="H388" s="309"/>
      <c r="I388" s="309"/>
      <c r="J388" s="309"/>
      <c r="K388" s="309"/>
      <c r="L388" s="309"/>
      <c r="M388" s="309"/>
      <c r="N388" s="309"/>
      <c r="O388" s="309"/>
      <c r="P388" s="309"/>
      <c r="Q388" s="309"/>
      <c r="R388" s="309"/>
      <c r="S388" s="309"/>
      <c r="T388" s="309"/>
      <c r="U388" s="309"/>
      <c r="V388" s="309"/>
      <c r="W388" s="309"/>
      <c r="X388" s="309"/>
      <c r="Y388" s="309"/>
      <c r="Z388" s="309"/>
    </row>
    <row r="389">
      <c r="A389" s="194"/>
      <c r="B389" s="309"/>
      <c r="C389" s="194"/>
      <c r="D389" s="309"/>
      <c r="E389" s="309"/>
      <c r="F389" s="309"/>
      <c r="G389" s="309"/>
      <c r="H389" s="309"/>
      <c r="I389" s="309"/>
      <c r="J389" s="309"/>
      <c r="K389" s="309"/>
      <c r="L389" s="309"/>
      <c r="M389" s="309"/>
      <c r="N389" s="309"/>
      <c r="O389" s="309"/>
      <c r="P389" s="309"/>
      <c r="Q389" s="309"/>
      <c r="R389" s="309"/>
      <c r="S389" s="309"/>
      <c r="T389" s="309"/>
      <c r="U389" s="309"/>
      <c r="V389" s="309"/>
      <c r="W389" s="309"/>
      <c r="X389" s="309"/>
      <c r="Y389" s="309"/>
      <c r="Z389" s="309"/>
    </row>
    <row r="390">
      <c r="A390" s="194"/>
      <c r="B390" s="309"/>
      <c r="C390" s="194"/>
      <c r="D390" s="309"/>
      <c r="E390" s="309"/>
      <c r="F390" s="309"/>
      <c r="G390" s="309"/>
      <c r="H390" s="309"/>
      <c r="I390" s="309"/>
      <c r="J390" s="309"/>
      <c r="K390" s="309"/>
      <c r="L390" s="309"/>
      <c r="M390" s="309"/>
      <c r="N390" s="309"/>
      <c r="O390" s="309"/>
      <c r="P390" s="309"/>
      <c r="Q390" s="309"/>
      <c r="R390" s="309"/>
      <c r="S390" s="309"/>
      <c r="T390" s="309"/>
      <c r="U390" s="309"/>
      <c r="V390" s="309"/>
      <c r="W390" s="309"/>
      <c r="X390" s="309"/>
      <c r="Y390" s="309"/>
      <c r="Z390" s="309"/>
    </row>
    <row r="391">
      <c r="A391" s="194"/>
      <c r="B391" s="309"/>
      <c r="C391" s="194"/>
      <c r="D391" s="309"/>
      <c r="E391" s="309"/>
      <c r="F391" s="309"/>
      <c r="G391" s="309"/>
      <c r="H391" s="309"/>
      <c r="I391" s="309"/>
      <c r="J391" s="309"/>
      <c r="K391" s="309"/>
      <c r="L391" s="309"/>
      <c r="M391" s="309"/>
      <c r="N391" s="309"/>
      <c r="O391" s="309"/>
      <c r="P391" s="309"/>
      <c r="Q391" s="309"/>
      <c r="R391" s="309"/>
      <c r="S391" s="309"/>
      <c r="T391" s="309"/>
      <c r="U391" s="309"/>
      <c r="V391" s="309"/>
      <c r="W391" s="309"/>
      <c r="X391" s="309"/>
      <c r="Y391" s="309"/>
      <c r="Z391" s="309"/>
    </row>
    <row r="392">
      <c r="A392" s="194"/>
      <c r="B392" s="309"/>
      <c r="C392" s="194"/>
      <c r="D392" s="309"/>
      <c r="E392" s="309"/>
      <c r="F392" s="309"/>
      <c r="G392" s="309"/>
      <c r="H392" s="309"/>
      <c r="I392" s="309"/>
      <c r="J392" s="309"/>
      <c r="K392" s="309"/>
      <c r="L392" s="309"/>
      <c r="M392" s="309"/>
      <c r="N392" s="309"/>
      <c r="O392" s="309"/>
      <c r="P392" s="309"/>
      <c r="Q392" s="309"/>
      <c r="R392" s="309"/>
      <c r="S392" s="309"/>
      <c r="T392" s="309"/>
      <c r="U392" s="309"/>
      <c r="V392" s="309"/>
      <c r="W392" s="309"/>
      <c r="X392" s="309"/>
      <c r="Y392" s="309"/>
      <c r="Z392" s="309"/>
    </row>
    <row r="393">
      <c r="A393" s="194"/>
      <c r="B393" s="309"/>
      <c r="C393" s="194"/>
      <c r="D393" s="309"/>
      <c r="E393" s="309"/>
      <c r="F393" s="309"/>
      <c r="G393" s="309"/>
      <c r="H393" s="309"/>
      <c r="I393" s="309"/>
      <c r="J393" s="309"/>
      <c r="K393" s="309"/>
      <c r="L393" s="309"/>
      <c r="M393" s="309"/>
      <c r="N393" s="309"/>
      <c r="O393" s="309"/>
      <c r="P393" s="309"/>
      <c r="Q393" s="309"/>
      <c r="R393" s="309"/>
      <c r="S393" s="309"/>
      <c r="T393" s="309"/>
      <c r="U393" s="309"/>
      <c r="V393" s="309"/>
      <c r="W393" s="309"/>
      <c r="X393" s="309"/>
      <c r="Y393" s="309"/>
      <c r="Z393" s="309"/>
    </row>
    <row r="394">
      <c r="A394" s="194"/>
      <c r="B394" s="309"/>
      <c r="C394" s="194"/>
      <c r="D394" s="309"/>
      <c r="E394" s="309"/>
      <c r="F394" s="309"/>
      <c r="G394" s="309"/>
      <c r="H394" s="309"/>
      <c r="I394" s="309"/>
      <c r="J394" s="309"/>
      <c r="K394" s="309"/>
      <c r="L394" s="309"/>
      <c r="M394" s="309"/>
      <c r="N394" s="309"/>
      <c r="O394" s="309"/>
      <c r="P394" s="309"/>
      <c r="Q394" s="309"/>
      <c r="R394" s="309"/>
      <c r="S394" s="309"/>
      <c r="T394" s="309"/>
      <c r="U394" s="309"/>
      <c r="V394" s="309"/>
      <c r="W394" s="309"/>
      <c r="X394" s="309"/>
      <c r="Y394" s="309"/>
      <c r="Z394" s="309"/>
    </row>
    <row r="395">
      <c r="A395" s="194"/>
      <c r="B395" s="309"/>
      <c r="C395" s="194"/>
      <c r="D395" s="309"/>
      <c r="E395" s="309"/>
      <c r="F395" s="309"/>
      <c r="G395" s="309"/>
      <c r="H395" s="309"/>
      <c r="I395" s="309"/>
      <c r="J395" s="309"/>
      <c r="K395" s="309"/>
      <c r="L395" s="309"/>
      <c r="M395" s="309"/>
      <c r="N395" s="309"/>
      <c r="O395" s="309"/>
      <c r="P395" s="309"/>
      <c r="Q395" s="309"/>
      <c r="R395" s="309"/>
      <c r="S395" s="309"/>
      <c r="T395" s="309"/>
      <c r="U395" s="309"/>
      <c r="V395" s="309"/>
      <c r="W395" s="309"/>
      <c r="X395" s="309"/>
      <c r="Y395" s="309"/>
      <c r="Z395" s="309"/>
    </row>
    <row r="396">
      <c r="A396" s="194"/>
      <c r="B396" s="309"/>
      <c r="C396" s="194"/>
      <c r="D396" s="309"/>
      <c r="E396" s="309"/>
      <c r="F396" s="309"/>
      <c r="G396" s="309"/>
      <c r="H396" s="309"/>
      <c r="I396" s="309"/>
      <c r="J396" s="309"/>
      <c r="K396" s="309"/>
      <c r="L396" s="309"/>
      <c r="M396" s="309"/>
      <c r="N396" s="309"/>
      <c r="O396" s="309"/>
      <c r="P396" s="309"/>
      <c r="Q396" s="309"/>
      <c r="R396" s="309"/>
      <c r="S396" s="309"/>
      <c r="T396" s="309"/>
      <c r="U396" s="309"/>
      <c r="V396" s="309"/>
      <c r="W396" s="309"/>
      <c r="X396" s="309"/>
      <c r="Y396" s="309"/>
      <c r="Z396" s="309"/>
    </row>
    <row r="397">
      <c r="A397" s="194"/>
      <c r="B397" s="309"/>
      <c r="C397" s="194"/>
      <c r="D397" s="309"/>
      <c r="E397" s="309"/>
      <c r="F397" s="309"/>
      <c r="G397" s="309"/>
      <c r="H397" s="309"/>
      <c r="I397" s="309"/>
      <c r="J397" s="309"/>
      <c r="K397" s="309"/>
      <c r="L397" s="309"/>
      <c r="M397" s="309"/>
      <c r="N397" s="309"/>
      <c r="O397" s="309"/>
      <c r="P397" s="309"/>
      <c r="Q397" s="309"/>
      <c r="R397" s="309"/>
      <c r="S397" s="309"/>
      <c r="T397" s="309"/>
      <c r="U397" s="309"/>
      <c r="V397" s="309"/>
      <c r="W397" s="309"/>
      <c r="X397" s="309"/>
      <c r="Y397" s="309"/>
      <c r="Z397" s="309"/>
    </row>
    <row r="398">
      <c r="A398" s="194"/>
      <c r="B398" s="309"/>
      <c r="C398" s="194"/>
      <c r="D398" s="309"/>
      <c r="E398" s="309"/>
      <c r="F398" s="309"/>
      <c r="G398" s="309"/>
      <c r="H398" s="309"/>
      <c r="I398" s="309"/>
      <c r="J398" s="309"/>
      <c r="K398" s="309"/>
      <c r="L398" s="309"/>
      <c r="M398" s="309"/>
      <c r="N398" s="309"/>
      <c r="O398" s="309"/>
      <c r="P398" s="309"/>
      <c r="Q398" s="309"/>
      <c r="R398" s="309"/>
      <c r="S398" s="309"/>
      <c r="T398" s="309"/>
      <c r="U398" s="309"/>
      <c r="V398" s="309"/>
      <c r="W398" s="309"/>
      <c r="X398" s="309"/>
      <c r="Y398" s="309"/>
      <c r="Z398" s="309"/>
    </row>
    <row r="399">
      <c r="A399" s="194"/>
      <c r="B399" s="309"/>
      <c r="C399" s="194"/>
      <c r="D399" s="309"/>
      <c r="E399" s="309"/>
      <c r="F399" s="309"/>
      <c r="G399" s="309"/>
      <c r="H399" s="309"/>
      <c r="I399" s="309"/>
      <c r="J399" s="309"/>
      <c r="K399" s="309"/>
      <c r="L399" s="309"/>
      <c r="M399" s="309"/>
      <c r="N399" s="309"/>
      <c r="O399" s="309"/>
      <c r="P399" s="309"/>
      <c r="Q399" s="309"/>
      <c r="R399" s="309"/>
      <c r="S399" s="309"/>
      <c r="T399" s="309"/>
      <c r="U399" s="309"/>
      <c r="V399" s="309"/>
      <c r="W399" s="309"/>
      <c r="X399" s="309"/>
      <c r="Y399" s="309"/>
      <c r="Z399" s="309"/>
    </row>
    <row r="400">
      <c r="A400" s="194"/>
      <c r="B400" s="309"/>
      <c r="C400" s="194"/>
      <c r="D400" s="309"/>
      <c r="E400" s="309"/>
      <c r="F400" s="309"/>
      <c r="G400" s="309"/>
      <c r="H400" s="309"/>
      <c r="I400" s="309"/>
      <c r="J400" s="309"/>
      <c r="K400" s="309"/>
      <c r="L400" s="309"/>
      <c r="M400" s="309"/>
      <c r="N400" s="309"/>
      <c r="O400" s="309"/>
      <c r="P400" s="309"/>
      <c r="Q400" s="309"/>
      <c r="R400" s="309"/>
      <c r="S400" s="309"/>
      <c r="T400" s="309"/>
      <c r="U400" s="309"/>
      <c r="V400" s="309"/>
      <c r="W400" s="309"/>
      <c r="X400" s="309"/>
      <c r="Y400" s="309"/>
      <c r="Z400" s="309"/>
    </row>
    <row r="401">
      <c r="A401" s="194"/>
      <c r="B401" s="309"/>
      <c r="C401" s="194"/>
      <c r="D401" s="309"/>
      <c r="E401" s="309"/>
      <c r="F401" s="309"/>
      <c r="G401" s="309"/>
      <c r="H401" s="309"/>
      <c r="I401" s="309"/>
      <c r="J401" s="309"/>
      <c r="K401" s="309"/>
      <c r="L401" s="309"/>
      <c r="M401" s="309"/>
      <c r="N401" s="309"/>
      <c r="O401" s="309"/>
      <c r="P401" s="309"/>
      <c r="Q401" s="309"/>
      <c r="R401" s="309"/>
      <c r="S401" s="309"/>
      <c r="T401" s="309"/>
      <c r="U401" s="309"/>
      <c r="V401" s="309"/>
      <c r="W401" s="309"/>
      <c r="X401" s="309"/>
      <c r="Y401" s="309"/>
      <c r="Z401" s="309"/>
    </row>
    <row r="402">
      <c r="A402" s="194"/>
      <c r="B402" s="309"/>
      <c r="C402" s="194"/>
      <c r="D402" s="309"/>
      <c r="E402" s="309"/>
      <c r="F402" s="309"/>
      <c r="G402" s="309"/>
      <c r="H402" s="309"/>
      <c r="I402" s="309"/>
      <c r="J402" s="309"/>
      <c r="K402" s="309"/>
      <c r="L402" s="309"/>
      <c r="M402" s="309"/>
      <c r="N402" s="309"/>
      <c r="O402" s="309"/>
      <c r="P402" s="309"/>
      <c r="Q402" s="309"/>
      <c r="R402" s="309"/>
      <c r="S402" s="309"/>
      <c r="T402" s="309"/>
      <c r="U402" s="309"/>
      <c r="V402" s="309"/>
      <c r="W402" s="309"/>
      <c r="X402" s="309"/>
      <c r="Y402" s="309"/>
      <c r="Z402" s="309"/>
    </row>
    <row r="403">
      <c r="A403" s="194"/>
      <c r="B403" s="309"/>
      <c r="C403" s="194"/>
      <c r="D403" s="309"/>
      <c r="E403" s="309"/>
      <c r="F403" s="309"/>
      <c r="G403" s="309"/>
      <c r="H403" s="309"/>
      <c r="I403" s="309"/>
      <c r="J403" s="309"/>
      <c r="K403" s="309"/>
      <c r="L403" s="309"/>
      <c r="M403" s="309"/>
      <c r="N403" s="309"/>
      <c r="O403" s="309"/>
      <c r="P403" s="309"/>
      <c r="Q403" s="309"/>
      <c r="R403" s="309"/>
      <c r="S403" s="309"/>
      <c r="T403" s="309"/>
      <c r="U403" s="309"/>
      <c r="V403" s="309"/>
      <c r="W403" s="309"/>
      <c r="X403" s="309"/>
      <c r="Y403" s="309"/>
      <c r="Z403" s="309"/>
    </row>
    <row r="404">
      <c r="A404" s="194"/>
      <c r="B404" s="309"/>
      <c r="C404" s="194"/>
      <c r="D404" s="309"/>
      <c r="E404" s="309"/>
      <c r="F404" s="309"/>
      <c r="G404" s="309"/>
      <c r="H404" s="309"/>
      <c r="I404" s="309"/>
      <c r="J404" s="309"/>
      <c r="K404" s="309"/>
      <c r="L404" s="309"/>
      <c r="M404" s="309"/>
      <c r="N404" s="309"/>
      <c r="O404" s="309"/>
      <c r="P404" s="309"/>
      <c r="Q404" s="309"/>
      <c r="R404" s="309"/>
      <c r="S404" s="309"/>
      <c r="T404" s="309"/>
      <c r="U404" s="309"/>
      <c r="V404" s="309"/>
      <c r="W404" s="309"/>
      <c r="X404" s="309"/>
      <c r="Y404" s="309"/>
      <c r="Z404" s="309"/>
    </row>
    <row r="405">
      <c r="A405" s="194"/>
      <c r="B405" s="309"/>
      <c r="C405" s="194"/>
      <c r="D405" s="309"/>
      <c r="E405" s="309"/>
      <c r="F405" s="309"/>
      <c r="G405" s="309"/>
      <c r="H405" s="309"/>
      <c r="I405" s="309"/>
      <c r="J405" s="309"/>
      <c r="K405" s="309"/>
      <c r="L405" s="309"/>
      <c r="M405" s="309"/>
      <c r="N405" s="309"/>
      <c r="O405" s="309"/>
      <c r="P405" s="309"/>
      <c r="Q405" s="309"/>
      <c r="R405" s="309"/>
      <c r="S405" s="309"/>
      <c r="T405" s="309"/>
      <c r="U405" s="309"/>
      <c r="V405" s="309"/>
      <c r="W405" s="309"/>
      <c r="X405" s="309"/>
      <c r="Y405" s="309"/>
      <c r="Z405" s="309"/>
    </row>
    <row r="406">
      <c r="A406" s="194"/>
      <c r="B406" s="309"/>
      <c r="C406" s="194"/>
      <c r="D406" s="309"/>
      <c r="E406" s="309"/>
      <c r="F406" s="309"/>
      <c r="G406" s="309"/>
      <c r="H406" s="309"/>
      <c r="I406" s="309"/>
      <c r="J406" s="309"/>
      <c r="K406" s="309"/>
      <c r="L406" s="309"/>
      <c r="M406" s="309"/>
      <c r="N406" s="309"/>
      <c r="O406" s="309"/>
      <c r="P406" s="309"/>
      <c r="Q406" s="309"/>
      <c r="R406" s="309"/>
      <c r="S406" s="309"/>
      <c r="T406" s="309"/>
      <c r="U406" s="309"/>
      <c r="V406" s="309"/>
      <c r="W406" s="309"/>
      <c r="X406" s="309"/>
      <c r="Y406" s="309"/>
      <c r="Z406" s="309"/>
    </row>
    <row r="407">
      <c r="A407" s="194"/>
      <c r="B407" s="309"/>
      <c r="C407" s="194"/>
      <c r="D407" s="309"/>
      <c r="E407" s="309"/>
      <c r="F407" s="309"/>
      <c r="G407" s="309"/>
      <c r="H407" s="309"/>
      <c r="I407" s="309"/>
      <c r="J407" s="309"/>
      <c r="K407" s="309"/>
      <c r="L407" s="309"/>
      <c r="M407" s="309"/>
      <c r="N407" s="309"/>
      <c r="O407" s="309"/>
      <c r="P407" s="309"/>
      <c r="Q407" s="309"/>
      <c r="R407" s="309"/>
      <c r="S407" s="309"/>
      <c r="T407" s="309"/>
      <c r="U407" s="309"/>
      <c r="V407" s="309"/>
      <c r="W407" s="309"/>
      <c r="X407" s="309"/>
      <c r="Y407" s="309"/>
      <c r="Z407" s="309"/>
    </row>
    <row r="408">
      <c r="A408" s="194"/>
      <c r="B408" s="309"/>
      <c r="C408" s="194"/>
      <c r="D408" s="309"/>
      <c r="E408" s="309"/>
      <c r="F408" s="309"/>
      <c r="G408" s="309"/>
      <c r="H408" s="309"/>
      <c r="I408" s="309"/>
      <c r="J408" s="309"/>
      <c r="K408" s="309"/>
      <c r="L408" s="309"/>
      <c r="M408" s="309"/>
      <c r="N408" s="309"/>
      <c r="O408" s="309"/>
      <c r="P408" s="309"/>
      <c r="Q408" s="309"/>
      <c r="R408" s="309"/>
      <c r="S408" s="309"/>
      <c r="T408" s="309"/>
      <c r="U408" s="309"/>
      <c r="V408" s="309"/>
      <c r="W408" s="309"/>
      <c r="X408" s="309"/>
      <c r="Y408" s="309"/>
      <c r="Z408" s="309"/>
    </row>
    <row r="409">
      <c r="A409" s="194"/>
      <c r="B409" s="309"/>
      <c r="C409" s="194"/>
      <c r="D409" s="309"/>
      <c r="E409" s="309"/>
      <c r="F409" s="309"/>
      <c r="G409" s="309"/>
      <c r="H409" s="309"/>
      <c r="I409" s="309"/>
      <c r="J409" s="309"/>
      <c r="K409" s="309"/>
      <c r="L409" s="309"/>
      <c r="M409" s="309"/>
      <c r="N409" s="309"/>
      <c r="O409" s="309"/>
      <c r="P409" s="309"/>
      <c r="Q409" s="309"/>
      <c r="R409" s="309"/>
      <c r="S409" s="309"/>
      <c r="T409" s="309"/>
      <c r="U409" s="309"/>
      <c r="V409" s="309"/>
      <c r="W409" s="309"/>
      <c r="X409" s="309"/>
      <c r="Y409" s="309"/>
      <c r="Z409" s="309"/>
    </row>
    <row r="410">
      <c r="A410" s="194"/>
      <c r="B410" s="309"/>
      <c r="C410" s="194"/>
      <c r="D410" s="309"/>
      <c r="E410" s="309"/>
      <c r="F410" s="309"/>
      <c r="G410" s="309"/>
      <c r="H410" s="309"/>
      <c r="I410" s="309"/>
      <c r="J410" s="309"/>
      <c r="K410" s="309"/>
      <c r="L410" s="309"/>
      <c r="M410" s="309"/>
      <c r="N410" s="309"/>
      <c r="O410" s="309"/>
      <c r="P410" s="309"/>
      <c r="Q410" s="309"/>
      <c r="R410" s="309"/>
      <c r="S410" s="309"/>
      <c r="T410" s="309"/>
      <c r="U410" s="309"/>
      <c r="V410" s="309"/>
      <c r="W410" s="309"/>
      <c r="X410" s="309"/>
      <c r="Y410" s="309"/>
      <c r="Z410" s="309"/>
    </row>
    <row r="411">
      <c r="A411" s="194"/>
      <c r="B411" s="309"/>
      <c r="C411" s="194"/>
      <c r="D411" s="309"/>
      <c r="E411" s="309"/>
      <c r="F411" s="309"/>
      <c r="G411" s="309"/>
      <c r="H411" s="309"/>
      <c r="I411" s="309"/>
      <c r="J411" s="309"/>
      <c r="K411" s="309"/>
      <c r="L411" s="309"/>
      <c r="M411" s="309"/>
      <c r="N411" s="309"/>
      <c r="O411" s="309"/>
      <c r="P411" s="309"/>
      <c r="Q411" s="309"/>
      <c r="R411" s="309"/>
      <c r="S411" s="309"/>
      <c r="T411" s="309"/>
      <c r="U411" s="309"/>
      <c r="V411" s="309"/>
      <c r="W411" s="309"/>
      <c r="X411" s="309"/>
      <c r="Y411" s="309"/>
      <c r="Z411" s="309"/>
    </row>
    <row r="412">
      <c r="A412" s="194"/>
      <c r="B412" s="309"/>
      <c r="C412" s="194"/>
      <c r="D412" s="309"/>
      <c r="E412" s="309"/>
      <c r="F412" s="309"/>
      <c r="G412" s="309"/>
      <c r="H412" s="309"/>
      <c r="I412" s="309"/>
      <c r="J412" s="309"/>
      <c r="K412" s="309"/>
      <c r="L412" s="309"/>
      <c r="M412" s="309"/>
      <c r="N412" s="309"/>
      <c r="O412" s="309"/>
      <c r="P412" s="309"/>
      <c r="Q412" s="309"/>
      <c r="R412" s="309"/>
      <c r="S412" s="309"/>
      <c r="T412" s="309"/>
      <c r="U412" s="309"/>
      <c r="V412" s="309"/>
      <c r="W412" s="309"/>
      <c r="X412" s="309"/>
      <c r="Y412" s="309"/>
      <c r="Z412" s="309"/>
    </row>
    <row r="413">
      <c r="A413" s="194"/>
      <c r="B413" s="309"/>
      <c r="C413" s="194"/>
      <c r="D413" s="309"/>
      <c r="E413" s="309"/>
      <c r="F413" s="309"/>
      <c r="G413" s="309"/>
      <c r="H413" s="309"/>
      <c r="I413" s="309"/>
      <c r="J413" s="309"/>
      <c r="K413" s="309"/>
      <c r="L413" s="309"/>
      <c r="M413" s="309"/>
      <c r="N413" s="309"/>
      <c r="O413" s="309"/>
      <c r="P413" s="309"/>
      <c r="Q413" s="309"/>
      <c r="R413" s="309"/>
      <c r="S413" s="309"/>
      <c r="T413" s="309"/>
      <c r="U413" s="309"/>
      <c r="V413" s="309"/>
      <c r="W413" s="309"/>
      <c r="X413" s="309"/>
      <c r="Y413" s="309"/>
      <c r="Z413" s="309"/>
    </row>
    <row r="414">
      <c r="A414" s="194"/>
      <c r="B414" s="309"/>
      <c r="C414" s="194"/>
      <c r="D414" s="309"/>
      <c r="E414" s="309"/>
      <c r="F414" s="309"/>
      <c r="G414" s="309"/>
      <c r="H414" s="309"/>
      <c r="I414" s="309"/>
      <c r="J414" s="309"/>
      <c r="K414" s="309"/>
      <c r="L414" s="309"/>
      <c r="M414" s="309"/>
      <c r="N414" s="309"/>
      <c r="O414" s="309"/>
      <c r="P414" s="309"/>
      <c r="Q414" s="309"/>
      <c r="R414" s="309"/>
      <c r="S414" s="309"/>
      <c r="T414" s="309"/>
      <c r="U414" s="309"/>
      <c r="V414" s="309"/>
      <c r="W414" s="309"/>
      <c r="X414" s="309"/>
      <c r="Y414" s="309"/>
      <c r="Z414" s="309"/>
    </row>
    <row r="415">
      <c r="A415" s="194"/>
      <c r="B415" s="309"/>
      <c r="C415" s="194"/>
      <c r="D415" s="309"/>
      <c r="E415" s="309"/>
      <c r="F415" s="309"/>
      <c r="G415" s="309"/>
      <c r="H415" s="309"/>
      <c r="I415" s="309"/>
      <c r="J415" s="309"/>
      <c r="K415" s="309"/>
      <c r="L415" s="309"/>
      <c r="M415" s="309"/>
      <c r="N415" s="309"/>
      <c r="O415" s="309"/>
      <c r="P415" s="309"/>
      <c r="Q415" s="309"/>
      <c r="R415" s="309"/>
      <c r="S415" s="309"/>
      <c r="T415" s="309"/>
      <c r="U415" s="309"/>
      <c r="V415" s="309"/>
      <c r="W415" s="309"/>
      <c r="X415" s="309"/>
      <c r="Y415" s="309"/>
      <c r="Z415" s="309"/>
    </row>
    <row r="416">
      <c r="A416" s="194"/>
      <c r="B416" s="309"/>
      <c r="C416" s="194"/>
      <c r="D416" s="309"/>
      <c r="E416" s="309"/>
      <c r="F416" s="309"/>
      <c r="G416" s="309"/>
      <c r="H416" s="309"/>
      <c r="I416" s="309"/>
      <c r="J416" s="309"/>
      <c r="K416" s="309"/>
      <c r="L416" s="309"/>
      <c r="M416" s="309"/>
      <c r="N416" s="309"/>
      <c r="O416" s="309"/>
      <c r="P416" s="309"/>
      <c r="Q416" s="309"/>
      <c r="R416" s="309"/>
      <c r="S416" s="309"/>
      <c r="T416" s="309"/>
      <c r="U416" s="309"/>
      <c r="V416" s="309"/>
      <c r="W416" s="309"/>
      <c r="X416" s="309"/>
      <c r="Y416" s="309"/>
      <c r="Z416" s="309"/>
    </row>
    <row r="417">
      <c r="A417" s="194"/>
      <c r="B417" s="309"/>
      <c r="C417" s="194"/>
      <c r="D417" s="309"/>
      <c r="E417" s="309"/>
      <c r="F417" s="309"/>
      <c r="G417" s="309"/>
      <c r="H417" s="309"/>
      <c r="I417" s="309"/>
      <c r="J417" s="309"/>
      <c r="K417" s="309"/>
      <c r="L417" s="309"/>
      <c r="M417" s="309"/>
      <c r="N417" s="309"/>
      <c r="O417" s="309"/>
      <c r="P417" s="309"/>
      <c r="Q417" s="309"/>
      <c r="R417" s="309"/>
      <c r="S417" s="309"/>
      <c r="T417" s="309"/>
      <c r="U417" s="309"/>
      <c r="V417" s="309"/>
      <c r="W417" s="309"/>
      <c r="X417" s="309"/>
      <c r="Y417" s="309"/>
      <c r="Z417" s="309"/>
    </row>
    <row r="418">
      <c r="A418" s="194"/>
      <c r="B418" s="309"/>
      <c r="C418" s="194"/>
      <c r="D418" s="309"/>
      <c r="E418" s="309"/>
      <c r="F418" s="309"/>
      <c r="G418" s="309"/>
      <c r="H418" s="309"/>
      <c r="I418" s="309"/>
      <c r="J418" s="309"/>
      <c r="K418" s="309"/>
      <c r="L418" s="309"/>
      <c r="M418" s="309"/>
      <c r="N418" s="309"/>
      <c r="O418" s="309"/>
      <c r="P418" s="309"/>
      <c r="Q418" s="309"/>
      <c r="R418" s="309"/>
      <c r="S418" s="309"/>
      <c r="T418" s="309"/>
      <c r="U418" s="309"/>
      <c r="V418" s="309"/>
      <c r="W418" s="309"/>
      <c r="X418" s="309"/>
      <c r="Y418" s="309"/>
      <c r="Z418" s="309"/>
    </row>
    <row r="419">
      <c r="A419" s="194"/>
      <c r="B419" s="309"/>
      <c r="C419" s="194"/>
      <c r="D419" s="309"/>
      <c r="E419" s="309"/>
      <c r="F419" s="309"/>
      <c r="G419" s="309"/>
      <c r="H419" s="309"/>
      <c r="I419" s="309"/>
      <c r="J419" s="309"/>
      <c r="K419" s="309"/>
      <c r="L419" s="309"/>
      <c r="M419" s="309"/>
      <c r="N419" s="309"/>
      <c r="O419" s="309"/>
      <c r="P419" s="309"/>
      <c r="Q419" s="309"/>
      <c r="R419" s="309"/>
      <c r="S419" s="309"/>
      <c r="T419" s="309"/>
      <c r="U419" s="309"/>
      <c r="V419" s="309"/>
      <c r="W419" s="309"/>
      <c r="X419" s="309"/>
      <c r="Y419" s="309"/>
      <c r="Z419" s="309"/>
    </row>
    <row r="420">
      <c r="A420" s="194"/>
      <c r="B420" s="309"/>
      <c r="C420" s="194"/>
      <c r="D420" s="309"/>
      <c r="E420" s="309"/>
      <c r="F420" s="309"/>
      <c r="G420" s="309"/>
      <c r="H420" s="309"/>
      <c r="I420" s="309"/>
      <c r="J420" s="309"/>
      <c r="K420" s="309"/>
      <c r="L420" s="309"/>
      <c r="M420" s="309"/>
      <c r="N420" s="309"/>
      <c r="O420" s="309"/>
      <c r="P420" s="309"/>
      <c r="Q420" s="309"/>
      <c r="R420" s="309"/>
      <c r="S420" s="309"/>
      <c r="T420" s="309"/>
      <c r="U420" s="309"/>
      <c r="V420" s="309"/>
      <c r="W420" s="309"/>
      <c r="X420" s="309"/>
      <c r="Y420" s="309"/>
      <c r="Z420" s="309"/>
    </row>
    <row r="421">
      <c r="A421" s="194"/>
      <c r="B421" s="309"/>
      <c r="C421" s="194"/>
      <c r="D421" s="309"/>
      <c r="E421" s="309"/>
      <c r="F421" s="309"/>
      <c r="G421" s="309"/>
      <c r="H421" s="309"/>
      <c r="I421" s="309"/>
      <c r="J421" s="309"/>
      <c r="K421" s="309"/>
      <c r="L421" s="309"/>
      <c r="M421" s="309"/>
      <c r="N421" s="309"/>
      <c r="O421" s="309"/>
      <c r="P421" s="309"/>
      <c r="Q421" s="309"/>
      <c r="R421" s="309"/>
      <c r="S421" s="309"/>
      <c r="T421" s="309"/>
      <c r="U421" s="309"/>
      <c r="V421" s="309"/>
      <c r="W421" s="309"/>
      <c r="X421" s="309"/>
      <c r="Y421" s="309"/>
      <c r="Z421" s="309"/>
    </row>
    <row r="422">
      <c r="A422" s="194"/>
      <c r="B422" s="309"/>
      <c r="C422" s="194"/>
      <c r="D422" s="309"/>
      <c r="E422" s="309"/>
      <c r="F422" s="309"/>
      <c r="G422" s="309"/>
      <c r="H422" s="309"/>
      <c r="I422" s="309"/>
      <c r="J422" s="309"/>
      <c r="K422" s="309"/>
      <c r="L422" s="309"/>
      <c r="M422" s="309"/>
      <c r="N422" s="309"/>
      <c r="O422" s="309"/>
      <c r="P422" s="309"/>
      <c r="Q422" s="309"/>
      <c r="R422" s="309"/>
      <c r="S422" s="309"/>
      <c r="T422" s="309"/>
      <c r="U422" s="309"/>
      <c r="V422" s="309"/>
      <c r="W422" s="309"/>
      <c r="X422" s="309"/>
      <c r="Y422" s="309"/>
      <c r="Z422" s="309"/>
    </row>
    <row r="423">
      <c r="A423" s="194"/>
      <c r="B423" s="309"/>
      <c r="C423" s="194"/>
      <c r="D423" s="309"/>
      <c r="E423" s="309"/>
      <c r="F423" s="309"/>
      <c r="G423" s="309"/>
      <c r="H423" s="309"/>
      <c r="I423" s="309"/>
      <c r="J423" s="309"/>
      <c r="K423" s="309"/>
      <c r="L423" s="309"/>
      <c r="M423" s="309"/>
      <c r="N423" s="309"/>
      <c r="O423" s="309"/>
      <c r="P423" s="309"/>
      <c r="Q423" s="309"/>
      <c r="R423" s="309"/>
      <c r="S423" s="309"/>
      <c r="T423" s="309"/>
      <c r="U423" s="309"/>
      <c r="V423" s="309"/>
      <c r="W423" s="309"/>
      <c r="X423" s="309"/>
      <c r="Y423" s="309"/>
      <c r="Z423" s="309"/>
    </row>
    <row r="424">
      <c r="A424" s="194"/>
      <c r="B424" s="309"/>
      <c r="C424" s="194"/>
      <c r="D424" s="309"/>
      <c r="E424" s="309"/>
      <c r="F424" s="309"/>
      <c r="G424" s="309"/>
      <c r="H424" s="309"/>
      <c r="I424" s="309"/>
      <c r="J424" s="309"/>
      <c r="K424" s="309"/>
      <c r="L424" s="309"/>
      <c r="M424" s="309"/>
      <c r="N424" s="309"/>
      <c r="O424" s="309"/>
      <c r="P424" s="309"/>
      <c r="Q424" s="309"/>
      <c r="R424" s="309"/>
      <c r="S424" s="309"/>
      <c r="T424" s="309"/>
      <c r="U424" s="309"/>
      <c r="V424" s="309"/>
      <c r="W424" s="309"/>
      <c r="X424" s="309"/>
      <c r="Y424" s="309"/>
      <c r="Z424" s="309"/>
    </row>
    <row r="425">
      <c r="A425" s="194"/>
      <c r="B425" s="309"/>
      <c r="C425" s="194"/>
      <c r="D425" s="309"/>
      <c r="E425" s="309"/>
      <c r="F425" s="309"/>
      <c r="G425" s="309"/>
      <c r="H425" s="309"/>
      <c r="I425" s="309"/>
      <c r="J425" s="309"/>
      <c r="K425" s="309"/>
      <c r="L425" s="309"/>
      <c r="M425" s="309"/>
      <c r="N425" s="309"/>
      <c r="O425" s="309"/>
      <c r="P425" s="309"/>
      <c r="Q425" s="309"/>
      <c r="R425" s="309"/>
      <c r="S425" s="309"/>
      <c r="T425" s="309"/>
      <c r="U425" s="309"/>
      <c r="V425" s="309"/>
      <c r="W425" s="309"/>
      <c r="X425" s="309"/>
      <c r="Y425" s="309"/>
      <c r="Z425" s="309"/>
    </row>
    <row r="426">
      <c r="A426" s="194"/>
      <c r="B426" s="309"/>
      <c r="C426" s="194"/>
      <c r="D426" s="309"/>
      <c r="E426" s="309"/>
      <c r="F426" s="309"/>
      <c r="G426" s="309"/>
      <c r="H426" s="309"/>
      <c r="I426" s="309"/>
      <c r="J426" s="309"/>
      <c r="K426" s="309"/>
      <c r="L426" s="309"/>
      <c r="M426" s="309"/>
      <c r="N426" s="309"/>
      <c r="O426" s="309"/>
      <c r="P426" s="309"/>
      <c r="Q426" s="309"/>
      <c r="R426" s="309"/>
      <c r="S426" s="309"/>
      <c r="T426" s="309"/>
      <c r="U426" s="309"/>
      <c r="V426" s="309"/>
      <c r="W426" s="309"/>
      <c r="X426" s="309"/>
      <c r="Y426" s="309"/>
      <c r="Z426" s="309"/>
    </row>
    <row r="427">
      <c r="A427" s="194"/>
      <c r="B427" s="309"/>
      <c r="C427" s="194"/>
      <c r="D427" s="309"/>
      <c r="E427" s="309"/>
      <c r="F427" s="309"/>
      <c r="G427" s="309"/>
      <c r="H427" s="309"/>
      <c r="I427" s="309"/>
      <c r="J427" s="309"/>
      <c r="K427" s="309"/>
      <c r="L427" s="309"/>
      <c r="M427" s="309"/>
      <c r="N427" s="309"/>
      <c r="O427" s="309"/>
      <c r="P427" s="309"/>
      <c r="Q427" s="309"/>
      <c r="R427" s="309"/>
      <c r="S427" s="309"/>
      <c r="T427" s="309"/>
      <c r="U427" s="309"/>
      <c r="V427" s="309"/>
      <c r="W427" s="309"/>
      <c r="X427" s="309"/>
      <c r="Y427" s="309"/>
      <c r="Z427" s="309"/>
    </row>
    <row r="428">
      <c r="A428" s="194"/>
      <c r="B428" s="309"/>
      <c r="C428" s="194"/>
      <c r="D428" s="309"/>
      <c r="E428" s="309"/>
      <c r="F428" s="309"/>
      <c r="G428" s="309"/>
      <c r="H428" s="309"/>
      <c r="I428" s="309"/>
      <c r="J428" s="309"/>
      <c r="K428" s="309"/>
      <c r="L428" s="309"/>
      <c r="M428" s="309"/>
      <c r="N428" s="309"/>
      <c r="O428" s="309"/>
      <c r="P428" s="309"/>
      <c r="Q428" s="309"/>
      <c r="R428" s="309"/>
      <c r="S428" s="309"/>
      <c r="T428" s="309"/>
      <c r="U428" s="309"/>
      <c r="V428" s="309"/>
      <c r="W428" s="309"/>
      <c r="X428" s="309"/>
      <c r="Y428" s="309"/>
      <c r="Z428" s="309"/>
    </row>
    <row r="429">
      <c r="A429" s="194"/>
      <c r="B429" s="309"/>
      <c r="C429" s="194"/>
      <c r="D429" s="309"/>
      <c r="E429" s="309"/>
      <c r="F429" s="309"/>
      <c r="G429" s="309"/>
      <c r="H429" s="309"/>
      <c r="I429" s="309"/>
      <c r="J429" s="309"/>
      <c r="K429" s="309"/>
      <c r="L429" s="309"/>
      <c r="M429" s="309"/>
      <c r="N429" s="309"/>
      <c r="O429" s="309"/>
      <c r="P429" s="309"/>
      <c r="Q429" s="309"/>
      <c r="R429" s="309"/>
      <c r="S429" s="309"/>
      <c r="T429" s="309"/>
      <c r="U429" s="309"/>
      <c r="V429" s="309"/>
      <c r="W429" s="309"/>
      <c r="X429" s="309"/>
      <c r="Y429" s="309"/>
      <c r="Z429" s="309"/>
    </row>
    <row r="430">
      <c r="A430" s="194"/>
      <c r="B430" s="309"/>
      <c r="C430" s="194"/>
      <c r="D430" s="309"/>
      <c r="E430" s="309"/>
      <c r="F430" s="309"/>
      <c r="G430" s="309"/>
      <c r="H430" s="309"/>
      <c r="I430" s="309"/>
      <c r="J430" s="309"/>
      <c r="K430" s="309"/>
      <c r="L430" s="309"/>
      <c r="M430" s="309"/>
      <c r="N430" s="309"/>
      <c r="O430" s="309"/>
      <c r="P430" s="309"/>
      <c r="Q430" s="309"/>
      <c r="R430" s="309"/>
      <c r="S430" s="309"/>
      <c r="T430" s="309"/>
      <c r="U430" s="309"/>
      <c r="V430" s="309"/>
      <c r="W430" s="309"/>
      <c r="X430" s="309"/>
      <c r="Y430" s="309"/>
      <c r="Z430" s="309"/>
    </row>
    <row r="431">
      <c r="A431" s="194"/>
      <c r="B431" s="309"/>
      <c r="C431" s="194"/>
      <c r="D431" s="309"/>
      <c r="E431" s="309"/>
      <c r="F431" s="309"/>
      <c r="G431" s="309"/>
      <c r="H431" s="309"/>
      <c r="I431" s="309"/>
      <c r="J431" s="309"/>
      <c r="K431" s="309"/>
      <c r="L431" s="309"/>
      <c r="M431" s="309"/>
      <c r="N431" s="309"/>
      <c r="O431" s="309"/>
      <c r="P431" s="309"/>
      <c r="Q431" s="309"/>
      <c r="R431" s="309"/>
      <c r="S431" s="309"/>
      <c r="T431" s="309"/>
      <c r="U431" s="309"/>
      <c r="V431" s="309"/>
      <c r="W431" s="309"/>
      <c r="X431" s="309"/>
      <c r="Y431" s="309"/>
      <c r="Z431" s="309"/>
    </row>
    <row r="432">
      <c r="A432" s="194"/>
      <c r="B432" s="309"/>
      <c r="C432" s="194"/>
      <c r="D432" s="309"/>
      <c r="E432" s="309"/>
      <c r="F432" s="309"/>
      <c r="G432" s="309"/>
      <c r="H432" s="309"/>
      <c r="I432" s="309"/>
      <c r="J432" s="309"/>
      <c r="K432" s="309"/>
      <c r="L432" s="309"/>
      <c r="M432" s="309"/>
      <c r="N432" s="309"/>
      <c r="O432" s="309"/>
      <c r="P432" s="309"/>
      <c r="Q432" s="309"/>
      <c r="R432" s="309"/>
      <c r="S432" s="309"/>
      <c r="T432" s="309"/>
      <c r="U432" s="309"/>
      <c r="V432" s="309"/>
      <c r="W432" s="309"/>
      <c r="X432" s="309"/>
      <c r="Y432" s="309"/>
      <c r="Z432" s="309"/>
    </row>
    <row r="433">
      <c r="A433" s="194"/>
      <c r="B433" s="309"/>
      <c r="C433" s="194"/>
      <c r="D433" s="309"/>
      <c r="E433" s="309"/>
      <c r="F433" s="309"/>
      <c r="G433" s="309"/>
      <c r="H433" s="309"/>
      <c r="I433" s="309"/>
      <c r="J433" s="309"/>
      <c r="K433" s="309"/>
      <c r="L433" s="309"/>
      <c r="M433" s="309"/>
      <c r="N433" s="309"/>
      <c r="O433" s="309"/>
      <c r="P433" s="309"/>
      <c r="Q433" s="309"/>
      <c r="R433" s="309"/>
      <c r="S433" s="309"/>
      <c r="T433" s="309"/>
      <c r="U433" s="309"/>
      <c r="V433" s="309"/>
      <c r="W433" s="309"/>
      <c r="X433" s="309"/>
      <c r="Y433" s="309"/>
      <c r="Z433" s="309"/>
    </row>
    <row r="434">
      <c r="A434" s="194"/>
      <c r="B434" s="309"/>
      <c r="C434" s="194"/>
      <c r="D434" s="309"/>
      <c r="E434" s="309"/>
      <c r="F434" s="309"/>
      <c r="G434" s="309"/>
      <c r="H434" s="309"/>
      <c r="I434" s="309"/>
      <c r="J434" s="309"/>
      <c r="K434" s="309"/>
      <c r="L434" s="309"/>
      <c r="M434" s="309"/>
      <c r="N434" s="309"/>
      <c r="O434" s="309"/>
      <c r="P434" s="309"/>
      <c r="Q434" s="309"/>
      <c r="R434" s="309"/>
      <c r="S434" s="309"/>
      <c r="T434" s="309"/>
      <c r="U434" s="309"/>
      <c r="V434" s="309"/>
      <c r="W434" s="309"/>
      <c r="X434" s="309"/>
      <c r="Y434" s="309"/>
      <c r="Z434" s="309"/>
    </row>
    <row r="435">
      <c r="A435" s="194"/>
      <c r="B435" s="309"/>
      <c r="C435" s="194"/>
      <c r="D435" s="309"/>
      <c r="E435" s="309"/>
      <c r="F435" s="309"/>
      <c r="G435" s="309"/>
      <c r="H435" s="309"/>
      <c r="I435" s="309"/>
      <c r="J435" s="309"/>
      <c r="K435" s="309"/>
      <c r="L435" s="309"/>
      <c r="M435" s="309"/>
      <c r="N435" s="309"/>
      <c r="O435" s="309"/>
      <c r="P435" s="309"/>
      <c r="Q435" s="309"/>
      <c r="R435" s="309"/>
      <c r="S435" s="309"/>
      <c r="T435" s="309"/>
      <c r="U435" s="309"/>
      <c r="V435" s="309"/>
      <c r="W435" s="309"/>
      <c r="X435" s="309"/>
      <c r="Y435" s="309"/>
      <c r="Z435" s="309"/>
    </row>
    <row r="436">
      <c r="A436" s="194"/>
      <c r="B436" s="309"/>
      <c r="C436" s="194"/>
      <c r="D436" s="309"/>
      <c r="E436" s="309"/>
      <c r="F436" s="309"/>
      <c r="G436" s="309"/>
      <c r="H436" s="309"/>
      <c r="I436" s="309"/>
      <c r="J436" s="309"/>
      <c r="K436" s="309"/>
      <c r="L436" s="309"/>
      <c r="M436" s="309"/>
      <c r="N436" s="309"/>
      <c r="O436" s="309"/>
      <c r="P436" s="309"/>
      <c r="Q436" s="309"/>
      <c r="R436" s="309"/>
      <c r="S436" s="309"/>
      <c r="T436" s="309"/>
      <c r="U436" s="309"/>
      <c r="V436" s="309"/>
      <c r="W436" s="309"/>
      <c r="X436" s="309"/>
      <c r="Y436" s="309"/>
      <c r="Z436" s="309"/>
    </row>
    <row r="437">
      <c r="A437" s="194"/>
      <c r="B437" s="309"/>
      <c r="C437" s="194"/>
      <c r="D437" s="309"/>
      <c r="E437" s="309"/>
      <c r="F437" s="309"/>
      <c r="G437" s="309"/>
      <c r="H437" s="309"/>
      <c r="I437" s="309"/>
      <c r="J437" s="309"/>
      <c r="K437" s="309"/>
      <c r="L437" s="309"/>
      <c r="M437" s="309"/>
      <c r="N437" s="309"/>
      <c r="O437" s="309"/>
      <c r="P437" s="309"/>
      <c r="Q437" s="309"/>
      <c r="R437" s="309"/>
      <c r="S437" s="309"/>
      <c r="T437" s="309"/>
      <c r="U437" s="309"/>
      <c r="V437" s="309"/>
      <c r="W437" s="309"/>
      <c r="X437" s="309"/>
      <c r="Y437" s="309"/>
      <c r="Z437" s="309"/>
    </row>
    <row r="438">
      <c r="A438" s="194"/>
      <c r="B438" s="309"/>
      <c r="C438" s="194"/>
      <c r="D438" s="309"/>
      <c r="E438" s="309"/>
      <c r="F438" s="309"/>
      <c r="G438" s="309"/>
      <c r="H438" s="309"/>
      <c r="I438" s="309"/>
      <c r="J438" s="309"/>
      <c r="K438" s="309"/>
      <c r="L438" s="309"/>
      <c r="M438" s="309"/>
      <c r="N438" s="309"/>
      <c r="O438" s="309"/>
      <c r="P438" s="309"/>
      <c r="Q438" s="309"/>
      <c r="R438" s="309"/>
      <c r="S438" s="309"/>
      <c r="T438" s="309"/>
      <c r="U438" s="309"/>
      <c r="V438" s="309"/>
      <c r="W438" s="309"/>
      <c r="X438" s="309"/>
      <c r="Y438" s="309"/>
      <c r="Z438" s="309"/>
    </row>
    <row r="439">
      <c r="A439" s="194"/>
      <c r="B439" s="309"/>
      <c r="C439" s="194"/>
      <c r="D439" s="309"/>
      <c r="E439" s="309"/>
      <c r="F439" s="309"/>
      <c r="G439" s="309"/>
      <c r="H439" s="309"/>
      <c r="I439" s="309"/>
      <c r="J439" s="309"/>
      <c r="K439" s="309"/>
      <c r="L439" s="309"/>
      <c r="M439" s="309"/>
      <c r="N439" s="309"/>
      <c r="O439" s="309"/>
      <c r="P439" s="309"/>
      <c r="Q439" s="309"/>
      <c r="R439" s="309"/>
      <c r="S439" s="309"/>
      <c r="T439" s="309"/>
      <c r="U439" s="309"/>
      <c r="V439" s="309"/>
      <c r="W439" s="309"/>
      <c r="X439" s="309"/>
      <c r="Y439" s="309"/>
      <c r="Z439" s="309"/>
    </row>
    <row r="440">
      <c r="A440" s="194"/>
      <c r="B440" s="309"/>
      <c r="C440" s="194"/>
      <c r="D440" s="309"/>
      <c r="E440" s="309"/>
      <c r="F440" s="309"/>
      <c r="G440" s="309"/>
      <c r="H440" s="309"/>
      <c r="I440" s="309"/>
      <c r="J440" s="309"/>
      <c r="K440" s="309"/>
      <c r="L440" s="309"/>
      <c r="M440" s="309"/>
      <c r="N440" s="309"/>
      <c r="O440" s="309"/>
      <c r="P440" s="309"/>
      <c r="Q440" s="309"/>
      <c r="R440" s="309"/>
      <c r="S440" s="309"/>
      <c r="T440" s="309"/>
      <c r="U440" s="309"/>
      <c r="V440" s="309"/>
      <c r="W440" s="309"/>
      <c r="X440" s="309"/>
      <c r="Y440" s="309"/>
      <c r="Z440" s="309"/>
    </row>
    <row r="441">
      <c r="A441" s="194"/>
      <c r="B441" s="309"/>
      <c r="C441" s="194"/>
      <c r="D441" s="309"/>
      <c r="E441" s="309"/>
      <c r="F441" s="309"/>
      <c r="G441" s="309"/>
      <c r="H441" s="309"/>
      <c r="I441" s="309"/>
      <c r="J441" s="309"/>
      <c r="K441" s="309"/>
      <c r="L441" s="309"/>
      <c r="M441" s="309"/>
      <c r="N441" s="309"/>
      <c r="O441" s="309"/>
      <c r="P441" s="309"/>
      <c r="Q441" s="309"/>
      <c r="R441" s="309"/>
      <c r="S441" s="309"/>
      <c r="T441" s="309"/>
      <c r="U441" s="309"/>
      <c r="V441" s="309"/>
      <c r="W441" s="309"/>
      <c r="X441" s="309"/>
      <c r="Y441" s="309"/>
      <c r="Z441" s="309"/>
    </row>
    <row r="442">
      <c r="A442" s="194"/>
      <c r="B442" s="309"/>
      <c r="C442" s="194"/>
      <c r="D442" s="309"/>
      <c r="E442" s="309"/>
      <c r="F442" s="309"/>
      <c r="G442" s="309"/>
      <c r="H442" s="309"/>
      <c r="I442" s="309"/>
      <c r="J442" s="309"/>
      <c r="K442" s="309"/>
      <c r="L442" s="309"/>
      <c r="M442" s="309"/>
      <c r="N442" s="309"/>
      <c r="O442" s="309"/>
      <c r="P442" s="309"/>
      <c r="Q442" s="309"/>
      <c r="R442" s="309"/>
      <c r="S442" s="309"/>
      <c r="T442" s="309"/>
      <c r="U442" s="309"/>
      <c r="V442" s="309"/>
      <c r="W442" s="309"/>
      <c r="X442" s="309"/>
      <c r="Y442" s="309"/>
      <c r="Z442" s="309"/>
    </row>
    <row r="443">
      <c r="A443" s="194"/>
      <c r="B443" s="309"/>
      <c r="C443" s="194"/>
      <c r="D443" s="309"/>
      <c r="E443" s="309"/>
      <c r="F443" s="309"/>
      <c r="G443" s="309"/>
      <c r="H443" s="309"/>
      <c r="I443" s="309"/>
      <c r="J443" s="309"/>
      <c r="K443" s="309"/>
      <c r="L443" s="309"/>
      <c r="M443" s="309"/>
      <c r="N443" s="309"/>
      <c r="O443" s="309"/>
      <c r="P443" s="309"/>
      <c r="Q443" s="309"/>
      <c r="R443" s="309"/>
      <c r="S443" s="309"/>
      <c r="T443" s="309"/>
      <c r="U443" s="309"/>
      <c r="V443" s="309"/>
      <c r="W443" s="309"/>
      <c r="X443" s="309"/>
      <c r="Y443" s="309"/>
      <c r="Z443" s="309"/>
    </row>
    <row r="444">
      <c r="A444" s="194"/>
      <c r="B444" s="309"/>
      <c r="C444" s="194"/>
      <c r="D444" s="309"/>
      <c r="E444" s="309"/>
      <c r="F444" s="309"/>
      <c r="G444" s="309"/>
      <c r="H444" s="309"/>
      <c r="I444" s="309"/>
      <c r="J444" s="309"/>
      <c r="K444" s="309"/>
      <c r="L444" s="309"/>
      <c r="M444" s="309"/>
      <c r="N444" s="309"/>
      <c r="O444" s="309"/>
      <c r="P444" s="309"/>
      <c r="Q444" s="309"/>
      <c r="R444" s="309"/>
      <c r="S444" s="309"/>
      <c r="T444" s="309"/>
      <c r="U444" s="309"/>
      <c r="V444" s="309"/>
      <c r="W444" s="309"/>
      <c r="X444" s="309"/>
      <c r="Y444" s="309"/>
      <c r="Z444" s="309"/>
    </row>
    <row r="445">
      <c r="A445" s="194"/>
      <c r="B445" s="309"/>
      <c r="C445" s="194"/>
      <c r="D445" s="309"/>
      <c r="E445" s="309"/>
      <c r="F445" s="309"/>
      <c r="G445" s="309"/>
      <c r="H445" s="309"/>
      <c r="I445" s="309"/>
      <c r="J445" s="309"/>
      <c r="K445" s="309"/>
      <c r="L445" s="309"/>
      <c r="M445" s="309"/>
      <c r="N445" s="309"/>
      <c r="O445" s="309"/>
      <c r="P445" s="309"/>
      <c r="Q445" s="309"/>
      <c r="R445" s="309"/>
      <c r="S445" s="309"/>
      <c r="T445" s="309"/>
      <c r="U445" s="309"/>
      <c r="V445" s="309"/>
      <c r="W445" s="309"/>
      <c r="X445" s="309"/>
      <c r="Y445" s="309"/>
      <c r="Z445" s="309"/>
    </row>
    <row r="446">
      <c r="A446" s="194"/>
      <c r="B446" s="309"/>
      <c r="C446" s="194"/>
      <c r="D446" s="309"/>
      <c r="E446" s="309"/>
      <c r="F446" s="309"/>
      <c r="G446" s="309"/>
      <c r="H446" s="309"/>
      <c r="I446" s="309"/>
      <c r="J446" s="309"/>
      <c r="K446" s="309"/>
      <c r="L446" s="309"/>
      <c r="M446" s="309"/>
      <c r="N446" s="309"/>
      <c r="O446" s="309"/>
      <c r="P446" s="309"/>
      <c r="Q446" s="309"/>
      <c r="R446" s="309"/>
      <c r="S446" s="309"/>
      <c r="T446" s="309"/>
      <c r="U446" s="309"/>
      <c r="V446" s="309"/>
      <c r="W446" s="309"/>
      <c r="X446" s="309"/>
      <c r="Y446" s="309"/>
      <c r="Z446" s="309"/>
    </row>
    <row r="447">
      <c r="A447" s="194"/>
      <c r="B447" s="309"/>
      <c r="C447" s="194"/>
      <c r="D447" s="309"/>
      <c r="E447" s="309"/>
      <c r="F447" s="309"/>
      <c r="G447" s="309"/>
      <c r="H447" s="309"/>
      <c r="I447" s="309"/>
      <c r="J447" s="309"/>
      <c r="K447" s="309"/>
      <c r="L447" s="309"/>
      <c r="M447" s="309"/>
      <c r="N447" s="309"/>
      <c r="O447" s="309"/>
      <c r="P447" s="309"/>
      <c r="Q447" s="309"/>
      <c r="R447" s="309"/>
      <c r="S447" s="309"/>
      <c r="T447" s="309"/>
      <c r="U447" s="309"/>
      <c r="V447" s="309"/>
      <c r="W447" s="309"/>
      <c r="X447" s="309"/>
      <c r="Y447" s="309"/>
      <c r="Z447" s="309"/>
    </row>
    <row r="448">
      <c r="A448" s="194"/>
      <c r="B448" s="309"/>
      <c r="C448" s="194"/>
      <c r="D448" s="309"/>
      <c r="E448" s="309"/>
      <c r="F448" s="309"/>
      <c r="G448" s="309"/>
      <c r="H448" s="309"/>
      <c r="I448" s="309"/>
      <c r="J448" s="309"/>
      <c r="K448" s="309"/>
      <c r="L448" s="309"/>
      <c r="M448" s="309"/>
      <c r="N448" s="309"/>
      <c r="O448" s="309"/>
      <c r="P448" s="309"/>
      <c r="Q448" s="309"/>
      <c r="R448" s="309"/>
      <c r="S448" s="309"/>
      <c r="T448" s="309"/>
      <c r="U448" s="309"/>
      <c r="V448" s="309"/>
      <c r="W448" s="309"/>
      <c r="X448" s="309"/>
      <c r="Y448" s="309"/>
      <c r="Z448" s="309"/>
    </row>
    <row r="449">
      <c r="A449" s="194"/>
      <c r="B449" s="309"/>
      <c r="C449" s="194"/>
      <c r="D449" s="309"/>
      <c r="E449" s="309"/>
      <c r="F449" s="309"/>
      <c r="G449" s="309"/>
      <c r="H449" s="309"/>
      <c r="I449" s="309"/>
      <c r="J449" s="309"/>
      <c r="K449" s="309"/>
      <c r="L449" s="309"/>
      <c r="M449" s="309"/>
      <c r="N449" s="309"/>
      <c r="O449" s="309"/>
      <c r="P449" s="309"/>
      <c r="Q449" s="309"/>
      <c r="R449" s="309"/>
      <c r="S449" s="309"/>
      <c r="T449" s="309"/>
      <c r="U449" s="309"/>
      <c r="V449" s="309"/>
      <c r="W449" s="309"/>
      <c r="X449" s="309"/>
      <c r="Y449" s="309"/>
      <c r="Z449" s="309"/>
    </row>
    <row r="450">
      <c r="A450" s="194"/>
      <c r="B450" s="309"/>
      <c r="C450" s="194"/>
      <c r="D450" s="309"/>
      <c r="E450" s="309"/>
      <c r="F450" s="309"/>
      <c r="G450" s="309"/>
      <c r="H450" s="309"/>
      <c r="I450" s="309"/>
      <c r="J450" s="309"/>
      <c r="K450" s="309"/>
      <c r="L450" s="309"/>
      <c r="M450" s="309"/>
      <c r="N450" s="309"/>
      <c r="O450" s="309"/>
      <c r="P450" s="309"/>
      <c r="Q450" s="309"/>
      <c r="R450" s="309"/>
      <c r="S450" s="309"/>
      <c r="T450" s="309"/>
      <c r="U450" s="309"/>
      <c r="V450" s="309"/>
      <c r="W450" s="309"/>
      <c r="X450" s="309"/>
      <c r="Y450" s="309"/>
      <c r="Z450" s="309"/>
    </row>
    <row r="451">
      <c r="A451" s="194"/>
      <c r="B451" s="309"/>
      <c r="C451" s="194"/>
      <c r="D451" s="309"/>
      <c r="E451" s="309"/>
      <c r="F451" s="309"/>
      <c r="G451" s="309"/>
      <c r="H451" s="309"/>
      <c r="I451" s="309"/>
      <c r="J451" s="309"/>
      <c r="K451" s="309"/>
      <c r="L451" s="309"/>
      <c r="M451" s="309"/>
      <c r="N451" s="309"/>
      <c r="O451" s="309"/>
      <c r="P451" s="309"/>
      <c r="Q451" s="309"/>
      <c r="R451" s="309"/>
      <c r="S451" s="309"/>
      <c r="T451" s="309"/>
      <c r="U451" s="309"/>
      <c r="V451" s="309"/>
      <c r="W451" s="309"/>
      <c r="X451" s="309"/>
      <c r="Y451" s="309"/>
      <c r="Z451" s="309"/>
    </row>
    <row r="452">
      <c r="A452" s="194"/>
      <c r="B452" s="309"/>
      <c r="C452" s="194"/>
      <c r="D452" s="309"/>
      <c r="E452" s="309"/>
      <c r="F452" s="309"/>
      <c r="G452" s="309"/>
      <c r="H452" s="309"/>
      <c r="I452" s="309"/>
      <c r="J452" s="309"/>
      <c r="K452" s="309"/>
      <c r="L452" s="309"/>
      <c r="M452" s="309"/>
      <c r="N452" s="309"/>
      <c r="O452" s="309"/>
      <c r="P452" s="309"/>
      <c r="Q452" s="309"/>
      <c r="R452" s="309"/>
      <c r="S452" s="309"/>
      <c r="T452" s="309"/>
      <c r="U452" s="309"/>
      <c r="V452" s="309"/>
      <c r="W452" s="309"/>
      <c r="X452" s="309"/>
      <c r="Y452" s="309"/>
      <c r="Z452" s="309"/>
    </row>
    <row r="453">
      <c r="A453" s="194"/>
      <c r="B453" s="309"/>
      <c r="C453" s="194"/>
      <c r="D453" s="309"/>
      <c r="E453" s="309"/>
      <c r="F453" s="309"/>
      <c r="G453" s="309"/>
      <c r="H453" s="309"/>
      <c r="I453" s="309"/>
      <c r="J453" s="309"/>
      <c r="K453" s="309"/>
      <c r="L453" s="309"/>
      <c r="M453" s="309"/>
      <c r="N453" s="309"/>
      <c r="O453" s="309"/>
      <c r="P453" s="309"/>
      <c r="Q453" s="309"/>
      <c r="R453" s="309"/>
      <c r="S453" s="309"/>
      <c r="T453" s="309"/>
      <c r="U453" s="309"/>
      <c r="V453" s="309"/>
      <c r="W453" s="309"/>
      <c r="X453" s="309"/>
      <c r="Y453" s="309"/>
      <c r="Z453" s="309"/>
    </row>
    <row r="454">
      <c r="A454" s="194"/>
      <c r="B454" s="309"/>
      <c r="C454" s="194"/>
      <c r="D454" s="309"/>
      <c r="E454" s="309"/>
      <c r="F454" s="309"/>
      <c r="G454" s="309"/>
      <c r="H454" s="309"/>
      <c r="I454" s="309"/>
      <c r="J454" s="309"/>
      <c r="K454" s="309"/>
      <c r="L454" s="309"/>
      <c r="M454" s="309"/>
      <c r="N454" s="309"/>
      <c r="O454" s="309"/>
      <c r="P454" s="309"/>
      <c r="Q454" s="309"/>
      <c r="R454" s="309"/>
      <c r="S454" s="309"/>
      <c r="T454" s="309"/>
      <c r="U454" s="309"/>
      <c r="V454" s="309"/>
      <c r="W454" s="309"/>
      <c r="X454" s="309"/>
      <c r="Y454" s="309"/>
      <c r="Z454" s="309"/>
    </row>
    <row r="455">
      <c r="A455" s="194"/>
      <c r="B455" s="309"/>
      <c r="C455" s="194"/>
      <c r="D455" s="309"/>
      <c r="E455" s="309"/>
      <c r="F455" s="309"/>
      <c r="G455" s="309"/>
      <c r="H455" s="309"/>
      <c r="I455" s="309"/>
      <c r="J455" s="309"/>
      <c r="K455" s="309"/>
      <c r="L455" s="309"/>
      <c r="M455" s="309"/>
      <c r="N455" s="309"/>
      <c r="O455" s="309"/>
      <c r="P455" s="309"/>
      <c r="Q455" s="309"/>
      <c r="R455" s="309"/>
      <c r="S455" s="309"/>
      <c r="T455" s="309"/>
      <c r="U455" s="309"/>
      <c r="V455" s="309"/>
      <c r="W455" s="309"/>
      <c r="X455" s="309"/>
      <c r="Y455" s="309"/>
      <c r="Z455" s="309"/>
    </row>
    <row r="456">
      <c r="A456" s="194"/>
      <c r="B456" s="309"/>
      <c r="C456" s="194"/>
      <c r="D456" s="309"/>
      <c r="E456" s="309"/>
      <c r="F456" s="309"/>
      <c r="G456" s="309"/>
      <c r="H456" s="309"/>
      <c r="I456" s="309"/>
      <c r="J456" s="309"/>
      <c r="K456" s="309"/>
      <c r="L456" s="309"/>
      <c r="M456" s="309"/>
      <c r="N456" s="309"/>
      <c r="O456" s="309"/>
      <c r="P456" s="309"/>
      <c r="Q456" s="309"/>
      <c r="R456" s="309"/>
      <c r="S456" s="309"/>
      <c r="T456" s="309"/>
      <c r="U456" s="309"/>
      <c r="V456" s="309"/>
      <c r="W456" s="309"/>
      <c r="X456" s="309"/>
      <c r="Y456" s="309"/>
      <c r="Z456" s="309"/>
    </row>
    <row r="457">
      <c r="A457" s="194"/>
      <c r="B457" s="309"/>
      <c r="C457" s="194"/>
      <c r="D457" s="309"/>
      <c r="E457" s="309"/>
      <c r="F457" s="309"/>
      <c r="G457" s="309"/>
      <c r="H457" s="309"/>
      <c r="I457" s="309"/>
      <c r="J457" s="309"/>
      <c r="K457" s="309"/>
      <c r="L457" s="309"/>
      <c r="M457" s="309"/>
      <c r="N457" s="309"/>
      <c r="O457" s="309"/>
      <c r="P457" s="309"/>
      <c r="Q457" s="309"/>
      <c r="R457" s="309"/>
      <c r="S457" s="309"/>
      <c r="T457" s="309"/>
      <c r="U457" s="309"/>
      <c r="V457" s="309"/>
      <c r="W457" s="309"/>
      <c r="X457" s="309"/>
      <c r="Y457" s="309"/>
      <c r="Z457" s="309"/>
    </row>
    <row r="458">
      <c r="A458" s="194"/>
      <c r="B458" s="309"/>
      <c r="C458" s="194"/>
      <c r="D458" s="309"/>
      <c r="E458" s="309"/>
      <c r="F458" s="309"/>
      <c r="G458" s="309"/>
      <c r="H458" s="309"/>
      <c r="I458" s="309"/>
      <c r="J458" s="309"/>
      <c r="K458" s="309"/>
      <c r="L458" s="309"/>
      <c r="M458" s="309"/>
      <c r="N458" s="309"/>
      <c r="O458" s="309"/>
      <c r="P458" s="309"/>
      <c r="Q458" s="309"/>
      <c r="R458" s="309"/>
      <c r="S458" s="309"/>
      <c r="T458" s="309"/>
      <c r="U458" s="309"/>
      <c r="V458" s="309"/>
      <c r="W458" s="309"/>
      <c r="X458" s="309"/>
      <c r="Y458" s="309"/>
      <c r="Z458" s="309"/>
    </row>
    <row r="459">
      <c r="A459" s="194"/>
      <c r="B459" s="309"/>
      <c r="C459" s="194"/>
      <c r="D459" s="309"/>
      <c r="E459" s="309"/>
      <c r="F459" s="309"/>
      <c r="G459" s="309"/>
      <c r="H459" s="309"/>
      <c r="I459" s="309"/>
      <c r="J459" s="309"/>
      <c r="K459" s="309"/>
      <c r="L459" s="309"/>
      <c r="M459" s="309"/>
      <c r="N459" s="309"/>
      <c r="O459" s="309"/>
      <c r="P459" s="309"/>
      <c r="Q459" s="309"/>
      <c r="R459" s="309"/>
      <c r="S459" s="309"/>
      <c r="T459" s="309"/>
      <c r="U459" s="309"/>
      <c r="V459" s="309"/>
      <c r="W459" s="309"/>
      <c r="X459" s="309"/>
      <c r="Y459" s="309"/>
      <c r="Z459" s="309"/>
    </row>
    <row r="460">
      <c r="A460" s="194"/>
      <c r="B460" s="309"/>
      <c r="C460" s="194"/>
      <c r="D460" s="309"/>
      <c r="E460" s="309"/>
      <c r="F460" s="309"/>
      <c r="G460" s="309"/>
      <c r="H460" s="309"/>
      <c r="I460" s="309"/>
      <c r="J460" s="309"/>
      <c r="K460" s="309"/>
      <c r="L460" s="309"/>
      <c r="M460" s="309"/>
      <c r="N460" s="309"/>
      <c r="O460" s="309"/>
      <c r="P460" s="309"/>
      <c r="Q460" s="309"/>
      <c r="R460" s="309"/>
      <c r="S460" s="309"/>
      <c r="T460" s="309"/>
      <c r="U460" s="309"/>
      <c r="V460" s="309"/>
      <c r="W460" s="309"/>
      <c r="X460" s="309"/>
      <c r="Y460" s="309"/>
      <c r="Z460" s="309"/>
    </row>
    <row r="461">
      <c r="A461" s="194"/>
      <c r="B461" s="309"/>
      <c r="C461" s="194"/>
      <c r="D461" s="309"/>
      <c r="E461" s="309"/>
      <c r="F461" s="309"/>
      <c r="G461" s="309"/>
      <c r="H461" s="309"/>
      <c r="I461" s="309"/>
      <c r="J461" s="309"/>
      <c r="K461" s="309"/>
      <c r="L461" s="309"/>
      <c r="M461" s="309"/>
      <c r="N461" s="309"/>
      <c r="O461" s="309"/>
      <c r="P461" s="309"/>
      <c r="Q461" s="309"/>
      <c r="R461" s="309"/>
      <c r="S461" s="309"/>
      <c r="T461" s="309"/>
      <c r="U461" s="309"/>
      <c r="V461" s="309"/>
      <c r="W461" s="309"/>
      <c r="X461" s="309"/>
      <c r="Y461" s="309"/>
      <c r="Z461" s="309"/>
    </row>
    <row r="462">
      <c r="A462" s="194"/>
      <c r="B462" s="309"/>
      <c r="C462" s="194"/>
      <c r="D462" s="309"/>
      <c r="E462" s="309"/>
      <c r="F462" s="309"/>
      <c r="G462" s="309"/>
      <c r="H462" s="309"/>
      <c r="I462" s="309"/>
      <c r="J462" s="309"/>
      <c r="K462" s="309"/>
      <c r="L462" s="309"/>
      <c r="M462" s="309"/>
      <c r="N462" s="309"/>
      <c r="O462" s="309"/>
      <c r="P462" s="309"/>
      <c r="Q462" s="309"/>
      <c r="R462" s="309"/>
      <c r="S462" s="309"/>
      <c r="T462" s="309"/>
      <c r="U462" s="309"/>
      <c r="V462" s="309"/>
      <c r="W462" s="309"/>
      <c r="X462" s="309"/>
      <c r="Y462" s="309"/>
      <c r="Z462" s="309"/>
    </row>
    <row r="463">
      <c r="A463" s="194"/>
      <c r="B463" s="309"/>
      <c r="C463" s="194"/>
      <c r="D463" s="309"/>
      <c r="E463" s="309"/>
      <c r="F463" s="309"/>
      <c r="G463" s="309"/>
      <c r="H463" s="309"/>
      <c r="I463" s="309"/>
      <c r="J463" s="309"/>
      <c r="K463" s="309"/>
      <c r="L463" s="309"/>
      <c r="M463" s="309"/>
      <c r="N463" s="309"/>
      <c r="O463" s="309"/>
      <c r="P463" s="309"/>
      <c r="Q463" s="309"/>
      <c r="R463" s="309"/>
      <c r="S463" s="309"/>
      <c r="T463" s="309"/>
      <c r="U463" s="309"/>
      <c r="V463" s="309"/>
      <c r="W463" s="309"/>
      <c r="X463" s="309"/>
      <c r="Y463" s="309"/>
      <c r="Z463" s="309"/>
    </row>
    <row r="464">
      <c r="A464" s="194"/>
      <c r="B464" s="309"/>
      <c r="C464" s="194"/>
      <c r="D464" s="309"/>
      <c r="E464" s="309"/>
      <c r="F464" s="309"/>
      <c r="G464" s="309"/>
      <c r="H464" s="309"/>
      <c r="I464" s="309"/>
      <c r="J464" s="309"/>
      <c r="K464" s="309"/>
      <c r="L464" s="309"/>
      <c r="M464" s="309"/>
      <c r="N464" s="309"/>
      <c r="O464" s="309"/>
      <c r="P464" s="309"/>
      <c r="Q464" s="309"/>
      <c r="R464" s="309"/>
      <c r="S464" s="309"/>
      <c r="T464" s="309"/>
      <c r="U464" s="309"/>
      <c r="V464" s="309"/>
      <c r="W464" s="309"/>
      <c r="X464" s="309"/>
      <c r="Y464" s="309"/>
      <c r="Z464" s="309"/>
    </row>
    <row r="465">
      <c r="A465" s="194"/>
      <c r="B465" s="309"/>
      <c r="C465" s="194"/>
      <c r="D465" s="309"/>
      <c r="E465" s="309"/>
      <c r="F465" s="309"/>
      <c r="G465" s="309"/>
      <c r="H465" s="309"/>
      <c r="I465" s="309"/>
      <c r="J465" s="309"/>
      <c r="K465" s="309"/>
      <c r="L465" s="309"/>
      <c r="M465" s="309"/>
      <c r="N465" s="309"/>
      <c r="O465" s="309"/>
      <c r="P465" s="309"/>
      <c r="Q465" s="309"/>
      <c r="R465" s="309"/>
      <c r="S465" s="309"/>
      <c r="T465" s="309"/>
      <c r="U465" s="309"/>
      <c r="V465" s="309"/>
      <c r="W465" s="309"/>
      <c r="X465" s="309"/>
      <c r="Y465" s="309"/>
      <c r="Z465" s="309"/>
    </row>
    <row r="466">
      <c r="A466" s="194"/>
      <c r="B466" s="309"/>
      <c r="C466" s="194"/>
      <c r="D466" s="309"/>
      <c r="E466" s="309"/>
      <c r="F466" s="309"/>
      <c r="G466" s="309"/>
      <c r="H466" s="309"/>
      <c r="I466" s="309"/>
      <c r="J466" s="309"/>
      <c r="K466" s="309"/>
      <c r="L466" s="309"/>
      <c r="M466" s="309"/>
      <c r="N466" s="309"/>
      <c r="O466" s="309"/>
      <c r="P466" s="309"/>
      <c r="Q466" s="309"/>
      <c r="R466" s="309"/>
      <c r="S466" s="309"/>
      <c r="T466" s="309"/>
      <c r="U466" s="309"/>
      <c r="V466" s="309"/>
      <c r="W466" s="309"/>
      <c r="X466" s="309"/>
      <c r="Y466" s="309"/>
      <c r="Z466" s="309"/>
    </row>
    <row r="467">
      <c r="A467" s="194"/>
      <c r="B467" s="309"/>
      <c r="C467" s="194"/>
      <c r="D467" s="309"/>
      <c r="E467" s="309"/>
      <c r="F467" s="309"/>
      <c r="G467" s="309"/>
      <c r="H467" s="309"/>
      <c r="I467" s="309"/>
      <c r="J467" s="309"/>
      <c r="K467" s="309"/>
      <c r="L467" s="309"/>
      <c r="M467" s="309"/>
      <c r="N467" s="309"/>
      <c r="O467" s="309"/>
      <c r="P467" s="309"/>
      <c r="Q467" s="309"/>
      <c r="R467" s="309"/>
      <c r="S467" s="309"/>
      <c r="T467" s="309"/>
      <c r="U467" s="309"/>
      <c r="V467" s="309"/>
      <c r="W467" s="309"/>
      <c r="X467" s="309"/>
      <c r="Y467" s="309"/>
      <c r="Z467" s="309"/>
    </row>
    <row r="468">
      <c r="A468" s="194"/>
      <c r="B468" s="309"/>
      <c r="C468" s="194"/>
      <c r="D468" s="309"/>
      <c r="E468" s="309"/>
      <c r="F468" s="309"/>
      <c r="G468" s="309"/>
      <c r="H468" s="309"/>
      <c r="I468" s="309"/>
      <c r="J468" s="309"/>
      <c r="K468" s="309"/>
      <c r="L468" s="309"/>
      <c r="M468" s="309"/>
      <c r="N468" s="309"/>
      <c r="O468" s="309"/>
      <c r="P468" s="309"/>
      <c r="Q468" s="309"/>
      <c r="R468" s="309"/>
      <c r="S468" s="309"/>
      <c r="T468" s="309"/>
      <c r="U468" s="309"/>
      <c r="V468" s="309"/>
      <c r="W468" s="309"/>
      <c r="X468" s="309"/>
      <c r="Y468" s="309"/>
      <c r="Z468" s="309"/>
    </row>
    <row r="469">
      <c r="A469" s="194"/>
      <c r="B469" s="309"/>
      <c r="C469" s="194"/>
      <c r="D469" s="309"/>
      <c r="E469" s="309"/>
      <c r="F469" s="309"/>
      <c r="G469" s="309"/>
      <c r="H469" s="309"/>
      <c r="I469" s="309"/>
      <c r="J469" s="309"/>
      <c r="K469" s="309"/>
      <c r="L469" s="309"/>
      <c r="M469" s="309"/>
      <c r="N469" s="309"/>
      <c r="O469" s="309"/>
      <c r="P469" s="309"/>
      <c r="Q469" s="309"/>
      <c r="R469" s="309"/>
      <c r="S469" s="309"/>
      <c r="T469" s="309"/>
      <c r="U469" s="309"/>
      <c r="V469" s="309"/>
      <c r="W469" s="309"/>
      <c r="X469" s="309"/>
      <c r="Y469" s="309"/>
      <c r="Z469" s="309"/>
    </row>
    <row r="470">
      <c r="A470" s="194"/>
      <c r="B470" s="309"/>
      <c r="C470" s="194"/>
      <c r="D470" s="309"/>
      <c r="E470" s="309"/>
      <c r="F470" s="309"/>
      <c r="G470" s="309"/>
      <c r="H470" s="309"/>
      <c r="I470" s="309"/>
      <c r="J470" s="309"/>
      <c r="K470" s="309"/>
      <c r="L470" s="309"/>
      <c r="M470" s="309"/>
      <c r="N470" s="309"/>
      <c r="O470" s="309"/>
      <c r="P470" s="309"/>
      <c r="Q470" s="309"/>
      <c r="R470" s="309"/>
      <c r="S470" s="309"/>
      <c r="T470" s="309"/>
      <c r="U470" s="309"/>
      <c r="V470" s="309"/>
      <c r="W470" s="309"/>
      <c r="X470" s="309"/>
      <c r="Y470" s="309"/>
      <c r="Z470" s="309"/>
    </row>
    <row r="471">
      <c r="A471" s="194"/>
      <c r="B471" s="309"/>
      <c r="C471" s="194"/>
      <c r="D471" s="309"/>
      <c r="E471" s="309"/>
      <c r="F471" s="309"/>
      <c r="G471" s="309"/>
      <c r="H471" s="309"/>
      <c r="I471" s="309"/>
      <c r="J471" s="309"/>
      <c r="K471" s="309"/>
      <c r="L471" s="309"/>
      <c r="M471" s="309"/>
      <c r="N471" s="309"/>
      <c r="O471" s="309"/>
      <c r="P471" s="309"/>
      <c r="Q471" s="309"/>
      <c r="R471" s="309"/>
      <c r="S471" s="309"/>
      <c r="T471" s="309"/>
      <c r="U471" s="309"/>
      <c r="V471" s="309"/>
      <c r="W471" s="309"/>
      <c r="X471" s="309"/>
      <c r="Y471" s="309"/>
      <c r="Z471" s="309"/>
    </row>
    <row r="472">
      <c r="A472" s="194"/>
      <c r="B472" s="309"/>
      <c r="C472" s="194"/>
      <c r="D472" s="309"/>
      <c r="E472" s="309"/>
      <c r="F472" s="309"/>
      <c r="G472" s="309"/>
      <c r="H472" s="309"/>
      <c r="I472" s="309"/>
      <c r="J472" s="309"/>
      <c r="K472" s="309"/>
      <c r="L472" s="309"/>
      <c r="M472" s="309"/>
      <c r="N472" s="309"/>
      <c r="O472" s="309"/>
      <c r="P472" s="309"/>
      <c r="Q472" s="309"/>
      <c r="R472" s="309"/>
      <c r="S472" s="309"/>
      <c r="T472" s="309"/>
      <c r="U472" s="309"/>
      <c r="V472" s="309"/>
      <c r="W472" s="309"/>
      <c r="X472" s="309"/>
      <c r="Y472" s="309"/>
      <c r="Z472" s="309"/>
    </row>
    <row r="473">
      <c r="A473" s="194"/>
      <c r="B473" s="309"/>
      <c r="C473" s="194"/>
      <c r="D473" s="309"/>
      <c r="E473" s="309"/>
      <c r="F473" s="309"/>
      <c r="G473" s="309"/>
      <c r="H473" s="309"/>
      <c r="I473" s="309"/>
      <c r="J473" s="309"/>
      <c r="K473" s="309"/>
      <c r="L473" s="309"/>
      <c r="M473" s="309"/>
      <c r="N473" s="309"/>
      <c r="O473" s="309"/>
      <c r="P473" s="309"/>
      <c r="Q473" s="309"/>
      <c r="R473" s="309"/>
      <c r="S473" s="309"/>
      <c r="T473" s="309"/>
      <c r="U473" s="309"/>
      <c r="V473" s="309"/>
      <c r="W473" s="309"/>
      <c r="X473" s="309"/>
      <c r="Y473" s="309"/>
      <c r="Z473" s="309"/>
    </row>
    <row r="474">
      <c r="A474" s="194"/>
      <c r="B474" s="309"/>
      <c r="C474" s="194"/>
      <c r="D474" s="309"/>
      <c r="E474" s="309"/>
      <c r="F474" s="309"/>
      <c r="G474" s="309"/>
      <c r="H474" s="309"/>
      <c r="I474" s="309"/>
      <c r="J474" s="309"/>
      <c r="K474" s="309"/>
      <c r="L474" s="309"/>
      <c r="M474" s="309"/>
      <c r="N474" s="309"/>
      <c r="O474" s="309"/>
      <c r="P474" s="309"/>
      <c r="Q474" s="309"/>
      <c r="R474" s="309"/>
      <c r="S474" s="309"/>
      <c r="T474" s="309"/>
      <c r="U474" s="309"/>
      <c r="V474" s="309"/>
      <c r="W474" s="309"/>
      <c r="X474" s="309"/>
      <c r="Y474" s="309"/>
      <c r="Z474" s="309"/>
    </row>
    <row r="475">
      <c r="A475" s="194"/>
      <c r="B475" s="309"/>
      <c r="C475" s="194"/>
      <c r="D475" s="309"/>
      <c r="E475" s="309"/>
      <c r="F475" s="309"/>
      <c r="G475" s="309"/>
      <c r="H475" s="309"/>
      <c r="I475" s="309"/>
      <c r="J475" s="309"/>
      <c r="K475" s="309"/>
      <c r="L475" s="309"/>
      <c r="M475" s="309"/>
      <c r="N475" s="309"/>
      <c r="O475" s="309"/>
      <c r="P475" s="309"/>
      <c r="Q475" s="309"/>
      <c r="R475" s="309"/>
      <c r="S475" s="309"/>
      <c r="T475" s="309"/>
      <c r="U475" s="309"/>
      <c r="V475" s="309"/>
      <c r="W475" s="309"/>
      <c r="X475" s="309"/>
      <c r="Y475" s="309"/>
      <c r="Z475" s="309"/>
    </row>
    <row r="476">
      <c r="A476" s="194"/>
      <c r="B476" s="309"/>
      <c r="C476" s="194"/>
      <c r="D476" s="309"/>
      <c r="E476" s="309"/>
      <c r="F476" s="309"/>
      <c r="G476" s="309"/>
      <c r="H476" s="309"/>
      <c r="I476" s="309"/>
      <c r="J476" s="309"/>
      <c r="K476" s="309"/>
      <c r="L476" s="309"/>
      <c r="M476" s="309"/>
      <c r="N476" s="309"/>
      <c r="O476" s="309"/>
      <c r="P476" s="309"/>
      <c r="Q476" s="309"/>
      <c r="R476" s="309"/>
      <c r="S476" s="309"/>
      <c r="T476" s="309"/>
      <c r="U476" s="309"/>
      <c r="V476" s="309"/>
      <c r="W476" s="309"/>
      <c r="X476" s="309"/>
      <c r="Y476" s="309"/>
      <c r="Z476" s="309"/>
    </row>
    <row r="477">
      <c r="A477" s="194"/>
      <c r="B477" s="309"/>
      <c r="C477" s="194"/>
      <c r="D477" s="309"/>
      <c r="E477" s="309"/>
      <c r="F477" s="309"/>
      <c r="G477" s="309"/>
      <c r="H477" s="309"/>
      <c r="I477" s="309"/>
      <c r="J477" s="309"/>
      <c r="K477" s="309"/>
      <c r="L477" s="309"/>
      <c r="M477" s="309"/>
      <c r="N477" s="309"/>
      <c r="O477" s="309"/>
      <c r="P477" s="309"/>
      <c r="Q477" s="309"/>
      <c r="R477" s="309"/>
      <c r="S477" s="309"/>
      <c r="T477" s="309"/>
      <c r="U477" s="309"/>
      <c r="V477" s="309"/>
      <c r="W477" s="309"/>
      <c r="X477" s="309"/>
      <c r="Y477" s="309"/>
      <c r="Z477" s="309"/>
    </row>
    <row r="478">
      <c r="A478" s="194"/>
      <c r="B478" s="309"/>
      <c r="C478" s="194"/>
      <c r="D478" s="309"/>
      <c r="E478" s="309"/>
      <c r="F478" s="309"/>
      <c r="G478" s="309"/>
      <c r="H478" s="309"/>
      <c r="I478" s="309"/>
      <c r="J478" s="309"/>
      <c r="K478" s="309"/>
      <c r="L478" s="309"/>
      <c r="M478" s="309"/>
      <c r="N478" s="309"/>
      <c r="O478" s="309"/>
      <c r="P478" s="309"/>
      <c r="Q478" s="309"/>
      <c r="R478" s="309"/>
      <c r="S478" s="309"/>
      <c r="T478" s="309"/>
      <c r="U478" s="309"/>
      <c r="V478" s="309"/>
      <c r="W478" s="309"/>
      <c r="X478" s="309"/>
      <c r="Y478" s="309"/>
      <c r="Z478" s="309"/>
    </row>
    <row r="479">
      <c r="A479" s="194"/>
      <c r="B479" s="309"/>
      <c r="C479" s="194"/>
      <c r="D479" s="309"/>
      <c r="E479" s="309"/>
      <c r="F479" s="309"/>
      <c r="G479" s="309"/>
      <c r="H479" s="309"/>
      <c r="I479" s="309"/>
      <c r="J479" s="309"/>
      <c r="K479" s="309"/>
      <c r="L479" s="309"/>
      <c r="M479" s="309"/>
      <c r="N479" s="309"/>
      <c r="O479" s="309"/>
      <c r="P479" s="309"/>
      <c r="Q479" s="309"/>
      <c r="R479" s="309"/>
      <c r="S479" s="309"/>
      <c r="T479" s="309"/>
      <c r="U479" s="309"/>
      <c r="V479" s="309"/>
      <c r="W479" s="309"/>
      <c r="X479" s="309"/>
      <c r="Y479" s="309"/>
      <c r="Z479" s="309"/>
    </row>
    <row r="480">
      <c r="A480" s="194"/>
      <c r="B480" s="309"/>
      <c r="C480" s="194"/>
      <c r="D480" s="309"/>
      <c r="E480" s="309"/>
      <c r="F480" s="309"/>
      <c r="G480" s="309"/>
      <c r="H480" s="309"/>
      <c r="I480" s="309"/>
      <c r="J480" s="309"/>
      <c r="K480" s="309"/>
      <c r="L480" s="309"/>
      <c r="M480" s="309"/>
      <c r="N480" s="309"/>
      <c r="O480" s="309"/>
      <c r="P480" s="309"/>
      <c r="Q480" s="309"/>
      <c r="R480" s="309"/>
      <c r="S480" s="309"/>
      <c r="T480" s="309"/>
      <c r="U480" s="309"/>
      <c r="V480" s="309"/>
      <c r="W480" s="309"/>
      <c r="X480" s="309"/>
      <c r="Y480" s="309"/>
      <c r="Z480" s="309"/>
    </row>
    <row r="481">
      <c r="A481" s="194"/>
      <c r="B481" s="309"/>
      <c r="C481" s="194"/>
      <c r="D481" s="309"/>
      <c r="E481" s="309"/>
      <c r="F481" s="309"/>
      <c r="G481" s="309"/>
      <c r="H481" s="309"/>
      <c r="I481" s="309"/>
      <c r="J481" s="309"/>
      <c r="K481" s="309"/>
      <c r="L481" s="309"/>
      <c r="M481" s="309"/>
      <c r="N481" s="309"/>
      <c r="O481" s="309"/>
      <c r="P481" s="309"/>
      <c r="Q481" s="309"/>
      <c r="R481" s="309"/>
      <c r="S481" s="309"/>
      <c r="T481" s="309"/>
      <c r="U481" s="309"/>
      <c r="V481" s="309"/>
      <c r="W481" s="309"/>
      <c r="X481" s="309"/>
      <c r="Y481" s="309"/>
      <c r="Z481" s="309"/>
    </row>
    <row r="482">
      <c r="A482" s="194"/>
      <c r="B482" s="309"/>
      <c r="C482" s="194"/>
      <c r="D482" s="309"/>
      <c r="E482" s="309"/>
      <c r="F482" s="309"/>
      <c r="G482" s="309"/>
      <c r="H482" s="309"/>
      <c r="I482" s="309"/>
      <c r="J482" s="309"/>
      <c r="K482" s="309"/>
      <c r="L482" s="309"/>
      <c r="M482" s="309"/>
      <c r="N482" s="309"/>
      <c r="O482" s="309"/>
      <c r="P482" s="309"/>
      <c r="Q482" s="309"/>
      <c r="R482" s="309"/>
      <c r="S482" s="309"/>
      <c r="T482" s="309"/>
      <c r="U482" s="309"/>
      <c r="V482" s="309"/>
      <c r="W482" s="309"/>
      <c r="X482" s="309"/>
      <c r="Y482" s="309"/>
      <c r="Z482" s="309"/>
    </row>
    <row r="483">
      <c r="A483" s="194"/>
      <c r="B483" s="309"/>
      <c r="C483" s="194"/>
      <c r="D483" s="309"/>
      <c r="E483" s="309"/>
      <c r="F483" s="309"/>
      <c r="G483" s="309"/>
      <c r="H483" s="309"/>
      <c r="I483" s="309"/>
      <c r="J483" s="309"/>
      <c r="K483" s="309"/>
      <c r="L483" s="309"/>
      <c r="M483" s="309"/>
      <c r="N483" s="309"/>
      <c r="O483" s="309"/>
      <c r="P483" s="309"/>
      <c r="Q483" s="309"/>
      <c r="R483" s="309"/>
      <c r="S483" s="309"/>
      <c r="T483" s="309"/>
      <c r="U483" s="309"/>
      <c r="V483" s="309"/>
      <c r="W483" s="309"/>
      <c r="X483" s="309"/>
      <c r="Y483" s="309"/>
      <c r="Z483" s="309"/>
    </row>
    <row r="484">
      <c r="A484" s="194"/>
      <c r="B484" s="309"/>
      <c r="C484" s="194"/>
      <c r="D484" s="309"/>
      <c r="E484" s="309"/>
      <c r="F484" s="309"/>
      <c r="G484" s="309"/>
      <c r="H484" s="309"/>
      <c r="I484" s="309"/>
      <c r="J484" s="309"/>
      <c r="K484" s="309"/>
      <c r="L484" s="309"/>
      <c r="M484" s="309"/>
      <c r="N484" s="309"/>
      <c r="O484" s="309"/>
      <c r="P484" s="309"/>
      <c r="Q484" s="309"/>
      <c r="R484" s="309"/>
      <c r="S484" s="309"/>
      <c r="T484" s="309"/>
      <c r="U484" s="309"/>
      <c r="V484" s="309"/>
      <c r="W484" s="309"/>
      <c r="X484" s="309"/>
      <c r="Y484" s="309"/>
      <c r="Z484" s="309"/>
    </row>
    <row r="485">
      <c r="A485" s="194"/>
      <c r="B485" s="309"/>
      <c r="C485" s="194"/>
      <c r="D485" s="309"/>
      <c r="E485" s="309"/>
      <c r="F485" s="309"/>
      <c r="G485" s="309"/>
      <c r="H485" s="309"/>
      <c r="I485" s="309"/>
      <c r="J485" s="309"/>
      <c r="K485" s="309"/>
      <c r="L485" s="309"/>
      <c r="M485" s="309"/>
      <c r="N485" s="309"/>
      <c r="O485" s="309"/>
      <c r="P485" s="309"/>
      <c r="Q485" s="309"/>
      <c r="R485" s="309"/>
      <c r="S485" s="309"/>
      <c r="T485" s="309"/>
      <c r="U485" s="309"/>
      <c r="V485" s="309"/>
      <c r="W485" s="309"/>
      <c r="X485" s="309"/>
      <c r="Y485" s="309"/>
      <c r="Z485" s="309"/>
    </row>
    <row r="486">
      <c r="A486" s="194"/>
      <c r="B486" s="309"/>
      <c r="C486" s="194"/>
      <c r="D486" s="309"/>
      <c r="E486" s="309"/>
      <c r="F486" s="309"/>
      <c r="G486" s="309"/>
      <c r="H486" s="309"/>
      <c r="I486" s="309"/>
      <c r="J486" s="309"/>
      <c r="K486" s="309"/>
      <c r="L486" s="309"/>
      <c r="M486" s="309"/>
      <c r="N486" s="309"/>
      <c r="O486" s="309"/>
      <c r="P486" s="309"/>
      <c r="Q486" s="309"/>
      <c r="R486" s="309"/>
      <c r="S486" s="309"/>
      <c r="T486" s="309"/>
      <c r="U486" s="309"/>
      <c r="V486" s="309"/>
      <c r="W486" s="309"/>
      <c r="X486" s="309"/>
      <c r="Y486" s="309"/>
      <c r="Z486" s="309"/>
    </row>
    <row r="487">
      <c r="A487" s="194"/>
      <c r="B487" s="309"/>
      <c r="C487" s="194"/>
      <c r="D487" s="309"/>
      <c r="E487" s="309"/>
      <c r="F487" s="309"/>
      <c r="G487" s="309"/>
      <c r="H487" s="309"/>
      <c r="I487" s="309"/>
      <c r="J487" s="309"/>
      <c r="K487" s="309"/>
      <c r="L487" s="309"/>
      <c r="M487" s="309"/>
      <c r="N487" s="309"/>
      <c r="O487" s="309"/>
      <c r="P487" s="309"/>
      <c r="Q487" s="309"/>
      <c r="R487" s="309"/>
      <c r="S487" s="309"/>
      <c r="T487" s="309"/>
      <c r="U487" s="309"/>
      <c r="V487" s="309"/>
      <c r="W487" s="309"/>
      <c r="X487" s="309"/>
      <c r="Y487" s="309"/>
      <c r="Z487" s="309"/>
    </row>
    <row r="488">
      <c r="A488" s="194"/>
      <c r="B488" s="309"/>
      <c r="C488" s="194"/>
      <c r="D488" s="309"/>
      <c r="E488" s="309"/>
      <c r="F488" s="309"/>
      <c r="G488" s="309"/>
      <c r="H488" s="309"/>
      <c r="I488" s="309"/>
      <c r="J488" s="309"/>
      <c r="K488" s="309"/>
      <c r="L488" s="309"/>
      <c r="M488" s="309"/>
      <c r="N488" s="309"/>
      <c r="O488" s="309"/>
      <c r="P488" s="309"/>
      <c r="Q488" s="309"/>
      <c r="R488" s="309"/>
      <c r="S488" s="309"/>
      <c r="T488" s="309"/>
      <c r="U488" s="309"/>
      <c r="V488" s="309"/>
      <c r="W488" s="309"/>
      <c r="X488" s="309"/>
      <c r="Y488" s="309"/>
      <c r="Z488" s="309"/>
    </row>
    <row r="489">
      <c r="A489" s="194"/>
      <c r="B489" s="309"/>
      <c r="C489" s="194"/>
      <c r="D489" s="309"/>
      <c r="E489" s="309"/>
      <c r="F489" s="309"/>
      <c r="G489" s="309"/>
      <c r="H489" s="309"/>
      <c r="I489" s="309"/>
      <c r="J489" s="309"/>
      <c r="K489" s="309"/>
      <c r="L489" s="309"/>
      <c r="M489" s="309"/>
      <c r="N489" s="309"/>
      <c r="O489" s="309"/>
      <c r="P489" s="309"/>
      <c r="Q489" s="309"/>
      <c r="R489" s="309"/>
      <c r="S489" s="309"/>
      <c r="T489" s="309"/>
      <c r="U489" s="309"/>
      <c r="V489" s="309"/>
      <c r="W489" s="309"/>
      <c r="X489" s="309"/>
      <c r="Y489" s="309"/>
      <c r="Z489" s="309"/>
    </row>
    <row r="490">
      <c r="A490" s="194"/>
      <c r="B490" s="309"/>
      <c r="C490" s="194"/>
      <c r="D490" s="309"/>
      <c r="E490" s="309"/>
      <c r="F490" s="309"/>
      <c r="G490" s="309"/>
      <c r="H490" s="309"/>
      <c r="I490" s="309"/>
      <c r="J490" s="309"/>
      <c r="K490" s="309"/>
      <c r="L490" s="309"/>
      <c r="M490" s="309"/>
      <c r="N490" s="309"/>
      <c r="O490" s="309"/>
      <c r="P490" s="309"/>
      <c r="Q490" s="309"/>
      <c r="R490" s="309"/>
      <c r="S490" s="309"/>
      <c r="T490" s="309"/>
      <c r="U490" s="309"/>
      <c r="V490" s="309"/>
      <c r="W490" s="309"/>
      <c r="X490" s="309"/>
      <c r="Y490" s="309"/>
      <c r="Z490" s="309"/>
    </row>
    <row r="491">
      <c r="A491" s="194"/>
      <c r="B491" s="309"/>
      <c r="C491" s="194"/>
      <c r="D491" s="309"/>
      <c r="E491" s="309"/>
      <c r="F491" s="309"/>
      <c r="G491" s="309"/>
      <c r="H491" s="309"/>
      <c r="I491" s="309"/>
      <c r="J491" s="309"/>
      <c r="K491" s="309"/>
      <c r="L491" s="309"/>
      <c r="M491" s="309"/>
      <c r="N491" s="309"/>
      <c r="O491" s="309"/>
      <c r="P491" s="309"/>
      <c r="Q491" s="309"/>
      <c r="R491" s="309"/>
      <c r="S491" s="309"/>
      <c r="T491" s="309"/>
      <c r="U491" s="309"/>
      <c r="V491" s="309"/>
      <c r="W491" s="309"/>
      <c r="X491" s="309"/>
      <c r="Y491" s="309"/>
      <c r="Z491" s="309"/>
    </row>
    <row r="492">
      <c r="A492" s="194"/>
      <c r="B492" s="309"/>
      <c r="C492" s="194"/>
      <c r="D492" s="309"/>
      <c r="E492" s="309"/>
      <c r="F492" s="309"/>
      <c r="G492" s="309"/>
      <c r="H492" s="309"/>
      <c r="I492" s="309"/>
      <c r="J492" s="309"/>
      <c r="K492" s="309"/>
      <c r="L492" s="309"/>
      <c r="M492" s="309"/>
      <c r="N492" s="309"/>
      <c r="O492" s="309"/>
      <c r="P492" s="309"/>
      <c r="Q492" s="309"/>
      <c r="R492" s="309"/>
      <c r="S492" s="309"/>
      <c r="T492" s="309"/>
      <c r="U492" s="309"/>
      <c r="V492" s="309"/>
      <c r="W492" s="309"/>
      <c r="X492" s="309"/>
      <c r="Y492" s="309"/>
      <c r="Z492" s="309"/>
    </row>
    <row r="493">
      <c r="A493" s="194"/>
      <c r="B493" s="309"/>
      <c r="C493" s="194"/>
      <c r="D493" s="309"/>
      <c r="E493" s="309"/>
      <c r="F493" s="309"/>
      <c r="G493" s="309"/>
      <c r="H493" s="309"/>
      <c r="I493" s="309"/>
      <c r="J493" s="309"/>
      <c r="K493" s="309"/>
      <c r="L493" s="309"/>
      <c r="M493" s="309"/>
      <c r="N493" s="309"/>
      <c r="O493" s="309"/>
      <c r="P493" s="309"/>
      <c r="Q493" s="309"/>
      <c r="R493" s="309"/>
      <c r="S493" s="309"/>
      <c r="T493" s="309"/>
      <c r="U493" s="309"/>
      <c r="V493" s="309"/>
      <c r="W493" s="309"/>
      <c r="X493" s="309"/>
      <c r="Y493" s="309"/>
      <c r="Z493" s="309"/>
    </row>
    <row r="494">
      <c r="A494" s="194"/>
      <c r="B494" s="309"/>
      <c r="C494" s="194"/>
      <c r="D494" s="309"/>
      <c r="E494" s="309"/>
      <c r="F494" s="309"/>
      <c r="G494" s="309"/>
      <c r="H494" s="309"/>
      <c r="I494" s="309"/>
      <c r="J494" s="309"/>
      <c r="K494" s="309"/>
      <c r="L494" s="309"/>
      <c r="M494" s="309"/>
      <c r="N494" s="309"/>
      <c r="O494" s="309"/>
      <c r="P494" s="309"/>
      <c r="Q494" s="309"/>
      <c r="R494" s="309"/>
      <c r="S494" s="309"/>
      <c r="T494" s="309"/>
      <c r="U494" s="309"/>
      <c r="V494" s="309"/>
      <c r="W494" s="309"/>
      <c r="X494" s="309"/>
      <c r="Y494" s="309"/>
      <c r="Z494" s="309"/>
    </row>
    <row r="495">
      <c r="A495" s="194"/>
      <c r="B495" s="309"/>
      <c r="C495" s="194"/>
      <c r="D495" s="309"/>
      <c r="E495" s="309"/>
      <c r="F495" s="309"/>
      <c r="G495" s="309"/>
      <c r="H495" s="309"/>
      <c r="I495" s="309"/>
      <c r="J495" s="309"/>
      <c r="K495" s="309"/>
      <c r="L495" s="309"/>
      <c r="M495" s="309"/>
      <c r="N495" s="309"/>
      <c r="O495" s="309"/>
      <c r="P495" s="309"/>
      <c r="Q495" s="309"/>
      <c r="R495" s="309"/>
      <c r="S495" s="309"/>
      <c r="T495" s="309"/>
      <c r="U495" s="309"/>
      <c r="V495" s="309"/>
      <c r="W495" s="309"/>
      <c r="X495" s="309"/>
      <c r="Y495" s="309"/>
      <c r="Z495" s="309"/>
    </row>
    <row r="496">
      <c r="A496" s="194"/>
      <c r="B496" s="309"/>
      <c r="C496" s="194"/>
      <c r="D496" s="309"/>
      <c r="E496" s="309"/>
      <c r="F496" s="309"/>
      <c r="G496" s="309"/>
      <c r="H496" s="309"/>
      <c r="I496" s="309"/>
      <c r="J496" s="309"/>
      <c r="K496" s="309"/>
      <c r="L496" s="309"/>
      <c r="M496" s="309"/>
      <c r="N496" s="309"/>
      <c r="O496" s="309"/>
      <c r="P496" s="309"/>
      <c r="Q496" s="309"/>
      <c r="R496" s="309"/>
      <c r="S496" s="309"/>
      <c r="T496" s="309"/>
      <c r="U496" s="309"/>
      <c r="V496" s="309"/>
      <c r="W496" s="309"/>
      <c r="X496" s="309"/>
      <c r="Y496" s="309"/>
      <c r="Z496" s="309"/>
    </row>
    <row r="497">
      <c r="A497" s="194"/>
      <c r="B497" s="309"/>
      <c r="C497" s="194"/>
      <c r="D497" s="309"/>
      <c r="E497" s="309"/>
      <c r="F497" s="309"/>
      <c r="G497" s="309"/>
      <c r="H497" s="309"/>
      <c r="I497" s="309"/>
      <c r="J497" s="309"/>
      <c r="K497" s="309"/>
      <c r="L497" s="309"/>
      <c r="M497" s="309"/>
      <c r="N497" s="309"/>
      <c r="O497" s="309"/>
      <c r="P497" s="309"/>
      <c r="Q497" s="309"/>
      <c r="R497" s="309"/>
      <c r="S497" s="309"/>
      <c r="T497" s="309"/>
      <c r="U497" s="309"/>
      <c r="V497" s="309"/>
      <c r="W497" s="309"/>
      <c r="X497" s="309"/>
      <c r="Y497" s="309"/>
      <c r="Z497" s="309"/>
    </row>
    <row r="498">
      <c r="A498" s="194"/>
      <c r="B498" s="309"/>
      <c r="C498" s="194"/>
      <c r="D498" s="309"/>
      <c r="E498" s="309"/>
      <c r="F498" s="309"/>
      <c r="G498" s="309"/>
      <c r="H498" s="309"/>
      <c r="I498" s="309"/>
      <c r="J498" s="309"/>
      <c r="K498" s="309"/>
      <c r="L498" s="309"/>
      <c r="M498" s="309"/>
      <c r="N498" s="309"/>
      <c r="O498" s="309"/>
      <c r="P498" s="309"/>
      <c r="Q498" s="309"/>
      <c r="R498" s="309"/>
      <c r="S498" s="309"/>
      <c r="T498" s="309"/>
      <c r="U498" s="309"/>
      <c r="V498" s="309"/>
      <c r="W498" s="309"/>
      <c r="X498" s="309"/>
      <c r="Y498" s="309"/>
      <c r="Z498" s="309"/>
    </row>
    <row r="499">
      <c r="A499" s="194"/>
      <c r="B499" s="309"/>
      <c r="C499" s="194"/>
      <c r="D499" s="309"/>
      <c r="E499" s="309"/>
      <c r="F499" s="309"/>
      <c r="G499" s="309"/>
      <c r="H499" s="309"/>
      <c r="I499" s="309"/>
      <c r="J499" s="309"/>
      <c r="K499" s="309"/>
      <c r="L499" s="309"/>
      <c r="M499" s="309"/>
      <c r="N499" s="309"/>
      <c r="O499" s="309"/>
      <c r="P499" s="309"/>
      <c r="Q499" s="309"/>
      <c r="R499" s="309"/>
      <c r="S499" s="309"/>
      <c r="T499" s="309"/>
      <c r="U499" s="309"/>
      <c r="V499" s="309"/>
      <c r="W499" s="309"/>
      <c r="X499" s="309"/>
      <c r="Y499" s="309"/>
      <c r="Z499" s="309"/>
    </row>
    <row r="500">
      <c r="A500" s="194"/>
      <c r="B500" s="309"/>
      <c r="C500" s="194"/>
      <c r="D500" s="309"/>
      <c r="E500" s="309"/>
      <c r="F500" s="309"/>
      <c r="G500" s="309"/>
      <c r="H500" s="309"/>
      <c r="I500" s="309"/>
      <c r="J500" s="309"/>
      <c r="K500" s="309"/>
      <c r="L500" s="309"/>
      <c r="M500" s="309"/>
      <c r="N500" s="309"/>
      <c r="O500" s="309"/>
      <c r="P500" s="309"/>
      <c r="Q500" s="309"/>
      <c r="R500" s="309"/>
      <c r="S500" s="309"/>
      <c r="T500" s="309"/>
      <c r="U500" s="309"/>
      <c r="V500" s="309"/>
      <c r="W500" s="309"/>
      <c r="X500" s="309"/>
      <c r="Y500" s="309"/>
      <c r="Z500" s="309"/>
    </row>
    <row r="501">
      <c r="A501" s="194"/>
      <c r="B501" s="309"/>
      <c r="C501" s="194"/>
      <c r="D501" s="309"/>
      <c r="E501" s="309"/>
      <c r="F501" s="309"/>
      <c r="G501" s="309"/>
      <c r="H501" s="309"/>
      <c r="I501" s="309"/>
      <c r="J501" s="309"/>
      <c r="K501" s="309"/>
      <c r="L501" s="309"/>
      <c r="M501" s="309"/>
      <c r="N501" s="309"/>
      <c r="O501" s="309"/>
      <c r="P501" s="309"/>
      <c r="Q501" s="309"/>
      <c r="R501" s="309"/>
      <c r="S501" s="309"/>
      <c r="T501" s="309"/>
      <c r="U501" s="309"/>
      <c r="V501" s="309"/>
      <c r="W501" s="309"/>
      <c r="X501" s="309"/>
      <c r="Y501" s="309"/>
      <c r="Z501" s="309"/>
    </row>
    <row r="502">
      <c r="A502" s="194"/>
      <c r="B502" s="309"/>
      <c r="C502" s="194"/>
      <c r="D502" s="309"/>
      <c r="E502" s="309"/>
      <c r="F502" s="309"/>
      <c r="G502" s="309"/>
      <c r="H502" s="309"/>
      <c r="I502" s="309"/>
      <c r="J502" s="309"/>
      <c r="K502" s="309"/>
      <c r="L502" s="309"/>
      <c r="M502" s="309"/>
      <c r="N502" s="309"/>
      <c r="O502" s="309"/>
      <c r="P502" s="309"/>
      <c r="Q502" s="309"/>
      <c r="R502" s="309"/>
      <c r="S502" s="309"/>
      <c r="T502" s="309"/>
      <c r="U502" s="309"/>
      <c r="V502" s="309"/>
      <c r="W502" s="309"/>
      <c r="X502" s="309"/>
      <c r="Y502" s="309"/>
      <c r="Z502" s="309"/>
    </row>
    <row r="503">
      <c r="A503" s="194"/>
      <c r="B503" s="309"/>
      <c r="C503" s="194"/>
      <c r="D503" s="309"/>
      <c r="E503" s="309"/>
      <c r="F503" s="309"/>
      <c r="G503" s="309"/>
      <c r="H503" s="309"/>
      <c r="I503" s="309"/>
      <c r="J503" s="309"/>
      <c r="K503" s="309"/>
      <c r="L503" s="309"/>
      <c r="M503" s="309"/>
      <c r="N503" s="309"/>
      <c r="O503" s="309"/>
      <c r="P503" s="309"/>
      <c r="Q503" s="309"/>
      <c r="R503" s="309"/>
      <c r="S503" s="309"/>
      <c r="T503" s="309"/>
      <c r="U503" s="309"/>
      <c r="V503" s="309"/>
      <c r="W503" s="309"/>
      <c r="X503" s="309"/>
      <c r="Y503" s="309"/>
      <c r="Z503" s="309"/>
    </row>
    <row r="504">
      <c r="A504" s="194"/>
      <c r="B504" s="309"/>
      <c r="C504" s="194"/>
      <c r="D504" s="309"/>
      <c r="E504" s="309"/>
      <c r="F504" s="309"/>
      <c r="G504" s="309"/>
      <c r="H504" s="309"/>
      <c r="I504" s="309"/>
      <c r="J504" s="309"/>
      <c r="K504" s="309"/>
      <c r="L504" s="309"/>
      <c r="M504" s="309"/>
      <c r="N504" s="309"/>
      <c r="O504" s="309"/>
      <c r="P504" s="309"/>
      <c r="Q504" s="309"/>
      <c r="R504" s="309"/>
      <c r="S504" s="309"/>
      <c r="T504" s="309"/>
      <c r="U504" s="309"/>
      <c r="V504" s="309"/>
      <c r="W504" s="309"/>
      <c r="X504" s="309"/>
      <c r="Y504" s="309"/>
      <c r="Z504" s="309"/>
    </row>
    <row r="505">
      <c r="A505" s="194"/>
      <c r="B505" s="309"/>
      <c r="C505" s="194"/>
      <c r="D505" s="309"/>
      <c r="E505" s="309"/>
      <c r="F505" s="309"/>
      <c r="G505" s="309"/>
      <c r="H505" s="309"/>
      <c r="I505" s="309"/>
      <c r="J505" s="309"/>
      <c r="K505" s="309"/>
      <c r="L505" s="309"/>
      <c r="M505" s="309"/>
      <c r="N505" s="309"/>
      <c r="O505" s="309"/>
      <c r="P505" s="309"/>
      <c r="Q505" s="309"/>
      <c r="R505" s="309"/>
      <c r="S505" s="309"/>
      <c r="T505" s="309"/>
      <c r="U505" s="309"/>
      <c r="V505" s="309"/>
      <c r="W505" s="309"/>
      <c r="X505" s="309"/>
      <c r="Y505" s="309"/>
      <c r="Z505" s="309"/>
    </row>
    <row r="506">
      <c r="A506" s="194"/>
      <c r="B506" s="309"/>
      <c r="C506" s="194"/>
      <c r="D506" s="309"/>
      <c r="E506" s="309"/>
      <c r="F506" s="309"/>
      <c r="G506" s="309"/>
      <c r="H506" s="309"/>
      <c r="I506" s="309"/>
      <c r="J506" s="309"/>
      <c r="K506" s="309"/>
      <c r="L506" s="309"/>
      <c r="M506" s="309"/>
      <c r="N506" s="309"/>
      <c r="O506" s="309"/>
      <c r="P506" s="309"/>
      <c r="Q506" s="309"/>
      <c r="R506" s="309"/>
      <c r="S506" s="309"/>
      <c r="T506" s="309"/>
      <c r="U506" s="309"/>
      <c r="V506" s="309"/>
      <c r="W506" s="309"/>
      <c r="X506" s="309"/>
      <c r="Y506" s="309"/>
      <c r="Z506" s="309"/>
    </row>
    <row r="507">
      <c r="A507" s="194"/>
      <c r="B507" s="309"/>
      <c r="C507" s="194"/>
      <c r="D507" s="309"/>
      <c r="E507" s="309"/>
      <c r="F507" s="309"/>
      <c r="G507" s="309"/>
      <c r="H507" s="309"/>
      <c r="I507" s="309"/>
      <c r="J507" s="309"/>
      <c r="K507" s="309"/>
      <c r="L507" s="309"/>
      <c r="M507" s="309"/>
      <c r="N507" s="309"/>
      <c r="O507" s="309"/>
      <c r="P507" s="309"/>
      <c r="Q507" s="309"/>
      <c r="R507" s="309"/>
      <c r="S507" s="309"/>
      <c r="T507" s="309"/>
      <c r="U507" s="309"/>
      <c r="V507" s="309"/>
      <c r="W507" s="309"/>
      <c r="X507" s="309"/>
      <c r="Y507" s="309"/>
      <c r="Z507" s="309"/>
    </row>
    <row r="508">
      <c r="A508" s="194"/>
      <c r="B508" s="309"/>
      <c r="C508" s="194"/>
      <c r="D508" s="309"/>
      <c r="E508" s="309"/>
      <c r="F508" s="309"/>
      <c r="G508" s="309"/>
      <c r="H508" s="309"/>
      <c r="I508" s="309"/>
      <c r="J508" s="309"/>
      <c r="K508" s="309"/>
      <c r="L508" s="309"/>
      <c r="M508" s="309"/>
      <c r="N508" s="309"/>
      <c r="O508" s="309"/>
      <c r="P508" s="309"/>
      <c r="Q508" s="309"/>
      <c r="R508" s="309"/>
      <c r="S508" s="309"/>
      <c r="T508" s="309"/>
      <c r="U508" s="309"/>
      <c r="V508" s="309"/>
      <c r="W508" s="309"/>
      <c r="X508" s="309"/>
      <c r="Y508" s="309"/>
      <c r="Z508" s="309"/>
    </row>
    <row r="509">
      <c r="A509" s="194"/>
      <c r="B509" s="309"/>
      <c r="C509" s="194"/>
      <c r="D509" s="309"/>
      <c r="E509" s="309"/>
      <c r="F509" s="309"/>
      <c r="G509" s="309"/>
      <c r="H509" s="309"/>
      <c r="I509" s="309"/>
      <c r="J509" s="309"/>
      <c r="K509" s="309"/>
      <c r="L509" s="309"/>
      <c r="M509" s="309"/>
      <c r="N509" s="309"/>
      <c r="O509" s="309"/>
      <c r="P509" s="309"/>
      <c r="Q509" s="309"/>
      <c r="R509" s="309"/>
      <c r="S509" s="309"/>
      <c r="T509" s="309"/>
      <c r="U509" s="309"/>
      <c r="V509" s="309"/>
      <c r="W509" s="309"/>
      <c r="X509" s="309"/>
      <c r="Y509" s="309"/>
      <c r="Z509" s="309"/>
    </row>
    <row r="510">
      <c r="A510" s="194"/>
      <c r="B510" s="309"/>
      <c r="C510" s="194"/>
      <c r="D510" s="309"/>
      <c r="E510" s="309"/>
      <c r="F510" s="309"/>
      <c r="G510" s="309"/>
      <c r="H510" s="309"/>
      <c r="I510" s="309"/>
      <c r="J510" s="309"/>
      <c r="K510" s="309"/>
      <c r="L510" s="309"/>
      <c r="M510" s="309"/>
      <c r="N510" s="309"/>
      <c r="O510" s="309"/>
      <c r="P510" s="309"/>
      <c r="Q510" s="309"/>
      <c r="R510" s="309"/>
      <c r="S510" s="309"/>
      <c r="T510" s="309"/>
      <c r="U510" s="309"/>
      <c r="V510" s="309"/>
      <c r="W510" s="309"/>
      <c r="X510" s="309"/>
      <c r="Y510" s="309"/>
      <c r="Z510" s="309"/>
    </row>
    <row r="511">
      <c r="A511" s="194"/>
      <c r="B511" s="309"/>
      <c r="C511" s="194"/>
      <c r="D511" s="309"/>
      <c r="E511" s="309"/>
      <c r="F511" s="309"/>
      <c r="G511" s="309"/>
      <c r="H511" s="309"/>
      <c r="I511" s="309"/>
      <c r="J511" s="309"/>
      <c r="K511" s="309"/>
      <c r="L511" s="309"/>
      <c r="M511" s="309"/>
      <c r="N511" s="309"/>
      <c r="O511" s="309"/>
      <c r="P511" s="309"/>
      <c r="Q511" s="309"/>
      <c r="R511" s="309"/>
      <c r="S511" s="309"/>
      <c r="T511" s="309"/>
      <c r="U511" s="309"/>
      <c r="V511" s="309"/>
      <c r="W511" s="309"/>
      <c r="X511" s="309"/>
      <c r="Y511" s="309"/>
      <c r="Z511" s="309"/>
    </row>
    <row r="512">
      <c r="A512" s="194"/>
      <c r="B512" s="309"/>
      <c r="C512" s="194"/>
      <c r="D512" s="309"/>
      <c r="E512" s="309"/>
      <c r="F512" s="309"/>
      <c r="G512" s="309"/>
      <c r="H512" s="309"/>
      <c r="I512" s="309"/>
      <c r="J512" s="309"/>
      <c r="K512" s="309"/>
      <c r="L512" s="309"/>
      <c r="M512" s="309"/>
      <c r="N512" s="309"/>
      <c r="O512" s="309"/>
      <c r="P512" s="309"/>
      <c r="Q512" s="309"/>
      <c r="R512" s="309"/>
      <c r="S512" s="309"/>
      <c r="T512" s="309"/>
      <c r="U512" s="309"/>
      <c r="V512" s="309"/>
      <c r="W512" s="309"/>
      <c r="X512" s="309"/>
      <c r="Y512" s="309"/>
      <c r="Z512" s="309"/>
    </row>
    <row r="513">
      <c r="A513" s="194"/>
      <c r="B513" s="309"/>
      <c r="C513" s="194"/>
      <c r="D513" s="309"/>
      <c r="E513" s="309"/>
      <c r="F513" s="309"/>
      <c r="G513" s="309"/>
      <c r="H513" s="309"/>
      <c r="I513" s="309"/>
      <c r="J513" s="309"/>
      <c r="K513" s="309"/>
      <c r="L513" s="309"/>
      <c r="M513" s="309"/>
      <c r="N513" s="309"/>
      <c r="O513" s="309"/>
      <c r="P513" s="309"/>
      <c r="Q513" s="309"/>
      <c r="R513" s="309"/>
      <c r="S513" s="309"/>
      <c r="T513" s="309"/>
      <c r="U513" s="309"/>
      <c r="V513" s="309"/>
      <c r="W513" s="309"/>
      <c r="X513" s="309"/>
      <c r="Y513" s="309"/>
      <c r="Z513" s="309"/>
    </row>
    <row r="514">
      <c r="A514" s="194"/>
      <c r="B514" s="309"/>
      <c r="C514" s="194"/>
      <c r="D514" s="309"/>
      <c r="E514" s="309"/>
      <c r="F514" s="309"/>
      <c r="G514" s="309"/>
      <c r="H514" s="309"/>
      <c r="I514" s="309"/>
      <c r="J514" s="309"/>
      <c r="K514" s="309"/>
      <c r="L514" s="309"/>
      <c r="M514" s="309"/>
      <c r="N514" s="309"/>
      <c r="O514" s="309"/>
      <c r="P514" s="309"/>
      <c r="Q514" s="309"/>
      <c r="R514" s="309"/>
      <c r="S514" s="309"/>
      <c r="T514" s="309"/>
      <c r="U514" s="309"/>
      <c r="V514" s="309"/>
      <c r="W514" s="309"/>
      <c r="X514" s="309"/>
      <c r="Y514" s="309"/>
      <c r="Z514" s="309"/>
    </row>
    <row r="515">
      <c r="A515" s="194"/>
      <c r="B515" s="309"/>
      <c r="C515" s="194"/>
      <c r="D515" s="309"/>
      <c r="E515" s="309"/>
      <c r="F515" s="309"/>
      <c r="G515" s="309"/>
      <c r="H515" s="309"/>
      <c r="I515" s="309"/>
      <c r="J515" s="309"/>
      <c r="K515" s="309"/>
      <c r="L515" s="309"/>
      <c r="M515" s="309"/>
      <c r="N515" s="309"/>
      <c r="O515" s="309"/>
      <c r="P515" s="309"/>
      <c r="Q515" s="309"/>
      <c r="R515" s="309"/>
      <c r="S515" s="309"/>
      <c r="T515" s="309"/>
      <c r="U515" s="309"/>
      <c r="V515" s="309"/>
      <c r="W515" s="309"/>
      <c r="X515" s="309"/>
      <c r="Y515" s="309"/>
      <c r="Z515" s="309"/>
    </row>
    <row r="516">
      <c r="A516" s="194"/>
      <c r="B516" s="309"/>
      <c r="C516" s="194"/>
      <c r="D516" s="309"/>
      <c r="E516" s="309"/>
      <c r="F516" s="309"/>
      <c r="G516" s="309"/>
      <c r="H516" s="309"/>
      <c r="I516" s="309"/>
      <c r="J516" s="309"/>
      <c r="K516" s="309"/>
      <c r="L516" s="309"/>
      <c r="M516" s="309"/>
      <c r="N516" s="309"/>
      <c r="O516" s="309"/>
      <c r="P516" s="309"/>
      <c r="Q516" s="309"/>
      <c r="R516" s="309"/>
      <c r="S516" s="309"/>
      <c r="T516" s="309"/>
      <c r="U516" s="309"/>
      <c r="V516" s="309"/>
      <c r="W516" s="309"/>
      <c r="X516" s="309"/>
      <c r="Y516" s="309"/>
      <c r="Z516" s="309"/>
    </row>
    <row r="517">
      <c r="A517" s="194"/>
      <c r="B517" s="309"/>
      <c r="C517" s="194"/>
      <c r="D517" s="309"/>
      <c r="E517" s="309"/>
      <c r="F517" s="309"/>
      <c r="G517" s="309"/>
      <c r="H517" s="309"/>
      <c r="I517" s="309"/>
      <c r="J517" s="309"/>
      <c r="K517" s="309"/>
      <c r="L517" s="309"/>
      <c r="M517" s="309"/>
      <c r="N517" s="309"/>
      <c r="O517" s="309"/>
      <c r="P517" s="309"/>
      <c r="Q517" s="309"/>
      <c r="R517" s="309"/>
      <c r="S517" s="309"/>
      <c r="T517" s="309"/>
      <c r="U517" s="309"/>
      <c r="V517" s="309"/>
      <c r="W517" s="309"/>
      <c r="X517" s="309"/>
      <c r="Y517" s="309"/>
      <c r="Z517" s="309"/>
    </row>
    <row r="518">
      <c r="A518" s="194"/>
      <c r="B518" s="309"/>
      <c r="C518" s="194"/>
      <c r="D518" s="309"/>
      <c r="E518" s="309"/>
      <c r="F518" s="309"/>
      <c r="G518" s="309"/>
      <c r="H518" s="309"/>
      <c r="I518" s="309"/>
      <c r="J518" s="309"/>
      <c r="K518" s="309"/>
      <c r="L518" s="309"/>
      <c r="M518" s="309"/>
      <c r="N518" s="309"/>
      <c r="O518" s="309"/>
      <c r="P518" s="309"/>
      <c r="Q518" s="309"/>
      <c r="R518" s="309"/>
      <c r="S518" s="309"/>
      <c r="T518" s="309"/>
      <c r="U518" s="309"/>
      <c r="V518" s="309"/>
      <c r="W518" s="309"/>
      <c r="X518" s="309"/>
      <c r="Y518" s="309"/>
      <c r="Z518" s="309"/>
    </row>
    <row r="519">
      <c r="A519" s="194"/>
      <c r="B519" s="309"/>
      <c r="C519" s="194"/>
      <c r="D519" s="309"/>
      <c r="E519" s="309"/>
      <c r="F519" s="309"/>
      <c r="G519" s="309"/>
      <c r="H519" s="309"/>
      <c r="I519" s="309"/>
      <c r="J519" s="309"/>
      <c r="K519" s="309"/>
      <c r="L519" s="309"/>
      <c r="M519" s="309"/>
      <c r="N519" s="309"/>
      <c r="O519" s="309"/>
      <c r="P519" s="309"/>
      <c r="Q519" s="309"/>
      <c r="R519" s="309"/>
      <c r="S519" s="309"/>
      <c r="T519" s="309"/>
      <c r="U519" s="309"/>
      <c r="V519" s="309"/>
      <c r="W519" s="309"/>
      <c r="X519" s="309"/>
      <c r="Y519" s="309"/>
      <c r="Z519" s="309"/>
    </row>
    <row r="520">
      <c r="A520" s="194"/>
      <c r="B520" s="309"/>
      <c r="C520" s="194"/>
      <c r="D520" s="309"/>
      <c r="E520" s="309"/>
      <c r="F520" s="309"/>
      <c r="G520" s="309"/>
      <c r="H520" s="309"/>
      <c r="I520" s="309"/>
      <c r="J520" s="309"/>
      <c r="K520" s="309"/>
      <c r="L520" s="309"/>
      <c r="M520" s="309"/>
      <c r="N520" s="309"/>
      <c r="O520" s="309"/>
      <c r="P520" s="309"/>
      <c r="Q520" s="309"/>
      <c r="R520" s="309"/>
      <c r="S520" s="309"/>
      <c r="T520" s="309"/>
      <c r="U520" s="309"/>
      <c r="V520" s="309"/>
      <c r="W520" s="309"/>
      <c r="X520" s="309"/>
      <c r="Y520" s="309"/>
      <c r="Z520" s="309"/>
    </row>
    <row r="521">
      <c r="A521" s="194"/>
      <c r="B521" s="309"/>
      <c r="C521" s="194"/>
      <c r="D521" s="309"/>
      <c r="E521" s="309"/>
      <c r="F521" s="309"/>
      <c r="G521" s="309"/>
      <c r="H521" s="309"/>
      <c r="I521" s="309"/>
      <c r="J521" s="309"/>
      <c r="K521" s="309"/>
      <c r="L521" s="309"/>
      <c r="M521" s="309"/>
      <c r="N521" s="309"/>
      <c r="O521" s="309"/>
      <c r="P521" s="309"/>
      <c r="Q521" s="309"/>
      <c r="R521" s="309"/>
      <c r="S521" s="309"/>
      <c r="T521" s="309"/>
      <c r="U521" s="309"/>
      <c r="V521" s="309"/>
      <c r="W521" s="309"/>
      <c r="X521" s="309"/>
      <c r="Y521" s="309"/>
      <c r="Z521" s="309"/>
    </row>
    <row r="522">
      <c r="A522" s="194"/>
      <c r="B522" s="309"/>
      <c r="C522" s="194"/>
      <c r="D522" s="309"/>
      <c r="E522" s="309"/>
      <c r="F522" s="309"/>
      <c r="G522" s="309"/>
      <c r="H522" s="309"/>
      <c r="I522" s="309"/>
      <c r="J522" s="309"/>
      <c r="K522" s="309"/>
      <c r="L522" s="309"/>
      <c r="M522" s="309"/>
      <c r="N522" s="309"/>
      <c r="O522" s="309"/>
      <c r="P522" s="309"/>
      <c r="Q522" s="309"/>
      <c r="R522" s="309"/>
      <c r="S522" s="309"/>
      <c r="T522" s="309"/>
      <c r="U522" s="309"/>
      <c r="V522" s="309"/>
      <c r="W522" s="309"/>
      <c r="X522" s="309"/>
      <c r="Y522" s="309"/>
      <c r="Z522" s="309"/>
    </row>
    <row r="523">
      <c r="A523" s="194"/>
      <c r="B523" s="309"/>
      <c r="C523" s="194"/>
      <c r="D523" s="309"/>
      <c r="E523" s="309"/>
      <c r="F523" s="309"/>
      <c r="G523" s="309"/>
      <c r="H523" s="309"/>
      <c r="I523" s="309"/>
      <c r="J523" s="309"/>
      <c r="K523" s="309"/>
      <c r="L523" s="309"/>
      <c r="M523" s="309"/>
      <c r="N523" s="309"/>
      <c r="O523" s="309"/>
      <c r="P523" s="309"/>
      <c r="Q523" s="309"/>
      <c r="R523" s="309"/>
      <c r="S523" s="309"/>
      <c r="T523" s="309"/>
      <c r="U523" s="309"/>
      <c r="V523" s="309"/>
      <c r="W523" s="309"/>
      <c r="X523" s="309"/>
      <c r="Y523" s="309"/>
      <c r="Z523" s="309"/>
    </row>
    <row r="524">
      <c r="A524" s="194"/>
      <c r="B524" s="309"/>
      <c r="C524" s="194"/>
      <c r="D524" s="309"/>
      <c r="E524" s="309"/>
      <c r="F524" s="309"/>
      <c r="G524" s="309"/>
      <c r="H524" s="309"/>
      <c r="I524" s="309"/>
      <c r="J524" s="309"/>
      <c r="K524" s="309"/>
      <c r="L524" s="309"/>
      <c r="M524" s="309"/>
      <c r="N524" s="309"/>
      <c r="O524" s="309"/>
      <c r="P524" s="309"/>
      <c r="Q524" s="309"/>
      <c r="R524" s="309"/>
      <c r="S524" s="309"/>
      <c r="T524" s="309"/>
      <c r="U524" s="309"/>
      <c r="V524" s="309"/>
      <c r="W524" s="309"/>
      <c r="X524" s="309"/>
      <c r="Y524" s="309"/>
      <c r="Z524" s="309"/>
    </row>
    <row r="525">
      <c r="A525" s="194"/>
      <c r="B525" s="309"/>
      <c r="C525" s="194"/>
      <c r="D525" s="309"/>
      <c r="E525" s="309"/>
      <c r="F525" s="309"/>
      <c r="G525" s="309"/>
      <c r="H525" s="309"/>
      <c r="I525" s="309"/>
      <c r="J525" s="309"/>
      <c r="K525" s="309"/>
      <c r="L525" s="309"/>
      <c r="M525" s="309"/>
      <c r="N525" s="309"/>
      <c r="O525" s="309"/>
      <c r="P525" s="309"/>
      <c r="Q525" s="309"/>
      <c r="R525" s="309"/>
      <c r="S525" s="309"/>
      <c r="T525" s="309"/>
      <c r="U525" s="309"/>
      <c r="V525" s="309"/>
      <c r="W525" s="309"/>
      <c r="X525" s="309"/>
      <c r="Y525" s="309"/>
      <c r="Z525" s="309"/>
    </row>
    <row r="526">
      <c r="A526" s="194"/>
      <c r="B526" s="309"/>
      <c r="C526" s="194"/>
      <c r="D526" s="309"/>
      <c r="E526" s="309"/>
      <c r="F526" s="309"/>
      <c r="G526" s="309"/>
      <c r="H526" s="309"/>
      <c r="I526" s="309"/>
      <c r="J526" s="309"/>
      <c r="K526" s="309"/>
      <c r="L526" s="309"/>
      <c r="M526" s="309"/>
      <c r="N526" s="309"/>
      <c r="O526" s="309"/>
      <c r="P526" s="309"/>
      <c r="Q526" s="309"/>
      <c r="R526" s="309"/>
      <c r="S526" s="309"/>
      <c r="T526" s="309"/>
      <c r="U526" s="309"/>
      <c r="V526" s="309"/>
      <c r="W526" s="309"/>
      <c r="X526" s="309"/>
      <c r="Y526" s="309"/>
      <c r="Z526" s="309"/>
    </row>
    <row r="527">
      <c r="A527" s="194"/>
      <c r="B527" s="309"/>
      <c r="C527" s="194"/>
      <c r="D527" s="309"/>
      <c r="E527" s="309"/>
      <c r="F527" s="309"/>
      <c r="G527" s="309"/>
      <c r="H527" s="309"/>
      <c r="I527" s="309"/>
      <c r="J527" s="309"/>
      <c r="K527" s="309"/>
      <c r="L527" s="309"/>
      <c r="M527" s="309"/>
      <c r="N527" s="309"/>
      <c r="O527" s="309"/>
      <c r="P527" s="309"/>
      <c r="Q527" s="309"/>
      <c r="R527" s="309"/>
      <c r="S527" s="309"/>
      <c r="T527" s="309"/>
      <c r="U527" s="309"/>
      <c r="V527" s="309"/>
      <c r="W527" s="309"/>
      <c r="X527" s="309"/>
      <c r="Y527" s="309"/>
      <c r="Z527" s="309"/>
    </row>
    <row r="528">
      <c r="A528" s="194"/>
      <c r="B528" s="309"/>
      <c r="C528" s="194"/>
      <c r="D528" s="309"/>
      <c r="E528" s="309"/>
      <c r="F528" s="309"/>
      <c r="G528" s="309"/>
      <c r="H528" s="309"/>
      <c r="I528" s="309"/>
      <c r="J528" s="309"/>
      <c r="K528" s="309"/>
      <c r="L528" s="309"/>
      <c r="M528" s="309"/>
      <c r="N528" s="309"/>
      <c r="O528" s="309"/>
      <c r="P528" s="309"/>
      <c r="Q528" s="309"/>
      <c r="R528" s="309"/>
      <c r="S528" s="309"/>
      <c r="T528" s="309"/>
      <c r="U528" s="309"/>
      <c r="V528" s="309"/>
      <c r="W528" s="309"/>
      <c r="X528" s="309"/>
      <c r="Y528" s="309"/>
      <c r="Z528" s="309"/>
    </row>
    <row r="529">
      <c r="A529" s="194"/>
      <c r="B529" s="309"/>
      <c r="C529" s="194"/>
      <c r="D529" s="309"/>
      <c r="E529" s="309"/>
      <c r="F529" s="309"/>
      <c r="G529" s="309"/>
      <c r="H529" s="309"/>
      <c r="I529" s="309"/>
      <c r="J529" s="309"/>
      <c r="K529" s="309"/>
      <c r="L529" s="309"/>
      <c r="M529" s="309"/>
      <c r="N529" s="309"/>
      <c r="O529" s="309"/>
      <c r="P529" s="309"/>
      <c r="Q529" s="309"/>
      <c r="R529" s="309"/>
      <c r="S529" s="309"/>
      <c r="T529" s="309"/>
      <c r="U529" s="309"/>
      <c r="V529" s="309"/>
      <c r="W529" s="309"/>
      <c r="X529" s="309"/>
      <c r="Y529" s="309"/>
      <c r="Z529" s="309"/>
    </row>
    <row r="530">
      <c r="A530" s="194"/>
      <c r="B530" s="309"/>
      <c r="C530" s="194"/>
      <c r="D530" s="309"/>
      <c r="E530" s="309"/>
      <c r="F530" s="309"/>
      <c r="G530" s="309"/>
      <c r="H530" s="309"/>
      <c r="I530" s="309"/>
      <c r="J530" s="309"/>
      <c r="K530" s="309"/>
      <c r="L530" s="309"/>
      <c r="M530" s="309"/>
      <c r="N530" s="309"/>
      <c r="O530" s="309"/>
      <c r="P530" s="309"/>
      <c r="Q530" s="309"/>
      <c r="R530" s="309"/>
      <c r="S530" s="309"/>
      <c r="T530" s="309"/>
      <c r="U530" s="309"/>
      <c r="V530" s="309"/>
      <c r="W530" s="309"/>
      <c r="X530" s="309"/>
      <c r="Y530" s="309"/>
      <c r="Z530" s="309"/>
    </row>
    <row r="531">
      <c r="A531" s="194"/>
      <c r="B531" s="309"/>
      <c r="C531" s="194"/>
      <c r="D531" s="309"/>
      <c r="E531" s="309"/>
      <c r="F531" s="309"/>
      <c r="G531" s="309"/>
      <c r="H531" s="309"/>
      <c r="I531" s="309"/>
      <c r="J531" s="309"/>
      <c r="K531" s="309"/>
      <c r="L531" s="309"/>
      <c r="M531" s="309"/>
      <c r="N531" s="309"/>
      <c r="O531" s="309"/>
      <c r="P531" s="309"/>
      <c r="Q531" s="309"/>
      <c r="R531" s="309"/>
      <c r="S531" s="309"/>
      <c r="T531" s="309"/>
      <c r="U531" s="309"/>
      <c r="V531" s="309"/>
      <c r="W531" s="309"/>
      <c r="X531" s="309"/>
      <c r="Y531" s="309"/>
      <c r="Z531" s="309"/>
    </row>
    <row r="532">
      <c r="A532" s="194"/>
      <c r="B532" s="309"/>
      <c r="C532" s="194"/>
      <c r="D532" s="309"/>
      <c r="E532" s="309"/>
      <c r="F532" s="309"/>
      <c r="G532" s="309"/>
      <c r="H532" s="309"/>
      <c r="I532" s="309"/>
      <c r="J532" s="309"/>
      <c r="K532" s="309"/>
      <c r="L532" s="309"/>
      <c r="M532" s="309"/>
      <c r="N532" s="309"/>
      <c r="O532" s="309"/>
      <c r="P532" s="309"/>
      <c r="Q532" s="309"/>
      <c r="R532" s="309"/>
      <c r="S532" s="309"/>
      <c r="T532" s="309"/>
      <c r="U532" s="309"/>
      <c r="V532" s="309"/>
      <c r="W532" s="309"/>
      <c r="X532" s="309"/>
      <c r="Y532" s="309"/>
      <c r="Z532" s="309"/>
    </row>
    <row r="533">
      <c r="A533" s="194"/>
      <c r="B533" s="309"/>
      <c r="C533" s="194"/>
      <c r="D533" s="309"/>
      <c r="E533" s="309"/>
      <c r="F533" s="309"/>
      <c r="G533" s="309"/>
      <c r="H533" s="309"/>
      <c r="I533" s="309"/>
      <c r="J533" s="309"/>
      <c r="K533" s="309"/>
      <c r="L533" s="309"/>
      <c r="M533" s="309"/>
      <c r="N533" s="309"/>
      <c r="O533" s="309"/>
      <c r="P533" s="309"/>
      <c r="Q533" s="309"/>
      <c r="R533" s="309"/>
      <c r="S533" s="309"/>
      <c r="T533" s="309"/>
      <c r="U533" s="309"/>
      <c r="V533" s="309"/>
      <c r="W533" s="309"/>
      <c r="X533" s="309"/>
      <c r="Y533" s="309"/>
      <c r="Z533" s="309"/>
    </row>
    <row r="534">
      <c r="A534" s="194"/>
      <c r="B534" s="309"/>
      <c r="C534" s="194"/>
      <c r="D534" s="309"/>
      <c r="E534" s="309"/>
      <c r="F534" s="309"/>
      <c r="G534" s="309"/>
      <c r="H534" s="309"/>
      <c r="I534" s="309"/>
      <c r="J534" s="309"/>
      <c r="K534" s="309"/>
      <c r="L534" s="309"/>
      <c r="M534" s="309"/>
      <c r="N534" s="309"/>
      <c r="O534" s="309"/>
      <c r="P534" s="309"/>
      <c r="Q534" s="309"/>
      <c r="R534" s="309"/>
      <c r="S534" s="309"/>
      <c r="T534" s="309"/>
      <c r="U534" s="309"/>
      <c r="V534" s="309"/>
      <c r="W534" s="309"/>
      <c r="X534" s="309"/>
      <c r="Y534" s="309"/>
      <c r="Z534" s="309"/>
    </row>
    <row r="535">
      <c r="A535" s="194"/>
      <c r="B535" s="309"/>
      <c r="C535" s="194"/>
      <c r="D535" s="309"/>
      <c r="E535" s="309"/>
      <c r="F535" s="309"/>
      <c r="G535" s="309"/>
      <c r="H535" s="309"/>
      <c r="I535" s="309"/>
      <c r="J535" s="309"/>
      <c r="K535" s="309"/>
      <c r="L535" s="309"/>
      <c r="M535" s="309"/>
      <c r="N535" s="309"/>
      <c r="O535" s="309"/>
      <c r="P535" s="309"/>
      <c r="Q535" s="309"/>
      <c r="R535" s="309"/>
      <c r="S535" s="309"/>
      <c r="T535" s="309"/>
      <c r="U535" s="309"/>
      <c r="V535" s="309"/>
      <c r="W535" s="309"/>
      <c r="X535" s="309"/>
      <c r="Y535" s="309"/>
      <c r="Z535" s="309"/>
    </row>
    <row r="536">
      <c r="A536" s="194"/>
      <c r="B536" s="309"/>
      <c r="C536" s="194"/>
      <c r="D536" s="309"/>
      <c r="E536" s="309"/>
      <c r="F536" s="309"/>
      <c r="G536" s="309"/>
      <c r="H536" s="309"/>
      <c r="I536" s="309"/>
      <c r="J536" s="309"/>
      <c r="K536" s="309"/>
      <c r="L536" s="309"/>
      <c r="M536" s="309"/>
      <c r="N536" s="309"/>
      <c r="O536" s="309"/>
      <c r="P536" s="309"/>
      <c r="Q536" s="309"/>
      <c r="R536" s="309"/>
      <c r="S536" s="309"/>
      <c r="T536" s="309"/>
      <c r="U536" s="309"/>
      <c r="V536" s="309"/>
      <c r="W536" s="309"/>
      <c r="X536" s="309"/>
      <c r="Y536" s="309"/>
      <c r="Z536" s="309"/>
    </row>
    <row r="537">
      <c r="A537" s="194"/>
      <c r="B537" s="309"/>
      <c r="C537" s="194"/>
      <c r="D537" s="309"/>
      <c r="E537" s="309"/>
      <c r="F537" s="309"/>
      <c r="G537" s="309"/>
      <c r="H537" s="309"/>
      <c r="I537" s="309"/>
      <c r="J537" s="309"/>
      <c r="K537" s="309"/>
      <c r="L537" s="309"/>
      <c r="M537" s="309"/>
      <c r="N537" s="309"/>
      <c r="O537" s="309"/>
      <c r="P537" s="309"/>
      <c r="Q537" s="309"/>
      <c r="R537" s="309"/>
      <c r="S537" s="309"/>
      <c r="T537" s="309"/>
      <c r="U537" s="309"/>
      <c r="V537" s="309"/>
      <c r="W537" s="309"/>
      <c r="X537" s="309"/>
      <c r="Y537" s="309"/>
      <c r="Z537" s="309"/>
    </row>
    <row r="538">
      <c r="A538" s="194"/>
      <c r="B538" s="309"/>
      <c r="C538" s="194"/>
      <c r="D538" s="309"/>
      <c r="E538" s="309"/>
      <c r="F538" s="309"/>
      <c r="G538" s="309"/>
      <c r="H538" s="309"/>
      <c r="I538" s="309"/>
      <c r="J538" s="309"/>
      <c r="K538" s="309"/>
      <c r="L538" s="309"/>
      <c r="M538" s="309"/>
      <c r="N538" s="309"/>
      <c r="O538" s="309"/>
      <c r="P538" s="309"/>
      <c r="Q538" s="309"/>
      <c r="R538" s="309"/>
      <c r="S538" s="309"/>
      <c r="T538" s="309"/>
      <c r="U538" s="309"/>
      <c r="V538" s="309"/>
      <c r="W538" s="309"/>
      <c r="X538" s="309"/>
      <c r="Y538" s="309"/>
      <c r="Z538" s="309"/>
    </row>
    <row r="539">
      <c r="A539" s="194"/>
      <c r="B539" s="309"/>
      <c r="C539" s="194"/>
      <c r="D539" s="309"/>
      <c r="E539" s="309"/>
      <c r="F539" s="309"/>
      <c r="G539" s="309"/>
      <c r="H539" s="309"/>
      <c r="I539" s="309"/>
      <c r="J539" s="309"/>
      <c r="K539" s="309"/>
      <c r="L539" s="309"/>
      <c r="M539" s="309"/>
      <c r="N539" s="309"/>
      <c r="O539" s="309"/>
      <c r="P539" s="309"/>
      <c r="Q539" s="309"/>
      <c r="R539" s="309"/>
      <c r="S539" s="309"/>
      <c r="T539" s="309"/>
      <c r="U539" s="309"/>
      <c r="V539" s="309"/>
      <c r="W539" s="309"/>
      <c r="X539" s="309"/>
      <c r="Y539" s="309"/>
      <c r="Z539" s="309"/>
    </row>
    <row r="540">
      <c r="A540" s="194"/>
      <c r="B540" s="309"/>
      <c r="C540" s="194"/>
      <c r="D540" s="309"/>
      <c r="E540" s="309"/>
      <c r="F540" s="309"/>
      <c r="G540" s="309"/>
      <c r="H540" s="309"/>
      <c r="I540" s="309"/>
      <c r="J540" s="309"/>
      <c r="K540" s="309"/>
      <c r="L540" s="309"/>
      <c r="M540" s="309"/>
      <c r="N540" s="309"/>
      <c r="O540" s="309"/>
      <c r="P540" s="309"/>
      <c r="Q540" s="309"/>
      <c r="R540" s="309"/>
      <c r="S540" s="309"/>
      <c r="T540" s="309"/>
      <c r="U540" s="309"/>
      <c r="V540" s="309"/>
      <c r="W540" s="309"/>
      <c r="X540" s="309"/>
      <c r="Y540" s="309"/>
      <c r="Z540" s="309"/>
    </row>
    <row r="541">
      <c r="A541" s="194"/>
      <c r="B541" s="309"/>
      <c r="C541" s="194"/>
      <c r="D541" s="309"/>
      <c r="E541" s="309"/>
      <c r="F541" s="309"/>
      <c r="G541" s="309"/>
      <c r="H541" s="309"/>
      <c r="I541" s="309"/>
      <c r="J541" s="309"/>
      <c r="K541" s="309"/>
      <c r="L541" s="309"/>
      <c r="M541" s="309"/>
      <c r="N541" s="309"/>
      <c r="O541" s="309"/>
      <c r="P541" s="309"/>
      <c r="Q541" s="309"/>
      <c r="R541" s="309"/>
      <c r="S541" s="309"/>
      <c r="T541" s="309"/>
      <c r="U541" s="309"/>
      <c r="V541" s="309"/>
      <c r="W541" s="309"/>
      <c r="X541" s="309"/>
      <c r="Y541" s="309"/>
      <c r="Z541" s="309"/>
    </row>
    <row r="542">
      <c r="A542" s="194"/>
      <c r="B542" s="309"/>
      <c r="C542" s="194"/>
      <c r="D542" s="309"/>
      <c r="E542" s="309"/>
      <c r="F542" s="309"/>
      <c r="G542" s="309"/>
      <c r="H542" s="309"/>
      <c r="I542" s="309"/>
      <c r="J542" s="309"/>
      <c r="K542" s="309"/>
      <c r="L542" s="309"/>
      <c r="M542" s="309"/>
      <c r="N542" s="309"/>
      <c r="O542" s="309"/>
      <c r="P542" s="309"/>
      <c r="Q542" s="309"/>
      <c r="R542" s="309"/>
      <c r="S542" s="309"/>
      <c r="T542" s="309"/>
      <c r="U542" s="309"/>
      <c r="V542" s="309"/>
      <c r="W542" s="309"/>
      <c r="X542" s="309"/>
      <c r="Y542" s="309"/>
      <c r="Z542" s="309"/>
    </row>
    <row r="543">
      <c r="A543" s="194"/>
      <c r="B543" s="309"/>
      <c r="C543" s="194"/>
      <c r="D543" s="309"/>
      <c r="E543" s="309"/>
      <c r="F543" s="309"/>
      <c r="G543" s="309"/>
      <c r="H543" s="309"/>
      <c r="I543" s="309"/>
      <c r="J543" s="309"/>
      <c r="K543" s="309"/>
      <c r="L543" s="309"/>
      <c r="M543" s="309"/>
      <c r="N543" s="309"/>
      <c r="O543" s="309"/>
      <c r="P543" s="309"/>
      <c r="Q543" s="309"/>
      <c r="R543" s="309"/>
      <c r="S543" s="309"/>
      <c r="T543" s="309"/>
      <c r="U543" s="309"/>
      <c r="V543" s="309"/>
      <c r="W543" s="309"/>
      <c r="X543" s="309"/>
      <c r="Y543" s="309"/>
      <c r="Z543" s="309"/>
    </row>
    <row r="544">
      <c r="A544" s="194"/>
      <c r="B544" s="309"/>
      <c r="C544" s="194"/>
      <c r="D544" s="309"/>
      <c r="E544" s="309"/>
      <c r="F544" s="309"/>
      <c r="G544" s="309"/>
      <c r="H544" s="309"/>
      <c r="I544" s="309"/>
      <c r="J544" s="309"/>
      <c r="K544" s="309"/>
      <c r="L544" s="309"/>
      <c r="M544" s="309"/>
      <c r="N544" s="309"/>
      <c r="O544" s="309"/>
      <c r="P544" s="309"/>
      <c r="Q544" s="309"/>
      <c r="R544" s="309"/>
      <c r="S544" s="309"/>
      <c r="T544" s="309"/>
      <c r="U544" s="309"/>
      <c r="V544" s="309"/>
      <c r="W544" s="309"/>
      <c r="X544" s="309"/>
      <c r="Y544" s="309"/>
      <c r="Z544" s="309"/>
    </row>
    <row r="545">
      <c r="A545" s="194"/>
      <c r="B545" s="309"/>
      <c r="C545" s="194"/>
      <c r="D545" s="309"/>
      <c r="E545" s="309"/>
      <c r="F545" s="309"/>
      <c r="G545" s="309"/>
      <c r="H545" s="309"/>
      <c r="I545" s="309"/>
      <c r="J545" s="309"/>
      <c r="K545" s="309"/>
      <c r="L545" s="309"/>
      <c r="M545" s="309"/>
      <c r="N545" s="309"/>
      <c r="O545" s="309"/>
      <c r="P545" s="309"/>
      <c r="Q545" s="309"/>
      <c r="R545" s="309"/>
      <c r="S545" s="309"/>
      <c r="T545" s="309"/>
      <c r="U545" s="309"/>
      <c r="V545" s="309"/>
      <c r="W545" s="309"/>
      <c r="X545" s="309"/>
      <c r="Y545" s="309"/>
      <c r="Z545" s="309"/>
    </row>
    <row r="546">
      <c r="A546" s="194"/>
      <c r="B546" s="309"/>
      <c r="C546" s="194"/>
      <c r="D546" s="309"/>
      <c r="E546" s="309"/>
      <c r="F546" s="309"/>
      <c r="G546" s="309"/>
      <c r="H546" s="309"/>
      <c r="I546" s="309"/>
      <c r="J546" s="309"/>
      <c r="K546" s="309"/>
      <c r="L546" s="309"/>
      <c r="M546" s="309"/>
      <c r="N546" s="309"/>
      <c r="O546" s="309"/>
      <c r="P546" s="309"/>
      <c r="Q546" s="309"/>
      <c r="R546" s="309"/>
      <c r="S546" s="309"/>
      <c r="T546" s="309"/>
      <c r="U546" s="309"/>
      <c r="V546" s="309"/>
      <c r="W546" s="309"/>
      <c r="X546" s="309"/>
      <c r="Y546" s="309"/>
      <c r="Z546" s="309"/>
    </row>
    <row r="547">
      <c r="A547" s="194"/>
      <c r="B547" s="309"/>
      <c r="C547" s="194"/>
      <c r="D547" s="309"/>
      <c r="E547" s="309"/>
      <c r="F547" s="309"/>
      <c r="G547" s="309"/>
      <c r="H547" s="309"/>
      <c r="I547" s="309"/>
      <c r="J547" s="309"/>
      <c r="K547" s="309"/>
      <c r="L547" s="309"/>
      <c r="M547" s="309"/>
      <c r="N547" s="309"/>
      <c r="O547" s="309"/>
      <c r="P547" s="309"/>
      <c r="Q547" s="309"/>
      <c r="R547" s="309"/>
      <c r="S547" s="309"/>
      <c r="T547" s="309"/>
      <c r="U547" s="309"/>
      <c r="V547" s="309"/>
      <c r="W547" s="309"/>
      <c r="X547" s="309"/>
      <c r="Y547" s="309"/>
      <c r="Z547" s="309"/>
    </row>
    <row r="548">
      <c r="A548" s="194"/>
      <c r="B548" s="309"/>
      <c r="C548" s="194"/>
      <c r="D548" s="309"/>
      <c r="E548" s="309"/>
      <c r="F548" s="309"/>
      <c r="G548" s="309"/>
      <c r="H548" s="309"/>
      <c r="I548" s="309"/>
      <c r="J548" s="309"/>
      <c r="K548" s="309"/>
      <c r="L548" s="309"/>
      <c r="M548" s="309"/>
      <c r="N548" s="309"/>
      <c r="O548" s="309"/>
      <c r="P548" s="309"/>
      <c r="Q548" s="309"/>
      <c r="R548" s="309"/>
      <c r="S548" s="309"/>
      <c r="T548" s="309"/>
      <c r="U548" s="309"/>
      <c r="V548" s="309"/>
      <c r="W548" s="309"/>
      <c r="X548" s="309"/>
      <c r="Y548" s="309"/>
      <c r="Z548" s="309"/>
    </row>
    <row r="549">
      <c r="A549" s="194"/>
      <c r="B549" s="309"/>
      <c r="C549" s="194"/>
      <c r="D549" s="309"/>
      <c r="E549" s="309"/>
      <c r="F549" s="309"/>
      <c r="G549" s="309"/>
      <c r="H549" s="309"/>
      <c r="I549" s="309"/>
      <c r="J549" s="309"/>
      <c r="K549" s="309"/>
      <c r="L549" s="309"/>
      <c r="M549" s="309"/>
      <c r="N549" s="309"/>
      <c r="O549" s="309"/>
      <c r="P549" s="309"/>
      <c r="Q549" s="309"/>
      <c r="R549" s="309"/>
      <c r="S549" s="309"/>
      <c r="T549" s="309"/>
      <c r="U549" s="309"/>
      <c r="V549" s="309"/>
      <c r="W549" s="309"/>
      <c r="X549" s="309"/>
      <c r="Y549" s="309"/>
      <c r="Z549" s="309"/>
    </row>
    <row r="550">
      <c r="A550" s="194"/>
      <c r="B550" s="309"/>
      <c r="C550" s="194"/>
      <c r="D550" s="309"/>
      <c r="E550" s="309"/>
      <c r="F550" s="309"/>
      <c r="G550" s="309"/>
      <c r="H550" s="309"/>
      <c r="I550" s="309"/>
      <c r="J550" s="309"/>
      <c r="K550" s="309"/>
      <c r="L550" s="309"/>
      <c r="M550" s="309"/>
      <c r="N550" s="309"/>
      <c r="O550" s="309"/>
      <c r="P550" s="309"/>
      <c r="Q550" s="309"/>
      <c r="R550" s="309"/>
      <c r="S550" s="309"/>
      <c r="T550" s="309"/>
      <c r="U550" s="309"/>
      <c r="V550" s="309"/>
      <c r="W550" s="309"/>
      <c r="X550" s="309"/>
      <c r="Y550" s="309"/>
      <c r="Z550" s="309"/>
    </row>
    <row r="551">
      <c r="A551" s="194"/>
      <c r="B551" s="309"/>
      <c r="C551" s="194"/>
      <c r="D551" s="309"/>
      <c r="E551" s="309"/>
      <c r="F551" s="309"/>
      <c r="G551" s="309"/>
      <c r="H551" s="309"/>
      <c r="I551" s="309"/>
      <c r="J551" s="309"/>
      <c r="K551" s="309"/>
      <c r="L551" s="309"/>
      <c r="M551" s="309"/>
      <c r="N551" s="309"/>
      <c r="O551" s="309"/>
      <c r="P551" s="309"/>
      <c r="Q551" s="309"/>
      <c r="R551" s="309"/>
      <c r="S551" s="309"/>
      <c r="T551" s="309"/>
      <c r="U551" s="309"/>
      <c r="V551" s="309"/>
      <c r="W551" s="309"/>
      <c r="X551" s="309"/>
      <c r="Y551" s="309"/>
      <c r="Z551" s="309"/>
    </row>
    <row r="552">
      <c r="A552" s="194"/>
      <c r="B552" s="309"/>
      <c r="C552" s="194"/>
      <c r="D552" s="309"/>
      <c r="E552" s="309"/>
      <c r="F552" s="309"/>
      <c r="G552" s="309"/>
      <c r="H552" s="309"/>
      <c r="I552" s="309"/>
      <c r="J552" s="309"/>
      <c r="K552" s="309"/>
      <c r="L552" s="309"/>
      <c r="M552" s="309"/>
      <c r="N552" s="309"/>
      <c r="O552" s="309"/>
      <c r="P552" s="309"/>
      <c r="Q552" s="309"/>
      <c r="R552" s="309"/>
      <c r="S552" s="309"/>
      <c r="T552" s="309"/>
      <c r="U552" s="309"/>
      <c r="V552" s="309"/>
      <c r="W552" s="309"/>
      <c r="X552" s="309"/>
      <c r="Y552" s="309"/>
      <c r="Z552" s="309"/>
    </row>
    <row r="553">
      <c r="A553" s="194"/>
      <c r="B553" s="309"/>
      <c r="C553" s="194"/>
      <c r="D553" s="309"/>
      <c r="E553" s="309"/>
      <c r="F553" s="309"/>
      <c r="G553" s="309"/>
      <c r="H553" s="309"/>
      <c r="I553" s="309"/>
      <c r="J553" s="309"/>
      <c r="K553" s="309"/>
      <c r="L553" s="309"/>
      <c r="M553" s="309"/>
      <c r="N553" s="309"/>
      <c r="O553" s="309"/>
      <c r="P553" s="309"/>
      <c r="Q553" s="309"/>
      <c r="R553" s="309"/>
      <c r="S553" s="309"/>
      <c r="T553" s="309"/>
      <c r="U553" s="309"/>
      <c r="V553" s="309"/>
      <c r="W553" s="309"/>
      <c r="X553" s="309"/>
      <c r="Y553" s="309"/>
      <c r="Z553" s="309"/>
    </row>
    <row r="554">
      <c r="A554" s="194"/>
      <c r="B554" s="309"/>
      <c r="C554" s="194"/>
      <c r="D554" s="309"/>
      <c r="E554" s="309"/>
      <c r="F554" s="309"/>
      <c r="G554" s="309"/>
      <c r="H554" s="309"/>
      <c r="I554" s="309"/>
      <c r="J554" s="309"/>
      <c r="K554" s="309"/>
      <c r="L554" s="309"/>
      <c r="M554" s="309"/>
      <c r="N554" s="309"/>
      <c r="O554" s="309"/>
      <c r="P554" s="309"/>
      <c r="Q554" s="309"/>
      <c r="R554" s="309"/>
      <c r="S554" s="309"/>
      <c r="T554" s="309"/>
      <c r="U554" s="309"/>
      <c r="V554" s="309"/>
      <c r="W554" s="309"/>
      <c r="X554" s="309"/>
      <c r="Y554" s="309"/>
      <c r="Z554" s="309"/>
    </row>
    <row r="555">
      <c r="A555" s="194"/>
      <c r="B555" s="309"/>
      <c r="C555" s="194"/>
      <c r="D555" s="309"/>
      <c r="E555" s="309"/>
      <c r="F555" s="309"/>
      <c r="G555" s="309"/>
      <c r="H555" s="309"/>
      <c r="I555" s="309"/>
      <c r="J555" s="309"/>
      <c r="K555" s="309"/>
      <c r="L555" s="309"/>
      <c r="M555" s="309"/>
      <c r="N555" s="309"/>
      <c r="O555" s="309"/>
      <c r="P555" s="309"/>
      <c r="Q555" s="309"/>
      <c r="R555" s="309"/>
      <c r="S555" s="309"/>
      <c r="T555" s="309"/>
      <c r="U555" s="309"/>
      <c r="V555" s="309"/>
      <c r="W555" s="309"/>
      <c r="X555" s="309"/>
      <c r="Y555" s="309"/>
      <c r="Z555" s="309"/>
    </row>
    <row r="556">
      <c r="A556" s="194"/>
      <c r="B556" s="309"/>
      <c r="C556" s="194"/>
      <c r="D556" s="309"/>
      <c r="E556" s="309"/>
      <c r="F556" s="309"/>
      <c r="G556" s="309"/>
      <c r="H556" s="309"/>
      <c r="I556" s="309"/>
      <c r="J556" s="309"/>
      <c r="K556" s="309"/>
      <c r="L556" s="309"/>
      <c r="M556" s="309"/>
      <c r="N556" s="309"/>
      <c r="O556" s="309"/>
      <c r="P556" s="309"/>
      <c r="Q556" s="309"/>
      <c r="R556" s="309"/>
      <c r="S556" s="309"/>
      <c r="T556" s="309"/>
      <c r="U556" s="309"/>
      <c r="V556" s="309"/>
      <c r="W556" s="309"/>
      <c r="X556" s="309"/>
      <c r="Y556" s="309"/>
      <c r="Z556" s="309"/>
    </row>
    <row r="557">
      <c r="A557" s="194"/>
      <c r="B557" s="309"/>
      <c r="C557" s="194"/>
      <c r="D557" s="309"/>
      <c r="E557" s="309"/>
      <c r="F557" s="309"/>
      <c r="G557" s="309"/>
      <c r="H557" s="309"/>
      <c r="I557" s="309"/>
      <c r="J557" s="309"/>
      <c r="K557" s="309"/>
      <c r="L557" s="309"/>
      <c r="M557" s="309"/>
      <c r="N557" s="309"/>
      <c r="O557" s="309"/>
      <c r="P557" s="309"/>
      <c r="Q557" s="309"/>
      <c r="R557" s="309"/>
      <c r="S557" s="309"/>
      <c r="T557" s="309"/>
      <c r="U557" s="309"/>
      <c r="V557" s="309"/>
      <c r="W557" s="309"/>
      <c r="X557" s="309"/>
      <c r="Y557" s="309"/>
      <c r="Z557" s="309"/>
    </row>
    <row r="558">
      <c r="A558" s="194"/>
      <c r="B558" s="309"/>
      <c r="C558" s="194"/>
      <c r="D558" s="309"/>
      <c r="E558" s="309"/>
      <c r="F558" s="309"/>
      <c r="G558" s="309"/>
      <c r="H558" s="309"/>
      <c r="I558" s="309"/>
      <c r="J558" s="309"/>
      <c r="K558" s="309"/>
      <c r="L558" s="309"/>
      <c r="M558" s="309"/>
      <c r="N558" s="309"/>
      <c r="O558" s="309"/>
      <c r="P558" s="309"/>
      <c r="Q558" s="309"/>
      <c r="R558" s="309"/>
      <c r="S558" s="309"/>
      <c r="T558" s="309"/>
      <c r="U558" s="309"/>
      <c r="V558" s="309"/>
      <c r="W558" s="309"/>
      <c r="X558" s="309"/>
      <c r="Y558" s="309"/>
      <c r="Z558" s="309"/>
    </row>
    <row r="559">
      <c r="A559" s="194"/>
      <c r="B559" s="309"/>
      <c r="C559" s="194"/>
      <c r="D559" s="309"/>
      <c r="E559" s="309"/>
      <c r="F559" s="309"/>
      <c r="G559" s="309"/>
      <c r="H559" s="309"/>
      <c r="I559" s="309"/>
      <c r="J559" s="309"/>
      <c r="K559" s="309"/>
      <c r="L559" s="309"/>
      <c r="M559" s="309"/>
      <c r="N559" s="309"/>
      <c r="O559" s="309"/>
      <c r="P559" s="309"/>
      <c r="Q559" s="309"/>
      <c r="R559" s="309"/>
      <c r="S559" s="309"/>
      <c r="T559" s="309"/>
      <c r="U559" s="309"/>
      <c r="V559" s="309"/>
      <c r="W559" s="309"/>
      <c r="X559" s="309"/>
      <c r="Y559" s="309"/>
      <c r="Z559" s="309"/>
    </row>
    <row r="560">
      <c r="A560" s="194"/>
      <c r="B560" s="309"/>
      <c r="C560" s="194"/>
      <c r="D560" s="309"/>
      <c r="E560" s="309"/>
      <c r="F560" s="309"/>
      <c r="G560" s="309"/>
      <c r="H560" s="309"/>
      <c r="I560" s="309"/>
      <c r="J560" s="309"/>
      <c r="K560" s="309"/>
      <c r="L560" s="309"/>
      <c r="M560" s="309"/>
      <c r="N560" s="309"/>
      <c r="O560" s="309"/>
      <c r="P560" s="309"/>
      <c r="Q560" s="309"/>
      <c r="R560" s="309"/>
      <c r="S560" s="309"/>
      <c r="T560" s="309"/>
      <c r="U560" s="309"/>
      <c r="V560" s="309"/>
      <c r="W560" s="309"/>
      <c r="X560" s="309"/>
      <c r="Y560" s="309"/>
      <c r="Z560" s="309"/>
    </row>
    <row r="561">
      <c r="A561" s="194"/>
      <c r="B561" s="309"/>
      <c r="C561" s="194"/>
      <c r="D561" s="309"/>
      <c r="E561" s="309"/>
      <c r="F561" s="309"/>
      <c r="G561" s="309"/>
      <c r="H561" s="309"/>
      <c r="I561" s="309"/>
      <c r="J561" s="309"/>
      <c r="K561" s="309"/>
      <c r="L561" s="309"/>
      <c r="M561" s="309"/>
      <c r="N561" s="309"/>
      <c r="O561" s="309"/>
      <c r="P561" s="309"/>
      <c r="Q561" s="309"/>
      <c r="R561" s="309"/>
      <c r="S561" s="309"/>
      <c r="T561" s="309"/>
      <c r="U561" s="309"/>
      <c r="V561" s="309"/>
      <c r="W561" s="309"/>
      <c r="X561" s="309"/>
      <c r="Y561" s="309"/>
      <c r="Z561" s="309"/>
    </row>
    <row r="562">
      <c r="A562" s="194"/>
      <c r="B562" s="309"/>
      <c r="C562" s="194"/>
      <c r="D562" s="309"/>
      <c r="E562" s="309"/>
      <c r="F562" s="309"/>
      <c r="G562" s="309"/>
      <c r="H562" s="309"/>
      <c r="I562" s="309"/>
      <c r="J562" s="309"/>
      <c r="K562" s="309"/>
      <c r="L562" s="309"/>
      <c r="M562" s="309"/>
      <c r="N562" s="309"/>
      <c r="O562" s="309"/>
      <c r="P562" s="309"/>
      <c r="Q562" s="309"/>
      <c r="R562" s="309"/>
      <c r="S562" s="309"/>
      <c r="T562" s="309"/>
      <c r="U562" s="309"/>
      <c r="V562" s="309"/>
      <c r="W562" s="309"/>
      <c r="X562" s="309"/>
      <c r="Y562" s="309"/>
      <c r="Z562" s="309"/>
    </row>
    <row r="563">
      <c r="A563" s="194"/>
      <c r="B563" s="309"/>
      <c r="C563" s="194"/>
      <c r="D563" s="309"/>
      <c r="E563" s="309"/>
      <c r="F563" s="309"/>
      <c r="G563" s="309"/>
      <c r="H563" s="309"/>
      <c r="I563" s="309"/>
      <c r="J563" s="309"/>
      <c r="K563" s="309"/>
      <c r="L563" s="309"/>
      <c r="M563" s="309"/>
      <c r="N563" s="309"/>
      <c r="O563" s="309"/>
      <c r="P563" s="309"/>
      <c r="Q563" s="309"/>
      <c r="R563" s="309"/>
      <c r="S563" s="309"/>
      <c r="T563" s="309"/>
      <c r="U563" s="309"/>
      <c r="V563" s="309"/>
      <c r="W563" s="309"/>
      <c r="X563" s="309"/>
      <c r="Y563" s="309"/>
      <c r="Z563" s="309"/>
    </row>
    <row r="564">
      <c r="A564" s="194"/>
      <c r="B564" s="309"/>
      <c r="C564" s="194"/>
      <c r="D564" s="309"/>
      <c r="E564" s="309"/>
      <c r="F564" s="309"/>
      <c r="G564" s="309"/>
      <c r="H564" s="309"/>
      <c r="I564" s="309"/>
      <c r="J564" s="309"/>
      <c r="K564" s="309"/>
      <c r="L564" s="309"/>
      <c r="M564" s="309"/>
      <c r="N564" s="309"/>
      <c r="O564" s="309"/>
      <c r="P564" s="309"/>
      <c r="Q564" s="309"/>
      <c r="R564" s="309"/>
      <c r="S564" s="309"/>
      <c r="T564" s="309"/>
      <c r="U564" s="309"/>
      <c r="V564" s="309"/>
      <c r="W564" s="309"/>
      <c r="X564" s="309"/>
      <c r="Y564" s="309"/>
      <c r="Z564" s="309"/>
    </row>
    <row r="565">
      <c r="A565" s="194"/>
      <c r="B565" s="309"/>
      <c r="C565" s="194"/>
      <c r="D565" s="309"/>
      <c r="E565" s="309"/>
      <c r="F565" s="309"/>
      <c r="G565" s="309"/>
      <c r="H565" s="309"/>
      <c r="I565" s="309"/>
      <c r="J565" s="309"/>
      <c r="K565" s="309"/>
      <c r="L565" s="309"/>
      <c r="M565" s="309"/>
      <c r="N565" s="309"/>
      <c r="O565" s="309"/>
      <c r="P565" s="309"/>
      <c r="Q565" s="309"/>
      <c r="R565" s="309"/>
      <c r="S565" s="309"/>
      <c r="T565" s="309"/>
      <c r="U565" s="309"/>
      <c r="V565" s="309"/>
      <c r="W565" s="309"/>
      <c r="X565" s="309"/>
      <c r="Y565" s="309"/>
      <c r="Z565" s="309"/>
    </row>
    <row r="566">
      <c r="A566" s="194"/>
      <c r="B566" s="309"/>
      <c r="C566" s="194"/>
      <c r="D566" s="309"/>
      <c r="E566" s="309"/>
      <c r="F566" s="309"/>
      <c r="G566" s="309"/>
      <c r="H566" s="309"/>
      <c r="I566" s="309"/>
      <c r="J566" s="309"/>
      <c r="K566" s="309"/>
      <c r="L566" s="309"/>
      <c r="M566" s="309"/>
      <c r="N566" s="309"/>
      <c r="O566" s="309"/>
      <c r="P566" s="309"/>
      <c r="Q566" s="309"/>
      <c r="R566" s="309"/>
      <c r="S566" s="309"/>
      <c r="T566" s="309"/>
      <c r="U566" s="309"/>
      <c r="V566" s="309"/>
      <c r="W566" s="309"/>
      <c r="X566" s="309"/>
      <c r="Y566" s="309"/>
      <c r="Z566" s="309"/>
    </row>
    <row r="567">
      <c r="A567" s="194"/>
      <c r="B567" s="309"/>
      <c r="C567" s="194"/>
      <c r="D567" s="309"/>
      <c r="E567" s="309"/>
      <c r="F567" s="309"/>
      <c r="G567" s="309"/>
      <c r="H567" s="309"/>
      <c r="I567" s="309"/>
      <c r="J567" s="309"/>
      <c r="K567" s="309"/>
      <c r="L567" s="309"/>
      <c r="M567" s="309"/>
      <c r="N567" s="309"/>
      <c r="O567" s="309"/>
      <c r="P567" s="309"/>
      <c r="Q567" s="309"/>
      <c r="R567" s="309"/>
      <c r="S567" s="309"/>
      <c r="T567" s="309"/>
      <c r="U567" s="309"/>
      <c r="V567" s="309"/>
      <c r="W567" s="309"/>
      <c r="X567" s="309"/>
      <c r="Y567" s="309"/>
      <c r="Z567" s="309"/>
    </row>
    <row r="568">
      <c r="A568" s="194"/>
      <c r="B568" s="309"/>
      <c r="C568" s="194"/>
      <c r="D568" s="309"/>
      <c r="E568" s="309"/>
      <c r="F568" s="309"/>
      <c r="G568" s="309"/>
      <c r="H568" s="309"/>
      <c r="I568" s="309"/>
      <c r="J568" s="309"/>
      <c r="K568" s="309"/>
      <c r="L568" s="309"/>
      <c r="M568" s="309"/>
      <c r="N568" s="309"/>
      <c r="O568" s="309"/>
      <c r="P568" s="309"/>
      <c r="Q568" s="309"/>
      <c r="R568" s="309"/>
      <c r="S568" s="309"/>
      <c r="T568" s="309"/>
      <c r="U568" s="309"/>
      <c r="V568" s="309"/>
      <c r="W568" s="309"/>
      <c r="X568" s="309"/>
      <c r="Y568" s="309"/>
      <c r="Z568" s="309"/>
    </row>
    <row r="569">
      <c r="A569" s="194"/>
      <c r="B569" s="309"/>
      <c r="C569" s="194"/>
      <c r="D569" s="309"/>
      <c r="E569" s="309"/>
      <c r="F569" s="309"/>
      <c r="G569" s="309"/>
      <c r="H569" s="309"/>
      <c r="I569" s="309"/>
      <c r="J569" s="309"/>
      <c r="K569" s="309"/>
      <c r="L569" s="309"/>
      <c r="M569" s="309"/>
      <c r="N569" s="309"/>
      <c r="O569" s="309"/>
      <c r="P569" s="309"/>
      <c r="Q569" s="309"/>
      <c r="R569" s="309"/>
      <c r="S569" s="309"/>
      <c r="T569" s="309"/>
      <c r="U569" s="309"/>
      <c r="V569" s="309"/>
      <c r="W569" s="309"/>
      <c r="X569" s="309"/>
      <c r="Y569" s="309"/>
      <c r="Z569" s="309"/>
    </row>
    <row r="570">
      <c r="A570" s="194"/>
      <c r="B570" s="309"/>
      <c r="C570" s="194"/>
      <c r="D570" s="309"/>
      <c r="E570" s="309"/>
      <c r="F570" s="309"/>
      <c r="G570" s="309"/>
      <c r="H570" s="309"/>
      <c r="I570" s="309"/>
      <c r="J570" s="309"/>
      <c r="K570" s="309"/>
      <c r="L570" s="309"/>
      <c r="M570" s="309"/>
      <c r="N570" s="309"/>
      <c r="O570" s="309"/>
      <c r="P570" s="309"/>
      <c r="Q570" s="309"/>
      <c r="R570" s="309"/>
      <c r="S570" s="309"/>
      <c r="T570" s="309"/>
      <c r="U570" s="309"/>
      <c r="V570" s="309"/>
      <c r="W570" s="309"/>
      <c r="X570" s="309"/>
      <c r="Y570" s="309"/>
      <c r="Z570" s="309"/>
    </row>
    <row r="571">
      <c r="A571" s="194"/>
      <c r="B571" s="309"/>
      <c r="C571" s="194"/>
      <c r="D571" s="309"/>
      <c r="E571" s="309"/>
      <c r="F571" s="309"/>
      <c r="G571" s="309"/>
      <c r="H571" s="309"/>
      <c r="I571" s="309"/>
      <c r="J571" s="309"/>
      <c r="K571" s="309"/>
      <c r="L571" s="309"/>
      <c r="M571" s="309"/>
      <c r="N571" s="309"/>
      <c r="O571" s="309"/>
      <c r="P571" s="309"/>
      <c r="Q571" s="309"/>
      <c r="R571" s="309"/>
      <c r="S571" s="309"/>
      <c r="T571" s="309"/>
      <c r="U571" s="309"/>
      <c r="V571" s="309"/>
      <c r="W571" s="309"/>
      <c r="X571" s="309"/>
      <c r="Y571" s="309"/>
      <c r="Z571" s="309"/>
    </row>
    <row r="572">
      <c r="A572" s="194"/>
      <c r="B572" s="309"/>
      <c r="C572" s="194"/>
      <c r="D572" s="309"/>
      <c r="E572" s="309"/>
      <c r="F572" s="309"/>
      <c r="G572" s="309"/>
      <c r="H572" s="309"/>
      <c r="I572" s="309"/>
      <c r="J572" s="309"/>
      <c r="K572" s="309"/>
      <c r="L572" s="309"/>
      <c r="M572" s="309"/>
      <c r="N572" s="309"/>
      <c r="O572" s="309"/>
      <c r="P572" s="309"/>
      <c r="Q572" s="309"/>
      <c r="R572" s="309"/>
      <c r="S572" s="309"/>
      <c r="T572" s="309"/>
      <c r="U572" s="309"/>
      <c r="V572" s="309"/>
      <c r="W572" s="309"/>
      <c r="X572" s="309"/>
      <c r="Y572" s="309"/>
      <c r="Z572" s="309"/>
    </row>
    <row r="573">
      <c r="A573" s="194"/>
      <c r="B573" s="309"/>
      <c r="C573" s="194"/>
      <c r="D573" s="309"/>
      <c r="E573" s="309"/>
      <c r="F573" s="309"/>
      <c r="G573" s="309"/>
      <c r="H573" s="309"/>
      <c r="I573" s="309"/>
      <c r="J573" s="309"/>
      <c r="K573" s="309"/>
      <c r="L573" s="309"/>
      <c r="M573" s="309"/>
      <c r="N573" s="309"/>
      <c r="O573" s="309"/>
      <c r="P573" s="309"/>
      <c r="Q573" s="309"/>
      <c r="R573" s="309"/>
      <c r="S573" s="309"/>
      <c r="T573" s="309"/>
      <c r="U573" s="309"/>
      <c r="V573" s="309"/>
      <c r="W573" s="309"/>
      <c r="X573" s="309"/>
      <c r="Y573" s="309"/>
      <c r="Z573" s="309"/>
    </row>
    <row r="574">
      <c r="A574" s="194"/>
      <c r="B574" s="309"/>
      <c r="C574" s="194"/>
      <c r="D574" s="309"/>
      <c r="E574" s="309"/>
      <c r="F574" s="309"/>
      <c r="G574" s="309"/>
      <c r="H574" s="309"/>
      <c r="I574" s="309"/>
      <c r="J574" s="309"/>
      <c r="K574" s="309"/>
      <c r="L574" s="309"/>
      <c r="M574" s="309"/>
      <c r="N574" s="309"/>
      <c r="O574" s="309"/>
      <c r="P574" s="309"/>
      <c r="Q574" s="309"/>
      <c r="R574" s="309"/>
      <c r="S574" s="309"/>
      <c r="T574" s="309"/>
      <c r="U574" s="309"/>
      <c r="V574" s="309"/>
      <c r="W574" s="309"/>
      <c r="X574" s="309"/>
      <c r="Y574" s="309"/>
      <c r="Z574" s="309"/>
    </row>
    <row r="575">
      <c r="A575" s="194"/>
      <c r="B575" s="309"/>
      <c r="C575" s="194"/>
      <c r="D575" s="309"/>
      <c r="E575" s="309"/>
      <c r="F575" s="309"/>
      <c r="G575" s="309"/>
      <c r="H575" s="309"/>
      <c r="I575" s="309"/>
      <c r="J575" s="309"/>
      <c r="K575" s="309"/>
      <c r="L575" s="309"/>
      <c r="M575" s="309"/>
      <c r="N575" s="309"/>
      <c r="O575" s="309"/>
      <c r="P575" s="309"/>
      <c r="Q575" s="309"/>
      <c r="R575" s="309"/>
      <c r="S575" s="309"/>
      <c r="T575" s="309"/>
      <c r="U575" s="309"/>
      <c r="V575" s="309"/>
      <c r="W575" s="309"/>
      <c r="X575" s="309"/>
      <c r="Y575" s="309"/>
      <c r="Z575" s="309"/>
    </row>
    <row r="576">
      <c r="A576" s="194"/>
      <c r="B576" s="309"/>
      <c r="C576" s="194"/>
      <c r="D576" s="309"/>
      <c r="E576" s="309"/>
      <c r="F576" s="309"/>
      <c r="G576" s="309"/>
      <c r="H576" s="309"/>
      <c r="I576" s="309"/>
      <c r="J576" s="309"/>
      <c r="K576" s="309"/>
      <c r="L576" s="309"/>
      <c r="M576" s="309"/>
      <c r="N576" s="309"/>
      <c r="O576" s="309"/>
      <c r="P576" s="309"/>
      <c r="Q576" s="309"/>
      <c r="R576" s="309"/>
      <c r="S576" s="309"/>
      <c r="T576" s="309"/>
      <c r="U576" s="309"/>
      <c r="V576" s="309"/>
      <c r="W576" s="309"/>
      <c r="X576" s="309"/>
      <c r="Y576" s="309"/>
      <c r="Z576" s="309"/>
    </row>
    <row r="577">
      <c r="A577" s="194"/>
      <c r="B577" s="309"/>
      <c r="C577" s="194"/>
      <c r="D577" s="309"/>
      <c r="E577" s="309"/>
      <c r="F577" s="309"/>
      <c r="G577" s="309"/>
      <c r="H577" s="309"/>
      <c r="I577" s="309"/>
      <c r="J577" s="309"/>
      <c r="K577" s="309"/>
      <c r="L577" s="309"/>
      <c r="M577" s="309"/>
      <c r="N577" s="309"/>
      <c r="O577" s="309"/>
      <c r="P577" s="309"/>
      <c r="Q577" s="309"/>
      <c r="R577" s="309"/>
      <c r="S577" s="309"/>
      <c r="T577" s="309"/>
      <c r="U577" s="309"/>
      <c r="V577" s="309"/>
      <c r="W577" s="309"/>
      <c r="X577" s="309"/>
      <c r="Y577" s="309"/>
      <c r="Z577" s="309"/>
    </row>
    <row r="578">
      <c r="A578" s="194"/>
      <c r="B578" s="309"/>
      <c r="C578" s="194"/>
      <c r="D578" s="309"/>
      <c r="E578" s="309"/>
      <c r="F578" s="309"/>
      <c r="G578" s="309"/>
      <c r="H578" s="309"/>
      <c r="I578" s="309"/>
      <c r="J578" s="309"/>
      <c r="K578" s="309"/>
      <c r="L578" s="309"/>
      <c r="M578" s="309"/>
      <c r="N578" s="309"/>
      <c r="O578" s="309"/>
      <c r="P578" s="309"/>
      <c r="Q578" s="309"/>
      <c r="R578" s="309"/>
      <c r="S578" s="309"/>
      <c r="T578" s="309"/>
      <c r="U578" s="309"/>
      <c r="V578" s="309"/>
      <c r="W578" s="309"/>
      <c r="X578" s="309"/>
      <c r="Y578" s="309"/>
      <c r="Z578" s="309"/>
    </row>
    <row r="579">
      <c r="A579" s="194"/>
      <c r="B579" s="309"/>
      <c r="C579" s="194"/>
      <c r="D579" s="309"/>
      <c r="E579" s="309"/>
      <c r="F579" s="309"/>
      <c r="G579" s="309"/>
      <c r="H579" s="309"/>
      <c r="I579" s="309"/>
      <c r="J579" s="309"/>
      <c r="K579" s="309"/>
      <c r="L579" s="309"/>
      <c r="M579" s="309"/>
      <c r="N579" s="309"/>
      <c r="O579" s="309"/>
      <c r="P579" s="309"/>
      <c r="Q579" s="309"/>
      <c r="R579" s="309"/>
      <c r="S579" s="309"/>
      <c r="T579" s="309"/>
      <c r="U579" s="309"/>
      <c r="V579" s="309"/>
      <c r="W579" s="309"/>
      <c r="X579" s="309"/>
      <c r="Y579" s="309"/>
      <c r="Z579" s="309"/>
    </row>
    <row r="580">
      <c r="A580" s="194"/>
      <c r="B580" s="309"/>
      <c r="C580" s="194"/>
      <c r="D580" s="309"/>
      <c r="E580" s="309"/>
      <c r="F580" s="309"/>
      <c r="G580" s="309"/>
      <c r="H580" s="309"/>
      <c r="I580" s="309"/>
      <c r="J580" s="309"/>
      <c r="K580" s="309"/>
      <c r="L580" s="309"/>
      <c r="M580" s="309"/>
      <c r="N580" s="309"/>
      <c r="O580" s="309"/>
      <c r="P580" s="309"/>
      <c r="Q580" s="309"/>
      <c r="R580" s="309"/>
      <c r="S580" s="309"/>
      <c r="T580" s="309"/>
      <c r="U580" s="309"/>
      <c r="V580" s="309"/>
      <c r="W580" s="309"/>
      <c r="X580" s="309"/>
      <c r="Y580" s="309"/>
      <c r="Z580" s="309"/>
    </row>
    <row r="581">
      <c r="A581" s="194"/>
      <c r="B581" s="309"/>
      <c r="C581" s="194"/>
      <c r="D581" s="309"/>
      <c r="E581" s="309"/>
      <c r="F581" s="309"/>
      <c r="G581" s="309"/>
      <c r="H581" s="309"/>
      <c r="I581" s="309"/>
      <c r="J581" s="309"/>
      <c r="K581" s="309"/>
      <c r="L581" s="309"/>
      <c r="M581" s="309"/>
      <c r="N581" s="309"/>
      <c r="O581" s="309"/>
      <c r="P581" s="309"/>
      <c r="Q581" s="309"/>
      <c r="R581" s="309"/>
      <c r="S581" s="309"/>
      <c r="T581" s="309"/>
      <c r="U581" s="309"/>
      <c r="V581" s="309"/>
      <c r="W581" s="309"/>
      <c r="X581" s="309"/>
      <c r="Y581" s="309"/>
      <c r="Z581" s="309"/>
    </row>
    <row r="582">
      <c r="A582" s="194"/>
      <c r="B582" s="309"/>
      <c r="C582" s="194"/>
      <c r="D582" s="309"/>
      <c r="E582" s="309"/>
      <c r="F582" s="309"/>
      <c r="G582" s="309"/>
      <c r="H582" s="309"/>
      <c r="I582" s="309"/>
      <c r="J582" s="309"/>
      <c r="K582" s="309"/>
      <c r="L582" s="309"/>
      <c r="M582" s="309"/>
      <c r="N582" s="309"/>
      <c r="O582" s="309"/>
      <c r="P582" s="309"/>
      <c r="Q582" s="309"/>
      <c r="R582" s="309"/>
      <c r="S582" s="309"/>
      <c r="T582" s="309"/>
      <c r="U582" s="309"/>
      <c r="V582" s="309"/>
      <c r="W582" s="309"/>
      <c r="X582" s="309"/>
      <c r="Y582" s="309"/>
      <c r="Z582" s="309"/>
    </row>
    <row r="583">
      <c r="A583" s="194"/>
      <c r="B583" s="309"/>
      <c r="C583" s="194"/>
      <c r="D583" s="309"/>
      <c r="E583" s="309"/>
      <c r="F583" s="309"/>
      <c r="G583" s="309"/>
      <c r="H583" s="309"/>
      <c r="I583" s="309"/>
      <c r="J583" s="309"/>
      <c r="K583" s="309"/>
      <c r="L583" s="309"/>
      <c r="M583" s="309"/>
      <c r="N583" s="309"/>
      <c r="O583" s="309"/>
      <c r="P583" s="309"/>
      <c r="Q583" s="309"/>
      <c r="R583" s="309"/>
      <c r="S583" s="309"/>
      <c r="T583" s="309"/>
      <c r="U583" s="309"/>
      <c r="V583" s="309"/>
      <c r="W583" s="309"/>
      <c r="X583" s="309"/>
      <c r="Y583" s="309"/>
      <c r="Z583" s="309"/>
    </row>
    <row r="584">
      <c r="A584" s="194"/>
      <c r="B584" s="309"/>
      <c r="C584" s="194"/>
      <c r="D584" s="309"/>
      <c r="E584" s="309"/>
      <c r="F584" s="309"/>
      <c r="G584" s="309"/>
      <c r="H584" s="309"/>
      <c r="I584" s="309"/>
      <c r="J584" s="309"/>
      <c r="K584" s="309"/>
      <c r="L584" s="309"/>
      <c r="M584" s="309"/>
      <c r="N584" s="309"/>
      <c r="O584" s="309"/>
      <c r="P584" s="309"/>
      <c r="Q584" s="309"/>
      <c r="R584" s="309"/>
      <c r="S584" s="309"/>
      <c r="T584" s="309"/>
      <c r="U584" s="309"/>
      <c r="V584" s="309"/>
      <c r="W584" s="309"/>
      <c r="X584" s="309"/>
      <c r="Y584" s="309"/>
      <c r="Z584" s="309"/>
    </row>
    <row r="585">
      <c r="A585" s="194"/>
      <c r="B585" s="309"/>
      <c r="C585" s="194"/>
      <c r="D585" s="309"/>
      <c r="E585" s="309"/>
      <c r="F585" s="309"/>
      <c r="G585" s="309"/>
      <c r="H585" s="309"/>
      <c r="I585" s="309"/>
      <c r="J585" s="309"/>
      <c r="K585" s="309"/>
      <c r="L585" s="309"/>
      <c r="M585" s="309"/>
      <c r="N585" s="309"/>
      <c r="O585" s="309"/>
      <c r="P585" s="309"/>
      <c r="Q585" s="309"/>
      <c r="R585" s="309"/>
      <c r="S585" s="309"/>
      <c r="T585" s="309"/>
      <c r="U585" s="309"/>
      <c r="V585" s="309"/>
      <c r="W585" s="309"/>
      <c r="X585" s="309"/>
      <c r="Y585" s="309"/>
      <c r="Z585" s="309"/>
    </row>
    <row r="586">
      <c r="A586" s="194"/>
      <c r="B586" s="309"/>
      <c r="C586" s="194"/>
      <c r="D586" s="309"/>
      <c r="E586" s="309"/>
      <c r="F586" s="309"/>
      <c r="G586" s="309"/>
      <c r="H586" s="309"/>
      <c r="I586" s="309"/>
      <c r="J586" s="309"/>
      <c r="K586" s="309"/>
      <c r="L586" s="309"/>
      <c r="M586" s="309"/>
      <c r="N586" s="309"/>
      <c r="O586" s="309"/>
      <c r="P586" s="309"/>
      <c r="Q586" s="309"/>
      <c r="R586" s="309"/>
      <c r="S586" s="309"/>
      <c r="T586" s="309"/>
      <c r="U586" s="309"/>
      <c r="V586" s="309"/>
      <c r="W586" s="309"/>
      <c r="X586" s="309"/>
      <c r="Y586" s="309"/>
      <c r="Z586" s="309"/>
    </row>
    <row r="587">
      <c r="A587" s="194"/>
      <c r="B587" s="309"/>
      <c r="C587" s="194"/>
      <c r="D587" s="309"/>
      <c r="E587" s="309"/>
      <c r="F587" s="309"/>
      <c r="G587" s="309"/>
      <c r="H587" s="309"/>
      <c r="I587" s="309"/>
      <c r="J587" s="309"/>
      <c r="K587" s="309"/>
      <c r="L587" s="309"/>
      <c r="M587" s="309"/>
      <c r="N587" s="309"/>
      <c r="O587" s="309"/>
      <c r="P587" s="309"/>
      <c r="Q587" s="309"/>
      <c r="R587" s="309"/>
      <c r="S587" s="309"/>
      <c r="T587" s="309"/>
      <c r="U587" s="309"/>
      <c r="V587" s="309"/>
      <c r="W587" s="309"/>
      <c r="X587" s="309"/>
      <c r="Y587" s="309"/>
      <c r="Z587" s="309"/>
    </row>
    <row r="588">
      <c r="A588" s="194"/>
      <c r="B588" s="309"/>
      <c r="C588" s="194"/>
      <c r="D588" s="309"/>
      <c r="E588" s="309"/>
      <c r="F588" s="309"/>
      <c r="G588" s="309"/>
      <c r="H588" s="309"/>
      <c r="I588" s="309"/>
      <c r="J588" s="309"/>
      <c r="K588" s="309"/>
      <c r="L588" s="309"/>
      <c r="M588" s="309"/>
      <c r="N588" s="309"/>
      <c r="O588" s="309"/>
      <c r="P588" s="309"/>
      <c r="Q588" s="309"/>
      <c r="R588" s="309"/>
      <c r="S588" s="309"/>
      <c r="T588" s="309"/>
      <c r="U588" s="309"/>
      <c r="V588" s="309"/>
      <c r="W588" s="309"/>
      <c r="X588" s="309"/>
      <c r="Y588" s="309"/>
      <c r="Z588" s="309"/>
    </row>
    <row r="589">
      <c r="A589" s="194"/>
      <c r="B589" s="309"/>
      <c r="C589" s="194"/>
      <c r="D589" s="309"/>
      <c r="E589" s="309"/>
      <c r="F589" s="309"/>
      <c r="G589" s="309"/>
      <c r="H589" s="309"/>
      <c r="I589" s="309"/>
      <c r="J589" s="309"/>
      <c r="K589" s="309"/>
      <c r="L589" s="309"/>
      <c r="M589" s="309"/>
      <c r="N589" s="309"/>
      <c r="O589" s="309"/>
      <c r="P589" s="309"/>
      <c r="Q589" s="309"/>
      <c r="R589" s="309"/>
      <c r="S589" s="309"/>
      <c r="T589" s="309"/>
      <c r="U589" s="309"/>
      <c r="V589" s="309"/>
      <c r="W589" s="309"/>
      <c r="X589" s="309"/>
      <c r="Y589" s="309"/>
      <c r="Z589" s="309"/>
    </row>
    <row r="590">
      <c r="A590" s="194"/>
      <c r="B590" s="309"/>
      <c r="C590" s="194"/>
      <c r="D590" s="309"/>
      <c r="E590" s="309"/>
      <c r="F590" s="309"/>
      <c r="G590" s="309"/>
      <c r="H590" s="309"/>
      <c r="I590" s="309"/>
      <c r="J590" s="309"/>
      <c r="K590" s="309"/>
      <c r="L590" s="309"/>
      <c r="M590" s="309"/>
      <c r="N590" s="309"/>
      <c r="O590" s="309"/>
      <c r="P590" s="309"/>
      <c r="Q590" s="309"/>
      <c r="R590" s="309"/>
      <c r="S590" s="309"/>
      <c r="T590" s="309"/>
      <c r="U590" s="309"/>
      <c r="V590" s="309"/>
      <c r="W590" s="309"/>
      <c r="X590" s="309"/>
      <c r="Y590" s="309"/>
      <c r="Z590" s="309"/>
    </row>
    <row r="591">
      <c r="A591" s="194"/>
      <c r="B591" s="309"/>
      <c r="C591" s="194"/>
      <c r="D591" s="309"/>
      <c r="E591" s="309"/>
      <c r="F591" s="309"/>
      <c r="G591" s="309"/>
      <c r="H591" s="309"/>
      <c r="I591" s="309"/>
      <c r="J591" s="309"/>
      <c r="K591" s="309"/>
      <c r="L591" s="309"/>
      <c r="M591" s="309"/>
      <c r="N591" s="309"/>
      <c r="O591" s="309"/>
      <c r="P591" s="309"/>
      <c r="Q591" s="309"/>
      <c r="R591" s="309"/>
      <c r="S591" s="309"/>
      <c r="T591" s="309"/>
      <c r="U591" s="309"/>
      <c r="V591" s="309"/>
      <c r="W591" s="309"/>
      <c r="X591" s="309"/>
      <c r="Y591" s="309"/>
      <c r="Z591" s="309"/>
    </row>
    <row r="592">
      <c r="A592" s="194"/>
      <c r="B592" s="309"/>
      <c r="C592" s="194"/>
      <c r="D592" s="309"/>
      <c r="E592" s="309"/>
      <c r="F592" s="309"/>
      <c r="G592" s="309"/>
      <c r="H592" s="309"/>
      <c r="I592" s="309"/>
      <c r="J592" s="309"/>
      <c r="K592" s="309"/>
      <c r="L592" s="309"/>
      <c r="M592" s="309"/>
      <c r="N592" s="309"/>
      <c r="O592" s="309"/>
      <c r="P592" s="309"/>
      <c r="Q592" s="309"/>
      <c r="R592" s="309"/>
      <c r="S592" s="309"/>
      <c r="T592" s="309"/>
      <c r="U592" s="309"/>
      <c r="V592" s="309"/>
      <c r="W592" s="309"/>
      <c r="X592" s="309"/>
      <c r="Y592" s="309"/>
      <c r="Z592" s="309"/>
    </row>
    <row r="593">
      <c r="A593" s="194"/>
      <c r="B593" s="309"/>
      <c r="C593" s="194"/>
      <c r="D593" s="309"/>
      <c r="E593" s="309"/>
      <c r="F593" s="309"/>
      <c r="G593" s="309"/>
      <c r="H593" s="309"/>
      <c r="I593" s="309"/>
      <c r="J593" s="309"/>
      <c r="K593" s="309"/>
      <c r="L593" s="309"/>
      <c r="M593" s="309"/>
      <c r="N593" s="309"/>
      <c r="O593" s="309"/>
      <c r="P593" s="309"/>
      <c r="Q593" s="309"/>
      <c r="R593" s="309"/>
      <c r="S593" s="309"/>
      <c r="T593" s="309"/>
      <c r="U593" s="309"/>
      <c r="V593" s="309"/>
      <c r="W593" s="309"/>
      <c r="X593" s="309"/>
      <c r="Y593" s="309"/>
      <c r="Z593" s="309"/>
    </row>
    <row r="594">
      <c r="A594" s="194"/>
      <c r="B594" s="309"/>
      <c r="C594" s="194"/>
      <c r="D594" s="309"/>
      <c r="E594" s="309"/>
      <c r="F594" s="309"/>
      <c r="G594" s="309"/>
      <c r="H594" s="309"/>
      <c r="I594" s="309"/>
      <c r="J594" s="309"/>
      <c r="K594" s="309"/>
      <c r="L594" s="309"/>
      <c r="M594" s="309"/>
      <c r="N594" s="309"/>
      <c r="O594" s="309"/>
      <c r="P594" s="309"/>
      <c r="Q594" s="309"/>
      <c r="R594" s="309"/>
      <c r="S594" s="309"/>
      <c r="T594" s="309"/>
      <c r="U594" s="309"/>
      <c r="V594" s="309"/>
      <c r="W594" s="309"/>
      <c r="X594" s="309"/>
      <c r="Y594" s="309"/>
      <c r="Z594" s="309"/>
    </row>
    <row r="595">
      <c r="A595" s="194"/>
      <c r="B595" s="309"/>
      <c r="C595" s="194"/>
      <c r="D595" s="309"/>
      <c r="E595" s="309"/>
      <c r="F595" s="309"/>
      <c r="G595" s="309"/>
      <c r="H595" s="309"/>
      <c r="I595" s="309"/>
      <c r="J595" s="309"/>
      <c r="K595" s="309"/>
      <c r="L595" s="309"/>
      <c r="M595" s="309"/>
      <c r="N595" s="309"/>
      <c r="O595" s="309"/>
      <c r="P595" s="309"/>
      <c r="Q595" s="309"/>
      <c r="R595" s="309"/>
      <c r="S595" s="309"/>
      <c r="T595" s="309"/>
      <c r="U595" s="309"/>
      <c r="V595" s="309"/>
      <c r="W595" s="309"/>
      <c r="X595" s="309"/>
      <c r="Y595" s="309"/>
      <c r="Z595" s="309"/>
    </row>
    <row r="596">
      <c r="A596" s="194"/>
      <c r="B596" s="309"/>
      <c r="C596" s="194"/>
      <c r="D596" s="309"/>
      <c r="E596" s="309"/>
      <c r="F596" s="309"/>
      <c r="G596" s="309"/>
      <c r="H596" s="309"/>
      <c r="I596" s="309"/>
      <c r="J596" s="309"/>
      <c r="K596" s="309"/>
      <c r="L596" s="309"/>
      <c r="M596" s="309"/>
      <c r="N596" s="309"/>
      <c r="O596" s="309"/>
      <c r="P596" s="309"/>
      <c r="Q596" s="309"/>
      <c r="R596" s="309"/>
      <c r="S596" s="309"/>
      <c r="T596" s="309"/>
      <c r="U596" s="309"/>
      <c r="V596" s="309"/>
      <c r="W596" s="309"/>
      <c r="X596" s="309"/>
      <c r="Y596" s="309"/>
      <c r="Z596" s="309"/>
    </row>
    <row r="597">
      <c r="A597" s="194"/>
      <c r="B597" s="309"/>
      <c r="C597" s="194"/>
      <c r="D597" s="309"/>
      <c r="E597" s="309"/>
      <c r="F597" s="309"/>
      <c r="G597" s="309"/>
      <c r="H597" s="309"/>
      <c r="I597" s="309"/>
      <c r="J597" s="309"/>
      <c r="K597" s="309"/>
      <c r="L597" s="309"/>
      <c r="M597" s="309"/>
      <c r="N597" s="309"/>
      <c r="O597" s="309"/>
      <c r="P597" s="309"/>
      <c r="Q597" s="309"/>
      <c r="R597" s="309"/>
      <c r="S597" s="309"/>
      <c r="T597" s="309"/>
      <c r="U597" s="309"/>
      <c r="V597" s="309"/>
      <c r="W597" s="309"/>
      <c r="X597" s="309"/>
      <c r="Y597" s="309"/>
      <c r="Z597" s="309"/>
    </row>
    <row r="598">
      <c r="A598" s="194"/>
      <c r="B598" s="309"/>
      <c r="C598" s="194"/>
      <c r="D598" s="309"/>
      <c r="E598" s="309"/>
      <c r="F598" s="309"/>
      <c r="G598" s="309"/>
      <c r="H598" s="309"/>
      <c r="I598" s="309"/>
      <c r="J598" s="309"/>
      <c r="K598" s="309"/>
      <c r="L598" s="309"/>
      <c r="M598" s="309"/>
      <c r="N598" s="309"/>
      <c r="O598" s="309"/>
      <c r="P598" s="309"/>
      <c r="Q598" s="309"/>
      <c r="R598" s="309"/>
      <c r="S598" s="309"/>
      <c r="T598" s="309"/>
      <c r="U598" s="309"/>
      <c r="V598" s="309"/>
      <c r="W598" s="309"/>
      <c r="X598" s="309"/>
      <c r="Y598" s="309"/>
      <c r="Z598" s="309"/>
    </row>
    <row r="599">
      <c r="A599" s="194"/>
      <c r="B599" s="309"/>
      <c r="C599" s="194"/>
      <c r="D599" s="309"/>
      <c r="E599" s="309"/>
      <c r="F599" s="309"/>
      <c r="G599" s="309"/>
      <c r="H599" s="309"/>
      <c r="I599" s="309"/>
      <c r="J599" s="309"/>
      <c r="K599" s="309"/>
      <c r="L599" s="309"/>
      <c r="M599" s="309"/>
      <c r="N599" s="309"/>
      <c r="O599" s="309"/>
      <c r="P599" s="309"/>
      <c r="Q599" s="309"/>
      <c r="R599" s="309"/>
      <c r="S599" s="309"/>
      <c r="T599" s="309"/>
      <c r="U599" s="309"/>
      <c r="V599" s="309"/>
      <c r="W599" s="309"/>
      <c r="X599" s="309"/>
      <c r="Y599" s="309"/>
      <c r="Z599" s="309"/>
    </row>
    <row r="600">
      <c r="A600" s="194"/>
      <c r="B600" s="309"/>
      <c r="C600" s="194"/>
      <c r="D600" s="309"/>
      <c r="E600" s="309"/>
      <c r="F600" s="309"/>
      <c r="G600" s="309"/>
      <c r="H600" s="309"/>
      <c r="I600" s="309"/>
      <c r="J600" s="309"/>
      <c r="K600" s="309"/>
      <c r="L600" s="309"/>
      <c r="M600" s="309"/>
      <c r="N600" s="309"/>
      <c r="O600" s="309"/>
      <c r="P600" s="309"/>
      <c r="Q600" s="309"/>
      <c r="R600" s="309"/>
      <c r="S600" s="309"/>
      <c r="T600" s="309"/>
      <c r="U600" s="309"/>
      <c r="V600" s="309"/>
      <c r="W600" s="309"/>
      <c r="X600" s="309"/>
      <c r="Y600" s="309"/>
      <c r="Z600" s="309"/>
    </row>
    <row r="601">
      <c r="A601" s="194"/>
      <c r="B601" s="309"/>
      <c r="C601" s="194"/>
      <c r="D601" s="309"/>
      <c r="E601" s="309"/>
      <c r="F601" s="309"/>
      <c r="G601" s="309"/>
      <c r="H601" s="309"/>
      <c r="I601" s="309"/>
      <c r="J601" s="309"/>
      <c r="K601" s="309"/>
      <c r="L601" s="309"/>
      <c r="M601" s="309"/>
      <c r="N601" s="309"/>
      <c r="O601" s="309"/>
      <c r="P601" s="309"/>
      <c r="Q601" s="309"/>
      <c r="R601" s="309"/>
      <c r="S601" s="309"/>
      <c r="T601" s="309"/>
      <c r="U601" s="309"/>
      <c r="V601" s="309"/>
      <c r="W601" s="309"/>
      <c r="X601" s="309"/>
      <c r="Y601" s="309"/>
      <c r="Z601" s="309"/>
    </row>
    <row r="602">
      <c r="A602" s="194"/>
      <c r="B602" s="309"/>
      <c r="C602" s="194"/>
      <c r="D602" s="309"/>
      <c r="E602" s="309"/>
      <c r="F602" s="309"/>
      <c r="G602" s="309"/>
      <c r="H602" s="309"/>
      <c r="I602" s="309"/>
      <c r="J602" s="309"/>
      <c r="K602" s="309"/>
      <c r="L602" s="309"/>
      <c r="M602" s="309"/>
      <c r="N602" s="309"/>
      <c r="O602" s="309"/>
      <c r="P602" s="309"/>
      <c r="Q602" s="309"/>
      <c r="R602" s="309"/>
      <c r="S602" s="309"/>
      <c r="T602" s="309"/>
      <c r="U602" s="309"/>
      <c r="V602" s="309"/>
      <c r="W602" s="309"/>
      <c r="X602" s="309"/>
      <c r="Y602" s="309"/>
      <c r="Z602" s="309"/>
    </row>
    <row r="603">
      <c r="A603" s="194"/>
      <c r="B603" s="309"/>
      <c r="C603" s="194"/>
      <c r="D603" s="309"/>
      <c r="E603" s="309"/>
      <c r="F603" s="309"/>
      <c r="G603" s="309"/>
      <c r="H603" s="309"/>
      <c r="I603" s="309"/>
      <c r="J603" s="309"/>
      <c r="K603" s="309"/>
      <c r="L603" s="309"/>
      <c r="M603" s="309"/>
      <c r="N603" s="309"/>
      <c r="O603" s="309"/>
      <c r="P603" s="309"/>
      <c r="Q603" s="309"/>
      <c r="R603" s="309"/>
      <c r="S603" s="309"/>
      <c r="T603" s="309"/>
      <c r="U603" s="309"/>
      <c r="V603" s="309"/>
      <c r="W603" s="309"/>
      <c r="X603" s="309"/>
      <c r="Y603" s="309"/>
      <c r="Z603" s="309"/>
    </row>
    <row r="604">
      <c r="A604" s="194"/>
      <c r="B604" s="309"/>
      <c r="C604" s="194"/>
      <c r="D604" s="309"/>
      <c r="E604" s="309"/>
      <c r="F604" s="309"/>
      <c r="G604" s="309"/>
      <c r="H604" s="309"/>
      <c r="I604" s="309"/>
      <c r="J604" s="309"/>
      <c r="K604" s="309"/>
      <c r="L604" s="309"/>
      <c r="M604" s="309"/>
      <c r="N604" s="309"/>
      <c r="O604" s="309"/>
      <c r="P604" s="309"/>
      <c r="Q604" s="309"/>
      <c r="R604" s="309"/>
      <c r="S604" s="309"/>
      <c r="T604" s="309"/>
      <c r="U604" s="309"/>
      <c r="V604" s="309"/>
      <c r="W604" s="309"/>
      <c r="X604" s="309"/>
      <c r="Y604" s="309"/>
      <c r="Z604" s="309"/>
    </row>
    <row r="605">
      <c r="A605" s="194"/>
      <c r="B605" s="309"/>
      <c r="C605" s="194"/>
      <c r="D605" s="309"/>
      <c r="E605" s="309"/>
      <c r="F605" s="309"/>
      <c r="G605" s="309"/>
      <c r="H605" s="309"/>
      <c r="I605" s="309"/>
      <c r="J605" s="309"/>
      <c r="K605" s="309"/>
      <c r="L605" s="309"/>
      <c r="M605" s="309"/>
      <c r="N605" s="309"/>
      <c r="O605" s="309"/>
      <c r="P605" s="309"/>
      <c r="Q605" s="309"/>
      <c r="R605" s="309"/>
      <c r="S605" s="309"/>
      <c r="T605" s="309"/>
      <c r="U605" s="309"/>
      <c r="V605" s="309"/>
      <c r="W605" s="309"/>
      <c r="X605" s="309"/>
      <c r="Y605" s="309"/>
      <c r="Z605" s="309"/>
    </row>
    <row r="606">
      <c r="A606" s="194"/>
      <c r="B606" s="309"/>
      <c r="C606" s="194"/>
      <c r="D606" s="309"/>
      <c r="E606" s="309"/>
      <c r="F606" s="309"/>
      <c r="G606" s="309"/>
      <c r="H606" s="309"/>
      <c r="I606" s="309"/>
      <c r="J606" s="309"/>
      <c r="K606" s="309"/>
      <c r="L606" s="309"/>
      <c r="M606" s="309"/>
      <c r="N606" s="309"/>
      <c r="O606" s="309"/>
      <c r="P606" s="309"/>
      <c r="Q606" s="309"/>
      <c r="R606" s="309"/>
      <c r="S606" s="309"/>
      <c r="T606" s="309"/>
      <c r="U606" s="309"/>
      <c r="V606" s="309"/>
      <c r="W606" s="309"/>
      <c r="X606" s="309"/>
      <c r="Y606" s="309"/>
      <c r="Z606" s="309"/>
    </row>
    <row r="607">
      <c r="A607" s="194"/>
      <c r="B607" s="309"/>
      <c r="C607" s="194"/>
      <c r="D607" s="309"/>
      <c r="E607" s="309"/>
      <c r="F607" s="309"/>
      <c r="G607" s="309"/>
      <c r="H607" s="309"/>
      <c r="I607" s="309"/>
      <c r="J607" s="309"/>
      <c r="K607" s="309"/>
      <c r="L607" s="309"/>
      <c r="M607" s="309"/>
      <c r="N607" s="309"/>
      <c r="O607" s="309"/>
      <c r="P607" s="309"/>
      <c r="Q607" s="309"/>
      <c r="R607" s="309"/>
      <c r="S607" s="309"/>
      <c r="T607" s="309"/>
      <c r="U607" s="309"/>
      <c r="V607" s="309"/>
      <c r="W607" s="309"/>
      <c r="X607" s="309"/>
      <c r="Y607" s="309"/>
      <c r="Z607" s="309"/>
    </row>
    <row r="608">
      <c r="A608" s="194"/>
      <c r="B608" s="309"/>
      <c r="C608" s="194"/>
      <c r="D608" s="309"/>
      <c r="E608" s="309"/>
      <c r="F608" s="309"/>
      <c r="G608" s="309"/>
      <c r="H608" s="309"/>
      <c r="I608" s="309"/>
      <c r="J608" s="309"/>
      <c r="K608" s="309"/>
      <c r="L608" s="309"/>
      <c r="M608" s="309"/>
      <c r="N608" s="309"/>
      <c r="O608" s="309"/>
      <c r="P608" s="309"/>
      <c r="Q608" s="309"/>
      <c r="R608" s="309"/>
      <c r="S608" s="309"/>
      <c r="T608" s="309"/>
      <c r="U608" s="309"/>
      <c r="V608" s="309"/>
      <c r="W608" s="309"/>
      <c r="X608" s="309"/>
      <c r="Y608" s="309"/>
      <c r="Z608" s="309"/>
    </row>
    <row r="609">
      <c r="A609" s="194"/>
      <c r="B609" s="309"/>
      <c r="C609" s="194"/>
      <c r="D609" s="309"/>
      <c r="E609" s="309"/>
      <c r="F609" s="309"/>
      <c r="G609" s="309"/>
      <c r="H609" s="309"/>
      <c r="I609" s="309"/>
      <c r="J609" s="309"/>
      <c r="K609" s="309"/>
      <c r="L609" s="309"/>
      <c r="M609" s="309"/>
      <c r="N609" s="309"/>
      <c r="O609" s="309"/>
      <c r="P609" s="309"/>
      <c r="Q609" s="309"/>
      <c r="R609" s="309"/>
      <c r="S609" s="309"/>
      <c r="T609" s="309"/>
      <c r="U609" s="309"/>
      <c r="V609" s="309"/>
      <c r="W609" s="309"/>
      <c r="X609" s="309"/>
      <c r="Y609" s="309"/>
      <c r="Z609" s="309"/>
    </row>
    <row r="610">
      <c r="A610" s="194"/>
      <c r="B610" s="309"/>
      <c r="C610" s="194"/>
      <c r="D610" s="309"/>
      <c r="E610" s="309"/>
      <c r="F610" s="309"/>
      <c r="G610" s="309"/>
      <c r="H610" s="309"/>
      <c r="I610" s="309"/>
      <c r="J610" s="309"/>
      <c r="K610" s="309"/>
      <c r="L610" s="309"/>
      <c r="M610" s="309"/>
      <c r="N610" s="309"/>
      <c r="O610" s="309"/>
      <c r="P610" s="309"/>
      <c r="Q610" s="309"/>
      <c r="R610" s="309"/>
      <c r="S610" s="309"/>
      <c r="T610" s="309"/>
      <c r="U610" s="309"/>
      <c r="V610" s="309"/>
      <c r="W610" s="309"/>
      <c r="X610" s="309"/>
      <c r="Y610" s="309"/>
      <c r="Z610" s="309"/>
    </row>
    <row r="611">
      <c r="A611" s="194"/>
      <c r="B611" s="309"/>
      <c r="C611" s="194"/>
      <c r="D611" s="309"/>
      <c r="E611" s="309"/>
      <c r="F611" s="309"/>
      <c r="G611" s="309"/>
      <c r="H611" s="309"/>
      <c r="I611" s="309"/>
      <c r="J611" s="309"/>
      <c r="K611" s="309"/>
      <c r="L611" s="309"/>
      <c r="M611" s="309"/>
      <c r="N611" s="309"/>
      <c r="O611" s="309"/>
      <c r="P611" s="309"/>
      <c r="Q611" s="309"/>
      <c r="R611" s="309"/>
      <c r="S611" s="309"/>
      <c r="T611" s="309"/>
      <c r="U611" s="309"/>
      <c r="V611" s="309"/>
      <c r="W611" s="309"/>
      <c r="X611" s="309"/>
      <c r="Y611" s="309"/>
      <c r="Z611" s="309"/>
    </row>
    <row r="612">
      <c r="A612" s="194"/>
      <c r="B612" s="309"/>
      <c r="C612" s="194"/>
      <c r="D612" s="309"/>
      <c r="E612" s="309"/>
      <c r="F612" s="309"/>
      <c r="G612" s="309"/>
      <c r="H612" s="309"/>
      <c r="I612" s="309"/>
      <c r="J612" s="309"/>
      <c r="K612" s="309"/>
      <c r="L612" s="309"/>
      <c r="M612" s="309"/>
      <c r="N612" s="309"/>
      <c r="O612" s="309"/>
      <c r="P612" s="309"/>
      <c r="Q612" s="309"/>
      <c r="R612" s="309"/>
      <c r="S612" s="309"/>
      <c r="T612" s="309"/>
      <c r="U612" s="309"/>
      <c r="V612" s="309"/>
      <c r="W612" s="309"/>
      <c r="X612" s="309"/>
      <c r="Y612" s="309"/>
      <c r="Z612" s="309"/>
    </row>
    <row r="613">
      <c r="A613" s="194"/>
      <c r="B613" s="309"/>
      <c r="C613" s="194"/>
      <c r="D613" s="309"/>
      <c r="E613" s="309"/>
      <c r="F613" s="309"/>
      <c r="G613" s="309"/>
      <c r="H613" s="309"/>
      <c r="I613" s="309"/>
      <c r="J613" s="309"/>
      <c r="K613" s="309"/>
      <c r="L613" s="309"/>
      <c r="M613" s="309"/>
      <c r="N613" s="309"/>
      <c r="O613" s="309"/>
      <c r="P613" s="309"/>
      <c r="Q613" s="309"/>
      <c r="R613" s="309"/>
      <c r="S613" s="309"/>
      <c r="T613" s="309"/>
      <c r="U613" s="309"/>
      <c r="V613" s="309"/>
      <c r="W613" s="309"/>
      <c r="X613" s="309"/>
      <c r="Y613" s="309"/>
      <c r="Z613" s="309"/>
    </row>
    <row r="614">
      <c r="A614" s="194"/>
      <c r="B614" s="309"/>
      <c r="C614" s="194"/>
      <c r="D614" s="309"/>
      <c r="E614" s="309"/>
      <c r="F614" s="309"/>
      <c r="G614" s="309"/>
      <c r="H614" s="309"/>
      <c r="I614" s="309"/>
      <c r="J614" s="309"/>
      <c r="K614" s="309"/>
      <c r="L614" s="309"/>
      <c r="M614" s="309"/>
      <c r="N614" s="309"/>
      <c r="O614" s="309"/>
      <c r="P614" s="309"/>
      <c r="Q614" s="309"/>
      <c r="R614" s="309"/>
      <c r="S614" s="309"/>
      <c r="T614" s="309"/>
      <c r="U614" s="309"/>
      <c r="V614" s="309"/>
      <c r="W614" s="309"/>
      <c r="X614" s="309"/>
      <c r="Y614" s="309"/>
      <c r="Z614" s="309"/>
    </row>
    <row r="615">
      <c r="A615" s="194"/>
      <c r="B615" s="309"/>
      <c r="C615" s="194"/>
      <c r="D615" s="309"/>
      <c r="E615" s="309"/>
      <c r="F615" s="309"/>
      <c r="G615" s="309"/>
      <c r="H615" s="309"/>
      <c r="I615" s="309"/>
      <c r="J615" s="309"/>
      <c r="K615" s="309"/>
      <c r="L615" s="309"/>
      <c r="M615" s="309"/>
      <c r="N615" s="309"/>
      <c r="O615" s="309"/>
      <c r="P615" s="309"/>
      <c r="Q615" s="309"/>
      <c r="R615" s="309"/>
      <c r="S615" s="309"/>
      <c r="T615" s="309"/>
      <c r="U615" s="309"/>
      <c r="V615" s="309"/>
      <c r="W615" s="309"/>
      <c r="X615" s="309"/>
      <c r="Y615" s="309"/>
      <c r="Z615" s="309"/>
    </row>
    <row r="616">
      <c r="A616" s="194"/>
      <c r="B616" s="309"/>
      <c r="C616" s="194"/>
      <c r="D616" s="309"/>
      <c r="E616" s="309"/>
      <c r="F616" s="309"/>
      <c r="G616" s="309"/>
      <c r="H616" s="309"/>
      <c r="I616" s="309"/>
      <c r="J616" s="309"/>
      <c r="K616" s="309"/>
      <c r="L616" s="309"/>
      <c r="M616" s="309"/>
      <c r="N616" s="309"/>
      <c r="O616" s="309"/>
      <c r="P616" s="309"/>
      <c r="Q616" s="309"/>
      <c r="R616" s="309"/>
      <c r="S616" s="309"/>
      <c r="T616" s="309"/>
      <c r="U616" s="309"/>
      <c r="V616" s="309"/>
      <c r="W616" s="309"/>
      <c r="X616" s="309"/>
      <c r="Y616" s="309"/>
      <c r="Z616" s="309"/>
    </row>
    <row r="617">
      <c r="A617" s="194"/>
      <c r="B617" s="309"/>
      <c r="C617" s="194"/>
      <c r="D617" s="309"/>
      <c r="E617" s="309"/>
      <c r="F617" s="309"/>
      <c r="G617" s="309"/>
      <c r="H617" s="309"/>
      <c r="I617" s="309"/>
      <c r="J617" s="309"/>
      <c r="K617" s="309"/>
      <c r="L617" s="309"/>
      <c r="M617" s="309"/>
      <c r="N617" s="309"/>
      <c r="O617" s="309"/>
      <c r="P617" s="309"/>
      <c r="Q617" s="309"/>
      <c r="R617" s="309"/>
      <c r="S617" s="309"/>
      <c r="T617" s="309"/>
      <c r="U617" s="309"/>
      <c r="V617" s="309"/>
      <c r="W617" s="309"/>
      <c r="X617" s="309"/>
      <c r="Y617" s="309"/>
      <c r="Z617" s="309"/>
    </row>
    <row r="618">
      <c r="A618" s="194"/>
      <c r="B618" s="309"/>
      <c r="C618" s="194"/>
      <c r="D618" s="309"/>
      <c r="E618" s="309"/>
      <c r="F618" s="309"/>
      <c r="G618" s="309"/>
      <c r="H618" s="309"/>
      <c r="I618" s="309"/>
      <c r="J618" s="309"/>
      <c r="K618" s="309"/>
      <c r="L618" s="309"/>
      <c r="M618" s="309"/>
      <c r="N618" s="309"/>
      <c r="O618" s="309"/>
      <c r="P618" s="309"/>
      <c r="Q618" s="309"/>
      <c r="R618" s="309"/>
      <c r="S618" s="309"/>
      <c r="T618" s="309"/>
      <c r="U618" s="309"/>
      <c r="V618" s="309"/>
      <c r="W618" s="309"/>
      <c r="X618" s="309"/>
      <c r="Y618" s="309"/>
      <c r="Z618" s="309"/>
    </row>
    <row r="619">
      <c r="A619" s="194"/>
      <c r="B619" s="309"/>
      <c r="C619" s="194"/>
      <c r="D619" s="309"/>
      <c r="E619" s="309"/>
      <c r="F619" s="309"/>
      <c r="G619" s="309"/>
      <c r="H619" s="309"/>
      <c r="I619" s="309"/>
      <c r="J619" s="309"/>
      <c r="K619" s="309"/>
      <c r="L619" s="309"/>
      <c r="M619" s="309"/>
      <c r="N619" s="309"/>
      <c r="O619" s="309"/>
      <c r="P619" s="309"/>
      <c r="Q619" s="309"/>
      <c r="R619" s="309"/>
      <c r="S619" s="309"/>
      <c r="T619" s="309"/>
      <c r="U619" s="309"/>
      <c r="V619" s="309"/>
      <c r="W619" s="309"/>
      <c r="X619" s="309"/>
      <c r="Y619" s="309"/>
      <c r="Z619" s="309"/>
    </row>
    <row r="620">
      <c r="A620" s="194"/>
      <c r="B620" s="309"/>
      <c r="C620" s="194"/>
      <c r="D620" s="309"/>
      <c r="E620" s="309"/>
      <c r="F620" s="309"/>
      <c r="G620" s="309"/>
      <c r="H620" s="309"/>
      <c r="I620" s="309"/>
      <c r="J620" s="309"/>
      <c r="K620" s="309"/>
      <c r="L620" s="309"/>
      <c r="M620" s="309"/>
      <c r="N620" s="309"/>
      <c r="O620" s="309"/>
      <c r="P620" s="309"/>
      <c r="Q620" s="309"/>
      <c r="R620" s="309"/>
      <c r="S620" s="309"/>
      <c r="T620" s="309"/>
      <c r="U620" s="309"/>
      <c r="V620" s="309"/>
      <c r="W620" s="309"/>
      <c r="X620" s="309"/>
      <c r="Y620" s="309"/>
      <c r="Z620" s="309"/>
    </row>
    <row r="621">
      <c r="A621" s="194"/>
      <c r="B621" s="309"/>
      <c r="C621" s="194"/>
      <c r="D621" s="309"/>
      <c r="E621" s="309"/>
      <c r="F621" s="309"/>
      <c r="G621" s="309"/>
      <c r="H621" s="309"/>
      <c r="I621" s="309"/>
      <c r="J621" s="309"/>
      <c r="K621" s="309"/>
      <c r="L621" s="309"/>
      <c r="M621" s="309"/>
      <c r="N621" s="309"/>
      <c r="O621" s="309"/>
      <c r="P621" s="309"/>
      <c r="Q621" s="309"/>
      <c r="R621" s="309"/>
      <c r="S621" s="309"/>
      <c r="T621" s="309"/>
      <c r="U621" s="309"/>
      <c r="V621" s="309"/>
      <c r="W621" s="309"/>
      <c r="X621" s="309"/>
      <c r="Y621" s="309"/>
      <c r="Z621" s="309"/>
    </row>
    <row r="622">
      <c r="A622" s="194"/>
      <c r="B622" s="309"/>
      <c r="C622" s="194"/>
      <c r="D622" s="309"/>
      <c r="E622" s="309"/>
      <c r="F622" s="309"/>
      <c r="G622" s="309"/>
      <c r="H622" s="309"/>
      <c r="I622" s="309"/>
      <c r="J622" s="309"/>
      <c r="K622" s="309"/>
      <c r="L622" s="309"/>
      <c r="M622" s="309"/>
      <c r="N622" s="309"/>
      <c r="O622" s="309"/>
      <c r="P622" s="309"/>
      <c r="Q622" s="309"/>
      <c r="R622" s="309"/>
      <c r="S622" s="309"/>
      <c r="T622" s="309"/>
      <c r="U622" s="309"/>
      <c r="V622" s="309"/>
      <c r="W622" s="309"/>
      <c r="X622" s="309"/>
      <c r="Y622" s="309"/>
      <c r="Z622" s="309"/>
    </row>
    <row r="623">
      <c r="A623" s="194"/>
      <c r="B623" s="309"/>
      <c r="C623" s="194"/>
      <c r="D623" s="309"/>
      <c r="E623" s="309"/>
      <c r="F623" s="309"/>
      <c r="G623" s="309"/>
      <c r="H623" s="309"/>
      <c r="I623" s="309"/>
      <c r="J623" s="309"/>
      <c r="K623" s="309"/>
      <c r="L623" s="309"/>
      <c r="M623" s="309"/>
      <c r="N623" s="309"/>
      <c r="O623" s="309"/>
      <c r="P623" s="309"/>
      <c r="Q623" s="309"/>
      <c r="R623" s="309"/>
      <c r="S623" s="309"/>
      <c r="T623" s="309"/>
      <c r="U623" s="309"/>
      <c r="V623" s="309"/>
      <c r="W623" s="309"/>
      <c r="X623" s="309"/>
      <c r="Y623" s="309"/>
      <c r="Z623" s="309"/>
    </row>
    <row r="624">
      <c r="A624" s="194"/>
      <c r="B624" s="309"/>
      <c r="C624" s="194"/>
      <c r="D624" s="309"/>
      <c r="E624" s="309"/>
      <c r="F624" s="309"/>
      <c r="G624" s="309"/>
      <c r="H624" s="309"/>
      <c r="I624" s="309"/>
      <c r="J624" s="309"/>
      <c r="K624" s="309"/>
      <c r="L624" s="309"/>
      <c r="M624" s="309"/>
      <c r="N624" s="309"/>
      <c r="O624" s="309"/>
      <c r="P624" s="309"/>
      <c r="Q624" s="309"/>
      <c r="R624" s="309"/>
      <c r="S624" s="309"/>
      <c r="T624" s="309"/>
      <c r="U624" s="309"/>
      <c r="V624" s="309"/>
      <c r="W624" s="309"/>
      <c r="X624" s="309"/>
      <c r="Y624" s="309"/>
      <c r="Z624" s="309"/>
    </row>
    <row r="625">
      <c r="A625" s="194"/>
      <c r="B625" s="309"/>
      <c r="C625" s="194"/>
      <c r="D625" s="309"/>
      <c r="E625" s="309"/>
      <c r="F625" s="309"/>
      <c r="G625" s="309"/>
      <c r="H625" s="309"/>
      <c r="I625" s="309"/>
      <c r="J625" s="309"/>
      <c r="K625" s="309"/>
      <c r="L625" s="309"/>
      <c r="M625" s="309"/>
      <c r="N625" s="309"/>
      <c r="O625" s="309"/>
      <c r="P625" s="309"/>
      <c r="Q625" s="309"/>
      <c r="R625" s="309"/>
      <c r="S625" s="309"/>
      <c r="T625" s="309"/>
      <c r="U625" s="309"/>
      <c r="V625" s="309"/>
      <c r="W625" s="309"/>
      <c r="X625" s="309"/>
      <c r="Y625" s="309"/>
      <c r="Z625" s="309"/>
    </row>
    <row r="626">
      <c r="A626" s="194"/>
      <c r="B626" s="309"/>
      <c r="C626" s="194"/>
      <c r="D626" s="309"/>
      <c r="E626" s="309"/>
      <c r="F626" s="309"/>
      <c r="G626" s="309"/>
      <c r="H626" s="309"/>
      <c r="I626" s="309"/>
      <c r="J626" s="309"/>
      <c r="K626" s="309"/>
      <c r="L626" s="309"/>
      <c r="M626" s="309"/>
      <c r="N626" s="309"/>
      <c r="O626" s="309"/>
      <c r="P626" s="309"/>
      <c r="Q626" s="309"/>
      <c r="R626" s="309"/>
      <c r="S626" s="309"/>
      <c r="T626" s="309"/>
      <c r="U626" s="309"/>
      <c r="V626" s="309"/>
      <c r="W626" s="309"/>
      <c r="X626" s="309"/>
      <c r="Y626" s="309"/>
      <c r="Z626" s="309"/>
    </row>
    <row r="627">
      <c r="A627" s="194"/>
      <c r="B627" s="309"/>
      <c r="C627" s="194"/>
      <c r="D627" s="309"/>
      <c r="E627" s="309"/>
      <c r="F627" s="309"/>
      <c r="G627" s="309"/>
      <c r="H627" s="309"/>
      <c r="I627" s="309"/>
      <c r="J627" s="309"/>
      <c r="K627" s="309"/>
      <c r="L627" s="309"/>
      <c r="M627" s="309"/>
      <c r="N627" s="309"/>
      <c r="O627" s="309"/>
      <c r="P627" s="309"/>
      <c r="Q627" s="309"/>
      <c r="R627" s="309"/>
      <c r="S627" s="309"/>
      <c r="T627" s="309"/>
      <c r="U627" s="309"/>
      <c r="V627" s="309"/>
      <c r="W627" s="309"/>
      <c r="X627" s="309"/>
      <c r="Y627" s="309"/>
      <c r="Z627" s="309"/>
    </row>
    <row r="628">
      <c r="A628" s="194"/>
      <c r="B628" s="309"/>
      <c r="C628" s="194"/>
      <c r="D628" s="309"/>
      <c r="E628" s="309"/>
      <c r="F628" s="309"/>
      <c r="G628" s="309"/>
      <c r="H628" s="309"/>
      <c r="I628" s="309"/>
      <c r="J628" s="309"/>
      <c r="K628" s="309"/>
      <c r="L628" s="309"/>
      <c r="M628" s="309"/>
      <c r="N628" s="309"/>
      <c r="O628" s="309"/>
      <c r="P628" s="309"/>
      <c r="Q628" s="309"/>
      <c r="R628" s="309"/>
      <c r="S628" s="309"/>
      <c r="T628" s="309"/>
      <c r="U628" s="309"/>
      <c r="V628" s="309"/>
      <c r="W628" s="309"/>
      <c r="X628" s="309"/>
      <c r="Y628" s="309"/>
      <c r="Z628" s="309"/>
    </row>
    <row r="629">
      <c r="A629" s="194"/>
      <c r="B629" s="309"/>
      <c r="C629" s="194"/>
      <c r="D629" s="309"/>
      <c r="E629" s="309"/>
      <c r="F629" s="309"/>
      <c r="G629" s="309"/>
      <c r="H629" s="309"/>
      <c r="I629" s="309"/>
      <c r="J629" s="309"/>
      <c r="K629" s="309"/>
      <c r="L629" s="309"/>
      <c r="M629" s="309"/>
      <c r="N629" s="309"/>
      <c r="O629" s="309"/>
      <c r="P629" s="309"/>
      <c r="Q629" s="309"/>
      <c r="R629" s="309"/>
      <c r="S629" s="309"/>
      <c r="T629" s="309"/>
      <c r="U629" s="309"/>
      <c r="V629" s="309"/>
      <c r="W629" s="309"/>
      <c r="X629" s="309"/>
      <c r="Y629" s="309"/>
      <c r="Z629" s="309"/>
    </row>
    <row r="630">
      <c r="A630" s="194"/>
      <c r="B630" s="309"/>
      <c r="C630" s="194"/>
      <c r="D630" s="309"/>
      <c r="E630" s="309"/>
      <c r="F630" s="309"/>
      <c r="G630" s="309"/>
      <c r="H630" s="309"/>
      <c r="I630" s="309"/>
      <c r="J630" s="309"/>
      <c r="K630" s="309"/>
      <c r="L630" s="309"/>
      <c r="M630" s="309"/>
      <c r="N630" s="309"/>
      <c r="O630" s="309"/>
      <c r="P630" s="309"/>
      <c r="Q630" s="309"/>
      <c r="R630" s="309"/>
      <c r="S630" s="309"/>
      <c r="T630" s="309"/>
      <c r="U630" s="309"/>
      <c r="V630" s="309"/>
      <c r="W630" s="309"/>
      <c r="X630" s="309"/>
      <c r="Y630" s="309"/>
      <c r="Z630" s="309"/>
    </row>
    <row r="631">
      <c r="A631" s="194"/>
      <c r="B631" s="309"/>
      <c r="C631" s="194"/>
      <c r="D631" s="309"/>
      <c r="E631" s="309"/>
      <c r="F631" s="309"/>
      <c r="G631" s="309"/>
      <c r="H631" s="309"/>
      <c r="I631" s="309"/>
      <c r="J631" s="309"/>
      <c r="K631" s="309"/>
      <c r="L631" s="309"/>
      <c r="M631" s="309"/>
      <c r="N631" s="309"/>
      <c r="O631" s="309"/>
      <c r="P631" s="309"/>
      <c r="Q631" s="309"/>
      <c r="R631" s="309"/>
      <c r="S631" s="309"/>
      <c r="T631" s="309"/>
      <c r="U631" s="309"/>
      <c r="V631" s="309"/>
      <c r="W631" s="309"/>
      <c r="X631" s="309"/>
      <c r="Y631" s="309"/>
      <c r="Z631" s="309"/>
    </row>
    <row r="632">
      <c r="A632" s="194"/>
      <c r="B632" s="309"/>
      <c r="C632" s="194"/>
      <c r="D632" s="309"/>
      <c r="E632" s="309"/>
      <c r="F632" s="309"/>
      <c r="G632" s="309"/>
      <c r="H632" s="309"/>
      <c r="I632" s="309"/>
      <c r="J632" s="309"/>
      <c r="K632" s="309"/>
      <c r="L632" s="309"/>
      <c r="M632" s="309"/>
      <c r="N632" s="309"/>
      <c r="O632" s="309"/>
      <c r="P632" s="309"/>
      <c r="Q632" s="309"/>
      <c r="R632" s="309"/>
      <c r="S632" s="309"/>
      <c r="T632" s="309"/>
      <c r="U632" s="309"/>
      <c r="V632" s="309"/>
      <c r="W632" s="309"/>
      <c r="X632" s="309"/>
      <c r="Y632" s="309"/>
      <c r="Z632" s="309"/>
    </row>
    <row r="633">
      <c r="A633" s="194"/>
      <c r="B633" s="309"/>
      <c r="C633" s="194"/>
      <c r="D633" s="309"/>
      <c r="E633" s="309"/>
      <c r="F633" s="309"/>
      <c r="G633" s="309"/>
      <c r="H633" s="309"/>
      <c r="I633" s="309"/>
      <c r="J633" s="309"/>
      <c r="K633" s="309"/>
      <c r="L633" s="309"/>
      <c r="M633" s="309"/>
      <c r="N633" s="309"/>
      <c r="O633" s="309"/>
      <c r="P633" s="309"/>
      <c r="Q633" s="309"/>
      <c r="R633" s="309"/>
      <c r="S633" s="309"/>
      <c r="T633" s="309"/>
      <c r="U633" s="309"/>
      <c r="V633" s="309"/>
      <c r="W633" s="309"/>
      <c r="X633" s="309"/>
      <c r="Y633" s="309"/>
      <c r="Z633" s="309"/>
    </row>
    <row r="634">
      <c r="A634" s="194"/>
      <c r="B634" s="309"/>
      <c r="C634" s="194"/>
      <c r="D634" s="309"/>
      <c r="E634" s="309"/>
      <c r="F634" s="309"/>
      <c r="G634" s="309"/>
      <c r="H634" s="309"/>
      <c r="I634" s="309"/>
      <c r="J634" s="309"/>
      <c r="K634" s="309"/>
      <c r="L634" s="309"/>
      <c r="M634" s="309"/>
      <c r="N634" s="309"/>
      <c r="O634" s="309"/>
      <c r="P634" s="309"/>
      <c r="Q634" s="309"/>
      <c r="R634" s="309"/>
      <c r="S634" s="309"/>
      <c r="T634" s="309"/>
      <c r="U634" s="309"/>
      <c r="V634" s="309"/>
      <c r="W634" s="309"/>
      <c r="X634" s="309"/>
      <c r="Y634" s="309"/>
      <c r="Z634" s="309"/>
    </row>
    <row r="635">
      <c r="A635" s="194"/>
      <c r="B635" s="309"/>
      <c r="C635" s="194"/>
      <c r="D635" s="309"/>
      <c r="E635" s="309"/>
      <c r="F635" s="309"/>
      <c r="G635" s="309"/>
      <c r="H635" s="309"/>
      <c r="I635" s="309"/>
      <c r="J635" s="309"/>
      <c r="K635" s="309"/>
      <c r="L635" s="309"/>
      <c r="M635" s="309"/>
      <c r="N635" s="309"/>
      <c r="O635" s="309"/>
      <c r="P635" s="309"/>
      <c r="Q635" s="309"/>
      <c r="R635" s="309"/>
      <c r="S635" s="309"/>
      <c r="T635" s="309"/>
      <c r="U635" s="309"/>
      <c r="V635" s="309"/>
      <c r="W635" s="309"/>
      <c r="X635" s="309"/>
      <c r="Y635" s="309"/>
      <c r="Z635" s="309"/>
    </row>
    <row r="636">
      <c r="A636" s="194"/>
      <c r="B636" s="309"/>
      <c r="C636" s="194"/>
      <c r="D636" s="309"/>
      <c r="E636" s="309"/>
      <c r="F636" s="309"/>
      <c r="G636" s="309"/>
      <c r="H636" s="309"/>
      <c r="I636" s="309"/>
      <c r="J636" s="309"/>
      <c r="K636" s="309"/>
      <c r="L636" s="309"/>
      <c r="M636" s="309"/>
      <c r="N636" s="309"/>
      <c r="O636" s="309"/>
      <c r="P636" s="309"/>
      <c r="Q636" s="309"/>
      <c r="R636" s="309"/>
      <c r="S636" s="309"/>
      <c r="T636" s="309"/>
      <c r="U636" s="309"/>
      <c r="V636" s="309"/>
      <c r="W636" s="309"/>
      <c r="X636" s="309"/>
      <c r="Y636" s="309"/>
      <c r="Z636" s="309"/>
    </row>
    <row r="637">
      <c r="A637" s="194"/>
      <c r="B637" s="309"/>
      <c r="C637" s="194"/>
      <c r="D637" s="309"/>
      <c r="E637" s="309"/>
      <c r="F637" s="309"/>
      <c r="G637" s="309"/>
      <c r="H637" s="309"/>
      <c r="I637" s="309"/>
      <c r="J637" s="309"/>
      <c r="K637" s="309"/>
      <c r="L637" s="309"/>
      <c r="M637" s="309"/>
      <c r="N637" s="309"/>
      <c r="O637" s="309"/>
      <c r="P637" s="309"/>
      <c r="Q637" s="309"/>
      <c r="R637" s="309"/>
      <c r="S637" s="309"/>
      <c r="T637" s="309"/>
      <c r="U637" s="309"/>
      <c r="V637" s="309"/>
      <c r="W637" s="309"/>
      <c r="X637" s="309"/>
      <c r="Y637" s="309"/>
      <c r="Z637" s="309"/>
    </row>
    <row r="638">
      <c r="A638" s="194"/>
      <c r="B638" s="309"/>
      <c r="C638" s="194"/>
      <c r="D638" s="309"/>
      <c r="E638" s="309"/>
      <c r="F638" s="309"/>
      <c r="G638" s="309"/>
      <c r="H638" s="309"/>
      <c r="I638" s="309"/>
      <c r="J638" s="309"/>
      <c r="K638" s="309"/>
      <c r="L638" s="309"/>
      <c r="M638" s="309"/>
      <c r="N638" s="309"/>
      <c r="O638" s="309"/>
      <c r="P638" s="309"/>
      <c r="Q638" s="309"/>
      <c r="R638" s="309"/>
      <c r="S638" s="309"/>
      <c r="T638" s="309"/>
      <c r="U638" s="309"/>
      <c r="V638" s="309"/>
      <c r="W638" s="309"/>
      <c r="X638" s="309"/>
      <c r="Y638" s="309"/>
      <c r="Z638" s="309"/>
    </row>
    <row r="639">
      <c r="A639" s="194"/>
      <c r="B639" s="309"/>
      <c r="C639" s="194"/>
      <c r="D639" s="309"/>
      <c r="E639" s="309"/>
      <c r="F639" s="309"/>
      <c r="G639" s="309"/>
      <c r="H639" s="309"/>
      <c r="I639" s="309"/>
      <c r="J639" s="309"/>
      <c r="K639" s="309"/>
      <c r="L639" s="309"/>
      <c r="M639" s="309"/>
      <c r="N639" s="309"/>
      <c r="O639" s="309"/>
      <c r="P639" s="309"/>
      <c r="Q639" s="309"/>
      <c r="R639" s="309"/>
      <c r="S639" s="309"/>
      <c r="T639" s="309"/>
      <c r="U639" s="309"/>
      <c r="V639" s="309"/>
      <c r="W639" s="309"/>
      <c r="X639" s="309"/>
      <c r="Y639" s="309"/>
      <c r="Z639" s="309"/>
    </row>
    <row r="640">
      <c r="A640" s="194"/>
      <c r="B640" s="309"/>
      <c r="C640" s="194"/>
      <c r="D640" s="309"/>
      <c r="E640" s="309"/>
      <c r="F640" s="309"/>
      <c r="G640" s="309"/>
      <c r="H640" s="309"/>
      <c r="I640" s="309"/>
      <c r="J640" s="309"/>
      <c r="K640" s="309"/>
      <c r="L640" s="309"/>
      <c r="M640" s="309"/>
      <c r="N640" s="309"/>
      <c r="O640" s="309"/>
      <c r="P640" s="309"/>
      <c r="Q640" s="309"/>
      <c r="R640" s="309"/>
      <c r="S640" s="309"/>
      <c r="T640" s="309"/>
      <c r="U640" s="309"/>
      <c r="V640" s="309"/>
      <c r="W640" s="309"/>
      <c r="X640" s="309"/>
      <c r="Y640" s="309"/>
      <c r="Z640" s="309"/>
    </row>
    <row r="641">
      <c r="A641" s="194"/>
      <c r="B641" s="309"/>
      <c r="C641" s="194"/>
      <c r="D641" s="309"/>
      <c r="E641" s="309"/>
      <c r="F641" s="309"/>
      <c r="G641" s="309"/>
      <c r="H641" s="309"/>
      <c r="I641" s="309"/>
      <c r="J641" s="309"/>
      <c r="K641" s="309"/>
      <c r="L641" s="309"/>
      <c r="M641" s="309"/>
      <c r="N641" s="309"/>
      <c r="O641" s="309"/>
      <c r="P641" s="309"/>
      <c r="Q641" s="309"/>
      <c r="R641" s="309"/>
      <c r="S641" s="309"/>
      <c r="T641" s="309"/>
      <c r="U641" s="309"/>
      <c r="V641" s="309"/>
      <c r="W641" s="309"/>
      <c r="X641" s="309"/>
      <c r="Y641" s="309"/>
      <c r="Z641" s="309"/>
    </row>
    <row r="642">
      <c r="A642" s="194"/>
      <c r="B642" s="309"/>
      <c r="C642" s="194"/>
      <c r="D642" s="309"/>
      <c r="E642" s="309"/>
      <c r="F642" s="309"/>
      <c r="G642" s="309"/>
      <c r="H642" s="309"/>
      <c r="I642" s="309"/>
      <c r="J642" s="309"/>
      <c r="K642" s="309"/>
      <c r="L642" s="309"/>
      <c r="M642" s="309"/>
      <c r="N642" s="309"/>
      <c r="O642" s="309"/>
      <c r="P642" s="309"/>
      <c r="Q642" s="309"/>
      <c r="R642" s="309"/>
      <c r="S642" s="309"/>
      <c r="T642" s="309"/>
      <c r="U642" s="309"/>
      <c r="V642" s="309"/>
      <c r="W642" s="309"/>
      <c r="X642" s="309"/>
      <c r="Y642" s="309"/>
      <c r="Z642" s="309"/>
    </row>
    <row r="643">
      <c r="A643" s="194"/>
      <c r="B643" s="309"/>
      <c r="C643" s="194"/>
      <c r="D643" s="309"/>
      <c r="E643" s="309"/>
      <c r="F643" s="309"/>
      <c r="G643" s="309"/>
      <c r="H643" s="309"/>
      <c r="I643" s="309"/>
      <c r="J643" s="309"/>
      <c r="K643" s="309"/>
      <c r="L643" s="309"/>
      <c r="M643" s="309"/>
      <c r="N643" s="309"/>
      <c r="O643" s="309"/>
      <c r="P643" s="309"/>
      <c r="Q643" s="309"/>
      <c r="R643" s="309"/>
      <c r="S643" s="309"/>
      <c r="T643" s="309"/>
      <c r="U643" s="309"/>
      <c r="V643" s="309"/>
      <c r="W643" s="309"/>
      <c r="X643" s="309"/>
      <c r="Y643" s="309"/>
      <c r="Z643" s="309"/>
    </row>
    <row r="644">
      <c r="A644" s="194"/>
      <c r="B644" s="309"/>
      <c r="C644" s="194"/>
      <c r="D644" s="309"/>
      <c r="E644" s="309"/>
      <c r="F644" s="309"/>
      <c r="G644" s="309"/>
      <c r="H644" s="309"/>
      <c r="I644" s="309"/>
      <c r="J644" s="309"/>
      <c r="K644" s="309"/>
      <c r="L644" s="309"/>
      <c r="M644" s="309"/>
      <c r="N644" s="309"/>
      <c r="O644" s="309"/>
      <c r="P644" s="309"/>
      <c r="Q644" s="309"/>
      <c r="R644" s="309"/>
      <c r="S644" s="309"/>
      <c r="T644" s="309"/>
      <c r="U644" s="309"/>
      <c r="V644" s="309"/>
      <c r="W644" s="309"/>
      <c r="X644" s="309"/>
      <c r="Y644" s="309"/>
      <c r="Z644" s="309"/>
    </row>
    <row r="645">
      <c r="A645" s="194"/>
      <c r="B645" s="309"/>
      <c r="C645" s="194"/>
      <c r="D645" s="309"/>
      <c r="E645" s="309"/>
      <c r="F645" s="309"/>
      <c r="G645" s="309"/>
      <c r="H645" s="309"/>
      <c r="I645" s="309"/>
      <c r="J645" s="309"/>
      <c r="K645" s="309"/>
      <c r="L645" s="309"/>
      <c r="M645" s="309"/>
      <c r="N645" s="309"/>
      <c r="O645" s="309"/>
      <c r="P645" s="309"/>
      <c r="Q645" s="309"/>
      <c r="R645" s="309"/>
      <c r="S645" s="309"/>
      <c r="T645" s="309"/>
      <c r="U645" s="309"/>
      <c r="V645" s="309"/>
      <c r="W645" s="309"/>
      <c r="X645" s="309"/>
      <c r="Y645" s="309"/>
      <c r="Z645" s="309"/>
    </row>
    <row r="646">
      <c r="A646" s="194"/>
      <c r="B646" s="309"/>
      <c r="C646" s="194"/>
      <c r="D646" s="309"/>
      <c r="E646" s="309"/>
      <c r="F646" s="309"/>
      <c r="G646" s="309"/>
      <c r="H646" s="309"/>
      <c r="I646" s="309"/>
      <c r="J646" s="309"/>
      <c r="K646" s="309"/>
      <c r="L646" s="309"/>
      <c r="M646" s="309"/>
      <c r="N646" s="309"/>
      <c r="O646" s="309"/>
      <c r="P646" s="309"/>
      <c r="Q646" s="309"/>
      <c r="R646" s="309"/>
      <c r="S646" s="309"/>
      <c r="T646" s="309"/>
      <c r="U646" s="309"/>
      <c r="V646" s="309"/>
      <c r="W646" s="309"/>
      <c r="X646" s="309"/>
      <c r="Y646" s="309"/>
      <c r="Z646" s="309"/>
    </row>
    <row r="647">
      <c r="A647" s="194"/>
      <c r="B647" s="309"/>
      <c r="C647" s="194"/>
      <c r="D647" s="309"/>
      <c r="E647" s="309"/>
      <c r="F647" s="309"/>
      <c r="G647" s="309"/>
      <c r="H647" s="309"/>
      <c r="I647" s="309"/>
      <c r="J647" s="309"/>
      <c r="K647" s="309"/>
      <c r="L647" s="309"/>
      <c r="M647" s="309"/>
      <c r="N647" s="309"/>
      <c r="O647" s="309"/>
      <c r="P647" s="309"/>
      <c r="Q647" s="309"/>
      <c r="R647" s="309"/>
      <c r="S647" s="309"/>
      <c r="T647" s="309"/>
      <c r="U647" s="309"/>
      <c r="V647" s="309"/>
      <c r="W647" s="309"/>
      <c r="X647" s="309"/>
      <c r="Y647" s="309"/>
      <c r="Z647" s="309"/>
    </row>
    <row r="648">
      <c r="A648" s="194"/>
      <c r="B648" s="309"/>
      <c r="C648" s="194"/>
      <c r="D648" s="309"/>
      <c r="E648" s="309"/>
      <c r="F648" s="309"/>
      <c r="G648" s="309"/>
      <c r="H648" s="309"/>
      <c r="I648" s="309"/>
      <c r="J648" s="309"/>
      <c r="K648" s="309"/>
      <c r="L648" s="309"/>
      <c r="M648" s="309"/>
      <c r="N648" s="309"/>
      <c r="O648" s="309"/>
      <c r="P648" s="309"/>
      <c r="Q648" s="309"/>
      <c r="R648" s="309"/>
      <c r="S648" s="309"/>
      <c r="T648" s="309"/>
      <c r="U648" s="309"/>
      <c r="V648" s="309"/>
      <c r="W648" s="309"/>
      <c r="X648" s="309"/>
      <c r="Y648" s="309"/>
      <c r="Z648" s="309"/>
    </row>
    <row r="649">
      <c r="A649" s="194"/>
      <c r="B649" s="309"/>
      <c r="C649" s="194"/>
      <c r="D649" s="309"/>
      <c r="E649" s="309"/>
      <c r="F649" s="309"/>
      <c r="G649" s="309"/>
      <c r="H649" s="309"/>
      <c r="I649" s="309"/>
      <c r="J649" s="309"/>
      <c r="K649" s="309"/>
      <c r="L649" s="309"/>
      <c r="M649" s="309"/>
      <c r="N649" s="309"/>
      <c r="O649" s="309"/>
      <c r="P649" s="309"/>
      <c r="Q649" s="309"/>
      <c r="R649" s="309"/>
      <c r="S649" s="309"/>
      <c r="T649" s="309"/>
      <c r="U649" s="309"/>
      <c r="V649" s="309"/>
      <c r="W649" s="309"/>
      <c r="X649" s="309"/>
      <c r="Y649" s="309"/>
      <c r="Z649" s="309"/>
    </row>
    <row r="650">
      <c r="A650" s="194"/>
      <c r="B650" s="309"/>
      <c r="C650" s="194"/>
      <c r="D650" s="309"/>
      <c r="E650" s="309"/>
      <c r="F650" s="309"/>
      <c r="G650" s="309"/>
      <c r="H650" s="309"/>
      <c r="I650" s="309"/>
      <c r="J650" s="309"/>
      <c r="K650" s="309"/>
      <c r="L650" s="309"/>
      <c r="M650" s="309"/>
      <c r="N650" s="309"/>
      <c r="O650" s="309"/>
      <c r="P650" s="309"/>
      <c r="Q650" s="309"/>
      <c r="R650" s="309"/>
      <c r="S650" s="309"/>
      <c r="T650" s="309"/>
      <c r="U650" s="309"/>
      <c r="V650" s="309"/>
      <c r="W650" s="309"/>
      <c r="X650" s="309"/>
      <c r="Y650" s="309"/>
      <c r="Z650" s="309"/>
    </row>
    <row r="651">
      <c r="A651" s="194"/>
      <c r="B651" s="309"/>
      <c r="C651" s="194"/>
      <c r="D651" s="309"/>
      <c r="E651" s="309"/>
      <c r="F651" s="309"/>
      <c r="G651" s="309"/>
      <c r="H651" s="309"/>
      <c r="I651" s="309"/>
      <c r="J651" s="309"/>
      <c r="K651" s="309"/>
      <c r="L651" s="309"/>
      <c r="M651" s="309"/>
      <c r="N651" s="309"/>
      <c r="O651" s="309"/>
      <c r="P651" s="309"/>
      <c r="Q651" s="309"/>
      <c r="R651" s="309"/>
      <c r="S651" s="309"/>
      <c r="T651" s="309"/>
      <c r="U651" s="309"/>
      <c r="V651" s="309"/>
      <c r="W651" s="309"/>
      <c r="X651" s="309"/>
      <c r="Y651" s="309"/>
      <c r="Z651" s="309"/>
    </row>
    <row r="652">
      <c r="A652" s="194"/>
      <c r="B652" s="309"/>
      <c r="C652" s="194"/>
      <c r="D652" s="309"/>
      <c r="E652" s="309"/>
      <c r="F652" s="309"/>
      <c r="G652" s="309"/>
      <c r="H652" s="309"/>
      <c r="I652" s="309"/>
      <c r="J652" s="309"/>
      <c r="K652" s="309"/>
      <c r="L652" s="309"/>
      <c r="M652" s="309"/>
      <c r="N652" s="309"/>
      <c r="O652" s="309"/>
      <c r="P652" s="309"/>
      <c r="Q652" s="309"/>
      <c r="R652" s="309"/>
      <c r="S652" s="309"/>
      <c r="T652" s="309"/>
      <c r="U652" s="309"/>
      <c r="V652" s="309"/>
      <c r="W652" s="309"/>
      <c r="X652" s="309"/>
      <c r="Y652" s="309"/>
      <c r="Z652" s="309"/>
    </row>
    <row r="653">
      <c r="A653" s="194"/>
      <c r="B653" s="309"/>
      <c r="C653" s="194"/>
      <c r="D653" s="309"/>
      <c r="E653" s="309"/>
      <c r="F653" s="309"/>
      <c r="G653" s="309"/>
      <c r="H653" s="309"/>
      <c r="I653" s="309"/>
      <c r="J653" s="309"/>
      <c r="K653" s="309"/>
      <c r="L653" s="309"/>
      <c r="M653" s="309"/>
      <c r="N653" s="309"/>
      <c r="O653" s="309"/>
      <c r="P653" s="309"/>
      <c r="Q653" s="309"/>
      <c r="R653" s="309"/>
      <c r="S653" s="309"/>
      <c r="T653" s="309"/>
      <c r="U653" s="309"/>
      <c r="V653" s="309"/>
      <c r="W653" s="309"/>
      <c r="X653" s="309"/>
      <c r="Y653" s="309"/>
      <c r="Z653" s="309"/>
    </row>
    <row r="654">
      <c r="A654" s="194"/>
      <c r="B654" s="309"/>
      <c r="C654" s="194"/>
      <c r="D654" s="309"/>
      <c r="E654" s="309"/>
      <c r="F654" s="309"/>
      <c r="G654" s="309"/>
      <c r="H654" s="309"/>
      <c r="I654" s="309"/>
      <c r="J654" s="309"/>
      <c r="K654" s="309"/>
      <c r="L654" s="309"/>
      <c r="M654" s="309"/>
      <c r="N654" s="309"/>
      <c r="O654" s="309"/>
      <c r="P654" s="309"/>
      <c r="Q654" s="309"/>
      <c r="R654" s="309"/>
      <c r="S654" s="309"/>
      <c r="T654" s="309"/>
      <c r="U654" s="309"/>
      <c r="V654" s="309"/>
      <c r="W654" s="309"/>
      <c r="X654" s="309"/>
      <c r="Y654" s="309"/>
      <c r="Z654" s="309"/>
    </row>
    <row r="655">
      <c r="A655" s="194"/>
      <c r="B655" s="309"/>
      <c r="C655" s="194"/>
      <c r="D655" s="309"/>
      <c r="E655" s="309"/>
      <c r="F655" s="309"/>
      <c r="G655" s="309"/>
      <c r="H655" s="309"/>
      <c r="I655" s="309"/>
      <c r="J655" s="309"/>
      <c r="K655" s="309"/>
      <c r="L655" s="309"/>
      <c r="M655" s="309"/>
      <c r="N655" s="309"/>
      <c r="O655" s="309"/>
      <c r="P655" s="309"/>
      <c r="Q655" s="309"/>
      <c r="R655" s="309"/>
      <c r="S655" s="309"/>
      <c r="T655" s="309"/>
      <c r="U655" s="309"/>
      <c r="V655" s="309"/>
      <c r="W655" s="309"/>
      <c r="X655" s="309"/>
      <c r="Y655" s="309"/>
      <c r="Z655" s="309"/>
    </row>
    <row r="656">
      <c r="A656" s="194"/>
      <c r="B656" s="309"/>
      <c r="C656" s="194"/>
      <c r="D656" s="309"/>
      <c r="E656" s="309"/>
      <c r="F656" s="309"/>
      <c r="G656" s="309"/>
      <c r="H656" s="309"/>
      <c r="I656" s="309"/>
      <c r="J656" s="309"/>
      <c r="K656" s="309"/>
      <c r="L656" s="309"/>
      <c r="M656" s="309"/>
      <c r="N656" s="309"/>
      <c r="O656" s="309"/>
      <c r="P656" s="309"/>
      <c r="Q656" s="309"/>
      <c r="R656" s="309"/>
      <c r="S656" s="309"/>
      <c r="T656" s="309"/>
      <c r="U656" s="309"/>
      <c r="V656" s="309"/>
      <c r="W656" s="309"/>
      <c r="X656" s="309"/>
      <c r="Y656" s="309"/>
      <c r="Z656" s="309"/>
    </row>
    <row r="657">
      <c r="A657" s="194"/>
      <c r="B657" s="309"/>
      <c r="C657" s="194"/>
      <c r="D657" s="309"/>
      <c r="E657" s="309"/>
      <c r="F657" s="309"/>
      <c r="G657" s="309"/>
      <c r="H657" s="309"/>
      <c r="I657" s="309"/>
      <c r="J657" s="309"/>
      <c r="K657" s="309"/>
      <c r="L657" s="309"/>
      <c r="M657" s="309"/>
      <c r="N657" s="309"/>
      <c r="O657" s="309"/>
      <c r="P657" s="309"/>
      <c r="Q657" s="309"/>
      <c r="R657" s="309"/>
      <c r="S657" s="309"/>
      <c r="T657" s="309"/>
      <c r="U657" s="309"/>
      <c r="V657" s="309"/>
      <c r="W657" s="309"/>
      <c r="X657" s="309"/>
      <c r="Y657" s="309"/>
      <c r="Z657" s="309"/>
    </row>
    <row r="658">
      <c r="A658" s="194"/>
      <c r="B658" s="309"/>
      <c r="C658" s="194"/>
      <c r="D658" s="309"/>
      <c r="E658" s="309"/>
      <c r="F658" s="309"/>
      <c r="G658" s="309"/>
      <c r="H658" s="309"/>
      <c r="I658" s="309"/>
      <c r="J658" s="309"/>
      <c r="K658" s="309"/>
      <c r="L658" s="309"/>
      <c r="M658" s="309"/>
      <c r="N658" s="309"/>
      <c r="O658" s="309"/>
      <c r="P658" s="309"/>
      <c r="Q658" s="309"/>
      <c r="R658" s="309"/>
      <c r="S658" s="309"/>
      <c r="T658" s="309"/>
      <c r="U658" s="309"/>
      <c r="V658" s="309"/>
      <c r="W658" s="309"/>
      <c r="X658" s="309"/>
      <c r="Y658" s="309"/>
      <c r="Z658" s="309"/>
    </row>
    <row r="659">
      <c r="A659" s="194"/>
      <c r="B659" s="309"/>
      <c r="C659" s="194"/>
      <c r="D659" s="309"/>
      <c r="E659" s="309"/>
      <c r="F659" s="309"/>
      <c r="G659" s="309"/>
      <c r="H659" s="309"/>
      <c r="I659" s="309"/>
      <c r="J659" s="309"/>
      <c r="K659" s="309"/>
      <c r="L659" s="309"/>
      <c r="M659" s="309"/>
      <c r="N659" s="309"/>
      <c r="O659" s="309"/>
      <c r="P659" s="309"/>
      <c r="Q659" s="309"/>
      <c r="R659" s="309"/>
      <c r="S659" s="309"/>
      <c r="T659" s="309"/>
      <c r="U659" s="309"/>
      <c r="V659" s="309"/>
      <c r="W659" s="309"/>
      <c r="X659" s="309"/>
      <c r="Y659" s="309"/>
      <c r="Z659" s="309"/>
    </row>
    <row r="660">
      <c r="A660" s="194"/>
      <c r="B660" s="309"/>
      <c r="C660" s="194"/>
      <c r="D660" s="309"/>
      <c r="E660" s="309"/>
      <c r="F660" s="309"/>
      <c r="G660" s="309"/>
      <c r="H660" s="309"/>
      <c r="I660" s="309"/>
      <c r="J660" s="309"/>
      <c r="K660" s="309"/>
      <c r="L660" s="309"/>
      <c r="M660" s="309"/>
      <c r="N660" s="309"/>
      <c r="O660" s="309"/>
      <c r="P660" s="309"/>
      <c r="Q660" s="309"/>
      <c r="R660" s="309"/>
      <c r="S660" s="309"/>
      <c r="T660" s="309"/>
      <c r="U660" s="309"/>
      <c r="V660" s="309"/>
      <c r="W660" s="309"/>
      <c r="X660" s="309"/>
      <c r="Y660" s="309"/>
      <c r="Z660" s="309"/>
    </row>
    <row r="661">
      <c r="A661" s="194"/>
      <c r="B661" s="309"/>
      <c r="C661" s="194"/>
      <c r="D661" s="309"/>
      <c r="E661" s="309"/>
      <c r="F661" s="309"/>
      <c r="G661" s="309"/>
      <c r="H661" s="309"/>
      <c r="I661" s="309"/>
      <c r="J661" s="309"/>
      <c r="K661" s="309"/>
      <c r="L661" s="309"/>
      <c r="M661" s="309"/>
      <c r="N661" s="309"/>
      <c r="O661" s="309"/>
      <c r="P661" s="309"/>
      <c r="Q661" s="309"/>
      <c r="R661" s="309"/>
      <c r="S661" s="309"/>
      <c r="T661" s="309"/>
      <c r="U661" s="309"/>
      <c r="V661" s="309"/>
      <c r="W661" s="309"/>
      <c r="X661" s="309"/>
      <c r="Y661" s="309"/>
      <c r="Z661" s="309"/>
    </row>
    <row r="662">
      <c r="A662" s="194"/>
      <c r="B662" s="309"/>
      <c r="C662" s="194"/>
      <c r="D662" s="309"/>
      <c r="E662" s="309"/>
      <c r="F662" s="309"/>
      <c r="G662" s="309"/>
      <c r="H662" s="309"/>
      <c r="I662" s="309"/>
      <c r="J662" s="309"/>
      <c r="K662" s="309"/>
      <c r="L662" s="309"/>
      <c r="M662" s="309"/>
      <c r="N662" s="309"/>
      <c r="O662" s="309"/>
      <c r="P662" s="309"/>
      <c r="Q662" s="309"/>
      <c r="R662" s="309"/>
      <c r="S662" s="309"/>
      <c r="T662" s="309"/>
      <c r="U662" s="309"/>
      <c r="V662" s="309"/>
      <c r="W662" s="309"/>
      <c r="X662" s="309"/>
      <c r="Y662" s="309"/>
      <c r="Z662" s="309"/>
    </row>
    <row r="663">
      <c r="A663" s="194"/>
      <c r="B663" s="309"/>
      <c r="C663" s="194"/>
      <c r="D663" s="309"/>
      <c r="E663" s="309"/>
      <c r="F663" s="309"/>
      <c r="G663" s="309"/>
      <c r="H663" s="309"/>
      <c r="I663" s="309"/>
      <c r="J663" s="309"/>
      <c r="K663" s="309"/>
      <c r="L663" s="309"/>
      <c r="M663" s="309"/>
      <c r="N663" s="309"/>
      <c r="O663" s="309"/>
      <c r="P663" s="309"/>
      <c r="Q663" s="309"/>
      <c r="R663" s="309"/>
      <c r="S663" s="309"/>
      <c r="T663" s="309"/>
      <c r="U663" s="309"/>
      <c r="V663" s="309"/>
      <c r="W663" s="309"/>
      <c r="X663" s="309"/>
      <c r="Y663" s="309"/>
      <c r="Z663" s="309"/>
    </row>
    <row r="664">
      <c r="A664" s="194"/>
      <c r="B664" s="309"/>
      <c r="C664" s="194"/>
      <c r="D664" s="309"/>
      <c r="E664" s="309"/>
      <c r="F664" s="309"/>
      <c r="G664" s="309"/>
      <c r="H664" s="309"/>
      <c r="I664" s="309"/>
      <c r="J664" s="309"/>
      <c r="K664" s="309"/>
      <c r="L664" s="309"/>
      <c r="M664" s="309"/>
      <c r="N664" s="309"/>
      <c r="O664" s="309"/>
      <c r="P664" s="309"/>
      <c r="Q664" s="309"/>
      <c r="R664" s="309"/>
      <c r="S664" s="309"/>
      <c r="T664" s="309"/>
      <c r="U664" s="309"/>
      <c r="V664" s="309"/>
      <c r="W664" s="309"/>
      <c r="X664" s="309"/>
      <c r="Y664" s="309"/>
      <c r="Z664" s="309"/>
    </row>
    <row r="665">
      <c r="A665" s="194"/>
      <c r="B665" s="309"/>
      <c r="C665" s="194"/>
      <c r="D665" s="309"/>
      <c r="E665" s="309"/>
      <c r="F665" s="309"/>
      <c r="G665" s="309"/>
      <c r="H665" s="309"/>
      <c r="I665" s="309"/>
      <c r="J665" s="309"/>
      <c r="K665" s="309"/>
      <c r="L665" s="309"/>
      <c r="M665" s="309"/>
      <c r="N665" s="309"/>
      <c r="O665" s="309"/>
      <c r="P665" s="309"/>
      <c r="Q665" s="309"/>
      <c r="R665" s="309"/>
      <c r="S665" s="309"/>
      <c r="T665" s="309"/>
      <c r="U665" s="309"/>
      <c r="V665" s="309"/>
      <c r="W665" s="309"/>
      <c r="X665" s="309"/>
      <c r="Y665" s="309"/>
      <c r="Z665" s="309"/>
    </row>
    <row r="666">
      <c r="A666" s="194"/>
      <c r="B666" s="309"/>
      <c r="C666" s="194"/>
      <c r="D666" s="309"/>
      <c r="E666" s="309"/>
      <c r="F666" s="309"/>
      <c r="G666" s="309"/>
      <c r="H666" s="309"/>
      <c r="I666" s="309"/>
      <c r="J666" s="309"/>
      <c r="K666" s="309"/>
      <c r="L666" s="309"/>
      <c r="M666" s="309"/>
      <c r="N666" s="309"/>
      <c r="O666" s="309"/>
      <c r="P666" s="309"/>
      <c r="Q666" s="309"/>
      <c r="R666" s="309"/>
      <c r="S666" s="309"/>
      <c r="T666" s="309"/>
      <c r="U666" s="309"/>
      <c r="V666" s="309"/>
      <c r="W666" s="309"/>
      <c r="X666" s="309"/>
      <c r="Y666" s="309"/>
      <c r="Z666" s="309"/>
    </row>
    <row r="667">
      <c r="A667" s="194"/>
      <c r="B667" s="309"/>
      <c r="C667" s="194"/>
      <c r="D667" s="309"/>
      <c r="E667" s="309"/>
      <c r="F667" s="309"/>
      <c r="G667" s="309"/>
      <c r="H667" s="309"/>
      <c r="I667" s="309"/>
      <c r="J667" s="309"/>
      <c r="K667" s="309"/>
      <c r="L667" s="309"/>
      <c r="M667" s="309"/>
      <c r="N667" s="309"/>
      <c r="O667" s="309"/>
      <c r="P667" s="309"/>
      <c r="Q667" s="309"/>
      <c r="R667" s="309"/>
      <c r="S667" s="309"/>
      <c r="T667" s="309"/>
      <c r="U667" s="309"/>
      <c r="V667" s="309"/>
      <c r="W667" s="309"/>
      <c r="X667" s="309"/>
      <c r="Y667" s="309"/>
      <c r="Z667" s="309"/>
    </row>
    <row r="668">
      <c r="A668" s="194"/>
      <c r="B668" s="309"/>
      <c r="C668" s="194"/>
      <c r="D668" s="309"/>
      <c r="E668" s="309"/>
      <c r="F668" s="309"/>
      <c r="G668" s="309"/>
      <c r="H668" s="309"/>
      <c r="I668" s="309"/>
      <c r="J668" s="309"/>
      <c r="K668" s="309"/>
      <c r="L668" s="309"/>
      <c r="M668" s="309"/>
      <c r="N668" s="309"/>
      <c r="O668" s="309"/>
      <c r="P668" s="309"/>
      <c r="Q668" s="309"/>
      <c r="R668" s="309"/>
      <c r="S668" s="309"/>
      <c r="T668" s="309"/>
      <c r="U668" s="309"/>
      <c r="V668" s="309"/>
      <c r="W668" s="309"/>
      <c r="X668" s="309"/>
      <c r="Y668" s="309"/>
      <c r="Z668" s="309"/>
    </row>
    <row r="669">
      <c r="A669" s="194"/>
      <c r="B669" s="309"/>
      <c r="C669" s="194"/>
      <c r="D669" s="309"/>
      <c r="E669" s="309"/>
      <c r="F669" s="309"/>
      <c r="G669" s="309"/>
      <c r="H669" s="309"/>
      <c r="I669" s="309"/>
      <c r="J669" s="309"/>
      <c r="K669" s="309"/>
      <c r="L669" s="309"/>
      <c r="M669" s="309"/>
      <c r="N669" s="309"/>
      <c r="O669" s="309"/>
      <c r="P669" s="309"/>
      <c r="Q669" s="309"/>
      <c r="R669" s="309"/>
      <c r="S669" s="309"/>
      <c r="T669" s="309"/>
      <c r="U669" s="309"/>
      <c r="V669" s="309"/>
      <c r="W669" s="309"/>
      <c r="X669" s="309"/>
      <c r="Y669" s="309"/>
      <c r="Z669" s="309"/>
    </row>
    <row r="670">
      <c r="A670" s="194"/>
      <c r="B670" s="309"/>
      <c r="C670" s="194"/>
      <c r="D670" s="309"/>
      <c r="E670" s="309"/>
      <c r="F670" s="309"/>
      <c r="G670" s="309"/>
      <c r="H670" s="309"/>
      <c r="I670" s="309"/>
      <c r="J670" s="309"/>
      <c r="K670" s="309"/>
      <c r="L670" s="309"/>
      <c r="M670" s="309"/>
      <c r="N670" s="309"/>
      <c r="O670" s="309"/>
      <c r="P670" s="309"/>
      <c r="Q670" s="309"/>
      <c r="R670" s="309"/>
      <c r="S670" s="309"/>
      <c r="T670" s="309"/>
      <c r="U670" s="309"/>
      <c r="V670" s="309"/>
      <c r="W670" s="309"/>
      <c r="X670" s="309"/>
      <c r="Y670" s="309"/>
      <c r="Z670" s="309"/>
    </row>
    <row r="671">
      <c r="A671" s="194"/>
      <c r="B671" s="309"/>
      <c r="C671" s="194"/>
      <c r="D671" s="309"/>
      <c r="E671" s="309"/>
      <c r="F671" s="309"/>
      <c r="G671" s="309"/>
      <c r="H671" s="309"/>
      <c r="I671" s="309"/>
      <c r="J671" s="309"/>
      <c r="K671" s="309"/>
      <c r="L671" s="309"/>
      <c r="M671" s="309"/>
      <c r="N671" s="309"/>
      <c r="O671" s="309"/>
      <c r="P671" s="309"/>
      <c r="Q671" s="309"/>
      <c r="R671" s="309"/>
      <c r="S671" s="309"/>
      <c r="T671" s="309"/>
      <c r="U671" s="309"/>
      <c r="V671" s="309"/>
      <c r="W671" s="309"/>
      <c r="X671" s="309"/>
      <c r="Y671" s="309"/>
      <c r="Z671" s="309"/>
    </row>
    <row r="672">
      <c r="A672" s="194"/>
      <c r="B672" s="309"/>
      <c r="C672" s="194"/>
      <c r="D672" s="309"/>
      <c r="E672" s="309"/>
      <c r="F672" s="309"/>
      <c r="G672" s="309"/>
      <c r="H672" s="309"/>
      <c r="I672" s="309"/>
      <c r="J672" s="309"/>
      <c r="K672" s="309"/>
      <c r="L672" s="309"/>
      <c r="M672" s="309"/>
      <c r="N672" s="309"/>
      <c r="O672" s="309"/>
      <c r="P672" s="309"/>
      <c r="Q672" s="309"/>
      <c r="R672" s="309"/>
      <c r="S672" s="309"/>
      <c r="T672" s="309"/>
      <c r="U672" s="309"/>
      <c r="V672" s="309"/>
      <c r="W672" s="309"/>
      <c r="X672" s="309"/>
      <c r="Y672" s="309"/>
      <c r="Z672" s="309"/>
    </row>
    <row r="673">
      <c r="A673" s="194"/>
      <c r="B673" s="309"/>
      <c r="C673" s="194"/>
      <c r="D673" s="309"/>
      <c r="E673" s="309"/>
      <c r="F673" s="309"/>
      <c r="G673" s="309"/>
      <c r="H673" s="309"/>
      <c r="I673" s="309"/>
      <c r="J673" s="309"/>
      <c r="K673" s="309"/>
      <c r="L673" s="309"/>
      <c r="M673" s="309"/>
      <c r="N673" s="309"/>
      <c r="O673" s="309"/>
      <c r="P673" s="309"/>
      <c r="Q673" s="309"/>
      <c r="R673" s="309"/>
      <c r="S673" s="309"/>
      <c r="T673" s="309"/>
      <c r="U673" s="309"/>
      <c r="V673" s="309"/>
      <c r="W673" s="309"/>
      <c r="X673" s="309"/>
      <c r="Y673" s="309"/>
      <c r="Z673" s="309"/>
    </row>
    <row r="674">
      <c r="A674" s="194"/>
      <c r="B674" s="309"/>
      <c r="C674" s="194"/>
      <c r="D674" s="309"/>
      <c r="E674" s="309"/>
      <c r="F674" s="309"/>
      <c r="G674" s="309"/>
      <c r="H674" s="309"/>
      <c r="I674" s="309"/>
      <c r="J674" s="309"/>
      <c r="K674" s="309"/>
      <c r="L674" s="309"/>
      <c r="M674" s="309"/>
      <c r="N674" s="309"/>
      <c r="O674" s="309"/>
      <c r="P674" s="309"/>
      <c r="Q674" s="309"/>
      <c r="R674" s="309"/>
      <c r="S674" s="309"/>
      <c r="T674" s="309"/>
      <c r="U674" s="309"/>
      <c r="V674" s="309"/>
      <c r="W674" s="309"/>
      <c r="X674" s="309"/>
      <c r="Y674" s="309"/>
      <c r="Z674" s="309"/>
    </row>
    <row r="675">
      <c r="A675" s="194"/>
      <c r="B675" s="309"/>
      <c r="C675" s="194"/>
      <c r="D675" s="309"/>
      <c r="E675" s="309"/>
      <c r="F675" s="309"/>
      <c r="G675" s="309"/>
      <c r="H675" s="309"/>
      <c r="I675" s="309"/>
      <c r="J675" s="309"/>
      <c r="K675" s="309"/>
      <c r="L675" s="309"/>
      <c r="M675" s="309"/>
      <c r="N675" s="309"/>
      <c r="O675" s="309"/>
      <c r="P675" s="309"/>
      <c r="Q675" s="309"/>
      <c r="R675" s="309"/>
      <c r="S675" s="309"/>
      <c r="T675" s="309"/>
      <c r="U675" s="309"/>
      <c r="V675" s="309"/>
      <c r="W675" s="309"/>
      <c r="X675" s="309"/>
      <c r="Y675" s="309"/>
      <c r="Z675" s="309"/>
    </row>
    <row r="676">
      <c r="A676" s="194"/>
      <c r="B676" s="309"/>
      <c r="C676" s="194"/>
      <c r="D676" s="309"/>
      <c r="E676" s="309"/>
      <c r="F676" s="309"/>
      <c r="G676" s="309"/>
      <c r="H676" s="309"/>
      <c r="I676" s="309"/>
      <c r="J676" s="309"/>
      <c r="K676" s="309"/>
      <c r="L676" s="309"/>
      <c r="M676" s="309"/>
      <c r="N676" s="309"/>
      <c r="O676" s="309"/>
      <c r="P676" s="309"/>
      <c r="Q676" s="309"/>
      <c r="R676" s="309"/>
      <c r="S676" s="309"/>
      <c r="T676" s="309"/>
      <c r="U676" s="309"/>
      <c r="V676" s="309"/>
      <c r="W676" s="309"/>
      <c r="X676" s="309"/>
      <c r="Y676" s="309"/>
      <c r="Z676" s="309"/>
    </row>
    <row r="677">
      <c r="A677" s="194"/>
      <c r="B677" s="309"/>
      <c r="C677" s="194"/>
      <c r="D677" s="309"/>
      <c r="E677" s="309"/>
      <c r="F677" s="309"/>
      <c r="G677" s="309"/>
      <c r="H677" s="309"/>
      <c r="I677" s="309"/>
      <c r="J677" s="309"/>
      <c r="K677" s="309"/>
      <c r="L677" s="309"/>
      <c r="M677" s="309"/>
      <c r="N677" s="309"/>
      <c r="O677" s="309"/>
      <c r="P677" s="309"/>
      <c r="Q677" s="309"/>
      <c r="R677" s="309"/>
      <c r="S677" s="309"/>
      <c r="T677" s="309"/>
      <c r="U677" s="309"/>
      <c r="V677" s="309"/>
      <c r="W677" s="309"/>
      <c r="X677" s="309"/>
      <c r="Y677" s="309"/>
      <c r="Z677" s="309"/>
    </row>
    <row r="678">
      <c r="A678" s="194"/>
      <c r="B678" s="309"/>
      <c r="C678" s="194"/>
      <c r="D678" s="309"/>
      <c r="E678" s="309"/>
      <c r="F678" s="309"/>
      <c r="G678" s="309"/>
      <c r="H678" s="309"/>
      <c r="I678" s="309"/>
      <c r="J678" s="309"/>
      <c r="K678" s="309"/>
      <c r="L678" s="309"/>
      <c r="M678" s="309"/>
      <c r="N678" s="309"/>
      <c r="O678" s="309"/>
      <c r="P678" s="309"/>
      <c r="Q678" s="309"/>
      <c r="R678" s="309"/>
      <c r="S678" s="309"/>
      <c r="T678" s="309"/>
      <c r="U678" s="309"/>
      <c r="V678" s="309"/>
      <c r="W678" s="309"/>
      <c r="X678" s="309"/>
      <c r="Y678" s="309"/>
      <c r="Z678" s="309"/>
    </row>
    <row r="679">
      <c r="A679" s="194"/>
      <c r="B679" s="309"/>
      <c r="C679" s="194"/>
      <c r="D679" s="309"/>
      <c r="E679" s="309"/>
      <c r="F679" s="309"/>
      <c r="G679" s="309"/>
      <c r="H679" s="309"/>
      <c r="I679" s="309"/>
      <c r="J679" s="309"/>
      <c r="K679" s="309"/>
      <c r="L679" s="309"/>
      <c r="M679" s="309"/>
      <c r="N679" s="309"/>
      <c r="O679" s="309"/>
      <c r="P679" s="309"/>
      <c r="Q679" s="309"/>
      <c r="R679" s="309"/>
      <c r="S679" s="309"/>
      <c r="T679" s="309"/>
      <c r="U679" s="309"/>
      <c r="V679" s="309"/>
      <c r="W679" s="309"/>
      <c r="X679" s="309"/>
      <c r="Y679" s="309"/>
      <c r="Z679" s="309"/>
    </row>
    <row r="680">
      <c r="A680" s="194"/>
      <c r="B680" s="309"/>
      <c r="C680" s="194"/>
      <c r="D680" s="309"/>
      <c r="E680" s="309"/>
      <c r="F680" s="309"/>
      <c r="G680" s="309"/>
      <c r="H680" s="309"/>
      <c r="I680" s="309"/>
      <c r="J680" s="309"/>
      <c r="K680" s="309"/>
      <c r="L680" s="309"/>
      <c r="M680" s="309"/>
      <c r="N680" s="309"/>
      <c r="O680" s="309"/>
      <c r="P680" s="309"/>
      <c r="Q680" s="309"/>
      <c r="R680" s="309"/>
      <c r="S680" s="309"/>
      <c r="T680" s="309"/>
      <c r="U680" s="309"/>
      <c r="V680" s="309"/>
      <c r="W680" s="309"/>
      <c r="X680" s="309"/>
      <c r="Y680" s="309"/>
      <c r="Z680" s="309"/>
    </row>
    <row r="681">
      <c r="A681" s="194"/>
      <c r="B681" s="309"/>
      <c r="C681" s="194"/>
      <c r="D681" s="309"/>
      <c r="E681" s="309"/>
      <c r="F681" s="309"/>
      <c r="G681" s="309"/>
      <c r="H681" s="309"/>
      <c r="I681" s="309"/>
      <c r="J681" s="309"/>
      <c r="K681" s="309"/>
      <c r="L681" s="309"/>
      <c r="M681" s="309"/>
      <c r="N681" s="309"/>
      <c r="O681" s="309"/>
      <c r="P681" s="309"/>
      <c r="Q681" s="309"/>
      <c r="R681" s="309"/>
      <c r="S681" s="309"/>
      <c r="T681" s="309"/>
      <c r="U681" s="309"/>
      <c r="V681" s="309"/>
      <c r="W681" s="309"/>
      <c r="X681" s="309"/>
      <c r="Y681" s="309"/>
      <c r="Z681" s="309"/>
    </row>
    <row r="682">
      <c r="A682" s="194"/>
      <c r="B682" s="309"/>
      <c r="C682" s="194"/>
      <c r="D682" s="309"/>
      <c r="E682" s="309"/>
      <c r="F682" s="309"/>
      <c r="G682" s="309"/>
      <c r="H682" s="309"/>
      <c r="I682" s="309"/>
      <c r="J682" s="309"/>
      <c r="K682" s="309"/>
      <c r="L682" s="309"/>
      <c r="M682" s="309"/>
      <c r="N682" s="309"/>
      <c r="O682" s="309"/>
      <c r="P682" s="309"/>
      <c r="Q682" s="309"/>
      <c r="R682" s="309"/>
      <c r="S682" s="309"/>
      <c r="T682" s="309"/>
      <c r="U682" s="309"/>
      <c r="V682" s="309"/>
      <c r="W682" s="309"/>
      <c r="X682" s="309"/>
      <c r="Y682" s="309"/>
      <c r="Z682" s="309"/>
    </row>
    <row r="683">
      <c r="A683" s="194"/>
      <c r="B683" s="309"/>
      <c r="C683" s="194"/>
      <c r="D683" s="309"/>
      <c r="E683" s="309"/>
      <c r="F683" s="309"/>
      <c r="G683" s="309"/>
      <c r="H683" s="309"/>
      <c r="I683" s="309"/>
      <c r="J683" s="309"/>
      <c r="K683" s="309"/>
      <c r="L683" s="309"/>
      <c r="M683" s="309"/>
      <c r="N683" s="309"/>
      <c r="O683" s="309"/>
      <c r="P683" s="309"/>
      <c r="Q683" s="309"/>
      <c r="R683" s="309"/>
      <c r="S683" s="309"/>
      <c r="T683" s="309"/>
      <c r="U683" s="309"/>
      <c r="V683" s="309"/>
      <c r="W683" s="309"/>
      <c r="X683" s="309"/>
      <c r="Y683" s="309"/>
      <c r="Z683" s="309"/>
    </row>
    <row r="684">
      <c r="A684" s="194"/>
      <c r="B684" s="309"/>
      <c r="C684" s="194"/>
      <c r="D684" s="309"/>
      <c r="E684" s="309"/>
      <c r="F684" s="309"/>
      <c r="G684" s="309"/>
      <c r="H684" s="309"/>
      <c r="I684" s="309"/>
      <c r="J684" s="309"/>
      <c r="K684" s="309"/>
      <c r="L684" s="309"/>
      <c r="M684" s="309"/>
      <c r="N684" s="309"/>
      <c r="O684" s="309"/>
      <c r="P684" s="309"/>
      <c r="Q684" s="309"/>
      <c r="R684" s="309"/>
      <c r="S684" s="309"/>
      <c r="T684" s="309"/>
      <c r="U684" s="309"/>
      <c r="V684" s="309"/>
      <c r="W684" s="309"/>
      <c r="X684" s="309"/>
      <c r="Y684" s="309"/>
      <c r="Z684" s="309"/>
    </row>
    <row r="685">
      <c r="A685" s="194"/>
      <c r="B685" s="309"/>
      <c r="C685" s="194"/>
      <c r="D685" s="309"/>
      <c r="E685" s="309"/>
      <c r="F685" s="309"/>
      <c r="G685" s="309"/>
      <c r="H685" s="309"/>
      <c r="I685" s="309"/>
      <c r="J685" s="309"/>
      <c r="K685" s="309"/>
      <c r="L685" s="309"/>
      <c r="M685" s="309"/>
      <c r="N685" s="309"/>
      <c r="O685" s="309"/>
      <c r="P685" s="309"/>
      <c r="Q685" s="309"/>
      <c r="R685" s="309"/>
      <c r="S685" s="309"/>
      <c r="T685" s="309"/>
      <c r="U685" s="309"/>
      <c r="V685" s="309"/>
      <c r="W685" s="309"/>
      <c r="X685" s="309"/>
      <c r="Y685" s="309"/>
      <c r="Z685" s="309"/>
    </row>
    <row r="686">
      <c r="A686" s="194"/>
      <c r="B686" s="309"/>
      <c r="C686" s="194"/>
      <c r="D686" s="309"/>
      <c r="E686" s="309"/>
      <c r="F686" s="309"/>
      <c r="G686" s="309"/>
      <c r="H686" s="309"/>
      <c r="I686" s="309"/>
      <c r="J686" s="309"/>
      <c r="K686" s="309"/>
      <c r="L686" s="309"/>
      <c r="M686" s="309"/>
      <c r="N686" s="309"/>
      <c r="O686" s="309"/>
      <c r="P686" s="309"/>
      <c r="Q686" s="309"/>
      <c r="R686" s="309"/>
      <c r="S686" s="309"/>
      <c r="T686" s="309"/>
      <c r="U686" s="309"/>
      <c r="V686" s="309"/>
      <c r="W686" s="309"/>
      <c r="X686" s="309"/>
      <c r="Y686" s="309"/>
      <c r="Z686" s="309"/>
    </row>
    <row r="687">
      <c r="A687" s="194"/>
      <c r="B687" s="309"/>
      <c r="C687" s="194"/>
      <c r="D687" s="309"/>
      <c r="E687" s="309"/>
      <c r="F687" s="309"/>
      <c r="G687" s="309"/>
      <c r="H687" s="309"/>
      <c r="I687" s="309"/>
      <c r="J687" s="309"/>
      <c r="K687" s="309"/>
      <c r="L687" s="309"/>
      <c r="M687" s="309"/>
      <c r="N687" s="309"/>
      <c r="O687" s="309"/>
      <c r="P687" s="309"/>
      <c r="Q687" s="309"/>
      <c r="R687" s="309"/>
      <c r="S687" s="309"/>
      <c r="T687" s="309"/>
      <c r="U687" s="309"/>
      <c r="V687" s="309"/>
      <c r="W687" s="309"/>
      <c r="X687" s="309"/>
      <c r="Y687" s="309"/>
      <c r="Z687" s="309"/>
    </row>
    <row r="688">
      <c r="A688" s="194"/>
      <c r="B688" s="309"/>
      <c r="C688" s="194"/>
      <c r="D688" s="309"/>
      <c r="E688" s="309"/>
      <c r="F688" s="309"/>
      <c r="G688" s="309"/>
      <c r="H688" s="309"/>
      <c r="I688" s="309"/>
      <c r="J688" s="309"/>
      <c r="K688" s="309"/>
      <c r="L688" s="309"/>
      <c r="M688" s="309"/>
      <c r="N688" s="309"/>
      <c r="O688" s="309"/>
      <c r="P688" s="309"/>
      <c r="Q688" s="309"/>
      <c r="R688" s="309"/>
      <c r="S688" s="309"/>
      <c r="T688" s="309"/>
      <c r="U688" s="309"/>
      <c r="V688" s="309"/>
      <c r="W688" s="309"/>
      <c r="X688" s="309"/>
      <c r="Y688" s="309"/>
      <c r="Z688" s="309"/>
    </row>
    <row r="689">
      <c r="A689" s="194"/>
      <c r="B689" s="309"/>
      <c r="C689" s="194"/>
      <c r="D689" s="309"/>
      <c r="E689" s="309"/>
      <c r="F689" s="309"/>
      <c r="G689" s="309"/>
      <c r="H689" s="309"/>
      <c r="I689" s="309"/>
      <c r="J689" s="309"/>
      <c r="K689" s="309"/>
      <c r="L689" s="309"/>
      <c r="M689" s="309"/>
      <c r="N689" s="309"/>
      <c r="O689" s="309"/>
      <c r="P689" s="309"/>
      <c r="Q689" s="309"/>
      <c r="R689" s="309"/>
      <c r="S689" s="309"/>
      <c r="T689" s="309"/>
      <c r="U689" s="309"/>
      <c r="V689" s="309"/>
      <c r="W689" s="309"/>
      <c r="X689" s="309"/>
      <c r="Y689" s="309"/>
      <c r="Z689" s="309"/>
    </row>
    <row r="690">
      <c r="A690" s="194"/>
      <c r="B690" s="309"/>
      <c r="C690" s="194"/>
      <c r="D690" s="309"/>
      <c r="E690" s="309"/>
      <c r="F690" s="309"/>
      <c r="G690" s="309"/>
      <c r="H690" s="309"/>
      <c r="I690" s="309"/>
      <c r="J690" s="309"/>
      <c r="K690" s="309"/>
      <c r="L690" s="309"/>
      <c r="M690" s="309"/>
      <c r="N690" s="309"/>
      <c r="O690" s="309"/>
      <c r="P690" s="309"/>
      <c r="Q690" s="309"/>
      <c r="R690" s="309"/>
      <c r="S690" s="309"/>
      <c r="T690" s="309"/>
      <c r="U690" s="309"/>
      <c r="V690" s="309"/>
      <c r="W690" s="309"/>
      <c r="X690" s="309"/>
      <c r="Y690" s="309"/>
      <c r="Z690" s="309"/>
    </row>
    <row r="691">
      <c r="A691" s="194"/>
      <c r="B691" s="309"/>
      <c r="C691" s="194"/>
      <c r="D691" s="309"/>
      <c r="E691" s="309"/>
      <c r="F691" s="309"/>
      <c r="G691" s="309"/>
      <c r="H691" s="309"/>
      <c r="I691" s="309"/>
      <c r="J691" s="309"/>
      <c r="K691" s="309"/>
      <c r="L691" s="309"/>
      <c r="M691" s="309"/>
      <c r="N691" s="309"/>
      <c r="O691" s="309"/>
      <c r="P691" s="309"/>
      <c r="Q691" s="309"/>
      <c r="R691" s="309"/>
      <c r="S691" s="309"/>
      <c r="T691" s="309"/>
      <c r="U691" s="309"/>
      <c r="V691" s="309"/>
      <c r="W691" s="309"/>
      <c r="X691" s="309"/>
      <c r="Y691" s="309"/>
      <c r="Z691" s="309"/>
    </row>
    <row r="692">
      <c r="A692" s="194"/>
      <c r="B692" s="309"/>
      <c r="C692" s="194"/>
      <c r="D692" s="309"/>
      <c r="E692" s="309"/>
      <c r="F692" s="309"/>
      <c r="G692" s="309"/>
      <c r="H692" s="309"/>
      <c r="I692" s="309"/>
      <c r="J692" s="309"/>
      <c r="K692" s="309"/>
      <c r="L692" s="309"/>
      <c r="M692" s="309"/>
      <c r="N692" s="309"/>
      <c r="O692" s="309"/>
      <c r="P692" s="309"/>
      <c r="Q692" s="309"/>
      <c r="R692" s="309"/>
      <c r="S692" s="309"/>
      <c r="T692" s="309"/>
      <c r="U692" s="309"/>
      <c r="V692" s="309"/>
      <c r="W692" s="309"/>
      <c r="X692" s="309"/>
      <c r="Y692" s="309"/>
      <c r="Z692" s="309"/>
    </row>
    <row r="693">
      <c r="A693" s="194"/>
      <c r="B693" s="309"/>
      <c r="C693" s="194"/>
      <c r="D693" s="309"/>
      <c r="E693" s="309"/>
      <c r="F693" s="309"/>
      <c r="G693" s="309"/>
      <c r="H693" s="309"/>
      <c r="I693" s="309"/>
      <c r="J693" s="309"/>
      <c r="K693" s="309"/>
      <c r="L693" s="309"/>
      <c r="M693" s="309"/>
      <c r="N693" s="309"/>
      <c r="O693" s="309"/>
      <c r="P693" s="309"/>
      <c r="Q693" s="309"/>
      <c r="R693" s="309"/>
      <c r="S693" s="309"/>
      <c r="T693" s="309"/>
      <c r="U693" s="309"/>
      <c r="V693" s="309"/>
      <c r="W693" s="309"/>
      <c r="X693" s="309"/>
      <c r="Y693" s="309"/>
      <c r="Z693" s="309"/>
    </row>
    <row r="694">
      <c r="A694" s="194"/>
      <c r="B694" s="309"/>
      <c r="C694" s="194"/>
      <c r="D694" s="309"/>
      <c r="E694" s="309"/>
      <c r="F694" s="309"/>
      <c r="G694" s="309"/>
      <c r="H694" s="309"/>
      <c r="I694" s="309"/>
      <c r="J694" s="309"/>
      <c r="K694" s="309"/>
      <c r="L694" s="309"/>
      <c r="M694" s="309"/>
      <c r="N694" s="309"/>
      <c r="O694" s="309"/>
      <c r="P694" s="309"/>
      <c r="Q694" s="309"/>
      <c r="R694" s="309"/>
      <c r="S694" s="309"/>
      <c r="T694" s="309"/>
      <c r="U694" s="309"/>
      <c r="V694" s="309"/>
      <c r="W694" s="309"/>
      <c r="X694" s="309"/>
      <c r="Y694" s="309"/>
      <c r="Z694" s="309"/>
    </row>
    <row r="695">
      <c r="A695" s="194"/>
      <c r="B695" s="309"/>
      <c r="C695" s="194"/>
      <c r="D695" s="309"/>
      <c r="E695" s="309"/>
      <c r="F695" s="309"/>
      <c r="G695" s="309"/>
      <c r="H695" s="309"/>
      <c r="I695" s="309"/>
      <c r="J695" s="309"/>
      <c r="K695" s="309"/>
      <c r="L695" s="309"/>
      <c r="M695" s="309"/>
      <c r="N695" s="309"/>
      <c r="O695" s="309"/>
      <c r="P695" s="309"/>
      <c r="Q695" s="309"/>
      <c r="R695" s="309"/>
      <c r="S695" s="309"/>
      <c r="T695" s="309"/>
      <c r="U695" s="309"/>
      <c r="V695" s="309"/>
      <c r="W695" s="309"/>
      <c r="X695" s="309"/>
      <c r="Y695" s="309"/>
      <c r="Z695" s="309"/>
    </row>
    <row r="696">
      <c r="A696" s="194"/>
      <c r="B696" s="309"/>
      <c r="C696" s="194"/>
      <c r="D696" s="309"/>
      <c r="E696" s="309"/>
      <c r="F696" s="309"/>
      <c r="G696" s="309"/>
      <c r="H696" s="309"/>
      <c r="I696" s="309"/>
      <c r="J696" s="309"/>
      <c r="K696" s="309"/>
      <c r="L696" s="309"/>
      <c r="M696" s="309"/>
      <c r="N696" s="309"/>
      <c r="O696" s="309"/>
      <c r="P696" s="309"/>
      <c r="Q696" s="309"/>
      <c r="R696" s="309"/>
      <c r="S696" s="309"/>
      <c r="T696" s="309"/>
      <c r="U696" s="309"/>
      <c r="V696" s="309"/>
      <c r="W696" s="309"/>
      <c r="X696" s="309"/>
      <c r="Y696" s="309"/>
      <c r="Z696" s="309"/>
    </row>
    <row r="697">
      <c r="A697" s="194"/>
      <c r="B697" s="309"/>
      <c r="C697" s="194"/>
      <c r="D697" s="309"/>
      <c r="E697" s="309"/>
      <c r="F697" s="309"/>
      <c r="G697" s="309"/>
      <c r="H697" s="309"/>
      <c r="I697" s="309"/>
      <c r="J697" s="309"/>
      <c r="K697" s="309"/>
      <c r="L697" s="309"/>
      <c r="M697" s="309"/>
      <c r="N697" s="309"/>
      <c r="O697" s="309"/>
      <c r="P697" s="309"/>
      <c r="Q697" s="309"/>
      <c r="R697" s="309"/>
      <c r="S697" s="309"/>
      <c r="T697" s="309"/>
      <c r="U697" s="309"/>
      <c r="V697" s="309"/>
      <c r="W697" s="309"/>
      <c r="X697" s="309"/>
      <c r="Y697" s="309"/>
      <c r="Z697" s="309"/>
    </row>
    <row r="698">
      <c r="A698" s="194"/>
      <c r="B698" s="309"/>
      <c r="C698" s="194"/>
      <c r="D698" s="309"/>
      <c r="E698" s="309"/>
      <c r="F698" s="309"/>
      <c r="G698" s="309"/>
      <c r="H698" s="309"/>
      <c r="I698" s="309"/>
      <c r="J698" s="309"/>
      <c r="K698" s="309"/>
      <c r="L698" s="309"/>
      <c r="M698" s="309"/>
      <c r="N698" s="309"/>
      <c r="O698" s="309"/>
      <c r="P698" s="309"/>
      <c r="Q698" s="309"/>
      <c r="R698" s="309"/>
      <c r="S698" s="309"/>
      <c r="T698" s="309"/>
      <c r="U698" s="309"/>
      <c r="V698" s="309"/>
      <c r="W698" s="309"/>
      <c r="X698" s="309"/>
      <c r="Y698" s="309"/>
      <c r="Z698" s="309"/>
    </row>
    <row r="699">
      <c r="A699" s="194"/>
      <c r="B699" s="309"/>
      <c r="C699" s="194"/>
      <c r="D699" s="309"/>
      <c r="E699" s="309"/>
      <c r="F699" s="309"/>
      <c r="G699" s="309"/>
      <c r="H699" s="309"/>
      <c r="I699" s="309"/>
      <c r="J699" s="309"/>
      <c r="K699" s="309"/>
      <c r="L699" s="309"/>
      <c r="M699" s="309"/>
      <c r="N699" s="309"/>
      <c r="O699" s="309"/>
      <c r="P699" s="309"/>
      <c r="Q699" s="309"/>
      <c r="R699" s="309"/>
      <c r="S699" s="309"/>
      <c r="T699" s="309"/>
      <c r="U699" s="309"/>
      <c r="V699" s="309"/>
      <c r="W699" s="309"/>
      <c r="X699" s="309"/>
      <c r="Y699" s="309"/>
      <c r="Z699" s="309"/>
    </row>
    <row r="700">
      <c r="A700" s="194"/>
      <c r="B700" s="309"/>
      <c r="C700" s="194"/>
      <c r="D700" s="309"/>
      <c r="E700" s="309"/>
      <c r="F700" s="309"/>
      <c r="G700" s="309"/>
      <c r="H700" s="309"/>
      <c r="I700" s="309"/>
      <c r="J700" s="309"/>
      <c r="K700" s="309"/>
      <c r="L700" s="309"/>
      <c r="M700" s="309"/>
      <c r="N700" s="309"/>
      <c r="O700" s="309"/>
      <c r="P700" s="309"/>
      <c r="Q700" s="309"/>
      <c r="R700" s="309"/>
      <c r="S700" s="309"/>
      <c r="T700" s="309"/>
      <c r="U700" s="309"/>
      <c r="V700" s="309"/>
      <c r="W700" s="309"/>
      <c r="X700" s="309"/>
      <c r="Y700" s="309"/>
      <c r="Z700" s="309"/>
    </row>
    <row r="701">
      <c r="A701" s="194"/>
      <c r="B701" s="309"/>
      <c r="C701" s="194"/>
      <c r="D701" s="309"/>
      <c r="E701" s="309"/>
      <c r="F701" s="309"/>
      <c r="G701" s="309"/>
      <c r="H701" s="309"/>
      <c r="I701" s="309"/>
      <c r="J701" s="309"/>
      <c r="K701" s="309"/>
      <c r="L701" s="309"/>
      <c r="M701" s="309"/>
      <c r="N701" s="309"/>
      <c r="O701" s="309"/>
      <c r="P701" s="309"/>
      <c r="Q701" s="309"/>
      <c r="R701" s="309"/>
      <c r="S701" s="309"/>
      <c r="T701" s="309"/>
      <c r="U701" s="309"/>
      <c r="V701" s="309"/>
      <c r="W701" s="309"/>
      <c r="X701" s="309"/>
      <c r="Y701" s="309"/>
      <c r="Z701" s="309"/>
    </row>
    <row r="702">
      <c r="A702" s="194"/>
      <c r="B702" s="309"/>
      <c r="C702" s="194"/>
      <c r="D702" s="309"/>
      <c r="E702" s="309"/>
      <c r="F702" s="309"/>
      <c r="G702" s="309"/>
      <c r="H702" s="309"/>
      <c r="I702" s="309"/>
      <c r="J702" s="309"/>
      <c r="K702" s="309"/>
      <c r="L702" s="309"/>
      <c r="M702" s="309"/>
      <c r="N702" s="309"/>
      <c r="O702" s="309"/>
      <c r="P702" s="309"/>
      <c r="Q702" s="309"/>
      <c r="R702" s="309"/>
      <c r="S702" s="309"/>
      <c r="T702" s="309"/>
      <c r="U702" s="309"/>
      <c r="V702" s="309"/>
      <c r="W702" s="309"/>
      <c r="X702" s="309"/>
      <c r="Y702" s="309"/>
      <c r="Z702" s="309"/>
    </row>
    <row r="703">
      <c r="A703" s="194"/>
      <c r="B703" s="309"/>
      <c r="C703" s="194"/>
      <c r="D703" s="309"/>
      <c r="E703" s="309"/>
      <c r="F703" s="309"/>
      <c r="G703" s="309"/>
      <c r="H703" s="309"/>
      <c r="I703" s="309"/>
      <c r="J703" s="309"/>
      <c r="K703" s="309"/>
      <c r="L703" s="309"/>
      <c r="M703" s="309"/>
      <c r="N703" s="309"/>
      <c r="O703" s="309"/>
      <c r="P703" s="309"/>
      <c r="Q703" s="309"/>
      <c r="R703" s="309"/>
      <c r="S703" s="309"/>
      <c r="T703" s="309"/>
      <c r="U703" s="309"/>
      <c r="V703" s="309"/>
      <c r="W703" s="309"/>
      <c r="X703" s="309"/>
      <c r="Y703" s="309"/>
      <c r="Z703" s="309"/>
    </row>
    <row r="704">
      <c r="A704" s="194"/>
      <c r="B704" s="309"/>
      <c r="C704" s="194"/>
      <c r="D704" s="309"/>
      <c r="E704" s="309"/>
      <c r="F704" s="309"/>
      <c r="G704" s="309"/>
      <c r="H704" s="309"/>
      <c r="I704" s="309"/>
      <c r="J704" s="309"/>
      <c r="K704" s="309"/>
      <c r="L704" s="309"/>
      <c r="M704" s="309"/>
      <c r="N704" s="309"/>
      <c r="O704" s="309"/>
      <c r="P704" s="309"/>
      <c r="Q704" s="309"/>
      <c r="R704" s="309"/>
      <c r="S704" s="309"/>
      <c r="T704" s="309"/>
      <c r="U704" s="309"/>
      <c r="V704" s="309"/>
      <c r="W704" s="309"/>
      <c r="X704" s="309"/>
      <c r="Y704" s="309"/>
      <c r="Z704" s="309"/>
    </row>
    <row r="705">
      <c r="A705" s="194"/>
      <c r="B705" s="309"/>
      <c r="C705" s="194"/>
      <c r="D705" s="309"/>
      <c r="E705" s="309"/>
      <c r="F705" s="309"/>
      <c r="G705" s="309"/>
      <c r="H705" s="309"/>
      <c r="I705" s="309"/>
      <c r="J705" s="309"/>
      <c r="K705" s="309"/>
      <c r="L705" s="309"/>
      <c r="M705" s="309"/>
      <c r="N705" s="309"/>
      <c r="O705" s="309"/>
      <c r="P705" s="309"/>
      <c r="Q705" s="309"/>
      <c r="R705" s="309"/>
      <c r="S705" s="309"/>
      <c r="T705" s="309"/>
      <c r="U705" s="309"/>
      <c r="V705" s="309"/>
      <c r="W705" s="309"/>
      <c r="X705" s="309"/>
      <c r="Y705" s="309"/>
      <c r="Z705" s="309"/>
    </row>
    <row r="706">
      <c r="A706" s="194"/>
      <c r="B706" s="309"/>
      <c r="C706" s="194"/>
      <c r="D706" s="309"/>
      <c r="E706" s="309"/>
      <c r="F706" s="309"/>
      <c r="G706" s="309"/>
      <c r="H706" s="309"/>
      <c r="I706" s="309"/>
      <c r="J706" s="309"/>
      <c r="K706" s="309"/>
      <c r="L706" s="309"/>
      <c r="M706" s="309"/>
      <c r="N706" s="309"/>
      <c r="O706" s="309"/>
      <c r="P706" s="309"/>
      <c r="Q706" s="309"/>
      <c r="R706" s="309"/>
      <c r="S706" s="309"/>
      <c r="T706" s="309"/>
      <c r="U706" s="309"/>
      <c r="V706" s="309"/>
      <c r="W706" s="309"/>
      <c r="X706" s="309"/>
      <c r="Y706" s="309"/>
      <c r="Z706" s="309"/>
    </row>
    <row r="707">
      <c r="A707" s="194"/>
      <c r="B707" s="309"/>
      <c r="C707" s="194"/>
      <c r="D707" s="309"/>
      <c r="E707" s="309"/>
      <c r="F707" s="309"/>
      <c r="G707" s="309"/>
      <c r="H707" s="309"/>
      <c r="I707" s="309"/>
      <c r="J707" s="309"/>
      <c r="K707" s="309"/>
      <c r="L707" s="309"/>
      <c r="M707" s="309"/>
      <c r="N707" s="309"/>
      <c r="O707" s="309"/>
      <c r="P707" s="309"/>
      <c r="Q707" s="309"/>
      <c r="R707" s="309"/>
      <c r="S707" s="309"/>
      <c r="T707" s="309"/>
      <c r="U707" s="309"/>
      <c r="V707" s="309"/>
      <c r="W707" s="309"/>
      <c r="X707" s="309"/>
      <c r="Y707" s="309"/>
      <c r="Z707" s="309"/>
    </row>
    <row r="708">
      <c r="A708" s="194"/>
      <c r="B708" s="309"/>
      <c r="C708" s="194"/>
      <c r="D708" s="309"/>
      <c r="E708" s="309"/>
      <c r="F708" s="309"/>
      <c r="G708" s="309"/>
      <c r="H708" s="309"/>
      <c r="I708" s="309"/>
      <c r="J708" s="309"/>
      <c r="K708" s="309"/>
      <c r="L708" s="309"/>
      <c r="M708" s="309"/>
      <c r="N708" s="309"/>
      <c r="O708" s="309"/>
      <c r="P708" s="309"/>
      <c r="Q708" s="309"/>
      <c r="R708" s="309"/>
      <c r="S708" s="309"/>
      <c r="T708" s="309"/>
      <c r="U708" s="309"/>
      <c r="V708" s="309"/>
      <c r="W708" s="309"/>
      <c r="X708" s="309"/>
      <c r="Y708" s="309"/>
      <c r="Z708" s="309"/>
    </row>
    <row r="709">
      <c r="A709" s="194"/>
      <c r="B709" s="309"/>
      <c r="C709" s="194"/>
      <c r="D709" s="309"/>
      <c r="E709" s="309"/>
      <c r="F709" s="309"/>
      <c r="G709" s="309"/>
      <c r="H709" s="309"/>
      <c r="I709" s="309"/>
      <c r="J709" s="309"/>
      <c r="K709" s="309"/>
      <c r="L709" s="309"/>
      <c r="M709" s="309"/>
      <c r="N709" s="309"/>
      <c r="O709" s="309"/>
      <c r="P709" s="309"/>
      <c r="Q709" s="309"/>
      <c r="R709" s="309"/>
      <c r="S709" s="309"/>
      <c r="T709" s="309"/>
      <c r="U709" s="309"/>
      <c r="V709" s="309"/>
      <c r="W709" s="309"/>
      <c r="X709" s="309"/>
      <c r="Y709" s="309"/>
      <c r="Z709" s="309"/>
    </row>
    <row r="710">
      <c r="A710" s="194"/>
      <c r="B710" s="309"/>
      <c r="C710" s="194"/>
      <c r="D710" s="309"/>
      <c r="E710" s="309"/>
      <c r="F710" s="309"/>
      <c r="G710" s="309"/>
      <c r="H710" s="309"/>
      <c r="I710" s="309"/>
      <c r="J710" s="309"/>
      <c r="K710" s="309"/>
      <c r="L710" s="309"/>
      <c r="M710" s="309"/>
      <c r="N710" s="309"/>
      <c r="O710" s="309"/>
      <c r="P710" s="309"/>
      <c r="Q710" s="309"/>
      <c r="R710" s="309"/>
      <c r="S710" s="309"/>
      <c r="T710" s="309"/>
      <c r="U710" s="309"/>
      <c r="V710" s="309"/>
      <c r="W710" s="309"/>
      <c r="X710" s="309"/>
      <c r="Y710" s="309"/>
      <c r="Z710" s="309"/>
    </row>
    <row r="711">
      <c r="A711" s="194"/>
      <c r="B711" s="309"/>
      <c r="C711" s="194"/>
      <c r="D711" s="309"/>
      <c r="E711" s="309"/>
      <c r="F711" s="309"/>
      <c r="G711" s="309"/>
      <c r="H711" s="309"/>
      <c r="I711" s="309"/>
      <c r="J711" s="309"/>
      <c r="K711" s="309"/>
      <c r="L711" s="309"/>
      <c r="M711" s="309"/>
      <c r="N711" s="309"/>
      <c r="O711" s="309"/>
      <c r="P711" s="309"/>
      <c r="Q711" s="309"/>
      <c r="R711" s="309"/>
      <c r="S711" s="309"/>
      <c r="T711" s="309"/>
      <c r="U711" s="309"/>
      <c r="V711" s="309"/>
      <c r="W711" s="309"/>
      <c r="X711" s="309"/>
      <c r="Y711" s="309"/>
      <c r="Z711" s="309"/>
    </row>
    <row r="712">
      <c r="A712" s="194"/>
      <c r="B712" s="309"/>
      <c r="C712" s="194"/>
      <c r="D712" s="309"/>
      <c r="E712" s="309"/>
      <c r="F712" s="309"/>
      <c r="G712" s="309"/>
      <c r="H712" s="309"/>
      <c r="I712" s="309"/>
      <c r="J712" s="309"/>
      <c r="K712" s="309"/>
      <c r="L712" s="309"/>
      <c r="M712" s="309"/>
      <c r="N712" s="309"/>
      <c r="O712" s="309"/>
      <c r="P712" s="309"/>
      <c r="Q712" s="309"/>
      <c r="R712" s="309"/>
      <c r="S712" s="309"/>
      <c r="T712" s="309"/>
      <c r="U712" s="309"/>
      <c r="V712" s="309"/>
      <c r="W712" s="309"/>
      <c r="X712" s="309"/>
      <c r="Y712" s="309"/>
      <c r="Z712" s="309"/>
    </row>
    <row r="713">
      <c r="A713" s="194"/>
      <c r="B713" s="309"/>
      <c r="C713" s="194"/>
      <c r="D713" s="309"/>
      <c r="E713" s="309"/>
      <c r="F713" s="309"/>
      <c r="G713" s="309"/>
      <c r="H713" s="309"/>
      <c r="I713" s="309"/>
      <c r="J713" s="309"/>
      <c r="K713" s="309"/>
      <c r="L713" s="309"/>
      <c r="M713" s="309"/>
      <c r="N713" s="309"/>
      <c r="O713" s="309"/>
      <c r="P713" s="309"/>
      <c r="Q713" s="309"/>
      <c r="R713" s="309"/>
      <c r="S713" s="309"/>
      <c r="T713" s="309"/>
      <c r="U713" s="309"/>
      <c r="V713" s="309"/>
      <c r="W713" s="309"/>
      <c r="X713" s="309"/>
      <c r="Y713" s="309"/>
      <c r="Z713" s="309"/>
    </row>
    <row r="714">
      <c r="A714" s="194"/>
      <c r="B714" s="309"/>
      <c r="C714" s="194"/>
      <c r="D714" s="309"/>
      <c r="E714" s="309"/>
      <c r="F714" s="309"/>
      <c r="G714" s="309"/>
      <c r="H714" s="309"/>
      <c r="I714" s="309"/>
      <c r="J714" s="309"/>
      <c r="K714" s="309"/>
      <c r="L714" s="309"/>
      <c r="M714" s="309"/>
      <c r="N714" s="309"/>
      <c r="O714" s="309"/>
      <c r="P714" s="309"/>
      <c r="Q714" s="309"/>
      <c r="R714" s="309"/>
      <c r="S714" s="309"/>
      <c r="T714" s="309"/>
      <c r="U714" s="309"/>
      <c r="V714" s="309"/>
      <c r="W714" s="309"/>
      <c r="X714" s="309"/>
      <c r="Y714" s="309"/>
      <c r="Z714" s="309"/>
    </row>
    <row r="715">
      <c r="A715" s="194"/>
      <c r="B715" s="309"/>
      <c r="C715" s="194"/>
      <c r="D715" s="309"/>
      <c r="E715" s="309"/>
      <c r="F715" s="309"/>
      <c r="G715" s="309"/>
      <c r="H715" s="309"/>
      <c r="I715" s="309"/>
      <c r="J715" s="309"/>
      <c r="K715" s="309"/>
      <c r="L715" s="309"/>
      <c r="M715" s="309"/>
      <c r="N715" s="309"/>
      <c r="O715" s="309"/>
      <c r="P715" s="309"/>
      <c r="Q715" s="309"/>
      <c r="R715" s="309"/>
      <c r="S715" s="309"/>
      <c r="T715" s="309"/>
      <c r="U715" s="309"/>
      <c r="V715" s="309"/>
      <c r="W715" s="309"/>
      <c r="X715" s="309"/>
      <c r="Y715" s="309"/>
      <c r="Z715" s="309"/>
    </row>
    <row r="716">
      <c r="A716" s="194"/>
      <c r="B716" s="309"/>
      <c r="C716" s="194"/>
      <c r="D716" s="309"/>
      <c r="E716" s="309"/>
      <c r="F716" s="309"/>
      <c r="G716" s="309"/>
      <c r="H716" s="309"/>
      <c r="I716" s="309"/>
      <c r="J716" s="309"/>
      <c r="K716" s="309"/>
      <c r="L716" s="309"/>
      <c r="M716" s="309"/>
      <c r="N716" s="309"/>
      <c r="O716" s="309"/>
      <c r="P716" s="309"/>
      <c r="Q716" s="309"/>
      <c r="R716" s="309"/>
      <c r="S716" s="309"/>
      <c r="T716" s="309"/>
      <c r="U716" s="309"/>
      <c r="V716" s="309"/>
      <c r="W716" s="309"/>
      <c r="X716" s="309"/>
      <c r="Y716" s="309"/>
      <c r="Z716" s="309"/>
    </row>
    <row r="717">
      <c r="A717" s="194"/>
      <c r="B717" s="309"/>
      <c r="C717" s="194"/>
      <c r="D717" s="309"/>
      <c r="E717" s="309"/>
      <c r="F717" s="309"/>
      <c r="G717" s="309"/>
      <c r="H717" s="309"/>
      <c r="I717" s="309"/>
      <c r="J717" s="309"/>
      <c r="K717" s="309"/>
      <c r="L717" s="309"/>
      <c r="M717" s="309"/>
      <c r="N717" s="309"/>
      <c r="O717" s="309"/>
      <c r="P717" s="309"/>
      <c r="Q717" s="309"/>
      <c r="R717" s="309"/>
      <c r="S717" s="309"/>
      <c r="T717" s="309"/>
      <c r="U717" s="309"/>
      <c r="V717" s="309"/>
      <c r="W717" s="309"/>
      <c r="X717" s="309"/>
      <c r="Y717" s="309"/>
      <c r="Z717" s="309"/>
    </row>
    <row r="718">
      <c r="A718" s="194"/>
      <c r="B718" s="309"/>
      <c r="C718" s="194"/>
      <c r="D718" s="309"/>
      <c r="E718" s="309"/>
      <c r="F718" s="309"/>
      <c r="G718" s="309"/>
      <c r="H718" s="309"/>
      <c r="I718" s="309"/>
      <c r="J718" s="309"/>
      <c r="K718" s="309"/>
      <c r="L718" s="309"/>
      <c r="M718" s="309"/>
      <c r="N718" s="309"/>
      <c r="O718" s="309"/>
      <c r="P718" s="309"/>
      <c r="Q718" s="309"/>
      <c r="R718" s="309"/>
      <c r="S718" s="309"/>
      <c r="T718" s="309"/>
      <c r="U718" s="309"/>
      <c r="V718" s="309"/>
      <c r="W718" s="309"/>
      <c r="X718" s="309"/>
      <c r="Y718" s="309"/>
      <c r="Z718" s="309"/>
    </row>
    <row r="719">
      <c r="A719" s="194"/>
      <c r="B719" s="309"/>
      <c r="C719" s="194"/>
      <c r="D719" s="309"/>
      <c r="E719" s="309"/>
      <c r="F719" s="309"/>
      <c r="G719" s="309"/>
      <c r="H719" s="309"/>
      <c r="I719" s="309"/>
      <c r="J719" s="309"/>
      <c r="K719" s="309"/>
      <c r="L719" s="309"/>
      <c r="M719" s="309"/>
      <c r="N719" s="309"/>
      <c r="O719" s="309"/>
      <c r="P719" s="309"/>
      <c r="Q719" s="309"/>
      <c r="R719" s="309"/>
      <c r="S719" s="309"/>
      <c r="T719" s="309"/>
      <c r="U719" s="309"/>
      <c r="V719" s="309"/>
      <c r="W719" s="309"/>
      <c r="X719" s="309"/>
      <c r="Y719" s="309"/>
      <c r="Z719" s="309"/>
    </row>
    <row r="720">
      <c r="A720" s="194"/>
      <c r="B720" s="309"/>
      <c r="C720" s="194"/>
      <c r="D720" s="309"/>
      <c r="E720" s="309"/>
      <c r="F720" s="309"/>
      <c r="G720" s="309"/>
      <c r="H720" s="309"/>
      <c r="I720" s="309"/>
      <c r="J720" s="309"/>
      <c r="K720" s="309"/>
      <c r="L720" s="309"/>
      <c r="M720" s="309"/>
      <c r="N720" s="309"/>
      <c r="O720" s="309"/>
      <c r="P720" s="309"/>
      <c r="Q720" s="309"/>
      <c r="R720" s="309"/>
      <c r="S720" s="309"/>
      <c r="T720" s="309"/>
      <c r="U720" s="309"/>
      <c r="V720" s="309"/>
      <c r="W720" s="309"/>
      <c r="X720" s="309"/>
      <c r="Y720" s="309"/>
      <c r="Z720" s="309"/>
    </row>
    <row r="721">
      <c r="A721" s="194"/>
      <c r="B721" s="309"/>
      <c r="C721" s="194"/>
      <c r="D721" s="309"/>
      <c r="E721" s="309"/>
      <c r="F721" s="309"/>
      <c r="G721" s="309"/>
      <c r="H721" s="309"/>
      <c r="I721" s="309"/>
      <c r="J721" s="309"/>
      <c r="K721" s="309"/>
      <c r="L721" s="309"/>
      <c r="M721" s="309"/>
      <c r="N721" s="309"/>
      <c r="O721" s="309"/>
      <c r="P721" s="309"/>
      <c r="Q721" s="309"/>
      <c r="R721" s="309"/>
      <c r="S721" s="309"/>
      <c r="T721" s="309"/>
      <c r="U721" s="309"/>
      <c r="V721" s="309"/>
      <c r="W721" s="309"/>
      <c r="X721" s="309"/>
      <c r="Y721" s="309"/>
      <c r="Z721" s="309"/>
    </row>
    <row r="722">
      <c r="A722" s="194"/>
      <c r="B722" s="309"/>
      <c r="C722" s="194"/>
      <c r="D722" s="309"/>
      <c r="E722" s="309"/>
      <c r="F722" s="309"/>
      <c r="G722" s="309"/>
      <c r="H722" s="309"/>
      <c r="I722" s="309"/>
      <c r="J722" s="309"/>
      <c r="K722" s="309"/>
      <c r="L722" s="309"/>
      <c r="M722" s="309"/>
      <c r="N722" s="309"/>
      <c r="O722" s="309"/>
      <c r="P722" s="309"/>
      <c r="Q722" s="309"/>
      <c r="R722" s="309"/>
      <c r="S722" s="309"/>
      <c r="T722" s="309"/>
      <c r="U722" s="309"/>
      <c r="V722" s="309"/>
      <c r="W722" s="309"/>
      <c r="X722" s="309"/>
      <c r="Y722" s="309"/>
      <c r="Z722" s="309"/>
    </row>
    <row r="723">
      <c r="A723" s="194"/>
      <c r="B723" s="309"/>
      <c r="C723" s="194"/>
      <c r="D723" s="309"/>
      <c r="E723" s="309"/>
      <c r="F723" s="309"/>
      <c r="G723" s="309"/>
      <c r="H723" s="309"/>
      <c r="I723" s="309"/>
      <c r="J723" s="309"/>
      <c r="K723" s="309"/>
      <c r="L723" s="309"/>
      <c r="M723" s="309"/>
      <c r="N723" s="309"/>
      <c r="O723" s="309"/>
      <c r="P723" s="309"/>
      <c r="Q723" s="309"/>
      <c r="R723" s="309"/>
      <c r="S723" s="309"/>
      <c r="T723" s="309"/>
      <c r="U723" s="309"/>
      <c r="V723" s="309"/>
      <c r="W723" s="309"/>
      <c r="X723" s="309"/>
      <c r="Y723" s="309"/>
      <c r="Z723" s="309"/>
    </row>
    <row r="724">
      <c r="A724" s="194"/>
      <c r="B724" s="309"/>
      <c r="C724" s="194"/>
      <c r="D724" s="309"/>
      <c r="E724" s="309"/>
      <c r="F724" s="309"/>
      <c r="G724" s="309"/>
      <c r="H724" s="309"/>
      <c r="I724" s="309"/>
      <c r="J724" s="309"/>
      <c r="K724" s="309"/>
      <c r="L724" s="309"/>
      <c r="M724" s="309"/>
      <c r="N724" s="309"/>
      <c r="O724" s="309"/>
      <c r="P724" s="309"/>
      <c r="Q724" s="309"/>
      <c r="R724" s="309"/>
      <c r="S724" s="309"/>
      <c r="T724" s="309"/>
      <c r="U724" s="309"/>
      <c r="V724" s="309"/>
      <c r="W724" s="309"/>
      <c r="X724" s="309"/>
      <c r="Y724" s="309"/>
      <c r="Z724" s="309"/>
    </row>
    <row r="725">
      <c r="A725" s="194"/>
      <c r="B725" s="309"/>
      <c r="C725" s="194"/>
      <c r="D725" s="309"/>
      <c r="E725" s="309"/>
      <c r="F725" s="309"/>
      <c r="G725" s="309"/>
      <c r="H725" s="309"/>
      <c r="I725" s="309"/>
      <c r="J725" s="309"/>
      <c r="K725" s="309"/>
      <c r="L725" s="309"/>
      <c r="M725" s="309"/>
      <c r="N725" s="309"/>
      <c r="O725" s="309"/>
      <c r="P725" s="309"/>
      <c r="Q725" s="309"/>
      <c r="R725" s="309"/>
      <c r="S725" s="309"/>
      <c r="T725" s="309"/>
      <c r="U725" s="309"/>
      <c r="V725" s="309"/>
      <c r="W725" s="309"/>
      <c r="X725" s="309"/>
      <c r="Y725" s="309"/>
      <c r="Z725" s="309"/>
    </row>
    <row r="726">
      <c r="A726" s="194"/>
      <c r="B726" s="309"/>
      <c r="C726" s="194"/>
      <c r="D726" s="309"/>
      <c r="E726" s="309"/>
      <c r="F726" s="309"/>
      <c r="G726" s="309"/>
      <c r="H726" s="309"/>
      <c r="I726" s="309"/>
      <c r="J726" s="309"/>
      <c r="K726" s="309"/>
      <c r="L726" s="309"/>
      <c r="M726" s="309"/>
      <c r="N726" s="309"/>
      <c r="O726" s="309"/>
      <c r="P726" s="309"/>
      <c r="Q726" s="309"/>
      <c r="R726" s="309"/>
      <c r="S726" s="309"/>
      <c r="T726" s="309"/>
      <c r="U726" s="309"/>
      <c r="V726" s="309"/>
      <c r="W726" s="309"/>
      <c r="X726" s="309"/>
      <c r="Y726" s="309"/>
      <c r="Z726" s="309"/>
    </row>
    <row r="727">
      <c r="A727" s="194"/>
      <c r="B727" s="309"/>
      <c r="C727" s="194"/>
      <c r="D727" s="309"/>
      <c r="E727" s="309"/>
      <c r="F727" s="309"/>
      <c r="G727" s="309"/>
      <c r="H727" s="309"/>
      <c r="I727" s="309"/>
      <c r="J727" s="309"/>
      <c r="K727" s="309"/>
      <c r="L727" s="309"/>
      <c r="M727" s="309"/>
      <c r="N727" s="309"/>
      <c r="O727" s="309"/>
      <c r="P727" s="309"/>
      <c r="Q727" s="309"/>
      <c r="R727" s="309"/>
      <c r="S727" s="309"/>
      <c r="T727" s="309"/>
      <c r="U727" s="309"/>
      <c r="V727" s="309"/>
      <c r="W727" s="309"/>
      <c r="X727" s="309"/>
      <c r="Y727" s="309"/>
      <c r="Z727" s="309"/>
    </row>
    <row r="728">
      <c r="A728" s="194"/>
      <c r="B728" s="309"/>
      <c r="C728" s="194"/>
      <c r="D728" s="309"/>
      <c r="E728" s="309"/>
      <c r="F728" s="309"/>
      <c r="G728" s="309"/>
      <c r="H728" s="309"/>
      <c r="I728" s="309"/>
      <c r="J728" s="309"/>
      <c r="K728" s="309"/>
      <c r="L728" s="309"/>
      <c r="M728" s="309"/>
      <c r="N728" s="309"/>
      <c r="O728" s="309"/>
      <c r="P728" s="309"/>
      <c r="Q728" s="309"/>
      <c r="R728" s="309"/>
      <c r="S728" s="309"/>
      <c r="T728" s="309"/>
      <c r="U728" s="309"/>
      <c r="V728" s="309"/>
      <c r="W728" s="309"/>
      <c r="X728" s="309"/>
      <c r="Y728" s="309"/>
      <c r="Z728" s="309"/>
    </row>
    <row r="729">
      <c r="A729" s="194"/>
      <c r="B729" s="309"/>
      <c r="C729" s="194"/>
      <c r="D729" s="309"/>
      <c r="E729" s="309"/>
      <c r="F729" s="309"/>
      <c r="G729" s="309"/>
      <c r="H729" s="309"/>
      <c r="I729" s="309"/>
      <c r="J729" s="309"/>
      <c r="K729" s="309"/>
      <c r="L729" s="309"/>
      <c r="M729" s="309"/>
      <c r="N729" s="309"/>
      <c r="O729" s="309"/>
      <c r="P729" s="309"/>
      <c r="Q729" s="309"/>
      <c r="R729" s="309"/>
      <c r="S729" s="309"/>
      <c r="T729" s="309"/>
      <c r="U729" s="309"/>
      <c r="V729" s="309"/>
      <c r="W729" s="309"/>
      <c r="X729" s="309"/>
      <c r="Y729" s="309"/>
      <c r="Z729" s="309"/>
    </row>
    <row r="730">
      <c r="A730" s="194"/>
      <c r="B730" s="309"/>
      <c r="C730" s="194"/>
      <c r="D730" s="309"/>
      <c r="E730" s="309"/>
      <c r="F730" s="309"/>
      <c r="G730" s="309"/>
      <c r="H730" s="309"/>
      <c r="I730" s="309"/>
      <c r="J730" s="309"/>
      <c r="K730" s="309"/>
      <c r="L730" s="309"/>
      <c r="M730" s="309"/>
      <c r="N730" s="309"/>
      <c r="O730" s="309"/>
      <c r="P730" s="309"/>
      <c r="Q730" s="309"/>
      <c r="R730" s="309"/>
      <c r="S730" s="309"/>
      <c r="T730" s="309"/>
      <c r="U730" s="309"/>
      <c r="V730" s="309"/>
      <c r="W730" s="309"/>
      <c r="X730" s="309"/>
      <c r="Y730" s="309"/>
      <c r="Z730" s="309"/>
    </row>
    <row r="731">
      <c r="A731" s="194"/>
      <c r="B731" s="309"/>
      <c r="C731" s="194"/>
      <c r="D731" s="309"/>
      <c r="E731" s="309"/>
      <c r="F731" s="309"/>
      <c r="G731" s="309"/>
      <c r="H731" s="309"/>
      <c r="I731" s="309"/>
      <c r="J731" s="309"/>
      <c r="K731" s="309"/>
      <c r="L731" s="309"/>
      <c r="M731" s="309"/>
      <c r="N731" s="309"/>
      <c r="O731" s="309"/>
      <c r="P731" s="309"/>
      <c r="Q731" s="309"/>
      <c r="R731" s="309"/>
      <c r="S731" s="309"/>
      <c r="T731" s="309"/>
      <c r="U731" s="309"/>
      <c r="V731" s="309"/>
      <c r="W731" s="309"/>
      <c r="X731" s="309"/>
      <c r="Y731" s="309"/>
      <c r="Z731" s="309"/>
    </row>
    <row r="732">
      <c r="A732" s="194"/>
      <c r="B732" s="309"/>
      <c r="C732" s="194"/>
      <c r="D732" s="309"/>
      <c r="E732" s="309"/>
      <c r="F732" s="309"/>
      <c r="G732" s="309"/>
      <c r="H732" s="309"/>
      <c r="I732" s="309"/>
      <c r="J732" s="309"/>
      <c r="K732" s="309"/>
      <c r="L732" s="309"/>
      <c r="M732" s="309"/>
      <c r="N732" s="309"/>
      <c r="O732" s="309"/>
      <c r="P732" s="309"/>
      <c r="Q732" s="309"/>
      <c r="R732" s="309"/>
      <c r="S732" s="309"/>
      <c r="T732" s="309"/>
      <c r="U732" s="309"/>
      <c r="V732" s="309"/>
      <c r="W732" s="309"/>
      <c r="X732" s="309"/>
      <c r="Y732" s="309"/>
      <c r="Z732" s="309"/>
    </row>
    <row r="733">
      <c r="A733" s="194"/>
      <c r="B733" s="309"/>
      <c r="C733" s="194"/>
      <c r="D733" s="309"/>
      <c r="E733" s="309"/>
      <c r="F733" s="309"/>
      <c r="G733" s="309"/>
      <c r="H733" s="309"/>
      <c r="I733" s="309"/>
      <c r="J733" s="309"/>
      <c r="K733" s="309"/>
      <c r="L733" s="309"/>
      <c r="M733" s="309"/>
      <c r="N733" s="309"/>
      <c r="O733" s="309"/>
      <c r="P733" s="309"/>
      <c r="Q733" s="309"/>
      <c r="R733" s="309"/>
      <c r="S733" s="309"/>
      <c r="T733" s="309"/>
      <c r="U733" s="309"/>
      <c r="V733" s="309"/>
      <c r="W733" s="309"/>
      <c r="X733" s="309"/>
      <c r="Y733" s="309"/>
      <c r="Z733" s="309"/>
    </row>
    <row r="734">
      <c r="A734" s="194"/>
      <c r="B734" s="309"/>
      <c r="C734" s="194"/>
      <c r="D734" s="309"/>
      <c r="E734" s="309"/>
      <c r="F734" s="309"/>
      <c r="G734" s="309"/>
      <c r="H734" s="309"/>
      <c r="I734" s="309"/>
      <c r="J734" s="309"/>
      <c r="K734" s="309"/>
      <c r="L734" s="309"/>
      <c r="M734" s="309"/>
      <c r="N734" s="309"/>
      <c r="O734" s="309"/>
      <c r="P734" s="309"/>
      <c r="Q734" s="309"/>
      <c r="R734" s="309"/>
      <c r="S734" s="309"/>
      <c r="T734" s="309"/>
      <c r="U734" s="309"/>
      <c r="V734" s="309"/>
      <c r="W734" s="309"/>
      <c r="X734" s="309"/>
      <c r="Y734" s="309"/>
      <c r="Z734" s="309"/>
    </row>
    <row r="735">
      <c r="A735" s="194"/>
      <c r="B735" s="309"/>
      <c r="C735" s="194"/>
      <c r="D735" s="309"/>
      <c r="E735" s="309"/>
      <c r="F735" s="309"/>
      <c r="G735" s="309"/>
      <c r="H735" s="309"/>
      <c r="I735" s="309"/>
      <c r="J735" s="309"/>
      <c r="K735" s="309"/>
      <c r="L735" s="309"/>
      <c r="M735" s="309"/>
      <c r="N735" s="309"/>
      <c r="O735" s="309"/>
      <c r="P735" s="309"/>
      <c r="Q735" s="309"/>
      <c r="R735" s="309"/>
      <c r="S735" s="309"/>
      <c r="T735" s="309"/>
      <c r="U735" s="309"/>
      <c r="V735" s="309"/>
      <c r="W735" s="309"/>
      <c r="X735" s="309"/>
      <c r="Y735" s="309"/>
      <c r="Z735" s="309"/>
    </row>
    <row r="736">
      <c r="A736" s="194"/>
      <c r="B736" s="309"/>
      <c r="C736" s="194"/>
      <c r="D736" s="309"/>
      <c r="E736" s="309"/>
      <c r="F736" s="309"/>
      <c r="G736" s="309"/>
      <c r="H736" s="309"/>
      <c r="I736" s="309"/>
      <c r="J736" s="309"/>
      <c r="K736" s="309"/>
      <c r="L736" s="309"/>
      <c r="M736" s="309"/>
      <c r="N736" s="309"/>
      <c r="O736" s="309"/>
      <c r="P736" s="309"/>
      <c r="Q736" s="309"/>
      <c r="R736" s="309"/>
      <c r="S736" s="309"/>
      <c r="T736" s="309"/>
      <c r="U736" s="309"/>
      <c r="V736" s="309"/>
      <c r="W736" s="309"/>
      <c r="X736" s="309"/>
      <c r="Y736" s="309"/>
      <c r="Z736" s="309"/>
    </row>
    <row r="737">
      <c r="A737" s="194"/>
      <c r="B737" s="309"/>
      <c r="C737" s="194"/>
      <c r="D737" s="309"/>
      <c r="E737" s="309"/>
      <c r="F737" s="309"/>
      <c r="G737" s="309"/>
      <c r="H737" s="309"/>
      <c r="I737" s="309"/>
      <c r="J737" s="309"/>
      <c r="K737" s="309"/>
      <c r="L737" s="309"/>
      <c r="M737" s="309"/>
      <c r="N737" s="309"/>
      <c r="O737" s="309"/>
      <c r="P737" s="309"/>
      <c r="Q737" s="309"/>
      <c r="R737" s="309"/>
      <c r="S737" s="309"/>
      <c r="T737" s="309"/>
      <c r="U737" s="309"/>
      <c r="V737" s="309"/>
      <c r="W737" s="309"/>
      <c r="X737" s="309"/>
      <c r="Y737" s="309"/>
      <c r="Z737" s="309"/>
    </row>
    <row r="738">
      <c r="A738" s="194"/>
      <c r="B738" s="309"/>
      <c r="C738" s="194"/>
      <c r="D738" s="309"/>
      <c r="E738" s="309"/>
      <c r="F738" s="309"/>
      <c r="G738" s="309"/>
      <c r="H738" s="309"/>
      <c r="I738" s="309"/>
      <c r="J738" s="309"/>
      <c r="K738" s="309"/>
      <c r="L738" s="309"/>
      <c r="M738" s="309"/>
      <c r="N738" s="309"/>
      <c r="O738" s="309"/>
      <c r="P738" s="309"/>
      <c r="Q738" s="309"/>
      <c r="R738" s="309"/>
      <c r="S738" s="309"/>
      <c r="T738" s="309"/>
      <c r="U738" s="309"/>
      <c r="V738" s="309"/>
      <c r="W738" s="309"/>
      <c r="X738" s="309"/>
      <c r="Y738" s="309"/>
      <c r="Z738" s="309"/>
    </row>
    <row r="739">
      <c r="A739" s="194"/>
      <c r="B739" s="309"/>
      <c r="C739" s="194"/>
      <c r="D739" s="309"/>
      <c r="E739" s="309"/>
      <c r="F739" s="309"/>
      <c r="G739" s="309"/>
      <c r="H739" s="309"/>
      <c r="I739" s="309"/>
      <c r="J739" s="309"/>
      <c r="K739" s="309"/>
      <c r="L739" s="309"/>
      <c r="M739" s="309"/>
      <c r="N739" s="309"/>
      <c r="O739" s="309"/>
      <c r="P739" s="309"/>
      <c r="Q739" s="309"/>
      <c r="R739" s="309"/>
      <c r="S739" s="309"/>
      <c r="T739" s="309"/>
      <c r="U739" s="309"/>
      <c r="V739" s="309"/>
      <c r="W739" s="309"/>
      <c r="X739" s="309"/>
      <c r="Y739" s="309"/>
      <c r="Z739" s="309"/>
    </row>
    <row r="740">
      <c r="A740" s="194"/>
      <c r="B740" s="309"/>
      <c r="C740" s="194"/>
      <c r="D740" s="309"/>
      <c r="E740" s="309"/>
      <c r="F740" s="309"/>
      <c r="G740" s="309"/>
      <c r="H740" s="309"/>
      <c r="I740" s="309"/>
      <c r="J740" s="309"/>
      <c r="K740" s="309"/>
      <c r="L740" s="309"/>
      <c r="M740" s="309"/>
      <c r="N740" s="309"/>
      <c r="O740" s="309"/>
      <c r="P740" s="309"/>
      <c r="Q740" s="309"/>
      <c r="R740" s="309"/>
      <c r="S740" s="309"/>
      <c r="T740" s="309"/>
      <c r="U740" s="309"/>
      <c r="V740" s="309"/>
      <c r="W740" s="309"/>
      <c r="X740" s="309"/>
      <c r="Y740" s="309"/>
      <c r="Z740" s="309"/>
    </row>
    <row r="741">
      <c r="A741" s="194"/>
      <c r="B741" s="309"/>
      <c r="C741" s="194"/>
      <c r="D741" s="309"/>
      <c r="E741" s="309"/>
      <c r="F741" s="309"/>
      <c r="G741" s="309"/>
      <c r="H741" s="309"/>
      <c r="I741" s="309"/>
      <c r="J741" s="309"/>
      <c r="K741" s="309"/>
      <c r="L741" s="309"/>
      <c r="M741" s="309"/>
      <c r="N741" s="309"/>
      <c r="O741" s="309"/>
      <c r="P741" s="309"/>
      <c r="Q741" s="309"/>
      <c r="R741" s="309"/>
      <c r="S741" s="309"/>
      <c r="T741" s="309"/>
      <c r="U741" s="309"/>
      <c r="V741" s="309"/>
      <c r="W741" s="309"/>
      <c r="X741" s="309"/>
      <c r="Y741" s="309"/>
      <c r="Z741" s="309"/>
    </row>
    <row r="742">
      <c r="A742" s="194"/>
      <c r="B742" s="309"/>
      <c r="C742" s="194"/>
      <c r="D742" s="309"/>
      <c r="E742" s="309"/>
      <c r="F742" s="309"/>
      <c r="G742" s="309"/>
      <c r="H742" s="309"/>
      <c r="I742" s="309"/>
      <c r="J742" s="309"/>
      <c r="K742" s="309"/>
      <c r="L742" s="309"/>
      <c r="M742" s="309"/>
      <c r="N742" s="309"/>
      <c r="O742" s="309"/>
      <c r="P742" s="309"/>
      <c r="Q742" s="309"/>
      <c r="R742" s="309"/>
      <c r="S742" s="309"/>
      <c r="T742" s="309"/>
      <c r="U742" s="309"/>
      <c r="V742" s="309"/>
      <c r="W742" s="309"/>
      <c r="X742" s="309"/>
      <c r="Y742" s="309"/>
      <c r="Z742" s="309"/>
    </row>
    <row r="743">
      <c r="A743" s="194"/>
      <c r="B743" s="309"/>
      <c r="C743" s="194"/>
      <c r="D743" s="309"/>
      <c r="E743" s="309"/>
      <c r="F743" s="309"/>
      <c r="G743" s="309"/>
      <c r="H743" s="309"/>
      <c r="I743" s="309"/>
      <c r="J743" s="309"/>
      <c r="K743" s="309"/>
      <c r="L743" s="309"/>
      <c r="M743" s="309"/>
      <c r="N743" s="309"/>
      <c r="O743" s="309"/>
      <c r="P743" s="309"/>
      <c r="Q743" s="309"/>
      <c r="R743" s="309"/>
      <c r="S743" s="309"/>
      <c r="T743" s="309"/>
      <c r="U743" s="309"/>
      <c r="V743" s="309"/>
      <c r="W743" s="309"/>
      <c r="X743" s="309"/>
      <c r="Y743" s="309"/>
      <c r="Z743" s="309"/>
    </row>
    <row r="744">
      <c r="A744" s="194"/>
      <c r="B744" s="309"/>
      <c r="C744" s="194"/>
      <c r="D744" s="309"/>
      <c r="E744" s="309"/>
      <c r="F744" s="309"/>
      <c r="G744" s="309"/>
      <c r="H744" s="309"/>
      <c r="I744" s="309"/>
      <c r="J744" s="309"/>
      <c r="K744" s="309"/>
      <c r="L744" s="309"/>
      <c r="M744" s="309"/>
      <c r="N744" s="309"/>
      <c r="O744" s="309"/>
      <c r="P744" s="309"/>
      <c r="Q744" s="309"/>
      <c r="R744" s="309"/>
      <c r="S744" s="309"/>
      <c r="T744" s="309"/>
      <c r="U744" s="309"/>
      <c r="V744" s="309"/>
      <c r="W744" s="309"/>
      <c r="X744" s="309"/>
      <c r="Y744" s="309"/>
      <c r="Z744" s="309"/>
    </row>
    <row r="745">
      <c r="A745" s="194"/>
      <c r="B745" s="309"/>
      <c r="C745" s="194"/>
      <c r="D745" s="309"/>
      <c r="E745" s="309"/>
      <c r="F745" s="309"/>
      <c r="G745" s="309"/>
      <c r="H745" s="309"/>
      <c r="I745" s="309"/>
      <c r="J745" s="309"/>
      <c r="K745" s="309"/>
      <c r="L745" s="309"/>
      <c r="M745" s="309"/>
      <c r="N745" s="309"/>
      <c r="O745" s="309"/>
      <c r="P745" s="309"/>
      <c r="Q745" s="309"/>
      <c r="R745" s="309"/>
      <c r="S745" s="309"/>
      <c r="T745" s="309"/>
      <c r="U745" s="309"/>
      <c r="V745" s="309"/>
      <c r="W745" s="309"/>
      <c r="X745" s="309"/>
      <c r="Y745" s="309"/>
      <c r="Z745" s="309"/>
    </row>
    <row r="746">
      <c r="A746" s="194"/>
      <c r="B746" s="309"/>
      <c r="C746" s="194"/>
      <c r="D746" s="309"/>
      <c r="E746" s="309"/>
      <c r="F746" s="309"/>
      <c r="G746" s="309"/>
      <c r="H746" s="309"/>
      <c r="I746" s="309"/>
      <c r="J746" s="309"/>
      <c r="K746" s="309"/>
      <c r="L746" s="309"/>
      <c r="M746" s="309"/>
      <c r="N746" s="309"/>
      <c r="O746" s="309"/>
      <c r="P746" s="309"/>
      <c r="Q746" s="309"/>
      <c r="R746" s="309"/>
      <c r="S746" s="309"/>
      <c r="T746" s="309"/>
      <c r="U746" s="309"/>
      <c r="V746" s="309"/>
      <c r="W746" s="309"/>
      <c r="X746" s="309"/>
      <c r="Y746" s="309"/>
      <c r="Z746" s="309"/>
    </row>
    <row r="747">
      <c r="A747" s="194"/>
      <c r="B747" s="309"/>
      <c r="C747" s="194"/>
      <c r="D747" s="309"/>
      <c r="E747" s="309"/>
      <c r="F747" s="309"/>
      <c r="G747" s="309"/>
      <c r="H747" s="309"/>
      <c r="I747" s="309"/>
      <c r="J747" s="309"/>
      <c r="K747" s="309"/>
      <c r="L747" s="309"/>
      <c r="M747" s="309"/>
      <c r="N747" s="309"/>
      <c r="O747" s="309"/>
      <c r="P747" s="309"/>
      <c r="Q747" s="309"/>
      <c r="R747" s="309"/>
      <c r="S747" s="309"/>
      <c r="T747" s="309"/>
      <c r="U747" s="309"/>
      <c r="V747" s="309"/>
      <c r="W747" s="309"/>
      <c r="X747" s="309"/>
      <c r="Y747" s="309"/>
      <c r="Z747" s="309"/>
    </row>
    <row r="748">
      <c r="A748" s="194"/>
      <c r="B748" s="309"/>
      <c r="C748" s="194"/>
      <c r="D748" s="309"/>
      <c r="E748" s="309"/>
      <c r="F748" s="309"/>
      <c r="G748" s="309"/>
      <c r="H748" s="309"/>
      <c r="I748" s="309"/>
      <c r="J748" s="309"/>
      <c r="K748" s="309"/>
      <c r="L748" s="309"/>
      <c r="M748" s="309"/>
      <c r="N748" s="309"/>
      <c r="O748" s="309"/>
      <c r="P748" s="309"/>
      <c r="Q748" s="309"/>
      <c r="R748" s="309"/>
      <c r="S748" s="309"/>
      <c r="T748" s="309"/>
      <c r="U748" s="309"/>
      <c r="V748" s="309"/>
      <c r="W748" s="309"/>
      <c r="X748" s="309"/>
      <c r="Y748" s="309"/>
      <c r="Z748" s="309"/>
    </row>
    <row r="749">
      <c r="A749" s="194"/>
      <c r="B749" s="309"/>
      <c r="C749" s="194"/>
      <c r="D749" s="309"/>
      <c r="E749" s="309"/>
      <c r="F749" s="309"/>
      <c r="G749" s="309"/>
      <c r="H749" s="309"/>
      <c r="I749" s="309"/>
      <c r="J749" s="309"/>
      <c r="K749" s="309"/>
      <c r="L749" s="309"/>
      <c r="M749" s="309"/>
      <c r="N749" s="309"/>
      <c r="O749" s="309"/>
      <c r="P749" s="309"/>
      <c r="Q749" s="309"/>
      <c r="R749" s="309"/>
      <c r="S749" s="309"/>
      <c r="T749" s="309"/>
      <c r="U749" s="309"/>
      <c r="V749" s="309"/>
      <c r="W749" s="309"/>
      <c r="X749" s="309"/>
      <c r="Y749" s="309"/>
      <c r="Z749" s="309"/>
    </row>
    <row r="750">
      <c r="A750" s="194"/>
      <c r="B750" s="309"/>
      <c r="C750" s="194"/>
      <c r="D750" s="309"/>
      <c r="E750" s="309"/>
      <c r="F750" s="309"/>
      <c r="G750" s="309"/>
      <c r="H750" s="309"/>
      <c r="I750" s="309"/>
      <c r="J750" s="309"/>
      <c r="K750" s="309"/>
      <c r="L750" s="309"/>
      <c r="M750" s="309"/>
      <c r="N750" s="309"/>
      <c r="O750" s="309"/>
      <c r="P750" s="309"/>
      <c r="Q750" s="309"/>
      <c r="R750" s="309"/>
      <c r="S750" s="309"/>
      <c r="T750" s="309"/>
      <c r="U750" s="309"/>
      <c r="V750" s="309"/>
      <c r="W750" s="309"/>
      <c r="X750" s="309"/>
      <c r="Y750" s="309"/>
      <c r="Z750" s="309"/>
    </row>
    <row r="751">
      <c r="A751" s="194"/>
      <c r="B751" s="309"/>
      <c r="C751" s="194"/>
      <c r="D751" s="309"/>
      <c r="E751" s="309"/>
      <c r="F751" s="309"/>
      <c r="G751" s="309"/>
      <c r="H751" s="309"/>
      <c r="I751" s="309"/>
      <c r="J751" s="309"/>
      <c r="K751" s="309"/>
      <c r="L751" s="309"/>
      <c r="M751" s="309"/>
      <c r="N751" s="309"/>
      <c r="O751" s="309"/>
      <c r="P751" s="309"/>
      <c r="Q751" s="309"/>
      <c r="R751" s="309"/>
      <c r="S751" s="309"/>
      <c r="T751" s="309"/>
      <c r="U751" s="309"/>
      <c r="V751" s="309"/>
      <c r="W751" s="309"/>
      <c r="X751" s="309"/>
      <c r="Y751" s="309"/>
      <c r="Z751" s="309"/>
    </row>
    <row r="752">
      <c r="A752" s="194"/>
      <c r="B752" s="309"/>
      <c r="C752" s="194"/>
      <c r="D752" s="309"/>
      <c r="E752" s="309"/>
      <c r="F752" s="309"/>
      <c r="G752" s="309"/>
      <c r="H752" s="309"/>
      <c r="I752" s="309"/>
      <c r="J752" s="309"/>
      <c r="K752" s="309"/>
      <c r="L752" s="309"/>
      <c r="M752" s="309"/>
      <c r="N752" s="309"/>
      <c r="O752" s="309"/>
      <c r="P752" s="309"/>
      <c r="Q752" s="309"/>
      <c r="R752" s="309"/>
      <c r="S752" s="309"/>
      <c r="T752" s="309"/>
      <c r="U752" s="309"/>
      <c r="V752" s="309"/>
      <c r="W752" s="309"/>
      <c r="X752" s="309"/>
      <c r="Y752" s="309"/>
      <c r="Z752" s="309"/>
    </row>
    <row r="753">
      <c r="A753" s="194"/>
      <c r="B753" s="309"/>
      <c r="C753" s="194"/>
      <c r="D753" s="309"/>
      <c r="E753" s="309"/>
      <c r="F753" s="309"/>
      <c r="G753" s="309"/>
      <c r="H753" s="309"/>
      <c r="I753" s="309"/>
      <c r="J753" s="309"/>
      <c r="K753" s="309"/>
      <c r="L753" s="309"/>
      <c r="M753" s="309"/>
      <c r="N753" s="309"/>
      <c r="O753" s="309"/>
      <c r="P753" s="309"/>
      <c r="Q753" s="309"/>
      <c r="R753" s="309"/>
      <c r="S753" s="309"/>
      <c r="T753" s="309"/>
      <c r="U753" s="309"/>
      <c r="V753" s="309"/>
      <c r="W753" s="309"/>
      <c r="X753" s="309"/>
      <c r="Y753" s="309"/>
      <c r="Z753" s="309"/>
    </row>
    <row r="754">
      <c r="A754" s="194"/>
      <c r="B754" s="309"/>
      <c r="C754" s="194"/>
      <c r="D754" s="309"/>
      <c r="E754" s="309"/>
      <c r="F754" s="309"/>
      <c r="G754" s="309"/>
      <c r="H754" s="309"/>
      <c r="I754" s="309"/>
      <c r="J754" s="309"/>
      <c r="K754" s="309"/>
      <c r="L754" s="309"/>
      <c r="M754" s="309"/>
      <c r="N754" s="309"/>
      <c r="O754" s="309"/>
      <c r="P754" s="309"/>
      <c r="Q754" s="309"/>
      <c r="R754" s="309"/>
      <c r="S754" s="309"/>
      <c r="T754" s="309"/>
      <c r="U754" s="309"/>
      <c r="V754" s="309"/>
      <c r="W754" s="309"/>
      <c r="X754" s="309"/>
      <c r="Y754" s="309"/>
      <c r="Z754" s="309"/>
    </row>
    <row r="755">
      <c r="A755" s="194"/>
      <c r="B755" s="309"/>
      <c r="C755" s="194"/>
      <c r="D755" s="309"/>
      <c r="E755" s="309"/>
      <c r="F755" s="309"/>
      <c r="G755" s="309"/>
      <c r="H755" s="309"/>
      <c r="I755" s="309"/>
      <c r="J755" s="309"/>
      <c r="K755" s="309"/>
      <c r="L755" s="309"/>
      <c r="M755" s="309"/>
      <c r="N755" s="309"/>
      <c r="O755" s="309"/>
      <c r="P755" s="309"/>
      <c r="Q755" s="309"/>
      <c r="R755" s="309"/>
      <c r="S755" s="309"/>
      <c r="T755" s="309"/>
      <c r="U755" s="309"/>
      <c r="V755" s="309"/>
      <c r="W755" s="309"/>
      <c r="X755" s="309"/>
      <c r="Y755" s="309"/>
      <c r="Z755" s="309"/>
    </row>
    <row r="756">
      <c r="A756" s="194"/>
      <c r="B756" s="309"/>
      <c r="C756" s="194"/>
      <c r="D756" s="309"/>
      <c r="E756" s="309"/>
      <c r="F756" s="309"/>
      <c r="G756" s="309"/>
      <c r="H756" s="309"/>
      <c r="I756" s="309"/>
      <c r="J756" s="309"/>
      <c r="K756" s="309"/>
      <c r="L756" s="309"/>
      <c r="M756" s="309"/>
      <c r="N756" s="309"/>
      <c r="O756" s="309"/>
      <c r="P756" s="309"/>
      <c r="Q756" s="309"/>
      <c r="R756" s="309"/>
      <c r="S756" s="309"/>
      <c r="T756" s="309"/>
      <c r="U756" s="309"/>
      <c r="V756" s="309"/>
      <c r="W756" s="309"/>
      <c r="X756" s="309"/>
      <c r="Y756" s="309"/>
      <c r="Z756" s="309"/>
    </row>
    <row r="757">
      <c r="A757" s="194"/>
      <c r="B757" s="309"/>
      <c r="C757" s="194"/>
      <c r="D757" s="309"/>
      <c r="E757" s="309"/>
      <c r="F757" s="309"/>
      <c r="G757" s="309"/>
      <c r="H757" s="309"/>
      <c r="I757" s="309"/>
      <c r="J757" s="309"/>
      <c r="K757" s="309"/>
      <c r="L757" s="309"/>
      <c r="M757" s="309"/>
      <c r="N757" s="309"/>
      <c r="O757" s="309"/>
      <c r="P757" s="309"/>
      <c r="Q757" s="309"/>
      <c r="R757" s="309"/>
      <c r="S757" s="309"/>
      <c r="T757" s="309"/>
      <c r="U757" s="309"/>
      <c r="V757" s="309"/>
      <c r="W757" s="309"/>
      <c r="X757" s="309"/>
      <c r="Y757" s="309"/>
      <c r="Z757" s="309"/>
    </row>
    <row r="758">
      <c r="A758" s="194"/>
      <c r="B758" s="309"/>
      <c r="C758" s="194"/>
      <c r="D758" s="309"/>
      <c r="E758" s="309"/>
      <c r="F758" s="309"/>
      <c r="G758" s="309"/>
      <c r="H758" s="309"/>
      <c r="I758" s="309"/>
      <c r="J758" s="309"/>
      <c r="K758" s="309"/>
      <c r="L758" s="309"/>
      <c r="M758" s="309"/>
      <c r="N758" s="309"/>
      <c r="O758" s="309"/>
      <c r="P758" s="309"/>
      <c r="Q758" s="309"/>
      <c r="R758" s="309"/>
      <c r="S758" s="309"/>
      <c r="T758" s="309"/>
      <c r="U758" s="309"/>
      <c r="V758" s="309"/>
      <c r="W758" s="309"/>
      <c r="X758" s="309"/>
      <c r="Y758" s="309"/>
      <c r="Z758" s="309"/>
    </row>
    <row r="759">
      <c r="A759" s="194"/>
      <c r="B759" s="309"/>
      <c r="C759" s="194"/>
      <c r="D759" s="309"/>
      <c r="E759" s="309"/>
      <c r="F759" s="309"/>
      <c r="G759" s="309"/>
      <c r="H759" s="309"/>
      <c r="I759" s="309"/>
      <c r="J759" s="309"/>
      <c r="K759" s="309"/>
      <c r="L759" s="309"/>
      <c r="M759" s="309"/>
      <c r="N759" s="309"/>
      <c r="O759" s="309"/>
      <c r="P759" s="309"/>
      <c r="Q759" s="309"/>
      <c r="R759" s="309"/>
      <c r="S759" s="309"/>
      <c r="T759" s="309"/>
      <c r="U759" s="309"/>
      <c r="V759" s="309"/>
      <c r="W759" s="309"/>
      <c r="X759" s="309"/>
      <c r="Y759" s="309"/>
      <c r="Z759" s="309"/>
    </row>
    <row r="760">
      <c r="A760" s="194"/>
      <c r="B760" s="309"/>
      <c r="C760" s="194"/>
      <c r="D760" s="309"/>
      <c r="E760" s="309"/>
      <c r="F760" s="309"/>
      <c r="G760" s="309"/>
      <c r="H760" s="309"/>
      <c r="I760" s="309"/>
      <c r="J760" s="309"/>
      <c r="K760" s="309"/>
      <c r="L760" s="309"/>
      <c r="M760" s="309"/>
      <c r="N760" s="309"/>
      <c r="O760" s="309"/>
      <c r="P760" s="309"/>
      <c r="Q760" s="309"/>
      <c r="R760" s="309"/>
      <c r="S760" s="309"/>
      <c r="T760" s="309"/>
      <c r="U760" s="309"/>
      <c r="V760" s="309"/>
      <c r="W760" s="309"/>
      <c r="X760" s="309"/>
      <c r="Y760" s="309"/>
      <c r="Z760" s="309"/>
    </row>
    <row r="761">
      <c r="A761" s="194"/>
      <c r="B761" s="309"/>
      <c r="C761" s="194"/>
      <c r="D761" s="309"/>
      <c r="E761" s="309"/>
      <c r="F761" s="309"/>
      <c r="G761" s="309"/>
      <c r="H761" s="309"/>
      <c r="I761" s="309"/>
      <c r="J761" s="309"/>
      <c r="K761" s="309"/>
      <c r="L761" s="309"/>
      <c r="M761" s="309"/>
      <c r="N761" s="309"/>
      <c r="O761" s="309"/>
      <c r="P761" s="309"/>
      <c r="Q761" s="309"/>
      <c r="R761" s="309"/>
      <c r="S761" s="309"/>
      <c r="T761" s="309"/>
      <c r="U761" s="309"/>
      <c r="V761" s="309"/>
      <c r="W761" s="309"/>
      <c r="X761" s="309"/>
      <c r="Y761" s="309"/>
      <c r="Z761" s="309"/>
    </row>
    <row r="762">
      <c r="A762" s="194"/>
      <c r="B762" s="309"/>
      <c r="C762" s="194"/>
      <c r="D762" s="309"/>
      <c r="E762" s="309"/>
      <c r="F762" s="309"/>
      <c r="G762" s="309"/>
      <c r="H762" s="309"/>
      <c r="I762" s="309"/>
      <c r="J762" s="309"/>
      <c r="K762" s="309"/>
      <c r="L762" s="309"/>
      <c r="M762" s="309"/>
      <c r="N762" s="309"/>
      <c r="O762" s="309"/>
      <c r="P762" s="309"/>
      <c r="Q762" s="309"/>
      <c r="R762" s="309"/>
      <c r="S762" s="309"/>
      <c r="T762" s="309"/>
      <c r="U762" s="309"/>
      <c r="V762" s="309"/>
      <c r="W762" s="309"/>
      <c r="X762" s="309"/>
      <c r="Y762" s="309"/>
      <c r="Z762" s="309"/>
    </row>
    <row r="763">
      <c r="A763" s="194"/>
      <c r="B763" s="309"/>
      <c r="C763" s="194"/>
      <c r="D763" s="309"/>
      <c r="E763" s="309"/>
      <c r="F763" s="309"/>
      <c r="G763" s="309"/>
      <c r="H763" s="309"/>
      <c r="I763" s="309"/>
      <c r="J763" s="309"/>
      <c r="K763" s="309"/>
      <c r="L763" s="309"/>
      <c r="M763" s="309"/>
      <c r="N763" s="309"/>
      <c r="O763" s="309"/>
      <c r="P763" s="309"/>
      <c r="Q763" s="309"/>
      <c r="R763" s="309"/>
      <c r="S763" s="309"/>
      <c r="T763" s="309"/>
      <c r="U763" s="309"/>
      <c r="V763" s="309"/>
      <c r="W763" s="309"/>
      <c r="X763" s="309"/>
      <c r="Y763" s="309"/>
      <c r="Z763" s="309"/>
    </row>
    <row r="764">
      <c r="A764" s="194"/>
      <c r="B764" s="309"/>
      <c r="C764" s="194"/>
      <c r="D764" s="309"/>
      <c r="E764" s="309"/>
      <c r="F764" s="309"/>
      <c r="G764" s="309"/>
      <c r="H764" s="309"/>
      <c r="I764" s="309"/>
      <c r="J764" s="309"/>
      <c r="K764" s="309"/>
      <c r="L764" s="309"/>
      <c r="M764" s="309"/>
      <c r="N764" s="309"/>
      <c r="O764" s="309"/>
      <c r="P764" s="309"/>
      <c r="Q764" s="309"/>
      <c r="R764" s="309"/>
      <c r="S764" s="309"/>
      <c r="T764" s="309"/>
      <c r="U764" s="309"/>
      <c r="V764" s="309"/>
      <c r="W764" s="309"/>
      <c r="X764" s="309"/>
      <c r="Y764" s="309"/>
      <c r="Z764" s="309"/>
    </row>
    <row r="765">
      <c r="A765" s="194"/>
      <c r="B765" s="309"/>
      <c r="C765" s="194"/>
      <c r="D765" s="309"/>
      <c r="E765" s="309"/>
      <c r="F765" s="309"/>
      <c r="G765" s="309"/>
      <c r="H765" s="309"/>
      <c r="I765" s="309"/>
      <c r="J765" s="309"/>
      <c r="K765" s="309"/>
      <c r="L765" s="309"/>
      <c r="M765" s="309"/>
      <c r="N765" s="309"/>
      <c r="O765" s="309"/>
      <c r="P765" s="309"/>
      <c r="Q765" s="309"/>
      <c r="R765" s="309"/>
      <c r="S765" s="309"/>
      <c r="T765" s="309"/>
      <c r="U765" s="309"/>
      <c r="V765" s="309"/>
      <c r="W765" s="309"/>
      <c r="X765" s="309"/>
      <c r="Y765" s="309"/>
      <c r="Z765" s="309"/>
    </row>
    <row r="766">
      <c r="A766" s="194"/>
      <c r="B766" s="309"/>
      <c r="C766" s="194"/>
      <c r="D766" s="309"/>
      <c r="E766" s="309"/>
      <c r="F766" s="309"/>
      <c r="G766" s="309"/>
      <c r="H766" s="309"/>
      <c r="I766" s="309"/>
      <c r="J766" s="309"/>
      <c r="K766" s="309"/>
      <c r="L766" s="309"/>
      <c r="M766" s="309"/>
      <c r="N766" s="309"/>
      <c r="O766" s="309"/>
      <c r="P766" s="309"/>
      <c r="Q766" s="309"/>
      <c r="R766" s="309"/>
      <c r="S766" s="309"/>
      <c r="T766" s="309"/>
      <c r="U766" s="309"/>
      <c r="V766" s="309"/>
      <c r="W766" s="309"/>
      <c r="X766" s="309"/>
      <c r="Y766" s="309"/>
      <c r="Z766" s="309"/>
    </row>
    <row r="767">
      <c r="A767" s="194"/>
      <c r="B767" s="309"/>
      <c r="C767" s="194"/>
      <c r="D767" s="309"/>
      <c r="E767" s="309"/>
      <c r="F767" s="309"/>
      <c r="G767" s="309"/>
      <c r="H767" s="309"/>
      <c r="I767" s="309"/>
      <c r="J767" s="309"/>
      <c r="K767" s="309"/>
      <c r="L767" s="309"/>
      <c r="M767" s="309"/>
      <c r="N767" s="309"/>
      <c r="O767" s="309"/>
      <c r="P767" s="309"/>
      <c r="Q767" s="309"/>
      <c r="R767" s="309"/>
      <c r="S767" s="309"/>
      <c r="T767" s="309"/>
      <c r="U767" s="309"/>
      <c r="V767" s="309"/>
      <c r="W767" s="309"/>
      <c r="X767" s="309"/>
      <c r="Y767" s="309"/>
      <c r="Z767" s="309"/>
    </row>
    <row r="768">
      <c r="A768" s="194"/>
      <c r="B768" s="309"/>
      <c r="C768" s="194"/>
      <c r="D768" s="309"/>
      <c r="E768" s="309"/>
      <c r="F768" s="309"/>
      <c r="G768" s="309"/>
      <c r="H768" s="309"/>
      <c r="I768" s="309"/>
      <c r="J768" s="309"/>
      <c r="K768" s="309"/>
      <c r="L768" s="309"/>
      <c r="M768" s="309"/>
      <c r="N768" s="309"/>
      <c r="O768" s="309"/>
      <c r="P768" s="309"/>
      <c r="Q768" s="309"/>
      <c r="R768" s="309"/>
      <c r="S768" s="309"/>
      <c r="T768" s="309"/>
      <c r="U768" s="309"/>
      <c r="V768" s="309"/>
      <c r="W768" s="309"/>
      <c r="X768" s="309"/>
      <c r="Y768" s="309"/>
      <c r="Z768" s="309"/>
    </row>
    <row r="769">
      <c r="A769" s="194"/>
      <c r="B769" s="309"/>
      <c r="C769" s="194"/>
      <c r="D769" s="309"/>
      <c r="E769" s="309"/>
      <c r="F769" s="309"/>
      <c r="G769" s="309"/>
      <c r="H769" s="309"/>
      <c r="I769" s="309"/>
      <c r="J769" s="309"/>
      <c r="K769" s="309"/>
      <c r="L769" s="309"/>
      <c r="M769" s="309"/>
      <c r="N769" s="309"/>
      <c r="O769" s="309"/>
      <c r="P769" s="309"/>
      <c r="Q769" s="309"/>
      <c r="R769" s="309"/>
      <c r="S769" s="309"/>
      <c r="T769" s="309"/>
      <c r="U769" s="309"/>
      <c r="V769" s="309"/>
      <c r="W769" s="309"/>
      <c r="X769" s="309"/>
      <c r="Y769" s="309"/>
      <c r="Z769" s="309"/>
    </row>
    <row r="770">
      <c r="A770" s="194"/>
      <c r="B770" s="309"/>
      <c r="C770" s="194"/>
      <c r="D770" s="309"/>
      <c r="E770" s="309"/>
      <c r="F770" s="309"/>
      <c r="G770" s="309"/>
      <c r="H770" s="309"/>
      <c r="I770" s="309"/>
      <c r="J770" s="309"/>
      <c r="K770" s="309"/>
      <c r="L770" s="309"/>
      <c r="M770" s="309"/>
      <c r="N770" s="309"/>
      <c r="O770" s="309"/>
      <c r="P770" s="309"/>
      <c r="Q770" s="309"/>
      <c r="R770" s="309"/>
      <c r="S770" s="309"/>
      <c r="T770" s="309"/>
      <c r="U770" s="309"/>
      <c r="V770" s="309"/>
      <c r="W770" s="309"/>
      <c r="X770" s="309"/>
      <c r="Y770" s="309"/>
      <c r="Z770" s="309"/>
    </row>
    <row r="771">
      <c r="A771" s="194"/>
      <c r="B771" s="309"/>
      <c r="C771" s="194"/>
      <c r="D771" s="309"/>
      <c r="E771" s="309"/>
      <c r="F771" s="309"/>
      <c r="G771" s="309"/>
      <c r="H771" s="309"/>
      <c r="I771" s="309"/>
      <c r="J771" s="309"/>
      <c r="K771" s="309"/>
      <c r="L771" s="309"/>
      <c r="M771" s="309"/>
      <c r="N771" s="309"/>
      <c r="O771" s="309"/>
      <c r="P771" s="309"/>
      <c r="Q771" s="309"/>
      <c r="R771" s="309"/>
      <c r="S771" s="309"/>
      <c r="T771" s="309"/>
      <c r="U771" s="309"/>
      <c r="V771" s="309"/>
      <c r="W771" s="309"/>
      <c r="X771" s="309"/>
      <c r="Y771" s="309"/>
      <c r="Z771" s="309"/>
    </row>
    <row r="772">
      <c r="A772" s="194"/>
      <c r="B772" s="309"/>
      <c r="C772" s="194"/>
      <c r="D772" s="309"/>
      <c r="E772" s="309"/>
      <c r="F772" s="309"/>
      <c r="G772" s="309"/>
      <c r="H772" s="309"/>
      <c r="I772" s="309"/>
      <c r="J772" s="309"/>
      <c r="K772" s="309"/>
      <c r="L772" s="309"/>
      <c r="M772" s="309"/>
      <c r="N772" s="309"/>
      <c r="O772" s="309"/>
      <c r="P772" s="309"/>
      <c r="Q772" s="309"/>
      <c r="R772" s="309"/>
      <c r="S772" s="309"/>
      <c r="T772" s="309"/>
      <c r="U772" s="309"/>
      <c r="V772" s="309"/>
      <c r="W772" s="309"/>
      <c r="X772" s="309"/>
      <c r="Y772" s="309"/>
      <c r="Z772" s="309"/>
    </row>
    <row r="773">
      <c r="A773" s="194"/>
      <c r="B773" s="309"/>
      <c r="C773" s="194"/>
      <c r="D773" s="309"/>
      <c r="E773" s="309"/>
      <c r="F773" s="309"/>
      <c r="G773" s="309"/>
      <c r="H773" s="309"/>
      <c r="I773" s="309"/>
      <c r="J773" s="309"/>
      <c r="K773" s="309"/>
      <c r="L773" s="309"/>
      <c r="M773" s="309"/>
      <c r="N773" s="309"/>
      <c r="O773" s="309"/>
      <c r="P773" s="309"/>
      <c r="Q773" s="309"/>
      <c r="R773" s="309"/>
      <c r="S773" s="309"/>
      <c r="T773" s="309"/>
      <c r="U773" s="309"/>
      <c r="V773" s="309"/>
      <c r="W773" s="309"/>
      <c r="X773" s="309"/>
      <c r="Y773" s="309"/>
      <c r="Z773" s="309"/>
    </row>
    <row r="774">
      <c r="A774" s="194"/>
      <c r="B774" s="309"/>
      <c r="C774" s="194"/>
      <c r="D774" s="309"/>
      <c r="E774" s="309"/>
      <c r="F774" s="309"/>
      <c r="G774" s="309"/>
      <c r="H774" s="309"/>
      <c r="I774" s="309"/>
      <c r="J774" s="309"/>
      <c r="K774" s="309"/>
      <c r="L774" s="309"/>
      <c r="M774" s="309"/>
      <c r="N774" s="309"/>
      <c r="O774" s="309"/>
      <c r="P774" s="309"/>
      <c r="Q774" s="309"/>
      <c r="R774" s="309"/>
      <c r="S774" s="309"/>
      <c r="T774" s="309"/>
      <c r="U774" s="309"/>
      <c r="V774" s="309"/>
      <c r="W774" s="309"/>
      <c r="X774" s="309"/>
      <c r="Y774" s="309"/>
      <c r="Z774" s="309"/>
    </row>
    <row r="775">
      <c r="A775" s="194"/>
      <c r="B775" s="309"/>
      <c r="C775" s="194"/>
      <c r="D775" s="309"/>
      <c r="E775" s="309"/>
      <c r="F775" s="309"/>
      <c r="G775" s="309"/>
      <c r="H775" s="309"/>
      <c r="I775" s="309"/>
      <c r="J775" s="309"/>
      <c r="K775" s="309"/>
      <c r="L775" s="309"/>
      <c r="M775" s="309"/>
      <c r="N775" s="309"/>
      <c r="O775" s="309"/>
      <c r="P775" s="309"/>
      <c r="Q775" s="309"/>
      <c r="R775" s="309"/>
      <c r="S775" s="309"/>
      <c r="T775" s="309"/>
      <c r="U775" s="309"/>
      <c r="V775" s="309"/>
      <c r="W775" s="309"/>
      <c r="X775" s="309"/>
      <c r="Y775" s="309"/>
      <c r="Z775" s="309"/>
    </row>
    <row r="776">
      <c r="A776" s="194"/>
      <c r="B776" s="309"/>
      <c r="C776" s="194"/>
      <c r="D776" s="309"/>
      <c r="E776" s="309"/>
      <c r="F776" s="309"/>
      <c r="G776" s="309"/>
      <c r="H776" s="309"/>
      <c r="I776" s="309"/>
      <c r="J776" s="309"/>
      <c r="K776" s="309"/>
      <c r="L776" s="309"/>
      <c r="M776" s="309"/>
      <c r="N776" s="309"/>
      <c r="O776" s="309"/>
      <c r="P776" s="309"/>
      <c r="Q776" s="309"/>
      <c r="R776" s="309"/>
      <c r="S776" s="309"/>
      <c r="T776" s="309"/>
      <c r="U776" s="309"/>
      <c r="V776" s="309"/>
      <c r="W776" s="309"/>
      <c r="X776" s="309"/>
      <c r="Y776" s="309"/>
      <c r="Z776" s="309"/>
    </row>
    <row r="777">
      <c r="A777" s="194"/>
      <c r="B777" s="309"/>
      <c r="C777" s="194"/>
      <c r="D777" s="309"/>
      <c r="E777" s="309"/>
      <c r="F777" s="309"/>
      <c r="G777" s="309"/>
      <c r="H777" s="309"/>
      <c r="I777" s="309"/>
      <c r="J777" s="309"/>
      <c r="K777" s="309"/>
      <c r="L777" s="309"/>
      <c r="M777" s="309"/>
      <c r="N777" s="309"/>
      <c r="O777" s="309"/>
      <c r="P777" s="309"/>
      <c r="Q777" s="309"/>
      <c r="R777" s="309"/>
      <c r="S777" s="309"/>
      <c r="T777" s="309"/>
      <c r="U777" s="309"/>
      <c r="V777" s="309"/>
      <c r="W777" s="309"/>
      <c r="X777" s="309"/>
      <c r="Y777" s="309"/>
      <c r="Z777" s="309"/>
    </row>
    <row r="778">
      <c r="A778" s="194"/>
      <c r="B778" s="309"/>
      <c r="C778" s="194"/>
      <c r="D778" s="309"/>
      <c r="E778" s="309"/>
      <c r="F778" s="309"/>
      <c r="G778" s="309"/>
      <c r="H778" s="309"/>
      <c r="I778" s="309"/>
      <c r="J778" s="309"/>
      <c r="K778" s="309"/>
      <c r="L778" s="309"/>
      <c r="M778" s="309"/>
      <c r="N778" s="309"/>
      <c r="O778" s="309"/>
      <c r="P778" s="309"/>
      <c r="Q778" s="309"/>
      <c r="R778" s="309"/>
      <c r="S778" s="309"/>
      <c r="T778" s="309"/>
      <c r="U778" s="309"/>
      <c r="V778" s="309"/>
      <c r="W778" s="309"/>
      <c r="X778" s="309"/>
      <c r="Y778" s="309"/>
      <c r="Z778" s="309"/>
    </row>
    <row r="779">
      <c r="A779" s="194"/>
      <c r="B779" s="309"/>
      <c r="C779" s="194"/>
      <c r="D779" s="309"/>
      <c r="E779" s="309"/>
      <c r="F779" s="309"/>
      <c r="G779" s="309"/>
      <c r="H779" s="309"/>
      <c r="I779" s="309"/>
      <c r="J779" s="309"/>
      <c r="K779" s="309"/>
      <c r="L779" s="309"/>
      <c r="M779" s="309"/>
      <c r="N779" s="309"/>
      <c r="O779" s="309"/>
      <c r="P779" s="309"/>
      <c r="Q779" s="309"/>
      <c r="R779" s="309"/>
      <c r="S779" s="309"/>
      <c r="T779" s="309"/>
      <c r="U779" s="309"/>
      <c r="V779" s="309"/>
      <c r="W779" s="309"/>
      <c r="X779" s="309"/>
      <c r="Y779" s="309"/>
      <c r="Z779" s="309"/>
    </row>
    <row r="780">
      <c r="A780" s="194"/>
      <c r="B780" s="309"/>
      <c r="C780" s="194"/>
      <c r="D780" s="309"/>
      <c r="E780" s="309"/>
      <c r="F780" s="309"/>
      <c r="G780" s="309"/>
      <c r="H780" s="309"/>
      <c r="I780" s="309"/>
      <c r="J780" s="309"/>
      <c r="K780" s="309"/>
      <c r="L780" s="309"/>
      <c r="M780" s="309"/>
      <c r="N780" s="309"/>
      <c r="O780" s="309"/>
      <c r="P780" s="309"/>
      <c r="Q780" s="309"/>
      <c r="R780" s="309"/>
      <c r="S780" s="309"/>
      <c r="T780" s="309"/>
      <c r="U780" s="309"/>
      <c r="V780" s="309"/>
      <c r="W780" s="309"/>
      <c r="X780" s="309"/>
      <c r="Y780" s="309"/>
      <c r="Z780" s="309"/>
    </row>
    <row r="781">
      <c r="A781" s="194"/>
      <c r="B781" s="309"/>
      <c r="C781" s="194"/>
      <c r="D781" s="309"/>
      <c r="E781" s="309"/>
      <c r="F781" s="309"/>
      <c r="G781" s="309"/>
      <c r="H781" s="309"/>
      <c r="I781" s="309"/>
      <c r="J781" s="309"/>
      <c r="K781" s="309"/>
      <c r="L781" s="309"/>
      <c r="M781" s="309"/>
      <c r="N781" s="309"/>
      <c r="O781" s="309"/>
      <c r="P781" s="309"/>
      <c r="Q781" s="309"/>
      <c r="R781" s="309"/>
      <c r="S781" s="309"/>
      <c r="T781" s="309"/>
      <c r="U781" s="309"/>
      <c r="V781" s="309"/>
      <c r="W781" s="309"/>
      <c r="X781" s="309"/>
      <c r="Y781" s="309"/>
      <c r="Z781" s="309"/>
    </row>
    <row r="782">
      <c r="A782" s="194"/>
      <c r="B782" s="309"/>
      <c r="C782" s="194"/>
      <c r="D782" s="309"/>
      <c r="E782" s="309"/>
      <c r="F782" s="309"/>
      <c r="G782" s="309"/>
      <c r="H782" s="309"/>
      <c r="I782" s="309"/>
      <c r="J782" s="309"/>
      <c r="K782" s="309"/>
      <c r="L782" s="309"/>
      <c r="M782" s="309"/>
      <c r="N782" s="309"/>
      <c r="O782" s="309"/>
      <c r="P782" s="309"/>
      <c r="Q782" s="309"/>
      <c r="R782" s="309"/>
      <c r="S782" s="309"/>
      <c r="T782" s="309"/>
      <c r="U782" s="309"/>
      <c r="V782" s="309"/>
      <c r="W782" s="309"/>
      <c r="X782" s="309"/>
      <c r="Y782" s="309"/>
      <c r="Z782" s="309"/>
    </row>
    <row r="783">
      <c r="A783" s="194"/>
      <c r="B783" s="309"/>
      <c r="C783" s="194"/>
      <c r="D783" s="309"/>
      <c r="E783" s="309"/>
      <c r="F783" s="309"/>
      <c r="G783" s="309"/>
      <c r="H783" s="309"/>
      <c r="I783" s="309"/>
      <c r="J783" s="309"/>
      <c r="K783" s="309"/>
      <c r="L783" s="309"/>
      <c r="M783" s="309"/>
      <c r="N783" s="309"/>
      <c r="O783" s="309"/>
      <c r="P783" s="309"/>
      <c r="Q783" s="309"/>
      <c r="R783" s="309"/>
      <c r="S783" s="309"/>
      <c r="T783" s="309"/>
      <c r="U783" s="309"/>
      <c r="V783" s="309"/>
      <c r="W783" s="309"/>
      <c r="X783" s="309"/>
      <c r="Y783" s="309"/>
      <c r="Z783" s="309"/>
    </row>
    <row r="784">
      <c r="A784" s="194"/>
      <c r="B784" s="309"/>
      <c r="C784" s="194"/>
      <c r="D784" s="309"/>
      <c r="E784" s="309"/>
      <c r="F784" s="309"/>
      <c r="G784" s="309"/>
      <c r="H784" s="309"/>
      <c r="I784" s="309"/>
      <c r="J784" s="309"/>
      <c r="K784" s="309"/>
      <c r="L784" s="309"/>
      <c r="M784" s="309"/>
      <c r="N784" s="309"/>
      <c r="O784" s="309"/>
      <c r="P784" s="309"/>
      <c r="Q784" s="309"/>
      <c r="R784" s="309"/>
      <c r="S784" s="309"/>
      <c r="T784" s="309"/>
      <c r="U784" s="309"/>
      <c r="V784" s="309"/>
      <c r="W784" s="309"/>
      <c r="X784" s="309"/>
      <c r="Y784" s="309"/>
      <c r="Z784" s="309"/>
    </row>
    <row r="785">
      <c r="A785" s="194"/>
      <c r="B785" s="309"/>
      <c r="C785" s="194"/>
      <c r="D785" s="309"/>
      <c r="E785" s="309"/>
      <c r="F785" s="309"/>
      <c r="G785" s="309"/>
      <c r="H785" s="309"/>
      <c r="I785" s="309"/>
      <c r="J785" s="309"/>
      <c r="K785" s="309"/>
      <c r="L785" s="309"/>
      <c r="M785" s="309"/>
      <c r="N785" s="309"/>
      <c r="O785" s="309"/>
      <c r="P785" s="309"/>
      <c r="Q785" s="309"/>
      <c r="R785" s="309"/>
      <c r="S785" s="309"/>
      <c r="T785" s="309"/>
      <c r="U785" s="309"/>
      <c r="V785" s="309"/>
      <c r="W785" s="309"/>
      <c r="X785" s="309"/>
      <c r="Y785" s="309"/>
      <c r="Z785" s="309"/>
    </row>
    <row r="786">
      <c r="A786" s="194"/>
      <c r="B786" s="309"/>
      <c r="C786" s="194"/>
      <c r="D786" s="309"/>
      <c r="E786" s="309"/>
      <c r="F786" s="309"/>
      <c r="G786" s="309"/>
      <c r="H786" s="309"/>
      <c r="I786" s="309"/>
      <c r="J786" s="309"/>
      <c r="K786" s="309"/>
      <c r="L786" s="309"/>
      <c r="M786" s="309"/>
      <c r="N786" s="309"/>
      <c r="O786" s="309"/>
      <c r="P786" s="309"/>
      <c r="Q786" s="309"/>
      <c r="R786" s="309"/>
      <c r="S786" s="309"/>
      <c r="T786" s="309"/>
      <c r="U786" s="309"/>
      <c r="V786" s="309"/>
      <c r="W786" s="309"/>
      <c r="X786" s="309"/>
      <c r="Y786" s="309"/>
      <c r="Z786" s="309"/>
    </row>
    <row r="787">
      <c r="A787" s="194"/>
      <c r="B787" s="309"/>
      <c r="C787" s="194"/>
      <c r="D787" s="309"/>
      <c r="E787" s="309"/>
      <c r="F787" s="309"/>
      <c r="G787" s="309"/>
      <c r="H787" s="309"/>
      <c r="I787" s="309"/>
      <c r="J787" s="309"/>
      <c r="K787" s="309"/>
      <c r="L787" s="309"/>
      <c r="M787" s="309"/>
      <c r="N787" s="309"/>
      <c r="O787" s="309"/>
      <c r="P787" s="309"/>
      <c r="Q787" s="309"/>
      <c r="R787" s="309"/>
      <c r="S787" s="309"/>
      <c r="T787" s="309"/>
      <c r="U787" s="309"/>
      <c r="V787" s="309"/>
      <c r="W787" s="309"/>
      <c r="X787" s="309"/>
      <c r="Y787" s="309"/>
      <c r="Z787" s="309"/>
    </row>
    <row r="788">
      <c r="A788" s="194"/>
      <c r="B788" s="309"/>
      <c r="C788" s="194"/>
      <c r="D788" s="309"/>
      <c r="E788" s="309"/>
      <c r="F788" s="309"/>
      <c r="G788" s="309"/>
      <c r="H788" s="309"/>
      <c r="I788" s="309"/>
      <c r="J788" s="309"/>
      <c r="K788" s="309"/>
      <c r="L788" s="309"/>
      <c r="M788" s="309"/>
      <c r="N788" s="309"/>
      <c r="O788" s="309"/>
      <c r="P788" s="309"/>
      <c r="Q788" s="309"/>
      <c r="R788" s="309"/>
      <c r="S788" s="309"/>
      <c r="T788" s="309"/>
      <c r="U788" s="309"/>
      <c r="V788" s="309"/>
      <c r="W788" s="309"/>
      <c r="X788" s="309"/>
      <c r="Y788" s="309"/>
      <c r="Z788" s="309"/>
    </row>
    <row r="789">
      <c r="A789" s="194"/>
      <c r="B789" s="309"/>
      <c r="C789" s="194"/>
      <c r="D789" s="309"/>
      <c r="E789" s="309"/>
      <c r="F789" s="309"/>
      <c r="G789" s="309"/>
      <c r="H789" s="309"/>
      <c r="I789" s="309"/>
      <c r="J789" s="309"/>
      <c r="K789" s="309"/>
      <c r="L789" s="309"/>
      <c r="M789" s="309"/>
      <c r="N789" s="309"/>
      <c r="O789" s="309"/>
      <c r="P789" s="309"/>
      <c r="Q789" s="309"/>
      <c r="R789" s="309"/>
      <c r="S789" s="309"/>
      <c r="T789" s="309"/>
      <c r="U789" s="309"/>
      <c r="V789" s="309"/>
      <c r="W789" s="309"/>
      <c r="X789" s="309"/>
      <c r="Y789" s="309"/>
      <c r="Z789" s="309"/>
    </row>
    <row r="790">
      <c r="A790" s="194"/>
      <c r="B790" s="309"/>
      <c r="C790" s="194"/>
      <c r="D790" s="309"/>
      <c r="E790" s="309"/>
      <c r="F790" s="309"/>
      <c r="G790" s="309"/>
      <c r="H790" s="309"/>
      <c r="I790" s="309"/>
      <c r="J790" s="309"/>
      <c r="K790" s="309"/>
      <c r="L790" s="309"/>
      <c r="M790" s="309"/>
      <c r="N790" s="309"/>
      <c r="O790" s="309"/>
      <c r="P790" s="309"/>
      <c r="Q790" s="309"/>
      <c r="R790" s="309"/>
      <c r="S790" s="309"/>
      <c r="T790" s="309"/>
      <c r="U790" s="309"/>
      <c r="V790" s="309"/>
      <c r="W790" s="309"/>
      <c r="X790" s="309"/>
      <c r="Y790" s="309"/>
      <c r="Z790" s="309"/>
    </row>
    <row r="791">
      <c r="A791" s="194"/>
      <c r="B791" s="309"/>
      <c r="C791" s="194"/>
      <c r="D791" s="309"/>
      <c r="E791" s="309"/>
      <c r="F791" s="309"/>
      <c r="G791" s="309"/>
      <c r="H791" s="309"/>
      <c r="I791" s="309"/>
      <c r="J791" s="309"/>
      <c r="K791" s="309"/>
      <c r="L791" s="309"/>
      <c r="M791" s="309"/>
      <c r="N791" s="309"/>
      <c r="O791" s="309"/>
      <c r="P791" s="309"/>
      <c r="Q791" s="309"/>
      <c r="R791" s="309"/>
      <c r="S791" s="309"/>
      <c r="T791" s="309"/>
      <c r="U791" s="309"/>
      <c r="V791" s="309"/>
      <c r="W791" s="309"/>
      <c r="X791" s="309"/>
      <c r="Y791" s="309"/>
      <c r="Z791" s="309"/>
    </row>
    <row r="792">
      <c r="A792" s="194"/>
      <c r="B792" s="309"/>
      <c r="C792" s="194"/>
      <c r="D792" s="309"/>
      <c r="E792" s="309"/>
      <c r="F792" s="309"/>
      <c r="G792" s="309"/>
      <c r="H792" s="309"/>
      <c r="I792" s="309"/>
      <c r="J792" s="309"/>
      <c r="K792" s="309"/>
      <c r="L792" s="309"/>
      <c r="M792" s="309"/>
      <c r="N792" s="309"/>
      <c r="O792" s="309"/>
      <c r="P792" s="309"/>
      <c r="Q792" s="309"/>
      <c r="R792" s="309"/>
      <c r="S792" s="309"/>
      <c r="T792" s="309"/>
      <c r="U792" s="309"/>
      <c r="V792" s="309"/>
      <c r="W792" s="309"/>
      <c r="X792" s="309"/>
      <c r="Y792" s="309"/>
      <c r="Z792" s="309"/>
    </row>
    <row r="793">
      <c r="A793" s="194"/>
      <c r="B793" s="309"/>
      <c r="C793" s="194"/>
      <c r="D793" s="309"/>
      <c r="E793" s="309"/>
      <c r="F793" s="309"/>
      <c r="G793" s="309"/>
      <c r="H793" s="309"/>
      <c r="I793" s="309"/>
      <c r="J793" s="309"/>
      <c r="K793" s="309"/>
      <c r="L793" s="309"/>
      <c r="M793" s="309"/>
      <c r="N793" s="309"/>
      <c r="O793" s="309"/>
      <c r="P793" s="309"/>
      <c r="Q793" s="309"/>
      <c r="R793" s="309"/>
      <c r="S793" s="309"/>
      <c r="T793" s="309"/>
      <c r="U793" s="309"/>
      <c r="V793" s="309"/>
      <c r="W793" s="309"/>
      <c r="X793" s="309"/>
      <c r="Y793" s="309"/>
      <c r="Z793" s="309"/>
    </row>
    <row r="794">
      <c r="A794" s="194"/>
      <c r="B794" s="309"/>
      <c r="C794" s="194"/>
      <c r="D794" s="309"/>
      <c r="E794" s="309"/>
      <c r="F794" s="309"/>
      <c r="G794" s="309"/>
      <c r="H794" s="309"/>
      <c r="I794" s="309"/>
      <c r="J794" s="309"/>
      <c r="K794" s="309"/>
      <c r="L794" s="309"/>
      <c r="M794" s="309"/>
      <c r="N794" s="309"/>
      <c r="O794" s="309"/>
      <c r="P794" s="309"/>
      <c r="Q794" s="309"/>
      <c r="R794" s="309"/>
      <c r="S794" s="309"/>
      <c r="T794" s="309"/>
      <c r="U794" s="309"/>
      <c r="V794" s="309"/>
      <c r="W794" s="309"/>
      <c r="X794" s="309"/>
      <c r="Y794" s="309"/>
      <c r="Z794" s="309"/>
    </row>
    <row r="795">
      <c r="A795" s="194"/>
      <c r="B795" s="309"/>
      <c r="C795" s="194"/>
      <c r="D795" s="309"/>
      <c r="E795" s="309"/>
      <c r="F795" s="309"/>
      <c r="G795" s="309"/>
      <c r="H795" s="309"/>
      <c r="I795" s="309"/>
      <c r="J795" s="309"/>
      <c r="K795" s="309"/>
      <c r="L795" s="309"/>
      <c r="M795" s="309"/>
      <c r="N795" s="309"/>
      <c r="O795" s="309"/>
      <c r="P795" s="309"/>
      <c r="Q795" s="309"/>
      <c r="R795" s="309"/>
      <c r="S795" s="309"/>
      <c r="T795" s="309"/>
      <c r="U795" s="309"/>
      <c r="V795" s="309"/>
      <c r="W795" s="309"/>
      <c r="X795" s="309"/>
      <c r="Y795" s="309"/>
      <c r="Z795" s="309"/>
    </row>
    <row r="796">
      <c r="A796" s="194"/>
      <c r="B796" s="309"/>
      <c r="C796" s="194"/>
      <c r="D796" s="309"/>
      <c r="E796" s="309"/>
      <c r="F796" s="309"/>
      <c r="G796" s="309"/>
      <c r="H796" s="309"/>
      <c r="I796" s="309"/>
      <c r="J796" s="309"/>
      <c r="K796" s="309"/>
      <c r="L796" s="309"/>
      <c r="M796" s="309"/>
      <c r="N796" s="309"/>
      <c r="O796" s="309"/>
      <c r="P796" s="309"/>
      <c r="Q796" s="309"/>
      <c r="R796" s="309"/>
      <c r="S796" s="309"/>
      <c r="T796" s="309"/>
      <c r="U796" s="309"/>
      <c r="V796" s="309"/>
      <c r="W796" s="309"/>
      <c r="X796" s="309"/>
      <c r="Y796" s="309"/>
      <c r="Z796" s="309"/>
    </row>
    <row r="797">
      <c r="A797" s="194"/>
      <c r="B797" s="309"/>
      <c r="C797" s="194"/>
      <c r="D797" s="309"/>
      <c r="E797" s="309"/>
      <c r="F797" s="309"/>
      <c r="G797" s="309"/>
      <c r="H797" s="309"/>
      <c r="I797" s="309"/>
      <c r="J797" s="309"/>
      <c r="K797" s="309"/>
      <c r="L797" s="309"/>
      <c r="M797" s="309"/>
      <c r="N797" s="309"/>
      <c r="O797" s="309"/>
      <c r="P797" s="309"/>
      <c r="Q797" s="309"/>
      <c r="R797" s="309"/>
      <c r="S797" s="309"/>
      <c r="T797" s="309"/>
      <c r="U797" s="309"/>
      <c r="V797" s="309"/>
      <c r="W797" s="309"/>
      <c r="X797" s="309"/>
      <c r="Y797" s="309"/>
      <c r="Z797" s="309"/>
    </row>
    <row r="798">
      <c r="A798" s="194"/>
      <c r="B798" s="309"/>
      <c r="C798" s="194"/>
      <c r="D798" s="309"/>
      <c r="E798" s="309"/>
      <c r="F798" s="309"/>
      <c r="G798" s="309"/>
      <c r="H798" s="309"/>
      <c r="I798" s="309"/>
      <c r="J798" s="309"/>
      <c r="K798" s="309"/>
      <c r="L798" s="309"/>
      <c r="M798" s="309"/>
      <c r="N798" s="309"/>
      <c r="O798" s="309"/>
      <c r="P798" s="309"/>
      <c r="Q798" s="309"/>
      <c r="R798" s="309"/>
      <c r="S798" s="309"/>
      <c r="T798" s="309"/>
      <c r="U798" s="309"/>
      <c r="V798" s="309"/>
      <c r="W798" s="309"/>
      <c r="X798" s="309"/>
      <c r="Y798" s="309"/>
      <c r="Z798" s="309"/>
    </row>
    <row r="799">
      <c r="A799" s="194"/>
      <c r="B799" s="309"/>
      <c r="C799" s="194"/>
      <c r="D799" s="309"/>
      <c r="E799" s="309"/>
      <c r="F799" s="309"/>
      <c r="G799" s="309"/>
      <c r="H799" s="309"/>
      <c r="I799" s="309"/>
      <c r="J799" s="309"/>
      <c r="K799" s="309"/>
      <c r="L799" s="309"/>
      <c r="M799" s="309"/>
      <c r="N799" s="309"/>
      <c r="O799" s="309"/>
      <c r="P799" s="309"/>
      <c r="Q799" s="309"/>
      <c r="R799" s="309"/>
      <c r="S799" s="309"/>
      <c r="T799" s="309"/>
      <c r="U799" s="309"/>
      <c r="V799" s="309"/>
      <c r="W799" s="309"/>
      <c r="X799" s="309"/>
      <c r="Y799" s="309"/>
      <c r="Z799" s="309"/>
    </row>
    <row r="800">
      <c r="A800" s="194"/>
      <c r="B800" s="309"/>
      <c r="C800" s="194"/>
      <c r="D800" s="309"/>
      <c r="E800" s="309"/>
      <c r="F800" s="309"/>
      <c r="G800" s="309"/>
      <c r="H800" s="309"/>
      <c r="I800" s="309"/>
      <c r="J800" s="309"/>
      <c r="K800" s="309"/>
      <c r="L800" s="309"/>
      <c r="M800" s="309"/>
      <c r="N800" s="309"/>
      <c r="O800" s="309"/>
      <c r="P800" s="309"/>
      <c r="Q800" s="309"/>
      <c r="R800" s="309"/>
      <c r="S800" s="309"/>
      <c r="T800" s="309"/>
      <c r="U800" s="309"/>
      <c r="V800" s="309"/>
      <c r="W800" s="309"/>
      <c r="X800" s="309"/>
      <c r="Y800" s="309"/>
      <c r="Z800" s="309"/>
    </row>
    <row r="801">
      <c r="A801" s="194"/>
      <c r="B801" s="309"/>
      <c r="C801" s="194"/>
      <c r="D801" s="309"/>
      <c r="E801" s="309"/>
      <c r="F801" s="309"/>
      <c r="G801" s="309"/>
      <c r="H801" s="309"/>
      <c r="I801" s="309"/>
      <c r="J801" s="309"/>
      <c r="K801" s="309"/>
      <c r="L801" s="309"/>
      <c r="M801" s="309"/>
      <c r="N801" s="309"/>
      <c r="O801" s="309"/>
      <c r="P801" s="309"/>
      <c r="Q801" s="309"/>
      <c r="R801" s="309"/>
      <c r="S801" s="309"/>
      <c r="T801" s="309"/>
      <c r="U801" s="309"/>
      <c r="V801" s="309"/>
      <c r="W801" s="309"/>
      <c r="X801" s="309"/>
      <c r="Y801" s="309"/>
      <c r="Z801" s="309"/>
    </row>
    <row r="802">
      <c r="A802" s="194"/>
      <c r="B802" s="309"/>
      <c r="C802" s="194"/>
      <c r="D802" s="309"/>
      <c r="E802" s="309"/>
      <c r="F802" s="309"/>
      <c r="G802" s="309"/>
      <c r="H802" s="309"/>
      <c r="I802" s="309"/>
      <c r="J802" s="309"/>
      <c r="K802" s="309"/>
      <c r="L802" s="309"/>
      <c r="M802" s="309"/>
      <c r="N802" s="309"/>
      <c r="O802" s="309"/>
      <c r="P802" s="309"/>
      <c r="Q802" s="309"/>
      <c r="R802" s="309"/>
      <c r="S802" s="309"/>
      <c r="T802" s="309"/>
      <c r="U802" s="309"/>
      <c r="V802" s="309"/>
      <c r="W802" s="309"/>
      <c r="X802" s="309"/>
      <c r="Y802" s="309"/>
      <c r="Z802" s="309"/>
    </row>
    <row r="803">
      <c r="A803" s="194"/>
      <c r="B803" s="309"/>
      <c r="C803" s="194"/>
      <c r="D803" s="309"/>
      <c r="E803" s="309"/>
      <c r="F803" s="309"/>
      <c r="G803" s="309"/>
      <c r="H803" s="309"/>
      <c r="I803" s="309"/>
      <c r="J803" s="309"/>
      <c r="K803" s="309"/>
      <c r="L803" s="309"/>
      <c r="M803" s="309"/>
      <c r="N803" s="309"/>
      <c r="O803" s="309"/>
      <c r="P803" s="309"/>
      <c r="Q803" s="309"/>
      <c r="R803" s="309"/>
      <c r="S803" s="309"/>
      <c r="T803" s="309"/>
      <c r="U803" s="309"/>
      <c r="V803" s="309"/>
      <c r="W803" s="309"/>
      <c r="X803" s="309"/>
      <c r="Y803" s="309"/>
      <c r="Z803" s="309"/>
    </row>
    <row r="804">
      <c r="A804" s="194"/>
      <c r="B804" s="309"/>
      <c r="C804" s="194"/>
      <c r="D804" s="309"/>
      <c r="E804" s="309"/>
      <c r="F804" s="309"/>
      <c r="G804" s="309"/>
      <c r="H804" s="309"/>
      <c r="I804" s="309"/>
      <c r="J804" s="309"/>
      <c r="K804" s="309"/>
      <c r="L804" s="309"/>
      <c r="M804" s="309"/>
      <c r="N804" s="309"/>
      <c r="O804" s="309"/>
      <c r="P804" s="309"/>
      <c r="Q804" s="309"/>
      <c r="R804" s="309"/>
      <c r="S804" s="309"/>
      <c r="T804" s="309"/>
      <c r="U804" s="309"/>
      <c r="V804" s="309"/>
      <c r="W804" s="309"/>
      <c r="X804" s="309"/>
      <c r="Y804" s="309"/>
      <c r="Z804" s="309"/>
    </row>
    <row r="805">
      <c r="A805" s="194"/>
      <c r="B805" s="309"/>
      <c r="C805" s="194"/>
      <c r="D805" s="309"/>
      <c r="E805" s="309"/>
      <c r="F805" s="309"/>
      <c r="G805" s="309"/>
      <c r="H805" s="309"/>
      <c r="I805" s="309"/>
      <c r="J805" s="309"/>
      <c r="K805" s="309"/>
      <c r="L805" s="309"/>
      <c r="M805" s="309"/>
      <c r="N805" s="309"/>
      <c r="O805" s="309"/>
      <c r="P805" s="309"/>
      <c r="Q805" s="309"/>
      <c r="R805" s="309"/>
      <c r="S805" s="309"/>
      <c r="T805" s="309"/>
      <c r="U805" s="309"/>
      <c r="V805" s="309"/>
      <c r="W805" s="309"/>
      <c r="X805" s="309"/>
      <c r="Y805" s="309"/>
      <c r="Z805" s="309"/>
    </row>
    <row r="806">
      <c r="A806" s="194"/>
      <c r="B806" s="309"/>
      <c r="C806" s="194"/>
      <c r="D806" s="309"/>
      <c r="E806" s="309"/>
      <c r="F806" s="309"/>
      <c r="G806" s="309"/>
      <c r="H806" s="309"/>
      <c r="I806" s="309"/>
      <c r="J806" s="309"/>
      <c r="K806" s="309"/>
      <c r="L806" s="309"/>
      <c r="M806" s="309"/>
      <c r="N806" s="309"/>
      <c r="O806" s="309"/>
      <c r="P806" s="309"/>
      <c r="Q806" s="309"/>
      <c r="R806" s="309"/>
      <c r="S806" s="309"/>
      <c r="T806" s="309"/>
      <c r="U806" s="309"/>
      <c r="V806" s="309"/>
      <c r="W806" s="309"/>
      <c r="X806" s="309"/>
      <c r="Y806" s="309"/>
      <c r="Z806" s="309"/>
    </row>
    <row r="807">
      <c r="A807" s="194"/>
      <c r="B807" s="309"/>
      <c r="C807" s="194"/>
      <c r="D807" s="309"/>
      <c r="E807" s="309"/>
      <c r="F807" s="309"/>
      <c r="G807" s="309"/>
      <c r="H807" s="309"/>
      <c r="I807" s="309"/>
      <c r="J807" s="309"/>
      <c r="K807" s="309"/>
      <c r="L807" s="309"/>
      <c r="M807" s="309"/>
      <c r="N807" s="309"/>
      <c r="O807" s="309"/>
      <c r="P807" s="309"/>
      <c r="Q807" s="309"/>
      <c r="R807" s="309"/>
      <c r="S807" s="309"/>
      <c r="T807" s="309"/>
      <c r="U807" s="309"/>
      <c r="V807" s="309"/>
      <c r="W807" s="309"/>
      <c r="X807" s="309"/>
      <c r="Y807" s="309"/>
      <c r="Z807" s="309"/>
    </row>
    <row r="808">
      <c r="A808" s="194"/>
      <c r="B808" s="309"/>
      <c r="C808" s="194"/>
      <c r="D808" s="309"/>
      <c r="E808" s="309"/>
      <c r="F808" s="309"/>
      <c r="G808" s="309"/>
      <c r="H808" s="309"/>
      <c r="I808" s="309"/>
      <c r="J808" s="309"/>
      <c r="K808" s="309"/>
      <c r="L808" s="309"/>
      <c r="M808" s="309"/>
      <c r="N808" s="309"/>
      <c r="O808" s="309"/>
      <c r="P808" s="309"/>
      <c r="Q808" s="309"/>
      <c r="R808" s="309"/>
      <c r="S808" s="309"/>
      <c r="T808" s="309"/>
      <c r="U808" s="309"/>
      <c r="V808" s="309"/>
      <c r="W808" s="309"/>
      <c r="X808" s="309"/>
      <c r="Y808" s="309"/>
      <c r="Z808" s="309"/>
    </row>
    <row r="809">
      <c r="A809" s="194"/>
      <c r="B809" s="309"/>
      <c r="C809" s="194"/>
      <c r="D809" s="309"/>
      <c r="E809" s="309"/>
      <c r="F809" s="309"/>
      <c r="G809" s="309"/>
      <c r="H809" s="309"/>
      <c r="I809" s="309"/>
      <c r="J809" s="309"/>
      <c r="K809" s="309"/>
      <c r="L809" s="309"/>
      <c r="M809" s="309"/>
      <c r="N809" s="309"/>
      <c r="O809" s="309"/>
      <c r="P809" s="309"/>
      <c r="Q809" s="309"/>
      <c r="R809" s="309"/>
      <c r="S809" s="309"/>
      <c r="T809" s="309"/>
      <c r="U809" s="309"/>
      <c r="V809" s="309"/>
      <c r="W809" s="309"/>
      <c r="X809" s="309"/>
      <c r="Y809" s="309"/>
      <c r="Z809" s="309"/>
    </row>
    <row r="810">
      <c r="A810" s="194"/>
      <c r="B810" s="309"/>
      <c r="C810" s="194"/>
      <c r="D810" s="309"/>
      <c r="E810" s="309"/>
      <c r="F810" s="309"/>
      <c r="G810" s="309"/>
      <c r="H810" s="309"/>
      <c r="I810" s="309"/>
      <c r="J810" s="309"/>
      <c r="K810" s="309"/>
      <c r="L810" s="309"/>
      <c r="M810" s="309"/>
      <c r="N810" s="309"/>
      <c r="O810" s="309"/>
      <c r="P810" s="309"/>
      <c r="Q810" s="309"/>
      <c r="R810" s="309"/>
      <c r="S810" s="309"/>
      <c r="T810" s="309"/>
      <c r="U810" s="309"/>
      <c r="V810" s="309"/>
      <c r="W810" s="309"/>
      <c r="X810" s="309"/>
      <c r="Y810" s="309"/>
      <c r="Z810" s="309"/>
    </row>
    <row r="811">
      <c r="A811" s="194"/>
      <c r="B811" s="309"/>
      <c r="C811" s="194"/>
      <c r="D811" s="309"/>
      <c r="E811" s="309"/>
      <c r="F811" s="309"/>
      <c r="G811" s="309"/>
      <c r="H811" s="309"/>
      <c r="I811" s="309"/>
      <c r="J811" s="309"/>
      <c r="K811" s="309"/>
      <c r="L811" s="309"/>
      <c r="M811" s="309"/>
      <c r="N811" s="309"/>
      <c r="O811" s="309"/>
      <c r="P811" s="309"/>
      <c r="Q811" s="309"/>
      <c r="R811" s="309"/>
      <c r="S811" s="309"/>
      <c r="T811" s="309"/>
      <c r="U811" s="309"/>
      <c r="V811" s="309"/>
      <c r="W811" s="309"/>
      <c r="X811" s="309"/>
      <c r="Y811" s="309"/>
      <c r="Z811" s="309"/>
    </row>
    <row r="812">
      <c r="A812" s="194"/>
      <c r="B812" s="309"/>
      <c r="C812" s="194"/>
      <c r="D812" s="309"/>
      <c r="E812" s="309"/>
      <c r="F812" s="309"/>
      <c r="G812" s="309"/>
      <c r="H812" s="309"/>
      <c r="I812" s="309"/>
      <c r="J812" s="309"/>
      <c r="K812" s="309"/>
      <c r="L812" s="309"/>
      <c r="M812" s="309"/>
      <c r="N812" s="309"/>
      <c r="O812" s="309"/>
      <c r="P812" s="309"/>
      <c r="Q812" s="309"/>
      <c r="R812" s="309"/>
      <c r="S812" s="309"/>
      <c r="T812" s="309"/>
      <c r="U812" s="309"/>
      <c r="V812" s="309"/>
      <c r="W812" s="309"/>
      <c r="X812" s="309"/>
      <c r="Y812" s="309"/>
      <c r="Z812" s="309"/>
    </row>
    <row r="813">
      <c r="A813" s="194"/>
      <c r="B813" s="309"/>
      <c r="C813" s="194"/>
      <c r="D813" s="309"/>
      <c r="E813" s="309"/>
      <c r="F813" s="309"/>
      <c r="G813" s="309"/>
      <c r="H813" s="309"/>
      <c r="I813" s="309"/>
      <c r="J813" s="309"/>
      <c r="K813" s="309"/>
      <c r="L813" s="309"/>
      <c r="M813" s="309"/>
      <c r="N813" s="309"/>
      <c r="O813" s="309"/>
      <c r="P813" s="309"/>
      <c r="Q813" s="309"/>
      <c r="R813" s="309"/>
      <c r="S813" s="309"/>
      <c r="T813" s="309"/>
      <c r="U813" s="309"/>
      <c r="V813" s="309"/>
      <c r="W813" s="309"/>
      <c r="X813" s="309"/>
      <c r="Y813" s="309"/>
      <c r="Z813" s="309"/>
    </row>
    <row r="814">
      <c r="A814" s="194"/>
      <c r="B814" s="309"/>
      <c r="C814" s="194"/>
      <c r="D814" s="309"/>
      <c r="E814" s="309"/>
      <c r="F814" s="309"/>
      <c r="G814" s="309"/>
      <c r="H814" s="309"/>
      <c r="I814" s="309"/>
      <c r="J814" s="309"/>
      <c r="K814" s="309"/>
      <c r="L814" s="309"/>
      <c r="M814" s="309"/>
      <c r="N814" s="309"/>
      <c r="O814" s="309"/>
      <c r="P814" s="309"/>
      <c r="Q814" s="309"/>
      <c r="R814" s="309"/>
      <c r="S814" s="309"/>
      <c r="T814" s="309"/>
      <c r="U814" s="309"/>
      <c r="V814" s="309"/>
      <c r="W814" s="309"/>
      <c r="X814" s="309"/>
      <c r="Y814" s="309"/>
      <c r="Z814" s="309"/>
    </row>
    <row r="815">
      <c r="A815" s="194"/>
      <c r="B815" s="309"/>
      <c r="C815" s="194"/>
      <c r="D815" s="309"/>
      <c r="E815" s="309"/>
      <c r="F815" s="309"/>
      <c r="G815" s="309"/>
      <c r="H815" s="309"/>
      <c r="I815" s="309"/>
      <c r="J815" s="309"/>
      <c r="K815" s="309"/>
      <c r="L815" s="309"/>
      <c r="M815" s="309"/>
      <c r="N815" s="309"/>
      <c r="O815" s="309"/>
      <c r="P815" s="309"/>
      <c r="Q815" s="309"/>
      <c r="R815" s="309"/>
      <c r="S815" s="309"/>
      <c r="T815" s="309"/>
      <c r="U815" s="309"/>
      <c r="V815" s="309"/>
      <c r="W815" s="309"/>
      <c r="X815" s="309"/>
      <c r="Y815" s="309"/>
      <c r="Z815" s="309"/>
    </row>
    <row r="816">
      <c r="A816" s="194"/>
      <c r="B816" s="309"/>
      <c r="C816" s="194"/>
      <c r="D816" s="309"/>
      <c r="E816" s="309"/>
      <c r="F816" s="309"/>
      <c r="G816" s="309"/>
      <c r="H816" s="309"/>
      <c r="I816" s="309"/>
      <c r="J816" s="309"/>
      <c r="K816" s="309"/>
      <c r="L816" s="309"/>
      <c r="M816" s="309"/>
      <c r="N816" s="309"/>
      <c r="O816" s="309"/>
      <c r="P816" s="309"/>
      <c r="Q816" s="309"/>
      <c r="R816" s="309"/>
      <c r="S816" s="309"/>
      <c r="T816" s="309"/>
      <c r="U816" s="309"/>
      <c r="V816" s="309"/>
      <c r="W816" s="309"/>
      <c r="X816" s="309"/>
      <c r="Y816" s="309"/>
      <c r="Z816" s="309"/>
    </row>
    <row r="817">
      <c r="A817" s="194"/>
      <c r="B817" s="309"/>
      <c r="C817" s="194"/>
      <c r="D817" s="309"/>
      <c r="E817" s="309"/>
      <c r="F817" s="309"/>
      <c r="G817" s="309"/>
      <c r="H817" s="309"/>
      <c r="I817" s="309"/>
      <c r="J817" s="309"/>
      <c r="K817" s="309"/>
      <c r="L817" s="309"/>
      <c r="M817" s="309"/>
      <c r="N817" s="309"/>
      <c r="O817" s="309"/>
      <c r="P817" s="309"/>
      <c r="Q817" s="309"/>
      <c r="R817" s="309"/>
      <c r="S817" s="309"/>
      <c r="T817" s="309"/>
      <c r="U817" s="309"/>
      <c r="V817" s="309"/>
      <c r="W817" s="309"/>
      <c r="X817" s="309"/>
      <c r="Y817" s="309"/>
      <c r="Z817" s="309"/>
    </row>
    <row r="818">
      <c r="A818" s="194"/>
      <c r="B818" s="309"/>
      <c r="C818" s="194"/>
      <c r="D818" s="309"/>
      <c r="E818" s="309"/>
      <c r="F818" s="309"/>
      <c r="G818" s="309"/>
      <c r="H818" s="309"/>
      <c r="I818" s="309"/>
      <c r="J818" s="309"/>
      <c r="K818" s="309"/>
      <c r="L818" s="309"/>
      <c r="M818" s="309"/>
      <c r="N818" s="309"/>
      <c r="O818" s="309"/>
      <c r="P818" s="309"/>
      <c r="Q818" s="309"/>
      <c r="R818" s="309"/>
      <c r="S818" s="309"/>
      <c r="T818" s="309"/>
      <c r="U818" s="309"/>
      <c r="V818" s="309"/>
      <c r="W818" s="309"/>
      <c r="X818" s="309"/>
      <c r="Y818" s="309"/>
      <c r="Z818" s="309"/>
    </row>
    <row r="819">
      <c r="A819" s="194"/>
      <c r="B819" s="309"/>
      <c r="C819" s="194"/>
      <c r="D819" s="309"/>
      <c r="E819" s="309"/>
      <c r="F819" s="309"/>
      <c r="G819" s="309"/>
      <c r="H819" s="309"/>
      <c r="I819" s="309"/>
      <c r="J819" s="309"/>
      <c r="K819" s="309"/>
      <c r="L819" s="309"/>
      <c r="M819" s="309"/>
      <c r="N819" s="309"/>
      <c r="O819" s="309"/>
      <c r="P819" s="309"/>
      <c r="Q819" s="309"/>
      <c r="R819" s="309"/>
      <c r="S819" s="309"/>
      <c r="T819" s="309"/>
      <c r="U819" s="309"/>
      <c r="V819" s="309"/>
      <c r="W819" s="309"/>
      <c r="X819" s="309"/>
      <c r="Y819" s="309"/>
      <c r="Z819" s="309"/>
    </row>
    <row r="820">
      <c r="A820" s="194"/>
      <c r="B820" s="309"/>
      <c r="C820" s="194"/>
      <c r="D820" s="309"/>
      <c r="E820" s="309"/>
      <c r="F820" s="309"/>
      <c r="G820" s="309"/>
      <c r="H820" s="309"/>
      <c r="I820" s="309"/>
      <c r="J820" s="309"/>
      <c r="K820" s="309"/>
      <c r="L820" s="309"/>
      <c r="M820" s="309"/>
      <c r="N820" s="309"/>
      <c r="O820" s="309"/>
      <c r="P820" s="309"/>
      <c r="Q820" s="309"/>
      <c r="R820" s="309"/>
      <c r="S820" s="309"/>
      <c r="T820" s="309"/>
      <c r="U820" s="309"/>
      <c r="V820" s="309"/>
      <c r="W820" s="309"/>
      <c r="X820" s="309"/>
      <c r="Y820" s="309"/>
      <c r="Z820" s="309"/>
    </row>
    <row r="821">
      <c r="A821" s="194"/>
      <c r="B821" s="309"/>
      <c r="C821" s="194"/>
      <c r="D821" s="309"/>
      <c r="E821" s="309"/>
      <c r="F821" s="309"/>
      <c r="G821" s="309"/>
      <c r="H821" s="309"/>
      <c r="I821" s="309"/>
      <c r="J821" s="309"/>
      <c r="K821" s="309"/>
      <c r="L821" s="309"/>
      <c r="M821" s="309"/>
      <c r="N821" s="309"/>
      <c r="O821" s="309"/>
      <c r="P821" s="309"/>
      <c r="Q821" s="309"/>
      <c r="R821" s="309"/>
      <c r="S821" s="309"/>
      <c r="T821" s="309"/>
      <c r="U821" s="309"/>
      <c r="V821" s="309"/>
      <c r="W821" s="309"/>
      <c r="X821" s="309"/>
      <c r="Y821" s="309"/>
      <c r="Z821" s="309"/>
    </row>
    <row r="822">
      <c r="A822" s="194"/>
      <c r="B822" s="309"/>
      <c r="C822" s="194"/>
      <c r="D822" s="309"/>
      <c r="E822" s="309"/>
      <c r="F822" s="309"/>
      <c r="G822" s="309"/>
      <c r="H822" s="309"/>
      <c r="I822" s="309"/>
      <c r="J822" s="309"/>
      <c r="K822" s="309"/>
      <c r="L822" s="309"/>
      <c r="M822" s="309"/>
      <c r="N822" s="309"/>
      <c r="O822" s="309"/>
      <c r="P822" s="309"/>
      <c r="Q822" s="309"/>
      <c r="R822" s="309"/>
      <c r="S822" s="309"/>
      <c r="T822" s="309"/>
      <c r="U822" s="309"/>
      <c r="V822" s="309"/>
      <c r="W822" s="309"/>
      <c r="X822" s="309"/>
      <c r="Y822" s="309"/>
      <c r="Z822" s="309"/>
    </row>
    <row r="823">
      <c r="A823" s="194"/>
      <c r="B823" s="309"/>
      <c r="C823" s="194"/>
      <c r="D823" s="309"/>
      <c r="E823" s="309"/>
      <c r="F823" s="309"/>
      <c r="G823" s="309"/>
      <c r="H823" s="309"/>
      <c r="I823" s="309"/>
      <c r="J823" s="309"/>
      <c r="K823" s="309"/>
      <c r="L823" s="309"/>
      <c r="M823" s="309"/>
      <c r="N823" s="309"/>
      <c r="O823" s="309"/>
      <c r="P823" s="309"/>
      <c r="Q823" s="309"/>
      <c r="R823" s="309"/>
      <c r="S823" s="309"/>
      <c r="T823" s="309"/>
      <c r="U823" s="309"/>
      <c r="V823" s="309"/>
      <c r="W823" s="309"/>
      <c r="X823" s="309"/>
      <c r="Y823" s="309"/>
      <c r="Z823" s="309"/>
    </row>
    <row r="824">
      <c r="A824" s="194"/>
      <c r="B824" s="309"/>
      <c r="C824" s="194"/>
      <c r="D824" s="309"/>
      <c r="E824" s="309"/>
      <c r="F824" s="309"/>
      <c r="G824" s="309"/>
      <c r="H824" s="309"/>
      <c r="I824" s="309"/>
      <c r="J824" s="309"/>
      <c r="K824" s="309"/>
      <c r="L824" s="309"/>
      <c r="M824" s="309"/>
      <c r="N824" s="309"/>
      <c r="O824" s="309"/>
      <c r="P824" s="309"/>
      <c r="Q824" s="309"/>
      <c r="R824" s="309"/>
      <c r="S824" s="309"/>
      <c r="T824" s="309"/>
      <c r="U824" s="309"/>
      <c r="V824" s="309"/>
      <c r="W824" s="309"/>
      <c r="X824" s="309"/>
      <c r="Y824" s="309"/>
      <c r="Z824" s="309"/>
    </row>
    <row r="825">
      <c r="A825" s="194"/>
      <c r="B825" s="309"/>
      <c r="C825" s="194"/>
      <c r="D825" s="309"/>
      <c r="E825" s="309"/>
      <c r="F825" s="309"/>
      <c r="G825" s="309"/>
      <c r="H825" s="309"/>
      <c r="I825" s="309"/>
      <c r="J825" s="309"/>
      <c r="K825" s="309"/>
      <c r="L825" s="309"/>
      <c r="M825" s="309"/>
      <c r="N825" s="309"/>
      <c r="O825" s="309"/>
      <c r="P825" s="309"/>
      <c r="Q825" s="309"/>
      <c r="R825" s="309"/>
      <c r="S825" s="309"/>
      <c r="T825" s="309"/>
      <c r="U825" s="309"/>
      <c r="V825" s="309"/>
      <c r="W825" s="309"/>
      <c r="X825" s="309"/>
      <c r="Y825" s="309"/>
      <c r="Z825" s="309"/>
    </row>
    <row r="826">
      <c r="A826" s="194"/>
      <c r="B826" s="309"/>
      <c r="C826" s="194"/>
      <c r="D826" s="309"/>
      <c r="E826" s="309"/>
      <c r="F826" s="309"/>
      <c r="G826" s="309"/>
      <c r="H826" s="309"/>
      <c r="I826" s="309"/>
      <c r="J826" s="309"/>
      <c r="K826" s="309"/>
      <c r="L826" s="309"/>
      <c r="M826" s="309"/>
      <c r="N826" s="309"/>
      <c r="O826" s="309"/>
      <c r="P826" s="309"/>
      <c r="Q826" s="309"/>
      <c r="R826" s="309"/>
      <c r="S826" s="309"/>
      <c r="T826" s="309"/>
      <c r="U826" s="309"/>
      <c r="V826" s="309"/>
      <c r="W826" s="309"/>
      <c r="X826" s="309"/>
      <c r="Y826" s="309"/>
      <c r="Z826" s="309"/>
    </row>
    <row r="827">
      <c r="A827" s="194"/>
      <c r="B827" s="309"/>
      <c r="C827" s="194"/>
      <c r="D827" s="309"/>
      <c r="E827" s="309"/>
      <c r="F827" s="309"/>
      <c r="G827" s="309"/>
      <c r="H827" s="309"/>
      <c r="I827" s="309"/>
      <c r="J827" s="309"/>
      <c r="K827" s="309"/>
      <c r="L827" s="309"/>
      <c r="M827" s="309"/>
      <c r="N827" s="309"/>
      <c r="O827" s="309"/>
      <c r="P827" s="309"/>
      <c r="Q827" s="309"/>
      <c r="R827" s="309"/>
      <c r="S827" s="309"/>
      <c r="T827" s="309"/>
      <c r="U827" s="309"/>
      <c r="V827" s="309"/>
      <c r="W827" s="309"/>
      <c r="X827" s="309"/>
      <c r="Y827" s="309"/>
      <c r="Z827" s="309"/>
    </row>
    <row r="828">
      <c r="A828" s="194"/>
      <c r="B828" s="309"/>
      <c r="C828" s="194"/>
      <c r="D828" s="309"/>
      <c r="E828" s="309"/>
      <c r="F828" s="309"/>
      <c r="G828" s="309"/>
      <c r="H828" s="309"/>
      <c r="I828" s="309"/>
      <c r="J828" s="309"/>
      <c r="K828" s="309"/>
      <c r="L828" s="309"/>
      <c r="M828" s="309"/>
      <c r="N828" s="309"/>
      <c r="O828" s="309"/>
      <c r="P828" s="309"/>
      <c r="Q828" s="309"/>
      <c r="R828" s="309"/>
      <c r="S828" s="309"/>
      <c r="T828" s="309"/>
      <c r="U828" s="309"/>
      <c r="V828" s="309"/>
      <c r="W828" s="309"/>
      <c r="X828" s="309"/>
      <c r="Y828" s="309"/>
      <c r="Z828" s="309"/>
    </row>
    <row r="829">
      <c r="A829" s="194"/>
      <c r="B829" s="309"/>
      <c r="C829" s="194"/>
      <c r="D829" s="309"/>
      <c r="E829" s="309"/>
      <c r="F829" s="309"/>
      <c r="G829" s="309"/>
      <c r="H829" s="309"/>
      <c r="I829" s="309"/>
      <c r="J829" s="309"/>
      <c r="K829" s="309"/>
      <c r="L829" s="309"/>
      <c r="M829" s="309"/>
      <c r="N829" s="309"/>
      <c r="O829" s="309"/>
      <c r="P829" s="309"/>
      <c r="Q829" s="309"/>
      <c r="R829" s="309"/>
      <c r="S829" s="309"/>
      <c r="T829" s="309"/>
      <c r="U829" s="309"/>
      <c r="V829" s="309"/>
      <c r="W829" s="309"/>
      <c r="X829" s="309"/>
      <c r="Y829" s="309"/>
      <c r="Z829" s="309"/>
    </row>
    <row r="830">
      <c r="A830" s="194"/>
      <c r="B830" s="309"/>
      <c r="C830" s="194"/>
      <c r="D830" s="309"/>
      <c r="E830" s="309"/>
      <c r="F830" s="309"/>
      <c r="G830" s="309"/>
      <c r="H830" s="309"/>
      <c r="I830" s="309"/>
      <c r="J830" s="309"/>
      <c r="K830" s="309"/>
      <c r="L830" s="309"/>
      <c r="M830" s="309"/>
      <c r="N830" s="309"/>
      <c r="O830" s="309"/>
      <c r="P830" s="309"/>
      <c r="Q830" s="309"/>
      <c r="R830" s="309"/>
      <c r="S830" s="309"/>
      <c r="T830" s="309"/>
      <c r="U830" s="309"/>
      <c r="V830" s="309"/>
      <c r="W830" s="309"/>
      <c r="X830" s="309"/>
      <c r="Y830" s="309"/>
      <c r="Z830" s="309"/>
    </row>
    <row r="831">
      <c r="A831" s="194"/>
      <c r="B831" s="309"/>
      <c r="C831" s="194"/>
      <c r="D831" s="309"/>
      <c r="E831" s="309"/>
      <c r="F831" s="309"/>
      <c r="G831" s="309"/>
      <c r="H831" s="309"/>
      <c r="I831" s="309"/>
      <c r="J831" s="309"/>
      <c r="K831" s="309"/>
      <c r="L831" s="309"/>
      <c r="M831" s="309"/>
      <c r="N831" s="309"/>
      <c r="O831" s="309"/>
      <c r="P831" s="309"/>
      <c r="Q831" s="309"/>
      <c r="R831" s="309"/>
      <c r="S831" s="309"/>
      <c r="T831" s="309"/>
      <c r="U831" s="309"/>
      <c r="V831" s="309"/>
      <c r="W831" s="309"/>
      <c r="X831" s="309"/>
      <c r="Y831" s="309"/>
      <c r="Z831" s="309"/>
    </row>
    <row r="832">
      <c r="A832" s="194"/>
      <c r="B832" s="309"/>
      <c r="C832" s="194"/>
      <c r="D832" s="309"/>
      <c r="E832" s="309"/>
      <c r="F832" s="309"/>
      <c r="G832" s="309"/>
      <c r="H832" s="309"/>
      <c r="I832" s="309"/>
      <c r="J832" s="309"/>
      <c r="K832" s="309"/>
      <c r="L832" s="309"/>
      <c r="M832" s="309"/>
      <c r="N832" s="309"/>
      <c r="O832" s="309"/>
      <c r="P832" s="309"/>
      <c r="Q832" s="309"/>
      <c r="R832" s="309"/>
      <c r="S832" s="309"/>
      <c r="T832" s="309"/>
      <c r="U832" s="309"/>
      <c r="V832" s="309"/>
      <c r="W832" s="309"/>
      <c r="X832" s="309"/>
      <c r="Y832" s="309"/>
      <c r="Z832" s="309"/>
    </row>
    <row r="833">
      <c r="A833" s="194"/>
      <c r="B833" s="309"/>
      <c r="C833" s="194"/>
      <c r="D833" s="309"/>
      <c r="E833" s="309"/>
      <c r="F833" s="309"/>
      <c r="G833" s="309"/>
      <c r="H833" s="309"/>
      <c r="I833" s="309"/>
      <c r="J833" s="309"/>
      <c r="K833" s="309"/>
      <c r="L833" s="309"/>
      <c r="M833" s="309"/>
      <c r="N833" s="309"/>
      <c r="O833" s="309"/>
      <c r="P833" s="309"/>
      <c r="Q833" s="309"/>
      <c r="R833" s="309"/>
      <c r="S833" s="309"/>
      <c r="T833" s="309"/>
      <c r="U833" s="309"/>
      <c r="V833" s="309"/>
      <c r="W833" s="309"/>
      <c r="X833" s="309"/>
      <c r="Y833" s="309"/>
      <c r="Z833" s="309"/>
    </row>
    <row r="834">
      <c r="A834" s="194"/>
      <c r="B834" s="309"/>
      <c r="C834" s="194"/>
      <c r="D834" s="309"/>
      <c r="E834" s="309"/>
      <c r="F834" s="309"/>
      <c r="G834" s="309"/>
      <c r="H834" s="309"/>
      <c r="I834" s="309"/>
      <c r="J834" s="309"/>
      <c r="K834" s="309"/>
      <c r="L834" s="309"/>
      <c r="M834" s="309"/>
      <c r="N834" s="309"/>
      <c r="O834" s="309"/>
      <c r="P834" s="309"/>
      <c r="Q834" s="309"/>
      <c r="R834" s="309"/>
      <c r="S834" s="309"/>
      <c r="T834" s="309"/>
      <c r="U834" s="309"/>
      <c r="V834" s="309"/>
      <c r="W834" s="309"/>
      <c r="X834" s="309"/>
      <c r="Y834" s="309"/>
      <c r="Z834" s="309"/>
    </row>
    <row r="835">
      <c r="A835" s="194"/>
      <c r="B835" s="309"/>
      <c r="C835" s="194"/>
      <c r="D835" s="309"/>
      <c r="E835" s="309"/>
      <c r="F835" s="309"/>
      <c r="G835" s="309"/>
      <c r="H835" s="309"/>
      <c r="I835" s="309"/>
      <c r="J835" s="309"/>
      <c r="K835" s="309"/>
      <c r="L835" s="309"/>
      <c r="M835" s="309"/>
      <c r="N835" s="309"/>
      <c r="O835" s="309"/>
      <c r="P835" s="309"/>
      <c r="Q835" s="309"/>
      <c r="R835" s="309"/>
      <c r="S835" s="309"/>
      <c r="T835" s="309"/>
      <c r="U835" s="309"/>
      <c r="V835" s="309"/>
      <c r="W835" s="309"/>
      <c r="X835" s="309"/>
      <c r="Y835" s="309"/>
      <c r="Z835" s="309"/>
    </row>
    <row r="836">
      <c r="A836" s="194"/>
      <c r="B836" s="309"/>
      <c r="C836" s="194"/>
      <c r="D836" s="309"/>
      <c r="E836" s="309"/>
      <c r="F836" s="309"/>
      <c r="G836" s="309"/>
      <c r="H836" s="309"/>
      <c r="I836" s="309"/>
      <c r="J836" s="309"/>
      <c r="K836" s="309"/>
      <c r="L836" s="309"/>
      <c r="M836" s="309"/>
      <c r="N836" s="309"/>
      <c r="O836" s="309"/>
      <c r="P836" s="309"/>
      <c r="Q836" s="309"/>
      <c r="R836" s="309"/>
      <c r="S836" s="309"/>
      <c r="T836" s="309"/>
      <c r="U836" s="309"/>
      <c r="V836" s="309"/>
      <c r="W836" s="309"/>
      <c r="X836" s="309"/>
      <c r="Y836" s="309"/>
      <c r="Z836" s="309"/>
    </row>
    <row r="837">
      <c r="A837" s="194"/>
      <c r="B837" s="309"/>
      <c r="C837" s="194"/>
      <c r="D837" s="309"/>
      <c r="E837" s="309"/>
      <c r="F837" s="309"/>
      <c r="G837" s="309"/>
      <c r="H837" s="309"/>
      <c r="I837" s="309"/>
      <c r="J837" s="309"/>
      <c r="K837" s="309"/>
      <c r="L837" s="309"/>
      <c r="M837" s="309"/>
      <c r="N837" s="309"/>
      <c r="O837" s="309"/>
      <c r="P837" s="309"/>
      <c r="Q837" s="309"/>
      <c r="R837" s="309"/>
      <c r="S837" s="309"/>
      <c r="T837" s="309"/>
      <c r="U837" s="309"/>
      <c r="V837" s="309"/>
      <c r="W837" s="309"/>
      <c r="X837" s="309"/>
      <c r="Y837" s="309"/>
      <c r="Z837" s="309"/>
    </row>
    <row r="838">
      <c r="A838" s="194"/>
      <c r="B838" s="309"/>
      <c r="C838" s="194"/>
      <c r="D838" s="309"/>
      <c r="E838" s="309"/>
      <c r="F838" s="309"/>
      <c r="G838" s="309"/>
      <c r="H838" s="309"/>
      <c r="I838" s="309"/>
      <c r="J838" s="309"/>
      <c r="K838" s="309"/>
      <c r="L838" s="309"/>
      <c r="M838" s="309"/>
      <c r="N838" s="309"/>
      <c r="O838" s="309"/>
      <c r="P838" s="309"/>
      <c r="Q838" s="309"/>
      <c r="R838" s="309"/>
      <c r="S838" s="309"/>
      <c r="T838" s="309"/>
      <c r="U838" s="309"/>
      <c r="V838" s="309"/>
      <c r="W838" s="309"/>
      <c r="X838" s="309"/>
      <c r="Y838" s="309"/>
      <c r="Z838" s="309"/>
    </row>
    <row r="839">
      <c r="A839" s="194"/>
      <c r="B839" s="309"/>
      <c r="C839" s="194"/>
      <c r="D839" s="309"/>
      <c r="E839" s="309"/>
      <c r="F839" s="309"/>
      <c r="G839" s="309"/>
      <c r="H839" s="309"/>
      <c r="I839" s="309"/>
      <c r="J839" s="309"/>
      <c r="K839" s="309"/>
      <c r="L839" s="309"/>
      <c r="M839" s="309"/>
      <c r="N839" s="309"/>
      <c r="O839" s="309"/>
      <c r="P839" s="309"/>
      <c r="Q839" s="309"/>
      <c r="R839" s="309"/>
      <c r="S839" s="309"/>
      <c r="T839" s="309"/>
      <c r="U839" s="309"/>
      <c r="V839" s="309"/>
      <c r="W839" s="309"/>
      <c r="X839" s="309"/>
      <c r="Y839" s="309"/>
      <c r="Z839" s="309"/>
    </row>
    <row r="840">
      <c r="A840" s="194"/>
      <c r="B840" s="309"/>
      <c r="C840" s="194"/>
      <c r="D840" s="309"/>
      <c r="E840" s="309"/>
      <c r="F840" s="309"/>
      <c r="G840" s="309"/>
      <c r="H840" s="309"/>
      <c r="I840" s="309"/>
      <c r="J840" s="309"/>
      <c r="K840" s="309"/>
      <c r="L840" s="309"/>
      <c r="M840" s="309"/>
      <c r="N840" s="309"/>
      <c r="O840" s="309"/>
      <c r="P840" s="309"/>
      <c r="Q840" s="309"/>
      <c r="R840" s="309"/>
      <c r="S840" s="309"/>
      <c r="T840" s="309"/>
      <c r="U840" s="309"/>
      <c r="V840" s="309"/>
      <c r="W840" s="309"/>
      <c r="X840" s="309"/>
      <c r="Y840" s="309"/>
      <c r="Z840" s="309"/>
    </row>
    <row r="841">
      <c r="A841" s="194"/>
      <c r="B841" s="309"/>
      <c r="C841" s="194"/>
      <c r="D841" s="309"/>
      <c r="E841" s="309"/>
      <c r="F841" s="309"/>
      <c r="G841" s="309"/>
      <c r="H841" s="309"/>
      <c r="I841" s="309"/>
      <c r="J841" s="309"/>
      <c r="K841" s="309"/>
      <c r="L841" s="309"/>
      <c r="M841" s="309"/>
      <c r="N841" s="309"/>
      <c r="O841" s="309"/>
      <c r="P841" s="309"/>
      <c r="Q841" s="309"/>
      <c r="R841" s="309"/>
      <c r="S841" s="309"/>
      <c r="T841" s="309"/>
      <c r="U841" s="309"/>
      <c r="V841" s="309"/>
      <c r="W841" s="309"/>
      <c r="X841" s="309"/>
      <c r="Y841" s="309"/>
      <c r="Z841" s="309"/>
    </row>
    <row r="842">
      <c r="A842" s="194"/>
      <c r="B842" s="309"/>
      <c r="C842" s="194"/>
      <c r="D842" s="309"/>
      <c r="E842" s="309"/>
      <c r="F842" s="309"/>
      <c r="G842" s="309"/>
      <c r="H842" s="309"/>
      <c r="I842" s="309"/>
      <c r="J842" s="309"/>
      <c r="K842" s="309"/>
      <c r="L842" s="309"/>
      <c r="M842" s="309"/>
      <c r="N842" s="309"/>
      <c r="O842" s="309"/>
      <c r="P842" s="309"/>
      <c r="Q842" s="309"/>
      <c r="R842" s="309"/>
      <c r="S842" s="309"/>
      <c r="T842" s="309"/>
      <c r="U842" s="309"/>
      <c r="V842" s="309"/>
      <c r="W842" s="309"/>
      <c r="X842" s="309"/>
      <c r="Y842" s="309"/>
      <c r="Z842" s="309"/>
    </row>
    <row r="843">
      <c r="A843" s="194"/>
      <c r="B843" s="309"/>
      <c r="C843" s="194"/>
      <c r="D843" s="309"/>
      <c r="E843" s="309"/>
      <c r="F843" s="309"/>
      <c r="G843" s="309"/>
      <c r="H843" s="309"/>
      <c r="I843" s="309"/>
      <c r="J843" s="309"/>
      <c r="K843" s="309"/>
      <c r="L843" s="309"/>
      <c r="M843" s="309"/>
      <c r="N843" s="309"/>
      <c r="O843" s="309"/>
      <c r="P843" s="309"/>
      <c r="Q843" s="309"/>
      <c r="R843" s="309"/>
      <c r="S843" s="309"/>
      <c r="T843" s="309"/>
      <c r="U843" s="309"/>
      <c r="V843" s="309"/>
      <c r="W843" s="309"/>
      <c r="X843" s="309"/>
      <c r="Y843" s="309"/>
      <c r="Z843" s="309"/>
    </row>
    <row r="844">
      <c r="A844" s="194"/>
      <c r="B844" s="309"/>
      <c r="C844" s="194"/>
      <c r="D844" s="309"/>
      <c r="E844" s="309"/>
      <c r="F844" s="309"/>
      <c r="G844" s="309"/>
      <c r="H844" s="309"/>
      <c r="I844" s="309"/>
      <c r="J844" s="309"/>
      <c r="K844" s="309"/>
      <c r="L844" s="309"/>
      <c r="M844" s="309"/>
      <c r="N844" s="309"/>
      <c r="O844" s="309"/>
      <c r="P844" s="309"/>
      <c r="Q844" s="309"/>
      <c r="R844" s="309"/>
      <c r="S844" s="309"/>
      <c r="T844" s="309"/>
      <c r="U844" s="309"/>
      <c r="V844" s="309"/>
      <c r="W844" s="309"/>
      <c r="X844" s="309"/>
      <c r="Y844" s="309"/>
      <c r="Z844" s="309"/>
    </row>
    <row r="845">
      <c r="A845" s="194"/>
      <c r="B845" s="309"/>
      <c r="C845" s="194"/>
      <c r="D845" s="309"/>
      <c r="E845" s="309"/>
      <c r="F845" s="309"/>
      <c r="G845" s="309"/>
      <c r="H845" s="309"/>
      <c r="I845" s="309"/>
      <c r="J845" s="309"/>
      <c r="K845" s="309"/>
      <c r="L845" s="309"/>
      <c r="M845" s="309"/>
      <c r="N845" s="309"/>
      <c r="O845" s="309"/>
      <c r="P845" s="309"/>
      <c r="Q845" s="309"/>
      <c r="R845" s="309"/>
      <c r="S845" s="309"/>
      <c r="T845" s="309"/>
      <c r="U845" s="309"/>
      <c r="V845" s="309"/>
      <c r="W845" s="309"/>
      <c r="X845" s="309"/>
      <c r="Y845" s="309"/>
      <c r="Z845" s="309"/>
    </row>
    <row r="846">
      <c r="A846" s="194"/>
      <c r="B846" s="309"/>
      <c r="C846" s="194"/>
      <c r="D846" s="309"/>
      <c r="E846" s="309"/>
      <c r="F846" s="309"/>
      <c r="G846" s="309"/>
      <c r="H846" s="309"/>
      <c r="I846" s="309"/>
      <c r="J846" s="309"/>
      <c r="K846" s="309"/>
      <c r="L846" s="309"/>
      <c r="M846" s="309"/>
      <c r="N846" s="309"/>
      <c r="O846" s="309"/>
      <c r="P846" s="309"/>
      <c r="Q846" s="309"/>
      <c r="R846" s="309"/>
      <c r="S846" s="309"/>
      <c r="T846" s="309"/>
      <c r="U846" s="309"/>
      <c r="V846" s="309"/>
      <c r="W846" s="309"/>
      <c r="X846" s="309"/>
      <c r="Y846" s="309"/>
      <c r="Z846" s="309"/>
    </row>
    <row r="847">
      <c r="A847" s="194"/>
      <c r="B847" s="309"/>
      <c r="C847" s="194"/>
      <c r="D847" s="309"/>
      <c r="E847" s="309"/>
      <c r="F847" s="309"/>
      <c r="G847" s="309"/>
      <c r="H847" s="309"/>
      <c r="I847" s="309"/>
      <c r="J847" s="309"/>
      <c r="K847" s="309"/>
      <c r="L847" s="309"/>
      <c r="M847" s="309"/>
      <c r="N847" s="309"/>
      <c r="O847" s="309"/>
      <c r="P847" s="309"/>
      <c r="Q847" s="309"/>
      <c r="R847" s="309"/>
      <c r="S847" s="309"/>
      <c r="T847" s="309"/>
      <c r="U847" s="309"/>
      <c r="V847" s="309"/>
      <c r="W847" s="309"/>
      <c r="X847" s="309"/>
      <c r="Y847" s="309"/>
      <c r="Z847" s="309"/>
    </row>
    <row r="848">
      <c r="A848" s="194"/>
      <c r="B848" s="309"/>
      <c r="C848" s="194"/>
      <c r="D848" s="309"/>
      <c r="E848" s="309"/>
      <c r="F848" s="309"/>
      <c r="G848" s="309"/>
      <c r="H848" s="309"/>
      <c r="I848" s="309"/>
      <c r="J848" s="309"/>
      <c r="K848" s="309"/>
      <c r="L848" s="309"/>
      <c r="M848" s="309"/>
      <c r="N848" s="309"/>
      <c r="O848" s="309"/>
      <c r="P848" s="309"/>
      <c r="Q848" s="309"/>
      <c r="R848" s="309"/>
      <c r="S848" s="309"/>
      <c r="T848" s="309"/>
      <c r="U848" s="309"/>
      <c r="V848" s="309"/>
      <c r="W848" s="309"/>
      <c r="X848" s="309"/>
      <c r="Y848" s="309"/>
      <c r="Z848" s="309"/>
    </row>
    <row r="849">
      <c r="A849" s="194"/>
      <c r="B849" s="309"/>
      <c r="C849" s="194"/>
      <c r="D849" s="309"/>
      <c r="E849" s="309"/>
      <c r="F849" s="309"/>
      <c r="G849" s="309"/>
      <c r="H849" s="309"/>
      <c r="I849" s="309"/>
      <c r="J849" s="309"/>
      <c r="K849" s="309"/>
      <c r="L849" s="309"/>
      <c r="M849" s="309"/>
      <c r="N849" s="309"/>
      <c r="O849" s="309"/>
      <c r="P849" s="309"/>
      <c r="Q849" s="309"/>
      <c r="R849" s="309"/>
      <c r="S849" s="309"/>
      <c r="T849" s="309"/>
      <c r="U849" s="309"/>
      <c r="V849" s="309"/>
      <c r="W849" s="309"/>
      <c r="X849" s="309"/>
      <c r="Y849" s="309"/>
      <c r="Z849" s="309"/>
    </row>
    <row r="850">
      <c r="A850" s="194"/>
      <c r="B850" s="309"/>
      <c r="C850" s="194"/>
      <c r="D850" s="309"/>
      <c r="E850" s="309"/>
      <c r="F850" s="309"/>
      <c r="G850" s="309"/>
      <c r="H850" s="309"/>
      <c r="I850" s="309"/>
      <c r="J850" s="309"/>
      <c r="K850" s="309"/>
      <c r="L850" s="309"/>
      <c r="M850" s="309"/>
      <c r="N850" s="309"/>
      <c r="O850" s="309"/>
      <c r="P850" s="309"/>
      <c r="Q850" s="309"/>
      <c r="R850" s="309"/>
      <c r="S850" s="309"/>
      <c r="T850" s="309"/>
      <c r="U850" s="309"/>
      <c r="V850" s="309"/>
      <c r="W850" s="309"/>
      <c r="X850" s="309"/>
      <c r="Y850" s="309"/>
      <c r="Z850" s="309"/>
    </row>
    <row r="851">
      <c r="A851" s="194"/>
      <c r="B851" s="309"/>
      <c r="C851" s="194"/>
      <c r="D851" s="309"/>
      <c r="E851" s="309"/>
      <c r="F851" s="309"/>
      <c r="G851" s="309"/>
      <c r="H851" s="309"/>
      <c r="I851" s="309"/>
      <c r="J851" s="309"/>
      <c r="K851" s="309"/>
      <c r="L851" s="309"/>
      <c r="M851" s="309"/>
      <c r="N851" s="309"/>
      <c r="O851" s="309"/>
      <c r="P851" s="309"/>
      <c r="Q851" s="309"/>
      <c r="R851" s="309"/>
      <c r="S851" s="309"/>
      <c r="T851" s="309"/>
      <c r="U851" s="309"/>
      <c r="V851" s="309"/>
      <c r="W851" s="309"/>
      <c r="X851" s="309"/>
      <c r="Y851" s="309"/>
      <c r="Z851" s="309"/>
    </row>
    <row r="852">
      <c r="A852" s="194"/>
      <c r="B852" s="309"/>
      <c r="C852" s="194"/>
      <c r="D852" s="309"/>
      <c r="E852" s="309"/>
      <c r="F852" s="309"/>
      <c r="G852" s="309"/>
      <c r="H852" s="309"/>
      <c r="I852" s="309"/>
      <c r="J852" s="309"/>
      <c r="K852" s="309"/>
      <c r="L852" s="309"/>
      <c r="M852" s="309"/>
      <c r="N852" s="309"/>
      <c r="O852" s="309"/>
      <c r="P852" s="309"/>
      <c r="Q852" s="309"/>
      <c r="R852" s="309"/>
      <c r="S852" s="309"/>
      <c r="T852" s="309"/>
      <c r="U852" s="309"/>
      <c r="V852" s="309"/>
      <c r="W852" s="309"/>
      <c r="X852" s="309"/>
      <c r="Y852" s="309"/>
      <c r="Z852" s="309"/>
    </row>
    <row r="853">
      <c r="A853" s="194"/>
      <c r="B853" s="309"/>
      <c r="C853" s="194"/>
      <c r="D853" s="309"/>
      <c r="E853" s="309"/>
      <c r="F853" s="309"/>
      <c r="G853" s="309"/>
      <c r="H853" s="309"/>
      <c r="I853" s="309"/>
      <c r="J853" s="309"/>
      <c r="K853" s="309"/>
      <c r="L853" s="309"/>
      <c r="M853" s="309"/>
      <c r="N853" s="309"/>
      <c r="O853" s="309"/>
      <c r="P853" s="309"/>
      <c r="Q853" s="309"/>
      <c r="R853" s="309"/>
      <c r="S853" s="309"/>
      <c r="T853" s="309"/>
      <c r="U853" s="309"/>
      <c r="V853" s="309"/>
      <c r="W853" s="309"/>
      <c r="X853" s="309"/>
      <c r="Y853" s="309"/>
      <c r="Z853" s="309"/>
    </row>
    <row r="854">
      <c r="A854" s="194"/>
      <c r="B854" s="309"/>
      <c r="C854" s="194"/>
      <c r="D854" s="309"/>
      <c r="E854" s="309"/>
      <c r="F854" s="309"/>
      <c r="G854" s="309"/>
      <c r="H854" s="309"/>
      <c r="I854" s="309"/>
      <c r="J854" s="309"/>
      <c r="K854" s="309"/>
      <c r="L854" s="309"/>
      <c r="M854" s="309"/>
      <c r="N854" s="309"/>
      <c r="O854" s="309"/>
      <c r="P854" s="309"/>
      <c r="Q854" s="309"/>
      <c r="R854" s="309"/>
      <c r="S854" s="309"/>
      <c r="T854" s="309"/>
      <c r="U854" s="309"/>
      <c r="V854" s="309"/>
      <c r="W854" s="309"/>
      <c r="X854" s="309"/>
      <c r="Y854" s="309"/>
      <c r="Z854" s="309"/>
    </row>
    <row r="855">
      <c r="A855" s="194"/>
      <c r="B855" s="309"/>
      <c r="C855" s="194"/>
      <c r="D855" s="309"/>
      <c r="E855" s="309"/>
      <c r="F855" s="309"/>
      <c r="G855" s="309"/>
      <c r="H855" s="309"/>
      <c r="I855" s="309"/>
      <c r="J855" s="309"/>
      <c r="K855" s="309"/>
      <c r="L855" s="309"/>
      <c r="M855" s="309"/>
      <c r="N855" s="309"/>
      <c r="O855" s="309"/>
      <c r="P855" s="309"/>
      <c r="Q855" s="309"/>
      <c r="R855" s="309"/>
      <c r="S855" s="309"/>
      <c r="T855" s="309"/>
      <c r="U855" s="309"/>
      <c r="V855" s="309"/>
      <c r="W855" s="309"/>
      <c r="X855" s="309"/>
      <c r="Y855" s="309"/>
      <c r="Z855" s="309"/>
    </row>
    <row r="856">
      <c r="A856" s="194"/>
      <c r="B856" s="309"/>
      <c r="C856" s="194"/>
      <c r="D856" s="309"/>
      <c r="E856" s="309"/>
      <c r="F856" s="309"/>
      <c r="G856" s="309"/>
      <c r="H856" s="309"/>
      <c r="I856" s="309"/>
      <c r="J856" s="309"/>
      <c r="K856" s="309"/>
      <c r="L856" s="309"/>
      <c r="M856" s="309"/>
      <c r="N856" s="309"/>
      <c r="O856" s="309"/>
      <c r="P856" s="309"/>
      <c r="Q856" s="309"/>
      <c r="R856" s="309"/>
      <c r="S856" s="309"/>
      <c r="T856" s="309"/>
      <c r="U856" s="309"/>
      <c r="V856" s="309"/>
      <c r="W856" s="309"/>
      <c r="X856" s="309"/>
      <c r="Y856" s="309"/>
      <c r="Z856" s="309"/>
    </row>
    <row r="857">
      <c r="A857" s="194"/>
      <c r="B857" s="309"/>
      <c r="C857" s="194"/>
      <c r="D857" s="309"/>
      <c r="E857" s="309"/>
      <c r="F857" s="309"/>
      <c r="G857" s="309"/>
      <c r="H857" s="309"/>
      <c r="I857" s="309"/>
      <c r="J857" s="309"/>
      <c r="K857" s="309"/>
      <c r="L857" s="309"/>
      <c r="M857" s="309"/>
      <c r="N857" s="309"/>
      <c r="O857" s="309"/>
      <c r="P857" s="309"/>
      <c r="Q857" s="309"/>
      <c r="R857" s="309"/>
      <c r="S857" s="309"/>
      <c r="T857" s="309"/>
      <c r="U857" s="309"/>
      <c r="V857" s="309"/>
      <c r="W857" s="309"/>
      <c r="X857" s="309"/>
      <c r="Y857" s="309"/>
      <c r="Z857" s="309"/>
    </row>
    <row r="858">
      <c r="A858" s="194"/>
      <c r="B858" s="309"/>
      <c r="C858" s="194"/>
      <c r="D858" s="309"/>
      <c r="E858" s="309"/>
      <c r="F858" s="309"/>
      <c r="G858" s="309"/>
      <c r="H858" s="309"/>
      <c r="I858" s="309"/>
      <c r="J858" s="309"/>
      <c r="K858" s="309"/>
      <c r="L858" s="309"/>
      <c r="M858" s="309"/>
      <c r="N858" s="309"/>
      <c r="O858" s="309"/>
      <c r="P858" s="309"/>
      <c r="Q858" s="309"/>
      <c r="R858" s="309"/>
      <c r="S858" s="309"/>
      <c r="T858" s="309"/>
      <c r="U858" s="309"/>
      <c r="V858" s="309"/>
      <c r="W858" s="309"/>
      <c r="X858" s="309"/>
      <c r="Y858" s="309"/>
      <c r="Z858" s="309"/>
    </row>
    <row r="859">
      <c r="A859" s="194"/>
      <c r="B859" s="309"/>
      <c r="C859" s="194"/>
      <c r="D859" s="309"/>
      <c r="E859" s="309"/>
      <c r="F859" s="309"/>
      <c r="G859" s="309"/>
      <c r="H859" s="309"/>
      <c r="I859" s="309"/>
      <c r="J859" s="309"/>
      <c r="K859" s="309"/>
      <c r="L859" s="309"/>
      <c r="M859" s="309"/>
      <c r="N859" s="309"/>
      <c r="O859" s="309"/>
      <c r="P859" s="309"/>
      <c r="Q859" s="309"/>
      <c r="R859" s="309"/>
      <c r="S859" s="309"/>
      <c r="T859" s="309"/>
      <c r="U859" s="309"/>
      <c r="V859" s="309"/>
      <c r="W859" s="309"/>
      <c r="X859" s="309"/>
      <c r="Y859" s="309"/>
      <c r="Z859" s="309"/>
    </row>
    <row r="860">
      <c r="A860" s="194"/>
      <c r="B860" s="309"/>
      <c r="C860" s="194"/>
      <c r="D860" s="309"/>
      <c r="E860" s="309"/>
      <c r="F860" s="309"/>
      <c r="G860" s="309"/>
      <c r="H860" s="309"/>
      <c r="I860" s="309"/>
      <c r="J860" s="309"/>
      <c r="K860" s="309"/>
      <c r="L860" s="309"/>
      <c r="M860" s="309"/>
      <c r="N860" s="309"/>
      <c r="O860" s="309"/>
      <c r="P860" s="309"/>
      <c r="Q860" s="309"/>
      <c r="R860" s="309"/>
      <c r="S860" s="309"/>
      <c r="T860" s="309"/>
      <c r="U860" s="309"/>
      <c r="V860" s="309"/>
      <c r="W860" s="309"/>
      <c r="X860" s="309"/>
      <c r="Y860" s="309"/>
      <c r="Z860" s="309"/>
    </row>
    <row r="861">
      <c r="A861" s="194"/>
      <c r="B861" s="309"/>
      <c r="C861" s="194"/>
      <c r="D861" s="309"/>
      <c r="E861" s="309"/>
      <c r="F861" s="309"/>
      <c r="G861" s="309"/>
      <c r="H861" s="309"/>
      <c r="I861" s="309"/>
      <c r="J861" s="309"/>
      <c r="K861" s="309"/>
      <c r="L861" s="309"/>
      <c r="M861" s="309"/>
      <c r="N861" s="309"/>
      <c r="O861" s="309"/>
      <c r="P861" s="309"/>
      <c r="Q861" s="309"/>
      <c r="R861" s="309"/>
      <c r="S861" s="309"/>
      <c r="T861" s="309"/>
      <c r="U861" s="309"/>
      <c r="V861" s="309"/>
      <c r="W861" s="309"/>
      <c r="X861" s="309"/>
      <c r="Y861" s="309"/>
      <c r="Z861" s="309"/>
    </row>
    <row r="862">
      <c r="A862" s="194"/>
      <c r="B862" s="309"/>
      <c r="C862" s="194"/>
      <c r="D862" s="309"/>
      <c r="E862" s="309"/>
      <c r="F862" s="309"/>
      <c r="G862" s="309"/>
      <c r="H862" s="309"/>
      <c r="I862" s="309"/>
      <c r="J862" s="309"/>
      <c r="K862" s="309"/>
      <c r="L862" s="309"/>
      <c r="M862" s="309"/>
      <c r="N862" s="309"/>
      <c r="O862" s="309"/>
      <c r="P862" s="309"/>
      <c r="Q862" s="309"/>
      <c r="R862" s="309"/>
      <c r="S862" s="309"/>
      <c r="T862" s="309"/>
      <c r="U862" s="309"/>
      <c r="V862" s="309"/>
      <c r="W862" s="309"/>
      <c r="X862" s="309"/>
      <c r="Y862" s="309"/>
      <c r="Z862" s="309"/>
    </row>
    <row r="863">
      <c r="A863" s="194"/>
      <c r="B863" s="309"/>
      <c r="C863" s="194"/>
      <c r="D863" s="309"/>
      <c r="E863" s="309"/>
      <c r="F863" s="309"/>
      <c r="G863" s="309"/>
      <c r="H863" s="309"/>
      <c r="I863" s="309"/>
      <c r="J863" s="309"/>
      <c r="K863" s="309"/>
      <c r="L863" s="309"/>
      <c r="M863" s="309"/>
      <c r="N863" s="309"/>
      <c r="O863" s="309"/>
      <c r="P863" s="309"/>
      <c r="Q863" s="309"/>
      <c r="R863" s="309"/>
      <c r="S863" s="309"/>
      <c r="T863" s="309"/>
      <c r="U863" s="309"/>
      <c r="V863" s="309"/>
      <c r="W863" s="309"/>
      <c r="X863" s="309"/>
      <c r="Y863" s="309"/>
      <c r="Z863" s="309"/>
    </row>
    <row r="864">
      <c r="A864" s="194"/>
      <c r="B864" s="309"/>
      <c r="C864" s="194"/>
      <c r="D864" s="309"/>
      <c r="E864" s="309"/>
      <c r="F864" s="309"/>
      <c r="G864" s="309"/>
      <c r="H864" s="309"/>
      <c r="I864" s="309"/>
      <c r="J864" s="309"/>
      <c r="K864" s="309"/>
      <c r="L864" s="309"/>
      <c r="M864" s="309"/>
      <c r="N864" s="309"/>
      <c r="O864" s="309"/>
      <c r="P864" s="309"/>
      <c r="Q864" s="309"/>
      <c r="R864" s="309"/>
      <c r="S864" s="309"/>
      <c r="T864" s="309"/>
      <c r="U864" s="309"/>
      <c r="V864" s="309"/>
      <c r="W864" s="309"/>
      <c r="X864" s="309"/>
      <c r="Y864" s="309"/>
      <c r="Z864" s="309"/>
    </row>
    <row r="865">
      <c r="A865" s="194"/>
      <c r="B865" s="309"/>
      <c r="C865" s="194"/>
      <c r="D865" s="309"/>
      <c r="E865" s="309"/>
      <c r="F865" s="309"/>
      <c r="G865" s="309"/>
      <c r="H865" s="309"/>
      <c r="I865" s="309"/>
      <c r="J865" s="309"/>
      <c r="K865" s="309"/>
      <c r="L865" s="309"/>
      <c r="M865" s="309"/>
      <c r="N865" s="309"/>
      <c r="O865" s="309"/>
      <c r="P865" s="309"/>
      <c r="Q865" s="309"/>
      <c r="R865" s="309"/>
      <c r="S865" s="309"/>
      <c r="T865" s="309"/>
      <c r="U865" s="309"/>
      <c r="V865" s="309"/>
      <c r="W865" s="309"/>
      <c r="X865" s="309"/>
      <c r="Y865" s="309"/>
      <c r="Z865" s="309"/>
    </row>
    <row r="866">
      <c r="A866" s="194"/>
      <c r="B866" s="309"/>
      <c r="C866" s="194"/>
      <c r="D866" s="309"/>
      <c r="E866" s="309"/>
      <c r="F866" s="309"/>
      <c r="G866" s="309"/>
      <c r="H866" s="309"/>
      <c r="I866" s="309"/>
      <c r="J866" s="309"/>
      <c r="K866" s="309"/>
      <c r="L866" s="309"/>
      <c r="M866" s="309"/>
      <c r="N866" s="309"/>
      <c r="O866" s="309"/>
      <c r="P866" s="309"/>
      <c r="Q866" s="309"/>
      <c r="R866" s="309"/>
      <c r="S866" s="309"/>
      <c r="T866" s="309"/>
      <c r="U866" s="309"/>
      <c r="V866" s="309"/>
      <c r="W866" s="309"/>
      <c r="X866" s="309"/>
      <c r="Y866" s="309"/>
      <c r="Z866" s="309"/>
    </row>
    <row r="867">
      <c r="A867" s="194"/>
      <c r="B867" s="309"/>
      <c r="C867" s="194"/>
      <c r="D867" s="309"/>
      <c r="E867" s="309"/>
      <c r="F867" s="309"/>
      <c r="G867" s="309"/>
      <c r="H867" s="309"/>
      <c r="I867" s="309"/>
      <c r="J867" s="309"/>
      <c r="K867" s="309"/>
      <c r="L867" s="309"/>
      <c r="M867" s="309"/>
      <c r="N867" s="309"/>
      <c r="O867" s="309"/>
      <c r="P867" s="309"/>
      <c r="Q867" s="309"/>
      <c r="R867" s="309"/>
      <c r="S867" s="309"/>
      <c r="T867" s="309"/>
      <c r="U867" s="309"/>
      <c r="V867" s="309"/>
      <c r="W867" s="309"/>
      <c r="X867" s="309"/>
      <c r="Y867" s="309"/>
      <c r="Z867" s="309"/>
    </row>
    <row r="868">
      <c r="A868" s="194"/>
      <c r="B868" s="309"/>
      <c r="C868" s="194"/>
      <c r="D868" s="309"/>
      <c r="E868" s="309"/>
      <c r="F868" s="309"/>
      <c r="G868" s="309"/>
      <c r="H868" s="309"/>
      <c r="I868" s="309"/>
      <c r="J868" s="309"/>
      <c r="K868" s="309"/>
      <c r="L868" s="309"/>
      <c r="M868" s="309"/>
      <c r="N868" s="309"/>
      <c r="O868" s="309"/>
      <c r="P868" s="309"/>
      <c r="Q868" s="309"/>
      <c r="R868" s="309"/>
      <c r="S868" s="309"/>
      <c r="T868" s="309"/>
      <c r="U868" s="309"/>
      <c r="V868" s="309"/>
      <c r="W868" s="309"/>
      <c r="X868" s="309"/>
      <c r="Y868" s="309"/>
      <c r="Z868" s="309"/>
    </row>
    <row r="869">
      <c r="A869" s="194"/>
      <c r="B869" s="309"/>
      <c r="C869" s="194"/>
      <c r="D869" s="309"/>
      <c r="E869" s="309"/>
      <c r="F869" s="309"/>
      <c r="G869" s="309"/>
      <c r="H869" s="309"/>
      <c r="I869" s="309"/>
      <c r="J869" s="309"/>
      <c r="K869" s="309"/>
      <c r="L869" s="309"/>
      <c r="M869" s="309"/>
      <c r="N869" s="309"/>
      <c r="O869" s="309"/>
      <c r="P869" s="309"/>
      <c r="Q869" s="309"/>
      <c r="R869" s="309"/>
      <c r="S869" s="309"/>
      <c r="T869" s="309"/>
      <c r="U869" s="309"/>
      <c r="V869" s="309"/>
      <c r="W869" s="309"/>
      <c r="X869" s="309"/>
      <c r="Y869" s="309"/>
      <c r="Z869" s="309"/>
    </row>
    <row r="870">
      <c r="A870" s="194"/>
      <c r="B870" s="309"/>
      <c r="C870" s="194"/>
      <c r="D870" s="309"/>
      <c r="E870" s="309"/>
      <c r="F870" s="309"/>
      <c r="G870" s="309"/>
      <c r="H870" s="309"/>
      <c r="I870" s="309"/>
      <c r="J870" s="309"/>
      <c r="K870" s="309"/>
      <c r="L870" s="309"/>
      <c r="M870" s="309"/>
      <c r="N870" s="309"/>
      <c r="O870" s="309"/>
      <c r="P870" s="309"/>
      <c r="Q870" s="309"/>
      <c r="R870" s="309"/>
      <c r="S870" s="309"/>
      <c r="T870" s="309"/>
      <c r="U870" s="309"/>
      <c r="V870" s="309"/>
      <c r="W870" s="309"/>
      <c r="X870" s="309"/>
      <c r="Y870" s="309"/>
      <c r="Z870" s="309"/>
    </row>
    <row r="871">
      <c r="A871" s="194"/>
      <c r="B871" s="309"/>
      <c r="C871" s="194"/>
      <c r="D871" s="309"/>
      <c r="E871" s="309"/>
      <c r="F871" s="309"/>
      <c r="G871" s="309"/>
      <c r="H871" s="309"/>
      <c r="I871" s="309"/>
      <c r="J871" s="309"/>
      <c r="K871" s="309"/>
      <c r="L871" s="309"/>
      <c r="M871" s="309"/>
      <c r="N871" s="309"/>
      <c r="O871" s="309"/>
      <c r="P871" s="309"/>
      <c r="Q871" s="309"/>
      <c r="R871" s="309"/>
      <c r="S871" s="309"/>
      <c r="T871" s="309"/>
      <c r="U871" s="309"/>
      <c r="V871" s="309"/>
      <c r="W871" s="309"/>
      <c r="X871" s="309"/>
      <c r="Y871" s="309"/>
      <c r="Z871" s="309"/>
    </row>
    <row r="872">
      <c r="A872" s="194"/>
      <c r="B872" s="309"/>
      <c r="C872" s="194"/>
      <c r="D872" s="309"/>
      <c r="E872" s="309"/>
      <c r="F872" s="309"/>
      <c r="G872" s="309"/>
      <c r="H872" s="309"/>
      <c r="I872" s="309"/>
      <c r="J872" s="309"/>
      <c r="K872" s="309"/>
      <c r="L872" s="309"/>
      <c r="M872" s="309"/>
      <c r="N872" s="309"/>
      <c r="O872" s="309"/>
      <c r="P872" s="309"/>
      <c r="Q872" s="309"/>
      <c r="R872" s="309"/>
      <c r="S872" s="309"/>
      <c r="T872" s="309"/>
      <c r="U872" s="309"/>
      <c r="V872" s="309"/>
      <c r="W872" s="309"/>
      <c r="X872" s="309"/>
      <c r="Y872" s="309"/>
      <c r="Z872" s="309"/>
    </row>
    <row r="873">
      <c r="A873" s="194"/>
      <c r="B873" s="309"/>
      <c r="C873" s="194"/>
      <c r="D873" s="309"/>
      <c r="E873" s="309"/>
      <c r="F873" s="309"/>
      <c r="G873" s="309"/>
      <c r="H873" s="309"/>
      <c r="I873" s="309"/>
      <c r="J873" s="309"/>
      <c r="K873" s="309"/>
      <c r="L873" s="309"/>
      <c r="M873" s="309"/>
      <c r="N873" s="309"/>
      <c r="O873" s="309"/>
      <c r="P873" s="309"/>
      <c r="Q873" s="309"/>
      <c r="R873" s="309"/>
      <c r="S873" s="309"/>
      <c r="T873" s="309"/>
      <c r="U873" s="309"/>
      <c r="V873" s="309"/>
      <c r="W873" s="309"/>
      <c r="X873" s="309"/>
      <c r="Y873" s="309"/>
      <c r="Z873" s="309"/>
    </row>
    <row r="874">
      <c r="A874" s="194"/>
      <c r="B874" s="309"/>
      <c r="C874" s="194"/>
      <c r="D874" s="309"/>
      <c r="E874" s="309"/>
      <c r="F874" s="309"/>
      <c r="G874" s="309"/>
      <c r="H874" s="309"/>
      <c r="I874" s="309"/>
      <c r="J874" s="309"/>
      <c r="K874" s="309"/>
      <c r="L874" s="309"/>
      <c r="M874" s="309"/>
      <c r="N874" s="309"/>
      <c r="O874" s="309"/>
      <c r="P874" s="309"/>
      <c r="Q874" s="309"/>
      <c r="R874" s="309"/>
      <c r="S874" s="309"/>
      <c r="T874" s="309"/>
      <c r="U874" s="309"/>
      <c r="V874" s="309"/>
      <c r="W874" s="309"/>
      <c r="X874" s="309"/>
      <c r="Y874" s="309"/>
      <c r="Z874" s="309"/>
    </row>
    <row r="875">
      <c r="A875" s="194"/>
      <c r="B875" s="309"/>
      <c r="C875" s="194"/>
      <c r="D875" s="309"/>
      <c r="E875" s="309"/>
      <c r="F875" s="309"/>
      <c r="G875" s="309"/>
      <c r="H875" s="309"/>
      <c r="I875" s="309"/>
      <c r="J875" s="309"/>
      <c r="K875" s="309"/>
      <c r="L875" s="309"/>
      <c r="M875" s="309"/>
      <c r="N875" s="309"/>
      <c r="O875" s="309"/>
      <c r="P875" s="309"/>
      <c r="Q875" s="309"/>
      <c r="R875" s="309"/>
      <c r="S875" s="309"/>
      <c r="T875" s="309"/>
      <c r="U875" s="309"/>
      <c r="V875" s="309"/>
      <c r="W875" s="309"/>
      <c r="X875" s="309"/>
      <c r="Y875" s="309"/>
      <c r="Z875" s="309"/>
    </row>
    <row r="876">
      <c r="A876" s="194"/>
      <c r="B876" s="309"/>
      <c r="C876" s="194"/>
      <c r="D876" s="309"/>
      <c r="E876" s="309"/>
      <c r="F876" s="309"/>
      <c r="G876" s="309"/>
      <c r="H876" s="309"/>
      <c r="I876" s="309"/>
      <c r="J876" s="309"/>
      <c r="K876" s="309"/>
      <c r="L876" s="309"/>
      <c r="M876" s="309"/>
      <c r="N876" s="309"/>
      <c r="O876" s="309"/>
      <c r="P876" s="309"/>
      <c r="Q876" s="309"/>
      <c r="R876" s="309"/>
      <c r="S876" s="309"/>
      <c r="T876" s="309"/>
      <c r="U876" s="309"/>
      <c r="V876" s="309"/>
      <c r="W876" s="309"/>
      <c r="X876" s="309"/>
      <c r="Y876" s="309"/>
      <c r="Z876" s="309"/>
    </row>
    <row r="877">
      <c r="A877" s="194"/>
      <c r="B877" s="309"/>
      <c r="C877" s="194"/>
      <c r="D877" s="309"/>
      <c r="E877" s="309"/>
      <c r="F877" s="309"/>
      <c r="G877" s="309"/>
      <c r="H877" s="309"/>
      <c r="I877" s="309"/>
      <c r="J877" s="309"/>
      <c r="K877" s="309"/>
      <c r="L877" s="309"/>
      <c r="M877" s="309"/>
      <c r="N877" s="309"/>
      <c r="O877" s="309"/>
      <c r="P877" s="309"/>
      <c r="Q877" s="309"/>
      <c r="R877" s="309"/>
      <c r="S877" s="309"/>
      <c r="T877" s="309"/>
      <c r="U877" s="309"/>
      <c r="V877" s="309"/>
      <c r="W877" s="309"/>
      <c r="X877" s="309"/>
      <c r="Y877" s="309"/>
      <c r="Z877" s="309"/>
    </row>
    <row r="878">
      <c r="A878" s="194"/>
      <c r="B878" s="309"/>
      <c r="C878" s="194"/>
      <c r="D878" s="309"/>
      <c r="E878" s="309"/>
      <c r="F878" s="309"/>
      <c r="G878" s="309"/>
      <c r="H878" s="309"/>
      <c r="I878" s="309"/>
      <c r="J878" s="309"/>
      <c r="K878" s="309"/>
      <c r="L878" s="309"/>
      <c r="M878" s="309"/>
      <c r="N878" s="309"/>
      <c r="O878" s="309"/>
      <c r="P878" s="309"/>
      <c r="Q878" s="309"/>
      <c r="R878" s="309"/>
      <c r="S878" s="309"/>
      <c r="T878" s="309"/>
      <c r="U878" s="309"/>
      <c r="V878" s="309"/>
      <c r="W878" s="309"/>
      <c r="X878" s="309"/>
      <c r="Y878" s="309"/>
      <c r="Z878" s="309"/>
    </row>
    <row r="879">
      <c r="A879" s="194"/>
      <c r="B879" s="309"/>
      <c r="C879" s="194"/>
      <c r="D879" s="309"/>
      <c r="E879" s="309"/>
      <c r="F879" s="309"/>
      <c r="G879" s="309"/>
      <c r="H879" s="309"/>
      <c r="I879" s="309"/>
      <c r="J879" s="309"/>
      <c r="K879" s="309"/>
      <c r="L879" s="309"/>
      <c r="M879" s="309"/>
      <c r="N879" s="309"/>
      <c r="O879" s="309"/>
      <c r="P879" s="309"/>
      <c r="Q879" s="309"/>
      <c r="R879" s="309"/>
      <c r="S879" s="309"/>
      <c r="T879" s="309"/>
      <c r="U879" s="309"/>
      <c r="V879" s="309"/>
      <c r="W879" s="309"/>
      <c r="X879" s="309"/>
      <c r="Y879" s="309"/>
      <c r="Z879" s="309"/>
    </row>
    <row r="880">
      <c r="A880" s="194"/>
      <c r="B880" s="309"/>
      <c r="C880" s="194"/>
      <c r="D880" s="309"/>
      <c r="E880" s="309"/>
      <c r="F880" s="309"/>
      <c r="G880" s="309"/>
      <c r="H880" s="309"/>
      <c r="I880" s="309"/>
      <c r="J880" s="309"/>
      <c r="K880" s="309"/>
      <c r="L880" s="309"/>
      <c r="M880" s="309"/>
      <c r="N880" s="309"/>
      <c r="O880" s="309"/>
      <c r="P880" s="309"/>
      <c r="Q880" s="309"/>
      <c r="R880" s="309"/>
      <c r="S880" s="309"/>
      <c r="T880" s="309"/>
      <c r="U880" s="309"/>
      <c r="V880" s="309"/>
      <c r="W880" s="309"/>
      <c r="X880" s="309"/>
      <c r="Y880" s="309"/>
      <c r="Z880" s="309"/>
    </row>
    <row r="881">
      <c r="A881" s="194"/>
      <c r="B881" s="309"/>
      <c r="C881" s="194"/>
      <c r="D881" s="309"/>
      <c r="E881" s="309"/>
      <c r="F881" s="309"/>
      <c r="G881" s="309"/>
      <c r="H881" s="309"/>
      <c r="I881" s="309"/>
      <c r="J881" s="309"/>
      <c r="K881" s="309"/>
      <c r="L881" s="309"/>
      <c r="M881" s="309"/>
      <c r="N881" s="309"/>
      <c r="O881" s="309"/>
      <c r="P881" s="309"/>
      <c r="Q881" s="309"/>
      <c r="R881" s="309"/>
      <c r="S881" s="309"/>
      <c r="T881" s="309"/>
      <c r="U881" s="309"/>
      <c r="V881" s="309"/>
      <c r="W881" s="309"/>
      <c r="X881" s="309"/>
      <c r="Y881" s="309"/>
      <c r="Z881" s="309"/>
    </row>
    <row r="882">
      <c r="A882" s="194"/>
      <c r="B882" s="309"/>
      <c r="C882" s="194"/>
      <c r="D882" s="309"/>
      <c r="E882" s="309"/>
      <c r="F882" s="309"/>
      <c r="G882" s="309"/>
      <c r="H882" s="309"/>
      <c r="I882" s="309"/>
      <c r="J882" s="309"/>
      <c r="K882" s="309"/>
      <c r="L882" s="309"/>
      <c r="M882" s="309"/>
      <c r="N882" s="309"/>
      <c r="O882" s="309"/>
      <c r="P882" s="309"/>
      <c r="Q882" s="309"/>
      <c r="R882" s="309"/>
      <c r="S882" s="309"/>
      <c r="T882" s="309"/>
      <c r="U882" s="309"/>
      <c r="V882" s="309"/>
      <c r="W882" s="309"/>
      <c r="X882" s="309"/>
      <c r="Y882" s="309"/>
      <c r="Z882" s="309"/>
    </row>
    <row r="883">
      <c r="A883" s="194"/>
      <c r="B883" s="309"/>
      <c r="C883" s="194"/>
      <c r="D883" s="309"/>
      <c r="E883" s="309"/>
      <c r="F883" s="309"/>
      <c r="G883" s="309"/>
      <c r="H883" s="309"/>
      <c r="I883" s="309"/>
      <c r="J883" s="309"/>
      <c r="K883" s="309"/>
      <c r="L883" s="309"/>
      <c r="M883" s="309"/>
      <c r="N883" s="309"/>
      <c r="O883" s="309"/>
      <c r="P883" s="309"/>
      <c r="Q883" s="309"/>
      <c r="R883" s="309"/>
      <c r="S883" s="309"/>
      <c r="T883" s="309"/>
      <c r="U883" s="309"/>
      <c r="V883" s="309"/>
      <c r="W883" s="309"/>
      <c r="X883" s="309"/>
      <c r="Y883" s="309"/>
      <c r="Z883" s="309"/>
    </row>
    <row r="884">
      <c r="A884" s="194"/>
      <c r="B884" s="309"/>
      <c r="C884" s="194"/>
      <c r="D884" s="309"/>
      <c r="E884" s="309"/>
      <c r="F884" s="309"/>
      <c r="G884" s="309"/>
      <c r="H884" s="309"/>
      <c r="I884" s="309"/>
      <c r="J884" s="309"/>
      <c r="K884" s="309"/>
      <c r="L884" s="309"/>
      <c r="M884" s="309"/>
      <c r="N884" s="309"/>
      <c r="O884" s="309"/>
      <c r="P884" s="309"/>
      <c r="Q884" s="309"/>
      <c r="R884" s="309"/>
      <c r="S884" s="309"/>
      <c r="T884" s="309"/>
      <c r="U884" s="309"/>
      <c r="V884" s="309"/>
      <c r="W884" s="309"/>
      <c r="X884" s="309"/>
      <c r="Y884" s="309"/>
      <c r="Z884" s="309"/>
    </row>
    <row r="885">
      <c r="A885" s="194"/>
      <c r="B885" s="309"/>
      <c r="C885" s="194"/>
      <c r="D885" s="309"/>
      <c r="E885" s="309"/>
      <c r="F885" s="309"/>
      <c r="G885" s="309"/>
      <c r="H885" s="309"/>
      <c r="I885" s="309"/>
      <c r="J885" s="309"/>
      <c r="K885" s="309"/>
      <c r="L885" s="309"/>
      <c r="M885" s="309"/>
      <c r="N885" s="309"/>
      <c r="O885" s="309"/>
      <c r="P885" s="309"/>
      <c r="Q885" s="309"/>
      <c r="R885" s="309"/>
      <c r="S885" s="309"/>
      <c r="T885" s="309"/>
      <c r="U885" s="309"/>
      <c r="V885" s="309"/>
      <c r="W885" s="309"/>
      <c r="X885" s="309"/>
      <c r="Y885" s="309"/>
      <c r="Z885" s="309"/>
    </row>
    <row r="886">
      <c r="A886" s="194"/>
      <c r="B886" s="309"/>
      <c r="C886" s="194"/>
      <c r="D886" s="309"/>
      <c r="E886" s="309"/>
      <c r="F886" s="309"/>
      <c r="G886" s="309"/>
      <c r="H886" s="309"/>
      <c r="I886" s="309"/>
      <c r="J886" s="309"/>
      <c r="K886" s="309"/>
      <c r="L886" s="309"/>
      <c r="M886" s="309"/>
      <c r="N886" s="309"/>
      <c r="O886" s="309"/>
      <c r="P886" s="309"/>
      <c r="Q886" s="309"/>
      <c r="R886" s="309"/>
      <c r="S886" s="309"/>
      <c r="T886" s="309"/>
      <c r="U886" s="309"/>
      <c r="V886" s="309"/>
      <c r="W886" s="309"/>
      <c r="X886" s="309"/>
      <c r="Y886" s="309"/>
      <c r="Z886" s="309"/>
    </row>
    <row r="887">
      <c r="A887" s="194"/>
      <c r="B887" s="309"/>
      <c r="C887" s="194"/>
      <c r="D887" s="309"/>
      <c r="E887" s="309"/>
      <c r="F887" s="309"/>
      <c r="G887" s="309"/>
      <c r="H887" s="309"/>
      <c r="I887" s="309"/>
      <c r="J887" s="309"/>
      <c r="K887" s="309"/>
      <c r="L887" s="309"/>
      <c r="M887" s="309"/>
      <c r="N887" s="309"/>
      <c r="O887" s="309"/>
      <c r="P887" s="309"/>
      <c r="Q887" s="309"/>
      <c r="R887" s="309"/>
      <c r="S887" s="309"/>
      <c r="T887" s="309"/>
      <c r="U887" s="309"/>
      <c r="V887" s="309"/>
      <c r="W887" s="309"/>
      <c r="X887" s="309"/>
      <c r="Y887" s="309"/>
      <c r="Z887" s="309"/>
    </row>
    <row r="888">
      <c r="A888" s="194"/>
      <c r="B888" s="309"/>
      <c r="C888" s="194"/>
      <c r="D888" s="309"/>
      <c r="E888" s="309"/>
      <c r="F888" s="309"/>
      <c r="G888" s="309"/>
      <c r="H888" s="309"/>
      <c r="I888" s="309"/>
      <c r="J888" s="309"/>
      <c r="K888" s="309"/>
      <c r="L888" s="309"/>
      <c r="M888" s="309"/>
      <c r="N888" s="309"/>
      <c r="O888" s="309"/>
      <c r="P888" s="309"/>
      <c r="Q888" s="309"/>
      <c r="R888" s="309"/>
      <c r="S888" s="309"/>
      <c r="T888" s="309"/>
      <c r="U888" s="309"/>
      <c r="V888" s="309"/>
      <c r="W888" s="309"/>
      <c r="X888" s="309"/>
      <c r="Y888" s="309"/>
      <c r="Z888" s="309"/>
    </row>
    <row r="889">
      <c r="A889" s="194"/>
      <c r="B889" s="309"/>
      <c r="C889" s="194"/>
      <c r="D889" s="309"/>
      <c r="E889" s="309"/>
      <c r="F889" s="309"/>
      <c r="G889" s="309"/>
      <c r="H889" s="309"/>
      <c r="I889" s="309"/>
      <c r="J889" s="309"/>
      <c r="K889" s="309"/>
      <c r="L889" s="309"/>
      <c r="M889" s="309"/>
      <c r="N889" s="309"/>
      <c r="O889" s="309"/>
      <c r="P889" s="309"/>
      <c r="Q889" s="309"/>
      <c r="R889" s="309"/>
      <c r="S889" s="309"/>
      <c r="T889" s="309"/>
      <c r="U889" s="309"/>
      <c r="V889" s="309"/>
      <c r="W889" s="309"/>
      <c r="X889" s="309"/>
      <c r="Y889" s="309"/>
      <c r="Z889" s="309"/>
    </row>
    <row r="890">
      <c r="A890" s="194"/>
      <c r="B890" s="309"/>
      <c r="C890" s="194"/>
      <c r="D890" s="309"/>
      <c r="E890" s="309"/>
      <c r="F890" s="309"/>
      <c r="G890" s="309"/>
      <c r="H890" s="309"/>
      <c r="I890" s="309"/>
      <c r="J890" s="309"/>
      <c r="K890" s="309"/>
      <c r="L890" s="309"/>
      <c r="M890" s="309"/>
      <c r="N890" s="309"/>
      <c r="O890" s="309"/>
      <c r="P890" s="309"/>
      <c r="Q890" s="309"/>
      <c r="R890" s="309"/>
      <c r="S890" s="309"/>
      <c r="T890" s="309"/>
      <c r="U890" s="309"/>
      <c r="V890" s="309"/>
      <c r="W890" s="309"/>
      <c r="X890" s="309"/>
      <c r="Y890" s="309"/>
      <c r="Z890" s="309"/>
    </row>
    <row r="891">
      <c r="A891" s="194"/>
      <c r="B891" s="309"/>
      <c r="C891" s="194"/>
      <c r="D891" s="309"/>
      <c r="E891" s="309"/>
      <c r="F891" s="309"/>
      <c r="G891" s="309"/>
      <c r="H891" s="309"/>
      <c r="I891" s="309"/>
      <c r="J891" s="309"/>
      <c r="K891" s="309"/>
      <c r="L891" s="309"/>
      <c r="M891" s="309"/>
      <c r="N891" s="309"/>
      <c r="O891" s="309"/>
      <c r="P891" s="309"/>
      <c r="Q891" s="309"/>
      <c r="R891" s="309"/>
      <c r="S891" s="309"/>
      <c r="T891" s="309"/>
      <c r="U891" s="309"/>
      <c r="V891" s="309"/>
      <c r="W891" s="309"/>
      <c r="X891" s="309"/>
      <c r="Y891" s="309"/>
      <c r="Z891" s="309"/>
    </row>
    <row r="892">
      <c r="A892" s="194"/>
      <c r="B892" s="309"/>
      <c r="C892" s="194"/>
      <c r="D892" s="309"/>
      <c r="E892" s="309"/>
      <c r="F892" s="309"/>
      <c r="G892" s="309"/>
      <c r="H892" s="309"/>
      <c r="I892" s="309"/>
      <c r="J892" s="309"/>
      <c r="K892" s="309"/>
      <c r="L892" s="309"/>
      <c r="M892" s="309"/>
      <c r="N892" s="309"/>
      <c r="O892" s="309"/>
      <c r="P892" s="309"/>
      <c r="Q892" s="309"/>
      <c r="R892" s="309"/>
      <c r="S892" s="309"/>
      <c r="T892" s="309"/>
      <c r="U892" s="309"/>
      <c r="V892" s="309"/>
      <c r="W892" s="309"/>
      <c r="X892" s="309"/>
      <c r="Y892" s="309"/>
      <c r="Z892" s="309"/>
    </row>
    <row r="893">
      <c r="A893" s="194"/>
      <c r="B893" s="309"/>
      <c r="C893" s="194"/>
      <c r="D893" s="309"/>
      <c r="E893" s="309"/>
      <c r="F893" s="309"/>
      <c r="G893" s="309"/>
      <c r="H893" s="309"/>
      <c r="I893" s="309"/>
      <c r="J893" s="309"/>
      <c r="K893" s="309"/>
      <c r="L893" s="309"/>
      <c r="M893" s="309"/>
      <c r="N893" s="309"/>
      <c r="O893" s="309"/>
      <c r="P893" s="309"/>
      <c r="Q893" s="309"/>
      <c r="R893" s="309"/>
      <c r="S893" s="309"/>
      <c r="T893" s="309"/>
      <c r="U893" s="309"/>
      <c r="V893" s="309"/>
      <c r="W893" s="309"/>
      <c r="X893" s="309"/>
      <c r="Y893" s="309"/>
      <c r="Z893" s="309"/>
    </row>
    <row r="894">
      <c r="A894" s="194"/>
      <c r="B894" s="309"/>
      <c r="C894" s="194"/>
      <c r="D894" s="309"/>
      <c r="E894" s="309"/>
      <c r="F894" s="309"/>
      <c r="G894" s="309"/>
      <c r="H894" s="309"/>
      <c r="I894" s="309"/>
      <c r="J894" s="309"/>
      <c r="K894" s="309"/>
      <c r="L894" s="309"/>
      <c r="M894" s="309"/>
      <c r="N894" s="309"/>
      <c r="O894" s="309"/>
      <c r="P894" s="309"/>
      <c r="Q894" s="309"/>
      <c r="R894" s="309"/>
      <c r="S894" s="309"/>
      <c r="T894" s="309"/>
      <c r="U894" s="309"/>
      <c r="V894" s="309"/>
      <c r="W894" s="309"/>
      <c r="X894" s="309"/>
      <c r="Y894" s="309"/>
      <c r="Z894" s="309"/>
    </row>
    <row r="895">
      <c r="A895" s="194"/>
      <c r="B895" s="309"/>
      <c r="C895" s="194"/>
      <c r="D895" s="309"/>
      <c r="E895" s="309"/>
      <c r="F895" s="309"/>
      <c r="G895" s="309"/>
      <c r="H895" s="309"/>
      <c r="I895" s="309"/>
      <c r="J895" s="309"/>
      <c r="K895" s="309"/>
      <c r="L895" s="309"/>
      <c r="M895" s="309"/>
      <c r="N895" s="309"/>
      <c r="O895" s="309"/>
      <c r="P895" s="309"/>
      <c r="Q895" s="309"/>
      <c r="R895" s="309"/>
      <c r="S895" s="309"/>
      <c r="T895" s="309"/>
      <c r="U895" s="309"/>
      <c r="V895" s="309"/>
      <c r="W895" s="309"/>
      <c r="X895" s="309"/>
      <c r="Y895" s="309"/>
      <c r="Z895" s="309"/>
    </row>
    <row r="896">
      <c r="A896" s="194"/>
      <c r="B896" s="309"/>
      <c r="C896" s="194"/>
      <c r="D896" s="309"/>
      <c r="E896" s="309"/>
      <c r="F896" s="309"/>
      <c r="G896" s="309"/>
      <c r="H896" s="309"/>
      <c r="I896" s="309"/>
      <c r="J896" s="309"/>
      <c r="K896" s="309"/>
      <c r="L896" s="309"/>
      <c r="M896" s="309"/>
      <c r="N896" s="309"/>
      <c r="O896" s="309"/>
      <c r="P896" s="309"/>
      <c r="Q896" s="309"/>
      <c r="R896" s="309"/>
      <c r="S896" s="309"/>
      <c r="T896" s="309"/>
      <c r="U896" s="309"/>
      <c r="V896" s="309"/>
      <c r="W896" s="309"/>
      <c r="X896" s="309"/>
      <c r="Y896" s="309"/>
      <c r="Z896" s="309"/>
    </row>
    <row r="897">
      <c r="A897" s="194"/>
      <c r="B897" s="309"/>
      <c r="C897" s="194"/>
      <c r="D897" s="309"/>
      <c r="E897" s="309"/>
      <c r="F897" s="309"/>
      <c r="G897" s="309"/>
      <c r="H897" s="309"/>
      <c r="I897" s="309"/>
      <c r="J897" s="309"/>
      <c r="K897" s="309"/>
      <c r="L897" s="309"/>
      <c r="M897" s="309"/>
      <c r="N897" s="309"/>
      <c r="O897" s="309"/>
      <c r="P897" s="309"/>
      <c r="Q897" s="309"/>
      <c r="R897" s="309"/>
      <c r="S897" s="309"/>
      <c r="T897" s="309"/>
      <c r="U897" s="309"/>
      <c r="V897" s="309"/>
      <c r="W897" s="309"/>
      <c r="X897" s="309"/>
      <c r="Y897" s="309"/>
      <c r="Z897" s="309"/>
    </row>
    <row r="898">
      <c r="A898" s="194"/>
      <c r="B898" s="309"/>
      <c r="C898" s="194"/>
      <c r="D898" s="309"/>
      <c r="E898" s="309"/>
      <c r="F898" s="309"/>
      <c r="G898" s="309"/>
      <c r="H898" s="309"/>
      <c r="I898" s="309"/>
      <c r="J898" s="309"/>
      <c r="K898" s="309"/>
      <c r="L898" s="309"/>
      <c r="M898" s="309"/>
      <c r="N898" s="309"/>
      <c r="O898" s="309"/>
      <c r="P898" s="309"/>
      <c r="Q898" s="309"/>
      <c r="R898" s="309"/>
      <c r="S898" s="309"/>
      <c r="T898" s="309"/>
      <c r="U898" s="309"/>
      <c r="V898" s="309"/>
      <c r="W898" s="309"/>
      <c r="X898" s="309"/>
      <c r="Y898" s="309"/>
      <c r="Z898" s="309"/>
    </row>
    <row r="899">
      <c r="A899" s="194"/>
      <c r="B899" s="309"/>
      <c r="C899" s="194"/>
      <c r="D899" s="309"/>
      <c r="E899" s="309"/>
      <c r="F899" s="309"/>
      <c r="G899" s="309"/>
      <c r="H899" s="309"/>
      <c r="I899" s="309"/>
      <c r="J899" s="309"/>
      <c r="K899" s="309"/>
      <c r="L899" s="309"/>
      <c r="M899" s="309"/>
      <c r="N899" s="309"/>
      <c r="O899" s="309"/>
      <c r="P899" s="309"/>
      <c r="Q899" s="309"/>
      <c r="R899" s="309"/>
      <c r="S899" s="309"/>
      <c r="T899" s="309"/>
      <c r="U899" s="309"/>
      <c r="V899" s="309"/>
      <c r="W899" s="309"/>
      <c r="X899" s="309"/>
      <c r="Y899" s="309"/>
      <c r="Z899" s="309"/>
    </row>
    <row r="900">
      <c r="A900" s="194"/>
      <c r="B900" s="309"/>
      <c r="C900" s="194"/>
      <c r="D900" s="309"/>
      <c r="E900" s="309"/>
      <c r="F900" s="309"/>
      <c r="G900" s="309"/>
      <c r="H900" s="309"/>
      <c r="I900" s="309"/>
      <c r="J900" s="309"/>
      <c r="K900" s="309"/>
      <c r="L900" s="309"/>
      <c r="M900" s="309"/>
      <c r="N900" s="309"/>
      <c r="O900" s="309"/>
      <c r="P900" s="309"/>
      <c r="Q900" s="309"/>
      <c r="R900" s="309"/>
      <c r="S900" s="309"/>
      <c r="T900" s="309"/>
      <c r="U900" s="309"/>
      <c r="V900" s="309"/>
      <c r="W900" s="309"/>
      <c r="X900" s="309"/>
      <c r="Y900" s="309"/>
      <c r="Z900" s="309"/>
    </row>
    <row r="901">
      <c r="A901" s="194"/>
      <c r="B901" s="309"/>
      <c r="C901" s="194"/>
      <c r="D901" s="309"/>
      <c r="E901" s="309"/>
      <c r="F901" s="309"/>
      <c r="G901" s="309"/>
      <c r="H901" s="309"/>
      <c r="I901" s="309"/>
      <c r="J901" s="309"/>
      <c r="K901" s="309"/>
      <c r="L901" s="309"/>
      <c r="M901" s="309"/>
      <c r="N901" s="309"/>
      <c r="O901" s="309"/>
      <c r="P901" s="309"/>
      <c r="Q901" s="309"/>
      <c r="R901" s="309"/>
      <c r="S901" s="309"/>
      <c r="T901" s="309"/>
      <c r="U901" s="309"/>
      <c r="V901" s="309"/>
      <c r="W901" s="309"/>
      <c r="X901" s="309"/>
      <c r="Y901" s="309"/>
      <c r="Z901" s="309"/>
    </row>
    <row r="902">
      <c r="A902" s="194"/>
      <c r="B902" s="309"/>
      <c r="C902" s="194"/>
      <c r="D902" s="309"/>
      <c r="E902" s="309"/>
      <c r="F902" s="309"/>
      <c r="G902" s="309"/>
      <c r="H902" s="309"/>
      <c r="I902" s="309"/>
      <c r="J902" s="309"/>
      <c r="K902" s="309"/>
      <c r="L902" s="309"/>
      <c r="M902" s="309"/>
      <c r="N902" s="309"/>
      <c r="O902" s="309"/>
      <c r="P902" s="309"/>
      <c r="Q902" s="309"/>
      <c r="R902" s="309"/>
      <c r="S902" s="309"/>
      <c r="T902" s="309"/>
      <c r="U902" s="309"/>
      <c r="V902" s="309"/>
      <c r="W902" s="309"/>
      <c r="X902" s="309"/>
      <c r="Y902" s="309"/>
      <c r="Z902" s="309"/>
    </row>
    <row r="903">
      <c r="A903" s="194"/>
      <c r="B903" s="309"/>
      <c r="C903" s="194"/>
      <c r="D903" s="309"/>
      <c r="E903" s="309"/>
      <c r="F903" s="309"/>
      <c r="G903" s="309"/>
      <c r="H903" s="309"/>
      <c r="I903" s="309"/>
      <c r="J903" s="309"/>
      <c r="K903" s="309"/>
      <c r="L903" s="309"/>
      <c r="M903" s="309"/>
      <c r="N903" s="309"/>
      <c r="O903" s="309"/>
      <c r="P903" s="309"/>
      <c r="Q903" s="309"/>
      <c r="R903" s="309"/>
      <c r="S903" s="309"/>
      <c r="T903" s="309"/>
      <c r="U903" s="309"/>
      <c r="V903" s="309"/>
      <c r="W903" s="309"/>
      <c r="X903" s="309"/>
      <c r="Y903" s="309"/>
      <c r="Z903" s="309"/>
    </row>
    <row r="904">
      <c r="A904" s="194"/>
      <c r="B904" s="309"/>
      <c r="C904" s="194"/>
      <c r="D904" s="309"/>
      <c r="E904" s="309"/>
      <c r="F904" s="309"/>
      <c r="G904" s="309"/>
      <c r="H904" s="309"/>
      <c r="I904" s="309"/>
      <c r="J904" s="309"/>
      <c r="K904" s="309"/>
      <c r="L904" s="309"/>
      <c r="M904" s="309"/>
      <c r="N904" s="309"/>
      <c r="O904" s="309"/>
      <c r="P904" s="309"/>
      <c r="Q904" s="309"/>
      <c r="R904" s="309"/>
      <c r="S904" s="309"/>
      <c r="T904" s="309"/>
      <c r="U904" s="309"/>
      <c r="V904" s="309"/>
      <c r="W904" s="309"/>
      <c r="X904" s="309"/>
      <c r="Y904" s="309"/>
      <c r="Z904" s="309"/>
    </row>
    <row r="905">
      <c r="A905" s="194"/>
      <c r="B905" s="309"/>
      <c r="C905" s="194"/>
      <c r="D905" s="309"/>
      <c r="E905" s="309"/>
      <c r="F905" s="309"/>
      <c r="G905" s="309"/>
      <c r="H905" s="309"/>
      <c r="I905" s="309"/>
      <c r="J905" s="309"/>
      <c r="K905" s="309"/>
      <c r="L905" s="309"/>
      <c r="M905" s="309"/>
      <c r="N905" s="309"/>
      <c r="O905" s="309"/>
      <c r="P905" s="309"/>
      <c r="Q905" s="309"/>
      <c r="R905" s="309"/>
      <c r="S905" s="309"/>
      <c r="T905" s="309"/>
      <c r="U905" s="309"/>
      <c r="V905" s="309"/>
      <c r="W905" s="309"/>
      <c r="X905" s="309"/>
      <c r="Y905" s="309"/>
      <c r="Z905" s="309"/>
    </row>
    <row r="906">
      <c r="A906" s="194"/>
      <c r="B906" s="309"/>
      <c r="C906" s="194"/>
      <c r="D906" s="309"/>
      <c r="E906" s="309"/>
      <c r="F906" s="309"/>
      <c r="G906" s="309"/>
      <c r="H906" s="309"/>
      <c r="I906" s="309"/>
      <c r="J906" s="309"/>
      <c r="K906" s="309"/>
      <c r="L906" s="309"/>
      <c r="M906" s="309"/>
      <c r="N906" s="309"/>
      <c r="O906" s="309"/>
      <c r="P906" s="309"/>
      <c r="Q906" s="309"/>
      <c r="R906" s="309"/>
      <c r="S906" s="309"/>
      <c r="T906" s="309"/>
      <c r="U906" s="309"/>
      <c r="V906" s="309"/>
      <c r="W906" s="309"/>
      <c r="X906" s="309"/>
      <c r="Y906" s="309"/>
      <c r="Z906" s="309"/>
    </row>
    <row r="907">
      <c r="A907" s="194"/>
      <c r="B907" s="309"/>
      <c r="C907" s="194"/>
      <c r="D907" s="309"/>
      <c r="E907" s="309"/>
      <c r="F907" s="309"/>
      <c r="G907" s="309"/>
      <c r="H907" s="309"/>
      <c r="I907" s="309"/>
      <c r="J907" s="309"/>
      <c r="K907" s="309"/>
      <c r="L907" s="309"/>
      <c r="M907" s="309"/>
      <c r="N907" s="309"/>
      <c r="O907" s="309"/>
      <c r="P907" s="309"/>
      <c r="Q907" s="309"/>
      <c r="R907" s="309"/>
      <c r="S907" s="309"/>
      <c r="T907" s="309"/>
      <c r="U907" s="309"/>
      <c r="V907" s="309"/>
      <c r="W907" s="309"/>
      <c r="X907" s="309"/>
      <c r="Y907" s="309"/>
      <c r="Z907" s="309"/>
    </row>
    <row r="908">
      <c r="A908" s="194"/>
      <c r="B908" s="309"/>
      <c r="C908" s="194"/>
      <c r="D908" s="309"/>
      <c r="E908" s="309"/>
      <c r="F908" s="309"/>
      <c r="G908" s="309"/>
      <c r="H908" s="309"/>
      <c r="I908" s="309"/>
      <c r="J908" s="309"/>
      <c r="K908" s="309"/>
      <c r="L908" s="309"/>
      <c r="M908" s="309"/>
      <c r="N908" s="309"/>
      <c r="O908" s="309"/>
      <c r="P908" s="309"/>
      <c r="Q908" s="309"/>
      <c r="R908" s="309"/>
      <c r="S908" s="309"/>
      <c r="T908" s="309"/>
      <c r="U908" s="309"/>
      <c r="V908" s="309"/>
      <c r="W908" s="309"/>
      <c r="X908" s="309"/>
      <c r="Y908" s="309"/>
      <c r="Z908" s="309"/>
    </row>
    <row r="909">
      <c r="A909" s="194"/>
      <c r="B909" s="309"/>
      <c r="C909" s="194"/>
      <c r="D909" s="309"/>
      <c r="E909" s="309"/>
      <c r="F909" s="309"/>
      <c r="G909" s="309"/>
      <c r="H909" s="309"/>
      <c r="I909" s="309"/>
      <c r="J909" s="309"/>
      <c r="K909" s="309"/>
      <c r="L909" s="309"/>
      <c r="M909" s="309"/>
      <c r="N909" s="309"/>
      <c r="O909" s="309"/>
      <c r="P909" s="309"/>
      <c r="Q909" s="309"/>
      <c r="R909" s="309"/>
      <c r="S909" s="309"/>
      <c r="T909" s="309"/>
      <c r="U909" s="309"/>
      <c r="V909" s="309"/>
      <c r="W909" s="309"/>
      <c r="X909" s="309"/>
      <c r="Y909" s="309"/>
      <c r="Z909" s="309"/>
    </row>
    <row r="910">
      <c r="A910" s="194"/>
      <c r="B910" s="309"/>
      <c r="C910" s="194"/>
      <c r="D910" s="309"/>
      <c r="E910" s="309"/>
      <c r="F910" s="309"/>
      <c r="G910" s="309"/>
      <c r="H910" s="309"/>
      <c r="I910" s="309"/>
      <c r="J910" s="309"/>
      <c r="K910" s="309"/>
      <c r="L910" s="309"/>
      <c r="M910" s="309"/>
      <c r="N910" s="309"/>
      <c r="O910" s="309"/>
      <c r="P910" s="309"/>
      <c r="Q910" s="309"/>
      <c r="R910" s="309"/>
      <c r="S910" s="309"/>
      <c r="T910" s="309"/>
      <c r="U910" s="309"/>
      <c r="V910" s="309"/>
      <c r="W910" s="309"/>
      <c r="X910" s="309"/>
      <c r="Y910" s="309"/>
      <c r="Z910" s="309"/>
    </row>
    <row r="911">
      <c r="A911" s="194"/>
      <c r="B911" s="309"/>
      <c r="C911" s="194"/>
      <c r="D911" s="309"/>
      <c r="E911" s="309"/>
      <c r="F911" s="309"/>
      <c r="G911" s="309"/>
      <c r="H911" s="309"/>
      <c r="I911" s="309"/>
      <c r="J911" s="309"/>
      <c r="K911" s="309"/>
      <c r="L911" s="309"/>
      <c r="M911" s="309"/>
      <c r="N911" s="309"/>
      <c r="O911" s="309"/>
      <c r="P911" s="309"/>
      <c r="Q911" s="309"/>
      <c r="R911" s="309"/>
      <c r="S911" s="309"/>
      <c r="T911" s="309"/>
      <c r="U911" s="309"/>
      <c r="V911" s="309"/>
      <c r="W911" s="309"/>
      <c r="X911" s="309"/>
      <c r="Y911" s="309"/>
      <c r="Z911" s="309"/>
    </row>
    <row r="912">
      <c r="A912" s="194"/>
      <c r="B912" s="309"/>
      <c r="C912" s="194"/>
      <c r="D912" s="309"/>
      <c r="E912" s="309"/>
      <c r="F912" s="309"/>
      <c r="G912" s="309"/>
      <c r="H912" s="309"/>
      <c r="I912" s="309"/>
      <c r="J912" s="309"/>
      <c r="K912" s="309"/>
      <c r="L912" s="309"/>
      <c r="M912" s="309"/>
      <c r="N912" s="309"/>
      <c r="O912" s="309"/>
      <c r="P912" s="309"/>
      <c r="Q912" s="309"/>
      <c r="R912" s="309"/>
      <c r="S912" s="309"/>
      <c r="T912" s="309"/>
      <c r="U912" s="309"/>
      <c r="V912" s="309"/>
      <c r="W912" s="309"/>
      <c r="X912" s="309"/>
      <c r="Y912" s="309"/>
      <c r="Z912" s="309"/>
    </row>
    <row r="913">
      <c r="A913" s="194"/>
      <c r="B913" s="309"/>
      <c r="C913" s="194"/>
      <c r="D913" s="309"/>
      <c r="E913" s="309"/>
      <c r="F913" s="309"/>
      <c r="G913" s="309"/>
      <c r="H913" s="309"/>
      <c r="I913" s="309"/>
      <c r="J913" s="309"/>
      <c r="K913" s="309"/>
      <c r="L913" s="309"/>
      <c r="M913" s="309"/>
      <c r="N913" s="309"/>
      <c r="O913" s="309"/>
      <c r="P913" s="309"/>
      <c r="Q913" s="309"/>
      <c r="R913" s="309"/>
      <c r="S913" s="309"/>
      <c r="T913" s="309"/>
      <c r="U913" s="309"/>
      <c r="V913" s="309"/>
      <c r="W913" s="309"/>
      <c r="X913" s="309"/>
      <c r="Y913" s="309"/>
      <c r="Z913" s="309"/>
    </row>
    <row r="914">
      <c r="A914" s="194"/>
      <c r="B914" s="309"/>
      <c r="C914" s="194"/>
      <c r="D914" s="309"/>
      <c r="E914" s="309"/>
      <c r="F914" s="309"/>
      <c r="G914" s="309"/>
      <c r="H914" s="309"/>
      <c r="I914" s="309"/>
      <c r="J914" s="309"/>
      <c r="K914" s="309"/>
      <c r="L914" s="309"/>
      <c r="M914" s="309"/>
      <c r="N914" s="309"/>
      <c r="O914" s="309"/>
      <c r="P914" s="309"/>
      <c r="Q914" s="309"/>
      <c r="R914" s="309"/>
      <c r="S914" s="309"/>
      <c r="T914" s="309"/>
      <c r="U914" s="309"/>
      <c r="V914" s="309"/>
      <c r="W914" s="309"/>
      <c r="X914" s="309"/>
      <c r="Y914" s="309"/>
      <c r="Z914" s="309"/>
    </row>
    <row r="915">
      <c r="A915" s="194"/>
      <c r="B915" s="309"/>
      <c r="C915" s="194"/>
      <c r="D915" s="309"/>
      <c r="E915" s="309"/>
      <c r="F915" s="309"/>
      <c r="G915" s="309"/>
      <c r="H915" s="309"/>
      <c r="I915" s="309"/>
      <c r="J915" s="309"/>
      <c r="K915" s="309"/>
      <c r="L915" s="309"/>
      <c r="M915" s="309"/>
      <c r="N915" s="309"/>
      <c r="O915" s="309"/>
      <c r="P915" s="309"/>
      <c r="Q915" s="309"/>
      <c r="R915" s="309"/>
      <c r="S915" s="309"/>
      <c r="T915" s="309"/>
      <c r="U915" s="309"/>
      <c r="V915" s="309"/>
      <c r="W915" s="309"/>
      <c r="X915" s="309"/>
      <c r="Y915" s="309"/>
      <c r="Z915" s="309"/>
    </row>
    <row r="916">
      <c r="A916" s="194"/>
      <c r="B916" s="309"/>
      <c r="C916" s="194"/>
      <c r="D916" s="309"/>
      <c r="E916" s="309"/>
      <c r="F916" s="309"/>
      <c r="G916" s="309"/>
      <c r="H916" s="309"/>
      <c r="I916" s="309"/>
      <c r="J916" s="309"/>
      <c r="K916" s="309"/>
      <c r="L916" s="309"/>
      <c r="M916" s="309"/>
      <c r="N916" s="309"/>
      <c r="O916" s="309"/>
      <c r="P916" s="309"/>
      <c r="Q916" s="309"/>
      <c r="R916" s="309"/>
      <c r="S916" s="309"/>
      <c r="T916" s="309"/>
      <c r="U916" s="309"/>
      <c r="V916" s="309"/>
      <c r="W916" s="309"/>
      <c r="X916" s="309"/>
      <c r="Y916" s="309"/>
      <c r="Z916" s="309"/>
    </row>
    <row r="917">
      <c r="A917" s="194"/>
      <c r="B917" s="309"/>
      <c r="C917" s="194"/>
      <c r="D917" s="309"/>
      <c r="E917" s="309"/>
      <c r="F917" s="309"/>
      <c r="G917" s="309"/>
      <c r="H917" s="309"/>
      <c r="I917" s="309"/>
      <c r="J917" s="309"/>
      <c r="K917" s="309"/>
      <c r="L917" s="309"/>
      <c r="M917" s="309"/>
      <c r="N917" s="309"/>
      <c r="O917" s="309"/>
      <c r="P917" s="309"/>
      <c r="Q917" s="309"/>
      <c r="R917" s="309"/>
      <c r="S917" s="309"/>
      <c r="T917" s="309"/>
      <c r="U917" s="309"/>
      <c r="V917" s="309"/>
      <c r="W917" s="309"/>
      <c r="X917" s="309"/>
      <c r="Y917" s="309"/>
      <c r="Z917" s="309"/>
    </row>
    <row r="918">
      <c r="A918" s="194"/>
      <c r="B918" s="309"/>
      <c r="C918" s="194"/>
      <c r="D918" s="309"/>
      <c r="E918" s="309"/>
      <c r="F918" s="309"/>
      <c r="G918" s="309"/>
      <c r="H918" s="309"/>
      <c r="I918" s="309"/>
      <c r="J918" s="309"/>
      <c r="K918" s="309"/>
      <c r="L918" s="309"/>
      <c r="M918" s="309"/>
      <c r="N918" s="309"/>
      <c r="O918" s="309"/>
      <c r="P918" s="309"/>
      <c r="Q918" s="309"/>
      <c r="R918" s="309"/>
      <c r="S918" s="309"/>
      <c r="T918" s="309"/>
      <c r="U918" s="309"/>
      <c r="V918" s="309"/>
      <c r="W918" s="309"/>
      <c r="X918" s="309"/>
      <c r="Y918" s="309"/>
      <c r="Z918" s="309"/>
    </row>
    <row r="919">
      <c r="A919" s="194"/>
      <c r="B919" s="309"/>
      <c r="C919" s="194"/>
      <c r="D919" s="309"/>
      <c r="E919" s="309"/>
      <c r="F919" s="309"/>
      <c r="G919" s="309"/>
      <c r="H919" s="309"/>
      <c r="I919" s="309"/>
      <c r="J919" s="309"/>
      <c r="K919" s="309"/>
      <c r="L919" s="309"/>
      <c r="M919" s="309"/>
      <c r="N919" s="309"/>
      <c r="O919" s="309"/>
      <c r="P919" s="309"/>
      <c r="Q919" s="309"/>
      <c r="R919" s="309"/>
      <c r="S919" s="309"/>
      <c r="T919" s="309"/>
      <c r="U919" s="309"/>
      <c r="V919" s="309"/>
      <c r="W919" s="309"/>
      <c r="X919" s="309"/>
      <c r="Y919" s="309"/>
      <c r="Z919" s="309"/>
    </row>
    <row r="920">
      <c r="A920" s="194"/>
      <c r="B920" s="309"/>
      <c r="C920" s="194"/>
      <c r="D920" s="309"/>
      <c r="E920" s="309"/>
      <c r="F920" s="309"/>
      <c r="G920" s="309"/>
      <c r="H920" s="309"/>
      <c r="I920" s="309"/>
      <c r="J920" s="309"/>
      <c r="K920" s="309"/>
      <c r="L920" s="309"/>
      <c r="M920" s="309"/>
      <c r="N920" s="309"/>
      <c r="O920" s="309"/>
      <c r="P920" s="309"/>
      <c r="Q920" s="309"/>
      <c r="R920" s="309"/>
      <c r="S920" s="309"/>
      <c r="T920" s="309"/>
      <c r="U920" s="309"/>
      <c r="V920" s="309"/>
      <c r="W920" s="309"/>
      <c r="X920" s="309"/>
      <c r="Y920" s="309"/>
      <c r="Z920" s="309"/>
    </row>
    <row r="921">
      <c r="A921" s="194"/>
      <c r="B921" s="309"/>
      <c r="C921" s="194"/>
      <c r="D921" s="309"/>
      <c r="E921" s="309"/>
      <c r="F921" s="309"/>
      <c r="G921" s="309"/>
      <c r="H921" s="309"/>
      <c r="I921" s="309"/>
      <c r="J921" s="309"/>
      <c r="K921" s="309"/>
      <c r="L921" s="309"/>
      <c r="M921" s="309"/>
      <c r="N921" s="309"/>
      <c r="O921" s="309"/>
      <c r="P921" s="309"/>
      <c r="Q921" s="309"/>
      <c r="R921" s="309"/>
      <c r="S921" s="309"/>
      <c r="T921" s="309"/>
      <c r="U921" s="309"/>
      <c r="V921" s="309"/>
      <c r="W921" s="309"/>
      <c r="X921" s="309"/>
      <c r="Y921" s="309"/>
      <c r="Z921" s="309"/>
    </row>
    <row r="922">
      <c r="A922" s="194"/>
      <c r="B922" s="309"/>
      <c r="C922" s="194"/>
      <c r="D922" s="309"/>
      <c r="E922" s="309"/>
      <c r="F922" s="309"/>
      <c r="G922" s="309"/>
      <c r="H922" s="309"/>
      <c r="I922" s="309"/>
      <c r="J922" s="309"/>
      <c r="K922" s="309"/>
      <c r="L922" s="309"/>
      <c r="M922" s="309"/>
      <c r="N922" s="309"/>
      <c r="O922" s="309"/>
      <c r="P922" s="309"/>
      <c r="Q922" s="309"/>
      <c r="R922" s="309"/>
      <c r="S922" s="309"/>
      <c r="T922" s="309"/>
      <c r="U922" s="309"/>
      <c r="V922" s="309"/>
      <c r="W922" s="309"/>
      <c r="X922" s="309"/>
      <c r="Y922" s="309"/>
      <c r="Z922" s="309"/>
    </row>
    <row r="923">
      <c r="A923" s="194"/>
      <c r="B923" s="309"/>
      <c r="C923" s="194"/>
      <c r="D923" s="309"/>
      <c r="E923" s="309"/>
      <c r="F923" s="309"/>
      <c r="G923" s="309"/>
      <c r="H923" s="309"/>
      <c r="I923" s="309"/>
      <c r="J923" s="309"/>
      <c r="K923" s="309"/>
      <c r="L923" s="309"/>
      <c r="M923" s="309"/>
      <c r="N923" s="309"/>
      <c r="O923" s="309"/>
      <c r="P923" s="309"/>
      <c r="Q923" s="309"/>
      <c r="R923" s="309"/>
      <c r="S923" s="309"/>
      <c r="T923" s="309"/>
      <c r="U923" s="309"/>
      <c r="V923" s="309"/>
      <c r="W923" s="309"/>
      <c r="X923" s="309"/>
      <c r="Y923" s="309"/>
      <c r="Z923" s="309"/>
    </row>
    <row r="924">
      <c r="A924" s="194"/>
      <c r="B924" s="309"/>
      <c r="C924" s="194"/>
      <c r="D924" s="309"/>
      <c r="E924" s="309"/>
      <c r="F924" s="309"/>
      <c r="G924" s="309"/>
      <c r="H924" s="309"/>
      <c r="I924" s="309"/>
      <c r="J924" s="309"/>
      <c r="K924" s="309"/>
      <c r="L924" s="309"/>
      <c r="M924" s="309"/>
      <c r="N924" s="309"/>
      <c r="O924" s="309"/>
      <c r="P924" s="309"/>
      <c r="Q924" s="309"/>
      <c r="R924" s="309"/>
      <c r="S924" s="309"/>
      <c r="T924" s="309"/>
      <c r="U924" s="309"/>
      <c r="V924" s="309"/>
      <c r="W924" s="309"/>
      <c r="X924" s="309"/>
      <c r="Y924" s="309"/>
      <c r="Z924" s="309"/>
    </row>
    <row r="925">
      <c r="A925" s="194"/>
      <c r="B925" s="309"/>
      <c r="C925" s="194"/>
      <c r="D925" s="309"/>
      <c r="E925" s="309"/>
      <c r="F925" s="309"/>
      <c r="G925" s="309"/>
      <c r="H925" s="309"/>
      <c r="I925" s="309"/>
      <c r="J925" s="309"/>
      <c r="K925" s="309"/>
      <c r="L925" s="309"/>
      <c r="M925" s="309"/>
      <c r="N925" s="309"/>
      <c r="O925" s="309"/>
      <c r="P925" s="309"/>
      <c r="Q925" s="309"/>
      <c r="R925" s="309"/>
      <c r="S925" s="309"/>
      <c r="T925" s="309"/>
      <c r="U925" s="309"/>
      <c r="V925" s="309"/>
      <c r="W925" s="309"/>
      <c r="X925" s="309"/>
      <c r="Y925" s="309"/>
      <c r="Z925" s="309"/>
    </row>
    <row r="926">
      <c r="A926" s="194"/>
      <c r="B926" s="309"/>
      <c r="C926" s="194"/>
      <c r="D926" s="309"/>
      <c r="E926" s="309"/>
      <c r="F926" s="309"/>
      <c r="G926" s="309"/>
      <c r="H926" s="309"/>
      <c r="I926" s="309"/>
      <c r="J926" s="309"/>
      <c r="K926" s="309"/>
      <c r="L926" s="309"/>
      <c r="M926" s="309"/>
      <c r="N926" s="309"/>
      <c r="O926" s="309"/>
      <c r="P926" s="309"/>
      <c r="Q926" s="309"/>
      <c r="R926" s="309"/>
      <c r="S926" s="309"/>
      <c r="T926" s="309"/>
      <c r="U926" s="309"/>
      <c r="V926" s="309"/>
      <c r="W926" s="309"/>
      <c r="X926" s="309"/>
      <c r="Y926" s="309"/>
      <c r="Z926" s="309"/>
    </row>
    <row r="927">
      <c r="A927" s="194"/>
      <c r="B927" s="309"/>
      <c r="C927" s="194"/>
      <c r="D927" s="309"/>
      <c r="E927" s="309"/>
      <c r="F927" s="309"/>
      <c r="G927" s="309"/>
      <c r="H927" s="309"/>
      <c r="I927" s="309"/>
      <c r="J927" s="309"/>
      <c r="K927" s="309"/>
      <c r="L927" s="309"/>
      <c r="M927" s="309"/>
      <c r="N927" s="309"/>
      <c r="O927" s="309"/>
      <c r="P927" s="309"/>
      <c r="Q927" s="309"/>
      <c r="R927" s="309"/>
      <c r="S927" s="309"/>
      <c r="T927" s="309"/>
      <c r="U927" s="309"/>
      <c r="V927" s="309"/>
      <c r="W927" s="309"/>
      <c r="X927" s="309"/>
      <c r="Y927" s="309"/>
      <c r="Z927" s="309"/>
    </row>
    <row r="928">
      <c r="A928" s="194"/>
      <c r="B928" s="309"/>
      <c r="C928" s="194"/>
      <c r="D928" s="309"/>
      <c r="E928" s="309"/>
      <c r="F928" s="309"/>
      <c r="G928" s="309"/>
      <c r="H928" s="309"/>
      <c r="I928" s="309"/>
      <c r="J928" s="309"/>
      <c r="K928" s="309"/>
      <c r="L928" s="309"/>
      <c r="M928" s="309"/>
      <c r="N928" s="309"/>
      <c r="O928" s="309"/>
      <c r="P928" s="309"/>
      <c r="Q928" s="309"/>
      <c r="R928" s="309"/>
      <c r="S928" s="309"/>
      <c r="T928" s="309"/>
      <c r="U928" s="309"/>
      <c r="V928" s="309"/>
      <c r="W928" s="309"/>
      <c r="X928" s="309"/>
      <c r="Y928" s="309"/>
      <c r="Z928" s="309"/>
    </row>
    <row r="929">
      <c r="A929" s="194"/>
      <c r="B929" s="309"/>
      <c r="C929" s="194"/>
      <c r="D929" s="309"/>
      <c r="E929" s="309"/>
      <c r="F929" s="309"/>
      <c r="G929" s="309"/>
      <c r="H929" s="309"/>
      <c r="I929" s="309"/>
      <c r="J929" s="309"/>
      <c r="K929" s="309"/>
      <c r="L929" s="309"/>
      <c r="M929" s="309"/>
      <c r="N929" s="309"/>
      <c r="O929" s="309"/>
      <c r="P929" s="309"/>
      <c r="Q929" s="309"/>
      <c r="R929" s="309"/>
      <c r="S929" s="309"/>
      <c r="T929" s="309"/>
      <c r="U929" s="309"/>
      <c r="V929" s="309"/>
      <c r="W929" s="309"/>
      <c r="X929" s="309"/>
      <c r="Y929" s="309"/>
      <c r="Z929" s="309"/>
    </row>
    <row r="930">
      <c r="A930" s="194"/>
      <c r="B930" s="309"/>
      <c r="C930" s="194"/>
      <c r="D930" s="309"/>
      <c r="E930" s="309"/>
      <c r="F930" s="309"/>
      <c r="G930" s="309"/>
      <c r="H930" s="309"/>
      <c r="I930" s="309"/>
      <c r="J930" s="309"/>
      <c r="K930" s="309"/>
      <c r="L930" s="309"/>
      <c r="M930" s="309"/>
      <c r="N930" s="309"/>
      <c r="O930" s="309"/>
      <c r="P930" s="309"/>
      <c r="Q930" s="309"/>
      <c r="R930" s="309"/>
      <c r="S930" s="309"/>
      <c r="T930" s="309"/>
      <c r="U930" s="309"/>
      <c r="V930" s="309"/>
      <c r="W930" s="309"/>
      <c r="X930" s="309"/>
      <c r="Y930" s="309"/>
      <c r="Z930" s="309"/>
    </row>
    <row r="931">
      <c r="A931" s="194"/>
      <c r="B931" s="309"/>
      <c r="C931" s="194"/>
      <c r="D931" s="309"/>
      <c r="E931" s="309"/>
      <c r="F931" s="309"/>
      <c r="G931" s="309"/>
      <c r="H931" s="309"/>
      <c r="I931" s="309"/>
      <c r="J931" s="309"/>
      <c r="K931" s="309"/>
      <c r="L931" s="309"/>
      <c r="M931" s="309"/>
      <c r="N931" s="309"/>
      <c r="O931" s="309"/>
      <c r="P931" s="309"/>
      <c r="Q931" s="309"/>
      <c r="R931" s="309"/>
      <c r="S931" s="309"/>
      <c r="T931" s="309"/>
      <c r="U931" s="309"/>
      <c r="V931" s="309"/>
      <c r="W931" s="309"/>
      <c r="X931" s="309"/>
      <c r="Y931" s="309"/>
      <c r="Z931" s="309"/>
    </row>
    <row r="932">
      <c r="A932" s="194"/>
      <c r="B932" s="309"/>
      <c r="C932" s="194"/>
      <c r="D932" s="309"/>
      <c r="E932" s="309"/>
      <c r="F932" s="309"/>
      <c r="G932" s="309"/>
      <c r="H932" s="309"/>
      <c r="I932" s="309"/>
      <c r="J932" s="309"/>
      <c r="K932" s="309"/>
      <c r="L932" s="309"/>
      <c r="M932" s="309"/>
      <c r="N932" s="309"/>
      <c r="O932" s="309"/>
      <c r="P932" s="309"/>
      <c r="Q932" s="309"/>
      <c r="R932" s="309"/>
      <c r="S932" s="309"/>
      <c r="T932" s="309"/>
      <c r="U932" s="309"/>
      <c r="V932" s="309"/>
      <c r="W932" s="309"/>
      <c r="X932" s="309"/>
      <c r="Y932" s="309"/>
      <c r="Z932" s="309"/>
    </row>
    <row r="933">
      <c r="A933" s="194"/>
      <c r="B933" s="309"/>
      <c r="C933" s="194"/>
      <c r="D933" s="309"/>
      <c r="E933" s="309"/>
      <c r="F933" s="309"/>
      <c r="G933" s="309"/>
      <c r="H933" s="309"/>
      <c r="I933" s="309"/>
      <c r="J933" s="309"/>
      <c r="K933" s="309"/>
      <c r="L933" s="309"/>
      <c r="M933" s="309"/>
      <c r="N933" s="309"/>
      <c r="O933" s="309"/>
      <c r="P933" s="309"/>
      <c r="Q933" s="309"/>
      <c r="R933" s="309"/>
      <c r="S933" s="309"/>
      <c r="T933" s="309"/>
      <c r="U933" s="309"/>
      <c r="V933" s="309"/>
      <c r="W933" s="309"/>
      <c r="X933" s="309"/>
      <c r="Y933" s="309"/>
      <c r="Z933" s="309"/>
    </row>
    <row r="934">
      <c r="A934" s="194"/>
      <c r="B934" s="309"/>
      <c r="C934" s="194"/>
      <c r="D934" s="309"/>
      <c r="E934" s="309"/>
      <c r="F934" s="309"/>
      <c r="G934" s="309"/>
      <c r="H934" s="309"/>
      <c r="I934" s="309"/>
      <c r="J934" s="309"/>
      <c r="K934" s="309"/>
      <c r="L934" s="309"/>
      <c r="M934" s="309"/>
      <c r="N934" s="309"/>
      <c r="O934" s="309"/>
      <c r="P934" s="309"/>
      <c r="Q934" s="309"/>
      <c r="R934" s="309"/>
      <c r="S934" s="309"/>
      <c r="T934" s="309"/>
      <c r="U934" s="309"/>
      <c r="V934" s="309"/>
      <c r="W934" s="309"/>
      <c r="X934" s="309"/>
      <c r="Y934" s="309"/>
      <c r="Z934" s="309"/>
    </row>
    <row r="935">
      <c r="A935" s="194"/>
      <c r="B935" s="309"/>
      <c r="C935" s="194"/>
      <c r="D935" s="309"/>
      <c r="E935" s="309"/>
      <c r="F935" s="309"/>
      <c r="G935" s="309"/>
      <c r="H935" s="309"/>
      <c r="I935" s="309"/>
      <c r="J935" s="309"/>
      <c r="K935" s="309"/>
      <c r="L935" s="309"/>
      <c r="M935" s="309"/>
      <c r="N935" s="309"/>
      <c r="O935" s="309"/>
      <c r="P935" s="309"/>
      <c r="Q935" s="309"/>
      <c r="R935" s="309"/>
      <c r="S935" s="309"/>
      <c r="T935" s="309"/>
      <c r="U935" s="309"/>
      <c r="V935" s="309"/>
      <c r="W935" s="309"/>
      <c r="X935" s="309"/>
      <c r="Y935" s="309"/>
      <c r="Z935" s="309"/>
    </row>
    <row r="936">
      <c r="A936" s="194"/>
      <c r="B936" s="309"/>
      <c r="C936" s="194"/>
      <c r="D936" s="309"/>
      <c r="E936" s="309"/>
      <c r="F936" s="309"/>
      <c r="G936" s="309"/>
      <c r="H936" s="309"/>
      <c r="I936" s="309"/>
      <c r="J936" s="309"/>
      <c r="K936" s="309"/>
      <c r="L936" s="309"/>
      <c r="M936" s="309"/>
      <c r="N936" s="309"/>
      <c r="O936" s="309"/>
      <c r="P936" s="309"/>
      <c r="Q936" s="309"/>
      <c r="R936" s="309"/>
      <c r="S936" s="309"/>
      <c r="T936" s="309"/>
      <c r="U936" s="309"/>
      <c r="V936" s="309"/>
      <c r="W936" s="309"/>
      <c r="X936" s="309"/>
      <c r="Y936" s="309"/>
      <c r="Z936" s="309"/>
    </row>
    <row r="937">
      <c r="A937" s="194"/>
      <c r="B937" s="309"/>
      <c r="C937" s="194"/>
      <c r="D937" s="309"/>
      <c r="E937" s="309"/>
      <c r="F937" s="309"/>
      <c r="G937" s="309"/>
      <c r="H937" s="309"/>
      <c r="I937" s="309"/>
      <c r="J937" s="309"/>
      <c r="K937" s="309"/>
      <c r="L937" s="309"/>
      <c r="M937" s="309"/>
      <c r="N937" s="309"/>
      <c r="O937" s="309"/>
      <c r="P937" s="309"/>
      <c r="Q937" s="309"/>
      <c r="R937" s="309"/>
      <c r="S937" s="309"/>
      <c r="T937" s="309"/>
      <c r="U937" s="309"/>
      <c r="V937" s="309"/>
      <c r="W937" s="309"/>
      <c r="X937" s="309"/>
      <c r="Y937" s="309"/>
      <c r="Z937" s="309"/>
    </row>
    <row r="938">
      <c r="A938" s="194"/>
      <c r="B938" s="309"/>
      <c r="C938" s="194"/>
      <c r="D938" s="309"/>
      <c r="E938" s="309"/>
      <c r="F938" s="309"/>
      <c r="G938" s="309"/>
      <c r="H938" s="309"/>
      <c r="I938" s="309"/>
      <c r="J938" s="309"/>
      <c r="K938" s="309"/>
      <c r="L938" s="309"/>
      <c r="M938" s="309"/>
      <c r="N938" s="309"/>
      <c r="O938" s="309"/>
      <c r="P938" s="309"/>
      <c r="Q938" s="309"/>
      <c r="R938" s="309"/>
      <c r="S938" s="309"/>
      <c r="T938" s="309"/>
      <c r="U938" s="309"/>
      <c r="V938" s="309"/>
      <c r="W938" s="309"/>
      <c r="X938" s="309"/>
      <c r="Y938" s="309"/>
      <c r="Z938" s="309"/>
    </row>
    <row r="939">
      <c r="A939" s="194"/>
      <c r="B939" s="309"/>
      <c r="C939" s="194"/>
      <c r="D939" s="309"/>
      <c r="E939" s="309"/>
      <c r="F939" s="309"/>
      <c r="G939" s="309"/>
      <c r="H939" s="309"/>
      <c r="I939" s="309"/>
      <c r="J939" s="309"/>
      <c r="K939" s="309"/>
      <c r="L939" s="309"/>
      <c r="M939" s="309"/>
      <c r="N939" s="309"/>
      <c r="O939" s="309"/>
      <c r="P939" s="309"/>
      <c r="Q939" s="309"/>
      <c r="R939" s="309"/>
      <c r="S939" s="309"/>
      <c r="T939" s="309"/>
      <c r="U939" s="309"/>
      <c r="V939" s="309"/>
      <c r="W939" s="309"/>
      <c r="X939" s="309"/>
      <c r="Y939" s="309"/>
      <c r="Z939" s="309"/>
    </row>
    <row r="940">
      <c r="A940" s="194"/>
      <c r="B940" s="309"/>
      <c r="C940" s="194"/>
      <c r="D940" s="309"/>
      <c r="E940" s="309"/>
      <c r="F940" s="309"/>
      <c r="G940" s="309"/>
      <c r="H940" s="309"/>
      <c r="I940" s="309"/>
      <c r="J940" s="309"/>
      <c r="K940" s="309"/>
      <c r="L940" s="309"/>
      <c r="M940" s="309"/>
      <c r="N940" s="309"/>
      <c r="O940" s="309"/>
      <c r="P940" s="309"/>
      <c r="Q940" s="309"/>
      <c r="R940" s="309"/>
      <c r="S940" s="309"/>
      <c r="T940" s="309"/>
      <c r="U940" s="309"/>
      <c r="V940" s="309"/>
      <c r="W940" s="309"/>
      <c r="X940" s="309"/>
      <c r="Y940" s="309"/>
      <c r="Z940" s="309"/>
    </row>
    <row r="941">
      <c r="A941" s="194"/>
      <c r="B941" s="309"/>
      <c r="C941" s="194"/>
      <c r="D941" s="309"/>
      <c r="E941" s="309"/>
      <c r="F941" s="309"/>
      <c r="G941" s="309"/>
      <c r="H941" s="309"/>
      <c r="I941" s="309"/>
      <c r="J941" s="309"/>
      <c r="K941" s="309"/>
      <c r="L941" s="309"/>
      <c r="M941" s="309"/>
      <c r="N941" s="309"/>
      <c r="O941" s="309"/>
      <c r="P941" s="309"/>
      <c r="Q941" s="309"/>
      <c r="R941" s="309"/>
      <c r="S941" s="309"/>
      <c r="T941" s="309"/>
      <c r="U941" s="309"/>
      <c r="V941" s="309"/>
      <c r="W941" s="309"/>
      <c r="X941" s="309"/>
      <c r="Y941" s="309"/>
      <c r="Z941" s="309"/>
    </row>
    <row r="942">
      <c r="A942" s="194"/>
      <c r="B942" s="309"/>
      <c r="C942" s="194"/>
      <c r="D942" s="309"/>
      <c r="E942" s="309"/>
      <c r="F942" s="309"/>
      <c r="G942" s="309"/>
      <c r="H942" s="309"/>
      <c r="I942" s="309"/>
      <c r="J942" s="309"/>
      <c r="K942" s="309"/>
      <c r="L942" s="309"/>
      <c r="M942" s="309"/>
      <c r="N942" s="309"/>
      <c r="O942" s="309"/>
      <c r="P942" s="309"/>
      <c r="Q942" s="309"/>
      <c r="R942" s="309"/>
      <c r="S942" s="309"/>
      <c r="T942" s="309"/>
      <c r="U942" s="309"/>
      <c r="V942" s="309"/>
      <c r="W942" s="309"/>
      <c r="X942" s="309"/>
      <c r="Y942" s="309"/>
      <c r="Z942" s="309"/>
    </row>
    <row r="943">
      <c r="A943" s="194"/>
      <c r="B943" s="309"/>
      <c r="C943" s="194"/>
      <c r="D943" s="309"/>
      <c r="E943" s="309"/>
      <c r="F943" s="309"/>
      <c r="G943" s="309"/>
      <c r="H943" s="309"/>
      <c r="I943" s="309"/>
      <c r="J943" s="309"/>
      <c r="K943" s="309"/>
      <c r="L943" s="309"/>
      <c r="M943" s="309"/>
      <c r="N943" s="309"/>
      <c r="O943" s="309"/>
      <c r="P943" s="309"/>
      <c r="Q943" s="309"/>
      <c r="R943" s="309"/>
      <c r="S943" s="309"/>
      <c r="T943" s="309"/>
      <c r="U943" s="309"/>
      <c r="V943" s="309"/>
      <c r="W943" s="309"/>
      <c r="X943" s="309"/>
      <c r="Y943" s="309"/>
      <c r="Z943" s="309"/>
    </row>
    <row r="944">
      <c r="A944" s="194"/>
      <c r="B944" s="309"/>
      <c r="C944" s="194"/>
      <c r="D944" s="309"/>
      <c r="E944" s="309"/>
      <c r="F944" s="309"/>
      <c r="G944" s="309"/>
      <c r="H944" s="309"/>
      <c r="I944" s="309"/>
      <c r="J944" s="309"/>
      <c r="K944" s="309"/>
      <c r="L944" s="309"/>
      <c r="M944" s="309"/>
      <c r="N944" s="309"/>
      <c r="O944" s="309"/>
      <c r="P944" s="309"/>
      <c r="Q944" s="309"/>
      <c r="R944" s="309"/>
      <c r="S944" s="309"/>
      <c r="T944" s="309"/>
      <c r="U944" s="309"/>
      <c r="V944" s="309"/>
      <c r="W944" s="309"/>
      <c r="X944" s="309"/>
      <c r="Y944" s="309"/>
      <c r="Z944" s="309"/>
    </row>
    <row r="945">
      <c r="A945" s="194"/>
      <c r="B945" s="309"/>
      <c r="C945" s="194"/>
      <c r="D945" s="309"/>
      <c r="E945" s="309"/>
      <c r="F945" s="309"/>
      <c r="G945" s="309"/>
      <c r="H945" s="309"/>
      <c r="I945" s="309"/>
      <c r="J945" s="309"/>
      <c r="K945" s="309"/>
      <c r="L945" s="309"/>
      <c r="M945" s="309"/>
      <c r="N945" s="309"/>
      <c r="O945" s="309"/>
      <c r="P945" s="309"/>
      <c r="Q945" s="309"/>
      <c r="R945" s="309"/>
      <c r="S945" s="309"/>
      <c r="T945" s="309"/>
      <c r="U945" s="309"/>
      <c r="V945" s="309"/>
      <c r="W945" s="309"/>
      <c r="X945" s="309"/>
      <c r="Y945" s="309"/>
      <c r="Z945" s="309"/>
    </row>
    <row r="946">
      <c r="A946" s="194"/>
      <c r="B946" s="309"/>
      <c r="C946" s="194"/>
      <c r="D946" s="309"/>
      <c r="E946" s="309"/>
      <c r="F946" s="309"/>
      <c r="G946" s="309"/>
      <c r="H946" s="309"/>
      <c r="I946" s="309"/>
      <c r="J946" s="309"/>
      <c r="K946" s="309"/>
      <c r="L946" s="309"/>
      <c r="M946" s="309"/>
      <c r="N946" s="309"/>
      <c r="O946" s="309"/>
      <c r="P946" s="309"/>
      <c r="Q946" s="309"/>
      <c r="R946" s="309"/>
      <c r="S946" s="309"/>
      <c r="T946" s="309"/>
      <c r="U946" s="309"/>
      <c r="V946" s="309"/>
      <c r="W946" s="309"/>
      <c r="X946" s="309"/>
      <c r="Y946" s="309"/>
      <c r="Z946" s="309"/>
    </row>
    <row r="947">
      <c r="A947" s="194"/>
      <c r="B947" s="309"/>
      <c r="C947" s="194"/>
      <c r="D947" s="309"/>
      <c r="E947" s="309"/>
      <c r="F947" s="309"/>
      <c r="G947" s="309"/>
      <c r="H947" s="309"/>
      <c r="I947" s="309"/>
      <c r="J947" s="309"/>
      <c r="K947" s="309"/>
      <c r="L947" s="309"/>
      <c r="M947" s="309"/>
      <c r="N947" s="309"/>
      <c r="O947" s="309"/>
      <c r="P947" s="309"/>
      <c r="Q947" s="309"/>
      <c r="R947" s="309"/>
      <c r="S947" s="309"/>
      <c r="T947" s="309"/>
      <c r="U947" s="309"/>
      <c r="V947" s="309"/>
      <c r="W947" s="309"/>
      <c r="X947" s="309"/>
      <c r="Y947" s="309"/>
      <c r="Z947" s="309"/>
    </row>
    <row r="948">
      <c r="A948" s="194"/>
      <c r="B948" s="309"/>
      <c r="C948" s="194"/>
      <c r="D948" s="309"/>
      <c r="E948" s="309"/>
      <c r="F948" s="309"/>
      <c r="G948" s="309"/>
      <c r="H948" s="309"/>
      <c r="I948" s="309"/>
      <c r="J948" s="309"/>
      <c r="K948" s="309"/>
      <c r="L948" s="309"/>
      <c r="M948" s="309"/>
      <c r="N948" s="309"/>
      <c r="O948" s="309"/>
      <c r="P948" s="309"/>
      <c r="Q948" s="309"/>
      <c r="R948" s="309"/>
      <c r="S948" s="309"/>
      <c r="T948" s="309"/>
      <c r="U948" s="309"/>
      <c r="V948" s="309"/>
      <c r="W948" s="309"/>
      <c r="X948" s="309"/>
      <c r="Y948" s="309"/>
      <c r="Z948" s="309"/>
    </row>
    <row r="949">
      <c r="A949" s="194"/>
      <c r="B949" s="309"/>
      <c r="C949" s="194"/>
      <c r="D949" s="309"/>
      <c r="E949" s="309"/>
      <c r="F949" s="309"/>
      <c r="G949" s="309"/>
      <c r="H949" s="309"/>
      <c r="I949" s="309"/>
      <c r="J949" s="309"/>
      <c r="K949" s="309"/>
      <c r="L949" s="309"/>
      <c r="M949" s="309"/>
      <c r="N949" s="309"/>
      <c r="O949" s="309"/>
      <c r="P949" s="309"/>
      <c r="Q949" s="309"/>
      <c r="R949" s="309"/>
      <c r="S949" s="309"/>
      <c r="T949" s="309"/>
      <c r="U949" s="309"/>
      <c r="V949" s="309"/>
      <c r="W949" s="309"/>
      <c r="X949" s="309"/>
      <c r="Y949" s="309"/>
      <c r="Z949" s="309"/>
    </row>
    <row r="950">
      <c r="A950" s="194"/>
      <c r="B950" s="309"/>
      <c r="C950" s="194"/>
      <c r="D950" s="309"/>
      <c r="E950" s="309"/>
      <c r="F950" s="309"/>
      <c r="G950" s="309"/>
      <c r="H950" s="309"/>
      <c r="I950" s="309"/>
      <c r="J950" s="309"/>
      <c r="K950" s="309"/>
      <c r="L950" s="309"/>
      <c r="M950" s="309"/>
      <c r="N950" s="309"/>
      <c r="O950" s="309"/>
      <c r="P950" s="309"/>
      <c r="Q950" s="309"/>
      <c r="R950" s="309"/>
      <c r="S950" s="309"/>
      <c r="T950" s="309"/>
      <c r="U950" s="309"/>
      <c r="V950" s="309"/>
      <c r="W950" s="309"/>
      <c r="X950" s="309"/>
      <c r="Y950" s="309"/>
      <c r="Z950" s="309"/>
    </row>
    <row r="951">
      <c r="A951" s="194"/>
      <c r="B951" s="309"/>
      <c r="C951" s="194"/>
      <c r="D951" s="309"/>
      <c r="E951" s="309"/>
      <c r="F951" s="309"/>
      <c r="G951" s="309"/>
      <c r="H951" s="309"/>
      <c r="I951" s="309"/>
      <c r="J951" s="309"/>
      <c r="K951" s="309"/>
      <c r="L951" s="309"/>
      <c r="M951" s="309"/>
      <c r="N951" s="309"/>
      <c r="O951" s="309"/>
      <c r="P951" s="309"/>
      <c r="Q951" s="309"/>
      <c r="R951" s="309"/>
      <c r="S951" s="309"/>
      <c r="T951" s="309"/>
      <c r="U951" s="309"/>
      <c r="V951" s="309"/>
      <c r="W951" s="309"/>
      <c r="X951" s="309"/>
      <c r="Y951" s="309"/>
      <c r="Z951" s="309"/>
    </row>
    <row r="952">
      <c r="A952" s="194"/>
      <c r="B952" s="309"/>
      <c r="C952" s="194"/>
      <c r="D952" s="309"/>
      <c r="E952" s="309"/>
      <c r="F952" s="309"/>
      <c r="G952" s="309"/>
      <c r="H952" s="309"/>
      <c r="I952" s="309"/>
      <c r="J952" s="309"/>
      <c r="K952" s="309"/>
      <c r="L952" s="309"/>
      <c r="M952" s="309"/>
      <c r="N952" s="309"/>
      <c r="O952" s="309"/>
      <c r="P952" s="309"/>
      <c r="Q952" s="309"/>
      <c r="R952" s="309"/>
      <c r="S952" s="309"/>
      <c r="T952" s="309"/>
      <c r="U952" s="309"/>
      <c r="V952" s="309"/>
      <c r="W952" s="309"/>
      <c r="X952" s="309"/>
      <c r="Y952" s="309"/>
      <c r="Z952" s="309"/>
    </row>
    <row r="953">
      <c r="A953" s="194"/>
      <c r="B953" s="309"/>
      <c r="C953" s="194"/>
      <c r="D953" s="309"/>
      <c r="E953" s="309"/>
      <c r="F953" s="309"/>
      <c r="G953" s="309"/>
      <c r="H953" s="309"/>
      <c r="I953" s="309"/>
      <c r="J953" s="309"/>
      <c r="K953" s="309"/>
      <c r="L953" s="309"/>
      <c r="M953" s="309"/>
      <c r="N953" s="309"/>
      <c r="O953" s="309"/>
      <c r="P953" s="309"/>
      <c r="Q953" s="309"/>
      <c r="R953" s="309"/>
      <c r="S953" s="309"/>
      <c r="T953" s="309"/>
      <c r="U953" s="309"/>
      <c r="V953" s="309"/>
      <c r="W953" s="309"/>
      <c r="X953" s="309"/>
      <c r="Y953" s="309"/>
      <c r="Z953" s="309"/>
    </row>
    <row r="954">
      <c r="A954" s="194"/>
      <c r="B954" s="309"/>
      <c r="C954" s="194"/>
      <c r="D954" s="309"/>
      <c r="E954" s="309"/>
      <c r="F954" s="309"/>
      <c r="G954" s="309"/>
      <c r="H954" s="309"/>
      <c r="I954" s="309"/>
      <c r="J954" s="309"/>
      <c r="K954" s="309"/>
      <c r="L954" s="309"/>
      <c r="M954" s="309"/>
      <c r="N954" s="309"/>
      <c r="O954" s="309"/>
      <c r="P954" s="309"/>
      <c r="Q954" s="309"/>
      <c r="R954" s="309"/>
      <c r="S954" s="309"/>
      <c r="T954" s="309"/>
      <c r="U954" s="309"/>
      <c r="V954" s="309"/>
      <c r="W954" s="309"/>
      <c r="X954" s="309"/>
      <c r="Y954" s="309"/>
      <c r="Z954" s="309"/>
    </row>
    <row r="955">
      <c r="A955" s="194"/>
      <c r="B955" s="309"/>
      <c r="C955" s="194"/>
      <c r="D955" s="309"/>
      <c r="E955" s="309"/>
      <c r="F955" s="309"/>
      <c r="G955" s="309"/>
      <c r="H955" s="309"/>
      <c r="I955" s="309"/>
      <c r="J955" s="309"/>
      <c r="K955" s="309"/>
      <c r="L955" s="309"/>
      <c r="M955" s="309"/>
      <c r="N955" s="309"/>
      <c r="O955" s="309"/>
      <c r="P955" s="309"/>
      <c r="Q955" s="309"/>
      <c r="R955" s="309"/>
      <c r="S955" s="309"/>
      <c r="T955" s="309"/>
      <c r="U955" s="309"/>
      <c r="V955" s="309"/>
      <c r="W955" s="309"/>
      <c r="X955" s="309"/>
      <c r="Y955" s="309"/>
      <c r="Z955" s="309"/>
    </row>
    <row r="956">
      <c r="A956" s="194"/>
      <c r="B956" s="309"/>
      <c r="C956" s="194"/>
      <c r="D956" s="309"/>
      <c r="E956" s="309"/>
      <c r="F956" s="309"/>
      <c r="G956" s="309"/>
      <c r="H956" s="309"/>
      <c r="I956" s="309"/>
      <c r="J956" s="309"/>
      <c r="K956" s="309"/>
      <c r="L956" s="309"/>
      <c r="M956" s="309"/>
      <c r="N956" s="309"/>
      <c r="O956" s="309"/>
      <c r="P956" s="309"/>
      <c r="Q956" s="309"/>
      <c r="R956" s="309"/>
      <c r="S956" s="309"/>
      <c r="T956" s="309"/>
      <c r="U956" s="309"/>
      <c r="V956" s="309"/>
      <c r="W956" s="309"/>
      <c r="X956" s="309"/>
      <c r="Y956" s="309"/>
      <c r="Z956" s="309"/>
    </row>
    <row r="957">
      <c r="A957" s="194"/>
      <c r="B957" s="309"/>
      <c r="C957" s="194"/>
      <c r="D957" s="309"/>
      <c r="E957" s="309"/>
      <c r="F957" s="309"/>
      <c r="G957" s="309"/>
      <c r="H957" s="309"/>
      <c r="I957" s="309"/>
      <c r="J957" s="309"/>
      <c r="K957" s="309"/>
      <c r="L957" s="309"/>
      <c r="M957" s="309"/>
      <c r="N957" s="309"/>
      <c r="O957" s="309"/>
      <c r="P957" s="309"/>
      <c r="Q957" s="309"/>
      <c r="R957" s="309"/>
      <c r="S957" s="309"/>
      <c r="T957" s="309"/>
      <c r="U957" s="309"/>
      <c r="V957" s="309"/>
      <c r="W957" s="309"/>
      <c r="X957" s="309"/>
      <c r="Y957" s="309"/>
      <c r="Z957" s="309"/>
    </row>
    <row r="958">
      <c r="A958" s="194"/>
      <c r="B958" s="309"/>
      <c r="C958" s="194"/>
      <c r="D958" s="309"/>
      <c r="E958" s="309"/>
      <c r="F958" s="309"/>
      <c r="G958" s="309"/>
      <c r="H958" s="309"/>
      <c r="I958" s="309"/>
      <c r="J958" s="309"/>
      <c r="K958" s="309"/>
      <c r="L958" s="309"/>
      <c r="M958" s="309"/>
      <c r="N958" s="309"/>
      <c r="O958" s="309"/>
      <c r="P958" s="309"/>
      <c r="Q958" s="309"/>
      <c r="R958" s="309"/>
      <c r="S958" s="309"/>
      <c r="T958" s="309"/>
      <c r="U958" s="309"/>
      <c r="V958" s="309"/>
      <c r="W958" s="309"/>
      <c r="X958" s="309"/>
      <c r="Y958" s="309"/>
      <c r="Z958" s="309"/>
    </row>
    <row r="959">
      <c r="A959" s="194"/>
      <c r="B959" s="309"/>
      <c r="C959" s="194"/>
      <c r="D959" s="309"/>
      <c r="E959" s="309"/>
      <c r="F959" s="309"/>
      <c r="G959" s="309"/>
      <c r="H959" s="309"/>
      <c r="I959" s="309"/>
      <c r="J959" s="309"/>
      <c r="K959" s="309"/>
      <c r="L959" s="309"/>
      <c r="M959" s="309"/>
      <c r="N959" s="309"/>
      <c r="O959" s="309"/>
      <c r="P959" s="309"/>
      <c r="Q959" s="309"/>
      <c r="R959" s="309"/>
      <c r="S959" s="309"/>
      <c r="T959" s="309"/>
      <c r="U959" s="309"/>
      <c r="V959" s="309"/>
      <c r="W959" s="309"/>
      <c r="X959" s="309"/>
      <c r="Y959" s="309"/>
      <c r="Z959" s="309"/>
    </row>
    <row r="960">
      <c r="A960" s="194"/>
      <c r="B960" s="309"/>
      <c r="C960" s="194"/>
      <c r="D960" s="309"/>
      <c r="E960" s="309"/>
      <c r="F960" s="309"/>
      <c r="G960" s="309"/>
      <c r="H960" s="309"/>
      <c r="I960" s="309"/>
      <c r="J960" s="309"/>
      <c r="K960" s="309"/>
      <c r="L960" s="309"/>
      <c r="M960" s="309"/>
      <c r="N960" s="309"/>
      <c r="O960" s="309"/>
      <c r="P960" s="309"/>
      <c r="Q960" s="309"/>
      <c r="R960" s="309"/>
      <c r="S960" s="309"/>
      <c r="T960" s="309"/>
      <c r="U960" s="309"/>
      <c r="V960" s="309"/>
      <c r="W960" s="309"/>
      <c r="X960" s="309"/>
      <c r="Y960" s="309"/>
      <c r="Z960" s="309"/>
    </row>
    <row r="961">
      <c r="A961" s="194"/>
      <c r="B961" s="309"/>
      <c r="C961" s="194"/>
      <c r="D961" s="309"/>
      <c r="E961" s="309"/>
      <c r="F961" s="309"/>
      <c r="G961" s="309"/>
      <c r="H961" s="309"/>
      <c r="I961" s="309"/>
      <c r="J961" s="309"/>
      <c r="K961" s="309"/>
      <c r="L961" s="309"/>
      <c r="M961" s="309"/>
      <c r="N961" s="309"/>
      <c r="O961" s="309"/>
      <c r="P961" s="309"/>
      <c r="Q961" s="309"/>
      <c r="R961" s="309"/>
      <c r="S961" s="309"/>
      <c r="T961" s="309"/>
      <c r="U961" s="309"/>
      <c r="V961" s="309"/>
      <c r="W961" s="309"/>
      <c r="X961" s="309"/>
      <c r="Y961" s="309"/>
      <c r="Z961" s="309"/>
    </row>
    <row r="962">
      <c r="A962" s="194"/>
      <c r="B962" s="309"/>
      <c r="C962" s="194"/>
      <c r="D962" s="309"/>
      <c r="E962" s="309"/>
      <c r="F962" s="309"/>
      <c r="G962" s="309"/>
      <c r="H962" s="309"/>
      <c r="I962" s="309"/>
      <c r="J962" s="309"/>
      <c r="K962" s="309"/>
      <c r="L962" s="309"/>
      <c r="M962" s="309"/>
      <c r="N962" s="309"/>
      <c r="O962" s="309"/>
      <c r="P962" s="309"/>
      <c r="Q962" s="309"/>
      <c r="R962" s="309"/>
      <c r="S962" s="309"/>
      <c r="T962" s="309"/>
      <c r="U962" s="309"/>
      <c r="V962" s="309"/>
      <c r="W962" s="309"/>
      <c r="X962" s="309"/>
      <c r="Y962" s="309"/>
      <c r="Z962" s="309"/>
    </row>
    <row r="963">
      <c r="A963" s="194"/>
      <c r="B963" s="309"/>
      <c r="C963" s="194"/>
      <c r="D963" s="309"/>
      <c r="E963" s="309"/>
      <c r="F963" s="309"/>
      <c r="G963" s="309"/>
      <c r="H963" s="309"/>
      <c r="I963" s="309"/>
      <c r="J963" s="309"/>
      <c r="K963" s="309"/>
      <c r="L963" s="309"/>
      <c r="M963" s="309"/>
      <c r="N963" s="309"/>
      <c r="O963" s="309"/>
      <c r="P963" s="309"/>
      <c r="Q963" s="309"/>
      <c r="R963" s="309"/>
      <c r="S963" s="309"/>
      <c r="T963" s="309"/>
      <c r="U963" s="309"/>
      <c r="V963" s="309"/>
      <c r="W963" s="309"/>
      <c r="X963" s="309"/>
      <c r="Y963" s="309"/>
      <c r="Z963" s="309"/>
    </row>
    <row r="964">
      <c r="A964" s="194"/>
      <c r="B964" s="309"/>
      <c r="C964" s="194"/>
      <c r="D964" s="309"/>
      <c r="E964" s="309"/>
      <c r="F964" s="309"/>
      <c r="G964" s="309"/>
      <c r="H964" s="309"/>
      <c r="I964" s="309"/>
      <c r="J964" s="309"/>
      <c r="K964" s="309"/>
      <c r="L964" s="309"/>
      <c r="M964" s="309"/>
      <c r="N964" s="309"/>
      <c r="O964" s="309"/>
      <c r="P964" s="309"/>
      <c r="Q964" s="309"/>
      <c r="R964" s="309"/>
      <c r="S964" s="309"/>
      <c r="T964" s="309"/>
      <c r="U964" s="309"/>
      <c r="V964" s="309"/>
      <c r="W964" s="309"/>
      <c r="X964" s="309"/>
      <c r="Y964" s="309"/>
      <c r="Z964" s="309"/>
    </row>
    <row r="965">
      <c r="A965" s="194"/>
      <c r="B965" s="309"/>
      <c r="C965" s="194"/>
      <c r="D965" s="309"/>
      <c r="E965" s="309"/>
      <c r="F965" s="309"/>
      <c r="G965" s="309"/>
      <c r="H965" s="309"/>
      <c r="I965" s="309"/>
      <c r="J965" s="309"/>
      <c r="K965" s="309"/>
      <c r="L965" s="309"/>
      <c r="M965" s="309"/>
      <c r="N965" s="309"/>
      <c r="O965" s="309"/>
      <c r="P965" s="309"/>
      <c r="Q965" s="309"/>
      <c r="R965" s="309"/>
      <c r="S965" s="309"/>
      <c r="T965" s="309"/>
      <c r="U965" s="309"/>
      <c r="V965" s="309"/>
      <c r="W965" s="309"/>
      <c r="X965" s="309"/>
      <c r="Y965" s="309"/>
      <c r="Z965" s="309"/>
    </row>
    <row r="966">
      <c r="A966" s="194"/>
      <c r="B966" s="309"/>
      <c r="C966" s="194"/>
      <c r="D966" s="309"/>
      <c r="E966" s="309"/>
      <c r="F966" s="309"/>
      <c r="G966" s="309"/>
      <c r="H966" s="309"/>
      <c r="I966" s="309"/>
      <c r="J966" s="309"/>
      <c r="K966" s="309"/>
      <c r="L966" s="309"/>
      <c r="M966" s="309"/>
      <c r="N966" s="309"/>
      <c r="O966" s="309"/>
      <c r="P966" s="309"/>
      <c r="Q966" s="309"/>
      <c r="R966" s="309"/>
      <c r="S966" s="309"/>
      <c r="T966" s="309"/>
      <c r="U966" s="309"/>
      <c r="V966" s="309"/>
      <c r="W966" s="309"/>
      <c r="X966" s="309"/>
      <c r="Y966" s="309"/>
      <c r="Z966" s="309"/>
    </row>
    <row r="967">
      <c r="A967" s="194"/>
      <c r="B967" s="309"/>
      <c r="C967" s="194"/>
      <c r="D967" s="309"/>
      <c r="E967" s="309"/>
      <c r="F967" s="309"/>
      <c r="G967" s="309"/>
      <c r="H967" s="309"/>
      <c r="I967" s="309"/>
      <c r="J967" s="309"/>
      <c r="K967" s="309"/>
      <c r="L967" s="309"/>
      <c r="M967" s="309"/>
      <c r="N967" s="309"/>
      <c r="O967" s="309"/>
      <c r="P967" s="309"/>
      <c r="Q967" s="309"/>
      <c r="R967" s="309"/>
      <c r="S967" s="309"/>
      <c r="T967" s="309"/>
      <c r="U967" s="309"/>
      <c r="V967" s="309"/>
      <c r="W967" s="309"/>
      <c r="X967" s="309"/>
      <c r="Y967" s="309"/>
      <c r="Z967" s="309"/>
    </row>
    <row r="968">
      <c r="A968" s="194"/>
      <c r="B968" s="309"/>
      <c r="C968" s="194"/>
      <c r="D968" s="309"/>
      <c r="E968" s="309"/>
      <c r="F968" s="309"/>
      <c r="G968" s="309"/>
      <c r="H968" s="309"/>
      <c r="I968" s="309"/>
      <c r="J968" s="309"/>
      <c r="K968" s="309"/>
      <c r="L968" s="309"/>
      <c r="M968" s="309"/>
      <c r="N968" s="309"/>
      <c r="O968" s="309"/>
      <c r="P968" s="309"/>
      <c r="Q968" s="309"/>
      <c r="R968" s="309"/>
      <c r="S968" s="309"/>
      <c r="T968" s="309"/>
      <c r="U968" s="309"/>
      <c r="V968" s="309"/>
      <c r="W968" s="309"/>
      <c r="X968" s="309"/>
      <c r="Y968" s="309"/>
      <c r="Z968" s="309"/>
    </row>
    <row r="969">
      <c r="A969" s="194"/>
      <c r="B969" s="309"/>
      <c r="C969" s="194"/>
      <c r="D969" s="309"/>
      <c r="E969" s="309"/>
      <c r="F969" s="309"/>
      <c r="G969" s="309"/>
      <c r="H969" s="309"/>
      <c r="I969" s="309"/>
      <c r="J969" s="309"/>
      <c r="K969" s="309"/>
      <c r="L969" s="309"/>
      <c r="M969" s="309"/>
      <c r="N969" s="309"/>
      <c r="O969" s="309"/>
      <c r="P969" s="309"/>
      <c r="Q969" s="309"/>
      <c r="R969" s="309"/>
      <c r="S969" s="309"/>
      <c r="T969" s="309"/>
      <c r="U969" s="309"/>
      <c r="V969" s="309"/>
      <c r="W969" s="309"/>
      <c r="X969" s="309"/>
      <c r="Y969" s="309"/>
      <c r="Z969" s="309"/>
    </row>
    <row r="970">
      <c r="A970" s="194"/>
      <c r="B970" s="309"/>
      <c r="C970" s="194"/>
      <c r="D970" s="309"/>
      <c r="E970" s="309"/>
      <c r="F970" s="309"/>
      <c r="G970" s="309"/>
      <c r="H970" s="309"/>
      <c r="I970" s="309"/>
      <c r="J970" s="309"/>
      <c r="K970" s="309"/>
      <c r="L970" s="309"/>
      <c r="M970" s="309"/>
      <c r="N970" s="309"/>
      <c r="O970" s="309"/>
      <c r="P970" s="309"/>
      <c r="Q970" s="309"/>
      <c r="R970" s="309"/>
      <c r="S970" s="309"/>
      <c r="T970" s="309"/>
      <c r="U970" s="309"/>
      <c r="V970" s="309"/>
      <c r="W970" s="309"/>
      <c r="X970" s="309"/>
      <c r="Y970" s="309"/>
      <c r="Z970" s="309"/>
    </row>
    <row r="971">
      <c r="A971" s="194"/>
      <c r="B971" s="309"/>
      <c r="C971" s="194"/>
      <c r="D971" s="309"/>
      <c r="E971" s="309"/>
      <c r="F971" s="309"/>
      <c r="G971" s="309"/>
      <c r="H971" s="309"/>
      <c r="I971" s="309"/>
      <c r="J971" s="309"/>
      <c r="K971" s="309"/>
      <c r="L971" s="309"/>
      <c r="M971" s="309"/>
      <c r="N971" s="309"/>
      <c r="O971" s="309"/>
      <c r="P971" s="309"/>
      <c r="Q971" s="309"/>
      <c r="R971" s="309"/>
      <c r="S971" s="309"/>
      <c r="T971" s="309"/>
      <c r="U971" s="309"/>
      <c r="V971" s="309"/>
      <c r="W971" s="309"/>
      <c r="X971" s="309"/>
      <c r="Y971" s="309"/>
      <c r="Z971" s="309"/>
    </row>
    <row r="972">
      <c r="A972" s="194"/>
      <c r="B972" s="309"/>
      <c r="C972" s="194"/>
      <c r="D972" s="309"/>
      <c r="E972" s="309"/>
      <c r="F972" s="309"/>
      <c r="G972" s="309"/>
      <c r="H972" s="309"/>
      <c r="I972" s="309"/>
      <c r="J972" s="309"/>
      <c r="K972" s="309"/>
      <c r="L972" s="309"/>
      <c r="M972" s="309"/>
      <c r="N972" s="309"/>
      <c r="O972" s="309"/>
      <c r="P972" s="309"/>
      <c r="Q972" s="309"/>
      <c r="R972" s="309"/>
      <c r="S972" s="309"/>
      <c r="T972" s="309"/>
      <c r="U972" s="309"/>
      <c r="V972" s="309"/>
      <c r="W972" s="309"/>
      <c r="X972" s="309"/>
      <c r="Y972" s="309"/>
      <c r="Z972" s="309"/>
    </row>
    <row r="973">
      <c r="A973" s="194"/>
      <c r="B973" s="309"/>
      <c r="C973" s="194"/>
      <c r="D973" s="309"/>
      <c r="E973" s="309"/>
      <c r="F973" s="309"/>
      <c r="G973" s="309"/>
      <c r="H973" s="309"/>
      <c r="I973" s="309"/>
      <c r="J973" s="309"/>
      <c r="K973" s="309"/>
      <c r="L973" s="309"/>
      <c r="M973" s="309"/>
      <c r="N973" s="309"/>
      <c r="O973" s="309"/>
      <c r="P973" s="309"/>
      <c r="Q973" s="309"/>
      <c r="R973" s="309"/>
      <c r="S973" s="309"/>
      <c r="T973" s="309"/>
      <c r="U973" s="309"/>
      <c r="V973" s="309"/>
      <c r="W973" s="309"/>
      <c r="X973" s="309"/>
      <c r="Y973" s="309"/>
      <c r="Z973" s="309"/>
    </row>
    <row r="974">
      <c r="A974" s="194"/>
      <c r="B974" s="309"/>
      <c r="C974" s="194"/>
      <c r="D974" s="309"/>
      <c r="E974" s="309"/>
      <c r="F974" s="309"/>
      <c r="G974" s="309"/>
      <c r="H974" s="309"/>
      <c r="I974" s="309"/>
      <c r="J974" s="309"/>
      <c r="K974" s="309"/>
      <c r="L974" s="309"/>
      <c r="M974" s="309"/>
      <c r="N974" s="309"/>
      <c r="O974" s="309"/>
      <c r="P974" s="309"/>
      <c r="Q974" s="309"/>
      <c r="R974" s="309"/>
      <c r="S974" s="309"/>
      <c r="T974" s="309"/>
      <c r="U974" s="309"/>
      <c r="V974" s="309"/>
      <c r="W974" s="309"/>
      <c r="X974" s="309"/>
      <c r="Y974" s="309"/>
      <c r="Z974" s="309"/>
    </row>
    <row r="975">
      <c r="A975" s="194"/>
      <c r="B975" s="309"/>
      <c r="C975" s="194"/>
      <c r="D975" s="309"/>
      <c r="E975" s="309"/>
      <c r="F975" s="309"/>
      <c r="G975" s="309"/>
      <c r="H975" s="309"/>
      <c r="I975" s="309"/>
      <c r="J975" s="309"/>
      <c r="K975" s="309"/>
      <c r="L975" s="309"/>
      <c r="M975" s="309"/>
      <c r="N975" s="309"/>
      <c r="O975" s="309"/>
      <c r="P975" s="309"/>
      <c r="Q975" s="309"/>
      <c r="R975" s="309"/>
      <c r="S975" s="309"/>
      <c r="T975" s="309"/>
      <c r="U975" s="309"/>
      <c r="V975" s="309"/>
      <c r="W975" s="309"/>
      <c r="X975" s="309"/>
      <c r="Y975" s="309"/>
      <c r="Z975" s="309"/>
    </row>
    <row r="976">
      <c r="A976" s="194"/>
      <c r="B976" s="309"/>
      <c r="C976" s="194"/>
      <c r="D976" s="309"/>
      <c r="E976" s="309"/>
      <c r="F976" s="309"/>
      <c r="G976" s="309"/>
      <c r="H976" s="309"/>
      <c r="I976" s="309"/>
      <c r="J976" s="309"/>
      <c r="K976" s="309"/>
      <c r="L976" s="309"/>
      <c r="M976" s="309"/>
      <c r="N976" s="309"/>
      <c r="O976" s="309"/>
      <c r="P976" s="309"/>
      <c r="Q976" s="309"/>
      <c r="R976" s="309"/>
      <c r="S976" s="309"/>
      <c r="T976" s="309"/>
      <c r="U976" s="309"/>
      <c r="V976" s="309"/>
      <c r="W976" s="309"/>
      <c r="X976" s="309"/>
      <c r="Y976" s="309"/>
      <c r="Z976" s="309"/>
    </row>
    <row r="977">
      <c r="A977" s="194"/>
      <c r="B977" s="309"/>
      <c r="C977" s="194"/>
      <c r="D977" s="309"/>
      <c r="E977" s="309"/>
      <c r="F977" s="309"/>
      <c r="G977" s="309"/>
      <c r="H977" s="309"/>
      <c r="I977" s="309"/>
      <c r="J977" s="309"/>
      <c r="K977" s="309"/>
      <c r="L977" s="309"/>
      <c r="M977" s="309"/>
      <c r="N977" s="309"/>
      <c r="O977" s="309"/>
      <c r="P977" s="309"/>
      <c r="Q977" s="309"/>
      <c r="R977" s="309"/>
      <c r="S977" s="309"/>
      <c r="T977" s="309"/>
      <c r="U977" s="309"/>
      <c r="V977" s="309"/>
      <c r="W977" s="309"/>
      <c r="X977" s="309"/>
      <c r="Y977" s="309"/>
      <c r="Z977" s="309"/>
    </row>
    <row r="978">
      <c r="A978" s="194"/>
      <c r="B978" s="309"/>
      <c r="C978" s="194"/>
      <c r="D978" s="309"/>
      <c r="E978" s="309"/>
      <c r="F978" s="309"/>
      <c r="G978" s="309"/>
      <c r="H978" s="309"/>
      <c r="I978" s="309"/>
      <c r="J978" s="309"/>
      <c r="K978" s="309"/>
      <c r="L978" s="309"/>
      <c r="M978" s="309"/>
      <c r="N978" s="309"/>
      <c r="O978" s="309"/>
      <c r="P978" s="309"/>
      <c r="Q978" s="309"/>
      <c r="R978" s="309"/>
      <c r="S978" s="309"/>
      <c r="T978" s="309"/>
      <c r="U978" s="309"/>
      <c r="V978" s="309"/>
      <c r="W978" s="309"/>
      <c r="X978" s="309"/>
      <c r="Y978" s="309"/>
      <c r="Z978" s="309"/>
    </row>
    <row r="979">
      <c r="A979" s="194"/>
      <c r="B979" s="309"/>
      <c r="C979" s="194"/>
      <c r="D979" s="309"/>
      <c r="E979" s="309"/>
      <c r="F979" s="309"/>
      <c r="G979" s="309"/>
      <c r="H979" s="309"/>
      <c r="I979" s="309"/>
      <c r="J979" s="309"/>
      <c r="K979" s="309"/>
      <c r="L979" s="309"/>
      <c r="M979" s="309"/>
      <c r="N979" s="309"/>
      <c r="O979" s="309"/>
      <c r="P979" s="309"/>
      <c r="Q979" s="309"/>
      <c r="R979" s="309"/>
      <c r="S979" s="309"/>
      <c r="T979" s="309"/>
      <c r="U979" s="309"/>
      <c r="V979" s="309"/>
      <c r="W979" s="309"/>
      <c r="X979" s="309"/>
      <c r="Y979" s="309"/>
      <c r="Z979" s="309"/>
    </row>
    <row r="980">
      <c r="A980" s="194"/>
      <c r="B980" s="309"/>
      <c r="C980" s="194"/>
      <c r="D980" s="309"/>
      <c r="E980" s="309"/>
      <c r="F980" s="309"/>
      <c r="G980" s="309"/>
      <c r="H980" s="309"/>
      <c r="I980" s="309"/>
      <c r="J980" s="309"/>
      <c r="K980" s="309"/>
      <c r="L980" s="309"/>
      <c r="M980" s="309"/>
      <c r="N980" s="309"/>
      <c r="O980" s="309"/>
      <c r="P980" s="309"/>
      <c r="Q980" s="309"/>
      <c r="R980" s="309"/>
      <c r="S980" s="309"/>
      <c r="T980" s="309"/>
      <c r="U980" s="309"/>
      <c r="V980" s="309"/>
      <c r="W980" s="309"/>
      <c r="X980" s="309"/>
      <c r="Y980" s="309"/>
      <c r="Z980" s="309"/>
    </row>
    <row r="981">
      <c r="A981" s="194"/>
      <c r="B981" s="309"/>
      <c r="C981" s="194"/>
      <c r="D981" s="309"/>
      <c r="E981" s="309"/>
      <c r="F981" s="309"/>
      <c r="G981" s="309"/>
      <c r="H981" s="309"/>
      <c r="I981" s="309"/>
      <c r="J981" s="309"/>
      <c r="K981" s="309"/>
      <c r="L981" s="309"/>
      <c r="M981" s="309"/>
      <c r="N981" s="309"/>
      <c r="O981" s="309"/>
      <c r="P981" s="309"/>
      <c r="Q981" s="309"/>
      <c r="R981" s="309"/>
      <c r="S981" s="309"/>
      <c r="T981" s="309"/>
      <c r="U981" s="309"/>
      <c r="V981" s="309"/>
      <c r="W981" s="309"/>
      <c r="X981" s="309"/>
      <c r="Y981" s="309"/>
      <c r="Z981" s="309"/>
    </row>
    <row r="982">
      <c r="A982" s="194"/>
      <c r="B982" s="309"/>
      <c r="C982" s="194"/>
      <c r="D982" s="309"/>
      <c r="E982" s="309"/>
      <c r="F982" s="309"/>
      <c r="G982" s="309"/>
      <c r="H982" s="309"/>
      <c r="I982" s="309"/>
      <c r="J982" s="309"/>
      <c r="K982" s="309"/>
      <c r="L982" s="309"/>
      <c r="M982" s="309"/>
      <c r="N982" s="309"/>
      <c r="O982" s="309"/>
      <c r="P982" s="309"/>
      <c r="Q982" s="309"/>
      <c r="R982" s="309"/>
      <c r="S982" s="309"/>
      <c r="T982" s="309"/>
      <c r="U982" s="309"/>
      <c r="V982" s="309"/>
      <c r="W982" s="309"/>
      <c r="X982" s="309"/>
      <c r="Y982" s="309"/>
      <c r="Z982" s="309"/>
    </row>
    <row r="983">
      <c r="A983" s="194"/>
      <c r="B983" s="309"/>
      <c r="C983" s="194"/>
      <c r="D983" s="309"/>
      <c r="E983" s="309"/>
      <c r="F983" s="309"/>
      <c r="G983" s="309"/>
      <c r="H983" s="309"/>
      <c r="I983" s="309"/>
      <c r="J983" s="309"/>
      <c r="K983" s="309"/>
      <c r="L983" s="309"/>
      <c r="M983" s="309"/>
      <c r="N983" s="309"/>
      <c r="O983" s="309"/>
      <c r="P983" s="309"/>
      <c r="Q983" s="309"/>
      <c r="R983" s="309"/>
      <c r="S983" s="309"/>
      <c r="T983" s="309"/>
      <c r="U983" s="309"/>
      <c r="V983" s="309"/>
      <c r="W983" s="309"/>
      <c r="X983" s="309"/>
      <c r="Y983" s="309"/>
      <c r="Z983" s="309"/>
    </row>
    <row r="984">
      <c r="A984" s="194"/>
      <c r="B984" s="309"/>
      <c r="C984" s="194"/>
      <c r="D984" s="309"/>
      <c r="E984" s="309"/>
      <c r="F984" s="309"/>
      <c r="G984" s="309"/>
      <c r="H984" s="309"/>
      <c r="I984" s="309"/>
      <c r="J984" s="309"/>
      <c r="K984" s="309"/>
      <c r="L984" s="309"/>
      <c r="M984" s="309"/>
      <c r="N984" s="309"/>
      <c r="O984" s="309"/>
      <c r="P984" s="309"/>
      <c r="Q984" s="309"/>
      <c r="R984" s="309"/>
      <c r="S984" s="309"/>
      <c r="T984" s="309"/>
      <c r="U984" s="309"/>
      <c r="V984" s="309"/>
      <c r="W984" s="309"/>
      <c r="X984" s="309"/>
      <c r="Y984" s="309"/>
      <c r="Z984" s="309"/>
    </row>
    <row r="985">
      <c r="A985" s="194"/>
      <c r="B985" s="309"/>
      <c r="C985" s="194"/>
      <c r="D985" s="309"/>
      <c r="E985" s="309"/>
      <c r="F985" s="309"/>
      <c r="G985" s="309"/>
      <c r="H985" s="309"/>
      <c r="I985" s="309"/>
      <c r="J985" s="309"/>
      <c r="K985" s="309"/>
      <c r="L985" s="309"/>
      <c r="M985" s="309"/>
      <c r="N985" s="309"/>
      <c r="O985" s="309"/>
      <c r="P985" s="309"/>
      <c r="Q985" s="309"/>
      <c r="R985" s="309"/>
      <c r="S985" s="309"/>
      <c r="T985" s="309"/>
      <c r="U985" s="309"/>
      <c r="V985" s="309"/>
      <c r="W985" s="309"/>
      <c r="X985" s="309"/>
      <c r="Y985" s="309"/>
      <c r="Z985" s="309"/>
    </row>
    <row r="986">
      <c r="A986" s="194"/>
      <c r="B986" s="309"/>
      <c r="C986" s="194"/>
      <c r="D986" s="309"/>
      <c r="E986" s="309"/>
      <c r="F986" s="309"/>
      <c r="G986" s="309"/>
      <c r="H986" s="309"/>
      <c r="I986" s="309"/>
      <c r="J986" s="309"/>
      <c r="K986" s="309"/>
      <c r="L986" s="309"/>
      <c r="M986" s="309"/>
      <c r="N986" s="309"/>
      <c r="O986" s="309"/>
      <c r="P986" s="309"/>
      <c r="Q986" s="309"/>
      <c r="R986" s="309"/>
      <c r="S986" s="309"/>
      <c r="T986" s="309"/>
      <c r="U986" s="309"/>
      <c r="V986" s="309"/>
      <c r="W986" s="309"/>
      <c r="X986" s="309"/>
      <c r="Y986" s="309"/>
      <c r="Z986" s="309"/>
    </row>
    <row r="987">
      <c r="A987" s="194"/>
      <c r="B987" s="309"/>
      <c r="C987" s="194"/>
      <c r="D987" s="309"/>
      <c r="E987" s="309"/>
      <c r="F987" s="309"/>
      <c r="G987" s="309"/>
      <c r="H987" s="309"/>
      <c r="I987" s="309"/>
      <c r="J987" s="309"/>
      <c r="K987" s="309"/>
      <c r="L987" s="309"/>
      <c r="M987" s="309"/>
      <c r="N987" s="309"/>
      <c r="O987" s="309"/>
      <c r="P987" s="309"/>
      <c r="Q987" s="309"/>
      <c r="R987" s="309"/>
      <c r="S987" s="309"/>
      <c r="T987" s="309"/>
      <c r="U987" s="309"/>
      <c r="V987" s="309"/>
      <c r="W987" s="309"/>
      <c r="X987" s="309"/>
      <c r="Y987" s="309"/>
      <c r="Z987" s="309"/>
    </row>
    <row r="988">
      <c r="A988" s="194"/>
      <c r="B988" s="309"/>
      <c r="C988" s="194"/>
      <c r="D988" s="309"/>
      <c r="E988" s="309"/>
      <c r="F988" s="309"/>
      <c r="G988" s="309"/>
      <c r="H988" s="309"/>
      <c r="I988" s="309"/>
      <c r="J988" s="309"/>
      <c r="K988" s="309"/>
      <c r="L988" s="309"/>
      <c r="M988" s="309"/>
      <c r="N988" s="309"/>
      <c r="O988" s="309"/>
      <c r="P988" s="309"/>
      <c r="Q988" s="309"/>
      <c r="R988" s="309"/>
      <c r="S988" s="309"/>
      <c r="T988" s="309"/>
      <c r="U988" s="309"/>
      <c r="V988" s="309"/>
      <c r="W988" s="309"/>
      <c r="X988" s="309"/>
      <c r="Y988" s="309"/>
      <c r="Z988" s="309"/>
    </row>
    <row r="989">
      <c r="A989" s="194"/>
      <c r="B989" s="309"/>
      <c r="C989" s="194"/>
      <c r="D989" s="309"/>
      <c r="E989" s="309"/>
      <c r="F989" s="309"/>
      <c r="G989" s="309"/>
      <c r="H989" s="309"/>
      <c r="I989" s="309"/>
      <c r="J989" s="309"/>
      <c r="K989" s="309"/>
      <c r="L989" s="309"/>
      <c r="M989" s="309"/>
      <c r="N989" s="309"/>
      <c r="O989" s="309"/>
      <c r="P989" s="309"/>
      <c r="Q989" s="309"/>
      <c r="R989" s="309"/>
      <c r="S989" s="309"/>
      <c r="T989" s="309"/>
      <c r="U989" s="309"/>
      <c r="V989" s="309"/>
      <c r="W989" s="309"/>
      <c r="X989" s="309"/>
      <c r="Y989" s="309"/>
      <c r="Z989" s="309"/>
    </row>
    <row r="990">
      <c r="A990" s="194"/>
      <c r="B990" s="309"/>
      <c r="C990" s="194"/>
      <c r="D990" s="309"/>
      <c r="E990" s="309"/>
      <c r="F990" s="309"/>
      <c r="G990" s="309"/>
      <c r="H990" s="309"/>
      <c r="I990" s="309"/>
      <c r="J990" s="309"/>
      <c r="K990" s="309"/>
      <c r="L990" s="309"/>
      <c r="M990" s="309"/>
      <c r="N990" s="309"/>
      <c r="O990" s="309"/>
      <c r="P990" s="309"/>
      <c r="Q990" s="309"/>
      <c r="R990" s="309"/>
      <c r="S990" s="309"/>
      <c r="T990" s="309"/>
      <c r="U990" s="309"/>
      <c r="V990" s="309"/>
      <c r="W990" s="309"/>
      <c r="X990" s="309"/>
      <c r="Y990" s="309"/>
      <c r="Z990" s="309"/>
    </row>
    <row r="991">
      <c r="A991" s="194"/>
      <c r="B991" s="309"/>
      <c r="C991" s="194"/>
      <c r="D991" s="309"/>
      <c r="E991" s="309"/>
      <c r="F991" s="309"/>
      <c r="G991" s="309"/>
      <c r="H991" s="309"/>
      <c r="I991" s="309"/>
      <c r="J991" s="309"/>
      <c r="K991" s="309"/>
      <c r="L991" s="309"/>
      <c r="M991" s="309"/>
      <c r="N991" s="309"/>
      <c r="O991" s="309"/>
      <c r="P991" s="309"/>
      <c r="Q991" s="309"/>
      <c r="R991" s="309"/>
      <c r="S991" s="309"/>
      <c r="T991" s="309"/>
      <c r="U991" s="309"/>
      <c r="V991" s="309"/>
      <c r="W991" s="309"/>
      <c r="X991" s="309"/>
      <c r="Y991" s="309"/>
      <c r="Z991" s="309"/>
    </row>
    <row r="992">
      <c r="A992" s="194"/>
      <c r="B992" s="309"/>
      <c r="C992" s="194"/>
      <c r="D992" s="309"/>
      <c r="E992" s="309"/>
      <c r="F992" s="309"/>
      <c r="G992" s="309"/>
      <c r="H992" s="309"/>
      <c r="I992" s="309"/>
      <c r="J992" s="309"/>
      <c r="K992" s="309"/>
      <c r="L992" s="309"/>
      <c r="M992" s="309"/>
      <c r="N992" s="309"/>
      <c r="O992" s="309"/>
      <c r="P992" s="309"/>
      <c r="Q992" s="309"/>
      <c r="R992" s="309"/>
      <c r="S992" s="309"/>
      <c r="T992" s="309"/>
      <c r="U992" s="309"/>
      <c r="V992" s="309"/>
      <c r="W992" s="309"/>
      <c r="X992" s="309"/>
      <c r="Y992" s="309"/>
      <c r="Z992" s="309"/>
    </row>
    <row r="993">
      <c r="A993" s="194"/>
      <c r="B993" s="309"/>
      <c r="C993" s="194"/>
      <c r="D993" s="309"/>
      <c r="E993" s="309"/>
      <c r="F993" s="309"/>
      <c r="G993" s="309"/>
      <c r="H993" s="309"/>
      <c r="I993" s="309"/>
      <c r="J993" s="309"/>
      <c r="K993" s="309"/>
      <c r="L993" s="309"/>
      <c r="M993" s="309"/>
      <c r="N993" s="309"/>
      <c r="O993" s="309"/>
      <c r="P993" s="309"/>
      <c r="Q993" s="309"/>
      <c r="R993" s="309"/>
      <c r="S993" s="309"/>
      <c r="T993" s="309"/>
      <c r="U993" s="309"/>
      <c r="V993" s="309"/>
      <c r="W993" s="309"/>
      <c r="X993" s="309"/>
      <c r="Y993" s="309"/>
      <c r="Z993" s="309"/>
    </row>
    <row r="994">
      <c r="A994" s="194"/>
      <c r="B994" s="309"/>
      <c r="C994" s="194"/>
      <c r="D994" s="309"/>
      <c r="E994" s="309"/>
      <c r="F994" s="309"/>
      <c r="G994" s="309"/>
      <c r="H994" s="309"/>
      <c r="I994" s="309"/>
      <c r="J994" s="309"/>
      <c r="K994" s="309"/>
      <c r="L994" s="309"/>
      <c r="M994" s="309"/>
      <c r="N994" s="309"/>
      <c r="O994" s="309"/>
      <c r="P994" s="309"/>
      <c r="Q994" s="309"/>
      <c r="R994" s="309"/>
      <c r="S994" s="309"/>
      <c r="T994" s="309"/>
      <c r="U994" s="309"/>
      <c r="V994" s="309"/>
      <c r="W994" s="309"/>
      <c r="X994" s="309"/>
      <c r="Y994" s="309"/>
      <c r="Z994" s="309"/>
    </row>
    <row r="995">
      <c r="A995" s="194"/>
      <c r="B995" s="309"/>
      <c r="C995" s="194"/>
      <c r="D995" s="309"/>
      <c r="E995" s="309"/>
      <c r="F995" s="309"/>
      <c r="G995" s="309"/>
      <c r="H995" s="309"/>
      <c r="I995" s="309"/>
      <c r="J995" s="309"/>
      <c r="K995" s="309"/>
      <c r="L995" s="309"/>
      <c r="M995" s="309"/>
      <c r="N995" s="309"/>
      <c r="O995" s="309"/>
      <c r="P995" s="309"/>
      <c r="Q995" s="309"/>
      <c r="R995" s="309"/>
      <c r="S995" s="309"/>
      <c r="T995" s="309"/>
      <c r="U995" s="309"/>
      <c r="V995" s="309"/>
      <c r="W995" s="309"/>
      <c r="X995" s="309"/>
      <c r="Y995" s="309"/>
      <c r="Z995" s="309"/>
    </row>
    <row r="996">
      <c r="A996" s="194"/>
      <c r="B996" s="309"/>
      <c r="C996" s="194"/>
      <c r="D996" s="309"/>
      <c r="E996" s="309"/>
      <c r="F996" s="309"/>
      <c r="G996" s="309"/>
      <c r="H996" s="309"/>
      <c r="I996" s="309"/>
      <c r="J996" s="309"/>
      <c r="K996" s="309"/>
      <c r="L996" s="309"/>
      <c r="M996" s="309"/>
      <c r="N996" s="309"/>
      <c r="O996" s="309"/>
      <c r="P996" s="309"/>
      <c r="Q996" s="309"/>
      <c r="R996" s="309"/>
      <c r="S996" s="309"/>
      <c r="T996" s="309"/>
      <c r="U996" s="309"/>
      <c r="V996" s="309"/>
      <c r="W996" s="309"/>
      <c r="X996" s="309"/>
      <c r="Y996" s="309"/>
      <c r="Z996" s="309"/>
    </row>
    <row r="997">
      <c r="A997" s="194"/>
      <c r="B997" s="309"/>
      <c r="C997" s="194"/>
      <c r="D997" s="309"/>
      <c r="E997" s="309"/>
      <c r="F997" s="309"/>
      <c r="G997" s="309"/>
      <c r="H997" s="309"/>
      <c r="I997" s="309"/>
      <c r="J997" s="309"/>
      <c r="K997" s="309"/>
      <c r="L997" s="309"/>
      <c r="M997" s="309"/>
      <c r="N997" s="309"/>
      <c r="O997" s="309"/>
      <c r="P997" s="309"/>
      <c r="Q997" s="309"/>
      <c r="R997" s="309"/>
      <c r="S997" s="309"/>
      <c r="T997" s="309"/>
      <c r="U997" s="309"/>
      <c r="V997" s="309"/>
      <c r="W997" s="309"/>
      <c r="X997" s="309"/>
      <c r="Y997" s="309"/>
      <c r="Z997" s="309"/>
    </row>
    <row r="998">
      <c r="A998" s="194"/>
      <c r="B998" s="309"/>
      <c r="C998" s="194"/>
      <c r="D998" s="309"/>
      <c r="E998" s="309"/>
      <c r="F998" s="309"/>
      <c r="G998" s="309"/>
      <c r="H998" s="309"/>
      <c r="I998" s="309"/>
      <c r="J998" s="309"/>
      <c r="K998" s="309"/>
      <c r="L998" s="309"/>
      <c r="M998" s="309"/>
      <c r="N998" s="309"/>
      <c r="O998" s="309"/>
      <c r="P998" s="309"/>
      <c r="Q998" s="309"/>
      <c r="R998" s="309"/>
      <c r="S998" s="309"/>
      <c r="T998" s="309"/>
      <c r="U998" s="309"/>
      <c r="V998" s="309"/>
      <c r="W998" s="309"/>
      <c r="X998" s="309"/>
      <c r="Y998" s="309"/>
      <c r="Z998" s="309"/>
    </row>
    <row r="999">
      <c r="A999" s="194"/>
      <c r="B999" s="309"/>
      <c r="C999" s="194"/>
      <c r="D999" s="309"/>
      <c r="E999" s="309"/>
      <c r="F999" s="309"/>
      <c r="G999" s="309"/>
      <c r="H999" s="309"/>
      <c r="I999" s="309"/>
      <c r="J999" s="309"/>
      <c r="K999" s="309"/>
      <c r="L999" s="309"/>
      <c r="M999" s="309"/>
      <c r="N999" s="309"/>
      <c r="O999" s="309"/>
      <c r="P999" s="309"/>
      <c r="Q999" s="309"/>
      <c r="R999" s="309"/>
      <c r="S999" s="309"/>
      <c r="T999" s="309"/>
      <c r="U999" s="309"/>
      <c r="V999" s="309"/>
      <c r="W999" s="309"/>
      <c r="X999" s="309"/>
      <c r="Y999" s="309"/>
      <c r="Z999" s="309"/>
    </row>
    <row r="1000">
      <c r="A1000" s="194"/>
      <c r="B1000" s="309"/>
      <c r="C1000" s="194"/>
      <c r="D1000" s="309"/>
      <c r="E1000" s="309"/>
      <c r="F1000" s="309"/>
      <c r="G1000" s="309"/>
      <c r="H1000" s="309"/>
      <c r="I1000" s="309"/>
      <c r="J1000" s="309"/>
      <c r="K1000" s="309"/>
      <c r="L1000" s="309"/>
      <c r="M1000" s="309"/>
      <c r="N1000" s="309"/>
      <c r="O1000" s="309"/>
      <c r="P1000" s="309"/>
      <c r="Q1000" s="309"/>
      <c r="R1000" s="309"/>
      <c r="S1000" s="309"/>
      <c r="T1000" s="309"/>
      <c r="U1000" s="309"/>
      <c r="V1000" s="309"/>
      <c r="W1000" s="309"/>
      <c r="X1000" s="309"/>
      <c r="Y1000" s="309"/>
      <c r="Z1000" s="309"/>
    </row>
  </sheetData>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5.88"/>
    <col customWidth="1" min="2" max="2" width="14.63"/>
    <col customWidth="1" min="3" max="4" width="20.75"/>
    <col customWidth="1" min="5" max="5" width="13.75"/>
    <col customWidth="1" min="6" max="6" width="16.13"/>
    <col customWidth="1" min="7" max="7" width="17.38"/>
    <col customWidth="1" min="8" max="8" width="12.25"/>
    <col customWidth="1" min="9" max="10" width="8.25"/>
    <col customWidth="1" min="11" max="11" width="38.75"/>
  </cols>
  <sheetData>
    <row r="1">
      <c r="A1" s="310" t="s">
        <v>2222</v>
      </c>
      <c r="B1" s="311">
        <v>44409.0</v>
      </c>
      <c r="C1" s="293" t="s">
        <v>2223</v>
      </c>
      <c r="D1" s="293" t="s">
        <v>1142</v>
      </c>
      <c r="E1" s="293" t="s">
        <v>1264</v>
      </c>
      <c r="F1" s="293" t="s">
        <v>572</v>
      </c>
      <c r="G1" s="293" t="s">
        <v>52</v>
      </c>
      <c r="H1" s="293" t="s">
        <v>52</v>
      </c>
      <c r="I1" s="293" t="s">
        <v>1154</v>
      </c>
      <c r="J1" s="293" t="s">
        <v>2224</v>
      </c>
      <c r="K1" s="293"/>
    </row>
    <row r="2">
      <c r="A2" s="311">
        <v>44256.0</v>
      </c>
      <c r="B2" s="293" t="s">
        <v>132</v>
      </c>
      <c r="C2" s="293" t="s">
        <v>2225</v>
      </c>
      <c r="D2" s="293" t="s">
        <v>1979</v>
      </c>
      <c r="E2" s="293" t="s">
        <v>1999</v>
      </c>
      <c r="F2" s="293" t="s">
        <v>2226</v>
      </c>
      <c r="G2" s="293" t="s">
        <v>257</v>
      </c>
      <c r="H2" s="293" t="s">
        <v>257</v>
      </c>
      <c r="I2" s="293" t="s">
        <v>1182</v>
      </c>
      <c r="J2" s="293" t="s">
        <v>2227</v>
      </c>
      <c r="K2" s="293"/>
    </row>
    <row r="3">
      <c r="A3" s="311">
        <v>44501.0</v>
      </c>
      <c r="B3" s="311">
        <v>44470.0</v>
      </c>
      <c r="C3" s="293" t="s">
        <v>2228</v>
      </c>
      <c r="D3" s="293" t="s">
        <v>1977</v>
      </c>
      <c r="E3" s="312"/>
      <c r="F3" s="293" t="s">
        <v>975</v>
      </c>
      <c r="G3" s="293" t="s">
        <v>716</v>
      </c>
      <c r="H3" s="293" t="s">
        <v>716</v>
      </c>
      <c r="I3" s="293" t="s">
        <v>1157</v>
      </c>
      <c r="J3" s="293" t="s">
        <v>2229</v>
      </c>
      <c r="K3" s="293"/>
    </row>
    <row r="4">
      <c r="A4" s="311">
        <v>44531.0</v>
      </c>
      <c r="B4" s="311">
        <v>44501.0</v>
      </c>
      <c r="C4" s="293" t="s">
        <v>2230</v>
      </c>
      <c r="D4" s="293" t="s">
        <v>1990</v>
      </c>
      <c r="E4" s="312"/>
      <c r="F4" s="293" t="s">
        <v>2231</v>
      </c>
      <c r="G4" s="293" t="s">
        <v>2232</v>
      </c>
      <c r="H4" s="293" t="s">
        <v>1160</v>
      </c>
      <c r="I4" s="312"/>
      <c r="J4" s="293" t="s">
        <v>2233</v>
      </c>
      <c r="K4" s="312"/>
    </row>
    <row r="5">
      <c r="A5" s="311">
        <v>44562.0</v>
      </c>
      <c r="B5" s="311">
        <v>44531.0</v>
      </c>
      <c r="C5" s="293" t="s">
        <v>2234</v>
      </c>
      <c r="D5" s="293" t="s">
        <v>1270</v>
      </c>
      <c r="E5" s="312"/>
      <c r="F5" s="293" t="s">
        <v>18</v>
      </c>
      <c r="G5" s="293" t="s">
        <v>2235</v>
      </c>
      <c r="H5" s="293" t="s">
        <v>1152</v>
      </c>
      <c r="I5" s="312"/>
      <c r="J5" s="293" t="s">
        <v>2236</v>
      </c>
      <c r="K5" s="312"/>
    </row>
    <row r="6">
      <c r="A6" s="311">
        <v>44593.0</v>
      </c>
      <c r="B6" s="311">
        <v>44562.0</v>
      </c>
      <c r="C6" s="293" t="s">
        <v>2237</v>
      </c>
      <c r="D6" s="293" t="s">
        <v>1267</v>
      </c>
      <c r="E6" s="312"/>
      <c r="F6" s="293" t="s">
        <v>47</v>
      </c>
      <c r="G6" s="293" t="s">
        <v>727</v>
      </c>
      <c r="H6" s="293" t="s">
        <v>1436</v>
      </c>
      <c r="I6" s="312"/>
      <c r="J6" s="293" t="s">
        <v>2238</v>
      </c>
      <c r="K6" s="312"/>
    </row>
    <row r="7">
      <c r="A7" s="311">
        <v>44621.0</v>
      </c>
      <c r="B7" s="311">
        <v>44593.0</v>
      </c>
      <c r="C7" s="293" t="s">
        <v>2239</v>
      </c>
      <c r="D7" s="293" t="s">
        <v>1993</v>
      </c>
      <c r="E7" s="312"/>
      <c r="F7" s="312"/>
      <c r="G7" s="293" t="s">
        <v>252</v>
      </c>
      <c r="H7" s="312"/>
      <c r="I7" s="312"/>
      <c r="J7" s="312"/>
      <c r="K7" s="312"/>
    </row>
    <row r="8">
      <c r="A8" s="311">
        <v>44652.0</v>
      </c>
      <c r="B8" s="311">
        <v>44621.0</v>
      </c>
      <c r="C8" s="293" t="s">
        <v>2240</v>
      </c>
      <c r="D8" s="293" t="s">
        <v>1995</v>
      </c>
      <c r="E8" s="312"/>
      <c r="F8" s="312"/>
      <c r="G8" s="293" t="s">
        <v>459</v>
      </c>
      <c r="H8" s="312"/>
      <c r="I8" s="312"/>
      <c r="J8" s="312"/>
      <c r="K8" s="312"/>
    </row>
    <row r="9">
      <c r="A9" s="311">
        <v>44682.0</v>
      </c>
      <c r="B9" s="311">
        <v>44652.0</v>
      </c>
      <c r="C9" s="293" t="s">
        <v>2241</v>
      </c>
      <c r="D9" s="293" t="s">
        <v>1272</v>
      </c>
      <c r="E9" s="312"/>
      <c r="F9" s="312"/>
      <c r="G9" s="293" t="s">
        <v>19</v>
      </c>
      <c r="H9" s="312"/>
      <c r="I9" s="312"/>
      <c r="J9" s="312"/>
      <c r="K9" s="312"/>
    </row>
    <row r="10">
      <c r="A10" s="311">
        <v>44713.0</v>
      </c>
      <c r="B10" s="311">
        <v>44682.0</v>
      </c>
      <c r="C10" s="293" t="s">
        <v>2242</v>
      </c>
      <c r="D10" s="293" t="s">
        <v>2034</v>
      </c>
      <c r="E10" s="312"/>
      <c r="F10" s="312"/>
      <c r="G10" s="293" t="s">
        <v>2243</v>
      </c>
      <c r="H10" s="312"/>
      <c r="I10" s="312"/>
      <c r="J10" s="312"/>
      <c r="K10" s="312"/>
    </row>
    <row r="11">
      <c r="A11" s="311">
        <v>44743.0</v>
      </c>
      <c r="B11" s="311">
        <v>44713.0</v>
      </c>
      <c r="C11" s="293" t="s">
        <v>2244</v>
      </c>
      <c r="D11" s="312"/>
      <c r="E11" s="312"/>
      <c r="F11" s="312"/>
      <c r="G11" s="293" t="s">
        <v>688</v>
      </c>
      <c r="H11" s="312"/>
      <c r="I11" s="312"/>
      <c r="J11" s="312"/>
      <c r="K11" s="312"/>
    </row>
    <row r="12">
      <c r="A12" s="311">
        <v>44774.0</v>
      </c>
      <c r="B12" s="311">
        <v>44743.0</v>
      </c>
      <c r="C12" s="293" t="s">
        <v>2245</v>
      </c>
      <c r="D12" s="312"/>
      <c r="E12" s="312"/>
      <c r="F12" s="312"/>
      <c r="G12" s="293" t="s">
        <v>1347</v>
      </c>
      <c r="H12" s="312"/>
      <c r="I12" s="312"/>
      <c r="J12" s="312"/>
      <c r="K12" s="312"/>
    </row>
    <row r="13">
      <c r="A13" s="311">
        <v>44805.0</v>
      </c>
      <c r="B13" s="311">
        <v>44774.0</v>
      </c>
      <c r="C13" s="293" t="s">
        <v>2246</v>
      </c>
      <c r="D13" s="312"/>
      <c r="E13" s="312"/>
      <c r="F13" s="312"/>
      <c r="G13" s="312"/>
      <c r="H13" s="312"/>
      <c r="I13" s="312"/>
      <c r="J13" s="312"/>
      <c r="K13" s="312"/>
    </row>
    <row r="14">
      <c r="A14" s="311">
        <v>44835.0</v>
      </c>
      <c r="B14" s="311">
        <v>44805.0</v>
      </c>
      <c r="C14" s="293" t="s">
        <v>2247</v>
      </c>
      <c r="D14" s="312"/>
      <c r="E14" s="312"/>
      <c r="F14" s="312"/>
      <c r="G14" s="312"/>
      <c r="H14" s="312"/>
      <c r="I14" s="312"/>
      <c r="J14" s="312"/>
      <c r="K14" s="312"/>
    </row>
    <row r="15">
      <c r="A15" s="311">
        <v>44866.0</v>
      </c>
      <c r="B15" s="311">
        <v>44835.0</v>
      </c>
      <c r="C15" s="293" t="s">
        <v>2248</v>
      </c>
      <c r="D15" s="312"/>
      <c r="E15" s="312"/>
      <c r="F15" s="312"/>
      <c r="G15" s="312"/>
      <c r="H15" s="312"/>
      <c r="I15" s="312"/>
      <c r="J15" s="312"/>
      <c r="K15" s="312"/>
    </row>
    <row r="16">
      <c r="A16" s="311">
        <v>44896.0</v>
      </c>
      <c r="B16" s="311">
        <v>44866.0</v>
      </c>
      <c r="C16" s="293" t="s">
        <v>2249</v>
      </c>
      <c r="D16" s="312"/>
      <c r="E16" s="312"/>
      <c r="F16" s="312"/>
      <c r="G16" s="312"/>
      <c r="H16" s="312"/>
      <c r="I16" s="312"/>
      <c r="J16" s="312"/>
      <c r="K16" s="312"/>
    </row>
    <row r="17">
      <c r="A17" s="310" t="s">
        <v>2250</v>
      </c>
      <c r="B17" s="311">
        <v>44896.0</v>
      </c>
      <c r="C17" s="293" t="s">
        <v>2251</v>
      </c>
      <c r="D17" s="312"/>
      <c r="E17" s="312"/>
      <c r="F17" s="312"/>
      <c r="G17" s="312"/>
      <c r="H17" s="312"/>
      <c r="I17" s="312"/>
      <c r="J17" s="312"/>
      <c r="K17" s="312"/>
    </row>
    <row r="18">
      <c r="A18" s="311">
        <v>44958.0</v>
      </c>
      <c r="B18" s="311">
        <v>44927.0</v>
      </c>
      <c r="C18" s="293" t="s">
        <v>2252</v>
      </c>
      <c r="D18" s="312"/>
      <c r="E18" s="312"/>
      <c r="F18" s="312"/>
      <c r="G18" s="312"/>
      <c r="H18" s="312"/>
      <c r="I18" s="312"/>
      <c r="J18" s="312"/>
      <c r="K18" s="312"/>
    </row>
    <row r="19">
      <c r="A19" s="311">
        <v>44986.0</v>
      </c>
      <c r="B19" s="311">
        <v>44958.0</v>
      </c>
      <c r="C19" s="293" t="s">
        <v>2253</v>
      </c>
      <c r="D19" s="312"/>
      <c r="E19" s="312"/>
      <c r="F19" s="312"/>
      <c r="G19" s="312"/>
      <c r="H19" s="312"/>
      <c r="I19" s="312"/>
      <c r="J19" s="312"/>
      <c r="K19" s="312"/>
    </row>
    <row r="20">
      <c r="A20" s="311">
        <v>45017.0</v>
      </c>
      <c r="B20" s="311">
        <v>44986.0</v>
      </c>
      <c r="C20" s="293" t="s">
        <v>2254</v>
      </c>
      <c r="D20" s="312"/>
      <c r="E20" s="312"/>
      <c r="F20" s="312"/>
      <c r="G20" s="312"/>
      <c r="H20" s="312"/>
      <c r="I20" s="312"/>
      <c r="J20" s="312"/>
      <c r="K20" s="312"/>
    </row>
    <row r="21">
      <c r="A21" s="311">
        <v>45047.0</v>
      </c>
      <c r="B21" s="311">
        <v>45017.0</v>
      </c>
      <c r="C21" s="293" t="s">
        <v>2255</v>
      </c>
      <c r="D21" s="312"/>
      <c r="E21" s="312"/>
      <c r="F21" s="312"/>
      <c r="G21" s="312"/>
      <c r="H21" s="312"/>
      <c r="I21" s="312"/>
      <c r="J21" s="312"/>
      <c r="K21" s="312"/>
    </row>
    <row r="22">
      <c r="A22" s="311">
        <v>45078.0</v>
      </c>
      <c r="B22" s="311">
        <v>45047.0</v>
      </c>
      <c r="C22" s="293" t="s">
        <v>2256</v>
      </c>
      <c r="D22" s="312"/>
      <c r="E22" s="312"/>
      <c r="F22" s="312"/>
      <c r="G22" s="312"/>
      <c r="H22" s="312"/>
      <c r="I22" s="312"/>
      <c r="J22" s="312"/>
      <c r="K22" s="312"/>
    </row>
    <row r="23">
      <c r="A23" s="311">
        <v>45108.0</v>
      </c>
      <c r="B23" s="311">
        <v>45078.0</v>
      </c>
      <c r="C23" s="293" t="s">
        <v>2257</v>
      </c>
      <c r="D23" s="312"/>
      <c r="E23" s="312"/>
      <c r="F23" s="312"/>
      <c r="G23" s="312"/>
      <c r="H23" s="312"/>
      <c r="I23" s="312"/>
      <c r="J23" s="312"/>
      <c r="K23" s="312"/>
    </row>
    <row r="24">
      <c r="A24" s="311">
        <v>45139.0</v>
      </c>
      <c r="B24" s="311">
        <v>45108.0</v>
      </c>
      <c r="C24" s="293" t="s">
        <v>2258</v>
      </c>
      <c r="D24" s="312"/>
      <c r="E24" s="312"/>
      <c r="F24" s="312"/>
      <c r="G24" s="312"/>
      <c r="H24" s="312"/>
      <c r="I24" s="312"/>
      <c r="J24" s="312"/>
      <c r="K24" s="312"/>
    </row>
    <row r="25">
      <c r="A25" s="311">
        <v>45170.0</v>
      </c>
      <c r="B25" s="311">
        <v>45139.0</v>
      </c>
      <c r="C25" s="293" t="s">
        <v>2259</v>
      </c>
      <c r="D25" s="312"/>
      <c r="E25" s="312"/>
      <c r="F25" s="312"/>
      <c r="G25" s="312"/>
      <c r="H25" s="312"/>
      <c r="I25" s="312"/>
      <c r="J25" s="312"/>
      <c r="K25" s="312"/>
    </row>
    <row r="26">
      <c r="A26" s="311">
        <v>45200.0</v>
      </c>
      <c r="B26" s="311">
        <v>45170.0</v>
      </c>
      <c r="C26" s="293" t="s">
        <v>2260</v>
      </c>
      <c r="D26" s="312"/>
      <c r="E26" s="312"/>
      <c r="F26" s="312"/>
      <c r="G26" s="312"/>
      <c r="H26" s="312"/>
      <c r="I26" s="312"/>
      <c r="J26" s="312"/>
      <c r="K26" s="312"/>
    </row>
    <row r="27">
      <c r="A27" s="311">
        <v>45231.0</v>
      </c>
      <c r="B27" s="311">
        <v>45200.0</v>
      </c>
      <c r="C27" s="293" t="s">
        <v>2261</v>
      </c>
      <c r="D27" s="312"/>
      <c r="E27" s="312"/>
      <c r="F27" s="312"/>
      <c r="G27" s="312"/>
      <c r="H27" s="312"/>
      <c r="I27" s="312"/>
      <c r="J27" s="312"/>
      <c r="K27" s="312"/>
    </row>
    <row r="28">
      <c r="A28" s="311">
        <v>45261.0</v>
      </c>
      <c r="B28" s="311">
        <v>45231.0</v>
      </c>
      <c r="C28" s="293" t="s">
        <v>2262</v>
      </c>
      <c r="D28" s="312"/>
      <c r="E28" s="312"/>
      <c r="F28" s="312"/>
      <c r="G28" s="312"/>
      <c r="H28" s="312"/>
      <c r="I28" s="312"/>
      <c r="J28" s="312"/>
      <c r="K28" s="312"/>
    </row>
    <row r="29">
      <c r="A29" s="312"/>
      <c r="B29" s="311">
        <v>45261.0</v>
      </c>
      <c r="C29" s="293" t="s">
        <v>2263</v>
      </c>
      <c r="D29" s="312"/>
      <c r="E29" s="312"/>
      <c r="F29" s="312"/>
      <c r="G29" s="312"/>
      <c r="H29" s="312"/>
      <c r="I29" s="312"/>
      <c r="J29" s="312"/>
      <c r="K29" s="312"/>
    </row>
    <row r="30">
      <c r="A30" s="312"/>
      <c r="B30" s="312"/>
      <c r="C30" s="293" t="s">
        <v>2264</v>
      </c>
      <c r="D30" s="312"/>
      <c r="E30" s="312"/>
      <c r="F30" s="312"/>
      <c r="G30" s="312"/>
      <c r="H30" s="312"/>
      <c r="I30" s="312"/>
      <c r="J30" s="312"/>
      <c r="K30" s="312"/>
    </row>
    <row r="31">
      <c r="A31" s="312"/>
      <c r="B31" s="312"/>
      <c r="C31" s="293" t="s">
        <v>2265</v>
      </c>
      <c r="D31" s="312"/>
      <c r="E31" s="312"/>
      <c r="F31" s="312"/>
      <c r="G31" s="312"/>
      <c r="H31" s="312"/>
      <c r="I31" s="312"/>
      <c r="J31" s="312"/>
      <c r="K31" s="312"/>
    </row>
    <row r="32">
      <c r="A32" s="312"/>
      <c r="B32" s="312"/>
      <c r="C32" s="293" t="s">
        <v>2266</v>
      </c>
      <c r="D32" s="312"/>
      <c r="E32" s="312"/>
      <c r="F32" s="312"/>
      <c r="G32" s="312"/>
      <c r="H32" s="312"/>
      <c r="I32" s="312"/>
      <c r="J32" s="312"/>
      <c r="K32" s="312"/>
    </row>
    <row r="33">
      <c r="A33" s="312"/>
      <c r="B33" s="312"/>
      <c r="C33" s="293" t="s">
        <v>2267</v>
      </c>
      <c r="D33" s="312"/>
      <c r="E33" s="312"/>
      <c r="F33" s="312"/>
      <c r="G33" s="312"/>
      <c r="H33" s="312"/>
      <c r="I33" s="312"/>
      <c r="J33" s="312"/>
      <c r="K33" s="312"/>
    </row>
    <row r="34">
      <c r="A34" s="312"/>
      <c r="B34" s="312"/>
      <c r="C34" s="312"/>
      <c r="D34" s="312"/>
      <c r="E34" s="312"/>
      <c r="F34" s="312"/>
      <c r="G34" s="312"/>
      <c r="H34" s="312"/>
      <c r="I34" s="312"/>
      <c r="J34" s="312"/>
      <c r="K34" s="312"/>
    </row>
    <row r="35">
      <c r="A35" s="312"/>
      <c r="B35" s="312"/>
      <c r="C35" s="312"/>
      <c r="D35" s="312"/>
      <c r="E35" s="312"/>
      <c r="F35" s="312"/>
      <c r="G35" s="312"/>
      <c r="H35" s="312"/>
      <c r="I35" s="312"/>
      <c r="J35" s="312"/>
      <c r="K35" s="312"/>
    </row>
    <row r="36">
      <c r="A36" s="312"/>
      <c r="B36" s="312"/>
      <c r="C36" s="312"/>
      <c r="D36" s="312"/>
      <c r="E36" s="312"/>
      <c r="F36" s="312"/>
      <c r="G36" s="312"/>
      <c r="H36" s="312"/>
      <c r="I36" s="312"/>
      <c r="J36" s="312"/>
      <c r="K36" s="312"/>
    </row>
    <row r="37">
      <c r="A37" s="312"/>
      <c r="B37" s="312"/>
      <c r="C37" s="312"/>
      <c r="D37" s="312"/>
      <c r="E37" s="312"/>
      <c r="F37" s="312"/>
      <c r="G37" s="312"/>
      <c r="H37" s="312"/>
      <c r="I37" s="312"/>
      <c r="J37" s="312"/>
      <c r="K37" s="312"/>
    </row>
    <row r="38">
      <c r="A38" s="312"/>
      <c r="B38" s="312"/>
      <c r="C38" s="312"/>
      <c r="D38" s="312"/>
      <c r="E38" s="312"/>
      <c r="F38" s="312"/>
      <c r="G38" s="312"/>
      <c r="H38" s="312"/>
      <c r="I38" s="312"/>
      <c r="J38" s="312"/>
      <c r="K38" s="312"/>
    </row>
    <row r="39">
      <c r="A39" s="312"/>
      <c r="B39" s="312"/>
      <c r="C39" s="312"/>
      <c r="D39" s="312"/>
      <c r="E39" s="312"/>
      <c r="F39" s="312"/>
      <c r="G39" s="312"/>
      <c r="H39" s="312"/>
      <c r="I39" s="312"/>
      <c r="J39" s="312"/>
      <c r="K39" s="312"/>
    </row>
    <row r="40">
      <c r="A40" s="312"/>
      <c r="B40" s="312"/>
      <c r="C40" s="312"/>
      <c r="D40" s="312"/>
      <c r="E40" s="312"/>
      <c r="F40" s="312"/>
      <c r="G40" s="312"/>
      <c r="H40" s="312"/>
      <c r="I40" s="312"/>
      <c r="J40" s="312"/>
      <c r="K40" s="312"/>
    </row>
    <row r="41">
      <c r="A41" s="312"/>
      <c r="B41" s="312"/>
      <c r="C41" s="312"/>
      <c r="D41" s="312"/>
      <c r="E41" s="312"/>
      <c r="F41" s="312"/>
      <c r="G41" s="312"/>
      <c r="H41" s="312"/>
      <c r="I41" s="312"/>
      <c r="J41" s="312"/>
      <c r="K41" s="312"/>
    </row>
    <row r="42">
      <c r="A42" s="312"/>
      <c r="B42" s="312"/>
      <c r="C42" s="312"/>
      <c r="D42" s="312"/>
      <c r="E42" s="312"/>
      <c r="F42" s="312"/>
      <c r="G42" s="312"/>
      <c r="H42" s="312"/>
      <c r="I42" s="312"/>
      <c r="J42" s="312"/>
      <c r="K42" s="312"/>
    </row>
    <row r="43">
      <c r="A43" s="312"/>
      <c r="B43" s="312"/>
      <c r="C43" s="312"/>
      <c r="D43" s="312"/>
      <c r="E43" s="312"/>
      <c r="F43" s="312"/>
      <c r="G43" s="312"/>
      <c r="H43" s="312"/>
      <c r="I43" s="312"/>
      <c r="J43" s="312"/>
      <c r="K43" s="312"/>
    </row>
    <row r="44">
      <c r="A44" s="312"/>
      <c r="B44" s="312"/>
      <c r="C44" s="312"/>
      <c r="D44" s="312"/>
      <c r="E44" s="312"/>
      <c r="F44" s="312"/>
      <c r="G44" s="312"/>
      <c r="H44" s="312"/>
      <c r="I44" s="312"/>
      <c r="J44" s="312"/>
      <c r="K44" s="312"/>
    </row>
    <row r="45">
      <c r="A45" s="312"/>
      <c r="B45" s="312"/>
      <c r="C45" s="312"/>
      <c r="D45" s="312"/>
      <c r="E45" s="312"/>
      <c r="F45" s="312"/>
      <c r="G45" s="312"/>
      <c r="H45" s="312"/>
      <c r="I45" s="312"/>
      <c r="J45" s="312"/>
      <c r="K45" s="312"/>
    </row>
    <row r="46">
      <c r="A46" s="312"/>
      <c r="B46" s="312"/>
      <c r="C46" s="312"/>
      <c r="D46" s="312"/>
      <c r="E46" s="312"/>
      <c r="F46" s="312"/>
      <c r="G46" s="312"/>
      <c r="H46" s="312"/>
      <c r="I46" s="312"/>
      <c r="J46" s="312"/>
      <c r="K46" s="312"/>
    </row>
    <row r="47">
      <c r="A47" s="312"/>
      <c r="B47" s="312"/>
      <c r="C47" s="312"/>
      <c r="D47" s="312"/>
      <c r="E47" s="312"/>
      <c r="F47" s="312"/>
      <c r="G47" s="312"/>
      <c r="H47" s="312"/>
      <c r="I47" s="312"/>
      <c r="J47" s="312"/>
      <c r="K47" s="312"/>
    </row>
    <row r="48">
      <c r="A48" s="312"/>
      <c r="B48" s="312"/>
      <c r="C48" s="312"/>
      <c r="D48" s="312"/>
      <c r="E48" s="312"/>
      <c r="F48" s="312"/>
      <c r="G48" s="312"/>
      <c r="H48" s="312"/>
      <c r="I48" s="312"/>
      <c r="J48" s="312"/>
      <c r="K48" s="312"/>
    </row>
    <row r="49">
      <c r="A49" s="312"/>
      <c r="B49" s="312"/>
      <c r="C49" s="312"/>
      <c r="D49" s="312"/>
      <c r="E49" s="312"/>
      <c r="F49" s="312"/>
      <c r="G49" s="312"/>
      <c r="H49" s="312"/>
      <c r="I49" s="312"/>
      <c r="J49" s="312"/>
      <c r="K49" s="312"/>
    </row>
    <row r="50">
      <c r="A50" s="312"/>
      <c r="B50" s="312"/>
      <c r="C50" s="312"/>
      <c r="D50" s="312"/>
      <c r="E50" s="312"/>
      <c r="F50" s="312"/>
      <c r="G50" s="312"/>
      <c r="H50" s="312"/>
      <c r="I50" s="312"/>
      <c r="J50" s="312"/>
      <c r="K50" s="312"/>
    </row>
  </sheetData>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4.75"/>
    <col customWidth="1" min="2" max="2" width="4.38"/>
  </cols>
  <sheetData>
    <row r="1">
      <c r="A1" s="159" t="s">
        <v>2268</v>
      </c>
      <c r="B1" s="223">
        <f>COLUMN(project_projectID)</f>
        <v>1</v>
      </c>
    </row>
    <row r="2">
      <c r="A2" s="159" t="s">
        <v>2269</v>
      </c>
      <c r="B2" s="159">
        <f>Column(project_commission_percent)</f>
        <v>13</v>
      </c>
    </row>
    <row r="3">
      <c r="A3" s="313" t="s">
        <v>2270</v>
      </c>
      <c r="B3" s="223">
        <f>column(project_amount)</f>
        <v>7</v>
      </c>
    </row>
    <row r="4">
      <c r="A4" s="313" t="s">
        <v>2271</v>
      </c>
      <c r="B4" s="223">
        <f>column(project_currency)</f>
        <v>8</v>
      </c>
    </row>
    <row r="5">
      <c r="A5" s="313" t="s">
        <v>2272</v>
      </c>
      <c r="B5" s="223">
        <f>column(project_terms)</f>
        <v>9</v>
      </c>
    </row>
    <row r="6">
      <c r="A6" s="313" t="s">
        <v>2273</v>
      </c>
      <c r="B6" s="223">
        <f>column(project_date)</f>
        <v>10</v>
      </c>
    </row>
    <row r="7">
      <c r="A7" s="313" t="s">
        <v>2274</v>
      </c>
      <c r="B7" s="223">
        <f>column(project_description)</f>
        <v>11</v>
      </c>
    </row>
    <row r="8">
      <c r="A8" s="313" t="s">
        <v>2275</v>
      </c>
      <c r="B8" s="223">
        <f>column(invoice_projectID)</f>
        <v>1</v>
      </c>
    </row>
    <row r="9">
      <c r="A9" s="313" t="s">
        <v>2276</v>
      </c>
      <c r="B9" s="223">
        <f>column(invoice_date)</f>
        <v>5</v>
      </c>
    </row>
    <row r="10">
      <c r="A10" s="313" t="s">
        <v>2277</v>
      </c>
      <c r="B10" s="223">
        <f>column(invoice_description)</f>
        <v>10</v>
      </c>
    </row>
    <row r="11">
      <c r="A11" s="313" t="s">
        <v>2278</v>
      </c>
      <c r="B11" s="223">
        <f>COLUMN(invoice_terms)</f>
        <v>12</v>
      </c>
    </row>
    <row r="12">
      <c r="A12" s="313" t="s">
        <v>2279</v>
      </c>
      <c r="B12" s="223">
        <f>column(invoice_currency)</f>
        <v>11</v>
      </c>
    </row>
    <row r="13">
      <c r="A13" s="313" t="s">
        <v>2280</v>
      </c>
      <c r="B13" s="223">
        <f>column(invoice_amount)</f>
        <v>2</v>
      </c>
    </row>
    <row r="14">
      <c r="A14" s="313" t="s">
        <v>2281</v>
      </c>
      <c r="B14" s="223">
        <f>column(invoices_after_fees)</f>
        <v>15</v>
      </c>
    </row>
    <row r="15">
      <c r="A15" s="313" t="s">
        <v>2282</v>
      </c>
      <c r="B15" s="223">
        <f>column(invoice_project_amount)</f>
        <v>17</v>
      </c>
    </row>
    <row r="16">
      <c r="A16" s="313" t="s">
        <v>2283</v>
      </c>
      <c r="B16" s="223">
        <f>column(expense_projectID)</f>
        <v>1</v>
      </c>
    </row>
    <row r="17">
      <c r="A17" s="313" t="s">
        <v>2284</v>
      </c>
      <c r="B17" s="223">
        <f>column(expense_category)</f>
        <v>9</v>
      </c>
    </row>
    <row r="18">
      <c r="A18" s="159" t="s">
        <v>2285</v>
      </c>
      <c r="B18" s="223">
        <f>column(client_terms)</f>
        <v>6</v>
      </c>
    </row>
    <row r="19">
      <c r="A19" s="159" t="s">
        <v>2286</v>
      </c>
      <c r="B19" s="223">
        <f>column(client_currency)</f>
        <v>4</v>
      </c>
    </row>
    <row r="20">
      <c r="A20" s="159" t="s">
        <v>2287</v>
      </c>
      <c r="B20" s="105">
        <f>column(project_client)</f>
        <v>2</v>
      </c>
    </row>
    <row r="21">
      <c r="A21" s="159" t="s">
        <v>2288</v>
      </c>
      <c r="B21" s="105">
        <f>column(client_clientID)</f>
        <v>1</v>
      </c>
    </row>
    <row r="22">
      <c r="A22" s="159" t="s">
        <v>2285</v>
      </c>
      <c r="B22" s="223">
        <f>column(client_terms)</f>
        <v>6</v>
      </c>
    </row>
    <row r="23">
      <c r="A23" s="159" t="s">
        <v>2289</v>
      </c>
      <c r="B23" s="223">
        <f>column(invoice_transaction_fee)</f>
        <v>6</v>
      </c>
    </row>
    <row r="24">
      <c r="A24" s="159" t="s">
        <v>2290</v>
      </c>
      <c r="B24" s="223">
        <f>column(invoice_commission)</f>
        <v>14</v>
      </c>
    </row>
    <row r="25">
      <c r="A25" s="159" t="s">
        <v>2291</v>
      </c>
      <c r="B25" s="223">
        <f>column(invoice_commission_percent)</f>
        <v>13</v>
      </c>
    </row>
    <row r="26">
      <c r="A26" s="159" t="s">
        <v>2292</v>
      </c>
      <c r="B26" s="223">
        <f>column(Invoice_invoice_timing)</f>
        <v>8</v>
      </c>
    </row>
    <row r="27">
      <c r="A27" s="159" t="s">
        <v>2293</v>
      </c>
      <c r="B27" s="223">
        <f>COLUMN(invoice_title)</f>
        <v>9</v>
      </c>
    </row>
    <row r="28">
      <c r="A28" s="159" t="s">
        <v>2294</v>
      </c>
      <c r="B28" s="223">
        <f>column(invoice_title)</f>
        <v>9</v>
      </c>
    </row>
    <row r="29">
      <c r="A29" s="159" t="s">
        <v>2295</v>
      </c>
      <c r="B29" s="223">
        <f>column(project_type)</f>
        <v>4</v>
      </c>
    </row>
    <row r="30">
      <c r="A30" s="159" t="s">
        <v>2296</v>
      </c>
      <c r="B30" s="223">
        <f>column(project_billing_schedule)</f>
        <v>6</v>
      </c>
    </row>
    <row r="31">
      <c r="A31" s="159" t="s">
        <v>52</v>
      </c>
      <c r="B31" s="159">
        <v>1.0</v>
      </c>
    </row>
    <row r="32">
      <c r="A32" s="159" t="s">
        <v>257</v>
      </c>
      <c r="B32" s="159">
        <v>3.0</v>
      </c>
    </row>
    <row r="33">
      <c r="A33" s="159" t="s">
        <v>716</v>
      </c>
      <c r="B33" s="159">
        <v>12.0</v>
      </c>
    </row>
    <row r="34">
      <c r="A34" s="159" t="s">
        <v>2297</v>
      </c>
      <c r="B34" s="159">
        <f>column(expense_vendor)</f>
        <v>2</v>
      </c>
    </row>
    <row r="35">
      <c r="A35" s="159" t="s">
        <v>2298</v>
      </c>
      <c r="B35" s="159">
        <f>COLUMN(vendor_vendorID)</f>
        <v>1</v>
      </c>
    </row>
    <row r="36">
      <c r="A36" s="159" t="s">
        <v>2299</v>
      </c>
      <c r="B36" s="159">
        <f>COLUMN(vendor_category)</f>
        <v>2</v>
      </c>
    </row>
    <row r="37">
      <c r="A37" s="159" t="s">
        <v>2300</v>
      </c>
      <c r="B37" s="159">
        <f>COLUMN(vendor_paid_by)</f>
        <v>3</v>
      </c>
    </row>
    <row r="38">
      <c r="A38" s="159" t="s">
        <v>2301</v>
      </c>
      <c r="B38" s="159">
        <f>COLUMN(expense_paid_by)</f>
        <v>8</v>
      </c>
    </row>
    <row r="39">
      <c r="A39" s="159" t="s">
        <v>2302</v>
      </c>
      <c r="B39" s="159">
        <f>COLUMN(project_invoice_timing)</f>
        <v>5</v>
      </c>
    </row>
  </sheetData>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9.13"/>
    <col customWidth="1" min="2" max="13" width="9.63"/>
    <col hidden="1" min="14" max="26" width="12.63"/>
  </cols>
  <sheetData>
    <row r="1">
      <c r="A1" s="159" t="s">
        <v>2183</v>
      </c>
      <c r="B1" s="159" t="s">
        <v>0</v>
      </c>
      <c r="C1" s="159" t="s">
        <v>2303</v>
      </c>
      <c r="D1" s="314" t="s">
        <v>2304</v>
      </c>
      <c r="E1" s="159" t="s">
        <v>2184</v>
      </c>
      <c r="F1" s="159" t="s">
        <v>2185</v>
      </c>
      <c r="G1" s="159" t="s">
        <v>1142</v>
      </c>
      <c r="H1" s="159" t="s">
        <v>2305</v>
      </c>
      <c r="I1" s="159" t="s">
        <v>2190</v>
      </c>
      <c r="J1" s="159" t="s">
        <v>7</v>
      </c>
      <c r="K1" s="315" t="s">
        <v>2306</v>
      </c>
      <c r="L1" s="159" t="s">
        <v>2186</v>
      </c>
    </row>
    <row r="2">
      <c r="A2" s="223" t="str">
        <f t="array" ref="A2:A2954">Invoices!A2:A10000</f>
        <v>VRX : Grant Program</v>
      </c>
      <c r="B2" s="223" t="str">
        <f t="array" ref="B2:B10000">iferror(trim(left(A2:A10000,find(":",A2:A10000)-1)),"")</f>
        <v>VRX</v>
      </c>
      <c r="C2" s="105" t="str">
        <f t="array" ref="C2:C10000">iferror(trim(MID(A2:A10000,find(":",A2:A10000)+1,99)),"")</f>
        <v>Grant Program</v>
      </c>
      <c r="D2" s="316">
        <f t="array" ref="D2:D2954">Invoices!E2:E10000</f>
        <v>44317</v>
      </c>
      <c r="E2" s="218">
        <f t="array" ref="E2:E2954">Invoices!B2:B10000</f>
        <v>10000</v>
      </c>
      <c r="F2" s="218">
        <f t="array" ref="F2:F2954">Invoices!F2:F10000</f>
        <v>0</v>
      </c>
      <c r="G2" s="218">
        <f t="array" ref="G2:G2954">Invoices!N2:N10000</f>
        <v>0</v>
      </c>
      <c r="H2" s="223">
        <f t="array" ref="H2:H10000">iferror(E2:E10000-F2:F10000-G2:G10000,"")</f>
        <v>10000</v>
      </c>
      <c r="J2" s="223" t="str">
        <f t="array" ref="J2:J2954">Invoices!I2:I10000</f>
        <v>50% Deposit Prepaid
50% Final</v>
      </c>
      <c r="K2" s="317">
        <f t="array" ref="K2:K2954">Invoices!G2:G10000</f>
        <v>2021</v>
      </c>
      <c r="L2" s="105"/>
    </row>
    <row r="3">
      <c r="A3" s="223" t="s">
        <v>22</v>
      </c>
      <c r="B3" s="223" t="s">
        <v>1280</v>
      </c>
      <c r="C3" s="223" t="s">
        <v>1168</v>
      </c>
      <c r="D3" s="316">
        <v>44317.0</v>
      </c>
      <c r="E3" s="218">
        <v>1173.0</v>
      </c>
      <c r="F3" s="218">
        <v>43.87</v>
      </c>
      <c r="G3" s="218">
        <v>0.0</v>
      </c>
      <c r="H3" s="223">
        <v>1129.13</v>
      </c>
      <c r="J3" s="223" t="s">
        <v>24</v>
      </c>
      <c r="K3" s="317">
        <v>2021.0</v>
      </c>
    </row>
    <row r="4">
      <c r="A4" s="223" t="s">
        <v>26</v>
      </c>
      <c r="B4" s="223" t="s">
        <v>1216</v>
      </c>
      <c r="C4" s="223" t="s">
        <v>1175</v>
      </c>
      <c r="D4" s="316">
        <v>44348.0</v>
      </c>
      <c r="E4" s="218">
        <v>650.0</v>
      </c>
      <c r="F4" s="218">
        <v>12.44</v>
      </c>
      <c r="G4" s="218">
        <v>0.0</v>
      </c>
      <c r="H4" s="223">
        <v>637.56</v>
      </c>
      <c r="J4" s="223" t="s">
        <v>28</v>
      </c>
      <c r="K4" s="317">
        <v>2021.06</v>
      </c>
    </row>
    <row r="5">
      <c r="A5" s="223" t="s">
        <v>30</v>
      </c>
      <c r="B5" s="223" t="s">
        <v>1231</v>
      </c>
      <c r="C5" s="223" t="s">
        <v>1232</v>
      </c>
      <c r="D5" s="316">
        <v>44409.0</v>
      </c>
      <c r="E5" s="218">
        <v>300.0</v>
      </c>
      <c r="F5" s="218">
        <v>9.33</v>
      </c>
      <c r="G5" s="218">
        <v>0.0</v>
      </c>
      <c r="H5" s="223">
        <v>290.67</v>
      </c>
      <c r="J5" s="223" t="s">
        <v>31</v>
      </c>
      <c r="K5" s="317">
        <v>2021.0</v>
      </c>
    </row>
    <row r="6">
      <c r="A6" s="223" t="s">
        <v>33</v>
      </c>
      <c r="B6" s="223" t="s">
        <v>1294</v>
      </c>
      <c r="C6" s="223" t="s">
        <v>1168</v>
      </c>
      <c r="D6" s="316">
        <v>44378.0</v>
      </c>
      <c r="E6" s="218">
        <v>3911.63</v>
      </c>
      <c r="F6" s="218">
        <v>145.09</v>
      </c>
      <c r="G6" s="218">
        <v>0.0</v>
      </c>
      <c r="H6" s="223">
        <v>3766.54</v>
      </c>
      <c r="J6" s="223" t="s">
        <v>35</v>
      </c>
      <c r="K6" s="317">
        <v>2021.0</v>
      </c>
    </row>
    <row r="7">
      <c r="A7" s="223" t="s">
        <v>37</v>
      </c>
      <c r="B7" s="223" t="s">
        <v>1244</v>
      </c>
      <c r="C7" s="223" t="s">
        <v>1168</v>
      </c>
      <c r="D7" s="316">
        <v>44470.0</v>
      </c>
      <c r="E7" s="218">
        <v>2300.0</v>
      </c>
      <c r="F7" s="218">
        <v>0.0</v>
      </c>
      <c r="G7" s="218">
        <v>0.0</v>
      </c>
      <c r="H7" s="223">
        <v>2300.0</v>
      </c>
      <c r="J7" s="223" t="s">
        <v>31</v>
      </c>
      <c r="K7" s="317">
        <v>2021.0</v>
      </c>
    </row>
    <row r="8">
      <c r="A8" s="223" t="s">
        <v>39</v>
      </c>
      <c r="B8" s="223" t="s">
        <v>1170</v>
      </c>
      <c r="C8" s="223" t="s">
        <v>1172</v>
      </c>
      <c r="D8" s="316">
        <v>44470.0</v>
      </c>
      <c r="E8" s="218">
        <v>900.0</v>
      </c>
      <c r="F8" s="218">
        <v>0.0</v>
      </c>
      <c r="G8" s="218">
        <v>0.0</v>
      </c>
      <c r="H8" s="223">
        <v>900.0</v>
      </c>
      <c r="J8" s="223" t="s">
        <v>31</v>
      </c>
      <c r="K8" s="317">
        <v>2021.0</v>
      </c>
    </row>
    <row r="9">
      <c r="A9" s="223" t="s">
        <v>40</v>
      </c>
      <c r="B9" s="223" t="s">
        <v>1246</v>
      </c>
      <c r="C9" s="223" t="s">
        <v>1247</v>
      </c>
      <c r="D9" s="316">
        <v>44440.0</v>
      </c>
      <c r="E9" s="218">
        <v>1150.0</v>
      </c>
      <c r="F9" s="218">
        <v>35.78</v>
      </c>
      <c r="G9" s="218">
        <v>0.0</v>
      </c>
      <c r="H9" s="223">
        <v>1114.22</v>
      </c>
      <c r="J9" s="223" t="s">
        <v>31</v>
      </c>
      <c r="K9" s="317">
        <v>2021.0</v>
      </c>
    </row>
    <row r="10">
      <c r="A10" s="223" t="s">
        <v>42</v>
      </c>
      <c r="B10" s="223" t="s">
        <v>1236</v>
      </c>
      <c r="C10" s="223" t="s">
        <v>1156</v>
      </c>
      <c r="D10" s="316">
        <v>44348.0</v>
      </c>
      <c r="E10" s="218">
        <v>1500.0</v>
      </c>
      <c r="F10" s="218">
        <v>46.67</v>
      </c>
      <c r="G10" s="218">
        <v>217.99949999999998</v>
      </c>
      <c r="H10" s="223">
        <v>1235.3305</v>
      </c>
      <c r="J10" s="318"/>
      <c r="K10" s="317">
        <v>2021.0</v>
      </c>
    </row>
    <row r="11">
      <c r="A11" s="223" t="s">
        <v>17</v>
      </c>
      <c r="B11" s="223" t="s">
        <v>1325</v>
      </c>
      <c r="C11" s="223" t="s">
        <v>1175</v>
      </c>
      <c r="D11" s="316">
        <v>44409.0</v>
      </c>
      <c r="E11" s="218">
        <v>5000.0</v>
      </c>
      <c r="F11" s="218">
        <v>0.0</v>
      </c>
      <c r="G11" s="218">
        <v>0.0</v>
      </c>
      <c r="H11" s="223">
        <v>5000.0</v>
      </c>
      <c r="J11" s="223" t="s">
        <v>45</v>
      </c>
      <c r="K11" s="317">
        <v>2021.0</v>
      </c>
    </row>
    <row r="12">
      <c r="A12" s="223" t="s">
        <v>46</v>
      </c>
      <c r="B12" s="223" t="s">
        <v>1178</v>
      </c>
      <c r="C12" s="223" t="s">
        <v>1232</v>
      </c>
      <c r="D12" s="316">
        <v>44470.0</v>
      </c>
      <c r="E12" s="218">
        <v>900.0</v>
      </c>
      <c r="F12" s="218">
        <v>0.0</v>
      </c>
      <c r="G12" s="218">
        <v>0.0</v>
      </c>
      <c r="H12" s="223">
        <v>900.0</v>
      </c>
      <c r="J12" s="223" t="s">
        <v>48</v>
      </c>
      <c r="K12" s="317">
        <v>2021.1</v>
      </c>
    </row>
    <row r="13">
      <c r="A13" s="223" t="s">
        <v>30</v>
      </c>
      <c r="B13" s="223" t="s">
        <v>1231</v>
      </c>
      <c r="C13" s="223" t="s">
        <v>1232</v>
      </c>
      <c r="D13" s="316">
        <v>44440.0</v>
      </c>
      <c r="E13" s="218">
        <v>300.0</v>
      </c>
      <c r="F13" s="218">
        <v>9.33</v>
      </c>
      <c r="G13" s="218">
        <v>0.0</v>
      </c>
      <c r="H13" s="223">
        <v>290.67</v>
      </c>
      <c r="J13" s="223" t="s">
        <v>45</v>
      </c>
      <c r="K13" s="317">
        <v>2021.0</v>
      </c>
    </row>
    <row r="14">
      <c r="A14" s="223" t="s">
        <v>50</v>
      </c>
      <c r="B14" s="223" t="s">
        <v>1275</v>
      </c>
      <c r="C14" s="223" t="s">
        <v>1156</v>
      </c>
      <c r="D14" s="316">
        <v>44440.0</v>
      </c>
      <c r="E14" s="218">
        <v>375.0</v>
      </c>
      <c r="F14" s="218">
        <v>0.0</v>
      </c>
      <c r="G14" s="218">
        <v>0.0</v>
      </c>
      <c r="H14" s="223">
        <v>375.0</v>
      </c>
      <c r="J14" s="223" t="s">
        <v>52</v>
      </c>
      <c r="K14" s="317">
        <v>2021.09</v>
      </c>
    </row>
    <row r="15">
      <c r="A15" s="223" t="s">
        <v>54</v>
      </c>
      <c r="B15" s="223" t="s">
        <v>1187</v>
      </c>
      <c r="C15" s="223" t="s">
        <v>1156</v>
      </c>
      <c r="D15" s="316">
        <v>44440.0</v>
      </c>
      <c r="E15" s="218">
        <v>750.0</v>
      </c>
      <c r="F15" s="218">
        <v>23.33</v>
      </c>
      <c r="G15" s="218">
        <v>0.0</v>
      </c>
      <c r="H15" s="223">
        <v>726.67</v>
      </c>
      <c r="J15" s="223" t="s">
        <v>52</v>
      </c>
      <c r="K15" s="317">
        <v>2021.09</v>
      </c>
    </row>
    <row r="16">
      <c r="A16" s="223" t="s">
        <v>26</v>
      </c>
      <c r="B16" s="223" t="s">
        <v>1216</v>
      </c>
      <c r="C16" s="223" t="s">
        <v>1175</v>
      </c>
      <c r="D16" s="316">
        <v>44409.0</v>
      </c>
      <c r="E16" s="218">
        <v>2245.0</v>
      </c>
      <c r="F16" s="218">
        <v>0.0</v>
      </c>
      <c r="G16" s="218">
        <v>0.0</v>
      </c>
      <c r="H16" s="223">
        <v>2245.0</v>
      </c>
      <c r="J16" s="223" t="s">
        <v>45</v>
      </c>
      <c r="K16" s="317">
        <v>2021.08</v>
      </c>
    </row>
    <row r="17">
      <c r="A17" s="223" t="s">
        <v>58</v>
      </c>
      <c r="B17" s="223" t="s">
        <v>1197</v>
      </c>
      <c r="C17" s="223" t="s">
        <v>1156</v>
      </c>
      <c r="D17" s="316">
        <v>44440.0</v>
      </c>
      <c r="E17" s="218">
        <v>1550.0</v>
      </c>
      <c r="F17" s="218">
        <v>48.22</v>
      </c>
      <c r="G17" s="218">
        <v>0.0</v>
      </c>
      <c r="H17" s="223">
        <v>1501.78</v>
      </c>
      <c r="J17" s="223" t="s">
        <v>52</v>
      </c>
      <c r="K17" s="317">
        <v>2021.09</v>
      </c>
    </row>
    <row r="18">
      <c r="A18" s="223" t="s">
        <v>60</v>
      </c>
      <c r="B18" s="223" t="s">
        <v>1185</v>
      </c>
      <c r="C18" s="223" t="s">
        <v>1168</v>
      </c>
      <c r="D18" s="316">
        <v>44470.0</v>
      </c>
      <c r="E18" s="218">
        <v>2650.0</v>
      </c>
      <c r="F18" s="218">
        <v>82.45</v>
      </c>
      <c r="G18" s="218">
        <v>0.0</v>
      </c>
      <c r="H18" s="223">
        <v>2567.55</v>
      </c>
      <c r="J18" s="223" t="s">
        <v>31</v>
      </c>
      <c r="K18" s="317">
        <v>2021.0</v>
      </c>
    </row>
    <row r="19">
      <c r="A19" s="223" t="s">
        <v>62</v>
      </c>
      <c r="B19" s="223" t="s">
        <v>1304</v>
      </c>
      <c r="C19" s="223" t="s">
        <v>1156</v>
      </c>
      <c r="D19" s="316">
        <v>44470.0</v>
      </c>
      <c r="E19" s="218">
        <v>2000.0</v>
      </c>
      <c r="F19" s="218">
        <v>0.0</v>
      </c>
      <c r="G19" s="218">
        <v>0.0</v>
      </c>
      <c r="H19" s="223">
        <v>2000.0</v>
      </c>
      <c r="J19" s="223" t="s">
        <v>52</v>
      </c>
      <c r="K19" s="317">
        <v>2021.1</v>
      </c>
    </row>
    <row r="20">
      <c r="A20" s="223" t="s">
        <v>64</v>
      </c>
      <c r="B20" s="223" t="s">
        <v>1245</v>
      </c>
      <c r="C20" s="223" t="s">
        <v>1156</v>
      </c>
      <c r="D20" s="316">
        <v>44470.0</v>
      </c>
      <c r="E20" s="218">
        <v>500.0</v>
      </c>
      <c r="F20" s="218">
        <v>0.0</v>
      </c>
      <c r="G20" s="218">
        <v>0.0</v>
      </c>
      <c r="H20" s="223">
        <v>500.0</v>
      </c>
      <c r="J20" s="223" t="s">
        <v>52</v>
      </c>
      <c r="K20" s="317">
        <v>2021.1</v>
      </c>
    </row>
    <row r="21">
      <c r="A21" s="223" t="s">
        <v>66</v>
      </c>
      <c r="B21" s="223" t="s">
        <v>1324</v>
      </c>
      <c r="C21" s="223" t="s">
        <v>1156</v>
      </c>
      <c r="D21" s="316">
        <v>44470.0</v>
      </c>
      <c r="E21" s="218">
        <v>700.0</v>
      </c>
      <c r="F21" s="218">
        <v>0.0</v>
      </c>
      <c r="G21" s="218">
        <v>0.0</v>
      </c>
      <c r="H21" s="223">
        <v>700.0</v>
      </c>
      <c r="J21" s="223" t="s">
        <v>52</v>
      </c>
      <c r="K21" s="317">
        <v>2021.1</v>
      </c>
    </row>
    <row r="22">
      <c r="A22" s="223" t="s">
        <v>68</v>
      </c>
      <c r="B22" s="223" t="s">
        <v>1178</v>
      </c>
      <c r="C22" s="223" t="s">
        <v>1156</v>
      </c>
      <c r="D22" s="316">
        <v>44470.0</v>
      </c>
      <c r="E22" s="218">
        <v>650.0</v>
      </c>
      <c r="F22" s="218">
        <v>0.0</v>
      </c>
      <c r="G22" s="218">
        <v>0.0</v>
      </c>
      <c r="H22" s="223">
        <v>650.0</v>
      </c>
      <c r="J22" s="223" t="s">
        <v>52</v>
      </c>
      <c r="K22" s="317">
        <v>2021.1</v>
      </c>
    </row>
    <row r="23">
      <c r="A23" s="223" t="s">
        <v>40</v>
      </c>
      <c r="B23" s="223" t="s">
        <v>1246</v>
      </c>
      <c r="C23" s="223" t="s">
        <v>1247</v>
      </c>
      <c r="D23" s="316">
        <v>44470.0</v>
      </c>
      <c r="E23" s="218">
        <v>1450.0</v>
      </c>
      <c r="F23" s="218">
        <v>46.0</v>
      </c>
      <c r="G23" s="218">
        <v>0.0</v>
      </c>
      <c r="H23" s="223">
        <v>1404.0</v>
      </c>
      <c r="J23" s="223" t="s">
        <v>45</v>
      </c>
      <c r="K23" s="317">
        <v>2021.0</v>
      </c>
    </row>
    <row r="24">
      <c r="A24" s="223" t="s">
        <v>70</v>
      </c>
      <c r="B24" s="223" t="s">
        <v>1239</v>
      </c>
      <c r="C24" s="223" t="s">
        <v>1168</v>
      </c>
      <c r="D24" s="316">
        <v>44470.0</v>
      </c>
      <c r="E24" s="218">
        <v>2150.0</v>
      </c>
      <c r="F24" s="218">
        <v>66.89</v>
      </c>
      <c r="G24" s="218">
        <v>0.0</v>
      </c>
      <c r="H24" s="223">
        <v>2083.11</v>
      </c>
      <c r="J24" s="223" t="s">
        <v>45</v>
      </c>
      <c r="K24" s="317">
        <v>2021.0</v>
      </c>
    </row>
    <row r="25">
      <c r="A25" s="223" t="s">
        <v>71</v>
      </c>
      <c r="B25" s="223" t="s">
        <v>1250</v>
      </c>
      <c r="C25" s="223" t="s">
        <v>1251</v>
      </c>
      <c r="D25" s="316">
        <v>44499.0</v>
      </c>
      <c r="E25" s="218">
        <v>1000.0</v>
      </c>
      <c r="F25" s="218">
        <v>0.0</v>
      </c>
      <c r="G25" s="218">
        <v>0.0</v>
      </c>
      <c r="H25" s="223">
        <v>1000.0</v>
      </c>
      <c r="J25" s="223" t="s">
        <v>48</v>
      </c>
      <c r="K25" s="317">
        <v>2021.0</v>
      </c>
    </row>
    <row r="26">
      <c r="A26" s="223" t="s">
        <v>73</v>
      </c>
      <c r="B26" s="223" t="s">
        <v>1327</v>
      </c>
      <c r="C26" s="223" t="s">
        <v>1156</v>
      </c>
      <c r="D26" s="316">
        <v>44498.0</v>
      </c>
      <c r="E26" s="218">
        <v>700.0</v>
      </c>
      <c r="F26" s="218">
        <v>0.0</v>
      </c>
      <c r="G26" s="218">
        <v>0.0</v>
      </c>
      <c r="H26" s="223">
        <v>700.0</v>
      </c>
      <c r="J26" s="223" t="s">
        <v>52</v>
      </c>
      <c r="K26" s="317">
        <v>2021.1</v>
      </c>
    </row>
    <row r="27">
      <c r="A27" s="223" t="s">
        <v>75</v>
      </c>
      <c r="B27" s="223" t="s">
        <v>1279</v>
      </c>
      <c r="C27" s="223" t="s">
        <v>1156</v>
      </c>
      <c r="D27" s="316">
        <v>44470.0</v>
      </c>
      <c r="E27" s="218">
        <v>500.0</v>
      </c>
      <c r="F27" s="218">
        <v>0.0</v>
      </c>
      <c r="G27" s="218">
        <v>0.0</v>
      </c>
      <c r="H27" s="223">
        <v>500.0</v>
      </c>
      <c r="J27" s="223" t="s">
        <v>52</v>
      </c>
      <c r="K27" s="317">
        <v>2021.1</v>
      </c>
    </row>
    <row r="28">
      <c r="A28" s="223" t="s">
        <v>77</v>
      </c>
      <c r="B28" s="223" t="s">
        <v>1155</v>
      </c>
      <c r="C28" s="223" t="s">
        <v>1156</v>
      </c>
      <c r="D28" s="316">
        <v>44470.0</v>
      </c>
      <c r="E28" s="218">
        <v>495.0</v>
      </c>
      <c r="F28" s="218">
        <v>0.0</v>
      </c>
      <c r="G28" s="218">
        <v>0.0</v>
      </c>
      <c r="H28" s="223">
        <v>495.0</v>
      </c>
      <c r="J28" s="223" t="s">
        <v>52</v>
      </c>
      <c r="K28" s="317">
        <v>2021.1</v>
      </c>
    </row>
    <row r="29">
      <c r="A29" s="223" t="s">
        <v>79</v>
      </c>
      <c r="B29" s="223" t="s">
        <v>1238</v>
      </c>
      <c r="C29" s="223" t="s">
        <v>1156</v>
      </c>
      <c r="D29" s="316">
        <v>44470.0</v>
      </c>
      <c r="E29" s="218">
        <v>1200.0</v>
      </c>
      <c r="F29" s="218">
        <v>37.33</v>
      </c>
      <c r="G29" s="218">
        <v>0.0</v>
      </c>
      <c r="H29" s="223">
        <v>1162.67</v>
      </c>
      <c r="J29" s="223" t="s">
        <v>52</v>
      </c>
      <c r="K29" s="317">
        <v>2021.1</v>
      </c>
    </row>
    <row r="30">
      <c r="A30" s="223" t="s">
        <v>50</v>
      </c>
      <c r="B30" s="223" t="s">
        <v>1275</v>
      </c>
      <c r="C30" s="223" t="s">
        <v>1156</v>
      </c>
      <c r="D30" s="316">
        <v>44470.0</v>
      </c>
      <c r="E30" s="218">
        <v>375.0</v>
      </c>
      <c r="F30" s="218">
        <v>0.0</v>
      </c>
      <c r="G30" s="218">
        <v>0.0</v>
      </c>
      <c r="H30" s="223">
        <v>375.0</v>
      </c>
      <c r="J30" s="223" t="s">
        <v>52</v>
      </c>
      <c r="K30" s="317">
        <v>2021.1</v>
      </c>
    </row>
    <row r="31">
      <c r="A31" s="223" t="s">
        <v>54</v>
      </c>
      <c r="B31" s="223" t="s">
        <v>1187</v>
      </c>
      <c r="C31" s="223" t="s">
        <v>1156</v>
      </c>
      <c r="D31" s="316">
        <v>44470.0</v>
      </c>
      <c r="E31" s="218">
        <v>750.0</v>
      </c>
      <c r="F31" s="218">
        <v>23.33</v>
      </c>
      <c r="G31" s="218">
        <v>0.0</v>
      </c>
      <c r="H31" s="223">
        <v>726.67</v>
      </c>
      <c r="J31" s="223" t="s">
        <v>52</v>
      </c>
      <c r="K31" s="317">
        <v>2021.1</v>
      </c>
    </row>
    <row r="32">
      <c r="A32" s="223" t="s">
        <v>81</v>
      </c>
      <c r="B32" s="223" t="s">
        <v>1255</v>
      </c>
      <c r="C32" s="223" t="s">
        <v>1156</v>
      </c>
      <c r="D32" s="316">
        <v>44470.0</v>
      </c>
      <c r="E32" s="218">
        <v>1200.0</v>
      </c>
      <c r="F32" s="218">
        <v>0.0</v>
      </c>
      <c r="G32" s="218">
        <v>0.0</v>
      </c>
      <c r="H32" s="223">
        <v>1200.0</v>
      </c>
      <c r="J32" s="223" t="s">
        <v>52</v>
      </c>
      <c r="K32" s="317">
        <v>2021.1</v>
      </c>
    </row>
    <row r="33">
      <c r="A33" s="223" t="s">
        <v>42</v>
      </c>
      <c r="B33" s="223" t="s">
        <v>1236</v>
      </c>
      <c r="C33" s="223" t="s">
        <v>1156</v>
      </c>
      <c r="D33" s="316">
        <v>44470.0</v>
      </c>
      <c r="E33" s="218">
        <v>1500.0</v>
      </c>
      <c r="F33" s="218">
        <v>0.0</v>
      </c>
      <c r="G33" s="218">
        <v>225.0</v>
      </c>
      <c r="H33" s="223">
        <v>1275.0</v>
      </c>
      <c r="J33" s="223" t="s">
        <v>52</v>
      </c>
      <c r="K33" s="317">
        <v>2021.1</v>
      </c>
    </row>
    <row r="34">
      <c r="A34" s="223" t="s">
        <v>58</v>
      </c>
      <c r="B34" s="223" t="s">
        <v>1197</v>
      </c>
      <c r="C34" s="223" t="s">
        <v>1156</v>
      </c>
      <c r="D34" s="316">
        <v>44470.0</v>
      </c>
      <c r="E34" s="218">
        <v>1550.0</v>
      </c>
      <c r="F34" s="218">
        <v>48.22</v>
      </c>
      <c r="G34" s="218">
        <v>0.0</v>
      </c>
      <c r="H34" s="223">
        <v>1501.78</v>
      </c>
      <c r="J34" s="223" t="s">
        <v>52</v>
      </c>
      <c r="K34" s="317">
        <v>2021.1</v>
      </c>
    </row>
    <row r="35">
      <c r="A35" s="223" t="s">
        <v>82</v>
      </c>
      <c r="B35" s="223" t="s">
        <v>1124</v>
      </c>
      <c r="C35" s="223" t="s">
        <v>1156</v>
      </c>
      <c r="D35" s="316">
        <v>44470.0</v>
      </c>
      <c r="E35" s="218">
        <v>800.0</v>
      </c>
      <c r="F35" s="218">
        <v>0.0</v>
      </c>
      <c r="G35" s="218">
        <v>0.0</v>
      </c>
      <c r="H35" s="223">
        <v>800.0</v>
      </c>
      <c r="J35" s="223" t="s">
        <v>52</v>
      </c>
      <c r="K35" s="317">
        <v>2021.1</v>
      </c>
    </row>
    <row r="36">
      <c r="A36" s="223" t="s">
        <v>84</v>
      </c>
      <c r="B36" s="223" t="s">
        <v>1227</v>
      </c>
      <c r="C36" s="223" t="s">
        <v>1156</v>
      </c>
      <c r="D36" s="316">
        <v>44500.0</v>
      </c>
      <c r="E36" s="218">
        <v>1000.0</v>
      </c>
      <c r="F36" s="218">
        <v>0.0</v>
      </c>
      <c r="G36" s="218">
        <v>0.0</v>
      </c>
      <c r="H36" s="223">
        <v>1000.0</v>
      </c>
      <c r="J36" s="223" t="s">
        <v>52</v>
      </c>
      <c r="K36" s="317">
        <v>2021.1</v>
      </c>
    </row>
    <row r="37">
      <c r="A37" s="223" t="s">
        <v>86</v>
      </c>
      <c r="B37" s="223" t="s">
        <v>1235</v>
      </c>
      <c r="C37" s="223" t="s">
        <v>1156</v>
      </c>
      <c r="D37" s="316">
        <v>44470.0</v>
      </c>
      <c r="E37" s="218">
        <v>550.0</v>
      </c>
      <c r="F37" s="218">
        <v>0.0</v>
      </c>
      <c r="G37" s="218">
        <v>0.0</v>
      </c>
      <c r="H37" s="223">
        <v>550.0</v>
      </c>
      <c r="J37" s="223" t="s">
        <v>52</v>
      </c>
      <c r="K37" s="317">
        <v>2021.1</v>
      </c>
    </row>
    <row r="38">
      <c r="A38" s="223" t="s">
        <v>88</v>
      </c>
      <c r="B38" s="223" t="s">
        <v>1256</v>
      </c>
      <c r="C38" s="223" t="s">
        <v>1156</v>
      </c>
      <c r="D38" s="316">
        <v>44470.0</v>
      </c>
      <c r="E38" s="218">
        <v>500.0</v>
      </c>
      <c r="F38" s="218">
        <v>0.0</v>
      </c>
      <c r="G38" s="218">
        <v>0.0</v>
      </c>
      <c r="H38" s="223">
        <v>500.0</v>
      </c>
      <c r="J38" s="223" t="s">
        <v>52</v>
      </c>
      <c r="K38" s="317">
        <v>2021.1</v>
      </c>
    </row>
    <row r="39">
      <c r="A39" s="223" t="s">
        <v>90</v>
      </c>
      <c r="B39" s="223" t="s">
        <v>1282</v>
      </c>
      <c r="C39" s="223" t="s">
        <v>1156</v>
      </c>
      <c r="D39" s="316">
        <v>44470.0</v>
      </c>
      <c r="E39" s="218">
        <v>250.0</v>
      </c>
      <c r="F39" s="218">
        <v>7.78</v>
      </c>
      <c r="G39" s="218">
        <v>0.0</v>
      </c>
      <c r="H39" s="223">
        <v>242.22</v>
      </c>
      <c r="J39" s="223" t="s">
        <v>52</v>
      </c>
      <c r="K39" s="317">
        <v>2021.1</v>
      </c>
    </row>
    <row r="40">
      <c r="A40" s="223" t="s">
        <v>92</v>
      </c>
      <c r="B40" s="223" t="s">
        <v>1289</v>
      </c>
      <c r="C40" s="223" t="s">
        <v>1156</v>
      </c>
      <c r="D40" s="316">
        <v>44470.0</v>
      </c>
      <c r="E40" s="218">
        <v>2900.0</v>
      </c>
      <c r="F40" s="218">
        <v>0.0</v>
      </c>
      <c r="G40" s="218">
        <v>0.0</v>
      </c>
      <c r="H40" s="223">
        <v>2900.0</v>
      </c>
      <c r="J40" s="223" t="s">
        <v>52</v>
      </c>
      <c r="K40" s="317">
        <v>2021.1</v>
      </c>
    </row>
    <row r="41">
      <c r="A41" s="223" t="s">
        <v>94</v>
      </c>
      <c r="B41" s="223" t="s">
        <v>2307</v>
      </c>
      <c r="C41" s="223" t="s">
        <v>1156</v>
      </c>
      <c r="D41" s="316">
        <v>44470.0</v>
      </c>
      <c r="E41" s="218">
        <v>900.0</v>
      </c>
      <c r="F41" s="218">
        <v>28.0</v>
      </c>
      <c r="G41" s="218">
        <v>0.0</v>
      </c>
      <c r="H41" s="223">
        <v>872.0</v>
      </c>
      <c r="J41" s="223" t="s">
        <v>52</v>
      </c>
      <c r="K41" s="317">
        <v>2021.1</v>
      </c>
    </row>
    <row r="42">
      <c r="A42" s="223" t="s">
        <v>96</v>
      </c>
      <c r="B42" s="223" t="s">
        <v>1188</v>
      </c>
      <c r="C42" s="223" t="s">
        <v>1156</v>
      </c>
      <c r="D42" s="316">
        <v>44470.0</v>
      </c>
      <c r="E42" s="218">
        <v>550.0</v>
      </c>
      <c r="F42" s="218">
        <v>0.0</v>
      </c>
      <c r="G42" s="218">
        <v>0.0</v>
      </c>
      <c r="H42" s="223">
        <v>550.0</v>
      </c>
      <c r="J42" s="223" t="s">
        <v>52</v>
      </c>
      <c r="K42" s="317">
        <v>2021.1</v>
      </c>
    </row>
    <row r="43">
      <c r="A43" s="223" t="s">
        <v>97</v>
      </c>
      <c r="B43" s="223" t="s">
        <v>1286</v>
      </c>
      <c r="C43" s="223" t="s">
        <v>1156</v>
      </c>
      <c r="D43" s="316">
        <v>44470.0</v>
      </c>
      <c r="E43" s="218">
        <v>300.0</v>
      </c>
      <c r="F43" s="218">
        <v>0.0</v>
      </c>
      <c r="G43" s="218">
        <v>0.0</v>
      </c>
      <c r="H43" s="223">
        <v>300.0</v>
      </c>
      <c r="J43" s="223" t="s">
        <v>52</v>
      </c>
      <c r="K43" s="317">
        <v>2021.1</v>
      </c>
    </row>
    <row r="44">
      <c r="A44" s="223" t="s">
        <v>99</v>
      </c>
      <c r="B44" s="223" t="s">
        <v>1192</v>
      </c>
      <c r="C44" s="223" t="s">
        <v>1156</v>
      </c>
      <c r="D44" s="316">
        <v>44470.0</v>
      </c>
      <c r="E44" s="218">
        <v>1557.84</v>
      </c>
      <c r="F44" s="218">
        <v>0.0</v>
      </c>
      <c r="G44" s="218">
        <v>311.568</v>
      </c>
      <c r="H44" s="223">
        <v>1246.272</v>
      </c>
      <c r="J44" s="223" t="s">
        <v>52</v>
      </c>
      <c r="K44" s="317">
        <v>2021.1</v>
      </c>
    </row>
    <row r="45">
      <c r="A45" s="223" t="s">
        <v>102</v>
      </c>
      <c r="B45" s="223" t="s">
        <v>1259</v>
      </c>
      <c r="C45" s="223" t="s">
        <v>1156</v>
      </c>
      <c r="D45" s="316">
        <v>44470.0</v>
      </c>
      <c r="E45" s="218">
        <v>598.98</v>
      </c>
      <c r="F45" s="218">
        <v>0.0</v>
      </c>
      <c r="G45" s="218">
        <v>0.0</v>
      </c>
      <c r="H45" s="223">
        <v>598.98</v>
      </c>
      <c r="J45" s="223" t="s">
        <v>52</v>
      </c>
      <c r="K45" s="317">
        <v>2021.1</v>
      </c>
    </row>
    <row r="46">
      <c r="A46" s="223" t="s">
        <v>105</v>
      </c>
      <c r="B46" s="223" t="s">
        <v>1280</v>
      </c>
      <c r="C46" s="223" t="s">
        <v>2308</v>
      </c>
      <c r="D46" s="316">
        <v>44470.0</v>
      </c>
      <c r="E46" s="218">
        <v>3768.96</v>
      </c>
      <c r="F46" s="218">
        <v>139.81</v>
      </c>
      <c r="G46" s="218">
        <v>0.0</v>
      </c>
      <c r="H46" s="223">
        <v>3629.15</v>
      </c>
      <c r="J46" s="223" t="s">
        <v>107</v>
      </c>
      <c r="K46" s="317">
        <v>2021.0</v>
      </c>
    </row>
    <row r="47">
      <c r="A47" s="223" t="s">
        <v>108</v>
      </c>
      <c r="B47" s="223" t="s">
        <v>1287</v>
      </c>
      <c r="C47" s="223" t="s">
        <v>1288</v>
      </c>
      <c r="D47" s="316">
        <v>44470.0</v>
      </c>
      <c r="E47" s="218">
        <v>37.67</v>
      </c>
      <c r="F47" s="218">
        <v>0.0</v>
      </c>
      <c r="G47" s="218">
        <v>0.0</v>
      </c>
      <c r="H47" s="223">
        <v>37.67</v>
      </c>
      <c r="J47" s="223" t="s">
        <v>110</v>
      </c>
      <c r="K47" s="317">
        <v>2021.0</v>
      </c>
    </row>
    <row r="48">
      <c r="A48" s="223" t="s">
        <v>112</v>
      </c>
      <c r="B48" s="223" t="s">
        <v>1296</v>
      </c>
      <c r="C48" s="223" t="s">
        <v>2309</v>
      </c>
      <c r="D48" s="316">
        <v>44470.0</v>
      </c>
      <c r="E48" s="218">
        <v>837.0</v>
      </c>
      <c r="F48" s="218">
        <v>0.0</v>
      </c>
      <c r="G48" s="218">
        <v>0.0</v>
      </c>
      <c r="H48" s="223">
        <v>837.0</v>
      </c>
      <c r="J48" s="223" t="s">
        <v>52</v>
      </c>
      <c r="K48" s="317">
        <v>2021.1</v>
      </c>
    </row>
    <row r="49">
      <c r="A49" s="223" t="s">
        <v>115</v>
      </c>
      <c r="B49" s="223" t="s">
        <v>1308</v>
      </c>
      <c r="C49" s="223" t="s">
        <v>1156</v>
      </c>
      <c r="D49" s="316">
        <v>44470.0</v>
      </c>
      <c r="E49" s="218">
        <v>2449.03</v>
      </c>
      <c r="F49" s="218">
        <v>0.0</v>
      </c>
      <c r="G49" s="218">
        <v>0.0</v>
      </c>
      <c r="H49" s="223">
        <v>2449.03</v>
      </c>
      <c r="J49" s="223" t="s">
        <v>52</v>
      </c>
      <c r="K49" s="317">
        <v>2021.1</v>
      </c>
    </row>
    <row r="50">
      <c r="A50" s="223" t="s">
        <v>118</v>
      </c>
      <c r="B50" s="223" t="s">
        <v>1312</v>
      </c>
      <c r="C50" s="223" t="s">
        <v>1156</v>
      </c>
      <c r="D50" s="316">
        <v>44470.0</v>
      </c>
      <c r="E50" s="218">
        <v>2449.03</v>
      </c>
      <c r="F50" s="218">
        <v>0.0</v>
      </c>
      <c r="G50" s="218">
        <v>0.0</v>
      </c>
      <c r="H50" s="223">
        <v>2449.03</v>
      </c>
      <c r="J50" s="223" t="s">
        <v>52</v>
      </c>
      <c r="K50" s="317">
        <v>2021.1</v>
      </c>
    </row>
    <row r="51">
      <c r="A51" s="223" t="s">
        <v>120</v>
      </c>
      <c r="B51" s="223" t="s">
        <v>1215</v>
      </c>
      <c r="C51" s="223" t="s">
        <v>1156</v>
      </c>
      <c r="D51" s="316">
        <v>44470.0</v>
      </c>
      <c r="E51" s="218">
        <v>1858.76</v>
      </c>
      <c r="F51" s="218">
        <v>69.15</v>
      </c>
      <c r="G51" s="218">
        <v>357.922</v>
      </c>
      <c r="H51" s="223">
        <v>1431.6879999999999</v>
      </c>
      <c r="J51" s="223" t="s">
        <v>52</v>
      </c>
      <c r="K51" s="317">
        <v>2021.1</v>
      </c>
    </row>
    <row r="52">
      <c r="A52" s="223" t="s">
        <v>123</v>
      </c>
      <c r="B52" s="223" t="s">
        <v>1300</v>
      </c>
      <c r="C52" s="223" t="s">
        <v>1156</v>
      </c>
      <c r="D52" s="316">
        <v>44470.0</v>
      </c>
      <c r="E52" s="218">
        <v>6764.25</v>
      </c>
      <c r="F52" s="218">
        <v>250.65</v>
      </c>
      <c r="G52" s="218">
        <v>1302.7200000000003</v>
      </c>
      <c r="H52" s="223">
        <v>5210.88</v>
      </c>
      <c r="J52" s="223" t="s">
        <v>52</v>
      </c>
      <c r="K52" s="317">
        <v>2021.0</v>
      </c>
    </row>
    <row r="53">
      <c r="A53" s="223" t="s">
        <v>33</v>
      </c>
      <c r="B53" s="223" t="s">
        <v>1294</v>
      </c>
      <c r="C53" s="223" t="s">
        <v>1168</v>
      </c>
      <c r="D53" s="316">
        <v>44470.0</v>
      </c>
      <c r="E53" s="218">
        <v>3882.15</v>
      </c>
      <c r="F53" s="218">
        <v>0.0</v>
      </c>
      <c r="G53" s="218">
        <v>0.0</v>
      </c>
      <c r="H53" s="223">
        <v>3882.15</v>
      </c>
      <c r="J53" s="223" t="s">
        <v>128</v>
      </c>
      <c r="K53" s="317">
        <v>2021.0</v>
      </c>
    </row>
    <row r="54">
      <c r="A54" s="223" t="s">
        <v>129</v>
      </c>
      <c r="B54" s="223" t="s">
        <v>1158</v>
      </c>
      <c r="C54" s="223" t="s">
        <v>1162</v>
      </c>
      <c r="D54" s="316">
        <v>44470.0</v>
      </c>
      <c r="E54" s="218">
        <v>801.37</v>
      </c>
      <c r="F54" s="218">
        <v>30.02</v>
      </c>
      <c r="G54" s="218">
        <v>0.0</v>
      </c>
      <c r="H54" s="223">
        <v>771.35</v>
      </c>
      <c r="J54" s="223" t="s">
        <v>48</v>
      </c>
      <c r="K54" s="317">
        <v>2021.0</v>
      </c>
    </row>
    <row r="55">
      <c r="A55" s="223" t="s">
        <v>70</v>
      </c>
      <c r="B55" s="223" t="s">
        <v>1239</v>
      </c>
      <c r="C55" s="223" t="s">
        <v>1168</v>
      </c>
      <c r="D55" s="316">
        <v>44409.0</v>
      </c>
      <c r="E55" s="218">
        <v>2150.0</v>
      </c>
      <c r="F55" s="223">
        <v>66.89</v>
      </c>
      <c r="G55" s="218">
        <v>0.0</v>
      </c>
      <c r="H55" s="223">
        <v>2083.11</v>
      </c>
      <c r="J55" s="223" t="s">
        <v>31</v>
      </c>
      <c r="K55" s="317">
        <v>2021.0</v>
      </c>
    </row>
    <row r="56">
      <c r="A56" s="223" t="s">
        <v>22</v>
      </c>
      <c r="B56" s="223" t="s">
        <v>1280</v>
      </c>
      <c r="C56" s="223" t="s">
        <v>1168</v>
      </c>
      <c r="D56" s="316">
        <v>44317.0</v>
      </c>
      <c r="E56" s="218">
        <v>3833.12</v>
      </c>
      <c r="F56" s="218">
        <v>142.19</v>
      </c>
      <c r="G56" s="218">
        <v>0.0</v>
      </c>
      <c r="H56" s="223">
        <v>3690.93</v>
      </c>
      <c r="J56" s="223" t="s">
        <v>134</v>
      </c>
      <c r="K56" s="317">
        <v>2021.0</v>
      </c>
    </row>
    <row r="57">
      <c r="A57" s="223" t="s">
        <v>39</v>
      </c>
      <c r="B57" s="223" t="s">
        <v>1170</v>
      </c>
      <c r="C57" s="223" t="s">
        <v>1172</v>
      </c>
      <c r="D57" s="316">
        <v>44501.0</v>
      </c>
      <c r="E57" s="218">
        <v>900.0</v>
      </c>
      <c r="F57" s="218">
        <v>0.0</v>
      </c>
      <c r="G57" s="218">
        <v>0.0</v>
      </c>
      <c r="H57" s="223">
        <v>900.0</v>
      </c>
      <c r="J57" s="223" t="s">
        <v>45</v>
      </c>
      <c r="K57" s="317">
        <v>2021.0</v>
      </c>
    </row>
    <row r="58">
      <c r="A58" s="223" t="s">
        <v>135</v>
      </c>
      <c r="B58" s="223" t="s">
        <v>1311</v>
      </c>
      <c r="C58" s="223" t="s">
        <v>1168</v>
      </c>
      <c r="D58" s="316">
        <v>44530.0</v>
      </c>
      <c r="E58" s="218">
        <v>2800.0</v>
      </c>
      <c r="F58" s="218">
        <v>0.0</v>
      </c>
      <c r="G58" s="218">
        <v>0.0</v>
      </c>
      <c r="H58" s="223">
        <v>2800.0</v>
      </c>
      <c r="J58" s="223" t="s">
        <v>31</v>
      </c>
      <c r="K58" s="317">
        <v>2021.0</v>
      </c>
    </row>
    <row r="59">
      <c r="A59" s="223" t="s">
        <v>137</v>
      </c>
      <c r="B59" s="223" t="s">
        <v>1309</v>
      </c>
      <c r="C59" s="223" t="s">
        <v>1310</v>
      </c>
      <c r="D59" s="316">
        <v>44501.0</v>
      </c>
      <c r="E59" s="218">
        <v>3000.0</v>
      </c>
      <c r="F59" s="218">
        <v>0.0</v>
      </c>
      <c r="G59" s="218">
        <v>0.0</v>
      </c>
      <c r="H59" s="223">
        <v>3000.0</v>
      </c>
      <c r="J59" s="223" t="s">
        <v>31</v>
      </c>
      <c r="K59" s="317">
        <v>2021.0</v>
      </c>
    </row>
    <row r="60">
      <c r="A60" s="223" t="s">
        <v>62</v>
      </c>
      <c r="B60" s="223" t="s">
        <v>1304</v>
      </c>
      <c r="C60" s="223" t="s">
        <v>1156</v>
      </c>
      <c r="D60" s="316">
        <v>44501.0</v>
      </c>
      <c r="E60" s="218">
        <v>1600.0</v>
      </c>
      <c r="F60" s="218">
        <v>49.78</v>
      </c>
      <c r="G60" s="218">
        <v>0.0</v>
      </c>
      <c r="H60" s="223">
        <v>1550.22</v>
      </c>
      <c r="J60" s="223" t="s">
        <v>52</v>
      </c>
      <c r="K60" s="317">
        <v>2021.11</v>
      </c>
    </row>
    <row r="61">
      <c r="A61" s="223" t="s">
        <v>68</v>
      </c>
      <c r="B61" s="223" t="s">
        <v>1178</v>
      </c>
      <c r="C61" s="223" t="s">
        <v>1156</v>
      </c>
      <c r="D61" s="316">
        <v>44501.0</v>
      </c>
      <c r="E61" s="218">
        <v>650.0</v>
      </c>
      <c r="F61" s="218">
        <v>20.09</v>
      </c>
      <c r="G61" s="218">
        <v>0.0</v>
      </c>
      <c r="H61" s="223">
        <v>629.91</v>
      </c>
      <c r="J61" s="223" t="s">
        <v>52</v>
      </c>
      <c r="K61" s="317">
        <v>2021.11</v>
      </c>
    </row>
    <row r="62">
      <c r="A62" s="223" t="s">
        <v>64</v>
      </c>
      <c r="B62" s="223" t="s">
        <v>1245</v>
      </c>
      <c r="C62" s="223" t="s">
        <v>1156</v>
      </c>
      <c r="D62" s="316">
        <v>44501.0</v>
      </c>
      <c r="E62" s="218">
        <v>500.0</v>
      </c>
      <c r="F62" s="218">
        <v>15.56</v>
      </c>
      <c r="G62" s="218">
        <v>0.0</v>
      </c>
      <c r="H62" s="223">
        <v>484.44</v>
      </c>
      <c r="J62" s="223" t="s">
        <v>52</v>
      </c>
      <c r="K62" s="317">
        <v>2021.11</v>
      </c>
    </row>
    <row r="63">
      <c r="A63" s="223" t="s">
        <v>37</v>
      </c>
      <c r="B63" s="223" t="s">
        <v>1244</v>
      </c>
      <c r="C63" s="223" t="s">
        <v>1168</v>
      </c>
      <c r="D63" s="316">
        <v>44530.0</v>
      </c>
      <c r="E63" s="218">
        <v>2300.0</v>
      </c>
      <c r="F63" s="218">
        <v>0.0</v>
      </c>
      <c r="G63" s="218">
        <v>0.0</v>
      </c>
      <c r="H63" s="223">
        <v>2300.0</v>
      </c>
      <c r="J63" s="223" t="s">
        <v>45</v>
      </c>
      <c r="K63" s="317">
        <v>2021.0</v>
      </c>
    </row>
    <row r="64">
      <c r="A64" s="223" t="s">
        <v>141</v>
      </c>
      <c r="B64" s="223" t="s">
        <v>1292</v>
      </c>
      <c r="C64" s="223" t="s">
        <v>1190</v>
      </c>
      <c r="D64" s="316">
        <v>44501.0</v>
      </c>
      <c r="E64" s="218">
        <v>600.0</v>
      </c>
      <c r="F64" s="218">
        <v>0.0</v>
      </c>
      <c r="G64" s="218">
        <v>0.0</v>
      </c>
      <c r="H64" s="223">
        <v>600.0</v>
      </c>
      <c r="J64" s="223" t="s">
        <v>142</v>
      </c>
      <c r="K64" s="317">
        <v>2021.0</v>
      </c>
    </row>
    <row r="65">
      <c r="A65" s="223" t="s">
        <v>144</v>
      </c>
      <c r="B65" s="223" t="s">
        <v>1170</v>
      </c>
      <c r="C65" s="223" t="s">
        <v>1156</v>
      </c>
      <c r="D65" s="316">
        <v>44501.0</v>
      </c>
      <c r="E65" s="218">
        <v>905.0</v>
      </c>
      <c r="F65" s="218">
        <v>0.0</v>
      </c>
      <c r="G65" s="218">
        <v>0.0</v>
      </c>
      <c r="H65" s="223">
        <v>905.0</v>
      </c>
      <c r="J65" s="223" t="s">
        <v>52</v>
      </c>
      <c r="K65" s="317">
        <v>2021.11</v>
      </c>
    </row>
    <row r="66">
      <c r="A66" s="223" t="s">
        <v>73</v>
      </c>
      <c r="B66" s="223" t="s">
        <v>1327</v>
      </c>
      <c r="C66" s="223" t="s">
        <v>1156</v>
      </c>
      <c r="D66" s="316">
        <v>44530.0</v>
      </c>
      <c r="E66" s="218">
        <v>700.0</v>
      </c>
      <c r="F66" s="218">
        <v>0.0</v>
      </c>
      <c r="G66" s="218">
        <v>0.0</v>
      </c>
      <c r="H66" s="223">
        <v>700.0</v>
      </c>
      <c r="J66" s="223" t="s">
        <v>52</v>
      </c>
      <c r="K66" s="317">
        <v>2021.11</v>
      </c>
    </row>
    <row r="67">
      <c r="A67" s="223" t="s">
        <v>75</v>
      </c>
      <c r="B67" s="223" t="s">
        <v>1279</v>
      </c>
      <c r="C67" s="223" t="s">
        <v>1156</v>
      </c>
      <c r="D67" s="316">
        <v>44501.0</v>
      </c>
      <c r="E67" s="218">
        <v>500.0</v>
      </c>
      <c r="F67" s="218">
        <v>0.0</v>
      </c>
      <c r="G67" s="218">
        <v>0.0</v>
      </c>
      <c r="H67" s="223">
        <v>500.0</v>
      </c>
      <c r="J67" s="223" t="s">
        <v>52</v>
      </c>
      <c r="K67" s="317">
        <v>2021.11</v>
      </c>
    </row>
    <row r="68">
      <c r="A68" s="223" t="s">
        <v>77</v>
      </c>
      <c r="B68" s="223" t="s">
        <v>1155</v>
      </c>
      <c r="C68" s="223" t="s">
        <v>1156</v>
      </c>
      <c r="D68" s="316">
        <v>44501.0</v>
      </c>
      <c r="E68" s="218">
        <v>495.0</v>
      </c>
      <c r="F68" s="218">
        <v>15.4</v>
      </c>
      <c r="G68" s="218">
        <v>0.0</v>
      </c>
      <c r="H68" s="223">
        <v>479.6</v>
      </c>
      <c r="J68" s="223" t="s">
        <v>52</v>
      </c>
      <c r="K68" s="317">
        <v>2021.11</v>
      </c>
    </row>
    <row r="69">
      <c r="A69" s="223" t="s">
        <v>79</v>
      </c>
      <c r="B69" s="223" t="s">
        <v>1238</v>
      </c>
      <c r="C69" s="223" t="s">
        <v>1156</v>
      </c>
      <c r="D69" s="316">
        <v>44501.0</v>
      </c>
      <c r="E69" s="218">
        <v>1200.0</v>
      </c>
      <c r="F69" s="218">
        <v>37.33</v>
      </c>
      <c r="G69" s="218">
        <v>0.0</v>
      </c>
      <c r="H69" s="223">
        <v>1162.67</v>
      </c>
      <c r="J69" s="223" t="s">
        <v>52</v>
      </c>
      <c r="K69" s="317">
        <v>2021.11</v>
      </c>
    </row>
    <row r="70">
      <c r="A70" s="223" t="s">
        <v>50</v>
      </c>
      <c r="B70" s="223" t="s">
        <v>1275</v>
      </c>
      <c r="C70" s="223" t="s">
        <v>1156</v>
      </c>
      <c r="D70" s="316">
        <v>44501.0</v>
      </c>
      <c r="E70" s="218">
        <v>375.0</v>
      </c>
      <c r="F70" s="218">
        <v>0.0</v>
      </c>
      <c r="G70" s="218">
        <v>0.0</v>
      </c>
      <c r="H70" s="223">
        <v>375.0</v>
      </c>
      <c r="J70" s="223" t="s">
        <v>52</v>
      </c>
      <c r="K70" s="317">
        <v>2021.11</v>
      </c>
    </row>
    <row r="71">
      <c r="A71" s="223" t="s">
        <v>54</v>
      </c>
      <c r="B71" s="223" t="s">
        <v>1187</v>
      </c>
      <c r="C71" s="223" t="s">
        <v>1156</v>
      </c>
      <c r="D71" s="316">
        <v>44501.0</v>
      </c>
      <c r="E71" s="218">
        <v>750.0</v>
      </c>
      <c r="F71" s="218">
        <v>23.33</v>
      </c>
      <c r="G71" s="218">
        <v>0.0</v>
      </c>
      <c r="H71" s="223">
        <v>726.67</v>
      </c>
      <c r="J71" s="223" t="s">
        <v>52</v>
      </c>
      <c r="K71" s="317">
        <v>2021.11</v>
      </c>
    </row>
    <row r="72">
      <c r="A72" s="223" t="s">
        <v>81</v>
      </c>
      <c r="B72" s="223" t="s">
        <v>1255</v>
      </c>
      <c r="C72" s="223" t="s">
        <v>1156</v>
      </c>
      <c r="D72" s="316">
        <v>44501.0</v>
      </c>
      <c r="E72" s="218">
        <v>1200.0</v>
      </c>
      <c r="F72" s="218">
        <v>0.0</v>
      </c>
      <c r="G72" s="218">
        <v>0.0</v>
      </c>
      <c r="H72" s="223">
        <v>1200.0</v>
      </c>
      <c r="J72" s="223" t="s">
        <v>52</v>
      </c>
      <c r="K72" s="317">
        <v>2021.11</v>
      </c>
    </row>
    <row r="73">
      <c r="A73" s="223" t="s">
        <v>42</v>
      </c>
      <c r="B73" s="223" t="s">
        <v>1236</v>
      </c>
      <c r="C73" s="223" t="s">
        <v>1156</v>
      </c>
      <c r="D73" s="316">
        <v>44501.0</v>
      </c>
      <c r="E73" s="218">
        <v>1500.0</v>
      </c>
      <c r="F73" s="218">
        <v>46.67</v>
      </c>
      <c r="G73" s="218">
        <v>217.99949999999998</v>
      </c>
      <c r="H73" s="223">
        <v>1235.3305</v>
      </c>
      <c r="J73" s="223" t="s">
        <v>52</v>
      </c>
      <c r="K73" s="317">
        <v>2021.11</v>
      </c>
    </row>
    <row r="74">
      <c r="A74" s="223" t="s">
        <v>58</v>
      </c>
      <c r="B74" s="223" t="s">
        <v>1197</v>
      </c>
      <c r="C74" s="223" t="s">
        <v>1156</v>
      </c>
      <c r="D74" s="316">
        <v>44501.0</v>
      </c>
      <c r="E74" s="218">
        <v>2350.0</v>
      </c>
      <c r="F74" s="218">
        <v>73.11</v>
      </c>
      <c r="G74" s="218">
        <v>0.0</v>
      </c>
      <c r="H74" s="223">
        <v>2276.89</v>
      </c>
      <c r="J74" s="223" t="s">
        <v>52</v>
      </c>
      <c r="K74" s="317">
        <v>2021.11</v>
      </c>
    </row>
    <row r="75">
      <c r="A75" s="223" t="s">
        <v>82</v>
      </c>
      <c r="B75" s="223" t="s">
        <v>1124</v>
      </c>
      <c r="C75" s="223" t="s">
        <v>1156</v>
      </c>
      <c r="D75" s="316">
        <v>44501.0</v>
      </c>
      <c r="E75" s="218">
        <v>800.0</v>
      </c>
      <c r="F75" s="218">
        <v>0.0</v>
      </c>
      <c r="G75" s="218">
        <v>0.0</v>
      </c>
      <c r="H75" s="223">
        <v>800.0</v>
      </c>
      <c r="J75" s="223" t="s">
        <v>52</v>
      </c>
      <c r="K75" s="317">
        <v>2021.11</v>
      </c>
    </row>
    <row r="76">
      <c r="A76" s="223" t="s">
        <v>84</v>
      </c>
      <c r="B76" s="223" t="s">
        <v>1227</v>
      </c>
      <c r="C76" s="223" t="s">
        <v>1156</v>
      </c>
      <c r="D76" s="316">
        <v>44501.0</v>
      </c>
      <c r="E76" s="218">
        <v>1000.0</v>
      </c>
      <c r="F76" s="218">
        <v>0.0</v>
      </c>
      <c r="G76" s="218">
        <v>0.0</v>
      </c>
      <c r="H76" s="223">
        <v>1000.0</v>
      </c>
      <c r="J76" s="223" t="s">
        <v>52</v>
      </c>
      <c r="K76" s="317">
        <v>2021.11</v>
      </c>
    </row>
    <row r="77">
      <c r="A77" s="223" t="s">
        <v>86</v>
      </c>
      <c r="B77" s="223" t="s">
        <v>1235</v>
      </c>
      <c r="C77" s="223" t="s">
        <v>1156</v>
      </c>
      <c r="D77" s="316">
        <v>44501.0</v>
      </c>
      <c r="E77" s="218">
        <v>550.0</v>
      </c>
      <c r="F77" s="223">
        <v>21.67</v>
      </c>
      <c r="G77" s="218">
        <v>0.0</v>
      </c>
      <c r="H77" s="223">
        <v>528.33</v>
      </c>
      <c r="J77" s="223" t="s">
        <v>52</v>
      </c>
      <c r="K77" s="317">
        <v>2021.11</v>
      </c>
    </row>
    <row r="78">
      <c r="A78" s="223" t="s">
        <v>88</v>
      </c>
      <c r="B78" s="223" t="s">
        <v>1256</v>
      </c>
      <c r="C78" s="223" t="s">
        <v>1156</v>
      </c>
      <c r="D78" s="316">
        <v>44501.0</v>
      </c>
      <c r="E78" s="218">
        <v>500.0</v>
      </c>
      <c r="F78" s="223">
        <v>15.53</v>
      </c>
      <c r="G78" s="218">
        <v>0.0</v>
      </c>
      <c r="H78" s="223">
        <v>484.47</v>
      </c>
      <c r="J78" s="223" t="s">
        <v>52</v>
      </c>
      <c r="K78" s="317">
        <v>2021.11</v>
      </c>
    </row>
    <row r="79">
      <c r="A79" s="223" t="s">
        <v>90</v>
      </c>
      <c r="B79" s="223" t="s">
        <v>1282</v>
      </c>
      <c r="C79" s="223" t="s">
        <v>1156</v>
      </c>
      <c r="D79" s="316">
        <v>44501.0</v>
      </c>
      <c r="E79" s="218">
        <v>250.0</v>
      </c>
      <c r="F79" s="218">
        <v>7.78</v>
      </c>
      <c r="G79" s="218">
        <v>0.0</v>
      </c>
      <c r="H79" s="223">
        <v>242.22</v>
      </c>
      <c r="J79" s="223" t="s">
        <v>52</v>
      </c>
      <c r="K79" s="317">
        <v>2021.11</v>
      </c>
    </row>
    <row r="80">
      <c r="A80" s="223" t="s">
        <v>92</v>
      </c>
      <c r="B80" s="223" t="s">
        <v>1289</v>
      </c>
      <c r="C80" s="223" t="s">
        <v>1156</v>
      </c>
      <c r="D80" s="316">
        <v>44501.0</v>
      </c>
      <c r="E80" s="218">
        <v>2500.0</v>
      </c>
      <c r="F80" s="218">
        <v>77.78</v>
      </c>
      <c r="G80" s="218">
        <v>0.0</v>
      </c>
      <c r="H80" s="223">
        <v>2422.22</v>
      </c>
      <c r="J80" s="223" t="s">
        <v>52</v>
      </c>
      <c r="K80" s="317">
        <v>2021.11</v>
      </c>
    </row>
    <row r="81">
      <c r="A81" s="223" t="s">
        <v>147</v>
      </c>
      <c r="B81" s="223" t="s">
        <v>1194</v>
      </c>
      <c r="C81" s="223" t="s">
        <v>1156</v>
      </c>
      <c r="D81" s="316">
        <v>44501.0</v>
      </c>
      <c r="E81" s="218">
        <v>900.0</v>
      </c>
      <c r="F81" s="218">
        <v>28.0</v>
      </c>
      <c r="G81" s="218">
        <v>0.0</v>
      </c>
      <c r="H81" s="223">
        <v>872.0</v>
      </c>
      <c r="J81" s="223" t="s">
        <v>52</v>
      </c>
      <c r="K81" s="317">
        <v>2021.11</v>
      </c>
    </row>
    <row r="82">
      <c r="A82" s="223" t="s">
        <v>97</v>
      </c>
      <c r="B82" s="223" t="s">
        <v>1286</v>
      </c>
      <c r="C82" s="223" t="s">
        <v>1156</v>
      </c>
      <c r="D82" s="316">
        <v>44501.0</v>
      </c>
      <c r="E82" s="218">
        <v>300.0</v>
      </c>
      <c r="F82" s="218">
        <v>9.33</v>
      </c>
      <c r="G82" s="218">
        <v>0.0</v>
      </c>
      <c r="H82" s="223">
        <v>290.67</v>
      </c>
      <c r="J82" s="223" t="s">
        <v>52</v>
      </c>
      <c r="K82" s="317">
        <v>2021.11</v>
      </c>
    </row>
    <row r="83">
      <c r="A83" s="223" t="s">
        <v>60</v>
      </c>
      <c r="B83" s="223" t="s">
        <v>1185</v>
      </c>
      <c r="C83" s="223" t="s">
        <v>1168</v>
      </c>
      <c r="D83" s="316">
        <v>44531.0</v>
      </c>
      <c r="E83" s="218">
        <v>2650.0</v>
      </c>
      <c r="F83" s="218">
        <v>82.44</v>
      </c>
      <c r="G83" s="218">
        <v>0.0</v>
      </c>
      <c r="H83" s="223">
        <v>2567.56</v>
      </c>
      <c r="J83" s="223" t="s">
        <v>45</v>
      </c>
      <c r="K83" s="317">
        <v>2021.0</v>
      </c>
    </row>
    <row r="84">
      <c r="A84" s="223" t="s">
        <v>148</v>
      </c>
      <c r="B84" s="223" t="s">
        <v>1239</v>
      </c>
      <c r="C84" s="223" t="s">
        <v>1190</v>
      </c>
      <c r="D84" s="316">
        <v>44531.0</v>
      </c>
      <c r="E84" s="218">
        <v>599.0</v>
      </c>
      <c r="F84" s="218">
        <v>18.67</v>
      </c>
      <c r="G84" s="218">
        <v>0.0</v>
      </c>
      <c r="H84" s="223">
        <v>580.33</v>
      </c>
      <c r="J84" s="223" t="s">
        <v>142</v>
      </c>
      <c r="K84" s="317">
        <v>2021.0</v>
      </c>
    </row>
    <row r="85">
      <c r="A85" s="223" t="s">
        <v>149</v>
      </c>
      <c r="B85" s="223" t="s">
        <v>1191</v>
      </c>
      <c r="C85" s="223" t="s">
        <v>1190</v>
      </c>
      <c r="D85" s="316">
        <v>44531.0</v>
      </c>
      <c r="E85" s="218">
        <v>600.0</v>
      </c>
      <c r="F85" s="218">
        <v>18.67</v>
      </c>
      <c r="G85" s="218">
        <v>0.0</v>
      </c>
      <c r="H85" s="223">
        <v>581.33</v>
      </c>
      <c r="J85" s="223" t="s">
        <v>142</v>
      </c>
      <c r="K85" s="317">
        <v>2021.0</v>
      </c>
    </row>
    <row r="86">
      <c r="A86" s="223" t="s">
        <v>62</v>
      </c>
      <c r="B86" s="223" t="s">
        <v>1304</v>
      </c>
      <c r="C86" s="223" t="s">
        <v>1156</v>
      </c>
      <c r="D86" s="316">
        <v>44545.0</v>
      </c>
      <c r="E86" s="218">
        <v>1600.0</v>
      </c>
      <c r="F86" s="218">
        <v>49.78</v>
      </c>
      <c r="G86" s="218">
        <v>0.0</v>
      </c>
      <c r="H86" s="223">
        <v>1550.22</v>
      </c>
      <c r="J86" s="223" t="s">
        <v>52</v>
      </c>
      <c r="K86" s="317">
        <v>2021.12</v>
      </c>
    </row>
    <row r="87">
      <c r="A87" s="223" t="s">
        <v>68</v>
      </c>
      <c r="B87" s="223" t="s">
        <v>1178</v>
      </c>
      <c r="C87" s="223" t="s">
        <v>1156</v>
      </c>
      <c r="D87" s="316">
        <v>44545.0</v>
      </c>
      <c r="E87" s="218">
        <v>650.0</v>
      </c>
      <c r="F87" s="218">
        <v>20.09</v>
      </c>
      <c r="G87" s="218">
        <v>0.0</v>
      </c>
      <c r="H87" s="223">
        <v>629.91</v>
      </c>
      <c r="J87" s="223" t="s">
        <v>52</v>
      </c>
      <c r="K87" s="317">
        <v>2021.12</v>
      </c>
    </row>
    <row r="88">
      <c r="A88" s="223" t="s">
        <v>64</v>
      </c>
      <c r="B88" s="223" t="s">
        <v>1245</v>
      </c>
      <c r="C88" s="223" t="s">
        <v>1156</v>
      </c>
      <c r="D88" s="316">
        <v>44531.0</v>
      </c>
      <c r="E88" s="218">
        <v>500.0</v>
      </c>
      <c r="F88" s="218"/>
      <c r="G88" s="218">
        <v>0.0</v>
      </c>
      <c r="H88" s="223">
        <v>500.0</v>
      </c>
      <c r="J88" s="223" t="s">
        <v>52</v>
      </c>
      <c r="K88" s="317">
        <v>2021.12</v>
      </c>
    </row>
    <row r="89">
      <c r="A89" s="223" t="s">
        <v>151</v>
      </c>
      <c r="B89" s="223" t="s">
        <v>1262</v>
      </c>
      <c r="C89" s="223" t="s">
        <v>1156</v>
      </c>
      <c r="D89" s="316">
        <v>44470.0</v>
      </c>
      <c r="E89" s="218">
        <v>798.5912999999999</v>
      </c>
      <c r="F89" s="218">
        <v>29.9164587</v>
      </c>
      <c r="G89" s="218">
        <v>0.0</v>
      </c>
      <c r="H89" s="223">
        <v>768.6748412999999</v>
      </c>
      <c r="J89" s="223" t="s">
        <v>52</v>
      </c>
      <c r="K89" s="317">
        <v>2021.1</v>
      </c>
    </row>
    <row r="90">
      <c r="A90" s="223" t="s">
        <v>105</v>
      </c>
      <c r="B90" s="223" t="s">
        <v>1280</v>
      </c>
      <c r="C90" s="223" t="s">
        <v>2308</v>
      </c>
      <c r="D90" s="316">
        <v>44501.0</v>
      </c>
      <c r="E90" s="218">
        <v>360.37</v>
      </c>
      <c r="F90" s="218">
        <v>13.69</v>
      </c>
      <c r="G90" s="218">
        <v>0.0</v>
      </c>
      <c r="H90" s="223">
        <v>346.68</v>
      </c>
      <c r="J90" s="223" t="s">
        <v>142</v>
      </c>
      <c r="K90" s="317">
        <v>2021.0</v>
      </c>
    </row>
    <row r="91">
      <c r="A91" s="223" t="s">
        <v>156</v>
      </c>
      <c r="B91" s="223" t="s">
        <v>1293</v>
      </c>
      <c r="C91" s="223" t="s">
        <v>1156</v>
      </c>
      <c r="D91" s="316">
        <v>44501.0</v>
      </c>
      <c r="E91" s="218">
        <v>544.24</v>
      </c>
      <c r="F91" s="218">
        <v>20.5</v>
      </c>
      <c r="G91" s="218">
        <v>104.748</v>
      </c>
      <c r="H91" s="223">
        <v>418.992</v>
      </c>
      <c r="J91" s="223" t="s">
        <v>52</v>
      </c>
      <c r="K91" s="317">
        <v>2021.11</v>
      </c>
    </row>
    <row r="92">
      <c r="A92" s="223" t="s">
        <v>159</v>
      </c>
      <c r="B92" s="223" t="s">
        <v>1200</v>
      </c>
      <c r="C92" s="223" t="s">
        <v>1201</v>
      </c>
      <c r="D92" s="316">
        <v>44501.0</v>
      </c>
      <c r="E92" s="218">
        <v>1177.62</v>
      </c>
      <c r="F92" s="218">
        <v>0.0</v>
      </c>
      <c r="G92" s="218">
        <v>0.0</v>
      </c>
      <c r="H92" s="223">
        <v>1177.62</v>
      </c>
      <c r="J92" s="223" t="s">
        <v>31</v>
      </c>
      <c r="K92" s="317">
        <v>2021.0</v>
      </c>
    </row>
    <row r="93">
      <c r="A93" s="223" t="s">
        <v>162</v>
      </c>
      <c r="B93" s="223" t="s">
        <v>1200</v>
      </c>
      <c r="C93" s="223" t="s">
        <v>1202</v>
      </c>
      <c r="D93" s="316">
        <v>44501.0</v>
      </c>
      <c r="E93" s="218">
        <v>1177.62</v>
      </c>
      <c r="F93" s="218">
        <v>0.0</v>
      </c>
      <c r="G93" s="218">
        <v>0.0</v>
      </c>
      <c r="H93" s="223">
        <v>1177.62</v>
      </c>
      <c r="J93" s="223" t="s">
        <v>31</v>
      </c>
      <c r="K93" s="317">
        <v>2021.0</v>
      </c>
    </row>
    <row r="94">
      <c r="A94" s="223" t="s">
        <v>102</v>
      </c>
      <c r="B94" s="223" t="s">
        <v>1259</v>
      </c>
      <c r="C94" s="223" t="s">
        <v>1156</v>
      </c>
      <c r="D94" s="316">
        <v>44501.0</v>
      </c>
      <c r="E94" s="218">
        <v>620.0</v>
      </c>
      <c r="F94" s="218">
        <v>23.3</v>
      </c>
      <c r="G94" s="218">
        <v>0.0</v>
      </c>
      <c r="H94" s="223">
        <v>596.7</v>
      </c>
      <c r="J94" s="223" t="s">
        <v>52</v>
      </c>
      <c r="K94" s="317">
        <v>2021.11</v>
      </c>
    </row>
    <row r="95">
      <c r="A95" s="223" t="s">
        <v>99</v>
      </c>
      <c r="B95" s="223" t="s">
        <v>1192</v>
      </c>
      <c r="C95" s="223" t="s">
        <v>1156</v>
      </c>
      <c r="D95" s="316">
        <v>44501.0</v>
      </c>
      <c r="E95" s="218">
        <v>1581.0</v>
      </c>
      <c r="F95" s="218">
        <v>58.86</v>
      </c>
      <c r="G95" s="218">
        <v>304.42800000000005</v>
      </c>
      <c r="H95" s="223">
        <v>1217.712</v>
      </c>
      <c r="J95" s="223" t="s">
        <v>52</v>
      </c>
      <c r="K95" s="317">
        <v>2021.11</v>
      </c>
    </row>
    <row r="96">
      <c r="A96" s="223" t="s">
        <v>166</v>
      </c>
      <c r="B96" s="223" t="s">
        <v>1259</v>
      </c>
      <c r="C96" s="223" t="s">
        <v>1168</v>
      </c>
      <c r="D96" s="316">
        <v>44501.0</v>
      </c>
      <c r="E96" s="218">
        <v>1226.0</v>
      </c>
      <c r="F96" s="218">
        <v>45.75</v>
      </c>
      <c r="G96" s="218">
        <v>0.0</v>
      </c>
      <c r="H96" s="223">
        <v>1180.25</v>
      </c>
      <c r="J96" s="223" t="s">
        <v>31</v>
      </c>
      <c r="K96" s="317">
        <v>2021.0</v>
      </c>
    </row>
    <row r="97">
      <c r="A97" s="223" t="s">
        <v>112</v>
      </c>
      <c r="B97" s="223" t="s">
        <v>1296</v>
      </c>
      <c r="C97" s="223" t="s">
        <v>2309</v>
      </c>
      <c r="D97" s="316">
        <v>44501.0</v>
      </c>
      <c r="E97" s="218">
        <v>864.0</v>
      </c>
      <c r="F97" s="223">
        <v>32.34</v>
      </c>
      <c r="G97" s="218">
        <v>0.0</v>
      </c>
      <c r="H97" s="223">
        <v>831.66</v>
      </c>
      <c r="J97" s="223" t="s">
        <v>52</v>
      </c>
      <c r="K97" s="317">
        <v>2021.11</v>
      </c>
    </row>
    <row r="98">
      <c r="A98" s="223" t="s">
        <v>115</v>
      </c>
      <c r="B98" s="223" t="s">
        <v>1308</v>
      </c>
      <c r="C98" s="223" t="s">
        <v>1156</v>
      </c>
      <c r="D98" s="316">
        <v>44501.0</v>
      </c>
      <c r="E98" s="218">
        <v>2451.025</v>
      </c>
      <c r="F98" s="218">
        <v>0.0</v>
      </c>
      <c r="G98" s="218">
        <v>0.0</v>
      </c>
      <c r="H98" s="223">
        <v>2451.025</v>
      </c>
      <c r="J98" s="223" t="s">
        <v>52</v>
      </c>
      <c r="K98" s="317">
        <v>2021.11</v>
      </c>
    </row>
    <row r="99">
      <c r="A99" s="223" t="s">
        <v>118</v>
      </c>
      <c r="B99" s="223" t="s">
        <v>1312</v>
      </c>
      <c r="C99" s="223" t="s">
        <v>1156</v>
      </c>
      <c r="D99" s="316">
        <v>44501.0</v>
      </c>
      <c r="E99" s="218">
        <v>2451.025</v>
      </c>
      <c r="F99" s="218">
        <v>0.0</v>
      </c>
      <c r="G99" s="218">
        <v>0.0</v>
      </c>
      <c r="H99" s="223">
        <v>2451.025</v>
      </c>
      <c r="J99" s="223" t="s">
        <v>52</v>
      </c>
      <c r="K99" s="317">
        <v>2021.11</v>
      </c>
    </row>
    <row r="100">
      <c r="A100" s="223" t="s">
        <v>151</v>
      </c>
      <c r="B100" s="223" t="s">
        <v>1262</v>
      </c>
      <c r="C100" s="223" t="s">
        <v>1156</v>
      </c>
      <c r="D100" s="316">
        <v>44501.0</v>
      </c>
      <c r="E100" s="218">
        <v>798.5912999999999</v>
      </c>
      <c r="F100" s="218">
        <v>29.9164587</v>
      </c>
      <c r="G100" s="218">
        <v>0.0</v>
      </c>
      <c r="H100" s="223">
        <v>768.6748412999999</v>
      </c>
      <c r="J100" s="223" t="s">
        <v>52</v>
      </c>
      <c r="K100" s="317">
        <v>2021.11</v>
      </c>
    </row>
    <row r="101">
      <c r="A101" s="223" t="s">
        <v>120</v>
      </c>
      <c r="B101" s="223" t="s">
        <v>1215</v>
      </c>
      <c r="C101" s="223" t="s">
        <v>1156</v>
      </c>
      <c r="D101" s="316">
        <v>44501.0</v>
      </c>
      <c r="E101" s="218">
        <v>1817.586</v>
      </c>
      <c r="F101" s="218">
        <v>67.6141992</v>
      </c>
      <c r="G101" s="218">
        <v>349.99436016000004</v>
      </c>
      <c r="H101" s="223">
        <v>1399.97744064</v>
      </c>
      <c r="J101" s="223" t="s">
        <v>52</v>
      </c>
      <c r="K101" s="317">
        <v>2021.11</v>
      </c>
    </row>
    <row r="102">
      <c r="A102" s="223" t="s">
        <v>123</v>
      </c>
      <c r="B102" s="223" t="s">
        <v>1300</v>
      </c>
      <c r="C102" s="223" t="s">
        <v>1156</v>
      </c>
      <c r="D102" s="316">
        <v>44501.0</v>
      </c>
      <c r="E102" s="218">
        <v>6764.25</v>
      </c>
      <c r="F102" s="218">
        <v>250.65</v>
      </c>
      <c r="G102" s="218">
        <v>1302.7200000000003</v>
      </c>
      <c r="H102" s="223">
        <v>5210.88</v>
      </c>
      <c r="J102" s="223" t="s">
        <v>52</v>
      </c>
      <c r="K102" s="317">
        <v>2021.11</v>
      </c>
    </row>
    <row r="103">
      <c r="A103" s="223" t="s">
        <v>105</v>
      </c>
      <c r="B103" s="223" t="s">
        <v>1280</v>
      </c>
      <c r="C103" s="223" t="s">
        <v>2308</v>
      </c>
      <c r="D103" s="316">
        <v>44501.0</v>
      </c>
      <c r="E103" s="218">
        <v>370.06</v>
      </c>
      <c r="F103" s="218">
        <v>14.06</v>
      </c>
      <c r="G103" s="218">
        <v>0.0</v>
      </c>
      <c r="H103" s="223">
        <v>356.0</v>
      </c>
      <c r="J103" s="223" t="s">
        <v>142</v>
      </c>
      <c r="K103" s="317">
        <v>2021.0</v>
      </c>
    </row>
    <row r="104">
      <c r="A104" s="223" t="s">
        <v>177</v>
      </c>
      <c r="B104" s="223" t="s">
        <v>1233</v>
      </c>
      <c r="C104" s="223" t="s">
        <v>1234</v>
      </c>
      <c r="D104" s="316">
        <v>44531.0</v>
      </c>
      <c r="E104" s="218">
        <v>1284.0</v>
      </c>
      <c r="F104" s="218">
        <v>47.87</v>
      </c>
      <c r="G104" s="218">
        <v>0.0</v>
      </c>
      <c r="H104" s="223">
        <v>1236.13</v>
      </c>
      <c r="J104" s="223" t="s">
        <v>31</v>
      </c>
      <c r="K104" s="317">
        <v>2021.0</v>
      </c>
    </row>
    <row r="105">
      <c r="A105" s="223" t="s">
        <v>180</v>
      </c>
      <c r="B105" s="223" t="s">
        <v>1158</v>
      </c>
      <c r="C105" s="223" t="s">
        <v>1163</v>
      </c>
      <c r="D105" s="316">
        <v>44545.0</v>
      </c>
      <c r="E105" s="218">
        <v>147.43224</v>
      </c>
      <c r="F105" s="218">
        <v>5.82357348</v>
      </c>
      <c r="G105" s="218">
        <v>0.0</v>
      </c>
      <c r="H105" s="223">
        <v>141.60866652</v>
      </c>
      <c r="J105" s="223" t="s">
        <v>183</v>
      </c>
      <c r="K105" s="317">
        <v>2021.0</v>
      </c>
    </row>
    <row r="106">
      <c r="A106" s="223" t="s">
        <v>156</v>
      </c>
      <c r="B106" s="223" t="s">
        <v>1293</v>
      </c>
      <c r="C106" s="223" t="s">
        <v>1156</v>
      </c>
      <c r="D106" s="316">
        <v>44531.0</v>
      </c>
      <c r="E106" s="218">
        <v>612.6034999999999</v>
      </c>
      <c r="F106" s="218">
        <v>23.0338916</v>
      </c>
      <c r="G106" s="218">
        <v>117.91392168</v>
      </c>
      <c r="H106" s="223">
        <v>471.65568672</v>
      </c>
      <c r="J106" s="223" t="s">
        <v>52</v>
      </c>
      <c r="K106" s="317">
        <v>2021.12</v>
      </c>
    </row>
    <row r="107">
      <c r="A107" s="223" t="s">
        <v>159</v>
      </c>
      <c r="B107" s="223" t="s">
        <v>1200</v>
      </c>
      <c r="C107" s="223" t="s">
        <v>1201</v>
      </c>
      <c r="D107" s="316">
        <v>44531.0</v>
      </c>
      <c r="E107" s="218">
        <v>1155.865</v>
      </c>
      <c r="F107" s="218">
        <v>0.0</v>
      </c>
      <c r="G107" s="218">
        <v>0.0</v>
      </c>
      <c r="H107" s="223">
        <v>1155.865</v>
      </c>
      <c r="J107" s="223" t="s">
        <v>45</v>
      </c>
      <c r="K107" s="317">
        <v>2021.0</v>
      </c>
    </row>
    <row r="108">
      <c r="A108" s="223" t="s">
        <v>162</v>
      </c>
      <c r="B108" s="223" t="s">
        <v>1200</v>
      </c>
      <c r="C108" s="223" t="s">
        <v>1202</v>
      </c>
      <c r="D108" s="316">
        <v>44531.0</v>
      </c>
      <c r="E108" s="218">
        <v>1155.865</v>
      </c>
      <c r="F108" s="218">
        <v>0.0</v>
      </c>
      <c r="G108" s="218">
        <v>0.0</v>
      </c>
      <c r="H108" s="223">
        <v>1155.865</v>
      </c>
      <c r="J108" s="223" t="s">
        <v>45</v>
      </c>
      <c r="K108" s="317">
        <v>2021.0</v>
      </c>
    </row>
    <row r="109">
      <c r="A109" s="223" t="s">
        <v>102</v>
      </c>
      <c r="B109" s="223" t="s">
        <v>1259</v>
      </c>
      <c r="C109" s="223" t="s">
        <v>1156</v>
      </c>
      <c r="D109" s="316">
        <v>44531.0</v>
      </c>
      <c r="E109" s="218">
        <v>615.5135</v>
      </c>
      <c r="F109" s="218">
        <v>23.007894630000003</v>
      </c>
      <c r="G109" s="218">
        <v>0.0</v>
      </c>
      <c r="H109" s="223">
        <v>592.50560537</v>
      </c>
      <c r="J109" s="223" t="s">
        <v>52</v>
      </c>
      <c r="K109" s="317">
        <v>2021.12</v>
      </c>
    </row>
    <row r="110">
      <c r="A110" s="223" t="s">
        <v>99</v>
      </c>
      <c r="B110" s="223" t="s">
        <v>1192</v>
      </c>
      <c r="C110" s="223" t="s">
        <v>1156</v>
      </c>
      <c r="D110" s="316">
        <v>44531.0</v>
      </c>
      <c r="E110" s="218">
        <v>1609.0</v>
      </c>
      <c r="F110" s="218">
        <v>59.31</v>
      </c>
      <c r="G110" s="218">
        <v>309.93800000000005</v>
      </c>
      <c r="H110" s="223">
        <v>1239.752</v>
      </c>
      <c r="J110" s="223" t="s">
        <v>52</v>
      </c>
      <c r="K110" s="317">
        <v>2021.12</v>
      </c>
    </row>
    <row r="111">
      <c r="A111" s="223" t="s">
        <v>189</v>
      </c>
      <c r="B111" s="223" t="s">
        <v>1158</v>
      </c>
      <c r="C111" s="223" t="s">
        <v>1159</v>
      </c>
      <c r="D111" s="316">
        <v>44547.0</v>
      </c>
      <c r="E111" s="218">
        <v>1235.95848</v>
      </c>
      <c r="F111" s="218">
        <v>46.09398096</v>
      </c>
      <c r="G111" s="218">
        <v>0.0</v>
      </c>
      <c r="H111" s="223">
        <v>1189.86449904</v>
      </c>
      <c r="J111" s="223" t="s">
        <v>48</v>
      </c>
      <c r="K111" s="317">
        <v>2021.0</v>
      </c>
    </row>
    <row r="112">
      <c r="A112" s="223" t="s">
        <v>108</v>
      </c>
      <c r="B112" s="223" t="s">
        <v>1287</v>
      </c>
      <c r="C112" s="223" t="s">
        <v>1288</v>
      </c>
      <c r="D112" s="316">
        <v>44552.0</v>
      </c>
      <c r="E112" s="218">
        <v>39.571732000000004</v>
      </c>
      <c r="F112" s="218">
        <v>0.0</v>
      </c>
      <c r="G112" s="218">
        <v>0.0</v>
      </c>
      <c r="H112" s="223">
        <v>39.571732000000004</v>
      </c>
      <c r="J112" s="223" t="s">
        <v>52</v>
      </c>
      <c r="K112" s="317">
        <v>2021.12</v>
      </c>
    </row>
    <row r="113">
      <c r="A113" s="223" t="s">
        <v>166</v>
      </c>
      <c r="B113" s="223" t="s">
        <v>1259</v>
      </c>
      <c r="C113" s="223" t="s">
        <v>1168</v>
      </c>
      <c r="D113" s="316">
        <v>44561.0</v>
      </c>
      <c r="E113" s="218">
        <v>1227.632</v>
      </c>
      <c r="F113" s="218">
        <v>45.7906736</v>
      </c>
      <c r="G113" s="218">
        <v>0.0</v>
      </c>
      <c r="H113" s="223">
        <v>1181.8413264</v>
      </c>
      <c r="J113" s="223" t="s">
        <v>45</v>
      </c>
      <c r="K113" s="317">
        <v>2021.12</v>
      </c>
    </row>
    <row r="114">
      <c r="A114" s="223" t="s">
        <v>177</v>
      </c>
      <c r="B114" s="223" t="s">
        <v>1233</v>
      </c>
      <c r="C114" s="223" t="s">
        <v>1234</v>
      </c>
      <c r="D114" s="316">
        <v>44635.0</v>
      </c>
      <c r="E114" s="218">
        <v>1296.603753</v>
      </c>
      <c r="F114" s="218">
        <v>48.37186494</v>
      </c>
      <c r="G114" s="218">
        <v>0.0</v>
      </c>
      <c r="H114" s="223">
        <v>1248.23188806</v>
      </c>
      <c r="J114" s="223" t="s">
        <v>196</v>
      </c>
      <c r="K114" s="317">
        <v>2022.0</v>
      </c>
    </row>
    <row r="115">
      <c r="A115" s="223" t="s">
        <v>135</v>
      </c>
      <c r="B115" s="223" t="s">
        <v>1311</v>
      </c>
      <c r="C115" s="223" t="s">
        <v>1168</v>
      </c>
      <c r="D115" s="316">
        <v>44575.0</v>
      </c>
      <c r="E115" s="218">
        <v>1900.0</v>
      </c>
      <c r="F115" s="218">
        <v>0.0</v>
      </c>
      <c r="G115" s="218">
        <v>0.0</v>
      </c>
      <c r="H115" s="223">
        <v>1900.0</v>
      </c>
      <c r="J115" s="223" t="s">
        <v>45</v>
      </c>
      <c r="K115" s="317">
        <v>2022.0</v>
      </c>
    </row>
    <row r="116">
      <c r="A116" s="223" t="s">
        <v>37</v>
      </c>
      <c r="B116" s="223" t="s">
        <v>1244</v>
      </c>
      <c r="C116" s="223" t="s">
        <v>1168</v>
      </c>
      <c r="D116" s="316"/>
      <c r="E116" s="218">
        <v>750.0</v>
      </c>
      <c r="F116" s="218"/>
      <c r="G116" s="218">
        <v>0.0</v>
      </c>
      <c r="H116" s="223">
        <v>750.0</v>
      </c>
      <c r="J116" s="223" t="s">
        <v>198</v>
      </c>
      <c r="K116" s="317">
        <v>1899.0</v>
      </c>
    </row>
    <row r="117">
      <c r="A117" s="223" t="s">
        <v>33</v>
      </c>
      <c r="B117" s="223" t="s">
        <v>1294</v>
      </c>
      <c r="C117" s="223" t="s">
        <v>1168</v>
      </c>
      <c r="D117" s="316">
        <v>44561.0</v>
      </c>
      <c r="E117" s="218">
        <v>3904.4294170200005</v>
      </c>
      <c r="F117" s="218">
        <v>144.82183129000003</v>
      </c>
      <c r="G117" s="218">
        <v>0.0</v>
      </c>
      <c r="H117" s="223">
        <v>3759.6075857300007</v>
      </c>
      <c r="J117" s="223" t="s">
        <v>202</v>
      </c>
      <c r="K117" s="317">
        <v>2021.0</v>
      </c>
    </row>
    <row r="118">
      <c r="A118" s="223" t="s">
        <v>203</v>
      </c>
      <c r="B118" s="223" t="s">
        <v>1200</v>
      </c>
      <c r="C118" s="223" t="s">
        <v>1203</v>
      </c>
      <c r="D118" s="316">
        <v>44561.0</v>
      </c>
      <c r="E118" s="218">
        <v>1538.6250000000002</v>
      </c>
      <c r="F118" s="218">
        <v>0.0</v>
      </c>
      <c r="G118" s="218">
        <v>0.0</v>
      </c>
      <c r="H118" s="223">
        <v>1538.6250000000002</v>
      </c>
      <c r="J118" s="223" t="s">
        <v>31</v>
      </c>
      <c r="K118" s="317">
        <v>2021.0</v>
      </c>
    </row>
    <row r="119">
      <c r="A119" s="223" t="s">
        <v>203</v>
      </c>
      <c r="B119" s="223" t="s">
        <v>1200</v>
      </c>
      <c r="C119" s="223" t="s">
        <v>1203</v>
      </c>
      <c r="D119" s="316">
        <v>44635.0</v>
      </c>
      <c r="E119" s="218">
        <v>1556.1249999999998</v>
      </c>
      <c r="F119" s="218">
        <v>0.0</v>
      </c>
      <c r="G119" s="218">
        <v>0.0</v>
      </c>
      <c r="H119" s="223">
        <v>1556.1249999999998</v>
      </c>
      <c r="J119" s="223" t="s">
        <v>45</v>
      </c>
      <c r="K119" s="317">
        <v>2022.0</v>
      </c>
    </row>
    <row r="120">
      <c r="A120" s="223" t="s">
        <v>208</v>
      </c>
      <c r="B120" s="223" t="s">
        <v>1189</v>
      </c>
      <c r="C120" s="223" t="s">
        <v>1190</v>
      </c>
      <c r="D120" s="316">
        <v>44561.0</v>
      </c>
      <c r="E120" s="218">
        <v>600.0</v>
      </c>
      <c r="F120" s="218">
        <v>0.0</v>
      </c>
      <c r="G120" s="218">
        <v>0.0</v>
      </c>
      <c r="H120" s="223">
        <v>600.0</v>
      </c>
      <c r="J120" s="223" t="s">
        <v>210</v>
      </c>
      <c r="K120" s="317">
        <v>2021.0</v>
      </c>
    </row>
    <row r="121">
      <c r="A121" s="223" t="s">
        <v>54</v>
      </c>
      <c r="B121" s="223" t="s">
        <v>1187</v>
      </c>
      <c r="C121" s="223" t="s">
        <v>1156</v>
      </c>
      <c r="D121" s="316">
        <v>44561.0</v>
      </c>
      <c r="E121" s="218">
        <v>750.0</v>
      </c>
      <c r="F121" s="218">
        <v>23.33</v>
      </c>
      <c r="G121" s="218">
        <v>0.0</v>
      </c>
      <c r="H121" s="223">
        <v>726.67</v>
      </c>
      <c r="J121" s="223" t="s">
        <v>52</v>
      </c>
      <c r="K121" s="317">
        <v>2021.12</v>
      </c>
    </row>
    <row r="122">
      <c r="A122" s="223" t="s">
        <v>147</v>
      </c>
      <c r="B122" s="223" t="s">
        <v>1194</v>
      </c>
      <c r="C122" s="223" t="s">
        <v>1156</v>
      </c>
      <c r="D122" s="316">
        <v>44561.0</v>
      </c>
      <c r="E122" s="218">
        <v>900.0</v>
      </c>
      <c r="F122" s="218">
        <v>28.0</v>
      </c>
      <c r="G122" s="218">
        <v>0.0</v>
      </c>
      <c r="H122" s="223">
        <v>872.0</v>
      </c>
      <c r="J122" s="223" t="s">
        <v>52</v>
      </c>
      <c r="K122" s="317">
        <v>2021.12</v>
      </c>
    </row>
    <row r="123">
      <c r="A123" s="223" t="s">
        <v>58</v>
      </c>
      <c r="B123" s="223" t="s">
        <v>1197</v>
      </c>
      <c r="C123" s="223" t="s">
        <v>1156</v>
      </c>
      <c r="D123" s="316">
        <v>44561.0</v>
      </c>
      <c r="E123" s="218">
        <v>1550.0</v>
      </c>
      <c r="F123" s="218">
        <v>48.22</v>
      </c>
      <c r="G123" s="218">
        <v>0.0</v>
      </c>
      <c r="H123" s="223">
        <v>1501.78</v>
      </c>
      <c r="J123" s="223" t="s">
        <v>52</v>
      </c>
      <c r="K123" s="317">
        <v>2021.12</v>
      </c>
    </row>
    <row r="124">
      <c r="A124" s="223" t="s">
        <v>120</v>
      </c>
      <c r="B124" s="223" t="s">
        <v>1215</v>
      </c>
      <c r="C124" s="223" t="s">
        <v>1156</v>
      </c>
      <c r="D124" s="316">
        <v>44561.0</v>
      </c>
      <c r="E124" s="218">
        <v>1844.9399999999998</v>
      </c>
      <c r="F124" s="218">
        <v>68.631768</v>
      </c>
      <c r="G124" s="218">
        <v>355.2616464</v>
      </c>
      <c r="H124" s="223">
        <v>1421.0465855999998</v>
      </c>
      <c r="J124" s="223" t="s">
        <v>52</v>
      </c>
      <c r="K124" s="317">
        <v>2021.12</v>
      </c>
    </row>
    <row r="125">
      <c r="A125" s="223" t="s">
        <v>84</v>
      </c>
      <c r="B125" s="223" t="s">
        <v>1227</v>
      </c>
      <c r="C125" s="223" t="s">
        <v>1156</v>
      </c>
      <c r="D125" s="316">
        <v>44561.0</v>
      </c>
      <c r="E125" s="218">
        <v>1000.0</v>
      </c>
      <c r="F125" s="218">
        <v>0.0</v>
      </c>
      <c r="G125" s="218">
        <v>0.0</v>
      </c>
      <c r="H125" s="223">
        <v>1000.0</v>
      </c>
      <c r="J125" s="223" t="s">
        <v>52</v>
      </c>
      <c r="K125" s="317">
        <v>2021.12</v>
      </c>
    </row>
    <row r="126">
      <c r="A126" s="223" t="s">
        <v>86</v>
      </c>
      <c r="B126" s="223" t="s">
        <v>1235</v>
      </c>
      <c r="C126" s="223" t="s">
        <v>1156</v>
      </c>
      <c r="D126" s="316">
        <v>44561.0</v>
      </c>
      <c r="E126" s="218">
        <v>550.0</v>
      </c>
      <c r="F126" s="218">
        <v>21.67</v>
      </c>
      <c r="G126" s="218">
        <v>0.0</v>
      </c>
      <c r="H126" s="223">
        <v>528.33</v>
      </c>
      <c r="J126" s="223" t="s">
        <v>52</v>
      </c>
      <c r="K126" s="317">
        <v>2021.12</v>
      </c>
    </row>
    <row r="127">
      <c r="A127" s="223" t="s">
        <v>42</v>
      </c>
      <c r="B127" s="223" t="s">
        <v>1236</v>
      </c>
      <c r="C127" s="223" t="s">
        <v>1156</v>
      </c>
      <c r="D127" s="316">
        <v>44561.0</v>
      </c>
      <c r="E127" s="218">
        <v>1500.0</v>
      </c>
      <c r="F127" s="218">
        <v>46.67</v>
      </c>
      <c r="G127" s="218">
        <v>217.99949999999998</v>
      </c>
      <c r="H127" s="223">
        <v>1235.3305</v>
      </c>
      <c r="J127" s="223" t="s">
        <v>52</v>
      </c>
      <c r="K127" s="317">
        <v>2021.12</v>
      </c>
    </row>
    <row r="128">
      <c r="A128" s="223" t="s">
        <v>79</v>
      </c>
      <c r="B128" s="223" t="s">
        <v>1238</v>
      </c>
      <c r="C128" s="223" t="s">
        <v>1156</v>
      </c>
      <c r="D128" s="316">
        <v>44561.0</v>
      </c>
      <c r="E128" s="218">
        <v>1200.0</v>
      </c>
      <c r="F128" s="218">
        <v>37.33</v>
      </c>
      <c r="G128" s="218">
        <v>0.0</v>
      </c>
      <c r="H128" s="223">
        <v>1162.67</v>
      </c>
      <c r="J128" s="223" t="s">
        <v>52</v>
      </c>
      <c r="K128" s="317">
        <v>2021.12</v>
      </c>
    </row>
    <row r="129">
      <c r="A129" s="223" t="s">
        <v>82</v>
      </c>
      <c r="B129" s="223" t="s">
        <v>1124</v>
      </c>
      <c r="C129" s="223" t="s">
        <v>1156</v>
      </c>
      <c r="D129" s="316">
        <v>44561.0</v>
      </c>
      <c r="E129" s="218">
        <v>800.0</v>
      </c>
      <c r="F129" s="218">
        <v>0.0</v>
      </c>
      <c r="G129" s="218">
        <v>0.0</v>
      </c>
      <c r="H129" s="223">
        <v>800.0</v>
      </c>
      <c r="J129" s="223" t="s">
        <v>52</v>
      </c>
      <c r="K129" s="317">
        <v>2021.12</v>
      </c>
    </row>
    <row r="130">
      <c r="A130" s="223" t="s">
        <v>81</v>
      </c>
      <c r="B130" s="223" t="s">
        <v>1255</v>
      </c>
      <c r="C130" s="223" t="s">
        <v>1156</v>
      </c>
      <c r="D130" s="316">
        <v>44561.0</v>
      </c>
      <c r="E130" s="218">
        <v>1200.0</v>
      </c>
      <c r="F130" s="218">
        <v>0.0</v>
      </c>
      <c r="G130" s="218">
        <v>0.0</v>
      </c>
      <c r="H130" s="223">
        <v>1200.0</v>
      </c>
      <c r="J130" s="223" t="s">
        <v>52</v>
      </c>
      <c r="K130" s="317">
        <v>2021.12</v>
      </c>
    </row>
    <row r="131">
      <c r="A131" s="223" t="s">
        <v>88</v>
      </c>
      <c r="B131" s="223" t="s">
        <v>1256</v>
      </c>
      <c r="C131" s="223" t="s">
        <v>1156</v>
      </c>
      <c r="D131" s="316">
        <v>44561.0</v>
      </c>
      <c r="E131" s="218">
        <v>500.0</v>
      </c>
      <c r="F131" s="218">
        <v>15.53</v>
      </c>
      <c r="G131" s="218">
        <v>0.0</v>
      </c>
      <c r="H131" s="223">
        <v>484.47</v>
      </c>
      <c r="J131" s="223" t="s">
        <v>52</v>
      </c>
      <c r="K131" s="317">
        <v>2021.12</v>
      </c>
    </row>
    <row r="132">
      <c r="A132" s="223" t="s">
        <v>151</v>
      </c>
      <c r="B132" s="223" t="s">
        <v>1262</v>
      </c>
      <c r="C132" s="223" t="s">
        <v>1156</v>
      </c>
      <c r="D132" s="316">
        <v>44561.0</v>
      </c>
      <c r="E132" s="218">
        <v>797.4563999999999</v>
      </c>
      <c r="F132" s="218">
        <v>29.8739436</v>
      </c>
      <c r="G132" s="218">
        <v>0.0</v>
      </c>
      <c r="H132" s="223">
        <v>767.5824564</v>
      </c>
      <c r="J132" s="223" t="s">
        <v>52</v>
      </c>
      <c r="K132" s="317">
        <v>2021.12</v>
      </c>
    </row>
    <row r="133">
      <c r="A133" s="223" t="s">
        <v>50</v>
      </c>
      <c r="B133" s="223" t="s">
        <v>1275</v>
      </c>
      <c r="C133" s="223" t="s">
        <v>1156</v>
      </c>
      <c r="D133" s="316">
        <v>44561.0</v>
      </c>
      <c r="E133" s="218">
        <v>375.0</v>
      </c>
      <c r="F133" s="218">
        <v>0.0</v>
      </c>
      <c r="G133" s="218">
        <v>0.0</v>
      </c>
      <c r="H133" s="223">
        <v>375.0</v>
      </c>
      <c r="J133" s="223" t="s">
        <v>52</v>
      </c>
      <c r="K133" s="317">
        <v>2021.12</v>
      </c>
    </row>
    <row r="134">
      <c r="A134" s="223" t="s">
        <v>75</v>
      </c>
      <c r="B134" s="223" t="s">
        <v>1279</v>
      </c>
      <c r="C134" s="223" t="s">
        <v>1156</v>
      </c>
      <c r="D134" s="316">
        <v>44561.0</v>
      </c>
      <c r="E134" s="218">
        <v>500.0</v>
      </c>
      <c r="F134" s="218">
        <v>0.0</v>
      </c>
      <c r="G134" s="218">
        <v>0.0</v>
      </c>
      <c r="H134" s="223">
        <v>500.0</v>
      </c>
      <c r="J134" s="223" t="s">
        <v>52</v>
      </c>
      <c r="K134" s="317">
        <v>2021.12</v>
      </c>
    </row>
    <row r="135">
      <c r="A135" s="223" t="s">
        <v>105</v>
      </c>
      <c r="B135" s="223" t="s">
        <v>1280</v>
      </c>
      <c r="C135" s="223" t="s">
        <v>2308</v>
      </c>
      <c r="D135" s="316">
        <v>44561.0</v>
      </c>
      <c r="E135" s="218">
        <v>367.242</v>
      </c>
      <c r="F135" s="218">
        <v>13.955196</v>
      </c>
      <c r="G135" s="218">
        <v>0.0</v>
      </c>
      <c r="H135" s="223">
        <v>353.286804</v>
      </c>
      <c r="J135" s="223" t="s">
        <v>52</v>
      </c>
      <c r="K135" s="317">
        <v>2021.12</v>
      </c>
    </row>
    <row r="136">
      <c r="A136" s="223" t="s">
        <v>90</v>
      </c>
      <c r="B136" s="223" t="s">
        <v>1282</v>
      </c>
      <c r="C136" s="223" t="s">
        <v>1156</v>
      </c>
      <c r="D136" s="316">
        <v>44561.0</v>
      </c>
      <c r="E136" s="218">
        <v>250.0</v>
      </c>
      <c r="F136" s="218">
        <v>0.0</v>
      </c>
      <c r="G136" s="218">
        <v>0.0</v>
      </c>
      <c r="H136" s="223">
        <v>250.0</v>
      </c>
      <c r="J136" s="223" t="s">
        <v>52</v>
      </c>
      <c r="K136" s="317">
        <v>2021.12</v>
      </c>
    </row>
    <row r="137">
      <c r="A137" s="223" t="s">
        <v>97</v>
      </c>
      <c r="B137" s="223" t="s">
        <v>1286</v>
      </c>
      <c r="C137" s="223" t="s">
        <v>1156</v>
      </c>
      <c r="D137" s="316">
        <v>44561.0</v>
      </c>
      <c r="E137" s="218">
        <v>300.0</v>
      </c>
      <c r="F137" s="218">
        <v>9.33</v>
      </c>
      <c r="G137" s="218">
        <v>0.0</v>
      </c>
      <c r="H137" s="223">
        <v>290.67</v>
      </c>
      <c r="J137" s="223" t="s">
        <v>52</v>
      </c>
      <c r="K137" s="317">
        <v>2021.12</v>
      </c>
    </row>
    <row r="138">
      <c r="A138" s="223" t="s">
        <v>92</v>
      </c>
      <c r="B138" s="223" t="s">
        <v>1289</v>
      </c>
      <c r="C138" s="223" t="s">
        <v>1156</v>
      </c>
      <c r="D138" s="316">
        <v>44561.0</v>
      </c>
      <c r="E138" s="218">
        <v>2500.0</v>
      </c>
      <c r="F138" s="218">
        <v>77.78</v>
      </c>
      <c r="G138" s="218">
        <v>0.0</v>
      </c>
      <c r="H138" s="223">
        <v>2422.22</v>
      </c>
      <c r="J138" s="223" t="s">
        <v>52</v>
      </c>
      <c r="K138" s="317">
        <v>2021.12</v>
      </c>
    </row>
    <row r="139">
      <c r="A139" s="223" t="s">
        <v>112</v>
      </c>
      <c r="B139" s="223" t="s">
        <v>1296</v>
      </c>
      <c r="C139" s="223" t="s">
        <v>2309</v>
      </c>
      <c r="D139" s="316">
        <v>44561.0</v>
      </c>
      <c r="E139" s="218">
        <v>428.449</v>
      </c>
      <c r="F139" s="218">
        <v>16.219855</v>
      </c>
      <c r="G139" s="218">
        <v>0.0</v>
      </c>
      <c r="H139" s="223">
        <v>412.229145</v>
      </c>
      <c r="J139" s="223" t="s">
        <v>52</v>
      </c>
      <c r="K139" s="317">
        <v>2021.12</v>
      </c>
    </row>
    <row r="140">
      <c r="A140" s="223" t="s">
        <v>123</v>
      </c>
      <c r="B140" s="223" t="s">
        <v>1300</v>
      </c>
      <c r="C140" s="223" t="s">
        <v>1156</v>
      </c>
      <c r="D140" s="316">
        <v>44561.0</v>
      </c>
      <c r="E140" s="218">
        <v>7985.913</v>
      </c>
      <c r="F140" s="218">
        <v>295.8473616</v>
      </c>
      <c r="G140" s="218">
        <v>1538.01312768</v>
      </c>
      <c r="H140" s="223">
        <v>6152.052510719999</v>
      </c>
      <c r="J140" s="223" t="s">
        <v>52</v>
      </c>
      <c r="K140" s="317">
        <v>2021.12</v>
      </c>
    </row>
    <row r="141">
      <c r="A141" s="223" t="s">
        <v>115</v>
      </c>
      <c r="B141" s="223" t="s">
        <v>1308</v>
      </c>
      <c r="C141" s="223" t="s">
        <v>1156</v>
      </c>
      <c r="D141" s="316">
        <v>44561.0</v>
      </c>
      <c r="E141" s="218">
        <v>2451.025</v>
      </c>
      <c r="F141" s="218">
        <v>0.0</v>
      </c>
      <c r="G141" s="218">
        <v>0.0</v>
      </c>
      <c r="H141" s="223">
        <v>2451.025</v>
      </c>
      <c r="J141" s="223" t="s">
        <v>52</v>
      </c>
      <c r="K141" s="317">
        <v>2021.12</v>
      </c>
    </row>
    <row r="142">
      <c r="A142" s="223" t="s">
        <v>118</v>
      </c>
      <c r="B142" s="223" t="s">
        <v>1312</v>
      </c>
      <c r="C142" s="223" t="s">
        <v>1156</v>
      </c>
      <c r="D142" s="316">
        <v>44561.0</v>
      </c>
      <c r="E142" s="218">
        <v>2451.025</v>
      </c>
      <c r="F142" s="218">
        <v>0.0</v>
      </c>
      <c r="G142" s="218">
        <v>0.0</v>
      </c>
      <c r="H142" s="223">
        <v>2451.025</v>
      </c>
      <c r="J142" s="223" t="s">
        <v>52</v>
      </c>
      <c r="K142" s="317">
        <v>2021.12</v>
      </c>
    </row>
    <row r="143">
      <c r="A143" s="223" t="s">
        <v>73</v>
      </c>
      <c r="B143" s="223" t="s">
        <v>1327</v>
      </c>
      <c r="C143" s="223" t="s">
        <v>1156</v>
      </c>
      <c r="D143" s="316">
        <v>44561.0</v>
      </c>
      <c r="E143" s="218">
        <v>700.0</v>
      </c>
      <c r="F143" s="218">
        <v>0.0</v>
      </c>
      <c r="G143" s="218">
        <v>0.0</v>
      </c>
      <c r="H143" s="223">
        <v>700.0</v>
      </c>
      <c r="J143" s="223" t="s">
        <v>52</v>
      </c>
      <c r="K143" s="317">
        <v>2021.12</v>
      </c>
    </row>
    <row r="144">
      <c r="A144" s="223" t="s">
        <v>221</v>
      </c>
      <c r="B144" s="223" t="s">
        <v>1216</v>
      </c>
      <c r="C144" s="223" t="s">
        <v>1217</v>
      </c>
      <c r="D144" s="316">
        <v>44561.0</v>
      </c>
      <c r="E144" s="218">
        <v>800.0</v>
      </c>
      <c r="F144" s="218">
        <v>24.89</v>
      </c>
      <c r="G144" s="218">
        <v>0.0</v>
      </c>
      <c r="H144" s="223">
        <v>775.11</v>
      </c>
      <c r="J144" s="223" t="s">
        <v>48</v>
      </c>
      <c r="K144" s="317">
        <v>2021.12</v>
      </c>
    </row>
    <row r="145">
      <c r="A145" s="223" t="s">
        <v>223</v>
      </c>
      <c r="B145" s="223" t="s">
        <v>1176</v>
      </c>
      <c r="C145" s="223" t="s">
        <v>1156</v>
      </c>
      <c r="D145" s="316">
        <v>44561.0</v>
      </c>
      <c r="E145" s="218">
        <v>1000.0</v>
      </c>
      <c r="F145" s="218">
        <v>31.11</v>
      </c>
      <c r="G145" s="218">
        <v>0.0</v>
      </c>
      <c r="H145" s="223">
        <v>968.89</v>
      </c>
      <c r="J145" s="223" t="s">
        <v>52</v>
      </c>
      <c r="K145" s="317">
        <v>2021.12</v>
      </c>
    </row>
    <row r="146">
      <c r="A146" s="223" t="s">
        <v>225</v>
      </c>
      <c r="B146" s="223" t="s">
        <v>1257</v>
      </c>
      <c r="C146" s="223" t="s">
        <v>1156</v>
      </c>
      <c r="D146" s="316">
        <v>44561.0</v>
      </c>
      <c r="E146" s="218">
        <v>1000.0</v>
      </c>
      <c r="F146" s="218">
        <v>0.0</v>
      </c>
      <c r="G146" s="218">
        <v>0.0</v>
      </c>
      <c r="H146" s="223">
        <v>1000.0</v>
      </c>
      <c r="J146" s="223" t="s">
        <v>52</v>
      </c>
      <c r="K146" s="317">
        <v>2021.12</v>
      </c>
    </row>
    <row r="147">
      <c r="A147" s="223" t="s">
        <v>227</v>
      </c>
      <c r="B147" s="223" t="s">
        <v>1294</v>
      </c>
      <c r="C147" s="223" t="s">
        <v>1163</v>
      </c>
      <c r="D147" s="316">
        <v>44567.0</v>
      </c>
      <c r="E147" s="218">
        <v>1014.3445200000001</v>
      </c>
      <c r="F147" s="218">
        <v>64.4833302</v>
      </c>
      <c r="G147" s="218">
        <v>0.0</v>
      </c>
      <c r="H147" s="223">
        <v>949.8611898000001</v>
      </c>
      <c r="J147" s="223" t="s">
        <v>183</v>
      </c>
      <c r="K147" s="317">
        <v>2022.0</v>
      </c>
    </row>
    <row r="148">
      <c r="A148" s="223" t="s">
        <v>231</v>
      </c>
      <c r="B148" s="223" t="s">
        <v>1294</v>
      </c>
      <c r="C148" s="223" t="s">
        <v>1190</v>
      </c>
      <c r="D148" s="316">
        <v>44567.0</v>
      </c>
      <c r="E148" s="218">
        <v>718.494035</v>
      </c>
      <c r="F148" s="218">
        <v>0.0</v>
      </c>
      <c r="G148" s="218">
        <v>0.0</v>
      </c>
      <c r="H148" s="223">
        <v>718.494035</v>
      </c>
      <c r="J148" s="223" t="s">
        <v>210</v>
      </c>
      <c r="K148" s="317">
        <v>2022.0</v>
      </c>
    </row>
    <row r="149">
      <c r="A149" s="223" t="s">
        <v>232</v>
      </c>
      <c r="B149" s="223" t="s">
        <v>1223</v>
      </c>
      <c r="C149" s="223" t="s">
        <v>1224</v>
      </c>
      <c r="D149" s="316">
        <v>44567.0</v>
      </c>
      <c r="E149" s="218">
        <v>1300.0</v>
      </c>
      <c r="F149" s="218">
        <v>40.44</v>
      </c>
      <c r="G149" s="218">
        <v>0.0</v>
      </c>
      <c r="H149" s="223">
        <v>1259.56</v>
      </c>
      <c r="J149" s="223" t="s">
        <v>210</v>
      </c>
      <c r="K149" s="317">
        <v>2022.0</v>
      </c>
    </row>
    <row r="150">
      <c r="A150" s="223" t="s">
        <v>68</v>
      </c>
      <c r="B150" s="223" t="s">
        <v>1178</v>
      </c>
      <c r="C150" s="223" t="s">
        <v>1156</v>
      </c>
      <c r="D150" s="316">
        <v>44575.0</v>
      </c>
      <c r="E150" s="218">
        <v>650.0</v>
      </c>
      <c r="F150" s="218">
        <v>20.09</v>
      </c>
      <c r="G150" s="218">
        <v>0.0</v>
      </c>
      <c r="H150" s="223">
        <v>629.91</v>
      </c>
      <c r="J150" s="223" t="s">
        <v>52</v>
      </c>
      <c r="K150" s="317">
        <v>2022.01</v>
      </c>
    </row>
    <row r="151">
      <c r="A151" s="223" t="s">
        <v>99</v>
      </c>
      <c r="B151" s="223" t="s">
        <v>1192</v>
      </c>
      <c r="C151" s="223" t="s">
        <v>1156</v>
      </c>
      <c r="D151" s="316">
        <v>44575.0</v>
      </c>
      <c r="E151" s="218">
        <v>1569.945</v>
      </c>
      <c r="F151" s="218">
        <v>58.45025999999999</v>
      </c>
      <c r="G151" s="218">
        <v>302.298948</v>
      </c>
      <c r="H151" s="223">
        <v>1209.195792</v>
      </c>
      <c r="J151" s="223" t="s">
        <v>52</v>
      </c>
      <c r="K151" s="317">
        <v>2022.01</v>
      </c>
    </row>
    <row r="152">
      <c r="A152" s="223" t="s">
        <v>99</v>
      </c>
      <c r="B152" s="223" t="s">
        <v>1192</v>
      </c>
      <c r="C152" s="223" t="s">
        <v>1156</v>
      </c>
      <c r="D152" s="316">
        <v>44575.0</v>
      </c>
      <c r="E152" s="218">
        <v>1300.0</v>
      </c>
      <c r="F152" s="218">
        <v>23.0885996</v>
      </c>
      <c r="G152" s="218">
        <v>255.38228008000002</v>
      </c>
      <c r="H152" s="223">
        <v>1021.5291203200001</v>
      </c>
      <c r="J152" s="223" t="s">
        <v>52</v>
      </c>
      <c r="K152" s="317">
        <v>2022.01</v>
      </c>
    </row>
    <row r="153">
      <c r="A153" s="223" t="s">
        <v>156</v>
      </c>
      <c r="B153" s="223" t="s">
        <v>1293</v>
      </c>
      <c r="C153" s="223" t="s">
        <v>1156</v>
      </c>
      <c r="D153" s="316">
        <v>44575.0</v>
      </c>
      <c r="E153" s="218">
        <v>603.8249999999999</v>
      </c>
      <c r="F153" s="218">
        <v>22.70382</v>
      </c>
      <c r="G153" s="218">
        <v>116.224236</v>
      </c>
      <c r="H153" s="223">
        <v>464.89694399999996</v>
      </c>
      <c r="J153" s="223" t="s">
        <v>52</v>
      </c>
      <c r="K153" s="317">
        <v>2022.01</v>
      </c>
    </row>
    <row r="154">
      <c r="A154" s="223" t="s">
        <v>62</v>
      </c>
      <c r="B154" s="223" t="s">
        <v>1304</v>
      </c>
      <c r="C154" s="223" t="s">
        <v>1156</v>
      </c>
      <c r="D154" s="316">
        <v>44575.0</v>
      </c>
      <c r="E154" s="218">
        <v>1600.0</v>
      </c>
      <c r="F154" s="218">
        <v>49.78</v>
      </c>
      <c r="G154" s="218">
        <v>0.0</v>
      </c>
      <c r="H154" s="223">
        <v>1550.22</v>
      </c>
      <c r="J154" s="223" t="s">
        <v>52</v>
      </c>
      <c r="K154" s="317">
        <v>2022.01</v>
      </c>
    </row>
    <row r="155">
      <c r="A155" s="223" t="s">
        <v>225</v>
      </c>
      <c r="B155" s="223" t="s">
        <v>1257</v>
      </c>
      <c r="C155" s="223" t="s">
        <v>1156</v>
      </c>
      <c r="D155" s="316">
        <v>44575.0</v>
      </c>
      <c r="E155" s="218">
        <v>5000.0</v>
      </c>
      <c r="F155" s="218">
        <v>0.0</v>
      </c>
      <c r="G155" s="218">
        <v>0.0</v>
      </c>
      <c r="H155" s="223">
        <v>5000.0</v>
      </c>
      <c r="J155" s="223" t="s">
        <v>52</v>
      </c>
      <c r="K155" s="317">
        <v>2022.01</v>
      </c>
    </row>
    <row r="156">
      <c r="A156" s="223" t="s">
        <v>239</v>
      </c>
      <c r="B156" s="223" t="s">
        <v>1212</v>
      </c>
      <c r="C156" s="223" t="s">
        <v>36</v>
      </c>
      <c r="D156" s="316">
        <v>44575.0</v>
      </c>
      <c r="E156" s="218">
        <v>1800.0</v>
      </c>
      <c r="F156" s="218">
        <v>0.0</v>
      </c>
      <c r="G156" s="218">
        <v>0.0</v>
      </c>
      <c r="H156" s="223">
        <v>1800.0</v>
      </c>
      <c r="J156" s="223" t="s">
        <v>210</v>
      </c>
      <c r="K156" s="317">
        <v>2022.0</v>
      </c>
    </row>
    <row r="157">
      <c r="A157" s="223" t="s">
        <v>241</v>
      </c>
      <c r="B157" s="223" t="s">
        <v>1212</v>
      </c>
      <c r="C157" s="223" t="s">
        <v>1213</v>
      </c>
      <c r="D157" s="316">
        <v>44575.0</v>
      </c>
      <c r="E157" s="218">
        <v>330.0</v>
      </c>
      <c r="F157" s="218">
        <v>0.0</v>
      </c>
      <c r="G157" s="218">
        <v>0.0</v>
      </c>
      <c r="H157" s="223">
        <v>330.0</v>
      </c>
      <c r="J157" s="223" t="s">
        <v>183</v>
      </c>
      <c r="K157" s="317">
        <v>2022.0</v>
      </c>
    </row>
    <row r="158">
      <c r="A158" s="223" t="s">
        <v>244</v>
      </c>
      <c r="B158" s="223" t="s">
        <v>1275</v>
      </c>
      <c r="C158" s="223" t="s">
        <v>1277</v>
      </c>
      <c r="D158" s="316">
        <v>44575.0</v>
      </c>
      <c r="E158" s="218">
        <v>650.0</v>
      </c>
      <c r="F158" s="218">
        <v>0.0</v>
      </c>
      <c r="G158" s="218">
        <v>0.0</v>
      </c>
      <c r="H158" s="223">
        <v>650.0</v>
      </c>
      <c r="J158" s="223" t="s">
        <v>210</v>
      </c>
      <c r="K158" s="317">
        <v>2022.0</v>
      </c>
    </row>
    <row r="159">
      <c r="A159" s="223" t="s">
        <v>246</v>
      </c>
      <c r="B159" s="223" t="s">
        <v>1184</v>
      </c>
      <c r="C159" s="223" t="s">
        <v>1156</v>
      </c>
      <c r="D159" s="316">
        <v>44575.0</v>
      </c>
      <c r="E159" s="218">
        <v>500.0</v>
      </c>
      <c r="F159" s="218">
        <v>0.0</v>
      </c>
      <c r="G159" s="218">
        <v>0.0</v>
      </c>
      <c r="H159" s="223">
        <v>500.0</v>
      </c>
      <c r="J159" s="223" t="s">
        <v>52</v>
      </c>
      <c r="K159" s="317">
        <v>2022.0</v>
      </c>
    </row>
    <row r="160">
      <c r="A160" s="223" t="s">
        <v>248</v>
      </c>
      <c r="B160" s="223" t="s">
        <v>1283</v>
      </c>
      <c r="C160" s="223" t="s">
        <v>1284</v>
      </c>
      <c r="D160" s="316">
        <v>44575.0</v>
      </c>
      <c r="E160" s="218">
        <v>700.0</v>
      </c>
      <c r="F160" s="218">
        <v>21.78</v>
      </c>
      <c r="G160" s="218">
        <v>0.0</v>
      </c>
      <c r="H160" s="223">
        <v>678.22</v>
      </c>
      <c r="J160" s="223" t="s">
        <v>31</v>
      </c>
      <c r="K160" s="317">
        <v>2022.0</v>
      </c>
    </row>
    <row r="161">
      <c r="A161" s="223" t="s">
        <v>248</v>
      </c>
      <c r="B161" s="223" t="s">
        <v>1283</v>
      </c>
      <c r="C161" s="223" t="s">
        <v>1284</v>
      </c>
      <c r="D161" s="316">
        <v>44635.0</v>
      </c>
      <c r="E161" s="218">
        <v>700.0</v>
      </c>
      <c r="F161" s="218">
        <v>21.78</v>
      </c>
      <c r="G161" s="218">
        <v>0.0</v>
      </c>
      <c r="H161" s="223">
        <v>678.22</v>
      </c>
      <c r="J161" s="223" t="s">
        <v>45</v>
      </c>
      <c r="K161" s="317">
        <v>2022.0</v>
      </c>
    </row>
    <row r="162">
      <c r="A162" s="223" t="s">
        <v>251</v>
      </c>
      <c r="B162" s="223" t="s">
        <v>1185</v>
      </c>
      <c r="C162" s="223" t="s">
        <v>1186</v>
      </c>
      <c r="D162" s="316">
        <v>44575.0</v>
      </c>
      <c r="E162" s="218">
        <v>500.0</v>
      </c>
      <c r="F162" s="218">
        <v>15.56</v>
      </c>
      <c r="G162" s="218">
        <v>0.0</v>
      </c>
      <c r="H162" s="223">
        <v>484.44</v>
      </c>
      <c r="J162" s="223" t="s">
        <v>252</v>
      </c>
      <c r="K162" s="317">
        <v>2022.0</v>
      </c>
    </row>
    <row r="163">
      <c r="A163" s="223" t="s">
        <v>254</v>
      </c>
      <c r="B163" s="223" t="s">
        <v>1223</v>
      </c>
      <c r="C163" s="223" t="s">
        <v>1226</v>
      </c>
      <c r="D163" s="316">
        <v>44575.0</v>
      </c>
      <c r="E163" s="218">
        <v>666.7683000000001</v>
      </c>
      <c r="F163" s="218">
        <v>19.6999725</v>
      </c>
      <c r="G163" s="218">
        <v>0.0</v>
      </c>
      <c r="H163" s="223">
        <v>647.0683275000001</v>
      </c>
      <c r="J163" s="223" t="s">
        <v>210</v>
      </c>
      <c r="K163" s="317">
        <v>2022.0</v>
      </c>
    </row>
    <row r="164">
      <c r="A164" s="223" t="s">
        <v>66</v>
      </c>
      <c r="B164" s="223" t="s">
        <v>1324</v>
      </c>
      <c r="C164" s="223" t="s">
        <v>1156</v>
      </c>
      <c r="D164" s="316">
        <v>44575.0</v>
      </c>
      <c r="E164" s="218">
        <v>700.0</v>
      </c>
      <c r="F164" s="218">
        <v>0.0</v>
      </c>
      <c r="G164" s="218">
        <v>0.0</v>
      </c>
      <c r="H164" s="223">
        <v>700.0</v>
      </c>
      <c r="J164" s="223" t="s">
        <v>257</v>
      </c>
      <c r="K164" s="317">
        <v>2022.01</v>
      </c>
    </row>
    <row r="165">
      <c r="A165" s="223" t="s">
        <v>259</v>
      </c>
      <c r="B165" s="223" t="s">
        <v>1248</v>
      </c>
      <c r="C165" s="223" t="s">
        <v>1249</v>
      </c>
      <c r="D165" s="316">
        <v>44585.0</v>
      </c>
      <c r="E165" s="218">
        <v>950.0</v>
      </c>
      <c r="F165" s="218">
        <v>29.56</v>
      </c>
      <c r="G165" s="218">
        <v>0.0</v>
      </c>
      <c r="H165" s="223">
        <v>920.44</v>
      </c>
      <c r="J165" s="223" t="s">
        <v>210</v>
      </c>
      <c r="K165" s="317">
        <v>2022.0</v>
      </c>
    </row>
    <row r="166">
      <c r="A166" s="223" t="s">
        <v>261</v>
      </c>
      <c r="B166" s="223" t="s">
        <v>1228</v>
      </c>
      <c r="C166" s="223" t="s">
        <v>1186</v>
      </c>
      <c r="D166" s="316">
        <v>44589.0</v>
      </c>
      <c r="E166" s="218">
        <v>766.785</v>
      </c>
      <c r="F166" s="218">
        <v>28.745236079999998</v>
      </c>
      <c r="G166" s="218">
        <v>0.0</v>
      </c>
      <c r="H166" s="223">
        <v>738.0397639199999</v>
      </c>
      <c r="J166" s="223" t="s">
        <v>31</v>
      </c>
      <c r="K166" s="317">
        <v>2022.0</v>
      </c>
    </row>
    <row r="167">
      <c r="A167" s="223" t="s">
        <v>261</v>
      </c>
      <c r="B167" s="223" t="s">
        <v>1228</v>
      </c>
      <c r="C167" s="223" t="s">
        <v>1186</v>
      </c>
      <c r="D167" s="316"/>
      <c r="E167" s="218">
        <v>625.0</v>
      </c>
      <c r="F167" s="218"/>
      <c r="G167" s="218">
        <v>0.0</v>
      </c>
      <c r="H167" s="223">
        <v>625.0</v>
      </c>
      <c r="J167" s="223" t="s">
        <v>45</v>
      </c>
      <c r="K167" s="317">
        <v>1899.0</v>
      </c>
    </row>
    <row r="168">
      <c r="A168" s="223" t="s">
        <v>264</v>
      </c>
      <c r="B168" s="223" t="s">
        <v>1178</v>
      </c>
      <c r="C168" s="223" t="s">
        <v>1179</v>
      </c>
      <c r="D168" s="316">
        <v>44589.0</v>
      </c>
      <c r="E168" s="218">
        <v>850.0</v>
      </c>
      <c r="F168" s="218">
        <v>26.18</v>
      </c>
      <c r="G168" s="218">
        <v>0.0</v>
      </c>
      <c r="H168" s="223">
        <v>823.82</v>
      </c>
      <c r="J168" s="223" t="s">
        <v>210</v>
      </c>
      <c r="K168" s="317">
        <v>2022.0</v>
      </c>
    </row>
    <row r="169">
      <c r="A169" s="223" t="s">
        <v>54</v>
      </c>
      <c r="B169" s="223" t="s">
        <v>1187</v>
      </c>
      <c r="C169" s="223" t="s">
        <v>1156</v>
      </c>
      <c r="D169" s="316">
        <v>44592.0</v>
      </c>
      <c r="E169" s="218">
        <v>750.0</v>
      </c>
      <c r="F169" s="218">
        <v>23.33</v>
      </c>
      <c r="G169" s="218">
        <v>0.0</v>
      </c>
      <c r="H169" s="223">
        <v>726.67</v>
      </c>
      <c r="J169" s="223" t="s">
        <v>52</v>
      </c>
      <c r="K169" s="317">
        <v>2022.01</v>
      </c>
    </row>
    <row r="170">
      <c r="A170" s="223" t="s">
        <v>147</v>
      </c>
      <c r="B170" s="223" t="s">
        <v>1194</v>
      </c>
      <c r="C170" s="223" t="s">
        <v>1156</v>
      </c>
      <c r="D170" s="316">
        <v>44592.0</v>
      </c>
      <c r="E170" s="218">
        <v>900.0</v>
      </c>
      <c r="F170" s="218">
        <v>28.0</v>
      </c>
      <c r="G170" s="218">
        <v>0.0</v>
      </c>
      <c r="H170" s="223">
        <v>872.0</v>
      </c>
      <c r="J170" s="223" t="s">
        <v>52</v>
      </c>
      <c r="K170" s="317">
        <v>2022.01</v>
      </c>
    </row>
    <row r="171">
      <c r="A171" s="223" t="s">
        <v>58</v>
      </c>
      <c r="B171" s="223" t="s">
        <v>1197</v>
      </c>
      <c r="C171" s="223" t="s">
        <v>1156</v>
      </c>
      <c r="D171" s="316">
        <v>44592.0</v>
      </c>
      <c r="E171" s="218">
        <v>1550.0</v>
      </c>
      <c r="F171" s="218">
        <v>48.22</v>
      </c>
      <c r="G171" s="218">
        <v>0.0</v>
      </c>
      <c r="H171" s="223">
        <v>1501.78</v>
      </c>
      <c r="J171" s="223" t="s">
        <v>52</v>
      </c>
      <c r="K171" s="317">
        <v>2022.01</v>
      </c>
    </row>
    <row r="172">
      <c r="A172" s="223" t="s">
        <v>120</v>
      </c>
      <c r="B172" s="223" t="s">
        <v>1215</v>
      </c>
      <c r="C172" s="223" t="s">
        <v>1156</v>
      </c>
      <c r="D172" s="316">
        <v>44592.0</v>
      </c>
      <c r="E172" s="218">
        <v>1845.522</v>
      </c>
      <c r="F172" s="218">
        <v>68.65341839999999</v>
      </c>
      <c r="G172" s="218">
        <v>355.37371632</v>
      </c>
      <c r="H172" s="223">
        <v>1421.4948652799999</v>
      </c>
      <c r="J172" s="223" t="s">
        <v>52</v>
      </c>
      <c r="K172" s="317">
        <v>2022.01</v>
      </c>
    </row>
    <row r="173">
      <c r="A173" s="223" t="s">
        <v>84</v>
      </c>
      <c r="B173" s="223" t="s">
        <v>1227</v>
      </c>
      <c r="C173" s="223" t="s">
        <v>1156</v>
      </c>
      <c r="D173" s="316">
        <v>44592.0</v>
      </c>
      <c r="E173" s="218">
        <v>1000.0</v>
      </c>
      <c r="F173" s="218">
        <v>0.0</v>
      </c>
      <c r="G173" s="218">
        <v>0.0</v>
      </c>
      <c r="H173" s="223">
        <v>1000.0</v>
      </c>
      <c r="J173" s="223" t="s">
        <v>52</v>
      </c>
      <c r="K173" s="317">
        <v>2022.01</v>
      </c>
    </row>
    <row r="174">
      <c r="A174" s="223" t="s">
        <v>86</v>
      </c>
      <c r="B174" s="223" t="s">
        <v>1235</v>
      </c>
      <c r="C174" s="223" t="s">
        <v>1156</v>
      </c>
      <c r="D174" s="316">
        <v>44592.0</v>
      </c>
      <c r="E174" s="218">
        <v>550.0</v>
      </c>
      <c r="F174" s="218">
        <v>21.67</v>
      </c>
      <c r="G174" s="218">
        <v>0.0</v>
      </c>
      <c r="H174" s="223">
        <v>528.33</v>
      </c>
      <c r="J174" s="223" t="s">
        <v>52</v>
      </c>
      <c r="K174" s="317">
        <v>2022.01</v>
      </c>
    </row>
    <row r="175">
      <c r="A175" s="223" t="s">
        <v>42</v>
      </c>
      <c r="B175" s="223" t="s">
        <v>1236</v>
      </c>
      <c r="C175" s="223" t="s">
        <v>1156</v>
      </c>
      <c r="D175" s="316">
        <v>44592.0</v>
      </c>
      <c r="E175" s="218">
        <v>1500.0</v>
      </c>
      <c r="F175" s="218">
        <v>46.67</v>
      </c>
      <c r="G175" s="218">
        <v>217.99949999999998</v>
      </c>
      <c r="H175" s="223">
        <v>1235.3305</v>
      </c>
      <c r="J175" s="223" t="s">
        <v>52</v>
      </c>
      <c r="K175" s="317">
        <v>2022.01</v>
      </c>
    </row>
    <row r="176">
      <c r="A176" s="223" t="s">
        <v>79</v>
      </c>
      <c r="B176" s="223" t="s">
        <v>1238</v>
      </c>
      <c r="C176" s="223" t="s">
        <v>1156</v>
      </c>
      <c r="D176" s="316">
        <v>44592.0</v>
      </c>
      <c r="E176" s="218">
        <v>800.0</v>
      </c>
      <c r="F176" s="218">
        <v>24.89</v>
      </c>
      <c r="G176" s="218">
        <v>0.0</v>
      </c>
      <c r="H176" s="223">
        <v>775.11</v>
      </c>
      <c r="J176" s="223" t="s">
        <v>52</v>
      </c>
      <c r="K176" s="317">
        <v>2022.01</v>
      </c>
    </row>
    <row r="177">
      <c r="A177" s="223" t="s">
        <v>82</v>
      </c>
      <c r="B177" s="223" t="s">
        <v>1124</v>
      </c>
      <c r="C177" s="223" t="s">
        <v>1156</v>
      </c>
      <c r="D177" s="316">
        <v>44592.0</v>
      </c>
      <c r="E177" s="218">
        <v>800.0</v>
      </c>
      <c r="F177" s="218">
        <v>0.0</v>
      </c>
      <c r="G177" s="218">
        <v>0.0</v>
      </c>
      <c r="H177" s="223">
        <v>800.0</v>
      </c>
      <c r="J177" s="223" t="s">
        <v>52</v>
      </c>
      <c r="K177" s="317">
        <v>2022.01</v>
      </c>
    </row>
    <row r="178">
      <c r="A178" s="223" t="s">
        <v>81</v>
      </c>
      <c r="B178" s="223" t="s">
        <v>1255</v>
      </c>
      <c r="C178" s="223" t="s">
        <v>1156</v>
      </c>
      <c r="D178" s="316">
        <v>44592.0</v>
      </c>
      <c r="E178" s="218">
        <v>1200.0</v>
      </c>
      <c r="F178" s="218">
        <v>0.0</v>
      </c>
      <c r="G178" s="218">
        <v>0.0</v>
      </c>
      <c r="H178" s="223">
        <v>1200.0</v>
      </c>
      <c r="J178" s="223" t="s">
        <v>52</v>
      </c>
      <c r="K178" s="317">
        <v>2022.01</v>
      </c>
    </row>
    <row r="179">
      <c r="A179" s="223" t="s">
        <v>88</v>
      </c>
      <c r="B179" s="223" t="s">
        <v>1256</v>
      </c>
      <c r="C179" s="223" t="s">
        <v>1156</v>
      </c>
      <c r="D179" s="316">
        <v>44592.0</v>
      </c>
      <c r="E179" s="218">
        <v>500.0</v>
      </c>
      <c r="F179" s="218">
        <v>15.53</v>
      </c>
      <c r="G179" s="218">
        <v>0.0</v>
      </c>
      <c r="H179" s="223">
        <v>484.47</v>
      </c>
      <c r="J179" s="223" t="s">
        <v>52</v>
      </c>
      <c r="K179" s="317">
        <v>2022.01</v>
      </c>
    </row>
    <row r="180">
      <c r="A180" s="223" t="s">
        <v>151</v>
      </c>
      <c r="B180" s="223" t="s">
        <v>1262</v>
      </c>
      <c r="C180" s="223" t="s">
        <v>1156</v>
      </c>
      <c r="D180" s="316">
        <v>44592.0</v>
      </c>
      <c r="E180" s="218">
        <v>798.0869</v>
      </c>
      <c r="F180" s="218">
        <v>29.897563100000003</v>
      </c>
      <c r="G180" s="218">
        <v>0.0</v>
      </c>
      <c r="H180" s="223">
        <v>768.1893369000001</v>
      </c>
      <c r="J180" s="223" t="s">
        <v>52</v>
      </c>
      <c r="K180" s="317">
        <v>2022.01</v>
      </c>
    </row>
    <row r="181">
      <c r="A181" s="223" t="s">
        <v>50</v>
      </c>
      <c r="B181" s="223" t="s">
        <v>1275</v>
      </c>
      <c r="C181" s="223" t="s">
        <v>1156</v>
      </c>
      <c r="D181" s="316">
        <v>44592.0</v>
      </c>
      <c r="E181" s="218">
        <v>375.0</v>
      </c>
      <c r="F181" s="218">
        <v>0.0</v>
      </c>
      <c r="G181" s="218">
        <v>0.0</v>
      </c>
      <c r="H181" s="223">
        <v>375.0</v>
      </c>
      <c r="J181" s="223" t="s">
        <v>52</v>
      </c>
      <c r="K181" s="317">
        <v>2022.01</v>
      </c>
    </row>
    <row r="182">
      <c r="A182" s="223" t="s">
        <v>75</v>
      </c>
      <c r="B182" s="223" t="s">
        <v>1279</v>
      </c>
      <c r="C182" s="223" t="s">
        <v>1156</v>
      </c>
      <c r="D182" s="316">
        <v>44592.0</v>
      </c>
      <c r="E182" s="218">
        <v>500.0</v>
      </c>
      <c r="F182" s="218">
        <v>0.0</v>
      </c>
      <c r="G182" s="218">
        <v>0.0</v>
      </c>
      <c r="H182" s="223">
        <v>500.0</v>
      </c>
      <c r="J182" s="223" t="s">
        <v>52</v>
      </c>
      <c r="K182" s="317">
        <v>2022.01</v>
      </c>
    </row>
    <row r="183">
      <c r="A183" s="223" t="s">
        <v>105</v>
      </c>
      <c r="B183" s="223" t="s">
        <v>1280</v>
      </c>
      <c r="C183" s="223" t="s">
        <v>2308</v>
      </c>
      <c r="D183" s="316">
        <v>44592.0</v>
      </c>
      <c r="E183" s="218">
        <v>368.2314</v>
      </c>
      <c r="F183" s="218">
        <v>13.992793200000001</v>
      </c>
      <c r="G183" s="218">
        <v>0.0</v>
      </c>
      <c r="H183" s="223">
        <v>354.2386068</v>
      </c>
      <c r="J183" s="223" t="s">
        <v>52</v>
      </c>
      <c r="K183" s="317">
        <v>2022.01</v>
      </c>
    </row>
    <row r="184">
      <c r="A184" s="223" t="s">
        <v>90</v>
      </c>
      <c r="B184" s="223" t="s">
        <v>1282</v>
      </c>
      <c r="C184" s="223" t="s">
        <v>1156</v>
      </c>
      <c r="D184" s="316">
        <v>44592.0</v>
      </c>
      <c r="E184" s="218">
        <v>250.0</v>
      </c>
      <c r="F184" s="218">
        <v>0.0</v>
      </c>
      <c r="G184" s="218">
        <v>0.0</v>
      </c>
      <c r="H184" s="223">
        <v>250.0</v>
      </c>
      <c r="J184" s="223" t="s">
        <v>52</v>
      </c>
      <c r="K184" s="317">
        <v>2022.01</v>
      </c>
    </row>
    <row r="185">
      <c r="A185" s="223" t="s">
        <v>97</v>
      </c>
      <c r="B185" s="223" t="s">
        <v>1286</v>
      </c>
      <c r="C185" s="223" t="s">
        <v>1156</v>
      </c>
      <c r="D185" s="316">
        <v>44592.0</v>
      </c>
      <c r="E185" s="218">
        <v>300.0</v>
      </c>
      <c r="F185" s="218">
        <v>9.33</v>
      </c>
      <c r="G185" s="218">
        <v>0.0</v>
      </c>
      <c r="H185" s="223">
        <v>290.67</v>
      </c>
      <c r="J185" s="223" t="s">
        <v>52</v>
      </c>
      <c r="K185" s="317">
        <v>2022.01</v>
      </c>
    </row>
    <row r="186">
      <c r="A186" s="223" t="s">
        <v>92</v>
      </c>
      <c r="B186" s="223" t="s">
        <v>1289</v>
      </c>
      <c r="C186" s="223" t="s">
        <v>1156</v>
      </c>
      <c r="D186" s="316">
        <v>44592.0</v>
      </c>
      <c r="E186" s="218">
        <v>2500.0</v>
      </c>
      <c r="F186" s="218">
        <v>77.78</v>
      </c>
      <c r="G186" s="218">
        <v>0.0</v>
      </c>
      <c r="H186" s="223">
        <v>2422.22</v>
      </c>
      <c r="J186" s="223" t="s">
        <v>52</v>
      </c>
      <c r="K186" s="317">
        <v>2022.01</v>
      </c>
    </row>
    <row r="187">
      <c r="A187" s="223" t="s">
        <v>112</v>
      </c>
      <c r="B187" s="223" t="s">
        <v>1296</v>
      </c>
      <c r="C187" s="223" t="s">
        <v>2309</v>
      </c>
      <c r="D187" s="316">
        <v>44592.0</v>
      </c>
      <c r="E187" s="218">
        <v>427.26075</v>
      </c>
      <c r="F187" s="218">
        <v>16.17487125</v>
      </c>
      <c r="G187" s="218">
        <v>0.0</v>
      </c>
      <c r="H187" s="223">
        <v>411.08587874999995</v>
      </c>
      <c r="J187" s="223" t="s">
        <v>52</v>
      </c>
      <c r="K187" s="317">
        <v>2022.01</v>
      </c>
    </row>
    <row r="188">
      <c r="A188" s="223" t="s">
        <v>123</v>
      </c>
      <c r="B188" s="223" t="s">
        <v>1300</v>
      </c>
      <c r="C188" s="223" t="s">
        <v>1156</v>
      </c>
      <c r="D188" s="316">
        <v>44592.0</v>
      </c>
      <c r="E188" s="218">
        <v>6754.643499999999</v>
      </c>
      <c r="F188" s="218">
        <v>250.2902446</v>
      </c>
      <c r="G188" s="218">
        <v>1300.87065108</v>
      </c>
      <c r="H188" s="223">
        <v>5203.482604319999</v>
      </c>
      <c r="J188" s="223" t="s">
        <v>52</v>
      </c>
      <c r="K188" s="317">
        <v>2022.01</v>
      </c>
    </row>
    <row r="189">
      <c r="A189" s="223" t="s">
        <v>115</v>
      </c>
      <c r="B189" s="223" t="s">
        <v>1308</v>
      </c>
      <c r="C189" s="223" t="s">
        <v>1156</v>
      </c>
      <c r="D189" s="316">
        <v>44592.0</v>
      </c>
      <c r="E189" s="218">
        <v>2453.05</v>
      </c>
      <c r="F189" s="218">
        <v>0.0</v>
      </c>
      <c r="G189" s="218">
        <v>0.0</v>
      </c>
      <c r="H189" s="223">
        <v>2453.05</v>
      </c>
      <c r="J189" s="223" t="s">
        <v>52</v>
      </c>
      <c r="K189" s="317">
        <v>2022.01</v>
      </c>
    </row>
    <row r="190">
      <c r="A190" s="223" t="s">
        <v>118</v>
      </c>
      <c r="B190" s="223" t="s">
        <v>1312</v>
      </c>
      <c r="C190" s="223" t="s">
        <v>1156</v>
      </c>
      <c r="D190" s="316">
        <v>44592.0</v>
      </c>
      <c r="E190" s="218">
        <v>2453.05</v>
      </c>
      <c r="F190" s="218">
        <v>0.0</v>
      </c>
      <c r="G190" s="218">
        <v>0.0</v>
      </c>
      <c r="H190" s="223">
        <v>2453.05</v>
      </c>
      <c r="J190" s="223" t="s">
        <v>52</v>
      </c>
      <c r="K190" s="317">
        <v>2022.01</v>
      </c>
    </row>
    <row r="191">
      <c r="A191" s="223" t="s">
        <v>73</v>
      </c>
      <c r="B191" s="223" t="s">
        <v>1327</v>
      </c>
      <c r="C191" s="223" t="s">
        <v>1156</v>
      </c>
      <c r="D191" s="316">
        <v>44592.0</v>
      </c>
      <c r="E191" s="218">
        <v>700.0</v>
      </c>
      <c r="F191" s="218">
        <v>0.0</v>
      </c>
      <c r="G191" s="218">
        <v>0.0</v>
      </c>
      <c r="H191" s="223">
        <v>700.0</v>
      </c>
      <c r="J191" s="223" t="s">
        <v>52</v>
      </c>
      <c r="K191" s="317">
        <v>2022.01</v>
      </c>
    </row>
    <row r="192">
      <c r="A192" s="223" t="s">
        <v>223</v>
      </c>
      <c r="B192" s="223" t="s">
        <v>1176</v>
      </c>
      <c r="C192" s="223" t="s">
        <v>1156</v>
      </c>
      <c r="D192" s="316">
        <v>44592.0</v>
      </c>
      <c r="E192" s="218">
        <v>800.0</v>
      </c>
      <c r="F192" s="218">
        <v>24.89</v>
      </c>
      <c r="G192" s="218">
        <v>0.0</v>
      </c>
      <c r="H192" s="223">
        <v>775.11</v>
      </c>
      <c r="J192" s="223" t="s">
        <v>52</v>
      </c>
      <c r="K192" s="317">
        <v>2022.01</v>
      </c>
    </row>
    <row r="193">
      <c r="A193" s="223" t="s">
        <v>137</v>
      </c>
      <c r="B193" s="223" t="s">
        <v>1309</v>
      </c>
      <c r="C193" s="223" t="s">
        <v>1310</v>
      </c>
      <c r="D193" s="316">
        <v>44599.0</v>
      </c>
      <c r="E193" s="218">
        <v>4000.0</v>
      </c>
      <c r="F193" s="218">
        <v>118.52</v>
      </c>
      <c r="G193" s="218">
        <v>0.0</v>
      </c>
      <c r="H193" s="223">
        <v>3881.48</v>
      </c>
      <c r="J193" s="223" t="s">
        <v>274</v>
      </c>
      <c r="K193" s="317">
        <v>2022.0</v>
      </c>
    </row>
    <row r="194">
      <c r="A194" s="223" t="s">
        <v>276</v>
      </c>
      <c r="B194" s="223" t="s">
        <v>1300</v>
      </c>
      <c r="C194" s="223" t="s">
        <v>1302</v>
      </c>
      <c r="D194" s="316">
        <v>44620.0</v>
      </c>
      <c r="E194" s="218">
        <v>337.9189</v>
      </c>
      <c r="F194" s="218">
        <v>12.50914328</v>
      </c>
      <c r="G194" s="218">
        <v>0.0</v>
      </c>
      <c r="H194" s="223">
        <v>325.40975672</v>
      </c>
      <c r="J194" s="223" t="s">
        <v>183</v>
      </c>
      <c r="K194" s="317">
        <v>2022.0</v>
      </c>
    </row>
    <row r="195">
      <c r="A195" s="223" t="s">
        <v>279</v>
      </c>
      <c r="B195" s="223" t="s">
        <v>1305</v>
      </c>
      <c r="C195" s="223" t="s">
        <v>1306</v>
      </c>
      <c r="D195" s="316">
        <v>44607.0</v>
      </c>
      <c r="E195" s="218">
        <v>1000.0</v>
      </c>
      <c r="F195" s="218">
        <v>31.11</v>
      </c>
      <c r="G195" s="218">
        <v>0.0</v>
      </c>
      <c r="H195" s="223">
        <v>968.89</v>
      </c>
      <c r="J195" s="223" t="s">
        <v>280</v>
      </c>
      <c r="K195" s="317">
        <v>2022.02</v>
      </c>
    </row>
    <row r="196">
      <c r="A196" s="223" t="s">
        <v>279</v>
      </c>
      <c r="B196" s="223" t="s">
        <v>1305</v>
      </c>
      <c r="C196" s="223" t="s">
        <v>1306</v>
      </c>
      <c r="D196" s="316">
        <v>44651.0</v>
      </c>
      <c r="E196" s="218">
        <v>2000.0</v>
      </c>
      <c r="F196" s="218">
        <v>62.22</v>
      </c>
      <c r="G196" s="218">
        <v>0.0</v>
      </c>
      <c r="H196" s="223">
        <v>1937.78</v>
      </c>
      <c r="J196" s="223" t="s">
        <v>282</v>
      </c>
      <c r="K196" s="317">
        <v>2022.03</v>
      </c>
    </row>
    <row r="197">
      <c r="A197" s="223" t="s">
        <v>279</v>
      </c>
      <c r="B197" s="223" t="s">
        <v>1305</v>
      </c>
      <c r="C197" s="223" t="s">
        <v>1306</v>
      </c>
      <c r="D197" s="316">
        <v>44666.0</v>
      </c>
      <c r="E197" s="218">
        <v>7000.0</v>
      </c>
      <c r="F197" s="218">
        <v>217.78</v>
      </c>
      <c r="G197" s="218">
        <v>0.0</v>
      </c>
      <c r="H197" s="223">
        <v>6782.22</v>
      </c>
      <c r="J197" s="223" t="s">
        <v>52</v>
      </c>
      <c r="K197" s="317">
        <v>2022.04</v>
      </c>
    </row>
    <row r="198">
      <c r="A198" s="223" t="s">
        <v>279</v>
      </c>
      <c r="B198" s="223" t="s">
        <v>1305</v>
      </c>
      <c r="C198" s="223" t="s">
        <v>1306</v>
      </c>
      <c r="D198" s="316">
        <v>44696.0</v>
      </c>
      <c r="E198" s="218">
        <v>1166.66</v>
      </c>
      <c r="F198" s="218"/>
      <c r="G198" s="218">
        <v>0.0</v>
      </c>
      <c r="H198" s="223">
        <v>1166.66</v>
      </c>
      <c r="J198" s="223" t="s">
        <v>52</v>
      </c>
      <c r="K198" s="317">
        <v>2022.05</v>
      </c>
    </row>
    <row r="199">
      <c r="A199" s="223" t="s">
        <v>279</v>
      </c>
      <c r="B199" s="223" t="s">
        <v>1305</v>
      </c>
      <c r="C199" s="223" t="s">
        <v>1306</v>
      </c>
      <c r="D199" s="316">
        <v>44727.0</v>
      </c>
      <c r="E199" s="218">
        <v>1166.66</v>
      </c>
      <c r="F199" s="218"/>
      <c r="G199" s="218">
        <v>0.0</v>
      </c>
      <c r="H199" s="223">
        <v>1166.66</v>
      </c>
      <c r="J199" s="223" t="s">
        <v>52</v>
      </c>
      <c r="K199" s="317">
        <v>2022.06</v>
      </c>
    </row>
    <row r="200">
      <c r="A200" s="223" t="s">
        <v>279</v>
      </c>
      <c r="B200" s="223" t="s">
        <v>1305</v>
      </c>
      <c r="C200" s="223" t="s">
        <v>1306</v>
      </c>
      <c r="D200" s="316">
        <v>44757.0</v>
      </c>
      <c r="E200" s="218">
        <v>1166.66</v>
      </c>
      <c r="F200" s="218"/>
      <c r="G200" s="218">
        <v>0.0</v>
      </c>
      <c r="H200" s="223">
        <v>1166.66</v>
      </c>
      <c r="J200" s="223" t="s">
        <v>52</v>
      </c>
      <c r="K200" s="317">
        <v>2022.07</v>
      </c>
    </row>
    <row r="201">
      <c r="A201" s="223" t="s">
        <v>279</v>
      </c>
      <c r="B201" s="223" t="s">
        <v>1305</v>
      </c>
      <c r="C201" s="223" t="s">
        <v>1306</v>
      </c>
      <c r="D201" s="316">
        <v>44788.0</v>
      </c>
      <c r="E201" s="218">
        <v>1166.66</v>
      </c>
      <c r="F201" s="218"/>
      <c r="G201" s="218">
        <v>0.0</v>
      </c>
      <c r="H201" s="223">
        <v>1166.66</v>
      </c>
      <c r="J201" s="223" t="s">
        <v>52</v>
      </c>
      <c r="K201" s="317">
        <v>2022.08</v>
      </c>
    </row>
    <row r="202">
      <c r="A202" s="223" t="s">
        <v>279</v>
      </c>
      <c r="B202" s="223" t="s">
        <v>1305</v>
      </c>
      <c r="C202" s="223" t="s">
        <v>1306</v>
      </c>
      <c r="D202" s="316">
        <v>44819.0</v>
      </c>
      <c r="E202" s="218">
        <v>1166.66</v>
      </c>
      <c r="F202" s="218"/>
      <c r="G202" s="218">
        <v>0.0</v>
      </c>
      <c r="H202" s="223">
        <v>1166.66</v>
      </c>
      <c r="J202" s="223" t="s">
        <v>52</v>
      </c>
      <c r="K202" s="317">
        <v>2022.09</v>
      </c>
    </row>
    <row r="203">
      <c r="A203" s="223" t="s">
        <v>58</v>
      </c>
      <c r="B203" s="223" t="s">
        <v>1197</v>
      </c>
      <c r="C203" s="223" t="s">
        <v>1156</v>
      </c>
      <c r="D203" s="316">
        <v>44607.0</v>
      </c>
      <c r="E203" s="218">
        <v>173.65</v>
      </c>
      <c r="F203" s="218">
        <v>5.15</v>
      </c>
      <c r="G203" s="218">
        <v>0.0</v>
      </c>
      <c r="H203" s="223">
        <v>168.5</v>
      </c>
      <c r="J203" s="223" t="s">
        <v>252</v>
      </c>
      <c r="K203" s="317">
        <v>2022.0</v>
      </c>
    </row>
    <row r="204">
      <c r="A204" s="223" t="s">
        <v>156</v>
      </c>
      <c r="B204" s="223" t="s">
        <v>1293</v>
      </c>
      <c r="C204" s="223" t="s">
        <v>1156</v>
      </c>
      <c r="D204" s="316">
        <v>44607.0</v>
      </c>
      <c r="E204" s="218">
        <v>1719.6354</v>
      </c>
      <c r="F204" s="218">
        <v>63.9950031</v>
      </c>
      <c r="G204" s="218">
        <v>331.12807938</v>
      </c>
      <c r="H204" s="223">
        <v>1324.51231752</v>
      </c>
      <c r="J204" s="223" t="s">
        <v>52</v>
      </c>
      <c r="K204" s="317">
        <v>2022.02</v>
      </c>
    </row>
    <row r="205">
      <c r="A205" s="223" t="s">
        <v>289</v>
      </c>
      <c r="B205" s="223" t="s">
        <v>1240</v>
      </c>
      <c r="C205" s="223" t="s">
        <v>1186</v>
      </c>
      <c r="D205" s="316">
        <v>44607.0</v>
      </c>
      <c r="E205" s="218">
        <v>712.5</v>
      </c>
      <c r="F205" s="218">
        <v>23.86</v>
      </c>
      <c r="G205" s="218">
        <v>0.0</v>
      </c>
      <c r="H205" s="223">
        <v>688.64</v>
      </c>
      <c r="J205" s="223" t="s">
        <v>290</v>
      </c>
      <c r="K205" s="317">
        <v>2022.0</v>
      </c>
    </row>
    <row r="206">
      <c r="A206" s="223" t="s">
        <v>289</v>
      </c>
      <c r="B206" s="223" t="s">
        <v>1240</v>
      </c>
      <c r="C206" s="223" t="s">
        <v>1186</v>
      </c>
      <c r="D206" s="316"/>
      <c r="E206" s="218">
        <v>712.5</v>
      </c>
      <c r="F206" s="218"/>
      <c r="G206" s="218">
        <v>0.0</v>
      </c>
      <c r="H206" s="223">
        <v>712.5</v>
      </c>
      <c r="J206" s="223" t="s">
        <v>290</v>
      </c>
      <c r="K206" s="317">
        <v>1899.0</v>
      </c>
    </row>
    <row r="207">
      <c r="A207" s="223" t="s">
        <v>68</v>
      </c>
      <c r="B207" s="223" t="s">
        <v>1178</v>
      </c>
      <c r="C207" s="223" t="s">
        <v>1156</v>
      </c>
      <c r="D207" s="316">
        <v>44607.0</v>
      </c>
      <c r="E207" s="218">
        <v>650.0</v>
      </c>
      <c r="F207" s="218">
        <v>20.09</v>
      </c>
      <c r="G207" s="218">
        <v>0.0</v>
      </c>
      <c r="H207" s="223">
        <v>629.91</v>
      </c>
      <c r="J207" s="223" t="s">
        <v>52</v>
      </c>
      <c r="K207" s="317">
        <v>2022.02</v>
      </c>
    </row>
    <row r="208">
      <c r="A208" s="223" t="s">
        <v>102</v>
      </c>
      <c r="B208" s="223" t="s">
        <v>1259</v>
      </c>
      <c r="C208" s="223" t="s">
        <v>1156</v>
      </c>
      <c r="D208" s="316">
        <v>44607.0</v>
      </c>
      <c r="E208" s="218">
        <v>427.26075</v>
      </c>
      <c r="F208" s="218">
        <v>16.17487125</v>
      </c>
      <c r="G208" s="218">
        <v>0.0</v>
      </c>
      <c r="H208" s="223">
        <v>411.08587874999995</v>
      </c>
      <c r="J208" s="223" t="s">
        <v>52</v>
      </c>
      <c r="K208" s="317">
        <v>2022.02</v>
      </c>
    </row>
    <row r="209">
      <c r="A209" s="223" t="s">
        <v>62</v>
      </c>
      <c r="B209" s="223" t="s">
        <v>1304</v>
      </c>
      <c r="C209" s="223" t="s">
        <v>1156</v>
      </c>
      <c r="D209" s="316">
        <v>44607.0</v>
      </c>
      <c r="E209" s="218">
        <v>1600.0</v>
      </c>
      <c r="F209" s="218">
        <v>49.79</v>
      </c>
      <c r="G209" s="218">
        <v>0.0</v>
      </c>
      <c r="H209" s="223">
        <v>1550.21</v>
      </c>
      <c r="J209" s="223" t="s">
        <v>52</v>
      </c>
      <c r="K209" s="317">
        <v>2022.02</v>
      </c>
    </row>
    <row r="210">
      <c r="A210" s="223" t="s">
        <v>66</v>
      </c>
      <c r="B210" s="223" t="s">
        <v>1324</v>
      </c>
      <c r="C210" s="223" t="s">
        <v>1156</v>
      </c>
      <c r="D210" s="316">
        <v>44607.0</v>
      </c>
      <c r="E210" s="218">
        <v>900.0</v>
      </c>
      <c r="F210" s="218">
        <v>0.0</v>
      </c>
      <c r="G210" s="218">
        <v>0.0</v>
      </c>
      <c r="H210" s="223">
        <v>900.0</v>
      </c>
      <c r="J210" s="223" t="s">
        <v>52</v>
      </c>
      <c r="K210" s="317">
        <v>2022.02</v>
      </c>
    </row>
    <row r="211">
      <c r="A211" s="223" t="s">
        <v>225</v>
      </c>
      <c r="B211" s="223" t="s">
        <v>1257</v>
      </c>
      <c r="C211" s="223" t="s">
        <v>1156</v>
      </c>
      <c r="D211" s="316">
        <v>44607.0</v>
      </c>
      <c r="E211" s="218">
        <v>5000.0</v>
      </c>
      <c r="F211" s="218">
        <v>0.0</v>
      </c>
      <c r="G211" s="218">
        <v>0.0</v>
      </c>
      <c r="H211" s="223">
        <v>5000.0</v>
      </c>
      <c r="J211" s="223" t="s">
        <v>52</v>
      </c>
      <c r="K211" s="317">
        <v>2022.02</v>
      </c>
    </row>
    <row r="212">
      <c r="A212" s="223" t="s">
        <v>246</v>
      </c>
      <c r="B212" s="223" t="s">
        <v>1184</v>
      </c>
      <c r="C212" s="223" t="s">
        <v>1156</v>
      </c>
      <c r="D212" s="316">
        <v>44607.0</v>
      </c>
      <c r="E212" s="218">
        <v>500.0</v>
      </c>
      <c r="F212" s="218">
        <v>0.0</v>
      </c>
      <c r="G212" s="218">
        <v>0.0</v>
      </c>
      <c r="H212" s="223">
        <v>500.0</v>
      </c>
      <c r="J212" s="223" t="s">
        <v>52</v>
      </c>
      <c r="K212" s="317">
        <v>2022.02</v>
      </c>
    </row>
    <row r="213">
      <c r="A213" s="223" t="s">
        <v>296</v>
      </c>
      <c r="B213" s="223" t="s">
        <v>1200</v>
      </c>
      <c r="C213" s="223" t="s">
        <v>1205</v>
      </c>
      <c r="D213" s="316">
        <v>44607.0</v>
      </c>
      <c r="E213" s="218">
        <v>3056.7499999999995</v>
      </c>
      <c r="F213" s="218">
        <v>0.0</v>
      </c>
      <c r="G213" s="218">
        <v>0.0</v>
      </c>
      <c r="H213" s="223">
        <v>3056.7499999999995</v>
      </c>
      <c r="J213" s="223" t="s">
        <v>52</v>
      </c>
      <c r="K213" s="317">
        <v>2022.02</v>
      </c>
    </row>
    <row r="214">
      <c r="A214" s="223" t="s">
        <v>299</v>
      </c>
      <c r="B214" s="223" t="s">
        <v>1200</v>
      </c>
      <c r="C214" s="223" t="s">
        <v>1207</v>
      </c>
      <c r="D214" s="316">
        <v>44607.0</v>
      </c>
      <c r="E214" s="218">
        <v>1834.05</v>
      </c>
      <c r="F214" s="218">
        <v>0.0</v>
      </c>
      <c r="G214" s="218">
        <v>0.0</v>
      </c>
      <c r="H214" s="223">
        <v>1834.05</v>
      </c>
      <c r="J214" s="223" t="s">
        <v>52</v>
      </c>
      <c r="K214" s="317">
        <v>2022.02</v>
      </c>
    </row>
    <row r="215">
      <c r="A215" s="223" t="s">
        <v>302</v>
      </c>
      <c r="B215" s="223" t="s">
        <v>1233</v>
      </c>
      <c r="C215" s="223" t="s">
        <v>36</v>
      </c>
      <c r="D215" s="316">
        <v>44607.0</v>
      </c>
      <c r="E215" s="218">
        <v>3078.2949999999996</v>
      </c>
      <c r="F215" s="218">
        <v>114.2663104</v>
      </c>
      <c r="G215" s="218">
        <v>0.0</v>
      </c>
      <c r="H215" s="223">
        <v>2964.0286896</v>
      </c>
      <c r="J215" s="223" t="s">
        <v>252</v>
      </c>
      <c r="K215" s="317">
        <v>2022.0</v>
      </c>
    </row>
    <row r="216">
      <c r="A216" s="223" t="s">
        <v>305</v>
      </c>
      <c r="B216" s="223" t="s">
        <v>1229</v>
      </c>
      <c r="C216" s="223" t="s">
        <v>1230</v>
      </c>
      <c r="D216" s="316">
        <v>44607.0</v>
      </c>
      <c r="E216" s="218">
        <v>616.823</v>
      </c>
      <c r="F216" s="218">
        <v>0.0</v>
      </c>
      <c r="G216" s="218">
        <v>0.0</v>
      </c>
      <c r="H216" s="223">
        <v>616.823</v>
      </c>
      <c r="J216" s="223" t="s">
        <v>252</v>
      </c>
      <c r="K216" s="317">
        <v>2022.0</v>
      </c>
    </row>
    <row r="217">
      <c r="A217" s="223" t="s">
        <v>299</v>
      </c>
      <c r="B217" s="223" t="s">
        <v>1200</v>
      </c>
      <c r="C217" s="223" t="s">
        <v>1207</v>
      </c>
      <c r="D217" s="316">
        <v>44666.0</v>
      </c>
      <c r="E217" s="218">
        <v>1833.4499999999998</v>
      </c>
      <c r="F217" s="218">
        <v>0.0</v>
      </c>
      <c r="G217" s="218">
        <v>0.0</v>
      </c>
      <c r="H217" s="223">
        <v>1833.4499999999998</v>
      </c>
      <c r="J217" s="223" t="s">
        <v>309</v>
      </c>
      <c r="K217" s="317">
        <v>2022.04</v>
      </c>
    </row>
    <row r="218">
      <c r="A218" s="223" t="s">
        <v>311</v>
      </c>
      <c r="B218" s="223" t="s">
        <v>1216</v>
      </c>
      <c r="C218" s="223" t="s">
        <v>1222</v>
      </c>
      <c r="D218" s="316">
        <v>44635.0</v>
      </c>
      <c r="E218" s="218">
        <v>1500.0</v>
      </c>
      <c r="F218" s="218">
        <v>46.67</v>
      </c>
      <c r="G218" s="218">
        <v>0.0</v>
      </c>
      <c r="H218" s="223">
        <v>1453.33</v>
      </c>
      <c r="J218" s="223" t="s">
        <v>52</v>
      </c>
      <c r="K218" s="317">
        <v>2022.03</v>
      </c>
    </row>
    <row r="219">
      <c r="A219" s="223" t="s">
        <v>313</v>
      </c>
      <c r="B219" s="223" t="s">
        <v>1252</v>
      </c>
      <c r="C219" s="223" t="s">
        <v>1253</v>
      </c>
      <c r="D219" s="316">
        <v>44614.0</v>
      </c>
      <c r="E219" s="218">
        <v>5075.0</v>
      </c>
      <c r="F219" s="218">
        <v>0.0</v>
      </c>
      <c r="G219" s="218">
        <v>0.0</v>
      </c>
      <c r="H219" s="223">
        <v>5075.0</v>
      </c>
      <c r="J219" s="223" t="s">
        <v>196</v>
      </c>
      <c r="K219" s="317">
        <v>2022.0</v>
      </c>
    </row>
    <row r="220">
      <c r="A220" s="223" t="s">
        <v>313</v>
      </c>
      <c r="B220" s="223" t="s">
        <v>1252</v>
      </c>
      <c r="C220" s="223" t="s">
        <v>1253</v>
      </c>
      <c r="D220" s="316">
        <v>44651.0</v>
      </c>
      <c r="E220" s="218">
        <v>5075.0</v>
      </c>
      <c r="F220" s="218">
        <v>172.93</v>
      </c>
      <c r="G220" s="218">
        <v>0.0</v>
      </c>
      <c r="H220" s="223">
        <v>4902.07</v>
      </c>
      <c r="J220" s="223" t="s">
        <v>196</v>
      </c>
      <c r="K220" s="317">
        <v>2022.0</v>
      </c>
    </row>
    <row r="221">
      <c r="A221" s="223" t="s">
        <v>108</v>
      </c>
      <c r="B221" s="223" t="s">
        <v>1287</v>
      </c>
      <c r="C221" s="223" t="s">
        <v>1288</v>
      </c>
      <c r="D221" s="316">
        <v>44614.0</v>
      </c>
      <c r="E221" s="218">
        <v>38.980148400000004</v>
      </c>
      <c r="F221" s="218">
        <v>0.0</v>
      </c>
      <c r="G221" s="218">
        <v>0.0</v>
      </c>
      <c r="H221" s="223">
        <v>38.980148400000004</v>
      </c>
      <c r="J221" s="223" t="s">
        <v>52</v>
      </c>
      <c r="K221" s="317">
        <v>2022.02</v>
      </c>
    </row>
    <row r="222">
      <c r="A222" s="223" t="s">
        <v>54</v>
      </c>
      <c r="B222" s="223" t="s">
        <v>1187</v>
      </c>
      <c r="C222" s="223" t="s">
        <v>1156</v>
      </c>
      <c r="D222" s="316">
        <v>44620.0</v>
      </c>
      <c r="E222" s="218">
        <v>750.0</v>
      </c>
      <c r="F222" s="218">
        <v>23.33</v>
      </c>
      <c r="G222" s="218">
        <v>0.0</v>
      </c>
      <c r="H222" s="223">
        <v>726.67</v>
      </c>
      <c r="J222" s="223" t="s">
        <v>52</v>
      </c>
      <c r="K222" s="317">
        <v>2022.02</v>
      </c>
    </row>
    <row r="223">
      <c r="A223" s="223" t="s">
        <v>147</v>
      </c>
      <c r="B223" s="223" t="s">
        <v>1194</v>
      </c>
      <c r="C223" s="223" t="s">
        <v>1156</v>
      </c>
      <c r="D223" s="316">
        <v>44620.0</v>
      </c>
      <c r="E223" s="218">
        <v>900.0</v>
      </c>
      <c r="F223" s="218">
        <v>28.0</v>
      </c>
      <c r="G223" s="218">
        <v>0.0</v>
      </c>
      <c r="H223" s="223">
        <v>872.0</v>
      </c>
      <c r="J223" s="223" t="s">
        <v>52</v>
      </c>
      <c r="K223" s="317">
        <v>2022.02</v>
      </c>
    </row>
    <row r="224">
      <c r="A224" s="223" t="s">
        <v>58</v>
      </c>
      <c r="B224" s="223" t="s">
        <v>1197</v>
      </c>
      <c r="C224" s="223" t="s">
        <v>1156</v>
      </c>
      <c r="D224" s="316">
        <v>44620.0</v>
      </c>
      <c r="E224" s="218">
        <v>1550.0</v>
      </c>
      <c r="F224" s="218">
        <v>48.21</v>
      </c>
      <c r="G224" s="218">
        <v>0.0</v>
      </c>
      <c r="H224" s="223">
        <v>1501.79</v>
      </c>
      <c r="J224" s="223" t="s">
        <v>52</v>
      </c>
      <c r="K224" s="317">
        <v>2022.02</v>
      </c>
    </row>
    <row r="225">
      <c r="A225" s="223" t="s">
        <v>120</v>
      </c>
      <c r="B225" s="223" t="s">
        <v>1215</v>
      </c>
      <c r="C225" s="223" t="s">
        <v>1156</v>
      </c>
      <c r="D225" s="316">
        <v>44620.0</v>
      </c>
      <c r="E225" s="218">
        <v>3626.733</v>
      </c>
      <c r="F225" s="218">
        <v>141.26125035</v>
      </c>
      <c r="G225" s="218">
        <v>697.0943499300001</v>
      </c>
      <c r="H225" s="223">
        <v>2788.37739972</v>
      </c>
      <c r="J225" s="223" t="s">
        <v>52</v>
      </c>
      <c r="K225" s="317">
        <v>2022.02</v>
      </c>
    </row>
    <row r="226">
      <c r="A226" s="223" t="s">
        <v>84</v>
      </c>
      <c r="B226" s="223" t="s">
        <v>1227</v>
      </c>
      <c r="C226" s="223" t="s">
        <v>1156</v>
      </c>
      <c r="D226" s="316">
        <v>44620.0</v>
      </c>
      <c r="E226" s="218">
        <v>1000.0</v>
      </c>
      <c r="F226" s="218">
        <v>0.0</v>
      </c>
      <c r="G226" s="218">
        <v>0.0</v>
      </c>
      <c r="H226" s="223">
        <v>1000.0</v>
      </c>
      <c r="J226" s="223" t="s">
        <v>52</v>
      </c>
      <c r="K226" s="317">
        <v>2022.02</v>
      </c>
    </row>
    <row r="227">
      <c r="A227" s="223" t="s">
        <v>86</v>
      </c>
      <c r="B227" s="223" t="s">
        <v>1235</v>
      </c>
      <c r="C227" s="223" t="s">
        <v>1156</v>
      </c>
      <c r="D227" s="316">
        <v>44620.0</v>
      </c>
      <c r="E227" s="218">
        <v>550.0</v>
      </c>
      <c r="F227" s="218">
        <v>21.67</v>
      </c>
      <c r="G227" s="218">
        <v>0.0</v>
      </c>
      <c r="H227" s="223">
        <v>528.33</v>
      </c>
      <c r="J227" s="223" t="s">
        <v>52</v>
      </c>
      <c r="K227" s="317">
        <v>2022.02</v>
      </c>
    </row>
    <row r="228">
      <c r="A228" s="223" t="s">
        <v>42</v>
      </c>
      <c r="B228" s="223" t="s">
        <v>1236</v>
      </c>
      <c r="C228" s="223" t="s">
        <v>1156</v>
      </c>
      <c r="D228" s="316">
        <v>44620.0</v>
      </c>
      <c r="E228" s="218">
        <v>1500.0</v>
      </c>
      <c r="F228" s="218">
        <v>46.67</v>
      </c>
      <c r="G228" s="218">
        <v>217.99949999999998</v>
      </c>
      <c r="H228" s="223">
        <v>1235.3305</v>
      </c>
      <c r="J228" s="223" t="s">
        <v>52</v>
      </c>
      <c r="K228" s="317">
        <v>2022.02</v>
      </c>
    </row>
    <row r="229">
      <c r="A229" s="223" t="s">
        <v>82</v>
      </c>
      <c r="B229" s="223" t="s">
        <v>1124</v>
      </c>
      <c r="C229" s="223" t="s">
        <v>1156</v>
      </c>
      <c r="D229" s="316">
        <v>44620.0</v>
      </c>
      <c r="E229" s="218">
        <v>800.0</v>
      </c>
      <c r="F229" s="218">
        <v>0.0</v>
      </c>
      <c r="G229" s="218">
        <v>0.0</v>
      </c>
      <c r="H229" s="223">
        <v>800.0</v>
      </c>
      <c r="J229" s="223" t="s">
        <v>52</v>
      </c>
      <c r="K229" s="317">
        <v>2022.02</v>
      </c>
    </row>
    <row r="230">
      <c r="A230" s="223" t="s">
        <v>81</v>
      </c>
      <c r="B230" s="223" t="s">
        <v>1255</v>
      </c>
      <c r="C230" s="223" t="s">
        <v>1156</v>
      </c>
      <c r="D230" s="316">
        <v>44620.0</v>
      </c>
      <c r="E230" s="218">
        <v>1200.0</v>
      </c>
      <c r="F230" s="218">
        <v>0.0</v>
      </c>
      <c r="G230" s="218">
        <v>0.0</v>
      </c>
      <c r="H230" s="223">
        <v>1200.0</v>
      </c>
      <c r="J230" s="223" t="s">
        <v>52</v>
      </c>
      <c r="K230" s="317">
        <v>2022.02</v>
      </c>
    </row>
    <row r="231">
      <c r="A231" s="223" t="s">
        <v>88</v>
      </c>
      <c r="B231" s="223" t="s">
        <v>1256</v>
      </c>
      <c r="C231" s="223" t="s">
        <v>1156</v>
      </c>
      <c r="D231" s="316">
        <v>44620.0</v>
      </c>
      <c r="E231" s="218">
        <v>500.0</v>
      </c>
      <c r="F231" s="218">
        <v>15.53</v>
      </c>
      <c r="G231" s="218">
        <v>0.0</v>
      </c>
      <c r="H231" s="223">
        <v>484.47</v>
      </c>
      <c r="J231" s="223" t="s">
        <v>52</v>
      </c>
      <c r="K231" s="317">
        <v>2022.02</v>
      </c>
    </row>
    <row r="232">
      <c r="A232" s="223" t="s">
        <v>151</v>
      </c>
      <c r="B232" s="223" t="s">
        <v>1262</v>
      </c>
      <c r="C232" s="223" t="s">
        <v>1156</v>
      </c>
      <c r="D232" s="316">
        <v>44620.0</v>
      </c>
      <c r="E232" s="218">
        <v>793.48425</v>
      </c>
      <c r="F232" s="218">
        <v>29.72514075</v>
      </c>
      <c r="G232" s="218">
        <v>0.0</v>
      </c>
      <c r="H232" s="223">
        <v>763.7591092499999</v>
      </c>
      <c r="J232" s="223" t="s">
        <v>52</v>
      </c>
      <c r="K232" s="317">
        <v>2022.02</v>
      </c>
    </row>
    <row r="233">
      <c r="A233" s="223" t="s">
        <v>50</v>
      </c>
      <c r="B233" s="223" t="s">
        <v>1275</v>
      </c>
      <c r="C233" s="223" t="s">
        <v>1156</v>
      </c>
      <c r="D233" s="316">
        <v>44620.0</v>
      </c>
      <c r="E233" s="218">
        <v>375.0</v>
      </c>
      <c r="F233" s="218">
        <v>0.0</v>
      </c>
      <c r="G233" s="218">
        <v>0.0</v>
      </c>
      <c r="H233" s="223">
        <v>375.0</v>
      </c>
      <c r="J233" s="223" t="s">
        <v>52</v>
      </c>
      <c r="K233" s="317">
        <v>2022.02</v>
      </c>
    </row>
    <row r="234">
      <c r="A234" s="223" t="s">
        <v>75</v>
      </c>
      <c r="B234" s="223" t="s">
        <v>1279</v>
      </c>
      <c r="C234" s="223" t="s">
        <v>1156</v>
      </c>
      <c r="D234" s="316">
        <v>44620.0</v>
      </c>
      <c r="E234" s="218">
        <v>500.0</v>
      </c>
      <c r="F234" s="218">
        <v>0.0</v>
      </c>
      <c r="G234" s="218">
        <v>0.0</v>
      </c>
      <c r="H234" s="223">
        <v>500.0</v>
      </c>
      <c r="J234" s="223" t="s">
        <v>52</v>
      </c>
      <c r="K234" s="317">
        <v>2022.02</v>
      </c>
    </row>
    <row r="235">
      <c r="A235" s="223" t="s">
        <v>105</v>
      </c>
      <c r="B235" s="223" t="s">
        <v>1280</v>
      </c>
      <c r="C235" s="223" t="s">
        <v>2308</v>
      </c>
      <c r="D235" s="316">
        <v>44620.0</v>
      </c>
      <c r="E235" s="218">
        <v>368.1732</v>
      </c>
      <c r="F235" s="218">
        <v>13.9905816</v>
      </c>
      <c r="G235" s="218">
        <v>0.0</v>
      </c>
      <c r="H235" s="223">
        <v>354.1826184</v>
      </c>
      <c r="J235" s="223" t="s">
        <v>52</v>
      </c>
      <c r="K235" s="317">
        <v>2022.02</v>
      </c>
    </row>
    <row r="236">
      <c r="A236" s="223" t="s">
        <v>90</v>
      </c>
      <c r="B236" s="223" t="s">
        <v>1282</v>
      </c>
      <c r="C236" s="223" t="s">
        <v>1156</v>
      </c>
      <c r="D236" s="316">
        <v>44620.0</v>
      </c>
      <c r="E236" s="218">
        <v>250.0</v>
      </c>
      <c r="F236" s="218">
        <v>0.0</v>
      </c>
      <c r="G236" s="218">
        <v>0.0</v>
      </c>
      <c r="H236" s="223">
        <v>250.0</v>
      </c>
      <c r="J236" s="223" t="s">
        <v>52</v>
      </c>
      <c r="K236" s="317">
        <v>2022.02</v>
      </c>
    </row>
    <row r="237">
      <c r="A237" s="223" t="s">
        <v>97</v>
      </c>
      <c r="B237" s="223" t="s">
        <v>1286</v>
      </c>
      <c r="C237" s="223" t="s">
        <v>1156</v>
      </c>
      <c r="D237" s="316">
        <v>44620.0</v>
      </c>
      <c r="E237" s="218">
        <v>300.0</v>
      </c>
      <c r="F237" s="218">
        <v>9.33</v>
      </c>
      <c r="G237" s="218">
        <v>0.0</v>
      </c>
      <c r="H237" s="223">
        <v>290.67</v>
      </c>
      <c r="J237" s="223" t="s">
        <v>52</v>
      </c>
      <c r="K237" s="317">
        <v>2022.02</v>
      </c>
    </row>
    <row r="238">
      <c r="A238" s="223" t="s">
        <v>92</v>
      </c>
      <c r="B238" s="223" t="s">
        <v>1289</v>
      </c>
      <c r="C238" s="223" t="s">
        <v>1156</v>
      </c>
      <c r="D238" s="316">
        <v>44620.0</v>
      </c>
      <c r="E238" s="218">
        <v>2500.0</v>
      </c>
      <c r="F238" s="218">
        <v>77.78</v>
      </c>
      <c r="G238" s="218">
        <v>0.0</v>
      </c>
      <c r="H238" s="223">
        <v>2422.22</v>
      </c>
      <c r="J238" s="223" t="s">
        <v>52</v>
      </c>
      <c r="K238" s="317">
        <v>2022.02</v>
      </c>
    </row>
    <row r="239">
      <c r="A239" s="223" t="s">
        <v>112</v>
      </c>
      <c r="B239" s="223" t="s">
        <v>1296</v>
      </c>
      <c r="C239" s="223" t="s">
        <v>2309</v>
      </c>
      <c r="D239" s="316">
        <v>44620.0</v>
      </c>
      <c r="E239" s="218">
        <v>423.66205</v>
      </c>
      <c r="F239" s="218">
        <v>16.03863475</v>
      </c>
      <c r="G239" s="218">
        <v>0.0</v>
      </c>
      <c r="H239" s="223">
        <v>407.62341525</v>
      </c>
      <c r="J239" s="223" t="s">
        <v>52</v>
      </c>
      <c r="K239" s="317">
        <v>2022.02</v>
      </c>
    </row>
    <row r="240">
      <c r="A240" s="223" t="s">
        <v>123</v>
      </c>
      <c r="B240" s="223" t="s">
        <v>1300</v>
      </c>
      <c r="C240" s="223" t="s">
        <v>1156</v>
      </c>
      <c r="D240" s="316">
        <v>44620.0</v>
      </c>
      <c r="E240" s="218">
        <v>6758.378</v>
      </c>
      <c r="F240" s="218">
        <v>250.42862480000002</v>
      </c>
      <c r="G240" s="218">
        <v>1301.5898750400002</v>
      </c>
      <c r="H240" s="223">
        <v>5206.35950016</v>
      </c>
      <c r="J240" s="223" t="s">
        <v>52</v>
      </c>
      <c r="K240" s="317">
        <v>2022.02</v>
      </c>
    </row>
    <row r="241">
      <c r="A241" s="223" t="s">
        <v>115</v>
      </c>
      <c r="B241" s="223" t="s">
        <v>1308</v>
      </c>
      <c r="C241" s="223" t="s">
        <v>1156</v>
      </c>
      <c r="D241" s="316">
        <v>44620.0</v>
      </c>
      <c r="E241" s="218">
        <v>2430.25</v>
      </c>
      <c r="F241" s="218">
        <v>0.0</v>
      </c>
      <c r="G241" s="218">
        <v>0.0</v>
      </c>
      <c r="H241" s="223">
        <v>2430.25</v>
      </c>
      <c r="J241" s="223" t="s">
        <v>52</v>
      </c>
      <c r="K241" s="317">
        <v>2022.02</v>
      </c>
    </row>
    <row r="242">
      <c r="A242" s="223" t="s">
        <v>118</v>
      </c>
      <c r="B242" s="223" t="s">
        <v>1312</v>
      </c>
      <c r="C242" s="223" t="s">
        <v>1156</v>
      </c>
      <c r="D242" s="316">
        <v>44620.0</v>
      </c>
      <c r="E242" s="218">
        <v>2430.25</v>
      </c>
      <c r="F242" s="218">
        <v>0.0</v>
      </c>
      <c r="G242" s="218">
        <v>0.0</v>
      </c>
      <c r="H242" s="223">
        <v>2430.25</v>
      </c>
      <c r="J242" s="223" t="s">
        <v>52</v>
      </c>
      <c r="K242" s="317">
        <v>2022.02</v>
      </c>
    </row>
    <row r="243">
      <c r="A243" s="223" t="s">
        <v>73</v>
      </c>
      <c r="B243" s="223" t="s">
        <v>1327</v>
      </c>
      <c r="C243" s="223" t="s">
        <v>1156</v>
      </c>
      <c r="D243" s="316">
        <v>44620.0</v>
      </c>
      <c r="E243" s="218">
        <v>700.0</v>
      </c>
      <c r="F243" s="218">
        <v>23.44</v>
      </c>
      <c r="G243" s="218">
        <v>0.0</v>
      </c>
      <c r="H243" s="223">
        <v>676.56</v>
      </c>
      <c r="J243" s="223" t="s">
        <v>52</v>
      </c>
      <c r="K243" s="317">
        <v>2022.02</v>
      </c>
    </row>
    <row r="244">
      <c r="A244" s="223" t="s">
        <v>223</v>
      </c>
      <c r="B244" s="223" t="s">
        <v>1176</v>
      </c>
      <c r="C244" s="223" t="s">
        <v>1156</v>
      </c>
      <c r="D244" s="316">
        <v>44620.0</v>
      </c>
      <c r="E244" s="218">
        <v>800.0</v>
      </c>
      <c r="F244" s="218">
        <v>24.89</v>
      </c>
      <c r="G244" s="218">
        <v>0.0</v>
      </c>
      <c r="H244" s="223">
        <v>775.11</v>
      </c>
      <c r="J244" s="223" t="s">
        <v>52</v>
      </c>
      <c r="K244" s="317">
        <v>2022.02</v>
      </c>
    </row>
    <row r="245">
      <c r="A245" s="223" t="s">
        <v>326</v>
      </c>
      <c r="B245" s="223" t="s">
        <v>1209</v>
      </c>
      <c r="C245" s="223" t="s">
        <v>1210</v>
      </c>
      <c r="D245" s="316">
        <v>44627.0</v>
      </c>
      <c r="E245" s="218">
        <v>1236.653</v>
      </c>
      <c r="F245" s="218">
        <v>46.127156899999996</v>
      </c>
      <c r="G245" s="218">
        <v>238.10516862</v>
      </c>
      <c r="H245" s="223">
        <v>952.42067448</v>
      </c>
      <c r="J245" s="223" t="s">
        <v>196</v>
      </c>
      <c r="K245" s="317">
        <v>2022.0</v>
      </c>
    </row>
    <row r="246">
      <c r="A246" s="223" t="s">
        <v>326</v>
      </c>
      <c r="B246" s="223" t="s">
        <v>1209</v>
      </c>
      <c r="C246" s="223" t="s">
        <v>1210</v>
      </c>
      <c r="D246" s="316">
        <v>44666.0</v>
      </c>
      <c r="E246" s="218">
        <v>1220.8419999999999</v>
      </c>
      <c r="F246" s="218">
        <v>45.5374066</v>
      </c>
      <c r="G246" s="218">
        <v>235.06091868</v>
      </c>
      <c r="H246" s="223">
        <v>940.24367472</v>
      </c>
      <c r="J246" s="223" t="s">
        <v>196</v>
      </c>
      <c r="K246" s="317">
        <v>2022.0</v>
      </c>
    </row>
    <row r="247">
      <c r="A247" s="223" t="s">
        <v>311</v>
      </c>
      <c r="B247" s="223" t="s">
        <v>1216</v>
      </c>
      <c r="C247" s="223" t="s">
        <v>1222</v>
      </c>
      <c r="D247" s="316">
        <v>44635.0</v>
      </c>
      <c r="E247" s="218">
        <v>500.0</v>
      </c>
      <c r="F247" s="218">
        <v>15.56</v>
      </c>
      <c r="G247" s="218">
        <v>0.0</v>
      </c>
      <c r="H247" s="223">
        <v>484.44</v>
      </c>
      <c r="J247" s="223" t="s">
        <v>52</v>
      </c>
      <c r="K247" s="317">
        <v>2022.03</v>
      </c>
    </row>
    <row r="248">
      <c r="A248" s="223" t="s">
        <v>162</v>
      </c>
      <c r="B248" s="223" t="s">
        <v>1200</v>
      </c>
      <c r="C248" s="223" t="s">
        <v>1202</v>
      </c>
      <c r="D248" s="316">
        <v>44635.0</v>
      </c>
      <c r="E248" s="218">
        <v>1556.1249999999998</v>
      </c>
      <c r="F248" s="218">
        <v>0.0</v>
      </c>
      <c r="G248" s="218">
        <v>0.0</v>
      </c>
      <c r="H248" s="223">
        <v>1556.1249999999998</v>
      </c>
      <c r="J248" s="223" t="s">
        <v>196</v>
      </c>
      <c r="K248" s="317">
        <v>2022.0</v>
      </c>
    </row>
    <row r="249">
      <c r="A249" s="223" t="s">
        <v>334</v>
      </c>
      <c r="B249" s="223" t="s">
        <v>1197</v>
      </c>
      <c r="C249" s="223" t="s">
        <v>1198</v>
      </c>
      <c r="D249" s="316">
        <v>44651.0</v>
      </c>
      <c r="E249" s="218">
        <v>178.2</v>
      </c>
      <c r="F249" s="218">
        <v>5.28</v>
      </c>
      <c r="G249" s="218">
        <v>0.0</v>
      </c>
      <c r="H249" s="223">
        <v>172.92</v>
      </c>
      <c r="J249" s="223" t="s">
        <v>252</v>
      </c>
      <c r="K249" s="317">
        <v>2022.03</v>
      </c>
    </row>
    <row r="250">
      <c r="A250" s="223" t="s">
        <v>68</v>
      </c>
      <c r="B250" s="223" t="s">
        <v>1178</v>
      </c>
      <c r="C250" s="223" t="s">
        <v>1156</v>
      </c>
      <c r="D250" s="316">
        <v>44635.0</v>
      </c>
      <c r="E250" s="218">
        <v>650.0</v>
      </c>
      <c r="F250" s="218">
        <v>20.09</v>
      </c>
      <c r="G250" s="218">
        <v>0.0</v>
      </c>
      <c r="H250" s="223">
        <v>629.91</v>
      </c>
      <c r="J250" s="223" t="s">
        <v>52</v>
      </c>
      <c r="K250" s="317">
        <v>2022.03</v>
      </c>
    </row>
    <row r="251">
      <c r="A251" s="223" t="s">
        <v>99</v>
      </c>
      <c r="B251" s="223" t="s">
        <v>1192</v>
      </c>
      <c r="C251" s="223" t="s">
        <v>1156</v>
      </c>
      <c r="D251" s="316">
        <v>44635.0</v>
      </c>
      <c r="E251" s="218">
        <v>1603.992</v>
      </c>
      <c r="F251" s="218">
        <v>59.717856</v>
      </c>
      <c r="G251" s="218">
        <v>308.8548288</v>
      </c>
      <c r="H251" s="223">
        <v>1235.4193152</v>
      </c>
      <c r="J251" s="223" t="s">
        <v>52</v>
      </c>
      <c r="K251" s="317">
        <v>2022.03</v>
      </c>
    </row>
    <row r="252">
      <c r="A252" s="223" t="s">
        <v>102</v>
      </c>
      <c r="B252" s="223" t="s">
        <v>1259</v>
      </c>
      <c r="C252" s="223" t="s">
        <v>1156</v>
      </c>
      <c r="D252" s="316">
        <v>44635.0</v>
      </c>
      <c r="E252" s="218">
        <v>426.51385000000005</v>
      </c>
      <c r="F252" s="218">
        <v>16.146595750000003</v>
      </c>
      <c r="G252" s="218">
        <v>0.0</v>
      </c>
      <c r="H252" s="223">
        <v>410.36725425000003</v>
      </c>
      <c r="J252" s="223" t="s">
        <v>52</v>
      </c>
      <c r="K252" s="317">
        <v>2022.03</v>
      </c>
    </row>
    <row r="253">
      <c r="A253" s="223" t="s">
        <v>156</v>
      </c>
      <c r="B253" s="223" t="s">
        <v>1293</v>
      </c>
      <c r="C253" s="223" t="s">
        <v>1156</v>
      </c>
      <c r="D253" s="316">
        <v>44635.0</v>
      </c>
      <c r="E253" s="218">
        <v>614.6405000000001</v>
      </c>
      <c r="F253" s="218">
        <v>23.110482800000003</v>
      </c>
      <c r="G253" s="218">
        <v>118.30600344000003</v>
      </c>
      <c r="H253" s="223">
        <v>473.22401376000005</v>
      </c>
      <c r="J253" s="223" t="s">
        <v>52</v>
      </c>
      <c r="K253" s="317">
        <v>2022.03</v>
      </c>
    </row>
    <row r="254">
      <c r="A254" s="223" t="s">
        <v>62</v>
      </c>
      <c r="B254" s="223" t="s">
        <v>1304</v>
      </c>
      <c r="C254" s="223" t="s">
        <v>1156</v>
      </c>
      <c r="D254" s="316">
        <v>44635.0</v>
      </c>
      <c r="E254" s="218">
        <v>1600.0</v>
      </c>
      <c r="F254" s="218">
        <v>49.78</v>
      </c>
      <c r="G254" s="218">
        <v>0.0</v>
      </c>
      <c r="H254" s="223">
        <v>1550.22</v>
      </c>
      <c r="J254" s="223" t="s">
        <v>52</v>
      </c>
      <c r="K254" s="317">
        <v>2022.03</v>
      </c>
    </row>
    <row r="255">
      <c r="A255" s="223" t="s">
        <v>66</v>
      </c>
      <c r="B255" s="223" t="s">
        <v>1324</v>
      </c>
      <c r="C255" s="223" t="s">
        <v>1156</v>
      </c>
      <c r="D255" s="316">
        <v>44635.0</v>
      </c>
      <c r="E255" s="218">
        <v>900.0</v>
      </c>
      <c r="F255" s="218">
        <v>0.0</v>
      </c>
      <c r="G255" s="218">
        <v>0.0</v>
      </c>
      <c r="H255" s="223">
        <v>900.0</v>
      </c>
      <c r="J255" s="223" t="s">
        <v>52</v>
      </c>
      <c r="K255" s="317">
        <v>2022.03</v>
      </c>
    </row>
    <row r="256">
      <c r="A256" s="223" t="s">
        <v>225</v>
      </c>
      <c r="B256" s="223" t="s">
        <v>1257</v>
      </c>
      <c r="C256" s="223" t="s">
        <v>1156</v>
      </c>
      <c r="D256" s="316">
        <v>44635.0</v>
      </c>
      <c r="E256" s="218">
        <v>5000.0</v>
      </c>
      <c r="F256" s="218">
        <v>0.0</v>
      </c>
      <c r="G256" s="218">
        <v>0.0</v>
      </c>
      <c r="H256" s="223">
        <v>5000.0</v>
      </c>
      <c r="J256" s="223" t="s">
        <v>52</v>
      </c>
      <c r="K256" s="317">
        <v>2022.03</v>
      </c>
    </row>
    <row r="257">
      <c r="A257" s="223" t="s">
        <v>246</v>
      </c>
      <c r="B257" s="223" t="s">
        <v>1184</v>
      </c>
      <c r="C257" s="223" t="s">
        <v>1156</v>
      </c>
      <c r="D257" s="316">
        <v>44635.0</v>
      </c>
      <c r="E257" s="218">
        <v>500.0</v>
      </c>
      <c r="F257" s="218">
        <v>0.0</v>
      </c>
      <c r="G257" s="218">
        <v>0.0</v>
      </c>
      <c r="H257" s="223">
        <v>500.0</v>
      </c>
      <c r="J257" s="223" t="s">
        <v>52</v>
      </c>
      <c r="K257" s="317">
        <v>2022.03</v>
      </c>
    </row>
    <row r="258">
      <c r="A258" s="223" t="s">
        <v>296</v>
      </c>
      <c r="B258" s="223" t="s">
        <v>1200</v>
      </c>
      <c r="C258" s="223" t="s">
        <v>1205</v>
      </c>
      <c r="D258" s="316">
        <v>44635.0</v>
      </c>
      <c r="E258" s="218">
        <v>2439.4</v>
      </c>
      <c r="F258" s="218">
        <v>0.0</v>
      </c>
      <c r="G258" s="218">
        <v>0.0</v>
      </c>
      <c r="H258" s="223">
        <v>2439.4</v>
      </c>
      <c r="J258" s="223" t="s">
        <v>52</v>
      </c>
      <c r="K258" s="317">
        <v>2022.03</v>
      </c>
    </row>
    <row r="259">
      <c r="A259" s="223" t="s">
        <v>299</v>
      </c>
      <c r="B259" s="223" t="s">
        <v>1200</v>
      </c>
      <c r="C259" s="223" t="s">
        <v>1207</v>
      </c>
      <c r="D259" s="316">
        <v>44635.0</v>
      </c>
      <c r="E259" s="218">
        <v>1867.35</v>
      </c>
      <c r="F259" s="218">
        <v>0.0</v>
      </c>
      <c r="G259" s="218">
        <v>0.0</v>
      </c>
      <c r="H259" s="223">
        <v>1867.35</v>
      </c>
      <c r="J259" s="223" t="s">
        <v>52</v>
      </c>
      <c r="K259" s="317">
        <v>2022.03</v>
      </c>
    </row>
    <row r="260">
      <c r="A260" s="223" t="s">
        <v>311</v>
      </c>
      <c r="B260" s="223" t="s">
        <v>1216</v>
      </c>
      <c r="C260" s="223" t="s">
        <v>1222</v>
      </c>
      <c r="D260" s="316">
        <v>44666.0</v>
      </c>
      <c r="E260" s="218">
        <v>600.0</v>
      </c>
      <c r="F260" s="218">
        <v>18.67</v>
      </c>
      <c r="G260" s="218">
        <v>0.0</v>
      </c>
      <c r="H260" s="223">
        <v>581.33</v>
      </c>
      <c r="J260" s="223" t="s">
        <v>52</v>
      </c>
      <c r="K260" s="317">
        <v>2022.04</v>
      </c>
    </row>
    <row r="261">
      <c r="A261" s="223" t="s">
        <v>162</v>
      </c>
      <c r="B261" s="223" t="s">
        <v>1200</v>
      </c>
      <c r="C261" s="223" t="s">
        <v>1202</v>
      </c>
      <c r="D261" s="316">
        <v>44666.0</v>
      </c>
      <c r="E261" s="218">
        <v>1527.875</v>
      </c>
      <c r="F261" s="218">
        <v>0.0</v>
      </c>
      <c r="G261" s="218">
        <v>0.0</v>
      </c>
      <c r="H261" s="223">
        <v>1527.875</v>
      </c>
      <c r="J261" s="223" t="s">
        <v>196</v>
      </c>
      <c r="K261" s="317">
        <v>2022.0</v>
      </c>
    </row>
    <row r="262">
      <c r="A262" s="223" t="s">
        <v>347</v>
      </c>
      <c r="B262" s="223" t="s">
        <v>1330</v>
      </c>
      <c r="C262" s="223" t="s">
        <v>1331</v>
      </c>
      <c r="D262" s="316">
        <v>44635.0</v>
      </c>
      <c r="E262" s="218">
        <v>750.0</v>
      </c>
      <c r="F262" s="218">
        <v>25.11</v>
      </c>
      <c r="G262" s="218">
        <v>0.0</v>
      </c>
      <c r="H262" s="223">
        <v>724.89</v>
      </c>
      <c r="J262" s="223" t="s">
        <v>196</v>
      </c>
      <c r="K262" s="317">
        <v>2022.0</v>
      </c>
    </row>
    <row r="263">
      <c r="A263" s="223" t="s">
        <v>347</v>
      </c>
      <c r="B263" s="223" t="s">
        <v>1330</v>
      </c>
      <c r="C263" s="223" t="s">
        <v>1331</v>
      </c>
      <c r="D263" s="316">
        <v>44680.0</v>
      </c>
      <c r="E263" s="218">
        <v>750.0</v>
      </c>
      <c r="F263" s="218">
        <v>25.11</v>
      </c>
      <c r="G263" s="218">
        <v>0.0</v>
      </c>
      <c r="H263" s="223">
        <v>724.89</v>
      </c>
      <c r="J263" s="223" t="s">
        <v>196</v>
      </c>
      <c r="K263" s="317">
        <v>2022.0</v>
      </c>
    </row>
    <row r="264">
      <c r="A264" s="223" t="s">
        <v>350</v>
      </c>
      <c r="B264" s="223" t="s">
        <v>1333</v>
      </c>
      <c r="C264" s="223" t="s">
        <v>36</v>
      </c>
      <c r="D264" s="316">
        <v>44635.0</v>
      </c>
      <c r="E264" s="218">
        <v>1200.0</v>
      </c>
      <c r="F264" s="218">
        <v>37.33</v>
      </c>
      <c r="G264" s="218">
        <v>0.0</v>
      </c>
      <c r="H264" s="223">
        <v>1162.67</v>
      </c>
      <c r="J264" s="223" t="s">
        <v>210</v>
      </c>
      <c r="K264" s="317">
        <v>2022.0</v>
      </c>
    </row>
    <row r="265">
      <c r="A265" s="223" t="s">
        <v>352</v>
      </c>
      <c r="B265" s="223" t="s">
        <v>1283</v>
      </c>
      <c r="C265" s="223" t="s">
        <v>1334</v>
      </c>
      <c r="D265" s="316">
        <v>44651.0</v>
      </c>
      <c r="E265" s="218">
        <v>700.0</v>
      </c>
      <c r="F265" s="218">
        <v>21.78</v>
      </c>
      <c r="G265" s="218">
        <v>0.0</v>
      </c>
      <c r="H265" s="223">
        <v>678.22</v>
      </c>
      <c r="J265" s="223" t="s">
        <v>210</v>
      </c>
      <c r="K265" s="317">
        <v>2022.0</v>
      </c>
    </row>
    <row r="266">
      <c r="A266" s="223" t="s">
        <v>354</v>
      </c>
      <c r="B266" s="223" t="s">
        <v>1309</v>
      </c>
      <c r="C266" s="223" t="s">
        <v>1336</v>
      </c>
      <c r="D266" s="316">
        <v>44642.0</v>
      </c>
      <c r="E266" s="218">
        <v>3000.0</v>
      </c>
      <c r="F266" s="218">
        <v>0.0</v>
      </c>
      <c r="G266" s="218">
        <v>0.0</v>
      </c>
      <c r="H266" s="223">
        <v>3000.0</v>
      </c>
      <c r="J266" s="223" t="s">
        <v>280</v>
      </c>
      <c r="K266" s="317">
        <v>2022.0</v>
      </c>
    </row>
    <row r="267">
      <c r="A267" s="223" t="s">
        <v>356</v>
      </c>
      <c r="B267" s="223" t="s">
        <v>1216</v>
      </c>
      <c r="C267" s="223" t="s">
        <v>1340</v>
      </c>
      <c r="D267" s="316">
        <v>44642.0</v>
      </c>
      <c r="E267" s="218">
        <v>300.0</v>
      </c>
      <c r="F267" s="218">
        <v>9.33</v>
      </c>
      <c r="G267" s="218">
        <v>0.0</v>
      </c>
      <c r="H267" s="223">
        <v>290.67</v>
      </c>
      <c r="J267" s="223" t="s">
        <v>210</v>
      </c>
      <c r="K267" s="317">
        <v>2022.0</v>
      </c>
    </row>
    <row r="268">
      <c r="A268" s="223" t="s">
        <v>354</v>
      </c>
      <c r="B268" s="223" t="s">
        <v>1309</v>
      </c>
      <c r="C268" s="223" t="s">
        <v>1336</v>
      </c>
      <c r="D268" s="316">
        <v>44742.0</v>
      </c>
      <c r="E268" s="218">
        <v>2000.0</v>
      </c>
      <c r="F268" s="218">
        <v>0.0</v>
      </c>
      <c r="G268" s="218">
        <v>0.0</v>
      </c>
      <c r="H268" s="223">
        <v>2000.0</v>
      </c>
      <c r="J268" s="223" t="s">
        <v>52</v>
      </c>
      <c r="K268" s="317">
        <v>2022.06</v>
      </c>
    </row>
    <row r="269">
      <c r="A269" s="223" t="s">
        <v>354</v>
      </c>
      <c r="B269" s="223" t="s">
        <v>1309</v>
      </c>
      <c r="C269" s="223" t="s">
        <v>1336</v>
      </c>
      <c r="D269" s="316">
        <v>44771.0</v>
      </c>
      <c r="E269" s="218">
        <v>2000.0</v>
      </c>
      <c r="F269" s="218">
        <v>0.0</v>
      </c>
      <c r="G269" s="218">
        <v>0.0</v>
      </c>
      <c r="H269" s="223">
        <v>2000.0</v>
      </c>
      <c r="J269" s="223" t="s">
        <v>52</v>
      </c>
      <c r="K269" s="317">
        <v>2022.07</v>
      </c>
    </row>
    <row r="270">
      <c r="A270" s="223" t="s">
        <v>354</v>
      </c>
      <c r="B270" s="223" t="s">
        <v>1309</v>
      </c>
      <c r="C270" s="223" t="s">
        <v>1336</v>
      </c>
      <c r="D270" s="316">
        <v>44796.0</v>
      </c>
      <c r="E270" s="218">
        <v>2000.0</v>
      </c>
      <c r="F270" s="218">
        <v>0.0</v>
      </c>
      <c r="G270" s="218">
        <v>0.0</v>
      </c>
      <c r="H270" s="223">
        <v>2000.0</v>
      </c>
      <c r="J270" s="223" t="s">
        <v>52</v>
      </c>
      <c r="K270" s="317">
        <v>2022.08</v>
      </c>
    </row>
    <row r="271">
      <c r="A271" s="223" t="s">
        <v>354</v>
      </c>
      <c r="B271" s="223" t="s">
        <v>1309</v>
      </c>
      <c r="C271" s="223" t="s">
        <v>1336</v>
      </c>
      <c r="D271" s="316">
        <v>44819.0</v>
      </c>
      <c r="E271" s="218">
        <v>2000.0</v>
      </c>
      <c r="F271" s="218"/>
      <c r="G271" s="218">
        <v>0.0</v>
      </c>
      <c r="H271" s="223">
        <v>2000.0</v>
      </c>
      <c r="J271" s="223" t="s">
        <v>52</v>
      </c>
      <c r="K271" s="317">
        <v>2022.09</v>
      </c>
    </row>
    <row r="272">
      <c r="A272" s="223" t="s">
        <v>358</v>
      </c>
      <c r="B272" s="223" t="s">
        <v>1176</v>
      </c>
      <c r="C272" s="223" t="s">
        <v>1341</v>
      </c>
      <c r="D272" s="316" t="s">
        <v>359</v>
      </c>
      <c r="E272" s="218">
        <v>1300.0</v>
      </c>
      <c r="F272" s="218"/>
      <c r="G272" s="218">
        <v>0.0</v>
      </c>
      <c r="H272" s="223">
        <v>1300.0</v>
      </c>
      <c r="J272" s="223" t="s">
        <v>210</v>
      </c>
      <c r="K272" s="317" t="s">
        <v>200</v>
      </c>
    </row>
    <row r="273">
      <c r="A273" s="223" t="s">
        <v>135</v>
      </c>
      <c r="B273" s="223" t="s">
        <v>1311</v>
      </c>
      <c r="C273" s="223" t="s">
        <v>1168</v>
      </c>
      <c r="D273" s="316">
        <v>44642.0</v>
      </c>
      <c r="E273" s="218">
        <v>350.0</v>
      </c>
      <c r="F273" s="218">
        <v>0.0</v>
      </c>
      <c r="G273" s="218">
        <v>0.0</v>
      </c>
      <c r="H273" s="223">
        <v>350.0</v>
      </c>
      <c r="J273" s="223" t="s">
        <v>210</v>
      </c>
      <c r="K273" s="317">
        <v>2022.0</v>
      </c>
    </row>
    <row r="274">
      <c r="A274" s="223" t="s">
        <v>54</v>
      </c>
      <c r="B274" s="223" t="s">
        <v>1187</v>
      </c>
      <c r="C274" s="223" t="s">
        <v>1156</v>
      </c>
      <c r="D274" s="316">
        <v>44651.0</v>
      </c>
      <c r="E274" s="218">
        <v>750.0</v>
      </c>
      <c r="F274" s="218">
        <v>23.33</v>
      </c>
      <c r="G274" s="218">
        <v>0.0</v>
      </c>
      <c r="H274" s="223">
        <v>726.67</v>
      </c>
      <c r="J274" s="223" t="s">
        <v>52</v>
      </c>
      <c r="K274" s="317">
        <v>2022.03</v>
      </c>
    </row>
    <row r="275">
      <c r="A275" s="223" t="s">
        <v>147</v>
      </c>
      <c r="B275" s="223" t="s">
        <v>1194</v>
      </c>
      <c r="C275" s="223" t="s">
        <v>1156</v>
      </c>
      <c r="D275" s="316">
        <v>44651.0</v>
      </c>
      <c r="E275" s="218">
        <v>900.0</v>
      </c>
      <c r="F275" s="218">
        <v>28.0</v>
      </c>
      <c r="G275" s="218">
        <v>0.0</v>
      </c>
      <c r="H275" s="223">
        <v>872.0</v>
      </c>
      <c r="J275" s="223" t="s">
        <v>52</v>
      </c>
      <c r="K275" s="317">
        <v>2022.03</v>
      </c>
    </row>
    <row r="276">
      <c r="A276" s="223" t="s">
        <v>58</v>
      </c>
      <c r="B276" s="223" t="s">
        <v>1197</v>
      </c>
      <c r="C276" s="223" t="s">
        <v>1156</v>
      </c>
      <c r="D276" s="316">
        <v>44651.0</v>
      </c>
      <c r="E276" s="218">
        <v>1550.0</v>
      </c>
      <c r="F276" s="218">
        <v>48.22</v>
      </c>
      <c r="G276" s="218">
        <v>0.0</v>
      </c>
      <c r="H276" s="223">
        <v>1501.78</v>
      </c>
      <c r="J276" s="223" t="s">
        <v>52</v>
      </c>
      <c r="K276" s="317">
        <v>2022.03</v>
      </c>
    </row>
    <row r="277">
      <c r="A277" s="223" t="s">
        <v>120</v>
      </c>
      <c r="B277" s="223" t="s">
        <v>1215</v>
      </c>
      <c r="C277" s="223" t="s">
        <v>1156</v>
      </c>
      <c r="D277" s="316">
        <v>44651.0</v>
      </c>
      <c r="E277" s="218">
        <v>1814.385</v>
      </c>
      <c r="F277" s="218">
        <v>67.495122</v>
      </c>
      <c r="G277" s="218">
        <v>349.3779756</v>
      </c>
      <c r="H277" s="223">
        <v>1397.5119024</v>
      </c>
      <c r="J277" s="223" t="s">
        <v>52</v>
      </c>
      <c r="K277" s="317">
        <v>2022.03</v>
      </c>
    </row>
    <row r="278">
      <c r="A278" s="223" t="s">
        <v>84</v>
      </c>
      <c r="B278" s="223" t="s">
        <v>1227</v>
      </c>
      <c r="C278" s="223" t="s">
        <v>1156</v>
      </c>
      <c r="D278" s="316">
        <v>44651.0</v>
      </c>
      <c r="E278" s="218">
        <v>1000.0</v>
      </c>
      <c r="F278" s="218">
        <v>0.0</v>
      </c>
      <c r="G278" s="218">
        <v>0.0</v>
      </c>
      <c r="H278" s="223">
        <v>1000.0</v>
      </c>
      <c r="J278" s="223" t="s">
        <v>52</v>
      </c>
      <c r="K278" s="317">
        <v>2022.03</v>
      </c>
    </row>
    <row r="279">
      <c r="A279" s="223" t="s">
        <v>86</v>
      </c>
      <c r="B279" s="223" t="s">
        <v>1235</v>
      </c>
      <c r="C279" s="223" t="s">
        <v>1156</v>
      </c>
      <c r="D279" s="316">
        <v>44651.0</v>
      </c>
      <c r="E279" s="218">
        <v>550.0</v>
      </c>
      <c r="F279" s="218">
        <v>21.67</v>
      </c>
      <c r="G279" s="218">
        <v>0.0</v>
      </c>
      <c r="H279" s="223">
        <v>528.33</v>
      </c>
      <c r="J279" s="223" t="s">
        <v>52</v>
      </c>
      <c r="K279" s="317">
        <v>2022.03</v>
      </c>
    </row>
    <row r="280">
      <c r="A280" s="223" t="s">
        <v>42</v>
      </c>
      <c r="B280" s="223" t="s">
        <v>1236</v>
      </c>
      <c r="C280" s="223" t="s">
        <v>1156</v>
      </c>
      <c r="D280" s="316">
        <v>44651.0</v>
      </c>
      <c r="E280" s="218">
        <v>1500.0</v>
      </c>
      <c r="F280" s="218">
        <v>46.67</v>
      </c>
      <c r="G280" s="218">
        <v>217.99949999999998</v>
      </c>
      <c r="H280" s="223">
        <v>1235.3305</v>
      </c>
      <c r="J280" s="223" t="s">
        <v>52</v>
      </c>
      <c r="K280" s="317">
        <v>2022.03</v>
      </c>
    </row>
    <row r="281">
      <c r="A281" s="223" t="s">
        <v>82</v>
      </c>
      <c r="B281" s="223" t="s">
        <v>1124</v>
      </c>
      <c r="C281" s="223" t="s">
        <v>1156</v>
      </c>
      <c r="D281" s="316">
        <v>44651.0</v>
      </c>
      <c r="E281" s="218">
        <v>800.0</v>
      </c>
      <c r="F281" s="218">
        <v>0.0</v>
      </c>
      <c r="G281" s="218">
        <v>0.0</v>
      </c>
      <c r="H281" s="223">
        <v>800.0</v>
      </c>
      <c r="J281" s="223" t="s">
        <v>52</v>
      </c>
      <c r="K281" s="317">
        <v>2022.03</v>
      </c>
    </row>
    <row r="282">
      <c r="A282" s="223" t="s">
        <v>151</v>
      </c>
      <c r="B282" s="223" t="s">
        <v>1262</v>
      </c>
      <c r="C282" s="223" t="s">
        <v>1156</v>
      </c>
      <c r="D282" s="316">
        <v>44651.0</v>
      </c>
      <c r="E282" s="218">
        <v>808.36405</v>
      </c>
      <c r="F282" s="218">
        <v>30.00896081</v>
      </c>
      <c r="G282" s="218">
        <v>0.0</v>
      </c>
      <c r="H282" s="223">
        <v>778.3550891900001</v>
      </c>
      <c r="J282" s="223" t="s">
        <v>52</v>
      </c>
      <c r="K282" s="317">
        <v>2022.03</v>
      </c>
    </row>
    <row r="283">
      <c r="A283" s="223" t="s">
        <v>50</v>
      </c>
      <c r="B283" s="223" t="s">
        <v>1275</v>
      </c>
      <c r="C283" s="223" t="s">
        <v>1156</v>
      </c>
      <c r="D283" s="316">
        <v>44651.0</v>
      </c>
      <c r="E283" s="218">
        <v>375.0</v>
      </c>
      <c r="F283" s="218">
        <v>0.0</v>
      </c>
      <c r="G283" s="218">
        <v>0.0</v>
      </c>
      <c r="H283" s="223">
        <v>375.0</v>
      </c>
      <c r="J283" s="223" t="s">
        <v>52</v>
      </c>
      <c r="K283" s="317">
        <v>2022.03</v>
      </c>
    </row>
    <row r="284">
      <c r="A284" s="223" t="s">
        <v>75</v>
      </c>
      <c r="B284" s="223" t="s">
        <v>1279</v>
      </c>
      <c r="C284" s="223" t="s">
        <v>1156</v>
      </c>
      <c r="D284" s="316">
        <v>44651.0</v>
      </c>
      <c r="E284" s="218">
        <v>500.0</v>
      </c>
      <c r="F284" s="218">
        <v>0.0</v>
      </c>
      <c r="G284" s="218">
        <v>0.0</v>
      </c>
      <c r="H284" s="223">
        <v>500.0</v>
      </c>
      <c r="J284" s="223" t="s">
        <v>52</v>
      </c>
      <c r="K284" s="317">
        <v>2022.03</v>
      </c>
    </row>
    <row r="285">
      <c r="A285" s="223" t="s">
        <v>105</v>
      </c>
      <c r="B285" s="223" t="s">
        <v>1280</v>
      </c>
      <c r="C285" s="223" t="s">
        <v>2308</v>
      </c>
      <c r="D285" s="316">
        <v>44651.0</v>
      </c>
      <c r="E285" s="218">
        <v>362.67330000000004</v>
      </c>
      <c r="F285" s="218">
        <v>13.7815854</v>
      </c>
      <c r="G285" s="218">
        <v>0.0</v>
      </c>
      <c r="H285" s="223">
        <v>348.89171460000006</v>
      </c>
      <c r="J285" s="223" t="s">
        <v>52</v>
      </c>
      <c r="K285" s="317">
        <v>2022.03</v>
      </c>
    </row>
    <row r="286">
      <c r="A286" s="223" t="s">
        <v>90</v>
      </c>
      <c r="B286" s="223" t="s">
        <v>1282</v>
      </c>
      <c r="C286" s="223" t="s">
        <v>1156</v>
      </c>
      <c r="D286" s="316">
        <v>44651.0</v>
      </c>
      <c r="E286" s="218">
        <v>250.0</v>
      </c>
      <c r="F286" s="218">
        <v>0.0</v>
      </c>
      <c r="G286" s="218">
        <v>0.0</v>
      </c>
      <c r="H286" s="223">
        <v>250.0</v>
      </c>
      <c r="J286" s="223" t="s">
        <v>52</v>
      </c>
      <c r="K286" s="317">
        <v>2022.03</v>
      </c>
    </row>
    <row r="287">
      <c r="A287" s="223" t="s">
        <v>97</v>
      </c>
      <c r="B287" s="223" t="s">
        <v>1286</v>
      </c>
      <c r="C287" s="223" t="s">
        <v>1156</v>
      </c>
      <c r="D287" s="316">
        <v>44651.0</v>
      </c>
      <c r="E287" s="218">
        <v>300.0</v>
      </c>
      <c r="F287" s="218">
        <v>9.33</v>
      </c>
      <c r="G287" s="218">
        <v>0.0</v>
      </c>
      <c r="H287" s="223">
        <v>290.67</v>
      </c>
      <c r="J287" s="223" t="s">
        <v>52</v>
      </c>
      <c r="K287" s="317">
        <v>2022.03</v>
      </c>
    </row>
    <row r="288">
      <c r="A288" s="223" t="s">
        <v>92</v>
      </c>
      <c r="B288" s="223" t="s">
        <v>1289</v>
      </c>
      <c r="C288" s="223" t="s">
        <v>1156</v>
      </c>
      <c r="D288" s="316">
        <v>44651.0</v>
      </c>
      <c r="E288" s="218">
        <v>2500.0</v>
      </c>
      <c r="F288" s="218">
        <v>77.78</v>
      </c>
      <c r="G288" s="218">
        <v>0.0</v>
      </c>
      <c r="H288" s="223">
        <v>2422.22</v>
      </c>
      <c r="J288" s="223" t="s">
        <v>52</v>
      </c>
      <c r="K288" s="317">
        <v>2022.03</v>
      </c>
    </row>
    <row r="289">
      <c r="A289" s="223" t="s">
        <v>112</v>
      </c>
      <c r="B289" s="223" t="s">
        <v>1296</v>
      </c>
      <c r="C289" s="223" t="s">
        <v>2309</v>
      </c>
      <c r="D289" s="316">
        <v>44651.0</v>
      </c>
      <c r="E289" s="218">
        <v>433.43965000000003</v>
      </c>
      <c r="F289" s="218">
        <v>16.40878675</v>
      </c>
      <c r="G289" s="218">
        <v>0.0</v>
      </c>
      <c r="H289" s="223">
        <v>417.03086325000004</v>
      </c>
      <c r="J289" s="223" t="s">
        <v>52</v>
      </c>
      <c r="K289" s="317">
        <v>2022.03</v>
      </c>
    </row>
    <row r="290">
      <c r="A290" s="223" t="s">
        <v>123</v>
      </c>
      <c r="B290" s="223" t="s">
        <v>1300</v>
      </c>
      <c r="C290" s="223" t="s">
        <v>1156</v>
      </c>
      <c r="D290" s="316">
        <v>44651.0</v>
      </c>
      <c r="E290" s="218">
        <v>5471.090999999999</v>
      </c>
      <c r="F290" s="218">
        <v>202.7951064</v>
      </c>
      <c r="G290" s="218">
        <v>1053.65917872</v>
      </c>
      <c r="H290" s="223">
        <v>4214.63671488</v>
      </c>
      <c r="J290" s="223" t="s">
        <v>52</v>
      </c>
      <c r="K290" s="317">
        <v>2022.03</v>
      </c>
    </row>
    <row r="291">
      <c r="A291" s="223" t="s">
        <v>115</v>
      </c>
      <c r="B291" s="223" t="s">
        <v>1308</v>
      </c>
      <c r="C291" s="223" t="s">
        <v>1156</v>
      </c>
      <c r="D291" s="316">
        <v>44651.0</v>
      </c>
      <c r="E291" s="218">
        <v>2507.825</v>
      </c>
      <c r="F291" s="218">
        <v>0.0</v>
      </c>
      <c r="G291" s="218">
        <v>0.0</v>
      </c>
      <c r="H291" s="223">
        <v>2507.825</v>
      </c>
      <c r="J291" s="223" t="s">
        <v>52</v>
      </c>
      <c r="K291" s="317">
        <v>2022.03</v>
      </c>
    </row>
    <row r="292">
      <c r="A292" s="223" t="s">
        <v>118</v>
      </c>
      <c r="B292" s="223" t="s">
        <v>1312</v>
      </c>
      <c r="C292" s="223" t="s">
        <v>1156</v>
      </c>
      <c r="D292" s="316">
        <v>44651.0</v>
      </c>
      <c r="E292" s="218">
        <v>2507.825</v>
      </c>
      <c r="F292" s="218">
        <v>0.0</v>
      </c>
      <c r="G292" s="218">
        <v>0.0</v>
      </c>
      <c r="H292" s="223">
        <v>2507.825</v>
      </c>
      <c r="J292" s="223" t="s">
        <v>52</v>
      </c>
      <c r="K292" s="317">
        <v>2022.03</v>
      </c>
    </row>
    <row r="293">
      <c r="A293" s="223" t="s">
        <v>73</v>
      </c>
      <c r="B293" s="223" t="s">
        <v>1327</v>
      </c>
      <c r="C293" s="223" t="s">
        <v>1156</v>
      </c>
      <c r="D293" s="316">
        <v>44651.0</v>
      </c>
      <c r="E293" s="218">
        <v>700.0</v>
      </c>
      <c r="F293" s="218">
        <v>0.0</v>
      </c>
      <c r="G293" s="218">
        <v>0.0</v>
      </c>
      <c r="H293" s="223">
        <v>700.0</v>
      </c>
      <c r="J293" s="223" t="s">
        <v>52</v>
      </c>
      <c r="K293" s="317">
        <v>2022.03</v>
      </c>
    </row>
    <row r="294">
      <c r="A294" s="223" t="s">
        <v>223</v>
      </c>
      <c r="B294" s="223" t="s">
        <v>1176</v>
      </c>
      <c r="C294" s="223" t="s">
        <v>1156</v>
      </c>
      <c r="D294" s="316">
        <v>44651.0</v>
      </c>
      <c r="E294" s="218">
        <v>800.0</v>
      </c>
      <c r="F294" s="218">
        <v>24.89</v>
      </c>
      <c r="G294" s="218">
        <v>0.0</v>
      </c>
      <c r="H294" s="223">
        <v>775.11</v>
      </c>
      <c r="J294" s="223" t="s">
        <v>52</v>
      </c>
      <c r="K294" s="317">
        <v>2022.03</v>
      </c>
    </row>
    <row r="295">
      <c r="A295" s="223" t="s">
        <v>373</v>
      </c>
      <c r="B295" s="223" t="s">
        <v>1342</v>
      </c>
      <c r="C295" s="223" t="s">
        <v>1341</v>
      </c>
      <c r="D295" s="316">
        <v>44680.0</v>
      </c>
      <c r="E295" s="218">
        <v>1700.0</v>
      </c>
      <c r="F295" s="218">
        <v>52.89</v>
      </c>
      <c r="G295" s="218">
        <v>0.0</v>
      </c>
      <c r="H295" s="223">
        <v>1647.11</v>
      </c>
      <c r="J295" s="223" t="s">
        <v>252</v>
      </c>
      <c r="K295" s="317">
        <v>2022.0</v>
      </c>
    </row>
    <row r="296">
      <c r="A296" s="223" t="s">
        <v>81</v>
      </c>
      <c r="B296" s="223" t="s">
        <v>1255</v>
      </c>
      <c r="C296" s="223" t="s">
        <v>1156</v>
      </c>
      <c r="D296" s="316">
        <v>44651.0</v>
      </c>
      <c r="E296" s="218">
        <v>1200.0</v>
      </c>
      <c r="F296" s="218">
        <v>0.0</v>
      </c>
      <c r="G296" s="218">
        <v>0.0</v>
      </c>
      <c r="H296" s="223">
        <v>1200.0</v>
      </c>
      <c r="J296" s="223" t="s">
        <v>52</v>
      </c>
      <c r="K296" s="317">
        <v>2022.03</v>
      </c>
    </row>
    <row r="297">
      <c r="A297" s="223" t="s">
        <v>88</v>
      </c>
      <c r="B297" s="223" t="s">
        <v>1256</v>
      </c>
      <c r="C297" s="223" t="s">
        <v>1156</v>
      </c>
      <c r="D297" s="316">
        <v>44651.0</v>
      </c>
      <c r="E297" s="218">
        <v>500.0</v>
      </c>
      <c r="F297" s="218">
        <v>15.53</v>
      </c>
      <c r="G297" s="218">
        <v>0.0</v>
      </c>
      <c r="H297" s="223">
        <v>484.47</v>
      </c>
      <c r="J297" s="223" t="s">
        <v>52</v>
      </c>
      <c r="K297" s="317">
        <v>2022.03</v>
      </c>
    </row>
    <row r="298">
      <c r="A298" s="223" t="s">
        <v>264</v>
      </c>
      <c r="B298" s="223" t="s">
        <v>1178</v>
      </c>
      <c r="C298" s="223" t="s">
        <v>1179</v>
      </c>
      <c r="D298" s="316">
        <v>44659.0</v>
      </c>
      <c r="E298" s="218">
        <v>2250.0</v>
      </c>
      <c r="F298" s="218">
        <v>68.81</v>
      </c>
      <c r="G298" s="218">
        <v>0.0</v>
      </c>
      <c r="H298" s="223">
        <v>2181.19</v>
      </c>
      <c r="J298" s="223" t="s">
        <v>290</v>
      </c>
      <c r="K298" s="317">
        <v>2022.0</v>
      </c>
    </row>
    <row r="299">
      <c r="A299" s="223" t="s">
        <v>264</v>
      </c>
      <c r="B299" s="223" t="s">
        <v>1178</v>
      </c>
      <c r="C299" s="223" t="s">
        <v>1179</v>
      </c>
      <c r="D299" s="316">
        <v>44788.0</v>
      </c>
      <c r="E299" s="218">
        <v>2250.0</v>
      </c>
      <c r="F299" s="218">
        <v>68.81</v>
      </c>
      <c r="G299" s="218">
        <v>0.0</v>
      </c>
      <c r="H299" s="223">
        <v>2181.19</v>
      </c>
      <c r="J299" s="223" t="s">
        <v>377</v>
      </c>
      <c r="K299" s="317">
        <v>2022.0</v>
      </c>
    </row>
    <row r="300">
      <c r="A300" s="223" t="s">
        <v>68</v>
      </c>
      <c r="B300" s="223" t="s">
        <v>1178</v>
      </c>
      <c r="C300" s="223" t="s">
        <v>1156</v>
      </c>
      <c r="D300" s="316">
        <v>44666.0</v>
      </c>
      <c r="E300" s="218">
        <v>650.0</v>
      </c>
      <c r="F300" s="218">
        <v>20.09</v>
      </c>
      <c r="G300" s="218">
        <v>0.0</v>
      </c>
      <c r="H300" s="223">
        <v>629.91</v>
      </c>
      <c r="J300" s="223" t="s">
        <v>52</v>
      </c>
      <c r="K300" s="317">
        <v>2022.04</v>
      </c>
    </row>
    <row r="301">
      <c r="A301" s="223" t="s">
        <v>246</v>
      </c>
      <c r="B301" s="223" t="s">
        <v>1184</v>
      </c>
      <c r="C301" s="223" t="s">
        <v>1156</v>
      </c>
      <c r="D301" s="316">
        <v>44666.0</v>
      </c>
      <c r="E301" s="218">
        <v>500.0</v>
      </c>
      <c r="F301" s="218">
        <v>0.0</v>
      </c>
      <c r="G301" s="218">
        <v>0.0</v>
      </c>
      <c r="H301" s="223">
        <v>500.0</v>
      </c>
      <c r="J301" s="223" t="s">
        <v>52</v>
      </c>
      <c r="K301" s="317">
        <v>2022.04</v>
      </c>
    </row>
    <row r="302">
      <c r="A302" s="223" t="s">
        <v>99</v>
      </c>
      <c r="B302" s="223" t="s">
        <v>1192</v>
      </c>
      <c r="C302" s="223" t="s">
        <v>1156</v>
      </c>
      <c r="D302" s="316">
        <v>44666.0</v>
      </c>
      <c r="E302" s="218">
        <v>1587.0946</v>
      </c>
      <c r="F302" s="218">
        <v>59.088752799999995</v>
      </c>
      <c r="G302" s="218">
        <v>305.60116944</v>
      </c>
      <c r="H302" s="223">
        <v>1222.40467776</v>
      </c>
      <c r="J302" s="223" t="s">
        <v>52</v>
      </c>
      <c r="K302" s="317">
        <v>2022.04</v>
      </c>
    </row>
    <row r="303">
      <c r="A303" s="223" t="s">
        <v>296</v>
      </c>
      <c r="B303" s="223" t="s">
        <v>1200</v>
      </c>
      <c r="C303" s="223" t="s">
        <v>1205</v>
      </c>
      <c r="D303" s="316">
        <v>44666.0</v>
      </c>
      <c r="E303" s="218">
        <v>1867.35</v>
      </c>
      <c r="F303" s="218">
        <v>0.0</v>
      </c>
      <c r="G303" s="218">
        <v>0.0</v>
      </c>
      <c r="H303" s="223">
        <v>1867.35</v>
      </c>
      <c r="J303" s="223" t="s">
        <v>52</v>
      </c>
      <c r="K303" s="317">
        <v>2022.04</v>
      </c>
    </row>
    <row r="304">
      <c r="A304" s="223" t="s">
        <v>225</v>
      </c>
      <c r="B304" s="223" t="s">
        <v>1257</v>
      </c>
      <c r="C304" s="223" t="s">
        <v>1156</v>
      </c>
      <c r="D304" s="316">
        <v>44666.0</v>
      </c>
      <c r="E304" s="218">
        <v>5000.0</v>
      </c>
      <c r="F304" s="218">
        <v>0.0</v>
      </c>
      <c r="G304" s="218">
        <v>0.0</v>
      </c>
      <c r="H304" s="223">
        <v>5000.0</v>
      </c>
      <c r="J304" s="223" t="s">
        <v>52</v>
      </c>
      <c r="K304" s="317">
        <v>2022.04</v>
      </c>
    </row>
    <row r="305">
      <c r="A305" s="223" t="s">
        <v>102</v>
      </c>
      <c r="B305" s="223" t="s">
        <v>1259</v>
      </c>
      <c r="C305" s="223" t="s">
        <v>1156</v>
      </c>
      <c r="D305" s="316">
        <v>44666.0</v>
      </c>
      <c r="E305" s="218">
        <v>434.32235</v>
      </c>
      <c r="F305" s="218">
        <v>16.44220325</v>
      </c>
      <c r="G305" s="218">
        <v>0.0</v>
      </c>
      <c r="H305" s="223">
        <v>417.88014675</v>
      </c>
      <c r="J305" s="223" t="s">
        <v>52</v>
      </c>
      <c r="K305" s="317">
        <v>2022.04</v>
      </c>
    </row>
    <row r="306">
      <c r="A306" s="223" t="s">
        <v>156</v>
      </c>
      <c r="B306" s="223" t="s">
        <v>1293</v>
      </c>
      <c r="C306" s="223" t="s">
        <v>1156</v>
      </c>
      <c r="D306" s="316">
        <v>44666.0</v>
      </c>
      <c r="E306" s="218">
        <v>610.4209999999999</v>
      </c>
      <c r="F306" s="218">
        <v>22.9518296</v>
      </c>
      <c r="G306" s="218">
        <v>117.49383408</v>
      </c>
      <c r="H306" s="223">
        <v>469.97533631999994</v>
      </c>
      <c r="J306" s="223" t="s">
        <v>52</v>
      </c>
      <c r="K306" s="317">
        <v>2022.04</v>
      </c>
    </row>
    <row r="307">
      <c r="A307" s="223" t="s">
        <v>62</v>
      </c>
      <c r="B307" s="223" t="s">
        <v>1304</v>
      </c>
      <c r="C307" s="223" t="s">
        <v>1156</v>
      </c>
      <c r="D307" s="316">
        <v>44666.0</v>
      </c>
      <c r="E307" s="218">
        <v>1600.0</v>
      </c>
      <c r="F307" s="218">
        <v>49.78</v>
      </c>
      <c r="G307" s="218">
        <v>0.0</v>
      </c>
      <c r="H307" s="223">
        <v>1550.22</v>
      </c>
      <c r="J307" s="223" t="s">
        <v>52</v>
      </c>
      <c r="K307" s="317">
        <v>2022.0</v>
      </c>
    </row>
    <row r="308">
      <c r="A308" s="223" t="s">
        <v>66</v>
      </c>
      <c r="B308" s="223" t="s">
        <v>1324</v>
      </c>
      <c r="C308" s="223" t="s">
        <v>1156</v>
      </c>
      <c r="D308" s="316">
        <v>44666.0</v>
      </c>
      <c r="E308" s="218">
        <v>900.0</v>
      </c>
      <c r="F308" s="218">
        <v>0.0</v>
      </c>
      <c r="G308" s="218">
        <v>0.0</v>
      </c>
      <c r="H308" s="223">
        <v>900.0</v>
      </c>
      <c r="J308" s="223" t="s">
        <v>52</v>
      </c>
      <c r="K308" s="317">
        <v>2022.04</v>
      </c>
    </row>
    <row r="309">
      <c r="A309" s="223" t="s">
        <v>385</v>
      </c>
      <c r="B309" s="223" t="s">
        <v>1209</v>
      </c>
      <c r="C309" s="223" t="s">
        <v>1343</v>
      </c>
      <c r="D309" s="316">
        <v>44666.0</v>
      </c>
      <c r="E309" s="218">
        <v>3967.7365</v>
      </c>
      <c r="F309" s="218">
        <v>147.1725031</v>
      </c>
      <c r="G309" s="218">
        <v>0.0</v>
      </c>
      <c r="H309" s="223">
        <v>3820.5639969</v>
      </c>
      <c r="J309" s="223" t="s">
        <v>196</v>
      </c>
      <c r="K309" s="317">
        <v>2022.0</v>
      </c>
    </row>
    <row r="310">
      <c r="A310" s="223" t="s">
        <v>385</v>
      </c>
      <c r="B310" s="223" t="s">
        <v>1209</v>
      </c>
      <c r="C310" s="223" t="s">
        <v>1343</v>
      </c>
      <c r="D310" s="316">
        <v>44712.0</v>
      </c>
      <c r="E310" s="218">
        <v>4055.376</v>
      </c>
      <c r="F310" s="218">
        <v>150.4232544</v>
      </c>
      <c r="G310" s="218">
        <v>1545.1019399971442</v>
      </c>
      <c r="H310" s="223">
        <v>2359.850805602856</v>
      </c>
      <c r="J310" s="223" t="s">
        <v>196</v>
      </c>
      <c r="K310" s="317">
        <v>2022.0</v>
      </c>
    </row>
    <row r="311">
      <c r="A311" s="223" t="s">
        <v>390</v>
      </c>
      <c r="B311" s="223" t="s">
        <v>1311</v>
      </c>
      <c r="C311" s="223" t="s">
        <v>1344</v>
      </c>
      <c r="D311" s="316">
        <v>44680.0</v>
      </c>
      <c r="E311" s="218">
        <v>350.0</v>
      </c>
      <c r="F311" s="218">
        <v>0.0</v>
      </c>
      <c r="G311" s="218">
        <v>0.0</v>
      </c>
      <c r="H311" s="223">
        <v>350.0</v>
      </c>
      <c r="J311" s="223" t="s">
        <v>391</v>
      </c>
      <c r="K311" s="317">
        <v>2022.0</v>
      </c>
    </row>
    <row r="312">
      <c r="A312" s="223" t="s">
        <v>108</v>
      </c>
      <c r="B312" s="223" t="s">
        <v>1287</v>
      </c>
      <c r="C312" s="223" t="s">
        <v>1288</v>
      </c>
      <c r="D312" s="316">
        <v>44673.0</v>
      </c>
      <c r="E312" s="218">
        <v>38.5173032</v>
      </c>
      <c r="F312" s="218">
        <v>0.0</v>
      </c>
      <c r="G312" s="218">
        <v>0.0</v>
      </c>
      <c r="H312" s="223">
        <v>38.5173032</v>
      </c>
      <c r="J312" s="223" t="s">
        <v>52</v>
      </c>
      <c r="K312" s="317">
        <v>2022.0</v>
      </c>
    </row>
    <row r="313">
      <c r="A313" s="223" t="s">
        <v>394</v>
      </c>
      <c r="B313" s="223" t="s">
        <v>1158</v>
      </c>
      <c r="C313" s="223" t="s">
        <v>1164</v>
      </c>
      <c r="D313" s="316">
        <v>44680.0</v>
      </c>
      <c r="E313" s="218">
        <v>183.345</v>
      </c>
      <c r="F313" s="218">
        <v>0.0</v>
      </c>
      <c r="G313" s="218">
        <v>0.0</v>
      </c>
      <c r="H313" s="223">
        <v>183.345</v>
      </c>
      <c r="J313" s="223" t="s">
        <v>52</v>
      </c>
      <c r="K313" s="317">
        <v>2022.04</v>
      </c>
    </row>
    <row r="314">
      <c r="A314" s="223" t="s">
        <v>223</v>
      </c>
      <c r="B314" s="223" t="s">
        <v>1176</v>
      </c>
      <c r="C314" s="223" t="s">
        <v>1156</v>
      </c>
      <c r="D314" s="316">
        <v>44680.0</v>
      </c>
      <c r="E314" s="218">
        <v>800.0</v>
      </c>
      <c r="F314" s="218">
        <v>24.89</v>
      </c>
      <c r="G314" s="218">
        <v>0.0</v>
      </c>
      <c r="H314" s="223">
        <v>775.11</v>
      </c>
      <c r="J314" s="223" t="s">
        <v>52</v>
      </c>
      <c r="K314" s="317">
        <v>2022.04</v>
      </c>
    </row>
    <row r="315">
      <c r="A315" s="223" t="s">
        <v>54</v>
      </c>
      <c r="B315" s="223" t="s">
        <v>1187</v>
      </c>
      <c r="C315" s="223" t="s">
        <v>1156</v>
      </c>
      <c r="D315" s="316">
        <v>44680.0</v>
      </c>
      <c r="E315" s="218">
        <v>750.0</v>
      </c>
      <c r="F315" s="218">
        <v>23.33</v>
      </c>
      <c r="G315" s="218">
        <v>0.0</v>
      </c>
      <c r="H315" s="223">
        <v>726.67</v>
      </c>
      <c r="J315" s="223" t="s">
        <v>52</v>
      </c>
      <c r="K315" s="317">
        <v>2022.04</v>
      </c>
    </row>
    <row r="316">
      <c r="A316" s="223" t="s">
        <v>147</v>
      </c>
      <c r="B316" s="223" t="s">
        <v>1194</v>
      </c>
      <c r="C316" s="223" t="s">
        <v>1156</v>
      </c>
      <c r="D316" s="316">
        <v>44680.0</v>
      </c>
      <c r="E316" s="218">
        <v>900.0</v>
      </c>
      <c r="F316" s="218">
        <v>0.0</v>
      </c>
      <c r="G316" s="218">
        <v>0.0</v>
      </c>
      <c r="H316" s="223">
        <v>900.0</v>
      </c>
      <c r="J316" s="223" t="s">
        <v>52</v>
      </c>
      <c r="K316" s="317">
        <v>2022.04</v>
      </c>
    </row>
    <row r="317">
      <c r="A317" s="223" t="s">
        <v>58</v>
      </c>
      <c r="B317" s="223" t="s">
        <v>1197</v>
      </c>
      <c r="C317" s="223" t="s">
        <v>1156</v>
      </c>
      <c r="D317" s="316">
        <v>44680.0</v>
      </c>
      <c r="E317" s="218">
        <v>1550.0</v>
      </c>
      <c r="F317" s="218">
        <v>48.22</v>
      </c>
      <c r="G317" s="218">
        <v>0.0</v>
      </c>
      <c r="H317" s="223">
        <v>1501.78</v>
      </c>
      <c r="J317" s="223" t="s">
        <v>52</v>
      </c>
      <c r="K317" s="317">
        <v>2022.04</v>
      </c>
    </row>
    <row r="318">
      <c r="A318" s="223" t="s">
        <v>120</v>
      </c>
      <c r="B318" s="223" t="s">
        <v>1215</v>
      </c>
      <c r="C318" s="223" t="s">
        <v>1156</v>
      </c>
      <c r="D318" s="316">
        <v>44680.0</v>
      </c>
      <c r="E318" s="218">
        <v>1849.3049999999998</v>
      </c>
      <c r="F318" s="218">
        <v>68.794146</v>
      </c>
      <c r="G318" s="218">
        <v>356.1021708</v>
      </c>
      <c r="H318" s="223">
        <v>1424.4086831999998</v>
      </c>
      <c r="J318" s="223" t="s">
        <v>52</v>
      </c>
      <c r="K318" s="317">
        <v>2022.04</v>
      </c>
    </row>
    <row r="319">
      <c r="A319" s="223" t="s">
        <v>84</v>
      </c>
      <c r="B319" s="223" t="s">
        <v>1227</v>
      </c>
      <c r="C319" s="223" t="s">
        <v>1156</v>
      </c>
      <c r="D319" s="316">
        <v>44680.0</v>
      </c>
      <c r="E319" s="218">
        <v>1000.0</v>
      </c>
      <c r="F319" s="218">
        <v>0.0</v>
      </c>
      <c r="G319" s="218">
        <v>0.0</v>
      </c>
      <c r="H319" s="223">
        <v>1000.0</v>
      </c>
      <c r="J319" s="223" t="s">
        <v>52</v>
      </c>
      <c r="K319" s="317">
        <v>2022.04</v>
      </c>
    </row>
    <row r="320">
      <c r="A320" s="223" t="s">
        <v>86</v>
      </c>
      <c r="B320" s="223" t="s">
        <v>1235</v>
      </c>
      <c r="C320" s="223" t="s">
        <v>1156</v>
      </c>
      <c r="D320" s="316">
        <v>44680.0</v>
      </c>
      <c r="E320" s="218">
        <v>550.0</v>
      </c>
      <c r="F320" s="218">
        <v>21.67</v>
      </c>
      <c r="G320" s="218">
        <v>0.0</v>
      </c>
      <c r="H320" s="223">
        <v>528.33</v>
      </c>
      <c r="J320" s="223" t="s">
        <v>52</v>
      </c>
      <c r="K320" s="317">
        <v>2022.04</v>
      </c>
    </row>
    <row r="321">
      <c r="A321" s="223" t="s">
        <v>42</v>
      </c>
      <c r="B321" s="223" t="s">
        <v>1236</v>
      </c>
      <c r="C321" s="223" t="s">
        <v>1156</v>
      </c>
      <c r="D321" s="316">
        <v>44680.0</v>
      </c>
      <c r="E321" s="218">
        <v>1500.0</v>
      </c>
      <c r="F321" s="218">
        <v>46.67</v>
      </c>
      <c r="G321" s="218">
        <v>217.99949999999998</v>
      </c>
      <c r="H321" s="223">
        <v>1235.3305</v>
      </c>
      <c r="J321" s="223" t="s">
        <v>52</v>
      </c>
      <c r="K321" s="317">
        <v>2022.04</v>
      </c>
    </row>
    <row r="322">
      <c r="A322" s="223" t="s">
        <v>82</v>
      </c>
      <c r="B322" s="223" t="s">
        <v>1124</v>
      </c>
      <c r="C322" s="223" t="s">
        <v>1156</v>
      </c>
      <c r="D322" s="316">
        <v>44680.0</v>
      </c>
      <c r="E322" s="218">
        <v>800.0</v>
      </c>
      <c r="F322" s="218">
        <v>0.0</v>
      </c>
      <c r="G322" s="218">
        <v>0.0</v>
      </c>
      <c r="H322" s="223">
        <v>800.0</v>
      </c>
      <c r="J322" s="223" t="s">
        <v>52</v>
      </c>
      <c r="K322" s="317">
        <v>2022.04</v>
      </c>
    </row>
    <row r="323">
      <c r="A323" s="223" t="s">
        <v>88</v>
      </c>
      <c r="B323" s="223" t="s">
        <v>1256</v>
      </c>
      <c r="C323" s="223" t="s">
        <v>1156</v>
      </c>
      <c r="D323" s="316">
        <v>44680.0</v>
      </c>
      <c r="E323" s="218">
        <v>500.0</v>
      </c>
      <c r="F323" s="218">
        <v>15.53</v>
      </c>
      <c r="G323" s="218">
        <v>0.0</v>
      </c>
      <c r="H323" s="223">
        <v>484.47</v>
      </c>
      <c r="J323" s="223" t="s">
        <v>52</v>
      </c>
      <c r="K323" s="317">
        <v>2022.04</v>
      </c>
    </row>
    <row r="324">
      <c r="A324" s="223" t="s">
        <v>151</v>
      </c>
      <c r="B324" s="223" t="s">
        <v>1262</v>
      </c>
      <c r="C324" s="223" t="s">
        <v>1156</v>
      </c>
      <c r="D324" s="316">
        <v>44680.0</v>
      </c>
      <c r="E324" s="218">
        <v>808.36405</v>
      </c>
      <c r="F324" s="218">
        <v>30.00896081</v>
      </c>
      <c r="G324" s="218">
        <v>155.671017838</v>
      </c>
      <c r="H324" s="223">
        <v>622.684071352</v>
      </c>
      <c r="J324" s="223" t="s">
        <v>52</v>
      </c>
      <c r="K324" s="317">
        <v>2022.04</v>
      </c>
    </row>
    <row r="325">
      <c r="A325" s="223" t="s">
        <v>50</v>
      </c>
      <c r="B325" s="223" t="s">
        <v>1275</v>
      </c>
      <c r="C325" s="223" t="s">
        <v>1156</v>
      </c>
      <c r="D325" s="316">
        <v>44680.0</v>
      </c>
      <c r="E325" s="218">
        <v>375.0</v>
      </c>
      <c r="F325" s="218">
        <v>0.0</v>
      </c>
      <c r="G325" s="218">
        <v>0.0</v>
      </c>
      <c r="H325" s="223">
        <v>375.0</v>
      </c>
      <c r="J325" s="223" t="s">
        <v>52</v>
      </c>
      <c r="K325" s="317">
        <v>2022.04</v>
      </c>
    </row>
    <row r="326">
      <c r="A326" s="223" t="s">
        <v>75</v>
      </c>
      <c r="B326" s="223" t="s">
        <v>1279</v>
      </c>
      <c r="C326" s="223" t="s">
        <v>1156</v>
      </c>
      <c r="D326" s="316">
        <v>44680.0</v>
      </c>
      <c r="E326" s="218">
        <v>500.0</v>
      </c>
      <c r="F326" s="218">
        <v>0.0</v>
      </c>
      <c r="G326" s="218">
        <v>0.0</v>
      </c>
      <c r="H326" s="223">
        <v>500.0</v>
      </c>
      <c r="J326" s="223" t="s">
        <v>52</v>
      </c>
      <c r="K326" s="317">
        <v>2022.04</v>
      </c>
    </row>
    <row r="327">
      <c r="A327" s="223" t="s">
        <v>105</v>
      </c>
      <c r="B327" s="223" t="s">
        <v>1280</v>
      </c>
      <c r="C327" s="223" t="s">
        <v>2308</v>
      </c>
      <c r="D327" s="316">
        <v>44680.0</v>
      </c>
      <c r="E327" s="218">
        <v>370.0647</v>
      </c>
      <c r="F327" s="218">
        <v>14.062458600000001</v>
      </c>
      <c r="G327" s="218">
        <v>0.0</v>
      </c>
      <c r="H327" s="223">
        <v>356.0022414</v>
      </c>
      <c r="J327" s="223" t="s">
        <v>52</v>
      </c>
      <c r="K327" s="317">
        <v>2022.04</v>
      </c>
    </row>
    <row r="328">
      <c r="A328" s="223" t="s">
        <v>90</v>
      </c>
      <c r="B328" s="223" t="s">
        <v>1282</v>
      </c>
      <c r="C328" s="223" t="s">
        <v>1156</v>
      </c>
      <c r="D328" s="316">
        <v>44680.0</v>
      </c>
      <c r="E328" s="218">
        <v>250.0</v>
      </c>
      <c r="F328" s="218">
        <v>0.0</v>
      </c>
      <c r="G328" s="218">
        <v>0.0</v>
      </c>
      <c r="H328" s="223">
        <v>250.0</v>
      </c>
      <c r="J328" s="223" t="s">
        <v>52</v>
      </c>
      <c r="K328" s="317">
        <v>2022.04</v>
      </c>
    </row>
    <row r="329">
      <c r="A329" s="223" t="s">
        <v>97</v>
      </c>
      <c r="B329" s="223" t="s">
        <v>1286</v>
      </c>
      <c r="C329" s="223" t="s">
        <v>1156</v>
      </c>
      <c r="D329" s="316">
        <v>44680.0</v>
      </c>
      <c r="E329" s="218">
        <v>300.0</v>
      </c>
      <c r="F329" s="218">
        <v>9.33</v>
      </c>
      <c r="G329" s="218">
        <v>0.0</v>
      </c>
      <c r="H329" s="223">
        <v>290.67</v>
      </c>
      <c r="J329" s="223" t="s">
        <v>52</v>
      </c>
      <c r="K329" s="317">
        <v>2022.04</v>
      </c>
    </row>
    <row r="330">
      <c r="A330" s="223" t="s">
        <v>92</v>
      </c>
      <c r="B330" s="223" t="s">
        <v>1289</v>
      </c>
      <c r="C330" s="223" t="s">
        <v>1156</v>
      </c>
      <c r="D330" s="316">
        <v>44680.0</v>
      </c>
      <c r="E330" s="218">
        <v>2500.0</v>
      </c>
      <c r="F330" s="218">
        <v>77.78</v>
      </c>
      <c r="G330" s="218">
        <v>0.0</v>
      </c>
      <c r="H330" s="223">
        <v>2422.22</v>
      </c>
      <c r="J330" s="223" t="s">
        <v>52</v>
      </c>
      <c r="K330" s="317">
        <v>2022.04</v>
      </c>
    </row>
    <row r="331">
      <c r="A331" s="223" t="s">
        <v>112</v>
      </c>
      <c r="B331" s="223" t="s">
        <v>1296</v>
      </c>
      <c r="C331" s="223" t="s">
        <v>2309</v>
      </c>
      <c r="D331" s="316">
        <v>44680.0</v>
      </c>
      <c r="E331" s="218">
        <v>433.43965000000003</v>
      </c>
      <c r="F331" s="218">
        <v>16.40878675</v>
      </c>
      <c r="G331" s="218">
        <v>0.0</v>
      </c>
      <c r="H331" s="223">
        <v>417.03086325000004</v>
      </c>
      <c r="J331" s="223" t="s">
        <v>52</v>
      </c>
      <c r="K331" s="317">
        <v>2022.04</v>
      </c>
    </row>
    <row r="332">
      <c r="A332" s="223" t="s">
        <v>123</v>
      </c>
      <c r="B332" s="223" t="s">
        <v>1300</v>
      </c>
      <c r="C332" s="223" t="s">
        <v>1156</v>
      </c>
      <c r="D332" s="316">
        <v>44680.0</v>
      </c>
      <c r="E332" s="218">
        <v>5547.915</v>
      </c>
      <c r="F332" s="218">
        <v>205.642716</v>
      </c>
      <c r="G332" s="218">
        <v>1068.4544568</v>
      </c>
      <c r="H332" s="223">
        <v>4273.8178272</v>
      </c>
      <c r="J332" s="223" t="s">
        <v>52</v>
      </c>
      <c r="K332" s="317">
        <v>2022.04</v>
      </c>
    </row>
    <row r="333">
      <c r="A333" s="223" t="s">
        <v>406</v>
      </c>
      <c r="B333" s="223" t="s">
        <v>1357</v>
      </c>
      <c r="C333" s="223" t="s">
        <v>2310</v>
      </c>
      <c r="D333" s="316">
        <v>44680.0</v>
      </c>
      <c r="E333" s="218">
        <v>510.0</v>
      </c>
      <c r="F333" s="218">
        <v>0.0</v>
      </c>
      <c r="G333" s="218">
        <v>0.0</v>
      </c>
      <c r="H333" s="223">
        <v>510.0</v>
      </c>
      <c r="J333" s="223" t="s">
        <v>196</v>
      </c>
      <c r="K333" s="317">
        <v>2022.0</v>
      </c>
    </row>
    <row r="334">
      <c r="A334" s="223" t="s">
        <v>408</v>
      </c>
      <c r="B334" s="223" t="s">
        <v>1360</v>
      </c>
      <c r="C334" s="223" t="s">
        <v>1361</v>
      </c>
      <c r="D334" s="316">
        <v>44680.0</v>
      </c>
      <c r="E334" s="218">
        <v>750.0</v>
      </c>
      <c r="F334" s="218">
        <v>25.11</v>
      </c>
      <c r="G334" s="218">
        <v>0.0</v>
      </c>
      <c r="H334" s="223">
        <v>724.89</v>
      </c>
      <c r="J334" s="223" t="s">
        <v>196</v>
      </c>
      <c r="K334" s="317">
        <v>2022.0</v>
      </c>
    </row>
    <row r="335">
      <c r="A335" s="223" t="s">
        <v>406</v>
      </c>
      <c r="B335" s="223" t="s">
        <v>1357</v>
      </c>
      <c r="C335" s="223" t="s">
        <v>2310</v>
      </c>
      <c r="D335" s="316">
        <v>44712.0</v>
      </c>
      <c r="E335" s="218">
        <v>510.0</v>
      </c>
      <c r="F335" s="218">
        <v>0.0</v>
      </c>
      <c r="G335" s="218">
        <v>0.0</v>
      </c>
      <c r="H335" s="223">
        <v>510.0</v>
      </c>
      <c r="J335" s="223" t="s">
        <v>196</v>
      </c>
      <c r="K335" s="317">
        <v>2022.0</v>
      </c>
    </row>
    <row r="336">
      <c r="A336" s="223" t="s">
        <v>408</v>
      </c>
      <c r="B336" s="223" t="s">
        <v>1360</v>
      </c>
      <c r="C336" s="223" t="s">
        <v>1361</v>
      </c>
      <c r="D336" s="316">
        <v>44694.0</v>
      </c>
      <c r="E336" s="218">
        <v>750.0</v>
      </c>
      <c r="F336" s="218">
        <v>25.11</v>
      </c>
      <c r="G336" s="218">
        <v>0.0</v>
      </c>
      <c r="H336" s="223">
        <v>724.89</v>
      </c>
      <c r="J336" s="223" t="s">
        <v>196</v>
      </c>
      <c r="K336" s="317">
        <v>2022.0</v>
      </c>
    </row>
    <row r="337">
      <c r="A337" s="223" t="s">
        <v>115</v>
      </c>
      <c r="B337" s="223" t="s">
        <v>1308</v>
      </c>
      <c r="C337" s="223" t="s">
        <v>1156</v>
      </c>
      <c r="D337" s="316">
        <v>44680.0</v>
      </c>
      <c r="E337" s="218">
        <v>2507.825</v>
      </c>
      <c r="F337" s="218">
        <v>0.0</v>
      </c>
      <c r="G337" s="218">
        <v>0.0</v>
      </c>
      <c r="H337" s="223">
        <v>2507.825</v>
      </c>
      <c r="J337" s="223" t="s">
        <v>52</v>
      </c>
      <c r="K337" s="317">
        <v>2022.04</v>
      </c>
    </row>
    <row r="338">
      <c r="A338" s="223" t="s">
        <v>118</v>
      </c>
      <c r="B338" s="223" t="s">
        <v>1312</v>
      </c>
      <c r="C338" s="223" t="s">
        <v>1156</v>
      </c>
      <c r="D338" s="316">
        <v>44680.0</v>
      </c>
      <c r="E338" s="218">
        <v>2507.825</v>
      </c>
      <c r="F338" s="218">
        <v>0.0</v>
      </c>
      <c r="G338" s="218">
        <v>0.0</v>
      </c>
      <c r="H338" s="223">
        <v>2507.825</v>
      </c>
      <c r="J338" s="223" t="s">
        <v>52</v>
      </c>
      <c r="K338" s="317">
        <v>2022.04</v>
      </c>
    </row>
    <row r="339">
      <c r="A339" s="223" t="s">
        <v>73</v>
      </c>
      <c r="B339" s="223" t="s">
        <v>1327</v>
      </c>
      <c r="C339" s="223" t="s">
        <v>1156</v>
      </c>
      <c r="D339" s="316">
        <v>44680.0</v>
      </c>
      <c r="E339" s="218">
        <v>700.0</v>
      </c>
      <c r="F339" s="218">
        <v>23.44</v>
      </c>
      <c r="G339" s="218">
        <v>0.0</v>
      </c>
      <c r="H339" s="223">
        <v>676.56</v>
      </c>
      <c r="J339" s="223" t="s">
        <v>52</v>
      </c>
      <c r="K339" s="317">
        <v>2022.04</v>
      </c>
    </row>
    <row r="340">
      <c r="A340" s="223" t="s">
        <v>414</v>
      </c>
      <c r="B340" s="223" t="s">
        <v>1345</v>
      </c>
      <c r="C340" s="223" t="s">
        <v>1346</v>
      </c>
      <c r="D340" s="316">
        <v>44680.0</v>
      </c>
      <c r="E340" s="218">
        <v>1500.0</v>
      </c>
      <c r="F340" s="218">
        <v>46.67</v>
      </c>
      <c r="G340" s="218">
        <v>0.0</v>
      </c>
      <c r="H340" s="223">
        <v>1453.33</v>
      </c>
      <c r="J340" s="223" t="s">
        <v>415</v>
      </c>
      <c r="K340" s="317">
        <v>2022.0</v>
      </c>
    </row>
    <row r="341">
      <c r="A341" s="223" t="s">
        <v>414</v>
      </c>
      <c r="B341" s="223" t="s">
        <v>1345</v>
      </c>
      <c r="C341" s="223" t="s">
        <v>1346</v>
      </c>
      <c r="D341" s="316">
        <v>44694.0</v>
      </c>
      <c r="E341" s="218">
        <v>3650.0</v>
      </c>
      <c r="F341" s="218">
        <v>113.56</v>
      </c>
      <c r="G341" s="218">
        <v>0.0</v>
      </c>
      <c r="H341" s="223">
        <v>3536.44</v>
      </c>
      <c r="J341" s="223" t="s">
        <v>415</v>
      </c>
      <c r="K341" s="317">
        <v>2022.0</v>
      </c>
    </row>
    <row r="342">
      <c r="A342" s="223" t="s">
        <v>414</v>
      </c>
      <c r="B342" s="223" t="s">
        <v>1345</v>
      </c>
      <c r="C342" s="223" t="s">
        <v>1346</v>
      </c>
      <c r="D342" s="316">
        <v>44715.0</v>
      </c>
      <c r="E342" s="218">
        <v>3650.0</v>
      </c>
      <c r="F342" s="218">
        <v>113.56</v>
      </c>
      <c r="G342" s="218">
        <v>0.0</v>
      </c>
      <c r="H342" s="223">
        <v>3536.44</v>
      </c>
      <c r="J342" s="223" t="s">
        <v>415</v>
      </c>
      <c r="K342" s="317">
        <v>2022.0</v>
      </c>
    </row>
    <row r="343">
      <c r="A343" s="223" t="s">
        <v>414</v>
      </c>
      <c r="B343" s="223" t="s">
        <v>1345</v>
      </c>
      <c r="C343" s="223" t="s">
        <v>1346</v>
      </c>
      <c r="D343" s="316">
        <v>44727.0</v>
      </c>
      <c r="E343" s="218">
        <v>3650.0</v>
      </c>
      <c r="F343" s="218">
        <v>113.56</v>
      </c>
      <c r="G343" s="218">
        <v>0.0</v>
      </c>
      <c r="H343" s="223">
        <v>3536.44</v>
      </c>
      <c r="J343" s="223" t="s">
        <v>415</v>
      </c>
      <c r="K343" s="317">
        <v>2022.0</v>
      </c>
    </row>
    <row r="344">
      <c r="A344" s="223" t="s">
        <v>420</v>
      </c>
      <c r="B344" s="223" t="s">
        <v>1352</v>
      </c>
      <c r="C344" s="223" t="s">
        <v>1353</v>
      </c>
      <c r="D344" s="316">
        <v>44680.0</v>
      </c>
      <c r="E344" s="218">
        <v>3225.0</v>
      </c>
      <c r="F344" s="218">
        <v>0.0</v>
      </c>
      <c r="G344" s="218">
        <v>0.0</v>
      </c>
      <c r="H344" s="223">
        <v>3225.0</v>
      </c>
      <c r="J344" s="223" t="s">
        <v>196</v>
      </c>
      <c r="K344" s="317">
        <v>2022.0</v>
      </c>
    </row>
    <row r="345">
      <c r="A345" s="223" t="s">
        <v>354</v>
      </c>
      <c r="B345" s="223" t="s">
        <v>1309</v>
      </c>
      <c r="C345" s="223" t="s">
        <v>1336</v>
      </c>
      <c r="D345" s="316">
        <v>44680.0</v>
      </c>
      <c r="E345" s="218">
        <v>2000.0</v>
      </c>
      <c r="F345" s="218">
        <v>59.26</v>
      </c>
      <c r="G345" s="218">
        <v>0.0</v>
      </c>
      <c r="H345" s="223">
        <v>1940.74</v>
      </c>
      <c r="J345" s="223" t="s">
        <v>52</v>
      </c>
      <c r="K345" s="317">
        <v>2022.04</v>
      </c>
    </row>
    <row r="346">
      <c r="A346" s="223" t="s">
        <v>420</v>
      </c>
      <c r="B346" s="223" t="s">
        <v>1352</v>
      </c>
      <c r="C346" s="223" t="s">
        <v>1353</v>
      </c>
      <c r="D346" s="316">
        <v>44742.0</v>
      </c>
      <c r="E346" s="218">
        <v>3975.0</v>
      </c>
      <c r="F346" s="218">
        <v>0.0</v>
      </c>
      <c r="G346" s="218">
        <v>0.0</v>
      </c>
      <c r="H346" s="223">
        <v>3975.0</v>
      </c>
      <c r="J346" s="223" t="s">
        <v>422</v>
      </c>
      <c r="K346" s="317">
        <v>2022.0</v>
      </c>
    </row>
    <row r="347">
      <c r="A347" s="223" t="s">
        <v>394</v>
      </c>
      <c r="B347" s="223" t="s">
        <v>1158</v>
      </c>
      <c r="C347" s="223" t="s">
        <v>1164</v>
      </c>
      <c r="D347" s="316">
        <v>44687.0</v>
      </c>
      <c r="E347" s="218">
        <v>187.545</v>
      </c>
      <c r="F347" s="218">
        <v>0.0</v>
      </c>
      <c r="G347" s="218">
        <v>0.0</v>
      </c>
      <c r="H347" s="223">
        <v>187.545</v>
      </c>
      <c r="J347" s="223" t="s">
        <v>257</v>
      </c>
      <c r="K347" s="317">
        <v>2022.0</v>
      </c>
    </row>
    <row r="348">
      <c r="A348" s="223" t="s">
        <v>427</v>
      </c>
      <c r="B348" s="223" t="s">
        <v>1216</v>
      </c>
      <c r="C348" s="223" t="s">
        <v>1355</v>
      </c>
      <c r="D348" s="316">
        <v>44712.0</v>
      </c>
      <c r="E348" s="218">
        <v>1220.0</v>
      </c>
      <c r="F348" s="218">
        <v>37.96</v>
      </c>
      <c r="G348" s="218">
        <v>0.0</v>
      </c>
      <c r="H348" s="223">
        <v>1182.04</v>
      </c>
      <c r="J348" s="223" t="s">
        <v>252</v>
      </c>
      <c r="K348" s="317">
        <v>2022.0</v>
      </c>
    </row>
    <row r="349">
      <c r="A349" s="223" t="s">
        <v>68</v>
      </c>
      <c r="B349" s="223" t="s">
        <v>1178</v>
      </c>
      <c r="C349" s="223" t="s">
        <v>1156</v>
      </c>
      <c r="D349" s="316">
        <v>44694.0</v>
      </c>
      <c r="E349" s="218">
        <v>650.0</v>
      </c>
      <c r="F349" s="218">
        <v>20.09</v>
      </c>
      <c r="G349" s="218">
        <v>0.0</v>
      </c>
      <c r="H349" s="223">
        <v>629.91</v>
      </c>
      <c r="J349" s="223" t="s">
        <v>52</v>
      </c>
      <c r="K349" s="317">
        <v>2022.05</v>
      </c>
    </row>
    <row r="350">
      <c r="A350" s="223" t="s">
        <v>99</v>
      </c>
      <c r="B350" s="223" t="s">
        <v>1192</v>
      </c>
      <c r="C350" s="223" t="s">
        <v>1156</v>
      </c>
      <c r="D350" s="316">
        <v>44694.0</v>
      </c>
      <c r="E350" s="218">
        <v>1626.1856</v>
      </c>
      <c r="F350" s="218">
        <v>60.5441408</v>
      </c>
      <c r="G350" s="218">
        <v>313.12829184000003</v>
      </c>
      <c r="H350" s="223">
        <v>1252.5131673600001</v>
      </c>
      <c r="J350" s="223" t="s">
        <v>52</v>
      </c>
      <c r="K350" s="317">
        <v>2022.05</v>
      </c>
    </row>
    <row r="351">
      <c r="A351" s="223" t="s">
        <v>225</v>
      </c>
      <c r="B351" s="223" t="s">
        <v>1257</v>
      </c>
      <c r="C351" s="223" t="s">
        <v>1156</v>
      </c>
      <c r="D351" s="316">
        <v>44694.0</v>
      </c>
      <c r="E351" s="218">
        <v>5000.0</v>
      </c>
      <c r="F351" s="218">
        <v>0.0</v>
      </c>
      <c r="G351" s="218">
        <v>0.0</v>
      </c>
      <c r="H351" s="223">
        <v>5000.0</v>
      </c>
      <c r="J351" s="223" t="s">
        <v>52</v>
      </c>
      <c r="K351" s="317">
        <v>2022.05</v>
      </c>
    </row>
    <row r="352">
      <c r="A352" s="223" t="s">
        <v>102</v>
      </c>
      <c r="B352" s="223" t="s">
        <v>1259</v>
      </c>
      <c r="C352" s="223" t="s">
        <v>1156</v>
      </c>
      <c r="D352" s="316">
        <v>44694.0</v>
      </c>
      <c r="E352" s="218">
        <v>430.4181</v>
      </c>
      <c r="F352" s="218">
        <v>16.294399499999997</v>
      </c>
      <c r="G352" s="218">
        <v>0.0</v>
      </c>
      <c r="H352" s="223">
        <v>414.1237005</v>
      </c>
      <c r="J352" s="223" t="s">
        <v>52</v>
      </c>
      <c r="K352" s="317">
        <v>2022.05</v>
      </c>
    </row>
    <row r="353">
      <c r="A353" s="223" t="s">
        <v>156</v>
      </c>
      <c r="B353" s="223" t="s">
        <v>1293</v>
      </c>
      <c r="C353" s="223" t="s">
        <v>1156</v>
      </c>
      <c r="D353" s="316">
        <v>44694.0</v>
      </c>
      <c r="E353" s="218">
        <v>622.7885</v>
      </c>
      <c r="F353" s="218">
        <v>23.4168476</v>
      </c>
      <c r="G353" s="218">
        <v>119.87433048000001</v>
      </c>
      <c r="H353" s="223">
        <v>479.49732192</v>
      </c>
      <c r="J353" s="223" t="s">
        <v>52</v>
      </c>
      <c r="K353" s="317">
        <v>2022.05</v>
      </c>
    </row>
    <row r="354">
      <c r="A354" s="223" t="s">
        <v>62</v>
      </c>
      <c r="B354" s="223" t="s">
        <v>1304</v>
      </c>
      <c r="C354" s="223" t="s">
        <v>1156</v>
      </c>
      <c r="D354" s="316">
        <v>44694.0</v>
      </c>
      <c r="E354" s="218">
        <v>1600.0</v>
      </c>
      <c r="F354" s="218">
        <v>49.78</v>
      </c>
      <c r="G354" s="218">
        <v>0.0</v>
      </c>
      <c r="H354" s="223">
        <v>1550.22</v>
      </c>
      <c r="J354" s="223" t="s">
        <v>52</v>
      </c>
      <c r="K354" s="317">
        <v>2022.05</v>
      </c>
    </row>
    <row r="355">
      <c r="A355" s="223" t="s">
        <v>66</v>
      </c>
      <c r="B355" s="223" t="s">
        <v>1324</v>
      </c>
      <c r="C355" s="223" t="s">
        <v>1156</v>
      </c>
      <c r="D355" s="316">
        <v>44694.0</v>
      </c>
      <c r="E355" s="218">
        <v>900.0</v>
      </c>
      <c r="F355" s="218">
        <v>0.0</v>
      </c>
      <c r="G355" s="218">
        <v>0.0</v>
      </c>
      <c r="H355" s="223">
        <v>900.0</v>
      </c>
      <c r="J355" s="223" t="s">
        <v>52</v>
      </c>
      <c r="K355" s="317">
        <v>2022.05</v>
      </c>
    </row>
    <row r="356">
      <c r="A356" s="223" t="s">
        <v>433</v>
      </c>
      <c r="B356" s="223" t="s">
        <v>1333</v>
      </c>
      <c r="C356" s="223" t="s">
        <v>1190</v>
      </c>
      <c r="D356" s="316">
        <v>44708.0</v>
      </c>
      <c r="E356" s="218">
        <v>400.0</v>
      </c>
      <c r="F356" s="218">
        <v>12.44</v>
      </c>
      <c r="G356" s="218">
        <v>0.0</v>
      </c>
      <c r="H356" s="223">
        <v>387.56</v>
      </c>
      <c r="J356" s="223" t="s">
        <v>210</v>
      </c>
      <c r="K356" s="317">
        <v>2022.0</v>
      </c>
    </row>
    <row r="357">
      <c r="A357" s="223" t="s">
        <v>354</v>
      </c>
      <c r="B357" s="223" t="s">
        <v>1309</v>
      </c>
      <c r="C357" s="223" t="s">
        <v>1336</v>
      </c>
      <c r="D357" s="316">
        <v>44708.0</v>
      </c>
      <c r="E357" s="218">
        <v>2000.0</v>
      </c>
      <c r="F357" s="218">
        <v>59.26</v>
      </c>
      <c r="G357" s="218">
        <v>0.0</v>
      </c>
      <c r="H357" s="223">
        <v>1940.74</v>
      </c>
      <c r="J357" s="223" t="s">
        <v>52</v>
      </c>
      <c r="K357" s="317">
        <v>2022.0</v>
      </c>
    </row>
    <row r="358">
      <c r="A358" s="223" t="s">
        <v>223</v>
      </c>
      <c r="B358" s="223" t="s">
        <v>1176</v>
      </c>
      <c r="C358" s="223" t="s">
        <v>1156</v>
      </c>
      <c r="D358" s="316">
        <v>44712.0</v>
      </c>
      <c r="E358" s="218">
        <v>800.0</v>
      </c>
      <c r="F358" s="218">
        <v>24.89</v>
      </c>
      <c r="G358" s="218">
        <v>0.0</v>
      </c>
      <c r="H358" s="223">
        <v>775.11</v>
      </c>
      <c r="J358" s="223" t="s">
        <v>52</v>
      </c>
      <c r="K358" s="317">
        <v>2022.05</v>
      </c>
    </row>
    <row r="359">
      <c r="A359" s="223" t="s">
        <v>54</v>
      </c>
      <c r="B359" s="223" t="s">
        <v>1187</v>
      </c>
      <c r="C359" s="223" t="s">
        <v>1156</v>
      </c>
      <c r="D359" s="316">
        <v>44712.0</v>
      </c>
      <c r="E359" s="218">
        <v>750.0</v>
      </c>
      <c r="F359" s="218">
        <v>23.33</v>
      </c>
      <c r="G359" s="218">
        <v>0.0</v>
      </c>
      <c r="H359" s="223">
        <v>726.67</v>
      </c>
      <c r="J359" s="223" t="s">
        <v>52</v>
      </c>
      <c r="K359" s="317">
        <v>2022.05</v>
      </c>
    </row>
    <row r="360">
      <c r="A360" s="223" t="s">
        <v>147</v>
      </c>
      <c r="B360" s="223" t="s">
        <v>1194</v>
      </c>
      <c r="C360" s="223" t="s">
        <v>1156</v>
      </c>
      <c r="D360" s="316">
        <v>44712.0</v>
      </c>
      <c r="E360" s="218">
        <v>900.0</v>
      </c>
      <c r="F360" s="218">
        <v>0.0</v>
      </c>
      <c r="G360" s="218">
        <v>0.0</v>
      </c>
      <c r="H360" s="223">
        <v>900.0</v>
      </c>
      <c r="J360" s="223" t="s">
        <v>52</v>
      </c>
      <c r="K360" s="317">
        <v>2022.05</v>
      </c>
    </row>
    <row r="361">
      <c r="A361" s="223" t="s">
        <v>58</v>
      </c>
      <c r="B361" s="223" t="s">
        <v>1197</v>
      </c>
      <c r="C361" s="223" t="s">
        <v>1156</v>
      </c>
      <c r="D361" s="316">
        <v>44712.0</v>
      </c>
      <c r="E361" s="218">
        <v>1550.0</v>
      </c>
      <c r="F361" s="218">
        <v>48.22</v>
      </c>
      <c r="G361" s="218">
        <v>0.0</v>
      </c>
      <c r="H361" s="223">
        <v>1501.78</v>
      </c>
      <c r="J361" s="223" t="s">
        <v>52</v>
      </c>
      <c r="K361" s="317">
        <v>2022.05</v>
      </c>
    </row>
    <row r="362">
      <c r="A362" s="223" t="s">
        <v>120</v>
      </c>
      <c r="B362" s="223" t="s">
        <v>1215</v>
      </c>
      <c r="C362" s="223" t="s">
        <v>1156</v>
      </c>
      <c r="D362" s="316">
        <v>44712.0</v>
      </c>
      <c r="E362" s="218">
        <v>1834.3185</v>
      </c>
      <c r="F362" s="218">
        <v>68.2366482</v>
      </c>
      <c r="G362" s="218">
        <v>353.21637036000004</v>
      </c>
      <c r="H362" s="223">
        <v>1412.8654814400002</v>
      </c>
      <c r="J362" s="223" t="s">
        <v>52</v>
      </c>
      <c r="K362" s="317">
        <v>2022.05</v>
      </c>
    </row>
    <row r="363">
      <c r="A363" s="223" t="s">
        <v>84</v>
      </c>
      <c r="B363" s="223" t="s">
        <v>1227</v>
      </c>
      <c r="C363" s="223" t="s">
        <v>1156</v>
      </c>
      <c r="D363" s="316">
        <v>44712.0</v>
      </c>
      <c r="E363" s="218">
        <v>1000.0</v>
      </c>
      <c r="F363" s="218">
        <v>0.0</v>
      </c>
      <c r="G363" s="218">
        <v>0.0</v>
      </c>
      <c r="H363" s="223">
        <v>1000.0</v>
      </c>
      <c r="J363" s="223" t="s">
        <v>52</v>
      </c>
      <c r="K363" s="317">
        <v>2022.05</v>
      </c>
    </row>
    <row r="364">
      <c r="A364" s="223" t="s">
        <v>86</v>
      </c>
      <c r="B364" s="223" t="s">
        <v>1235</v>
      </c>
      <c r="C364" s="223" t="s">
        <v>1156</v>
      </c>
      <c r="D364" s="316">
        <v>44712.0</v>
      </c>
      <c r="E364" s="218">
        <v>375.0</v>
      </c>
      <c r="F364" s="218">
        <v>14.87</v>
      </c>
      <c r="G364" s="218">
        <v>0.0</v>
      </c>
      <c r="H364" s="223">
        <v>360.13</v>
      </c>
      <c r="J364" s="223" t="s">
        <v>52</v>
      </c>
      <c r="K364" s="317">
        <v>2022.05</v>
      </c>
    </row>
    <row r="365">
      <c r="A365" s="223" t="s">
        <v>42</v>
      </c>
      <c r="B365" s="223" t="s">
        <v>1236</v>
      </c>
      <c r="C365" s="223" t="s">
        <v>1156</v>
      </c>
      <c r="D365" s="316">
        <v>44712.0</v>
      </c>
      <c r="E365" s="218">
        <v>1500.0</v>
      </c>
      <c r="F365" s="218">
        <v>46.67</v>
      </c>
      <c r="G365" s="218">
        <v>217.99949999999998</v>
      </c>
      <c r="H365" s="223">
        <v>1235.3305</v>
      </c>
      <c r="J365" s="223" t="s">
        <v>52</v>
      </c>
      <c r="K365" s="317">
        <v>2022.05</v>
      </c>
    </row>
    <row r="366">
      <c r="A366" s="223" t="s">
        <v>82</v>
      </c>
      <c r="B366" s="223" t="s">
        <v>1124</v>
      </c>
      <c r="C366" s="223" t="s">
        <v>1156</v>
      </c>
      <c r="D366" s="316">
        <v>44712.0</v>
      </c>
      <c r="E366" s="218">
        <v>800.0</v>
      </c>
      <c r="F366" s="218">
        <v>0.0</v>
      </c>
      <c r="G366" s="218">
        <v>0.0</v>
      </c>
      <c r="H366" s="223">
        <v>800.0</v>
      </c>
      <c r="J366" s="223" t="s">
        <v>52</v>
      </c>
      <c r="K366" s="317">
        <v>2022.05</v>
      </c>
    </row>
    <row r="367">
      <c r="A367" s="223" t="s">
        <v>88</v>
      </c>
      <c r="B367" s="223" t="s">
        <v>1256</v>
      </c>
      <c r="C367" s="223" t="s">
        <v>1156</v>
      </c>
      <c r="D367" s="316">
        <v>44712.0</v>
      </c>
      <c r="E367" s="218">
        <v>500.0</v>
      </c>
      <c r="F367" s="218">
        <v>15.53</v>
      </c>
      <c r="G367" s="218">
        <v>0.0</v>
      </c>
      <c r="H367" s="223">
        <v>484.47</v>
      </c>
      <c r="J367" s="223" t="s">
        <v>52</v>
      </c>
      <c r="K367" s="317">
        <v>2022.05</v>
      </c>
    </row>
    <row r="368">
      <c r="A368" s="223" t="s">
        <v>151</v>
      </c>
      <c r="B368" s="223" t="s">
        <v>1262</v>
      </c>
      <c r="C368" s="223" t="s">
        <v>1156</v>
      </c>
      <c r="D368" s="316">
        <v>44712.0</v>
      </c>
      <c r="E368" s="218">
        <v>808.36405</v>
      </c>
      <c r="F368" s="218">
        <v>30.00896081</v>
      </c>
      <c r="G368" s="218">
        <v>0.0</v>
      </c>
      <c r="H368" s="223">
        <v>778.3550891900001</v>
      </c>
      <c r="J368" s="223" t="s">
        <v>52</v>
      </c>
      <c r="K368" s="317">
        <v>2022.05</v>
      </c>
    </row>
    <row r="369">
      <c r="A369" s="223" t="s">
        <v>50</v>
      </c>
      <c r="B369" s="223" t="s">
        <v>1275</v>
      </c>
      <c r="C369" s="223" t="s">
        <v>1156</v>
      </c>
      <c r="D369" s="316">
        <v>44712.0</v>
      </c>
      <c r="E369" s="218">
        <v>375.0</v>
      </c>
      <c r="F369" s="218">
        <v>0.0</v>
      </c>
      <c r="G369" s="218">
        <v>0.0</v>
      </c>
      <c r="H369" s="223">
        <v>375.0</v>
      </c>
      <c r="J369" s="223" t="s">
        <v>52</v>
      </c>
      <c r="K369" s="317">
        <v>2022.05</v>
      </c>
    </row>
    <row r="370">
      <c r="A370" s="223" t="s">
        <v>75</v>
      </c>
      <c r="B370" s="223" t="s">
        <v>1279</v>
      </c>
      <c r="C370" s="223" t="s">
        <v>1156</v>
      </c>
      <c r="D370" s="316">
        <v>44712.0</v>
      </c>
      <c r="E370" s="218">
        <v>500.0</v>
      </c>
      <c r="F370" s="218">
        <v>0.0</v>
      </c>
      <c r="G370" s="218">
        <v>0.0</v>
      </c>
      <c r="H370" s="223">
        <v>500.0</v>
      </c>
      <c r="J370" s="223" t="s">
        <v>52</v>
      </c>
      <c r="K370" s="317">
        <v>2022.05</v>
      </c>
    </row>
    <row r="371">
      <c r="A371" s="223" t="s">
        <v>105</v>
      </c>
      <c r="B371" s="223" t="s">
        <v>1280</v>
      </c>
      <c r="C371" s="223" t="s">
        <v>2308</v>
      </c>
      <c r="D371" s="316">
        <v>44712.0</v>
      </c>
      <c r="E371" s="218">
        <v>367.44570000000004</v>
      </c>
      <c r="F371" s="218">
        <v>13.9629366</v>
      </c>
      <c r="G371" s="218">
        <v>0.0</v>
      </c>
      <c r="H371" s="223">
        <v>353.48276340000007</v>
      </c>
      <c r="J371" s="223" t="s">
        <v>52</v>
      </c>
      <c r="K371" s="317">
        <v>2022.05</v>
      </c>
    </row>
    <row r="372">
      <c r="A372" s="223" t="s">
        <v>90</v>
      </c>
      <c r="B372" s="223" t="s">
        <v>1282</v>
      </c>
      <c r="C372" s="223" t="s">
        <v>1156</v>
      </c>
      <c r="D372" s="316">
        <v>44712.0</v>
      </c>
      <c r="E372" s="218">
        <v>250.0</v>
      </c>
      <c r="F372" s="218">
        <v>0.0</v>
      </c>
      <c r="G372" s="218">
        <v>0.0</v>
      </c>
      <c r="H372" s="223">
        <v>250.0</v>
      </c>
      <c r="J372" s="223" t="s">
        <v>52</v>
      </c>
      <c r="K372" s="317">
        <v>2022.05</v>
      </c>
    </row>
    <row r="373">
      <c r="A373" s="223" t="s">
        <v>97</v>
      </c>
      <c r="B373" s="223" t="s">
        <v>1286</v>
      </c>
      <c r="C373" s="223" t="s">
        <v>1156</v>
      </c>
      <c r="D373" s="316">
        <v>44712.0</v>
      </c>
      <c r="E373" s="218">
        <v>300.0</v>
      </c>
      <c r="F373" s="218">
        <v>9.33</v>
      </c>
      <c r="G373" s="218">
        <v>0.0</v>
      </c>
      <c r="H373" s="223">
        <v>290.67</v>
      </c>
      <c r="J373" s="223" t="s">
        <v>52</v>
      </c>
      <c r="K373" s="317">
        <v>2022.05</v>
      </c>
    </row>
    <row r="374">
      <c r="A374" s="223" t="s">
        <v>92</v>
      </c>
      <c r="B374" s="223" t="s">
        <v>1289</v>
      </c>
      <c r="C374" s="223" t="s">
        <v>1156</v>
      </c>
      <c r="D374" s="316">
        <v>44712.0</v>
      </c>
      <c r="E374" s="218">
        <v>2500.0</v>
      </c>
      <c r="F374" s="218">
        <v>77.78</v>
      </c>
      <c r="G374" s="218">
        <v>0.0</v>
      </c>
      <c r="H374" s="223">
        <v>2422.22</v>
      </c>
      <c r="J374" s="223" t="s">
        <v>52</v>
      </c>
      <c r="K374" s="317">
        <v>2022.05</v>
      </c>
    </row>
    <row r="375">
      <c r="A375" s="223" t="s">
        <v>112</v>
      </c>
      <c r="B375" s="223" t="s">
        <v>1296</v>
      </c>
      <c r="C375" s="223" t="s">
        <v>2309</v>
      </c>
      <c r="D375" s="316">
        <v>44712.0</v>
      </c>
      <c r="E375" s="218">
        <v>523.14234</v>
      </c>
      <c r="F375" s="218">
        <v>19.729939679999998</v>
      </c>
      <c r="G375" s="218">
        <v>0.0</v>
      </c>
      <c r="H375" s="223">
        <v>503.41240032</v>
      </c>
      <c r="J375" s="223" t="s">
        <v>52</v>
      </c>
      <c r="K375" s="317">
        <v>2022.05</v>
      </c>
    </row>
    <row r="376">
      <c r="A376" s="223" t="s">
        <v>123</v>
      </c>
      <c r="B376" s="223" t="s">
        <v>1300</v>
      </c>
      <c r="C376" s="223" t="s">
        <v>1156</v>
      </c>
      <c r="D376" s="316">
        <v>44712.0</v>
      </c>
      <c r="E376" s="218">
        <v>5465.4165</v>
      </c>
      <c r="F376" s="218">
        <v>202.5847716</v>
      </c>
      <c r="G376" s="218">
        <v>1052.56634568</v>
      </c>
      <c r="H376" s="223">
        <v>4210.26538272</v>
      </c>
      <c r="J376" s="223" t="s">
        <v>52</v>
      </c>
      <c r="K376" s="317">
        <v>2022.05</v>
      </c>
    </row>
    <row r="377">
      <c r="A377" s="223" t="s">
        <v>115</v>
      </c>
      <c r="B377" s="223" t="s">
        <v>1308</v>
      </c>
      <c r="C377" s="223" t="s">
        <v>1156</v>
      </c>
      <c r="D377" s="316">
        <v>44712.0</v>
      </c>
      <c r="E377" s="218">
        <v>2514.025</v>
      </c>
      <c r="F377" s="218">
        <v>0.0</v>
      </c>
      <c r="G377" s="218">
        <v>0.0</v>
      </c>
      <c r="H377" s="223">
        <v>2514.025</v>
      </c>
      <c r="J377" s="223" t="s">
        <v>52</v>
      </c>
      <c r="K377" s="317">
        <v>2022.05</v>
      </c>
    </row>
    <row r="378">
      <c r="A378" s="223" t="s">
        <v>118</v>
      </c>
      <c r="B378" s="223" t="s">
        <v>1312</v>
      </c>
      <c r="C378" s="223" t="s">
        <v>1156</v>
      </c>
      <c r="D378" s="316">
        <v>44712.0</v>
      </c>
      <c r="E378" s="218">
        <v>2514.025</v>
      </c>
      <c r="F378" s="218">
        <v>0.0</v>
      </c>
      <c r="G378" s="218">
        <v>0.0</v>
      </c>
      <c r="H378" s="223">
        <v>2514.025</v>
      </c>
      <c r="J378" s="223" t="s">
        <v>52</v>
      </c>
      <c r="K378" s="317">
        <v>2022.05</v>
      </c>
    </row>
    <row r="379">
      <c r="A379" s="223" t="s">
        <v>73</v>
      </c>
      <c r="B379" s="223" t="s">
        <v>1327</v>
      </c>
      <c r="C379" s="223" t="s">
        <v>1156</v>
      </c>
      <c r="D379" s="316">
        <v>44712.0</v>
      </c>
      <c r="E379" s="218">
        <v>700.0</v>
      </c>
      <c r="F379" s="218">
        <v>23.44</v>
      </c>
      <c r="G379" s="218">
        <v>0.0</v>
      </c>
      <c r="H379" s="223">
        <v>676.56</v>
      </c>
      <c r="J379" s="223" t="s">
        <v>52</v>
      </c>
      <c r="K379" s="317">
        <v>2022.05</v>
      </c>
    </row>
    <row r="380">
      <c r="A380" s="223" t="s">
        <v>394</v>
      </c>
      <c r="B380" s="223" t="s">
        <v>1158</v>
      </c>
      <c r="C380" s="223" t="s">
        <v>1164</v>
      </c>
      <c r="D380" s="316">
        <v>44771.0</v>
      </c>
      <c r="E380" s="218">
        <v>191.70000000000002</v>
      </c>
      <c r="F380" s="218">
        <v>0.0</v>
      </c>
      <c r="G380" s="218">
        <v>0.0</v>
      </c>
      <c r="H380" s="223">
        <v>191.70000000000002</v>
      </c>
      <c r="J380" s="223" t="s">
        <v>257</v>
      </c>
      <c r="K380" s="317">
        <v>2022.0</v>
      </c>
    </row>
    <row r="381">
      <c r="A381" s="223" t="s">
        <v>394</v>
      </c>
      <c r="B381" s="223" t="s">
        <v>1158</v>
      </c>
      <c r="C381" s="223" t="s">
        <v>1164</v>
      </c>
      <c r="D381" s="316">
        <v>44865.0</v>
      </c>
      <c r="E381" s="218">
        <v>195.72</v>
      </c>
      <c r="F381" s="218">
        <v>0.0</v>
      </c>
      <c r="G381" s="218">
        <v>0.0</v>
      </c>
      <c r="H381" s="223">
        <v>195.72</v>
      </c>
      <c r="J381" s="223" t="s">
        <v>257</v>
      </c>
      <c r="K381" s="317">
        <v>2022.0</v>
      </c>
    </row>
    <row r="382">
      <c r="A382" s="223" t="s">
        <v>451</v>
      </c>
      <c r="B382" s="223" t="s">
        <v>1363</v>
      </c>
      <c r="C382" s="223" t="s">
        <v>1364</v>
      </c>
      <c r="D382" s="316">
        <v>44712.0</v>
      </c>
      <c r="E382" s="218">
        <v>1288.30065</v>
      </c>
      <c r="F382" s="218">
        <v>48.035209949999995</v>
      </c>
      <c r="G382" s="218">
        <v>0.0</v>
      </c>
      <c r="H382" s="223">
        <v>1240.2654400499998</v>
      </c>
      <c r="J382" s="223" t="s">
        <v>19</v>
      </c>
      <c r="K382" s="317">
        <v>2022.0</v>
      </c>
    </row>
    <row r="383">
      <c r="A383" s="223" t="s">
        <v>451</v>
      </c>
      <c r="B383" s="223" t="s">
        <v>1363</v>
      </c>
      <c r="C383" s="223" t="s">
        <v>1364</v>
      </c>
      <c r="D383" s="316">
        <v>44757.0</v>
      </c>
      <c r="E383" s="218">
        <v>1317.02235</v>
      </c>
      <c r="F383" s="218">
        <v>49.106119050000004</v>
      </c>
      <c r="G383" s="218">
        <v>0.0</v>
      </c>
      <c r="H383" s="223">
        <v>1267.91623095</v>
      </c>
      <c r="J383" s="223" t="s">
        <v>45</v>
      </c>
      <c r="K383" s="317">
        <v>2022.0</v>
      </c>
    </row>
    <row r="384">
      <c r="A384" s="223" t="s">
        <v>457</v>
      </c>
      <c r="B384" s="223" t="s">
        <v>1365</v>
      </c>
      <c r="C384" s="223" t="s">
        <v>1366</v>
      </c>
      <c r="D384" s="316">
        <v>44712.0</v>
      </c>
      <c r="E384" s="218">
        <v>450.0</v>
      </c>
      <c r="F384" s="218">
        <v>0.0</v>
      </c>
      <c r="G384" s="218">
        <v>0.0</v>
      </c>
      <c r="H384" s="223">
        <v>450.0</v>
      </c>
      <c r="J384" s="223" t="s">
        <v>252</v>
      </c>
      <c r="K384" s="317">
        <v>2022.0</v>
      </c>
    </row>
    <row r="385">
      <c r="A385" s="223" t="s">
        <v>141</v>
      </c>
      <c r="B385" s="223" t="s">
        <v>1292</v>
      </c>
      <c r="C385" s="223" t="s">
        <v>1190</v>
      </c>
      <c r="D385" s="316">
        <v>44714.0</v>
      </c>
      <c r="E385" s="218">
        <v>600.0</v>
      </c>
      <c r="F385" s="218">
        <v>18.67</v>
      </c>
      <c r="G385" s="218">
        <v>0.0</v>
      </c>
      <c r="H385" s="223">
        <v>581.33</v>
      </c>
      <c r="J385" s="223" t="s">
        <v>459</v>
      </c>
      <c r="K385" s="317">
        <v>2022.0</v>
      </c>
    </row>
    <row r="386">
      <c r="A386" s="223" t="s">
        <v>68</v>
      </c>
      <c r="B386" s="223" t="s">
        <v>1178</v>
      </c>
      <c r="C386" s="223" t="s">
        <v>1156</v>
      </c>
      <c r="D386" s="316">
        <v>44727.0</v>
      </c>
      <c r="E386" s="218">
        <v>650.0</v>
      </c>
      <c r="F386" s="218">
        <v>20.09</v>
      </c>
      <c r="G386" s="218">
        <v>0.0</v>
      </c>
      <c r="H386" s="223">
        <v>629.91</v>
      </c>
      <c r="J386" s="223" t="s">
        <v>52</v>
      </c>
      <c r="K386" s="317">
        <v>2022.06</v>
      </c>
    </row>
    <row r="387">
      <c r="A387" s="223" t="s">
        <v>99</v>
      </c>
      <c r="B387" s="223" t="s">
        <v>1192</v>
      </c>
      <c r="C387" s="223" t="s">
        <v>1156</v>
      </c>
      <c r="D387" s="316">
        <v>44727.0</v>
      </c>
      <c r="E387" s="218">
        <v>1621.7721</v>
      </c>
      <c r="F387" s="218">
        <v>60.3798228</v>
      </c>
      <c r="G387" s="218">
        <v>312.27845544</v>
      </c>
      <c r="H387" s="223">
        <v>1249.1138217599998</v>
      </c>
      <c r="J387" s="223" t="s">
        <v>52</v>
      </c>
      <c r="K387" s="317">
        <v>2022.06</v>
      </c>
    </row>
    <row r="388">
      <c r="A388" s="223" t="s">
        <v>225</v>
      </c>
      <c r="B388" s="223" t="s">
        <v>1257</v>
      </c>
      <c r="C388" s="223" t="s">
        <v>1156</v>
      </c>
      <c r="D388" s="316">
        <v>44727.0</v>
      </c>
      <c r="E388" s="218">
        <v>5000.0</v>
      </c>
      <c r="F388" s="218">
        <v>0.0</v>
      </c>
      <c r="G388" s="218">
        <v>0.0</v>
      </c>
      <c r="H388" s="223">
        <v>5000.0</v>
      </c>
      <c r="J388" s="223" t="s">
        <v>52</v>
      </c>
      <c r="K388" s="317">
        <v>2022.06</v>
      </c>
    </row>
    <row r="389">
      <c r="A389" s="223" t="s">
        <v>102</v>
      </c>
      <c r="B389" s="223" t="s">
        <v>1259</v>
      </c>
      <c r="C389" s="223" t="s">
        <v>1156</v>
      </c>
      <c r="D389" s="316">
        <v>44727.0</v>
      </c>
      <c r="E389" s="218">
        <v>435.74825000000004</v>
      </c>
      <c r="F389" s="218">
        <v>16.49618375</v>
      </c>
      <c r="G389" s="218">
        <v>0.0</v>
      </c>
      <c r="H389" s="223">
        <v>419.25206625000004</v>
      </c>
      <c r="J389" s="223" t="s">
        <v>52</v>
      </c>
      <c r="K389" s="317">
        <v>2022.06</v>
      </c>
    </row>
    <row r="390">
      <c r="A390" s="223" t="s">
        <v>156</v>
      </c>
      <c r="B390" s="223" t="s">
        <v>1293</v>
      </c>
      <c r="C390" s="223" t="s">
        <v>1156</v>
      </c>
      <c r="D390" s="316">
        <v>44727.0</v>
      </c>
      <c r="E390" s="218">
        <v>621.8185000000001</v>
      </c>
      <c r="F390" s="218">
        <v>23.380375600000004</v>
      </c>
      <c r="G390" s="218">
        <v>119.68762488000003</v>
      </c>
      <c r="H390" s="223">
        <v>478.75049952000006</v>
      </c>
      <c r="J390" s="223" t="s">
        <v>52</v>
      </c>
      <c r="K390" s="317">
        <v>2022.06</v>
      </c>
    </row>
    <row r="391">
      <c r="A391" s="223" t="s">
        <v>62</v>
      </c>
      <c r="B391" s="223" t="s">
        <v>1304</v>
      </c>
      <c r="C391" s="223" t="s">
        <v>1156</v>
      </c>
      <c r="D391" s="316">
        <v>44727.0</v>
      </c>
      <c r="E391" s="218">
        <v>1600.0</v>
      </c>
      <c r="F391" s="218">
        <v>49.78</v>
      </c>
      <c r="G391" s="218">
        <v>0.0</v>
      </c>
      <c r="H391" s="223">
        <v>1550.22</v>
      </c>
      <c r="J391" s="223" t="s">
        <v>52</v>
      </c>
      <c r="K391" s="317">
        <v>2022.06</v>
      </c>
    </row>
    <row r="392">
      <c r="A392" s="223" t="s">
        <v>66</v>
      </c>
      <c r="B392" s="223" t="s">
        <v>1324</v>
      </c>
      <c r="C392" s="223" t="s">
        <v>1156</v>
      </c>
      <c r="D392" s="316">
        <v>44727.0</v>
      </c>
      <c r="E392" s="218">
        <v>900.0</v>
      </c>
      <c r="F392" s="218">
        <v>0.0</v>
      </c>
      <c r="G392" s="218">
        <v>0.0</v>
      </c>
      <c r="H392" s="223">
        <v>900.0</v>
      </c>
      <c r="J392" s="223" t="s">
        <v>52</v>
      </c>
      <c r="K392" s="317">
        <v>2022.06</v>
      </c>
    </row>
    <row r="393">
      <c r="A393" s="223" t="s">
        <v>465</v>
      </c>
      <c r="B393" s="223" t="s">
        <v>1357</v>
      </c>
      <c r="C393" s="223" t="s">
        <v>524</v>
      </c>
      <c r="D393" s="316">
        <v>44727.0</v>
      </c>
      <c r="E393" s="218">
        <v>500.0</v>
      </c>
      <c r="F393" s="218">
        <v>0.0</v>
      </c>
      <c r="G393" s="218">
        <v>0.0</v>
      </c>
      <c r="H393" s="223">
        <v>500.0</v>
      </c>
      <c r="J393" s="223" t="s">
        <v>52</v>
      </c>
      <c r="K393" s="317">
        <v>2022.06</v>
      </c>
    </row>
    <row r="394">
      <c r="A394" s="223" t="s">
        <v>467</v>
      </c>
      <c r="B394" s="223" t="s">
        <v>1209</v>
      </c>
      <c r="C394" s="223" t="s">
        <v>469</v>
      </c>
      <c r="D394" s="316">
        <v>44727.0</v>
      </c>
      <c r="E394" s="218">
        <v>349.30476</v>
      </c>
      <c r="F394" s="218">
        <v>13.29853122</v>
      </c>
      <c r="G394" s="218">
        <v>67.201245756</v>
      </c>
      <c r="H394" s="223">
        <v>268.804983024</v>
      </c>
      <c r="J394" s="223" t="s">
        <v>52</v>
      </c>
      <c r="K394" s="317">
        <v>2022.06</v>
      </c>
    </row>
    <row r="395">
      <c r="A395" s="223" t="s">
        <v>470</v>
      </c>
      <c r="B395" s="223" t="s">
        <v>1368</v>
      </c>
      <c r="C395" s="223" t="s">
        <v>1369</v>
      </c>
      <c r="D395" s="316">
        <v>44727.0</v>
      </c>
      <c r="E395" s="218">
        <v>430.393365</v>
      </c>
      <c r="F395" s="218">
        <v>16.30504719</v>
      </c>
      <c r="G395" s="218">
        <v>0.0</v>
      </c>
      <c r="H395" s="223">
        <v>414.08831781000004</v>
      </c>
      <c r="J395" s="223" t="s">
        <v>472</v>
      </c>
      <c r="K395" s="317">
        <v>2022.0</v>
      </c>
    </row>
    <row r="396">
      <c r="A396" s="223" t="s">
        <v>470</v>
      </c>
      <c r="B396" s="223" t="s">
        <v>1368</v>
      </c>
      <c r="C396" s="223" t="s">
        <v>1369</v>
      </c>
      <c r="D396" s="316">
        <v>44771.0</v>
      </c>
      <c r="E396" s="218">
        <v>427.88349</v>
      </c>
      <c r="F396" s="218">
        <v>16.14795084</v>
      </c>
      <c r="G396" s="218">
        <v>0.0</v>
      </c>
      <c r="H396" s="223">
        <v>411.73553916</v>
      </c>
      <c r="J396" s="223" t="s">
        <v>45</v>
      </c>
      <c r="K396" s="317">
        <v>2022.0</v>
      </c>
    </row>
    <row r="397">
      <c r="A397" s="223" t="s">
        <v>476</v>
      </c>
      <c r="B397" s="223" t="s">
        <v>1371</v>
      </c>
      <c r="C397" s="223" t="s">
        <v>1372</v>
      </c>
      <c r="D397" s="316">
        <v>44742.0</v>
      </c>
      <c r="E397" s="218">
        <v>1500.0</v>
      </c>
      <c r="F397" s="218">
        <v>46.67</v>
      </c>
      <c r="G397" s="218">
        <v>0.0</v>
      </c>
      <c r="H397" s="223">
        <v>1453.33</v>
      </c>
      <c r="J397" s="223" t="s">
        <v>252</v>
      </c>
      <c r="K397" s="317">
        <v>2022.0</v>
      </c>
    </row>
    <row r="398">
      <c r="A398" s="223" t="s">
        <v>478</v>
      </c>
      <c r="B398" s="223" t="s">
        <v>1200</v>
      </c>
      <c r="C398" s="223" t="s">
        <v>1373</v>
      </c>
      <c r="D398" s="316">
        <v>44742.0</v>
      </c>
      <c r="E398" s="218">
        <v>1251.0</v>
      </c>
      <c r="F398" s="218">
        <v>0.0</v>
      </c>
      <c r="G398" s="218">
        <v>0.0</v>
      </c>
      <c r="H398" s="223">
        <v>1251.0</v>
      </c>
      <c r="J398" s="223" t="s">
        <v>252</v>
      </c>
      <c r="K398" s="317">
        <v>2022.0</v>
      </c>
    </row>
    <row r="399">
      <c r="A399" s="223" t="s">
        <v>481</v>
      </c>
      <c r="B399" s="223" t="s">
        <v>1200</v>
      </c>
      <c r="C399" s="223" t="s">
        <v>1374</v>
      </c>
      <c r="D399" s="316">
        <v>44771.0</v>
      </c>
      <c r="E399" s="218">
        <v>874.44</v>
      </c>
      <c r="F399" s="218">
        <v>0.0</v>
      </c>
      <c r="G399" s="218">
        <v>0.0</v>
      </c>
      <c r="H399" s="223">
        <v>874.44</v>
      </c>
      <c r="J399" s="223" t="s">
        <v>52</v>
      </c>
      <c r="K399" s="317">
        <v>2022.0</v>
      </c>
    </row>
    <row r="400">
      <c r="A400" s="223" t="s">
        <v>481</v>
      </c>
      <c r="B400" s="223" t="s">
        <v>1200</v>
      </c>
      <c r="C400" s="223" t="s">
        <v>1374</v>
      </c>
      <c r="D400" s="316">
        <v>44804.0</v>
      </c>
      <c r="E400" s="218">
        <v>927.5699999999999</v>
      </c>
      <c r="F400" s="218">
        <v>0.0</v>
      </c>
      <c r="G400" s="218">
        <v>0.0</v>
      </c>
      <c r="H400" s="223">
        <v>927.5699999999999</v>
      </c>
      <c r="J400" s="223" t="s">
        <v>52</v>
      </c>
      <c r="K400" s="317">
        <v>2022.0</v>
      </c>
    </row>
    <row r="401">
      <c r="A401" s="223" t="s">
        <v>481</v>
      </c>
      <c r="B401" s="223" t="s">
        <v>1200</v>
      </c>
      <c r="C401" s="223" t="s">
        <v>1374</v>
      </c>
      <c r="D401" s="316">
        <v>44834.0</v>
      </c>
      <c r="E401" s="218">
        <v>700.0</v>
      </c>
      <c r="F401" s="218"/>
      <c r="G401" s="218">
        <v>0.0</v>
      </c>
      <c r="H401" s="223">
        <v>700.0</v>
      </c>
      <c r="J401" s="223" t="s">
        <v>52</v>
      </c>
      <c r="K401" s="317">
        <v>2022.0</v>
      </c>
    </row>
    <row r="402">
      <c r="A402" s="223" t="s">
        <v>481</v>
      </c>
      <c r="B402" s="223" t="s">
        <v>1200</v>
      </c>
      <c r="C402" s="223" t="s">
        <v>1374</v>
      </c>
      <c r="D402" s="316">
        <v>44865.0</v>
      </c>
      <c r="E402" s="218">
        <v>909.72</v>
      </c>
      <c r="F402" s="218">
        <v>0.0</v>
      </c>
      <c r="G402" s="218">
        <v>0.0</v>
      </c>
      <c r="H402" s="223">
        <v>909.72</v>
      </c>
      <c r="J402" s="223" t="s">
        <v>52</v>
      </c>
      <c r="K402" s="317">
        <v>2022.0</v>
      </c>
    </row>
    <row r="403">
      <c r="A403" s="223" t="s">
        <v>481</v>
      </c>
      <c r="B403" s="223" t="s">
        <v>1200</v>
      </c>
      <c r="C403" s="223" t="s">
        <v>1374</v>
      </c>
      <c r="D403" s="316">
        <v>44895.0</v>
      </c>
      <c r="E403" s="218">
        <v>921.62</v>
      </c>
      <c r="F403" s="218">
        <v>0.0</v>
      </c>
      <c r="G403" s="218">
        <v>0.0</v>
      </c>
      <c r="H403" s="223">
        <v>921.62</v>
      </c>
      <c r="J403" s="223" t="s">
        <v>52</v>
      </c>
      <c r="K403" s="317">
        <v>2022.0</v>
      </c>
    </row>
    <row r="404">
      <c r="A404" s="223" t="s">
        <v>481</v>
      </c>
      <c r="B404" s="223" t="s">
        <v>1200</v>
      </c>
      <c r="C404" s="223" t="s">
        <v>1374</v>
      </c>
      <c r="D404" s="316">
        <v>44925.0</v>
      </c>
      <c r="E404" s="218">
        <v>908.6700000000001</v>
      </c>
      <c r="F404" s="218">
        <v>0.0</v>
      </c>
      <c r="G404" s="218">
        <v>0.0</v>
      </c>
      <c r="H404" s="223">
        <v>908.6700000000001</v>
      </c>
      <c r="J404" s="223" t="s">
        <v>52</v>
      </c>
      <c r="K404" s="317">
        <v>2022.0</v>
      </c>
    </row>
    <row r="405">
      <c r="A405" s="223" t="s">
        <v>481</v>
      </c>
      <c r="B405" s="223" t="s">
        <v>1200</v>
      </c>
      <c r="C405" s="223" t="s">
        <v>1374</v>
      </c>
      <c r="D405" s="316">
        <v>44957.0</v>
      </c>
      <c r="E405" s="218">
        <v>921.9699999999999</v>
      </c>
      <c r="F405" s="218">
        <v>0.0</v>
      </c>
      <c r="G405" s="218">
        <v>0.0</v>
      </c>
      <c r="H405" s="223">
        <v>921.9699999999999</v>
      </c>
      <c r="J405" s="223" t="s">
        <v>52</v>
      </c>
      <c r="K405" s="317">
        <v>2023.0</v>
      </c>
    </row>
    <row r="406">
      <c r="A406" s="223" t="s">
        <v>223</v>
      </c>
      <c r="B406" s="223" t="s">
        <v>1176</v>
      </c>
      <c r="C406" s="223" t="s">
        <v>1156</v>
      </c>
      <c r="D406" s="316">
        <v>44742.0</v>
      </c>
      <c r="E406" s="218">
        <v>800.0</v>
      </c>
      <c r="F406" s="218">
        <v>24.89</v>
      </c>
      <c r="G406" s="218">
        <v>0.0</v>
      </c>
      <c r="H406" s="223">
        <v>775.11</v>
      </c>
      <c r="J406" s="223" t="s">
        <v>52</v>
      </c>
      <c r="K406" s="317">
        <v>2022.06</v>
      </c>
    </row>
    <row r="407">
      <c r="A407" s="223" t="s">
        <v>54</v>
      </c>
      <c r="B407" s="223" t="s">
        <v>1187</v>
      </c>
      <c r="C407" s="223" t="s">
        <v>1156</v>
      </c>
      <c r="D407" s="316">
        <v>44742.0</v>
      </c>
      <c r="E407" s="218">
        <v>750.0</v>
      </c>
      <c r="F407" s="218">
        <v>23.33</v>
      </c>
      <c r="G407" s="218">
        <v>0.0</v>
      </c>
      <c r="H407" s="223">
        <v>726.67</v>
      </c>
      <c r="J407" s="223" t="s">
        <v>52</v>
      </c>
      <c r="K407" s="317">
        <v>2022.06</v>
      </c>
    </row>
    <row r="408">
      <c r="A408" s="223" t="s">
        <v>147</v>
      </c>
      <c r="B408" s="223" t="s">
        <v>1194</v>
      </c>
      <c r="C408" s="223" t="s">
        <v>1156</v>
      </c>
      <c r="D408" s="316">
        <v>44742.0</v>
      </c>
      <c r="E408" s="218">
        <v>900.0</v>
      </c>
      <c r="F408" s="218">
        <v>0.0</v>
      </c>
      <c r="G408" s="218">
        <v>0.0</v>
      </c>
      <c r="H408" s="223">
        <v>900.0</v>
      </c>
      <c r="J408" s="223" t="s">
        <v>52</v>
      </c>
      <c r="K408" s="317">
        <v>2022.06</v>
      </c>
    </row>
    <row r="409">
      <c r="A409" s="223" t="s">
        <v>58</v>
      </c>
      <c r="B409" s="223" t="s">
        <v>1197</v>
      </c>
      <c r="C409" s="223" t="s">
        <v>1156</v>
      </c>
      <c r="D409" s="316">
        <v>44742.0</v>
      </c>
      <c r="E409" s="218">
        <v>1550.0</v>
      </c>
      <c r="F409" s="218">
        <v>48.22</v>
      </c>
      <c r="G409" s="218">
        <v>0.0</v>
      </c>
      <c r="H409" s="223">
        <v>1501.78</v>
      </c>
      <c r="J409" s="223" t="s">
        <v>52</v>
      </c>
      <c r="K409" s="317">
        <v>2022.06</v>
      </c>
    </row>
    <row r="410">
      <c r="A410" s="223" t="s">
        <v>120</v>
      </c>
      <c r="B410" s="223" t="s">
        <v>1215</v>
      </c>
      <c r="C410" s="223" t="s">
        <v>1156</v>
      </c>
      <c r="D410" s="316">
        <v>44742.0</v>
      </c>
      <c r="E410" s="218">
        <v>1871.712</v>
      </c>
      <c r="F410" s="218">
        <v>69.6276864</v>
      </c>
      <c r="G410" s="218">
        <v>360.41686272000004</v>
      </c>
      <c r="H410" s="223">
        <v>1441.6674508800002</v>
      </c>
      <c r="J410" s="223" t="s">
        <v>52</v>
      </c>
      <c r="K410" s="317">
        <v>2022.06</v>
      </c>
    </row>
    <row r="411">
      <c r="A411" s="223" t="s">
        <v>84</v>
      </c>
      <c r="B411" s="223" t="s">
        <v>1227</v>
      </c>
      <c r="C411" s="223" t="s">
        <v>1156</v>
      </c>
      <c r="D411" s="316">
        <v>44742.0</v>
      </c>
      <c r="E411" s="218">
        <v>1000.0</v>
      </c>
      <c r="F411" s="218">
        <v>0.0</v>
      </c>
      <c r="G411" s="218">
        <v>0.0</v>
      </c>
      <c r="H411" s="223">
        <v>1000.0</v>
      </c>
      <c r="J411" s="223" t="s">
        <v>52</v>
      </c>
      <c r="K411" s="317">
        <v>2022.06</v>
      </c>
    </row>
    <row r="412">
      <c r="A412" s="223" t="s">
        <v>86</v>
      </c>
      <c r="B412" s="223" t="s">
        <v>1235</v>
      </c>
      <c r="C412" s="223" t="s">
        <v>1156</v>
      </c>
      <c r="D412" s="316">
        <v>44742.0</v>
      </c>
      <c r="E412" s="218">
        <v>150.0</v>
      </c>
      <c r="F412" s="218">
        <v>6.13</v>
      </c>
      <c r="G412" s="218">
        <v>0.0</v>
      </c>
      <c r="H412" s="223">
        <v>143.87</v>
      </c>
      <c r="J412" s="223" t="s">
        <v>52</v>
      </c>
      <c r="K412" s="317">
        <v>2022.06</v>
      </c>
    </row>
    <row r="413">
      <c r="A413" s="223" t="s">
        <v>42</v>
      </c>
      <c r="B413" s="223" t="s">
        <v>1236</v>
      </c>
      <c r="C413" s="223" t="s">
        <v>1156</v>
      </c>
      <c r="D413" s="316">
        <v>44742.0</v>
      </c>
      <c r="E413" s="218">
        <v>1500.0</v>
      </c>
      <c r="F413" s="218">
        <v>46.67</v>
      </c>
      <c r="G413" s="218">
        <v>217.99949999999998</v>
      </c>
      <c r="H413" s="223">
        <v>1235.3305</v>
      </c>
      <c r="J413" s="223" t="s">
        <v>52</v>
      </c>
      <c r="K413" s="317">
        <v>2022.06</v>
      </c>
    </row>
    <row r="414">
      <c r="A414" s="223" t="s">
        <v>82</v>
      </c>
      <c r="B414" s="223" t="s">
        <v>1124</v>
      </c>
      <c r="C414" s="223" t="s">
        <v>1156</v>
      </c>
      <c r="D414" s="316">
        <v>44742.0</v>
      </c>
      <c r="E414" s="218">
        <v>800.0</v>
      </c>
      <c r="F414" s="218">
        <v>0.0</v>
      </c>
      <c r="G414" s="218">
        <v>0.0</v>
      </c>
      <c r="H414" s="223">
        <v>800.0</v>
      </c>
      <c r="J414" s="223" t="s">
        <v>52</v>
      </c>
      <c r="K414" s="317">
        <v>2022.06</v>
      </c>
    </row>
    <row r="415">
      <c r="A415" s="223" t="s">
        <v>88</v>
      </c>
      <c r="B415" s="223" t="s">
        <v>1256</v>
      </c>
      <c r="C415" s="223" t="s">
        <v>1156</v>
      </c>
      <c r="D415" s="316">
        <v>44742.0</v>
      </c>
      <c r="E415" s="218">
        <v>500.0</v>
      </c>
      <c r="F415" s="218">
        <v>15.53</v>
      </c>
      <c r="G415" s="218">
        <v>0.0</v>
      </c>
      <c r="H415" s="223">
        <v>484.47</v>
      </c>
      <c r="J415" s="223" t="s">
        <v>52</v>
      </c>
      <c r="K415" s="317">
        <v>2022.06</v>
      </c>
    </row>
    <row r="416">
      <c r="A416" s="223" t="s">
        <v>151</v>
      </c>
      <c r="B416" s="223" t="s">
        <v>1262</v>
      </c>
      <c r="C416" s="223" t="s">
        <v>1156</v>
      </c>
      <c r="D416" s="316">
        <v>44742.0</v>
      </c>
      <c r="E416" s="218">
        <v>808.36405</v>
      </c>
      <c r="F416" s="218">
        <v>30.00896081</v>
      </c>
      <c r="G416" s="218">
        <v>0.0</v>
      </c>
      <c r="H416" s="223">
        <v>778.3550891900001</v>
      </c>
      <c r="J416" s="223" t="s">
        <v>52</v>
      </c>
      <c r="K416" s="317">
        <v>2022.06</v>
      </c>
    </row>
    <row r="417">
      <c r="A417" s="223" t="s">
        <v>50</v>
      </c>
      <c r="B417" s="223" t="s">
        <v>1275</v>
      </c>
      <c r="C417" s="223" t="s">
        <v>1156</v>
      </c>
      <c r="D417" s="316">
        <v>44742.0</v>
      </c>
      <c r="E417" s="218">
        <v>375.0</v>
      </c>
      <c r="F417" s="218">
        <v>0.0</v>
      </c>
      <c r="G417" s="218">
        <v>0.0</v>
      </c>
      <c r="H417" s="223">
        <v>375.0</v>
      </c>
      <c r="J417" s="223" t="s">
        <v>52</v>
      </c>
      <c r="K417" s="317">
        <v>2022.06</v>
      </c>
    </row>
    <row r="418">
      <c r="A418" s="223" t="s">
        <v>75</v>
      </c>
      <c r="B418" s="223" t="s">
        <v>1279</v>
      </c>
      <c r="C418" s="223" t="s">
        <v>1156</v>
      </c>
      <c r="D418" s="316">
        <v>44742.0</v>
      </c>
      <c r="E418" s="218">
        <v>500.0</v>
      </c>
      <c r="F418" s="218">
        <v>0.0</v>
      </c>
      <c r="G418" s="218">
        <v>0.0</v>
      </c>
      <c r="H418" s="223">
        <v>500.0</v>
      </c>
      <c r="J418" s="223" t="s">
        <v>52</v>
      </c>
      <c r="K418" s="317">
        <v>2022.06</v>
      </c>
    </row>
    <row r="419">
      <c r="A419" s="223" t="s">
        <v>105</v>
      </c>
      <c r="B419" s="223" t="s">
        <v>1280</v>
      </c>
      <c r="C419" s="223" t="s">
        <v>2308</v>
      </c>
      <c r="D419" s="316">
        <v>44742.0</v>
      </c>
      <c r="E419" s="218">
        <v>374.3424</v>
      </c>
      <c r="F419" s="218">
        <v>14.2250112</v>
      </c>
      <c r="G419" s="218">
        <v>0.0</v>
      </c>
      <c r="H419" s="223">
        <v>360.1173888</v>
      </c>
      <c r="J419" s="223" t="s">
        <v>52</v>
      </c>
      <c r="K419" s="317">
        <v>2022.06</v>
      </c>
    </row>
    <row r="420">
      <c r="A420" s="223" t="s">
        <v>90</v>
      </c>
      <c r="B420" s="223" t="s">
        <v>1282</v>
      </c>
      <c r="C420" s="223" t="s">
        <v>1156</v>
      </c>
      <c r="D420" s="316">
        <v>44742.0</v>
      </c>
      <c r="E420" s="218">
        <v>250.0</v>
      </c>
      <c r="F420" s="218">
        <v>0.0</v>
      </c>
      <c r="G420" s="218">
        <v>0.0</v>
      </c>
      <c r="H420" s="223">
        <v>250.0</v>
      </c>
      <c r="J420" s="223" t="s">
        <v>52</v>
      </c>
      <c r="K420" s="317">
        <v>2022.06</v>
      </c>
    </row>
    <row r="421">
      <c r="A421" s="223" t="s">
        <v>97</v>
      </c>
      <c r="B421" s="223" t="s">
        <v>1286</v>
      </c>
      <c r="C421" s="223" t="s">
        <v>1156</v>
      </c>
      <c r="D421" s="316">
        <v>44742.0</v>
      </c>
      <c r="E421" s="218">
        <v>300.0</v>
      </c>
      <c r="F421" s="218">
        <v>9.33</v>
      </c>
      <c r="G421" s="218">
        <v>0.0</v>
      </c>
      <c r="H421" s="223">
        <v>290.67</v>
      </c>
      <c r="J421" s="223" t="s">
        <v>52</v>
      </c>
      <c r="K421" s="317">
        <v>2022.06</v>
      </c>
    </row>
    <row r="422">
      <c r="A422" s="223" t="s">
        <v>92</v>
      </c>
      <c r="B422" s="223" t="s">
        <v>1289</v>
      </c>
      <c r="C422" s="223" t="s">
        <v>1156</v>
      </c>
      <c r="D422" s="316">
        <v>44742.0</v>
      </c>
      <c r="E422" s="218">
        <v>2500.0</v>
      </c>
      <c r="F422" s="218">
        <v>77.78</v>
      </c>
      <c r="G422" s="218">
        <v>0.0</v>
      </c>
      <c r="H422" s="223">
        <v>2422.22</v>
      </c>
      <c r="J422" s="223" t="s">
        <v>52</v>
      </c>
      <c r="K422" s="317">
        <v>2022.06</v>
      </c>
    </row>
    <row r="423">
      <c r="A423" s="223" t="s">
        <v>112</v>
      </c>
      <c r="B423" s="223" t="s">
        <v>1296</v>
      </c>
      <c r="C423" s="223" t="s">
        <v>2309</v>
      </c>
      <c r="D423" s="316">
        <v>44742.0</v>
      </c>
      <c r="E423" s="218">
        <v>896.81544</v>
      </c>
      <c r="F423" s="218">
        <v>33.555844379999996</v>
      </c>
      <c r="G423" s="218">
        <v>0.0</v>
      </c>
      <c r="H423" s="223">
        <v>863.25959562</v>
      </c>
      <c r="J423" s="223" t="s">
        <v>52</v>
      </c>
      <c r="K423" s="317">
        <v>2022.06</v>
      </c>
    </row>
    <row r="424">
      <c r="A424" s="223" t="s">
        <v>123</v>
      </c>
      <c r="B424" s="223" t="s">
        <v>1300</v>
      </c>
      <c r="C424" s="223" t="s">
        <v>1156</v>
      </c>
      <c r="D424" s="316">
        <v>44742.0</v>
      </c>
      <c r="E424" s="218">
        <v>5612.9535</v>
      </c>
      <c r="F424" s="218">
        <v>208.0534764</v>
      </c>
      <c r="G424" s="218">
        <v>1080.98000472</v>
      </c>
      <c r="H424" s="223">
        <v>4323.92001888</v>
      </c>
      <c r="J424" s="223" t="s">
        <v>52</v>
      </c>
      <c r="K424" s="317">
        <v>2022.06</v>
      </c>
    </row>
    <row r="425">
      <c r="A425" s="223" t="s">
        <v>115</v>
      </c>
      <c r="B425" s="223" t="s">
        <v>1308</v>
      </c>
      <c r="C425" s="223" t="s">
        <v>1156</v>
      </c>
      <c r="D425" s="316">
        <v>44742.0</v>
      </c>
      <c r="E425" s="218">
        <v>2514.025</v>
      </c>
      <c r="F425" s="218">
        <v>0.0</v>
      </c>
      <c r="G425" s="218">
        <v>0.0</v>
      </c>
      <c r="H425" s="223">
        <v>2514.025</v>
      </c>
      <c r="J425" s="223" t="s">
        <v>52</v>
      </c>
      <c r="K425" s="317">
        <v>2022.06</v>
      </c>
    </row>
    <row r="426">
      <c r="A426" s="223" t="s">
        <v>118</v>
      </c>
      <c r="B426" s="223" t="s">
        <v>1312</v>
      </c>
      <c r="C426" s="223" t="s">
        <v>1156</v>
      </c>
      <c r="D426" s="316">
        <v>44742.0</v>
      </c>
      <c r="E426" s="218">
        <v>2514.025</v>
      </c>
      <c r="F426" s="218">
        <v>0.0</v>
      </c>
      <c r="G426" s="218">
        <v>0.0</v>
      </c>
      <c r="H426" s="223">
        <v>2514.025</v>
      </c>
      <c r="J426" s="223" t="s">
        <v>52</v>
      </c>
      <c r="K426" s="317">
        <v>2022.06</v>
      </c>
    </row>
    <row r="427">
      <c r="A427" s="223" t="s">
        <v>73</v>
      </c>
      <c r="B427" s="223" t="s">
        <v>1327</v>
      </c>
      <c r="C427" s="223" t="s">
        <v>1156</v>
      </c>
      <c r="D427" s="316">
        <v>44742.0</v>
      </c>
      <c r="E427" s="218">
        <v>700.0</v>
      </c>
      <c r="F427" s="218">
        <v>0.0</v>
      </c>
      <c r="G427" s="218">
        <v>0.0</v>
      </c>
      <c r="H427" s="223">
        <v>700.0</v>
      </c>
      <c r="J427" s="223" t="s">
        <v>52</v>
      </c>
      <c r="K427" s="317">
        <v>2022.06</v>
      </c>
    </row>
    <row r="428">
      <c r="A428" s="223" t="s">
        <v>499</v>
      </c>
      <c r="B428" s="223" t="s">
        <v>1330</v>
      </c>
      <c r="C428" s="223" t="s">
        <v>1375</v>
      </c>
      <c r="D428" s="316">
        <v>44742.0</v>
      </c>
      <c r="E428" s="218">
        <v>1450.0</v>
      </c>
      <c r="F428" s="218">
        <v>48.55</v>
      </c>
      <c r="G428" s="218">
        <v>0.0</v>
      </c>
      <c r="H428" s="223">
        <v>1401.45</v>
      </c>
      <c r="J428" s="223" t="s">
        <v>52</v>
      </c>
      <c r="K428" s="317">
        <v>2022.06</v>
      </c>
    </row>
    <row r="429">
      <c r="A429" s="223" t="s">
        <v>501</v>
      </c>
      <c r="B429" s="223" t="s">
        <v>1377</v>
      </c>
      <c r="C429" s="223" t="s">
        <v>1378</v>
      </c>
      <c r="D429" s="316">
        <v>44740.0</v>
      </c>
      <c r="E429" s="218">
        <v>3235.6699959999996</v>
      </c>
      <c r="F429" s="218">
        <v>0.0</v>
      </c>
      <c r="G429" s="218">
        <v>0.0</v>
      </c>
      <c r="H429" s="223">
        <v>3235.6699959999996</v>
      </c>
      <c r="J429" s="223" t="s">
        <v>503</v>
      </c>
      <c r="K429" s="317">
        <v>2022.0</v>
      </c>
    </row>
    <row r="430">
      <c r="A430" s="223" t="s">
        <v>501</v>
      </c>
      <c r="B430" s="223" t="s">
        <v>1377</v>
      </c>
      <c r="C430" s="223" t="s">
        <v>1378</v>
      </c>
      <c r="D430" s="316">
        <v>44796.0</v>
      </c>
      <c r="E430" s="218">
        <v>2234.659325</v>
      </c>
      <c r="F430" s="218">
        <v>83.06637874</v>
      </c>
      <c r="G430" s="218">
        <v>0.0</v>
      </c>
      <c r="H430" s="223">
        <v>2151.59294626</v>
      </c>
      <c r="J430" s="223" t="s">
        <v>506</v>
      </c>
      <c r="K430" s="317">
        <v>2022.0</v>
      </c>
    </row>
    <row r="431">
      <c r="A431" s="223" t="s">
        <v>501</v>
      </c>
      <c r="B431" s="223" t="s">
        <v>1377</v>
      </c>
      <c r="C431" s="223" t="s">
        <v>1378</v>
      </c>
      <c r="D431" s="316">
        <v>44804.0</v>
      </c>
      <c r="E431" s="218">
        <v>1775.0</v>
      </c>
      <c r="F431" s="218"/>
      <c r="G431" s="218">
        <v>0.0</v>
      </c>
      <c r="H431" s="223">
        <v>1775.0</v>
      </c>
      <c r="J431" s="223" t="s">
        <v>508</v>
      </c>
      <c r="K431" s="317">
        <v>2022.0</v>
      </c>
    </row>
    <row r="432">
      <c r="A432" s="223" t="s">
        <v>510</v>
      </c>
      <c r="B432" s="223" t="s">
        <v>1368</v>
      </c>
      <c r="C432" s="223" t="s">
        <v>1381</v>
      </c>
      <c r="D432" s="316">
        <v>44753.0</v>
      </c>
      <c r="E432" s="218">
        <v>501.83920000000006</v>
      </c>
      <c r="F432" s="218">
        <v>18.9444298</v>
      </c>
      <c r="G432" s="218">
        <v>0.0</v>
      </c>
      <c r="H432" s="223">
        <v>482.89477020000004</v>
      </c>
      <c r="J432" s="223" t="s">
        <v>19</v>
      </c>
      <c r="K432" s="317">
        <v>2022.0</v>
      </c>
    </row>
    <row r="433">
      <c r="A433" s="223" t="s">
        <v>510</v>
      </c>
      <c r="B433" s="223" t="s">
        <v>1368</v>
      </c>
      <c r="C433" s="223" t="s">
        <v>1381</v>
      </c>
      <c r="D433" s="316">
        <v>44771.0</v>
      </c>
      <c r="E433" s="218">
        <v>496.09680000000003</v>
      </c>
      <c r="F433" s="218">
        <v>18.7276542</v>
      </c>
      <c r="G433" s="218">
        <v>0.0</v>
      </c>
      <c r="H433" s="223">
        <v>477.3691458</v>
      </c>
      <c r="J433" s="223" t="s">
        <v>19</v>
      </c>
      <c r="K433" s="317">
        <v>2022.0</v>
      </c>
    </row>
    <row r="434">
      <c r="A434" s="223" t="s">
        <v>515</v>
      </c>
      <c r="B434" s="223" t="s">
        <v>1383</v>
      </c>
      <c r="C434" s="223" t="s">
        <v>1384</v>
      </c>
      <c r="D434" s="316">
        <v>44753.0</v>
      </c>
      <c r="E434" s="218">
        <v>2392.3983000000003</v>
      </c>
      <c r="F434" s="218">
        <v>88.8964842</v>
      </c>
      <c r="G434" s="218">
        <v>460.70036316000005</v>
      </c>
      <c r="H434" s="223">
        <v>1842.8014526400002</v>
      </c>
      <c r="J434" s="223" t="s">
        <v>19</v>
      </c>
      <c r="K434" s="317">
        <v>2022.0</v>
      </c>
    </row>
    <row r="435">
      <c r="A435" s="223" t="s">
        <v>515</v>
      </c>
      <c r="B435" s="223" t="s">
        <v>1383</v>
      </c>
      <c r="C435" s="223" t="s">
        <v>1384</v>
      </c>
      <c r="D435" s="316">
        <v>44796.0</v>
      </c>
      <c r="E435" s="218">
        <v>2416.5416</v>
      </c>
      <c r="F435" s="218">
        <v>89.7935984</v>
      </c>
      <c r="G435" s="218">
        <v>465.34960032000004</v>
      </c>
      <c r="H435" s="223">
        <v>1861.39840128</v>
      </c>
      <c r="J435" s="223" t="s">
        <v>19</v>
      </c>
      <c r="K435" s="317">
        <v>2022.0</v>
      </c>
    </row>
    <row r="436">
      <c r="A436" s="223" t="s">
        <v>68</v>
      </c>
      <c r="B436" s="223" t="s">
        <v>1178</v>
      </c>
      <c r="C436" s="223" t="s">
        <v>1156</v>
      </c>
      <c r="D436" s="316">
        <v>44757.0</v>
      </c>
      <c r="E436" s="218">
        <v>650.0</v>
      </c>
      <c r="F436" s="218">
        <v>20.09</v>
      </c>
      <c r="G436" s="218">
        <v>0.0</v>
      </c>
      <c r="H436" s="223">
        <v>629.91</v>
      </c>
      <c r="J436" s="223" t="s">
        <v>52</v>
      </c>
      <c r="K436" s="317">
        <v>2022.07</v>
      </c>
    </row>
    <row r="437">
      <c r="A437" s="223" t="s">
        <v>99</v>
      </c>
      <c r="B437" s="223" t="s">
        <v>1192</v>
      </c>
      <c r="C437" s="223" t="s">
        <v>1156</v>
      </c>
      <c r="D437" s="316">
        <v>44757.0</v>
      </c>
      <c r="E437" s="218">
        <v>1637.7867999999999</v>
      </c>
      <c r="F437" s="218">
        <v>60.976062399999996</v>
      </c>
      <c r="G437" s="218">
        <v>315.36214752</v>
      </c>
      <c r="H437" s="223">
        <v>1261.4485900799998</v>
      </c>
      <c r="J437" s="223" t="s">
        <v>52</v>
      </c>
      <c r="K437" s="317">
        <v>2022.07</v>
      </c>
    </row>
    <row r="438">
      <c r="A438" s="223" t="s">
        <v>225</v>
      </c>
      <c r="B438" s="223" t="s">
        <v>1257</v>
      </c>
      <c r="C438" s="223" t="s">
        <v>1156</v>
      </c>
      <c r="D438" s="316">
        <v>44757.0</v>
      </c>
      <c r="E438" s="218">
        <v>5000.0</v>
      </c>
      <c r="F438" s="218">
        <v>0.0</v>
      </c>
      <c r="G438" s="218">
        <v>0.0</v>
      </c>
      <c r="H438" s="223">
        <v>5000.0</v>
      </c>
      <c r="J438" s="223" t="s">
        <v>52</v>
      </c>
      <c r="K438" s="317">
        <v>2022.07</v>
      </c>
    </row>
    <row r="439">
      <c r="A439" s="223" t="s">
        <v>102</v>
      </c>
      <c r="B439" s="223" t="s">
        <v>1259</v>
      </c>
      <c r="C439" s="223" t="s">
        <v>1156</v>
      </c>
      <c r="D439" s="316">
        <v>44757.0</v>
      </c>
      <c r="E439" s="218">
        <v>436.56305</v>
      </c>
      <c r="F439" s="218">
        <v>16.52702975</v>
      </c>
      <c r="G439" s="218">
        <v>0.0</v>
      </c>
      <c r="H439" s="223">
        <v>420.03602025</v>
      </c>
      <c r="J439" s="223" t="s">
        <v>52</v>
      </c>
      <c r="K439" s="317">
        <v>2022.07</v>
      </c>
    </row>
    <row r="440">
      <c r="A440" s="223" t="s">
        <v>62</v>
      </c>
      <c r="B440" s="223" t="s">
        <v>1304</v>
      </c>
      <c r="C440" s="223" t="s">
        <v>1156</v>
      </c>
      <c r="D440" s="316">
        <v>44757.0</v>
      </c>
      <c r="E440" s="218">
        <v>1600.0</v>
      </c>
      <c r="F440" s="218">
        <v>49.78</v>
      </c>
      <c r="G440" s="218">
        <v>0.0</v>
      </c>
      <c r="H440" s="223">
        <v>1550.22</v>
      </c>
      <c r="J440" s="223" t="s">
        <v>52</v>
      </c>
      <c r="K440" s="317">
        <v>2022.07</v>
      </c>
    </row>
    <row r="441">
      <c r="A441" s="223" t="s">
        <v>66</v>
      </c>
      <c r="B441" s="223" t="s">
        <v>1324</v>
      </c>
      <c r="C441" s="223" t="s">
        <v>1156</v>
      </c>
      <c r="D441" s="316">
        <v>44757.0</v>
      </c>
      <c r="E441" s="218">
        <v>900.0</v>
      </c>
      <c r="F441" s="218">
        <v>0.0</v>
      </c>
      <c r="G441" s="218">
        <v>0.0</v>
      </c>
      <c r="H441" s="223">
        <v>900.0</v>
      </c>
      <c r="J441" s="223" t="s">
        <v>52</v>
      </c>
      <c r="K441" s="317">
        <v>2022.07</v>
      </c>
    </row>
    <row r="442">
      <c r="A442" s="223" t="s">
        <v>523</v>
      </c>
      <c r="B442" s="223" t="s">
        <v>1357</v>
      </c>
      <c r="C442" s="223" t="s">
        <v>1156</v>
      </c>
      <c r="D442" s="316">
        <v>44757.0</v>
      </c>
      <c r="E442" s="218">
        <v>500.0</v>
      </c>
      <c r="F442" s="218">
        <v>0.0</v>
      </c>
      <c r="G442" s="218">
        <v>0.0</v>
      </c>
      <c r="H442" s="223">
        <v>500.0</v>
      </c>
      <c r="J442" s="223" t="s">
        <v>52</v>
      </c>
      <c r="K442" s="317">
        <v>2022.07</v>
      </c>
    </row>
    <row r="443">
      <c r="A443" s="223" t="s">
        <v>467</v>
      </c>
      <c r="B443" s="223" t="s">
        <v>1209</v>
      </c>
      <c r="C443" s="223" t="s">
        <v>469</v>
      </c>
      <c r="D443" s="316">
        <v>44757.0</v>
      </c>
      <c r="E443" s="218">
        <v>352.23803999999996</v>
      </c>
      <c r="F443" s="218">
        <v>13.410205379999999</v>
      </c>
      <c r="G443" s="218">
        <v>67.765566924</v>
      </c>
      <c r="H443" s="223">
        <v>271.062267696</v>
      </c>
      <c r="J443" s="223" t="s">
        <v>52</v>
      </c>
      <c r="K443" s="317">
        <v>2022.07</v>
      </c>
    </row>
    <row r="444">
      <c r="A444" s="223" t="s">
        <v>526</v>
      </c>
      <c r="B444" s="223" t="s">
        <v>1389</v>
      </c>
      <c r="C444" s="223" t="s">
        <v>1179</v>
      </c>
      <c r="D444" s="316">
        <v>44757.0</v>
      </c>
      <c r="E444" s="218">
        <v>560.0</v>
      </c>
      <c r="F444" s="218">
        <v>17.42</v>
      </c>
      <c r="G444" s="218">
        <v>0.0</v>
      </c>
      <c r="H444" s="223">
        <v>542.58</v>
      </c>
      <c r="J444" s="223" t="s">
        <v>459</v>
      </c>
      <c r="K444" s="317">
        <v>2022.0</v>
      </c>
    </row>
    <row r="445">
      <c r="A445" s="223" t="s">
        <v>528</v>
      </c>
      <c r="B445" s="223" t="s">
        <v>1345</v>
      </c>
      <c r="C445" s="223" t="s">
        <v>1179</v>
      </c>
      <c r="D445" s="316">
        <v>44771.0</v>
      </c>
      <c r="E445" s="218">
        <v>900.0</v>
      </c>
      <c r="F445" s="218">
        <v>28.0</v>
      </c>
      <c r="G445" s="218">
        <v>0.0</v>
      </c>
      <c r="H445" s="223">
        <v>872.0</v>
      </c>
      <c r="J445" s="223" t="s">
        <v>252</v>
      </c>
      <c r="K445" s="317">
        <v>2022.0</v>
      </c>
    </row>
    <row r="446">
      <c r="A446" s="223" t="s">
        <v>530</v>
      </c>
      <c r="B446" s="223" t="s">
        <v>1390</v>
      </c>
      <c r="C446" s="223" t="s">
        <v>1391</v>
      </c>
      <c r="D446" s="316">
        <v>44771.0</v>
      </c>
      <c r="E446" s="218">
        <v>1182.5</v>
      </c>
      <c r="F446" s="218">
        <v>39.59</v>
      </c>
      <c r="G446" s="218">
        <v>0.0</v>
      </c>
      <c r="H446" s="223">
        <v>1142.91</v>
      </c>
      <c r="J446" s="223" t="s">
        <v>252</v>
      </c>
      <c r="K446" s="317">
        <v>2022.0</v>
      </c>
    </row>
    <row r="447">
      <c r="A447" s="223" t="s">
        <v>532</v>
      </c>
      <c r="B447" s="223" t="s">
        <v>1345</v>
      </c>
      <c r="C447" s="223" t="s">
        <v>1387</v>
      </c>
      <c r="D447" s="316">
        <v>44788.0</v>
      </c>
      <c r="E447" s="218">
        <v>1300.0</v>
      </c>
      <c r="F447" s="218">
        <v>40.44</v>
      </c>
      <c r="G447" s="218">
        <v>0.0</v>
      </c>
      <c r="H447" s="223">
        <v>1259.56</v>
      </c>
      <c r="J447" s="223" t="s">
        <v>252</v>
      </c>
      <c r="K447" s="317">
        <v>2022.08</v>
      </c>
    </row>
    <row r="448">
      <c r="A448" s="223" t="s">
        <v>534</v>
      </c>
      <c r="B448" s="223" t="s">
        <v>1377</v>
      </c>
      <c r="C448" s="223" t="s">
        <v>1392</v>
      </c>
      <c r="D448" s="316">
        <v>44771.0</v>
      </c>
      <c r="E448" s="218">
        <v>702.340000002</v>
      </c>
      <c r="F448" s="218">
        <v>0.0</v>
      </c>
      <c r="G448" s="218">
        <v>0.0</v>
      </c>
      <c r="H448" s="223">
        <v>702.340000002</v>
      </c>
      <c r="J448" s="223" t="s">
        <v>252</v>
      </c>
      <c r="K448" s="317">
        <v>2022.0</v>
      </c>
    </row>
    <row r="449">
      <c r="A449" s="223" t="s">
        <v>223</v>
      </c>
      <c r="B449" s="223" t="s">
        <v>1176</v>
      </c>
      <c r="C449" s="223" t="s">
        <v>1156</v>
      </c>
      <c r="D449" s="316">
        <v>44771.0</v>
      </c>
      <c r="E449" s="218">
        <v>800.0</v>
      </c>
      <c r="F449" s="218">
        <v>24.89</v>
      </c>
      <c r="G449" s="218">
        <v>0.0</v>
      </c>
      <c r="H449" s="223">
        <v>775.11</v>
      </c>
      <c r="J449" s="223" t="s">
        <v>52</v>
      </c>
      <c r="K449" s="317">
        <v>2022.07</v>
      </c>
    </row>
    <row r="450">
      <c r="A450" s="223" t="s">
        <v>54</v>
      </c>
      <c r="B450" s="223" t="s">
        <v>1187</v>
      </c>
      <c r="C450" s="223" t="s">
        <v>1156</v>
      </c>
      <c r="D450" s="316">
        <v>44771.0</v>
      </c>
      <c r="E450" s="218">
        <v>750.0</v>
      </c>
      <c r="F450" s="218">
        <v>23.33</v>
      </c>
      <c r="G450" s="218">
        <v>0.0</v>
      </c>
      <c r="H450" s="223">
        <v>726.67</v>
      </c>
      <c r="J450" s="223" t="s">
        <v>52</v>
      </c>
      <c r="K450" s="317">
        <v>2022.07</v>
      </c>
    </row>
    <row r="451">
      <c r="A451" s="223" t="s">
        <v>147</v>
      </c>
      <c r="B451" s="223" t="s">
        <v>1194</v>
      </c>
      <c r="C451" s="223" t="s">
        <v>1156</v>
      </c>
      <c r="D451" s="316">
        <v>44771.0</v>
      </c>
      <c r="E451" s="218">
        <v>900.0</v>
      </c>
      <c r="F451" s="218">
        <v>0.0</v>
      </c>
      <c r="G451" s="218">
        <v>0.0</v>
      </c>
      <c r="H451" s="223">
        <v>900.0</v>
      </c>
      <c r="J451" s="223" t="s">
        <v>52</v>
      </c>
      <c r="K451" s="317">
        <v>2022.07</v>
      </c>
    </row>
    <row r="452">
      <c r="A452" s="223" t="s">
        <v>58</v>
      </c>
      <c r="B452" s="223" t="s">
        <v>1197</v>
      </c>
      <c r="C452" s="223" t="s">
        <v>1156</v>
      </c>
      <c r="D452" s="316">
        <v>44771.0</v>
      </c>
      <c r="E452" s="218">
        <v>1550.0</v>
      </c>
      <c r="F452" s="218">
        <v>48.22</v>
      </c>
      <c r="G452" s="218">
        <v>0.0</v>
      </c>
      <c r="H452" s="223">
        <v>1501.78</v>
      </c>
      <c r="J452" s="223" t="s">
        <v>52</v>
      </c>
      <c r="K452" s="317">
        <v>2022.07</v>
      </c>
    </row>
    <row r="453">
      <c r="A453" s="223" t="s">
        <v>84</v>
      </c>
      <c r="B453" s="223" t="s">
        <v>1227</v>
      </c>
      <c r="C453" s="223" t="s">
        <v>1156</v>
      </c>
      <c r="D453" s="316">
        <v>44771.0</v>
      </c>
      <c r="E453" s="218">
        <v>1000.0</v>
      </c>
      <c r="F453" s="218">
        <v>0.0</v>
      </c>
      <c r="G453" s="218">
        <v>0.0</v>
      </c>
      <c r="H453" s="223">
        <v>1000.0</v>
      </c>
      <c r="J453" s="223" t="s">
        <v>52</v>
      </c>
      <c r="K453" s="317">
        <v>2022.07</v>
      </c>
    </row>
    <row r="454">
      <c r="A454" s="223" t="s">
        <v>86</v>
      </c>
      <c r="B454" s="223" t="s">
        <v>1235</v>
      </c>
      <c r="C454" s="223" t="s">
        <v>1156</v>
      </c>
      <c r="D454" s="316">
        <v>44771.0</v>
      </c>
      <c r="E454" s="218">
        <v>412.5</v>
      </c>
      <c r="F454" s="218">
        <v>16.33</v>
      </c>
      <c r="G454" s="218">
        <v>0.0</v>
      </c>
      <c r="H454" s="223">
        <v>396.17</v>
      </c>
      <c r="J454" s="223" t="s">
        <v>52</v>
      </c>
      <c r="K454" s="317">
        <v>2022.07</v>
      </c>
    </row>
    <row r="455">
      <c r="A455" s="223" t="s">
        <v>42</v>
      </c>
      <c r="B455" s="223" t="s">
        <v>1236</v>
      </c>
      <c r="C455" s="223" t="s">
        <v>1156</v>
      </c>
      <c r="D455" s="316">
        <v>44771.0</v>
      </c>
      <c r="E455" s="218">
        <v>1500.0</v>
      </c>
      <c r="F455" s="218">
        <v>46.67</v>
      </c>
      <c r="G455" s="218">
        <v>217.99949999999998</v>
      </c>
      <c r="H455" s="223">
        <v>1235.3305</v>
      </c>
      <c r="J455" s="223" t="s">
        <v>52</v>
      </c>
      <c r="K455" s="317">
        <v>2022.07</v>
      </c>
    </row>
    <row r="456">
      <c r="A456" s="223" t="s">
        <v>82</v>
      </c>
      <c r="B456" s="223" t="s">
        <v>1124</v>
      </c>
      <c r="C456" s="223" t="s">
        <v>1156</v>
      </c>
      <c r="D456" s="316">
        <v>44771.0</v>
      </c>
      <c r="E456" s="218">
        <v>800.0</v>
      </c>
      <c r="F456" s="218">
        <v>0.0</v>
      </c>
      <c r="G456" s="218">
        <v>0.0</v>
      </c>
      <c r="H456" s="223">
        <v>800.0</v>
      </c>
      <c r="J456" s="223" t="s">
        <v>52</v>
      </c>
      <c r="K456" s="317">
        <v>2022.07</v>
      </c>
    </row>
    <row r="457">
      <c r="A457" s="223" t="s">
        <v>88</v>
      </c>
      <c r="B457" s="223" t="s">
        <v>1256</v>
      </c>
      <c r="C457" s="223" t="s">
        <v>1156</v>
      </c>
      <c r="D457" s="316">
        <v>44771.0</v>
      </c>
      <c r="E457" s="218">
        <v>500.0</v>
      </c>
      <c r="F457" s="218">
        <v>15.53</v>
      </c>
      <c r="G457" s="218">
        <v>0.0</v>
      </c>
      <c r="H457" s="223">
        <v>484.47</v>
      </c>
      <c r="J457" s="223" t="s">
        <v>52</v>
      </c>
      <c r="K457" s="317">
        <v>2022.07</v>
      </c>
    </row>
    <row r="458">
      <c r="A458" s="223" t="s">
        <v>50</v>
      </c>
      <c r="B458" s="223" t="s">
        <v>1275</v>
      </c>
      <c r="C458" s="223" t="s">
        <v>1156</v>
      </c>
      <c r="D458" s="316">
        <v>44771.0</v>
      </c>
      <c r="E458" s="218">
        <v>375.0</v>
      </c>
      <c r="F458" s="218">
        <v>0.0</v>
      </c>
      <c r="G458" s="218">
        <v>0.0</v>
      </c>
      <c r="H458" s="223">
        <v>375.0</v>
      </c>
      <c r="J458" s="223" t="s">
        <v>52</v>
      </c>
      <c r="K458" s="317">
        <v>2022.07</v>
      </c>
    </row>
    <row r="459">
      <c r="A459" s="223" t="s">
        <v>75</v>
      </c>
      <c r="B459" s="223" t="s">
        <v>1279</v>
      </c>
      <c r="C459" s="223" t="s">
        <v>1156</v>
      </c>
      <c r="D459" s="316">
        <v>44771.0</v>
      </c>
      <c r="E459" s="218">
        <v>500.0</v>
      </c>
      <c r="F459" s="218">
        <v>0.0</v>
      </c>
      <c r="G459" s="218">
        <v>0.0</v>
      </c>
      <c r="H459" s="223">
        <v>500.0</v>
      </c>
      <c r="J459" s="223" t="s">
        <v>52</v>
      </c>
      <c r="K459" s="317">
        <v>2022.07</v>
      </c>
    </row>
    <row r="460">
      <c r="A460" s="223" t="s">
        <v>105</v>
      </c>
      <c r="B460" s="223" t="s">
        <v>1280</v>
      </c>
      <c r="C460" s="223" t="s">
        <v>2308</v>
      </c>
      <c r="D460" s="316">
        <v>44771.0</v>
      </c>
      <c r="E460" s="218">
        <v>372.24719999999996</v>
      </c>
      <c r="F460" s="218">
        <v>14.1453936</v>
      </c>
      <c r="G460" s="218">
        <v>0.0</v>
      </c>
      <c r="H460" s="223">
        <v>358.1018064</v>
      </c>
      <c r="J460" s="223" t="s">
        <v>52</v>
      </c>
      <c r="K460" s="317">
        <v>2022.07</v>
      </c>
    </row>
    <row r="461">
      <c r="A461" s="223" t="s">
        <v>90</v>
      </c>
      <c r="B461" s="223" t="s">
        <v>1282</v>
      </c>
      <c r="C461" s="223" t="s">
        <v>1156</v>
      </c>
      <c r="D461" s="316">
        <v>44771.0</v>
      </c>
      <c r="E461" s="218">
        <v>1150.0</v>
      </c>
      <c r="F461" s="218">
        <v>0.0</v>
      </c>
      <c r="G461" s="218">
        <v>0.0</v>
      </c>
      <c r="H461" s="223">
        <v>1150.0</v>
      </c>
      <c r="J461" s="223" t="s">
        <v>52</v>
      </c>
      <c r="K461" s="317">
        <v>2022.07</v>
      </c>
    </row>
    <row r="462">
      <c r="A462" s="223" t="s">
        <v>97</v>
      </c>
      <c r="B462" s="223" t="s">
        <v>1286</v>
      </c>
      <c r="C462" s="223" t="s">
        <v>1156</v>
      </c>
      <c r="D462" s="316">
        <v>44771.0</v>
      </c>
      <c r="E462" s="218">
        <v>300.0</v>
      </c>
      <c r="F462" s="218">
        <v>9.33</v>
      </c>
      <c r="G462" s="218">
        <v>0.0</v>
      </c>
      <c r="H462" s="223">
        <v>290.67</v>
      </c>
      <c r="J462" s="223" t="s">
        <v>52</v>
      </c>
      <c r="K462" s="317">
        <v>2022.07</v>
      </c>
    </row>
    <row r="463">
      <c r="A463" s="223" t="s">
        <v>92</v>
      </c>
      <c r="B463" s="223" t="s">
        <v>1289</v>
      </c>
      <c r="C463" s="223" t="s">
        <v>1156</v>
      </c>
      <c r="D463" s="316">
        <v>44771.0</v>
      </c>
      <c r="E463" s="218">
        <v>2500.0</v>
      </c>
      <c r="F463" s="218">
        <v>77.78</v>
      </c>
      <c r="G463" s="218">
        <v>0.0</v>
      </c>
      <c r="H463" s="223">
        <v>2422.22</v>
      </c>
      <c r="J463" s="223" t="s">
        <v>52</v>
      </c>
      <c r="K463" s="317">
        <v>2022.07</v>
      </c>
    </row>
    <row r="464">
      <c r="A464" s="223" t="s">
        <v>112</v>
      </c>
      <c r="B464" s="223" t="s">
        <v>1296</v>
      </c>
      <c r="C464" s="223" t="s">
        <v>2309</v>
      </c>
      <c r="D464" s="316">
        <v>44771.0</v>
      </c>
      <c r="E464" s="218">
        <v>1394.589564</v>
      </c>
      <c r="F464" s="218">
        <v>51.98592974</v>
      </c>
      <c r="G464" s="218">
        <v>0.0</v>
      </c>
      <c r="H464" s="223">
        <v>1342.60363426</v>
      </c>
      <c r="J464" s="223" t="s">
        <v>52</v>
      </c>
      <c r="K464" s="317">
        <v>2022.07</v>
      </c>
    </row>
    <row r="465">
      <c r="A465" s="223" t="s">
        <v>123</v>
      </c>
      <c r="B465" s="223" t="s">
        <v>1300</v>
      </c>
      <c r="C465" s="223" t="s">
        <v>1156</v>
      </c>
      <c r="D465" s="316">
        <v>44771.0</v>
      </c>
      <c r="E465" s="218">
        <v>5722.38</v>
      </c>
      <c r="F465" s="218">
        <v>212.14691520000002</v>
      </c>
      <c r="G465" s="218">
        <v>1102.0466169600002</v>
      </c>
      <c r="H465" s="223">
        <v>4408.18646784</v>
      </c>
      <c r="J465" s="223" t="s">
        <v>52</v>
      </c>
      <c r="K465" s="317">
        <v>2022.07</v>
      </c>
    </row>
    <row r="466">
      <c r="A466" s="223" t="s">
        <v>115</v>
      </c>
      <c r="B466" s="223" t="s">
        <v>1308</v>
      </c>
      <c r="C466" s="223" t="s">
        <v>1156</v>
      </c>
      <c r="D466" s="316">
        <v>44771.0</v>
      </c>
      <c r="E466" s="218">
        <v>2519.225</v>
      </c>
      <c r="F466" s="218">
        <v>0.0</v>
      </c>
      <c r="G466" s="218">
        <v>0.0</v>
      </c>
      <c r="H466" s="223">
        <v>2519.225</v>
      </c>
      <c r="J466" s="223" t="s">
        <v>52</v>
      </c>
      <c r="K466" s="317">
        <v>2022.07</v>
      </c>
    </row>
    <row r="467">
      <c r="A467" s="223" t="s">
        <v>118</v>
      </c>
      <c r="B467" s="223" t="s">
        <v>1312</v>
      </c>
      <c r="C467" s="223" t="s">
        <v>1156</v>
      </c>
      <c r="D467" s="316">
        <v>44771.0</v>
      </c>
      <c r="E467" s="218">
        <v>2519.225</v>
      </c>
      <c r="F467" s="218">
        <v>0.0</v>
      </c>
      <c r="G467" s="218">
        <v>0.0</v>
      </c>
      <c r="H467" s="223">
        <v>2519.225</v>
      </c>
      <c r="J467" s="223" t="s">
        <v>52</v>
      </c>
      <c r="K467" s="317">
        <v>2022.07</v>
      </c>
    </row>
    <row r="468">
      <c r="A468" s="223" t="s">
        <v>73</v>
      </c>
      <c r="B468" s="223" t="s">
        <v>1327</v>
      </c>
      <c r="C468" s="223" t="s">
        <v>1156</v>
      </c>
      <c r="D468" s="316">
        <v>44771.0</v>
      </c>
      <c r="E468" s="218">
        <v>700.0</v>
      </c>
      <c r="F468" s="218">
        <v>0.0</v>
      </c>
      <c r="G468" s="218">
        <v>0.0</v>
      </c>
      <c r="H468" s="223">
        <v>700.0</v>
      </c>
      <c r="J468" s="223" t="s">
        <v>52</v>
      </c>
      <c r="K468" s="317">
        <v>2022.07</v>
      </c>
    </row>
    <row r="469">
      <c r="A469" s="223" t="s">
        <v>499</v>
      </c>
      <c r="B469" s="223" t="s">
        <v>1330</v>
      </c>
      <c r="C469" s="223" t="s">
        <v>1375</v>
      </c>
      <c r="D469" s="316">
        <v>44771.0</v>
      </c>
      <c r="E469" s="218">
        <v>1450.0</v>
      </c>
      <c r="F469" s="218">
        <v>48.55</v>
      </c>
      <c r="G469" s="218">
        <v>0.0</v>
      </c>
      <c r="H469" s="223">
        <v>1401.45</v>
      </c>
      <c r="J469" s="223" t="s">
        <v>52</v>
      </c>
      <c r="K469" s="317">
        <v>2022.07</v>
      </c>
    </row>
    <row r="470">
      <c r="A470" s="223" t="s">
        <v>68</v>
      </c>
      <c r="B470" s="223" t="s">
        <v>1178</v>
      </c>
      <c r="C470" s="223" t="s">
        <v>1156</v>
      </c>
      <c r="D470" s="316">
        <v>44788.0</v>
      </c>
      <c r="E470" s="218">
        <v>650.0</v>
      </c>
      <c r="F470" s="218">
        <v>20.09</v>
      </c>
      <c r="G470" s="218">
        <v>0.0</v>
      </c>
      <c r="H470" s="223">
        <v>629.91</v>
      </c>
      <c r="J470" s="223" t="s">
        <v>52</v>
      </c>
      <c r="K470" s="317">
        <v>2022.08</v>
      </c>
    </row>
    <row r="471">
      <c r="A471" s="223" t="s">
        <v>99</v>
      </c>
      <c r="B471" s="223" t="s">
        <v>1192</v>
      </c>
      <c r="C471" s="223" t="s">
        <v>1156</v>
      </c>
      <c r="D471" s="316">
        <v>44788.0</v>
      </c>
      <c r="E471" s="218">
        <v>1610.0448000000001</v>
      </c>
      <c r="F471" s="218">
        <v>59.9432064</v>
      </c>
      <c r="G471" s="218">
        <v>310.02031872000003</v>
      </c>
      <c r="H471" s="223">
        <v>1240.0812748800001</v>
      </c>
      <c r="J471" s="223" t="s">
        <v>52</v>
      </c>
      <c r="K471" s="317">
        <v>2022.08</v>
      </c>
    </row>
    <row r="472">
      <c r="A472" s="223" t="s">
        <v>225</v>
      </c>
      <c r="B472" s="223" t="s">
        <v>1257</v>
      </c>
      <c r="C472" s="223" t="s">
        <v>1156</v>
      </c>
      <c r="D472" s="316">
        <v>44788.0</v>
      </c>
      <c r="E472" s="218">
        <v>5000.0</v>
      </c>
      <c r="F472" s="218">
        <v>0.0</v>
      </c>
      <c r="G472" s="218">
        <v>0.0</v>
      </c>
      <c r="H472" s="223">
        <v>5000.0</v>
      </c>
      <c r="J472" s="223" t="s">
        <v>52</v>
      </c>
      <c r="K472" s="317">
        <v>2022.08</v>
      </c>
    </row>
    <row r="473">
      <c r="A473" s="223" t="s">
        <v>102</v>
      </c>
      <c r="B473" s="223" t="s">
        <v>1259</v>
      </c>
      <c r="C473" s="223" t="s">
        <v>1156</v>
      </c>
      <c r="D473" s="316">
        <v>44788.0</v>
      </c>
      <c r="E473" s="218">
        <v>445.15240000000006</v>
      </c>
      <c r="F473" s="218">
        <v>16.852198</v>
      </c>
      <c r="G473" s="218">
        <v>0.0</v>
      </c>
      <c r="H473" s="223">
        <v>428.30020200000007</v>
      </c>
      <c r="J473" s="223" t="s">
        <v>52</v>
      </c>
      <c r="K473" s="317">
        <v>2022.08</v>
      </c>
    </row>
    <row r="474">
      <c r="A474" s="223" t="s">
        <v>62</v>
      </c>
      <c r="B474" s="223" t="s">
        <v>1304</v>
      </c>
      <c r="C474" s="223" t="s">
        <v>1156</v>
      </c>
      <c r="D474" s="316">
        <v>44788.0</v>
      </c>
      <c r="E474" s="218">
        <v>1600.0</v>
      </c>
      <c r="F474" s="218">
        <v>49.78</v>
      </c>
      <c r="G474" s="218">
        <v>0.0</v>
      </c>
      <c r="H474" s="223">
        <v>1550.22</v>
      </c>
      <c r="J474" s="223" t="s">
        <v>52</v>
      </c>
      <c r="K474" s="317">
        <v>2022.08</v>
      </c>
    </row>
    <row r="475">
      <c r="A475" s="223" t="s">
        <v>66</v>
      </c>
      <c r="B475" s="223" t="s">
        <v>1324</v>
      </c>
      <c r="C475" s="223" t="s">
        <v>1156</v>
      </c>
      <c r="D475" s="316">
        <v>44788.0</v>
      </c>
      <c r="E475" s="218">
        <v>900.0</v>
      </c>
      <c r="F475" s="218">
        <v>0.0</v>
      </c>
      <c r="G475" s="218">
        <v>0.0</v>
      </c>
      <c r="H475" s="223">
        <v>900.0</v>
      </c>
      <c r="J475" s="223" t="s">
        <v>52</v>
      </c>
      <c r="K475" s="317">
        <v>2022.08</v>
      </c>
    </row>
    <row r="476">
      <c r="A476" s="223" t="s">
        <v>465</v>
      </c>
      <c r="B476" s="223" t="s">
        <v>1357</v>
      </c>
      <c r="C476" s="223" t="s">
        <v>524</v>
      </c>
      <c r="D476" s="316">
        <v>44788.0</v>
      </c>
      <c r="E476" s="218">
        <v>500.0</v>
      </c>
      <c r="F476" s="218">
        <v>15.56</v>
      </c>
      <c r="G476" s="218">
        <v>0.0</v>
      </c>
      <c r="H476" s="223">
        <v>484.44</v>
      </c>
      <c r="J476" s="223" t="s">
        <v>52</v>
      </c>
      <c r="K476" s="317">
        <v>2022.08</v>
      </c>
    </row>
    <row r="477">
      <c r="A477" s="223" t="s">
        <v>467</v>
      </c>
      <c r="B477" s="223" t="s">
        <v>1209</v>
      </c>
      <c r="C477" s="223" t="s">
        <v>469</v>
      </c>
      <c r="D477" s="316">
        <v>44788.0</v>
      </c>
      <c r="E477" s="218">
        <v>362.74895999999995</v>
      </c>
      <c r="F477" s="218">
        <v>13.81037112</v>
      </c>
      <c r="G477" s="218">
        <v>69.787717776</v>
      </c>
      <c r="H477" s="223">
        <v>279.150871104</v>
      </c>
      <c r="J477" s="223" t="s">
        <v>52</v>
      </c>
      <c r="K477" s="317">
        <v>2022.08</v>
      </c>
    </row>
    <row r="478">
      <c r="A478" s="223" t="s">
        <v>549</v>
      </c>
      <c r="B478" s="223" t="s">
        <v>1368</v>
      </c>
      <c r="C478" s="223" t="s">
        <v>1393</v>
      </c>
      <c r="D478" s="316">
        <v>44788.0</v>
      </c>
      <c r="E478" s="218">
        <v>749.4996</v>
      </c>
      <c r="F478" s="218">
        <v>28.106235</v>
      </c>
      <c r="G478" s="218">
        <v>0.0</v>
      </c>
      <c r="H478" s="223">
        <v>721.393365</v>
      </c>
      <c r="J478" s="223" t="s">
        <v>52</v>
      </c>
      <c r="K478" s="317">
        <v>2022.08</v>
      </c>
    </row>
    <row r="479">
      <c r="A479" s="223" t="s">
        <v>552</v>
      </c>
      <c r="B479" s="223" t="s">
        <v>1394</v>
      </c>
      <c r="C479" s="223" t="s">
        <v>1387</v>
      </c>
      <c r="D479" s="316">
        <v>44788.0</v>
      </c>
      <c r="E479" s="218">
        <v>450.0</v>
      </c>
      <c r="F479" s="218">
        <v>14.0</v>
      </c>
      <c r="G479" s="218">
        <v>0.0</v>
      </c>
      <c r="H479" s="223">
        <v>436.0</v>
      </c>
      <c r="J479" s="223" t="s">
        <v>252</v>
      </c>
      <c r="K479" s="317">
        <v>2022.08</v>
      </c>
    </row>
    <row r="480">
      <c r="A480" s="223" t="s">
        <v>223</v>
      </c>
      <c r="B480" s="223" t="s">
        <v>1176</v>
      </c>
      <c r="C480" s="223" t="s">
        <v>1156</v>
      </c>
      <c r="D480" s="316">
        <v>44804.0</v>
      </c>
      <c r="E480" s="218">
        <v>800.0</v>
      </c>
      <c r="F480" s="218">
        <v>24.89</v>
      </c>
      <c r="G480" s="218">
        <v>0.0</v>
      </c>
      <c r="H480" s="223">
        <v>775.11</v>
      </c>
      <c r="J480" s="223" t="s">
        <v>52</v>
      </c>
      <c r="K480" s="317">
        <v>2022.08</v>
      </c>
    </row>
    <row r="481">
      <c r="A481" s="223" t="s">
        <v>54</v>
      </c>
      <c r="B481" s="223" t="s">
        <v>1187</v>
      </c>
      <c r="C481" s="223" t="s">
        <v>1156</v>
      </c>
      <c r="D481" s="316">
        <v>44804.0</v>
      </c>
      <c r="E481" s="218">
        <v>750.0</v>
      </c>
      <c r="F481" s="218">
        <v>23.33</v>
      </c>
      <c r="G481" s="218">
        <v>0.0</v>
      </c>
      <c r="H481" s="223">
        <v>726.67</v>
      </c>
      <c r="J481" s="223" t="s">
        <v>52</v>
      </c>
      <c r="K481" s="317">
        <v>2022.08</v>
      </c>
    </row>
    <row r="482">
      <c r="A482" s="223" t="s">
        <v>147</v>
      </c>
      <c r="B482" s="223" t="s">
        <v>1194</v>
      </c>
      <c r="C482" s="223" t="s">
        <v>1156</v>
      </c>
      <c r="D482" s="316">
        <v>44804.0</v>
      </c>
      <c r="E482" s="218">
        <v>900.0</v>
      </c>
      <c r="F482" s="218">
        <v>0.0</v>
      </c>
      <c r="G482" s="218">
        <v>0.0</v>
      </c>
      <c r="H482" s="223">
        <v>900.0</v>
      </c>
      <c r="J482" s="223" t="s">
        <v>52</v>
      </c>
      <c r="K482" s="317">
        <v>2022.08</v>
      </c>
    </row>
    <row r="483">
      <c r="A483" s="223" t="s">
        <v>58</v>
      </c>
      <c r="B483" s="223" t="s">
        <v>1197</v>
      </c>
      <c r="C483" s="223" t="s">
        <v>1156</v>
      </c>
      <c r="D483" s="316">
        <v>44804.0</v>
      </c>
      <c r="E483" s="218">
        <v>1550.0</v>
      </c>
      <c r="F483" s="218">
        <v>48.22</v>
      </c>
      <c r="G483" s="218">
        <v>0.0</v>
      </c>
      <c r="H483" s="223">
        <v>1501.78</v>
      </c>
      <c r="J483" s="223" t="s">
        <v>52</v>
      </c>
      <c r="K483" s="317">
        <v>2022.08</v>
      </c>
    </row>
    <row r="484">
      <c r="A484" s="223" t="s">
        <v>84</v>
      </c>
      <c r="B484" s="223" t="s">
        <v>1227</v>
      </c>
      <c r="C484" s="223" t="s">
        <v>1156</v>
      </c>
      <c r="D484" s="316">
        <v>44804.0</v>
      </c>
      <c r="E484" s="218">
        <v>1000.0</v>
      </c>
      <c r="F484" s="218">
        <v>0.0</v>
      </c>
      <c r="G484" s="218">
        <v>0.0</v>
      </c>
      <c r="H484" s="223">
        <v>1000.0</v>
      </c>
      <c r="J484" s="223" t="s">
        <v>52</v>
      </c>
      <c r="K484" s="317">
        <v>2022.08</v>
      </c>
    </row>
    <row r="485">
      <c r="A485" s="223" t="s">
        <v>42</v>
      </c>
      <c r="B485" s="223" t="s">
        <v>1236</v>
      </c>
      <c r="C485" s="223" t="s">
        <v>1156</v>
      </c>
      <c r="D485" s="316">
        <v>44804.0</v>
      </c>
      <c r="E485" s="218">
        <v>1500.0</v>
      </c>
      <c r="F485" s="218">
        <v>46.67</v>
      </c>
      <c r="G485" s="218">
        <v>217.99949999999998</v>
      </c>
      <c r="H485" s="223">
        <v>1235.3305</v>
      </c>
      <c r="J485" s="223" t="s">
        <v>52</v>
      </c>
      <c r="K485" s="317">
        <v>2022.08</v>
      </c>
    </row>
    <row r="486">
      <c r="A486" s="223" t="s">
        <v>82</v>
      </c>
      <c r="B486" s="223" t="s">
        <v>1124</v>
      </c>
      <c r="C486" s="223" t="s">
        <v>1156</v>
      </c>
      <c r="D486" s="316">
        <v>44804.0</v>
      </c>
      <c r="E486" s="218">
        <v>800.0</v>
      </c>
      <c r="F486" s="218">
        <v>0.0</v>
      </c>
      <c r="G486" s="218">
        <v>0.0</v>
      </c>
      <c r="H486" s="223">
        <v>800.0</v>
      </c>
      <c r="J486" s="223" t="s">
        <v>52</v>
      </c>
      <c r="K486" s="317">
        <v>2022.08</v>
      </c>
    </row>
    <row r="487">
      <c r="A487" s="223" t="s">
        <v>88</v>
      </c>
      <c r="B487" s="223" t="s">
        <v>1256</v>
      </c>
      <c r="C487" s="223" t="s">
        <v>1156</v>
      </c>
      <c r="D487" s="316">
        <v>44804.0</v>
      </c>
      <c r="E487" s="218">
        <v>500.0</v>
      </c>
      <c r="F487" s="218">
        <v>15.53</v>
      </c>
      <c r="G487" s="218">
        <v>0.0</v>
      </c>
      <c r="H487" s="223">
        <v>484.47</v>
      </c>
      <c r="J487" s="223" t="s">
        <v>52</v>
      </c>
      <c r="K487" s="317">
        <v>2022.08</v>
      </c>
    </row>
    <row r="488">
      <c r="A488" s="223" t="s">
        <v>50</v>
      </c>
      <c r="B488" s="223" t="s">
        <v>1275</v>
      </c>
      <c r="C488" s="223" t="s">
        <v>1156</v>
      </c>
      <c r="D488" s="316">
        <v>44804.0</v>
      </c>
      <c r="E488" s="218">
        <v>375.0</v>
      </c>
      <c r="F488" s="218">
        <v>0.0</v>
      </c>
      <c r="G488" s="218">
        <v>0.0</v>
      </c>
      <c r="H488" s="223">
        <v>375.0</v>
      </c>
      <c r="J488" s="223" t="s">
        <v>52</v>
      </c>
      <c r="K488" s="317">
        <v>2022.08</v>
      </c>
    </row>
    <row r="489">
      <c r="A489" s="223" t="s">
        <v>75</v>
      </c>
      <c r="B489" s="223" t="s">
        <v>1279</v>
      </c>
      <c r="C489" s="223" t="s">
        <v>1156</v>
      </c>
      <c r="D489" s="316">
        <v>44804.0</v>
      </c>
      <c r="E489" s="218">
        <v>500.0</v>
      </c>
      <c r="F489" s="218">
        <v>0.0</v>
      </c>
      <c r="G489" s="218">
        <v>0.0</v>
      </c>
      <c r="H489" s="223">
        <v>500.0</v>
      </c>
      <c r="J489" s="223" t="s">
        <v>52</v>
      </c>
      <c r="K489" s="317">
        <v>2022.08</v>
      </c>
    </row>
    <row r="490">
      <c r="A490" s="223" t="s">
        <v>105</v>
      </c>
      <c r="B490" s="223" t="s">
        <v>1280</v>
      </c>
      <c r="C490" s="223" t="s">
        <v>2308</v>
      </c>
      <c r="D490" s="316">
        <v>44804.0</v>
      </c>
      <c r="E490" s="218">
        <v>381.55920000000003</v>
      </c>
      <c r="F490" s="218">
        <v>14.499249600000002</v>
      </c>
      <c r="G490" s="218">
        <v>0.0</v>
      </c>
      <c r="H490" s="223">
        <v>367.05995040000005</v>
      </c>
      <c r="J490" s="223" t="s">
        <v>52</v>
      </c>
      <c r="K490" s="317">
        <v>2022.08</v>
      </c>
    </row>
    <row r="491">
      <c r="A491" s="223" t="s">
        <v>90</v>
      </c>
      <c r="B491" s="223" t="s">
        <v>1282</v>
      </c>
      <c r="C491" s="223" t="s">
        <v>1156</v>
      </c>
      <c r="D491" s="316">
        <v>44804.0</v>
      </c>
      <c r="E491" s="218">
        <v>1150.0</v>
      </c>
      <c r="F491" s="218">
        <v>0.0</v>
      </c>
      <c r="G491" s="218">
        <v>0.0</v>
      </c>
      <c r="H491" s="223">
        <v>1150.0</v>
      </c>
      <c r="J491" s="223" t="s">
        <v>52</v>
      </c>
      <c r="K491" s="317">
        <v>2022.08</v>
      </c>
    </row>
    <row r="492">
      <c r="A492" s="223" t="s">
        <v>97</v>
      </c>
      <c r="B492" s="223" t="s">
        <v>1286</v>
      </c>
      <c r="C492" s="223" t="s">
        <v>1156</v>
      </c>
      <c r="D492" s="316">
        <v>44804.0</v>
      </c>
      <c r="E492" s="218">
        <v>300.0</v>
      </c>
      <c r="F492" s="218">
        <v>9.33</v>
      </c>
      <c r="G492" s="218">
        <v>0.0</v>
      </c>
      <c r="H492" s="223">
        <v>290.67</v>
      </c>
      <c r="J492" s="223" t="s">
        <v>52</v>
      </c>
      <c r="K492" s="317">
        <v>2022.08</v>
      </c>
    </row>
    <row r="493">
      <c r="A493" s="223" t="s">
        <v>92</v>
      </c>
      <c r="B493" s="223" t="s">
        <v>1289</v>
      </c>
      <c r="C493" s="223" t="s">
        <v>1156</v>
      </c>
      <c r="D493" s="316">
        <v>44804.0</v>
      </c>
      <c r="E493" s="218">
        <v>2500.0</v>
      </c>
      <c r="F493" s="218">
        <v>77.78</v>
      </c>
      <c r="G493" s="218">
        <v>0.0</v>
      </c>
      <c r="H493" s="223">
        <v>2422.22</v>
      </c>
      <c r="J493" s="223" t="s">
        <v>52</v>
      </c>
      <c r="K493" s="317">
        <v>2022.08</v>
      </c>
    </row>
    <row r="494">
      <c r="A494" s="223" t="s">
        <v>123</v>
      </c>
      <c r="B494" s="223" t="s">
        <v>1300</v>
      </c>
      <c r="C494" s="223" t="s">
        <v>1156</v>
      </c>
      <c r="D494" s="316">
        <v>44804.0</v>
      </c>
      <c r="E494" s="218">
        <v>6012.787499999999</v>
      </c>
      <c r="F494" s="218">
        <v>222.87399</v>
      </c>
      <c r="G494" s="218">
        <v>1157.982702</v>
      </c>
      <c r="H494" s="223">
        <v>4631.930807999999</v>
      </c>
      <c r="J494" s="223" t="s">
        <v>52</v>
      </c>
      <c r="K494" s="317">
        <v>2022.08</v>
      </c>
    </row>
    <row r="495">
      <c r="A495" s="223" t="s">
        <v>115</v>
      </c>
      <c r="B495" s="223" t="s">
        <v>1308</v>
      </c>
      <c r="C495" s="223" t="s">
        <v>1156</v>
      </c>
      <c r="D495" s="316">
        <v>44804.0</v>
      </c>
      <c r="E495" s="218">
        <v>2519.225</v>
      </c>
      <c r="F495" s="218">
        <v>0.0</v>
      </c>
      <c r="G495" s="218">
        <v>0.0</v>
      </c>
      <c r="H495" s="223">
        <v>2519.225</v>
      </c>
      <c r="J495" s="223" t="s">
        <v>52</v>
      </c>
      <c r="K495" s="317">
        <v>2022.08</v>
      </c>
    </row>
    <row r="496">
      <c r="A496" s="223" t="s">
        <v>118</v>
      </c>
      <c r="B496" s="223" t="s">
        <v>1312</v>
      </c>
      <c r="C496" s="223" t="s">
        <v>1156</v>
      </c>
      <c r="D496" s="316">
        <v>44804.0</v>
      </c>
      <c r="E496" s="218">
        <v>2519.225</v>
      </c>
      <c r="F496" s="218">
        <v>0.0</v>
      </c>
      <c r="G496" s="218">
        <v>0.0</v>
      </c>
      <c r="H496" s="223">
        <v>2519.225</v>
      </c>
      <c r="J496" s="223" t="s">
        <v>52</v>
      </c>
      <c r="K496" s="317">
        <v>2022.08</v>
      </c>
    </row>
    <row r="497">
      <c r="A497" s="223" t="s">
        <v>73</v>
      </c>
      <c r="B497" s="223" t="s">
        <v>1327</v>
      </c>
      <c r="C497" s="223" t="s">
        <v>1156</v>
      </c>
      <c r="D497" s="316">
        <v>44804.0</v>
      </c>
      <c r="E497" s="218">
        <v>700.0</v>
      </c>
      <c r="F497" s="218">
        <v>0.0</v>
      </c>
      <c r="G497" s="218">
        <v>0.0</v>
      </c>
      <c r="H497" s="223">
        <v>700.0</v>
      </c>
      <c r="J497" s="223" t="s">
        <v>52</v>
      </c>
      <c r="K497" s="317">
        <v>2022.08</v>
      </c>
    </row>
    <row r="498">
      <c r="A498" s="223" t="s">
        <v>499</v>
      </c>
      <c r="B498" s="223" t="s">
        <v>1330</v>
      </c>
      <c r="C498" s="223" t="s">
        <v>1375</v>
      </c>
      <c r="D498" s="316">
        <v>44804.0</v>
      </c>
      <c r="E498" s="218">
        <v>1450.0</v>
      </c>
      <c r="F498" s="218">
        <v>48.55</v>
      </c>
      <c r="G498" s="218">
        <v>0.0</v>
      </c>
      <c r="H498" s="223">
        <v>1401.45</v>
      </c>
      <c r="J498" s="223" t="s">
        <v>52</v>
      </c>
      <c r="K498" s="317">
        <v>2022.08</v>
      </c>
    </row>
    <row r="499">
      <c r="A499" s="223" t="s">
        <v>560</v>
      </c>
      <c r="B499" s="223" t="s">
        <v>1395</v>
      </c>
      <c r="C499" s="223" t="s">
        <v>36</v>
      </c>
      <c r="D499" s="316">
        <v>44796.0</v>
      </c>
      <c r="E499" s="218">
        <v>3625.099999999998</v>
      </c>
      <c r="F499" s="218">
        <v>0.0</v>
      </c>
      <c r="G499" s="218">
        <v>0.0</v>
      </c>
      <c r="H499" s="223">
        <v>3625.099999999998</v>
      </c>
      <c r="J499" s="223" t="s">
        <v>252</v>
      </c>
      <c r="K499" s="317">
        <v>2022.0</v>
      </c>
    </row>
    <row r="500">
      <c r="A500" s="223" t="s">
        <v>560</v>
      </c>
      <c r="B500" s="223" t="s">
        <v>1395</v>
      </c>
      <c r="C500" s="223" t="s">
        <v>36</v>
      </c>
      <c r="D500" s="316">
        <v>44849.0</v>
      </c>
      <c r="E500" s="218">
        <v>3922.0760000000005</v>
      </c>
      <c r="F500" s="218">
        <v>125.02</v>
      </c>
      <c r="G500" s="218">
        <v>0.0</v>
      </c>
      <c r="H500" s="223">
        <v>3797.0560000000005</v>
      </c>
      <c r="J500" s="223" t="s">
        <v>252</v>
      </c>
      <c r="K500" s="317">
        <v>2022.0</v>
      </c>
    </row>
    <row r="501">
      <c r="A501" s="223" t="s">
        <v>565</v>
      </c>
      <c r="B501" s="223" t="s">
        <v>1398</v>
      </c>
      <c r="C501" s="223" t="s">
        <v>1399</v>
      </c>
      <c r="D501" s="316">
        <v>44813.0</v>
      </c>
      <c r="E501" s="218">
        <v>1846.5247811975999</v>
      </c>
      <c r="F501" s="218">
        <v>0.0</v>
      </c>
      <c r="G501" s="218">
        <v>0.0</v>
      </c>
      <c r="H501" s="223">
        <v>1846.5247811975999</v>
      </c>
      <c r="J501" s="223" t="s">
        <v>252</v>
      </c>
      <c r="K501" s="317">
        <v>2022.0</v>
      </c>
    </row>
    <row r="502">
      <c r="A502" s="223" t="s">
        <v>565</v>
      </c>
      <c r="B502" s="223" t="s">
        <v>1398</v>
      </c>
      <c r="C502" s="223" t="s">
        <v>1399</v>
      </c>
      <c r="D502" s="316">
        <v>44833.0</v>
      </c>
      <c r="E502" s="218">
        <v>1822.0199999988001</v>
      </c>
      <c r="F502" s="218">
        <v>0.0</v>
      </c>
      <c r="G502" s="218">
        <v>0.0</v>
      </c>
      <c r="H502" s="223">
        <v>1822.0199999988001</v>
      </c>
      <c r="J502" s="223" t="s">
        <v>252</v>
      </c>
      <c r="K502" s="317">
        <v>2022.0</v>
      </c>
    </row>
    <row r="503">
      <c r="A503" s="223" t="s">
        <v>570</v>
      </c>
      <c r="B503" s="223" t="s">
        <v>1398</v>
      </c>
      <c r="C503" s="223" t="s">
        <v>1401</v>
      </c>
      <c r="D503" s="316">
        <v>44813.0</v>
      </c>
      <c r="E503" s="218">
        <v>702.9983631273719</v>
      </c>
      <c r="F503" s="218">
        <v>0.0</v>
      </c>
      <c r="G503" s="218">
        <v>0.0</v>
      </c>
      <c r="H503" s="223">
        <v>702.9983631273719</v>
      </c>
      <c r="J503" s="223" t="s">
        <v>252</v>
      </c>
      <c r="K503" s="317">
        <v>2022.0</v>
      </c>
    </row>
    <row r="504">
      <c r="A504" s="223" t="s">
        <v>570</v>
      </c>
      <c r="B504" s="223" t="s">
        <v>1398</v>
      </c>
      <c r="C504" s="223" t="s">
        <v>1401</v>
      </c>
      <c r="D504" s="316" t="s">
        <v>573</v>
      </c>
      <c r="E504" s="218">
        <v>533.0</v>
      </c>
      <c r="F504" s="218"/>
      <c r="G504" s="218">
        <v>0.0</v>
      </c>
      <c r="H504" s="223">
        <v>533.0</v>
      </c>
      <c r="J504" s="223" t="s">
        <v>252</v>
      </c>
      <c r="K504" s="317" t="s">
        <v>200</v>
      </c>
    </row>
    <row r="505">
      <c r="A505" s="223" t="s">
        <v>576</v>
      </c>
      <c r="B505" s="223" t="s">
        <v>1404</v>
      </c>
      <c r="C505" s="223" t="s">
        <v>1409</v>
      </c>
      <c r="D505" s="316">
        <v>44813.0</v>
      </c>
      <c r="E505" s="218">
        <v>718.711968</v>
      </c>
      <c r="F505" s="218">
        <v>0.0</v>
      </c>
      <c r="G505" s="218">
        <v>0.0</v>
      </c>
      <c r="H505" s="223">
        <v>718.711968</v>
      </c>
      <c r="J505" s="223" t="s">
        <v>252</v>
      </c>
      <c r="K505" s="317">
        <v>2022.0</v>
      </c>
    </row>
    <row r="506">
      <c r="A506" s="223" t="s">
        <v>576</v>
      </c>
      <c r="B506" s="223" t="s">
        <v>1404</v>
      </c>
      <c r="C506" s="223" t="s">
        <v>1409</v>
      </c>
      <c r="D506" s="316" t="s">
        <v>573</v>
      </c>
      <c r="E506" s="218">
        <v>1066.0</v>
      </c>
      <c r="F506" s="218"/>
      <c r="G506" s="218">
        <v>0.0</v>
      </c>
      <c r="H506" s="223">
        <v>1066.0</v>
      </c>
      <c r="J506" s="223" t="s">
        <v>252</v>
      </c>
      <c r="K506" s="317" t="s">
        <v>200</v>
      </c>
    </row>
    <row r="507">
      <c r="A507" s="223" t="s">
        <v>580</v>
      </c>
      <c r="B507" s="223" t="s">
        <v>1406</v>
      </c>
      <c r="C507" s="223" t="s">
        <v>1411</v>
      </c>
      <c r="D507" s="316">
        <v>44813.0</v>
      </c>
      <c r="E507" s="218">
        <v>706.8656279999999</v>
      </c>
      <c r="F507" s="218">
        <v>0.0</v>
      </c>
      <c r="G507" s="218">
        <v>0.0</v>
      </c>
      <c r="H507" s="223">
        <v>706.8656279999999</v>
      </c>
      <c r="J507" s="223" t="s">
        <v>252</v>
      </c>
      <c r="K507" s="317">
        <v>2022.0</v>
      </c>
    </row>
    <row r="508">
      <c r="A508" s="223" t="s">
        <v>580</v>
      </c>
      <c r="B508" s="223" t="s">
        <v>1406</v>
      </c>
      <c r="C508" s="223" t="s">
        <v>1411</v>
      </c>
      <c r="D508" s="316" t="s">
        <v>573</v>
      </c>
      <c r="E508" s="218">
        <v>1066.0</v>
      </c>
      <c r="F508" s="218"/>
      <c r="G508" s="218">
        <v>0.0</v>
      </c>
      <c r="H508" s="223">
        <v>1066.0</v>
      </c>
      <c r="J508" s="223" t="s">
        <v>252</v>
      </c>
      <c r="K508" s="317" t="s">
        <v>200</v>
      </c>
    </row>
    <row r="509">
      <c r="A509" s="223" t="s">
        <v>584</v>
      </c>
      <c r="B509" s="223" t="s">
        <v>1398</v>
      </c>
      <c r="C509" s="223" t="s">
        <v>1403</v>
      </c>
      <c r="D509" s="316">
        <v>44813.0</v>
      </c>
      <c r="E509" s="218">
        <v>437.4549101284343</v>
      </c>
      <c r="F509" s="218">
        <v>0.0</v>
      </c>
      <c r="G509" s="218">
        <v>0.0</v>
      </c>
      <c r="H509" s="223">
        <v>437.4549101284343</v>
      </c>
      <c r="J509" s="223" t="s">
        <v>252</v>
      </c>
      <c r="K509" s="317">
        <v>2022.0</v>
      </c>
    </row>
    <row r="510">
      <c r="A510" s="223" t="s">
        <v>586</v>
      </c>
      <c r="B510" s="223" t="s">
        <v>1404</v>
      </c>
      <c r="C510" s="223" t="s">
        <v>1403</v>
      </c>
      <c r="D510" s="316">
        <v>44813.0</v>
      </c>
      <c r="E510" s="218">
        <v>439.6816620000001</v>
      </c>
      <c r="F510" s="218">
        <v>0.0</v>
      </c>
      <c r="G510" s="218">
        <v>0.0</v>
      </c>
      <c r="H510" s="223">
        <v>439.6816620000001</v>
      </c>
      <c r="J510" s="223" t="s">
        <v>252</v>
      </c>
      <c r="K510" s="317">
        <v>2022.0</v>
      </c>
    </row>
    <row r="511">
      <c r="A511" s="223" t="s">
        <v>587</v>
      </c>
      <c r="B511" s="223" t="s">
        <v>1406</v>
      </c>
      <c r="C511" s="223" t="s">
        <v>1403</v>
      </c>
      <c r="D511" s="316">
        <v>44813.0</v>
      </c>
      <c r="E511" s="218">
        <v>444.05957400000005</v>
      </c>
      <c r="F511" s="218">
        <v>0.0</v>
      </c>
      <c r="G511" s="218">
        <v>0.0</v>
      </c>
      <c r="H511" s="223">
        <v>444.05957400000005</v>
      </c>
      <c r="J511" s="223" t="s">
        <v>252</v>
      </c>
      <c r="K511" s="317">
        <v>2022.0</v>
      </c>
    </row>
    <row r="512">
      <c r="A512" s="223" t="s">
        <v>588</v>
      </c>
      <c r="B512" s="223" t="s">
        <v>1398</v>
      </c>
      <c r="C512" s="223" t="s">
        <v>1407</v>
      </c>
      <c r="D512" s="316">
        <v>44813.0</v>
      </c>
      <c r="E512" s="218">
        <v>307.76292317474855</v>
      </c>
      <c r="F512" s="218">
        <v>0.0</v>
      </c>
      <c r="G512" s="218">
        <v>0.0</v>
      </c>
      <c r="H512" s="223">
        <v>307.76292317474855</v>
      </c>
      <c r="J512" s="223" t="s">
        <v>252</v>
      </c>
      <c r="K512" s="317">
        <v>2022.0</v>
      </c>
    </row>
    <row r="513">
      <c r="A513" s="223" t="s">
        <v>590</v>
      </c>
      <c r="B513" s="223" t="s">
        <v>1404</v>
      </c>
      <c r="C513" s="223" t="s">
        <v>1407</v>
      </c>
      <c r="D513" s="316">
        <v>44813.0</v>
      </c>
      <c r="E513" s="218">
        <v>309.32558100000006</v>
      </c>
      <c r="F513" s="218">
        <v>0.0</v>
      </c>
      <c r="G513" s="218">
        <v>0.0</v>
      </c>
      <c r="H513" s="223">
        <v>309.32558100000006</v>
      </c>
      <c r="J513" s="223" t="s">
        <v>252</v>
      </c>
      <c r="K513" s="317">
        <v>2022.0</v>
      </c>
    </row>
    <row r="514">
      <c r="A514" s="223" t="s">
        <v>591</v>
      </c>
      <c r="B514" s="223" t="s">
        <v>1406</v>
      </c>
      <c r="C514" s="223" t="s">
        <v>1407</v>
      </c>
      <c r="D514" s="316">
        <v>44813.0</v>
      </c>
      <c r="E514" s="218">
        <v>312.40553700000004</v>
      </c>
      <c r="F514" s="218">
        <v>0.0</v>
      </c>
      <c r="G514" s="218">
        <v>0.0</v>
      </c>
      <c r="H514" s="223">
        <v>312.40553700000004</v>
      </c>
      <c r="J514" s="223" t="s">
        <v>252</v>
      </c>
      <c r="K514" s="317">
        <v>2022.0</v>
      </c>
    </row>
    <row r="515">
      <c r="A515" s="223" t="s">
        <v>592</v>
      </c>
      <c r="B515" s="223" t="s">
        <v>1398</v>
      </c>
      <c r="C515" s="223" t="s">
        <v>1413</v>
      </c>
      <c r="D515" s="316">
        <v>44813.0</v>
      </c>
      <c r="E515" s="218">
        <v>492.38902236906284</v>
      </c>
      <c r="F515" s="218">
        <v>0.0</v>
      </c>
      <c r="G515" s="218">
        <v>0.0</v>
      </c>
      <c r="H515" s="223">
        <v>492.38902236906284</v>
      </c>
      <c r="J515" s="223" t="s">
        <v>459</v>
      </c>
      <c r="K515" s="317">
        <v>2022.0</v>
      </c>
    </row>
    <row r="516">
      <c r="A516" s="223" t="s">
        <v>594</v>
      </c>
      <c r="B516" s="223" t="s">
        <v>1404</v>
      </c>
      <c r="C516" s="223" t="s">
        <v>1413</v>
      </c>
      <c r="D516" s="316">
        <v>44813.0</v>
      </c>
      <c r="E516" s="218">
        <v>494.910324</v>
      </c>
      <c r="F516" s="218">
        <v>0.0</v>
      </c>
      <c r="G516" s="218">
        <v>0.0</v>
      </c>
      <c r="H516" s="223">
        <v>494.910324</v>
      </c>
      <c r="J516" s="223" t="s">
        <v>459</v>
      </c>
      <c r="K516" s="317">
        <v>2022.0</v>
      </c>
    </row>
    <row r="517">
      <c r="A517" s="223" t="s">
        <v>595</v>
      </c>
      <c r="B517" s="223" t="s">
        <v>1406</v>
      </c>
      <c r="C517" s="223" t="s">
        <v>1413</v>
      </c>
      <c r="D517" s="316">
        <v>44813.0</v>
      </c>
      <c r="E517" s="218">
        <v>499.838148</v>
      </c>
      <c r="F517" s="218">
        <v>0.0</v>
      </c>
      <c r="G517" s="218">
        <v>0.0</v>
      </c>
      <c r="H517" s="223">
        <v>499.838148</v>
      </c>
      <c r="J517" s="223" t="s">
        <v>459</v>
      </c>
      <c r="K517" s="317">
        <v>2022.0</v>
      </c>
    </row>
    <row r="518">
      <c r="A518" s="223" t="s">
        <v>596</v>
      </c>
      <c r="B518" s="223" t="s">
        <v>1404</v>
      </c>
      <c r="C518" s="223" t="s">
        <v>1416</v>
      </c>
      <c r="D518" s="316">
        <v>44910.0</v>
      </c>
      <c r="E518" s="218">
        <v>850.890816</v>
      </c>
      <c r="F518" s="218">
        <v>0.0</v>
      </c>
      <c r="G518" s="218">
        <v>0.0</v>
      </c>
      <c r="H518" s="223">
        <v>850.890816</v>
      </c>
      <c r="J518" s="223" t="s">
        <v>459</v>
      </c>
      <c r="K518" s="317">
        <v>2022.0</v>
      </c>
    </row>
    <row r="519">
      <c r="A519" s="223" t="s">
        <v>599</v>
      </c>
      <c r="B519" s="223" t="s">
        <v>1398</v>
      </c>
      <c r="C519" s="223" t="s">
        <v>1416</v>
      </c>
      <c r="D519" s="316">
        <v>44910.0</v>
      </c>
      <c r="E519" s="218">
        <v>1466.63465832</v>
      </c>
      <c r="F519" s="218">
        <v>0.0</v>
      </c>
      <c r="G519" s="218">
        <v>0.0</v>
      </c>
      <c r="H519" s="223">
        <v>1466.63465832</v>
      </c>
      <c r="J519" s="223" t="s">
        <v>459</v>
      </c>
      <c r="K519" s="317">
        <v>2022.0</v>
      </c>
    </row>
    <row r="520">
      <c r="A520" s="223" t="s">
        <v>602</v>
      </c>
      <c r="B520" s="223" t="s">
        <v>1406</v>
      </c>
      <c r="C520" s="223" t="s">
        <v>1416</v>
      </c>
      <c r="D520" s="316">
        <v>44910.0</v>
      </c>
      <c r="E520" s="218">
        <v>1463.675724</v>
      </c>
      <c r="F520" s="218">
        <v>0.0</v>
      </c>
      <c r="G520" s="218">
        <v>0.0</v>
      </c>
      <c r="H520" s="223">
        <v>1463.675724</v>
      </c>
      <c r="J520" s="223" t="s">
        <v>459</v>
      </c>
      <c r="K520" s="317">
        <v>2022.0</v>
      </c>
    </row>
    <row r="521">
      <c r="A521" s="223" t="s">
        <v>476</v>
      </c>
      <c r="B521" s="223" t="s">
        <v>1371</v>
      </c>
      <c r="C521" s="223" t="s">
        <v>1372</v>
      </c>
      <c r="D521" s="316">
        <v>44813.0</v>
      </c>
      <c r="E521" s="218">
        <v>500.0</v>
      </c>
      <c r="F521" s="218">
        <v>15.56</v>
      </c>
      <c r="G521" s="218">
        <v>0.0</v>
      </c>
      <c r="H521" s="223">
        <v>484.44</v>
      </c>
      <c r="J521" s="223" t="s">
        <v>252</v>
      </c>
      <c r="K521" s="317">
        <v>2022.0</v>
      </c>
    </row>
    <row r="522">
      <c r="A522" s="223" t="s">
        <v>606</v>
      </c>
      <c r="B522" s="223" t="s">
        <v>1256</v>
      </c>
      <c r="C522" s="223" t="s">
        <v>1190</v>
      </c>
      <c r="D522" s="316">
        <v>44813.0</v>
      </c>
      <c r="E522" s="218">
        <v>599.0</v>
      </c>
      <c r="F522" s="218">
        <v>18.64</v>
      </c>
      <c r="G522" s="218">
        <v>0.0</v>
      </c>
      <c r="H522" s="223">
        <v>580.36</v>
      </c>
      <c r="J522" s="223" t="s">
        <v>252</v>
      </c>
      <c r="K522" s="317">
        <v>2022.0</v>
      </c>
    </row>
    <row r="523">
      <c r="A523" s="223" t="s">
        <v>528</v>
      </c>
      <c r="B523" s="223" t="s">
        <v>1345</v>
      </c>
      <c r="C523" s="223" t="s">
        <v>1179</v>
      </c>
      <c r="D523" s="316">
        <v>44895.0</v>
      </c>
      <c r="E523" s="218">
        <v>550.0</v>
      </c>
      <c r="F523" s="218">
        <v>17.11</v>
      </c>
      <c r="G523" s="218">
        <v>0.0</v>
      </c>
      <c r="H523" s="223">
        <v>532.89</v>
      </c>
      <c r="J523" s="223" t="s">
        <v>252</v>
      </c>
      <c r="K523" s="317">
        <v>2022.0</v>
      </c>
    </row>
    <row r="524">
      <c r="A524" s="223" t="s">
        <v>141</v>
      </c>
      <c r="B524" s="223" t="s">
        <v>1292</v>
      </c>
      <c r="C524" s="223" t="s">
        <v>1190</v>
      </c>
      <c r="D524" s="316">
        <v>44819.0</v>
      </c>
      <c r="E524" s="218">
        <v>600.0</v>
      </c>
      <c r="F524" s="218">
        <v>0.0</v>
      </c>
      <c r="G524" s="218">
        <v>0.0</v>
      </c>
      <c r="H524" s="223">
        <v>600.0</v>
      </c>
      <c r="J524" s="223" t="s">
        <v>459</v>
      </c>
      <c r="K524" s="317">
        <v>2022.0</v>
      </c>
    </row>
    <row r="525">
      <c r="A525" s="223" t="s">
        <v>608</v>
      </c>
      <c r="B525" s="223" t="s">
        <v>1417</v>
      </c>
      <c r="C525" s="223" t="s">
        <v>1418</v>
      </c>
      <c r="D525" s="316">
        <v>44819.0</v>
      </c>
      <c r="E525" s="218">
        <v>1135.74875</v>
      </c>
      <c r="F525" s="218">
        <v>44.69505375</v>
      </c>
      <c r="G525" s="218">
        <v>0.0</v>
      </c>
      <c r="H525" s="223">
        <v>1091.05369625</v>
      </c>
      <c r="J525" s="223" t="s">
        <v>252</v>
      </c>
      <c r="K525" s="317">
        <v>2022.0</v>
      </c>
    </row>
    <row r="526">
      <c r="A526" s="223" t="s">
        <v>611</v>
      </c>
      <c r="B526" s="223" t="s">
        <v>1377</v>
      </c>
      <c r="C526" s="223" t="s">
        <v>1420</v>
      </c>
      <c r="D526" s="316">
        <v>44819.0</v>
      </c>
      <c r="E526" s="218">
        <v>3354.8432255000002</v>
      </c>
      <c r="F526" s="218">
        <v>0.0</v>
      </c>
      <c r="G526" s="218">
        <v>0.0</v>
      </c>
      <c r="H526" s="223">
        <v>3354.8432255000002</v>
      </c>
      <c r="J526" s="223" t="s">
        <v>52</v>
      </c>
      <c r="K526" s="317">
        <v>2022.0</v>
      </c>
    </row>
    <row r="527">
      <c r="A527" s="223" t="s">
        <v>611</v>
      </c>
      <c r="B527" s="223" t="s">
        <v>1377</v>
      </c>
      <c r="C527" s="223" t="s">
        <v>1420</v>
      </c>
      <c r="D527" s="316">
        <v>44849.0</v>
      </c>
      <c r="E527" s="218">
        <v>1926.0696765</v>
      </c>
      <c r="F527" s="218">
        <v>0.0</v>
      </c>
      <c r="G527" s="218">
        <v>0.0</v>
      </c>
      <c r="H527" s="223">
        <v>1926.0696765</v>
      </c>
      <c r="J527" s="223" t="s">
        <v>52</v>
      </c>
      <c r="K527" s="317">
        <v>2022.0</v>
      </c>
    </row>
    <row r="528">
      <c r="A528" s="223" t="s">
        <v>611</v>
      </c>
      <c r="B528" s="223" t="s">
        <v>1377</v>
      </c>
      <c r="C528" s="223" t="s">
        <v>1420</v>
      </c>
      <c r="D528" s="316">
        <v>44880.0</v>
      </c>
      <c r="E528" s="218">
        <v>1932.6899999999998</v>
      </c>
      <c r="F528" s="218">
        <v>0.0</v>
      </c>
      <c r="G528" s="218">
        <v>0.0</v>
      </c>
      <c r="H528" s="223">
        <v>1932.6899999999998</v>
      </c>
      <c r="J528" s="223" t="s">
        <v>52</v>
      </c>
      <c r="K528" s="317">
        <v>2022.0</v>
      </c>
    </row>
    <row r="529">
      <c r="A529" s="223" t="s">
        <v>611</v>
      </c>
      <c r="B529" s="223" t="s">
        <v>1377</v>
      </c>
      <c r="C529" s="223" t="s">
        <v>1420</v>
      </c>
      <c r="D529" s="316" t="s">
        <v>617</v>
      </c>
      <c r="E529" s="218">
        <v>1500.0</v>
      </c>
      <c r="F529" s="218"/>
      <c r="G529" s="218">
        <v>0.0</v>
      </c>
      <c r="H529" s="223">
        <v>1500.0</v>
      </c>
      <c r="J529" s="223" t="s">
        <v>52</v>
      </c>
      <c r="K529" s="317" t="s">
        <v>200</v>
      </c>
    </row>
    <row r="530">
      <c r="A530" s="223" t="s">
        <v>618</v>
      </c>
      <c r="B530" s="223" t="s">
        <v>1377</v>
      </c>
      <c r="C530" s="223" t="s">
        <v>1421</v>
      </c>
      <c r="D530" s="316" t="s">
        <v>619</v>
      </c>
      <c r="E530" s="218">
        <v>850.0</v>
      </c>
      <c r="F530" s="218"/>
      <c r="G530" s="218">
        <v>0.0</v>
      </c>
      <c r="H530" s="223">
        <v>850.0</v>
      </c>
      <c r="J530" s="223" t="s">
        <v>252</v>
      </c>
      <c r="K530" s="317" t="s">
        <v>200</v>
      </c>
    </row>
    <row r="531">
      <c r="A531" s="223" t="s">
        <v>621</v>
      </c>
      <c r="B531" s="223" t="s">
        <v>1404</v>
      </c>
      <c r="C531" s="223" t="s">
        <v>1422</v>
      </c>
      <c r="D531" s="316">
        <v>44819.0</v>
      </c>
      <c r="E531" s="218">
        <v>675.2</v>
      </c>
      <c r="F531" s="218">
        <v>0.0</v>
      </c>
      <c r="G531" s="218">
        <v>0.0</v>
      </c>
      <c r="H531" s="223">
        <v>675.2</v>
      </c>
      <c r="J531" s="223" t="s">
        <v>252</v>
      </c>
      <c r="K531" s="317">
        <v>2022.0</v>
      </c>
    </row>
    <row r="532">
      <c r="A532" s="223" t="s">
        <v>68</v>
      </c>
      <c r="B532" s="223" t="s">
        <v>1178</v>
      </c>
      <c r="C532" s="223" t="s">
        <v>1156</v>
      </c>
      <c r="D532" s="316">
        <v>44819.0</v>
      </c>
      <c r="E532" s="218">
        <v>650.0</v>
      </c>
      <c r="F532" s="218">
        <v>20.09</v>
      </c>
      <c r="G532" s="218">
        <v>0.0</v>
      </c>
      <c r="H532" s="223">
        <v>629.91</v>
      </c>
      <c r="J532" s="223" t="s">
        <v>52</v>
      </c>
      <c r="K532" s="317">
        <v>2022.09</v>
      </c>
    </row>
    <row r="533">
      <c r="A533" s="223" t="s">
        <v>99</v>
      </c>
      <c r="B533" s="223" t="s">
        <v>1192</v>
      </c>
      <c r="C533" s="223" t="s">
        <v>1156</v>
      </c>
      <c r="D533" s="316">
        <v>44819.0</v>
      </c>
      <c r="E533" s="218">
        <v>1658.4672</v>
      </c>
      <c r="F533" s="218">
        <v>61.7460096</v>
      </c>
      <c r="G533" s="218">
        <v>319.34423808</v>
      </c>
      <c r="H533" s="223">
        <v>1277.37695232</v>
      </c>
      <c r="J533" s="223" t="s">
        <v>52</v>
      </c>
      <c r="K533" s="317">
        <v>2022.09</v>
      </c>
    </row>
    <row r="534">
      <c r="A534" s="223" t="s">
        <v>225</v>
      </c>
      <c r="B534" s="223" t="s">
        <v>1257</v>
      </c>
      <c r="C534" s="223" t="s">
        <v>1156</v>
      </c>
      <c r="D534" s="316">
        <v>44819.0</v>
      </c>
      <c r="E534" s="218">
        <v>5000.0</v>
      </c>
      <c r="F534" s="218">
        <v>0.0</v>
      </c>
      <c r="G534" s="218">
        <v>0.0</v>
      </c>
      <c r="H534" s="223">
        <v>5000.0</v>
      </c>
      <c r="J534" s="223" t="s">
        <v>52</v>
      </c>
      <c r="K534" s="317">
        <v>2022.09</v>
      </c>
    </row>
    <row r="535">
      <c r="A535" s="223" t="s">
        <v>102</v>
      </c>
      <c r="B535" s="223" t="s">
        <v>1259</v>
      </c>
      <c r="C535" s="223" t="s">
        <v>1156</v>
      </c>
      <c r="D535" s="316">
        <v>44819.0</v>
      </c>
      <c r="E535" s="218">
        <v>467.66124999999994</v>
      </c>
      <c r="F535" s="218">
        <v>17.70431875</v>
      </c>
      <c r="G535" s="218">
        <v>0.0</v>
      </c>
      <c r="H535" s="223">
        <v>449.9569312499999</v>
      </c>
      <c r="J535" s="223" t="s">
        <v>52</v>
      </c>
      <c r="K535" s="317">
        <v>2022.09</v>
      </c>
    </row>
    <row r="536">
      <c r="A536" s="223" t="s">
        <v>62</v>
      </c>
      <c r="B536" s="223" t="s">
        <v>1304</v>
      </c>
      <c r="C536" s="223" t="s">
        <v>1156</v>
      </c>
      <c r="D536" s="316">
        <v>44819.0</v>
      </c>
      <c r="E536" s="218">
        <v>1600.0</v>
      </c>
      <c r="F536" s="218">
        <v>49.78</v>
      </c>
      <c r="G536" s="218">
        <v>0.0</v>
      </c>
      <c r="H536" s="223">
        <v>1550.22</v>
      </c>
      <c r="J536" s="223" t="s">
        <v>52</v>
      </c>
      <c r="K536" s="317">
        <v>2022.09</v>
      </c>
    </row>
    <row r="537">
      <c r="A537" s="223" t="s">
        <v>66</v>
      </c>
      <c r="B537" s="223" t="s">
        <v>1324</v>
      </c>
      <c r="C537" s="223" t="s">
        <v>1156</v>
      </c>
      <c r="D537" s="316">
        <v>44819.0</v>
      </c>
      <c r="E537" s="218">
        <v>900.0</v>
      </c>
      <c r="F537" s="218">
        <v>0.0</v>
      </c>
      <c r="G537" s="218">
        <v>0.0</v>
      </c>
      <c r="H537" s="223">
        <v>900.0</v>
      </c>
      <c r="J537" s="223" t="s">
        <v>52</v>
      </c>
      <c r="K537" s="317">
        <v>2022.09</v>
      </c>
    </row>
    <row r="538">
      <c r="A538" s="223" t="s">
        <v>523</v>
      </c>
      <c r="B538" s="223" t="s">
        <v>1357</v>
      </c>
      <c r="C538" s="223" t="s">
        <v>1156</v>
      </c>
      <c r="D538" s="316">
        <v>44819.0</v>
      </c>
      <c r="E538" s="218">
        <v>500.0</v>
      </c>
      <c r="F538" s="218">
        <v>0.0</v>
      </c>
      <c r="G538" s="218">
        <v>0.0</v>
      </c>
      <c r="H538" s="223">
        <v>500.0</v>
      </c>
      <c r="J538" s="223" t="s">
        <v>52</v>
      </c>
      <c r="K538" s="317">
        <v>2022.09</v>
      </c>
    </row>
    <row r="539">
      <c r="A539" s="223" t="s">
        <v>467</v>
      </c>
      <c r="B539" s="223" t="s">
        <v>1209</v>
      </c>
      <c r="C539" s="223" t="s">
        <v>469</v>
      </c>
      <c r="D539" s="316">
        <v>44819.0</v>
      </c>
      <c r="E539" s="218">
        <v>372.55372</v>
      </c>
      <c r="F539" s="218">
        <v>14.18365234</v>
      </c>
      <c r="G539" s="218">
        <v>71.674013532</v>
      </c>
      <c r="H539" s="223">
        <v>286.696054128</v>
      </c>
      <c r="J539" s="223" t="s">
        <v>52</v>
      </c>
      <c r="K539" s="317">
        <v>2022.09</v>
      </c>
    </row>
    <row r="540">
      <c r="A540" s="223" t="s">
        <v>549</v>
      </c>
      <c r="B540" s="223" t="s">
        <v>1368</v>
      </c>
      <c r="C540" s="223" t="s">
        <v>1393</v>
      </c>
      <c r="D540" s="316">
        <v>44819.0</v>
      </c>
      <c r="E540" s="218">
        <v>777.3191999999999</v>
      </c>
      <c r="F540" s="218">
        <v>29.149469999999997</v>
      </c>
      <c r="G540" s="218">
        <v>0.0</v>
      </c>
      <c r="H540" s="223">
        <v>748.16973</v>
      </c>
      <c r="J540" s="223" t="s">
        <v>52</v>
      </c>
      <c r="K540" s="317">
        <v>2022.09</v>
      </c>
    </row>
    <row r="541">
      <c r="A541" s="223" t="s">
        <v>629</v>
      </c>
      <c r="B541" s="223" t="s">
        <v>1395</v>
      </c>
      <c r="C541" s="223" t="s">
        <v>469</v>
      </c>
      <c r="D541" s="316">
        <v>44849.0</v>
      </c>
      <c r="E541" s="218">
        <v>378.6832</v>
      </c>
      <c r="F541" s="218">
        <v>0.0</v>
      </c>
      <c r="G541" s="218">
        <v>0.0</v>
      </c>
      <c r="H541" s="223">
        <v>378.6832</v>
      </c>
      <c r="J541" s="223" t="s">
        <v>52</v>
      </c>
      <c r="K541" s="317">
        <v>2022.1</v>
      </c>
    </row>
    <row r="542">
      <c r="A542" s="223" t="s">
        <v>630</v>
      </c>
      <c r="B542" s="223" t="s">
        <v>1345</v>
      </c>
      <c r="C542" s="223" t="s">
        <v>469</v>
      </c>
      <c r="D542" s="316">
        <v>44819.0</v>
      </c>
      <c r="E542" s="218">
        <v>280.0</v>
      </c>
      <c r="F542" s="218">
        <v>8.71</v>
      </c>
      <c r="G542" s="218">
        <v>0.0</v>
      </c>
      <c r="H542" s="223">
        <v>271.29</v>
      </c>
      <c r="J542" s="223" t="s">
        <v>52</v>
      </c>
      <c r="K542" s="317">
        <v>2022.09</v>
      </c>
    </row>
    <row r="543">
      <c r="A543" s="223" t="s">
        <v>632</v>
      </c>
      <c r="B543" s="223" t="s">
        <v>1383</v>
      </c>
      <c r="C543" s="223" t="s">
        <v>36</v>
      </c>
      <c r="D543" s="316">
        <v>44819.0</v>
      </c>
      <c r="E543" s="218">
        <v>5900.995000000001</v>
      </c>
      <c r="F543" s="218">
        <v>218.7216625</v>
      </c>
      <c r="G543" s="218">
        <v>1136.4546675000001</v>
      </c>
      <c r="H543" s="223">
        <v>4545.818670000001</v>
      </c>
      <c r="J543" s="223" t="s">
        <v>252</v>
      </c>
      <c r="K543" s="317">
        <v>2022.0</v>
      </c>
    </row>
    <row r="544">
      <c r="A544" s="223" t="s">
        <v>632</v>
      </c>
      <c r="B544" s="223" t="s">
        <v>1383</v>
      </c>
      <c r="C544" s="223" t="s">
        <v>36</v>
      </c>
      <c r="D544" s="316">
        <v>44888.0</v>
      </c>
      <c r="E544" s="218">
        <v>6040.2094</v>
      </c>
      <c r="F544" s="218">
        <v>223.8816745</v>
      </c>
      <c r="G544" s="218">
        <v>1163.2655450999998</v>
      </c>
      <c r="H544" s="223">
        <v>4653.062180399999</v>
      </c>
      <c r="J544" s="223" t="s">
        <v>252</v>
      </c>
      <c r="K544" s="317">
        <v>2022.0</v>
      </c>
    </row>
    <row r="545">
      <c r="A545" s="223" t="s">
        <v>637</v>
      </c>
      <c r="B545" s="223" t="s">
        <v>1395</v>
      </c>
      <c r="C545" s="223" t="s">
        <v>1397</v>
      </c>
      <c r="D545" s="316">
        <v>44833.0</v>
      </c>
      <c r="E545" s="218">
        <v>873.3204999999999</v>
      </c>
      <c r="F545" s="218">
        <v>25.63</v>
      </c>
      <c r="G545" s="218">
        <v>0.0</v>
      </c>
      <c r="H545" s="223">
        <v>847.6904999999999</v>
      </c>
      <c r="J545" s="223" t="s">
        <v>252</v>
      </c>
      <c r="K545" s="317">
        <v>2022.0</v>
      </c>
    </row>
    <row r="546">
      <c r="A546" s="223" t="s">
        <v>223</v>
      </c>
      <c r="B546" s="223" t="s">
        <v>1176</v>
      </c>
      <c r="C546" s="223" t="s">
        <v>1156</v>
      </c>
      <c r="D546" s="316">
        <v>44833.0</v>
      </c>
      <c r="E546" s="218">
        <v>800.0</v>
      </c>
      <c r="F546" s="218">
        <v>24.89</v>
      </c>
      <c r="G546" s="218">
        <v>0.0</v>
      </c>
      <c r="H546" s="223">
        <v>775.11</v>
      </c>
      <c r="J546" s="223" t="s">
        <v>52</v>
      </c>
      <c r="K546" s="317">
        <v>2022.09</v>
      </c>
    </row>
    <row r="547">
      <c r="A547" s="223" t="s">
        <v>54</v>
      </c>
      <c r="B547" s="223" t="s">
        <v>1187</v>
      </c>
      <c r="C547" s="223" t="s">
        <v>1156</v>
      </c>
      <c r="D547" s="316">
        <v>44834.0</v>
      </c>
      <c r="E547" s="218">
        <v>750.0</v>
      </c>
      <c r="F547" s="218">
        <v>23.33</v>
      </c>
      <c r="G547" s="218">
        <v>0.0</v>
      </c>
      <c r="H547" s="223">
        <v>726.67</v>
      </c>
      <c r="J547" s="223" t="s">
        <v>52</v>
      </c>
      <c r="K547" s="317">
        <v>2022.09</v>
      </c>
    </row>
    <row r="548">
      <c r="A548" s="223" t="s">
        <v>58</v>
      </c>
      <c r="B548" s="223" t="s">
        <v>1197</v>
      </c>
      <c r="C548" s="223" t="s">
        <v>1156</v>
      </c>
      <c r="D548" s="316">
        <v>44833.0</v>
      </c>
      <c r="E548" s="218">
        <v>1550.0</v>
      </c>
      <c r="F548" s="218">
        <v>48.22</v>
      </c>
      <c r="G548" s="218">
        <v>0.0</v>
      </c>
      <c r="H548" s="223">
        <v>1501.78</v>
      </c>
      <c r="J548" s="223" t="s">
        <v>52</v>
      </c>
      <c r="K548" s="317">
        <v>2022.09</v>
      </c>
    </row>
    <row r="549">
      <c r="A549" s="223" t="s">
        <v>84</v>
      </c>
      <c r="B549" s="223" t="s">
        <v>1227</v>
      </c>
      <c r="C549" s="223" t="s">
        <v>1156</v>
      </c>
      <c r="D549" s="316">
        <v>44833.0</v>
      </c>
      <c r="E549" s="218">
        <v>1000.0</v>
      </c>
      <c r="F549" s="218">
        <v>0.0</v>
      </c>
      <c r="G549" s="218">
        <v>0.0</v>
      </c>
      <c r="H549" s="223">
        <v>1000.0</v>
      </c>
      <c r="J549" s="223" t="s">
        <v>52</v>
      </c>
      <c r="K549" s="317">
        <v>2022.09</v>
      </c>
    </row>
    <row r="550">
      <c r="A550" s="223" t="s">
        <v>42</v>
      </c>
      <c r="B550" s="223" t="s">
        <v>1236</v>
      </c>
      <c r="C550" s="223" t="s">
        <v>1156</v>
      </c>
      <c r="D550" s="316">
        <v>44833.0</v>
      </c>
      <c r="E550" s="218">
        <v>1500.0</v>
      </c>
      <c r="F550" s="218">
        <v>46.67</v>
      </c>
      <c r="G550" s="218">
        <v>217.99949999999998</v>
      </c>
      <c r="H550" s="223">
        <v>1235.3305</v>
      </c>
      <c r="J550" s="223" t="s">
        <v>52</v>
      </c>
      <c r="K550" s="317">
        <v>2022.09</v>
      </c>
    </row>
    <row r="551">
      <c r="A551" s="223" t="s">
        <v>82</v>
      </c>
      <c r="B551" s="223" t="s">
        <v>1124</v>
      </c>
      <c r="C551" s="223" t="s">
        <v>1156</v>
      </c>
      <c r="D551" s="316">
        <v>44833.0</v>
      </c>
      <c r="E551" s="218">
        <v>800.0</v>
      </c>
      <c r="F551" s="218">
        <v>0.0</v>
      </c>
      <c r="G551" s="218">
        <v>0.0</v>
      </c>
      <c r="H551" s="223">
        <v>800.0</v>
      </c>
      <c r="J551" s="223" t="s">
        <v>52</v>
      </c>
      <c r="K551" s="317">
        <v>2022.09</v>
      </c>
    </row>
    <row r="552">
      <c r="A552" s="223" t="s">
        <v>88</v>
      </c>
      <c r="B552" s="223" t="s">
        <v>1256</v>
      </c>
      <c r="C552" s="223" t="s">
        <v>1156</v>
      </c>
      <c r="D552" s="316">
        <v>44834.0</v>
      </c>
      <c r="E552" s="218">
        <v>500.0</v>
      </c>
      <c r="F552" s="218">
        <v>15.53</v>
      </c>
      <c r="G552" s="218">
        <v>0.0</v>
      </c>
      <c r="H552" s="223">
        <v>484.47</v>
      </c>
      <c r="J552" s="223" t="s">
        <v>52</v>
      </c>
      <c r="K552" s="317">
        <v>2022.09</v>
      </c>
    </row>
    <row r="553">
      <c r="A553" s="223" t="s">
        <v>50</v>
      </c>
      <c r="B553" s="223" t="s">
        <v>1275</v>
      </c>
      <c r="C553" s="223" t="s">
        <v>1156</v>
      </c>
      <c r="D553" s="316">
        <v>44833.0</v>
      </c>
      <c r="E553" s="218">
        <v>375.0</v>
      </c>
      <c r="F553" s="218">
        <v>0.0</v>
      </c>
      <c r="G553" s="218">
        <v>0.0</v>
      </c>
      <c r="H553" s="223">
        <v>375.0</v>
      </c>
      <c r="J553" s="223" t="s">
        <v>52</v>
      </c>
      <c r="K553" s="317">
        <v>2022.09</v>
      </c>
    </row>
    <row r="554">
      <c r="A554" s="223" t="s">
        <v>75</v>
      </c>
      <c r="B554" s="223" t="s">
        <v>1279</v>
      </c>
      <c r="C554" s="223" t="s">
        <v>1156</v>
      </c>
      <c r="D554" s="316">
        <v>44833.0</v>
      </c>
      <c r="E554" s="218">
        <v>500.0</v>
      </c>
      <c r="F554" s="218">
        <v>0.0</v>
      </c>
      <c r="G554" s="218">
        <v>0.0</v>
      </c>
      <c r="H554" s="223">
        <v>500.0</v>
      </c>
      <c r="J554" s="223" t="s">
        <v>52</v>
      </c>
      <c r="K554" s="317">
        <v>2022.09</v>
      </c>
    </row>
    <row r="555">
      <c r="A555" s="223" t="s">
        <v>105</v>
      </c>
      <c r="B555" s="223" t="s">
        <v>1280</v>
      </c>
      <c r="C555" s="223" t="s">
        <v>2308</v>
      </c>
      <c r="D555" s="316">
        <v>44833.0</v>
      </c>
      <c r="E555" s="218">
        <v>400.85249999999996</v>
      </c>
      <c r="F555" s="218">
        <v>15.232394999999999</v>
      </c>
      <c r="G555" s="218">
        <v>0.0</v>
      </c>
      <c r="H555" s="223">
        <v>385.62010499999997</v>
      </c>
      <c r="J555" s="223" t="s">
        <v>52</v>
      </c>
      <c r="K555" s="317">
        <v>2022.09</v>
      </c>
    </row>
    <row r="556">
      <c r="A556" s="223" t="s">
        <v>90</v>
      </c>
      <c r="B556" s="223" t="s">
        <v>1282</v>
      </c>
      <c r="C556" s="223" t="s">
        <v>1156</v>
      </c>
      <c r="D556" s="316">
        <v>44833.0</v>
      </c>
      <c r="E556" s="218">
        <v>1150.0</v>
      </c>
      <c r="F556" s="218">
        <v>0.0</v>
      </c>
      <c r="G556" s="218">
        <v>0.0</v>
      </c>
      <c r="H556" s="223">
        <v>1150.0</v>
      </c>
      <c r="J556" s="223" t="s">
        <v>52</v>
      </c>
      <c r="K556" s="317">
        <v>2022.09</v>
      </c>
    </row>
    <row r="557">
      <c r="A557" s="223" t="s">
        <v>97</v>
      </c>
      <c r="B557" s="223" t="s">
        <v>1286</v>
      </c>
      <c r="C557" s="223" t="s">
        <v>1156</v>
      </c>
      <c r="D557" s="316">
        <v>44833.0</v>
      </c>
      <c r="E557" s="218">
        <v>300.0</v>
      </c>
      <c r="F557" s="218">
        <v>9.33</v>
      </c>
      <c r="G557" s="218">
        <v>0.0</v>
      </c>
      <c r="H557" s="223">
        <v>290.67</v>
      </c>
      <c r="J557" s="223" t="s">
        <v>52</v>
      </c>
      <c r="K557" s="317">
        <v>2022.09</v>
      </c>
    </row>
    <row r="558">
      <c r="A558" s="223" t="s">
        <v>92</v>
      </c>
      <c r="B558" s="223" t="s">
        <v>1289</v>
      </c>
      <c r="C558" s="223" t="s">
        <v>1156</v>
      </c>
      <c r="D558" s="316">
        <v>44833.0</v>
      </c>
      <c r="E558" s="218">
        <v>2500.0</v>
      </c>
      <c r="F558" s="218">
        <v>77.78</v>
      </c>
      <c r="G558" s="218">
        <v>0.0</v>
      </c>
      <c r="H558" s="223">
        <v>2422.22</v>
      </c>
      <c r="J558" s="223" t="s">
        <v>52</v>
      </c>
      <c r="K558" s="317">
        <v>2022.09</v>
      </c>
    </row>
    <row r="559">
      <c r="A559" s="223" t="s">
        <v>123</v>
      </c>
      <c r="B559" s="223" t="s">
        <v>1300</v>
      </c>
      <c r="C559" s="223" t="s">
        <v>1156</v>
      </c>
      <c r="D559" s="316">
        <v>44833.0</v>
      </c>
      <c r="E559" s="218">
        <v>5811.561</v>
      </c>
      <c r="F559" s="218">
        <v>215.41519440000002</v>
      </c>
      <c r="G559" s="218">
        <v>1119.2291611199998</v>
      </c>
      <c r="H559" s="223">
        <v>4476.916644479999</v>
      </c>
      <c r="J559" s="223" t="s">
        <v>52</v>
      </c>
      <c r="K559" s="317">
        <v>2022.09</v>
      </c>
    </row>
    <row r="560">
      <c r="A560" s="223" t="s">
        <v>115</v>
      </c>
      <c r="B560" s="223" t="s">
        <v>1308</v>
      </c>
      <c r="C560" s="223" t="s">
        <v>1156</v>
      </c>
      <c r="D560" s="316">
        <v>44833.0</v>
      </c>
      <c r="E560" s="218">
        <v>2584.825</v>
      </c>
      <c r="F560" s="218">
        <v>0.0</v>
      </c>
      <c r="G560" s="218">
        <v>0.0</v>
      </c>
      <c r="H560" s="223">
        <v>2584.825</v>
      </c>
      <c r="J560" s="223" t="s">
        <v>52</v>
      </c>
      <c r="K560" s="317">
        <v>2022.09</v>
      </c>
    </row>
    <row r="561">
      <c r="A561" s="223" t="s">
        <v>118</v>
      </c>
      <c r="B561" s="223" t="s">
        <v>1312</v>
      </c>
      <c r="C561" s="223" t="s">
        <v>1156</v>
      </c>
      <c r="D561" s="316">
        <v>44833.0</v>
      </c>
      <c r="E561" s="218">
        <v>2584.825</v>
      </c>
      <c r="F561" s="218">
        <v>0.0</v>
      </c>
      <c r="G561" s="218">
        <v>0.0</v>
      </c>
      <c r="H561" s="223">
        <v>2584.825</v>
      </c>
      <c r="J561" s="223" t="s">
        <v>52</v>
      </c>
      <c r="K561" s="317">
        <v>2022.09</v>
      </c>
    </row>
    <row r="562">
      <c r="A562" s="223" t="s">
        <v>73</v>
      </c>
      <c r="B562" s="223" t="s">
        <v>1327</v>
      </c>
      <c r="C562" s="223" t="s">
        <v>1156</v>
      </c>
      <c r="D562" s="316">
        <v>44833.0</v>
      </c>
      <c r="E562" s="218">
        <v>700.0</v>
      </c>
      <c r="F562" s="218">
        <v>0.0</v>
      </c>
      <c r="G562" s="218">
        <v>0.0</v>
      </c>
      <c r="H562" s="223">
        <v>700.0</v>
      </c>
      <c r="J562" s="223" t="s">
        <v>52</v>
      </c>
      <c r="K562" s="317">
        <v>2022.09</v>
      </c>
    </row>
    <row r="563">
      <c r="A563" s="223" t="s">
        <v>499</v>
      </c>
      <c r="B563" s="223" t="s">
        <v>1330</v>
      </c>
      <c r="C563" s="223" t="s">
        <v>1375</v>
      </c>
      <c r="D563" s="316">
        <v>44833.0</v>
      </c>
      <c r="E563" s="218">
        <v>1450.0</v>
      </c>
      <c r="F563" s="218">
        <v>48.55</v>
      </c>
      <c r="G563" s="218">
        <v>0.0</v>
      </c>
      <c r="H563" s="223">
        <v>1401.45</v>
      </c>
      <c r="J563" s="223" t="s">
        <v>52</v>
      </c>
      <c r="K563" s="317">
        <v>2022.09</v>
      </c>
    </row>
    <row r="564">
      <c r="A564" s="223" t="s">
        <v>645</v>
      </c>
      <c r="B564" s="223" t="s">
        <v>1283</v>
      </c>
      <c r="C564" s="223" t="s">
        <v>36</v>
      </c>
      <c r="D564" s="316">
        <v>44833.0</v>
      </c>
      <c r="E564" s="218">
        <v>1850.0</v>
      </c>
      <c r="F564" s="218">
        <v>57.56</v>
      </c>
      <c r="G564" s="218">
        <v>0.0</v>
      </c>
      <c r="H564" s="223">
        <v>1792.44</v>
      </c>
      <c r="J564" s="223" t="s">
        <v>252</v>
      </c>
      <c r="K564" s="317">
        <v>2022.0</v>
      </c>
    </row>
    <row r="565">
      <c r="A565" s="223" t="s">
        <v>645</v>
      </c>
      <c r="B565" s="223" t="s">
        <v>1283</v>
      </c>
      <c r="C565" s="223" t="s">
        <v>36</v>
      </c>
      <c r="D565" s="316">
        <v>44880.0</v>
      </c>
      <c r="E565" s="218">
        <v>1850.0</v>
      </c>
      <c r="F565" s="218">
        <v>57.56</v>
      </c>
      <c r="G565" s="218">
        <v>0.0</v>
      </c>
      <c r="H565" s="223">
        <v>1792.44</v>
      </c>
      <c r="J565" s="223" t="s">
        <v>252</v>
      </c>
      <c r="K565" s="317">
        <v>2022.0</v>
      </c>
    </row>
    <row r="566">
      <c r="A566" s="223" t="s">
        <v>99</v>
      </c>
      <c r="B566" s="223" t="s">
        <v>1192</v>
      </c>
      <c r="C566" s="223" t="s">
        <v>1156</v>
      </c>
      <c r="D566" s="316">
        <v>44849.0</v>
      </c>
      <c r="E566" s="218">
        <v>1729.7137</v>
      </c>
      <c r="F566" s="218">
        <v>64.3985716</v>
      </c>
      <c r="G566" s="218">
        <v>333.06302568</v>
      </c>
      <c r="H566" s="223">
        <v>1332.25210272</v>
      </c>
      <c r="J566" s="223" t="s">
        <v>52</v>
      </c>
      <c r="K566" s="317">
        <v>2022.1</v>
      </c>
    </row>
    <row r="567">
      <c r="A567" s="223" t="s">
        <v>225</v>
      </c>
      <c r="B567" s="223" t="s">
        <v>1257</v>
      </c>
      <c r="C567" s="223" t="s">
        <v>1156</v>
      </c>
      <c r="D567" s="316">
        <v>44849.0</v>
      </c>
      <c r="E567" s="218">
        <v>5000.0</v>
      </c>
      <c r="F567" s="218">
        <v>0.0</v>
      </c>
      <c r="G567" s="218">
        <v>0.0</v>
      </c>
      <c r="H567" s="223">
        <v>5000.0</v>
      </c>
      <c r="J567" s="223" t="s">
        <v>52</v>
      </c>
      <c r="K567" s="317">
        <v>2022.1</v>
      </c>
    </row>
    <row r="568">
      <c r="A568" s="223" t="s">
        <v>102</v>
      </c>
      <c r="B568" s="223" t="s">
        <v>1259</v>
      </c>
      <c r="C568" s="223" t="s">
        <v>1156</v>
      </c>
      <c r="D568" s="316">
        <v>44849.0</v>
      </c>
      <c r="E568" s="218">
        <v>451.99</v>
      </c>
      <c r="F568" s="218">
        <v>17.111050000000002</v>
      </c>
      <c r="G568" s="218">
        <v>0.0</v>
      </c>
      <c r="H568" s="223">
        <v>434.87895000000003</v>
      </c>
      <c r="J568" s="223" t="s">
        <v>52</v>
      </c>
      <c r="K568" s="317">
        <v>2022.1</v>
      </c>
    </row>
    <row r="569">
      <c r="A569" s="223" t="s">
        <v>62</v>
      </c>
      <c r="B569" s="223" t="s">
        <v>1304</v>
      </c>
      <c r="C569" s="223" t="s">
        <v>1156</v>
      </c>
      <c r="D569" s="316">
        <v>44849.0</v>
      </c>
      <c r="E569" s="218">
        <v>1600.0</v>
      </c>
      <c r="F569" s="218">
        <v>49.78</v>
      </c>
      <c r="G569" s="218">
        <v>0.0</v>
      </c>
      <c r="H569" s="223">
        <v>1550.22</v>
      </c>
      <c r="J569" s="223" t="s">
        <v>52</v>
      </c>
      <c r="K569" s="317">
        <v>2022.1</v>
      </c>
    </row>
    <row r="570">
      <c r="A570" s="223" t="s">
        <v>66</v>
      </c>
      <c r="B570" s="223" t="s">
        <v>1324</v>
      </c>
      <c r="C570" s="223" t="s">
        <v>1156</v>
      </c>
      <c r="D570" s="316">
        <v>44849.0</v>
      </c>
      <c r="E570" s="218">
        <v>900.0</v>
      </c>
      <c r="F570" s="218">
        <v>0.0</v>
      </c>
      <c r="G570" s="218">
        <v>0.0</v>
      </c>
      <c r="H570" s="223">
        <v>900.0</v>
      </c>
      <c r="J570" s="223" t="s">
        <v>52</v>
      </c>
      <c r="K570" s="317">
        <v>2022.1</v>
      </c>
    </row>
    <row r="571">
      <c r="A571" s="223" t="s">
        <v>523</v>
      </c>
      <c r="B571" s="223" t="s">
        <v>1357</v>
      </c>
      <c r="C571" s="223" t="s">
        <v>1156</v>
      </c>
      <c r="D571" s="316">
        <v>44849.0</v>
      </c>
      <c r="E571" s="218">
        <v>500.0</v>
      </c>
      <c r="F571" s="218">
        <v>0.0</v>
      </c>
      <c r="G571" s="218">
        <v>0.0</v>
      </c>
      <c r="H571" s="223">
        <v>500.0</v>
      </c>
      <c r="J571" s="223" t="s">
        <v>52</v>
      </c>
      <c r="K571" s="317">
        <v>2022.1</v>
      </c>
    </row>
    <row r="572">
      <c r="A572" s="223" t="s">
        <v>467</v>
      </c>
      <c r="B572" s="223" t="s">
        <v>1209</v>
      </c>
      <c r="C572" s="223" t="s">
        <v>469</v>
      </c>
      <c r="D572" s="316">
        <v>44849.0</v>
      </c>
      <c r="E572" s="218">
        <v>364.16128</v>
      </c>
      <c r="F572" s="218">
        <v>13.669053759999999</v>
      </c>
      <c r="G572" s="218">
        <v>70.098445248</v>
      </c>
      <c r="H572" s="223">
        <v>280.39378099199996</v>
      </c>
      <c r="J572" s="223" t="s">
        <v>52</v>
      </c>
      <c r="K572" s="317">
        <v>2022.1</v>
      </c>
    </row>
    <row r="573">
      <c r="A573" s="223" t="s">
        <v>549</v>
      </c>
      <c r="B573" s="223" t="s">
        <v>1368</v>
      </c>
      <c r="C573" s="223" t="s">
        <v>1393</v>
      </c>
      <c r="D573" s="316">
        <v>44849.0</v>
      </c>
      <c r="E573" s="218">
        <v>773.9436</v>
      </c>
      <c r="F573" s="218">
        <v>29.022885</v>
      </c>
      <c r="G573" s="218">
        <v>0.0</v>
      </c>
      <c r="H573" s="223">
        <v>744.920715</v>
      </c>
      <c r="J573" s="223" t="s">
        <v>52</v>
      </c>
      <c r="K573" s="317">
        <v>2022.1</v>
      </c>
    </row>
    <row r="574">
      <c r="A574" s="223" t="s">
        <v>630</v>
      </c>
      <c r="B574" s="223" t="s">
        <v>1345</v>
      </c>
      <c r="C574" s="223" t="s">
        <v>469</v>
      </c>
      <c r="D574" s="316">
        <v>44849.0</v>
      </c>
      <c r="E574" s="218">
        <v>280.0</v>
      </c>
      <c r="F574" s="218">
        <v>8.71</v>
      </c>
      <c r="G574" s="218">
        <v>0.0</v>
      </c>
      <c r="H574" s="223">
        <v>271.29</v>
      </c>
      <c r="J574" s="223" t="s">
        <v>52</v>
      </c>
      <c r="K574" s="317">
        <v>2022.1</v>
      </c>
    </row>
    <row r="575">
      <c r="A575" s="223" t="s">
        <v>653</v>
      </c>
      <c r="B575" s="223" t="s">
        <v>1426</v>
      </c>
      <c r="C575" s="223" t="s">
        <v>1427</v>
      </c>
      <c r="D575" s="316">
        <v>44849.0</v>
      </c>
      <c r="E575" s="218">
        <v>1233.33</v>
      </c>
      <c r="F575" s="218">
        <v>38.37</v>
      </c>
      <c r="G575" s="218">
        <v>0.0</v>
      </c>
      <c r="H575" s="223">
        <v>1194.96</v>
      </c>
      <c r="J575" s="223" t="s">
        <v>654</v>
      </c>
      <c r="K575" s="317">
        <v>2022.0</v>
      </c>
    </row>
    <row r="576">
      <c r="A576" s="223" t="s">
        <v>653</v>
      </c>
      <c r="B576" s="223" t="s">
        <v>1426</v>
      </c>
      <c r="C576" s="223" t="s">
        <v>1427</v>
      </c>
      <c r="D576" s="316">
        <v>44880.0</v>
      </c>
      <c r="E576" s="218">
        <v>1233.33</v>
      </c>
      <c r="F576" s="218">
        <v>38.37</v>
      </c>
      <c r="G576" s="218">
        <v>0.0</v>
      </c>
      <c r="H576" s="223">
        <v>1194.96</v>
      </c>
      <c r="J576" s="223" t="s">
        <v>654</v>
      </c>
      <c r="K576" s="317">
        <v>2022.0</v>
      </c>
    </row>
    <row r="577">
      <c r="A577" s="223" t="s">
        <v>653</v>
      </c>
      <c r="B577" s="223" t="s">
        <v>1426</v>
      </c>
      <c r="C577" s="223" t="s">
        <v>1427</v>
      </c>
      <c r="D577" s="316">
        <v>44910.0</v>
      </c>
      <c r="E577" s="218">
        <v>1233.34</v>
      </c>
      <c r="F577" s="218"/>
      <c r="G577" s="218">
        <v>0.0</v>
      </c>
      <c r="H577" s="223">
        <v>1233.34</v>
      </c>
      <c r="J577" s="223" t="s">
        <v>654</v>
      </c>
      <c r="K577" s="317">
        <v>2022.0</v>
      </c>
    </row>
    <row r="578">
      <c r="A578" s="223" t="s">
        <v>659</v>
      </c>
      <c r="B578" s="223" t="s">
        <v>1429</v>
      </c>
      <c r="C578" s="223" t="s">
        <v>1430</v>
      </c>
      <c r="D578" s="316">
        <v>44849.0</v>
      </c>
      <c r="E578" s="218">
        <v>507.5</v>
      </c>
      <c r="F578" s="218">
        <v>0.0</v>
      </c>
      <c r="G578" s="218">
        <v>0.0</v>
      </c>
      <c r="H578" s="223">
        <v>507.5</v>
      </c>
      <c r="J578" s="223" t="s">
        <v>459</v>
      </c>
      <c r="K578" s="317">
        <v>2022.0</v>
      </c>
    </row>
    <row r="579">
      <c r="A579" s="223" t="s">
        <v>659</v>
      </c>
      <c r="B579" s="223" t="s">
        <v>1429</v>
      </c>
      <c r="C579" s="223" t="s">
        <v>1430</v>
      </c>
      <c r="D579" s="316">
        <v>44895.0</v>
      </c>
      <c r="E579" s="218">
        <v>767.5</v>
      </c>
      <c r="F579" s="218">
        <v>23.88</v>
      </c>
      <c r="G579" s="218">
        <v>0.0</v>
      </c>
      <c r="H579" s="223">
        <v>743.62</v>
      </c>
      <c r="J579" s="223" t="s">
        <v>459</v>
      </c>
      <c r="K579" s="317">
        <v>2022.0</v>
      </c>
    </row>
    <row r="580">
      <c r="A580" s="223" t="s">
        <v>662</v>
      </c>
      <c r="B580" s="223" t="s">
        <v>1433</v>
      </c>
      <c r="C580" s="223" t="s">
        <v>1434</v>
      </c>
      <c r="D580" s="316">
        <v>44849.0</v>
      </c>
      <c r="E580" s="218">
        <v>1250.0</v>
      </c>
      <c r="F580" s="218">
        <v>38.89</v>
      </c>
      <c r="G580" s="218">
        <v>0.0</v>
      </c>
      <c r="H580" s="223">
        <v>1211.11</v>
      </c>
      <c r="J580" s="223" t="s">
        <v>459</v>
      </c>
      <c r="K580" s="317">
        <v>2022.1</v>
      </c>
    </row>
    <row r="581">
      <c r="A581" s="223" t="s">
        <v>662</v>
      </c>
      <c r="B581" s="223" t="s">
        <v>1433</v>
      </c>
      <c r="C581" s="223" t="s">
        <v>1434</v>
      </c>
      <c r="D581" s="316">
        <v>44895.0</v>
      </c>
      <c r="E581" s="218">
        <v>1250.0</v>
      </c>
      <c r="F581" s="218">
        <v>38.89</v>
      </c>
      <c r="G581" s="218">
        <v>0.0</v>
      </c>
      <c r="H581" s="223">
        <v>1211.11</v>
      </c>
      <c r="J581" s="223" t="s">
        <v>459</v>
      </c>
      <c r="K581" s="317">
        <v>2022.11</v>
      </c>
    </row>
    <row r="582">
      <c r="A582" s="223" t="s">
        <v>665</v>
      </c>
      <c r="B582" s="223" t="s">
        <v>1305</v>
      </c>
      <c r="C582" s="223" t="s">
        <v>2311</v>
      </c>
      <c r="D582" s="316">
        <v>44865.0</v>
      </c>
      <c r="E582" s="218">
        <v>400.0</v>
      </c>
      <c r="F582" s="218">
        <v>12.44</v>
      </c>
      <c r="G582" s="218">
        <v>0.0</v>
      </c>
      <c r="H582" s="223">
        <v>387.56</v>
      </c>
      <c r="J582" s="223" t="s">
        <v>257</v>
      </c>
      <c r="K582" s="317">
        <v>2022.0</v>
      </c>
    </row>
    <row r="583">
      <c r="A583" s="223" t="s">
        <v>667</v>
      </c>
      <c r="B583" s="223" t="s">
        <v>1439</v>
      </c>
      <c r="C583" s="223" t="s">
        <v>1190</v>
      </c>
      <c r="D583" s="316">
        <v>44861.0</v>
      </c>
      <c r="E583" s="218">
        <v>599.0</v>
      </c>
      <c r="F583" s="218">
        <v>0.0</v>
      </c>
      <c r="G583" s="218">
        <v>0.0</v>
      </c>
      <c r="H583" s="223">
        <v>599.0</v>
      </c>
      <c r="J583" s="223" t="s">
        <v>252</v>
      </c>
      <c r="K583" s="317">
        <v>2022.0</v>
      </c>
    </row>
    <row r="584">
      <c r="A584" s="223" t="s">
        <v>668</v>
      </c>
      <c r="B584" s="223" t="s">
        <v>1223</v>
      </c>
      <c r="C584" s="223" t="s">
        <v>1440</v>
      </c>
      <c r="D584" s="316">
        <v>44861.0</v>
      </c>
      <c r="E584" s="218">
        <v>8062.580005999999</v>
      </c>
      <c r="F584" s="218">
        <v>246.00000599999998</v>
      </c>
      <c r="G584" s="218">
        <v>1563.3159999999998</v>
      </c>
      <c r="H584" s="223">
        <v>6253.263999999999</v>
      </c>
      <c r="J584" s="223" t="s">
        <v>252</v>
      </c>
      <c r="K584" s="317">
        <v>2022.0</v>
      </c>
    </row>
    <row r="585">
      <c r="A585" s="223" t="s">
        <v>223</v>
      </c>
      <c r="B585" s="223" t="s">
        <v>1176</v>
      </c>
      <c r="C585" s="223" t="s">
        <v>1156</v>
      </c>
      <c r="D585" s="316">
        <v>44865.0</v>
      </c>
      <c r="E585" s="218">
        <v>800.0</v>
      </c>
      <c r="F585" s="218">
        <v>24.89</v>
      </c>
      <c r="G585" s="218">
        <v>0.0</v>
      </c>
      <c r="H585" s="223">
        <v>775.11</v>
      </c>
      <c r="J585" s="223" t="s">
        <v>52</v>
      </c>
      <c r="K585" s="317">
        <v>2022.1</v>
      </c>
    </row>
    <row r="586">
      <c r="A586" s="223" t="s">
        <v>54</v>
      </c>
      <c r="B586" s="223" t="s">
        <v>1187</v>
      </c>
      <c r="C586" s="223" t="s">
        <v>1156</v>
      </c>
      <c r="D586" s="316">
        <v>44865.0</v>
      </c>
      <c r="E586" s="218">
        <v>750.0</v>
      </c>
      <c r="F586" s="218">
        <v>23.33</v>
      </c>
      <c r="G586" s="218">
        <v>0.0</v>
      </c>
      <c r="H586" s="223">
        <v>726.67</v>
      </c>
      <c r="J586" s="223" t="s">
        <v>52</v>
      </c>
      <c r="K586" s="317">
        <v>2022.1</v>
      </c>
    </row>
    <row r="587">
      <c r="A587" s="223" t="s">
        <v>58</v>
      </c>
      <c r="B587" s="223" t="s">
        <v>1197</v>
      </c>
      <c r="C587" s="223" t="s">
        <v>1156</v>
      </c>
      <c r="D587" s="316">
        <v>44865.0</v>
      </c>
      <c r="E587" s="218">
        <v>1550.0</v>
      </c>
      <c r="F587" s="218">
        <v>48.22</v>
      </c>
      <c r="G587" s="218">
        <v>0.0</v>
      </c>
      <c r="H587" s="223">
        <v>1501.78</v>
      </c>
      <c r="J587" s="223" t="s">
        <v>52</v>
      </c>
      <c r="K587" s="317">
        <v>2022.1</v>
      </c>
    </row>
    <row r="588">
      <c r="A588" s="223" t="s">
        <v>84</v>
      </c>
      <c r="B588" s="223" t="s">
        <v>1227</v>
      </c>
      <c r="C588" s="223" t="s">
        <v>1156</v>
      </c>
      <c r="D588" s="316">
        <v>44865.0</v>
      </c>
      <c r="E588" s="218">
        <v>1000.0</v>
      </c>
      <c r="F588" s="218">
        <v>0.0</v>
      </c>
      <c r="G588" s="218">
        <v>0.0</v>
      </c>
      <c r="H588" s="223">
        <v>1000.0</v>
      </c>
      <c r="J588" s="223" t="s">
        <v>52</v>
      </c>
      <c r="K588" s="317">
        <v>2022.1</v>
      </c>
    </row>
    <row r="589">
      <c r="A589" s="223" t="s">
        <v>42</v>
      </c>
      <c r="B589" s="223" t="s">
        <v>1236</v>
      </c>
      <c r="C589" s="223" t="s">
        <v>1156</v>
      </c>
      <c r="D589" s="316">
        <v>44865.0</v>
      </c>
      <c r="E589" s="218">
        <v>1500.0</v>
      </c>
      <c r="F589" s="218">
        <v>46.67</v>
      </c>
      <c r="G589" s="218">
        <v>217.99949999999998</v>
      </c>
      <c r="H589" s="223">
        <v>1235.3305</v>
      </c>
      <c r="J589" s="223" t="s">
        <v>52</v>
      </c>
      <c r="K589" s="317">
        <v>2022.1</v>
      </c>
    </row>
    <row r="590">
      <c r="A590" s="223" t="s">
        <v>82</v>
      </c>
      <c r="B590" s="223" t="s">
        <v>1124</v>
      </c>
      <c r="C590" s="223" t="s">
        <v>1156</v>
      </c>
      <c r="D590" s="316">
        <v>44865.0</v>
      </c>
      <c r="E590" s="218">
        <v>800.0</v>
      </c>
      <c r="F590" s="218">
        <v>0.0</v>
      </c>
      <c r="G590" s="218">
        <v>0.0</v>
      </c>
      <c r="H590" s="223">
        <v>800.0</v>
      </c>
      <c r="J590" s="223" t="s">
        <v>52</v>
      </c>
      <c r="K590" s="317">
        <v>2022.1</v>
      </c>
    </row>
    <row r="591">
      <c r="A591" s="223" t="s">
        <v>88</v>
      </c>
      <c r="B591" s="223" t="s">
        <v>1256</v>
      </c>
      <c r="C591" s="223" t="s">
        <v>1156</v>
      </c>
      <c r="D591" s="316">
        <v>44865.0</v>
      </c>
      <c r="E591" s="218">
        <v>500.0</v>
      </c>
      <c r="F591" s="218">
        <v>15.56</v>
      </c>
      <c r="G591" s="218">
        <v>0.0</v>
      </c>
      <c r="H591" s="223">
        <v>484.44</v>
      </c>
      <c r="J591" s="223" t="s">
        <v>52</v>
      </c>
      <c r="K591" s="317">
        <v>2022.1</v>
      </c>
    </row>
    <row r="592">
      <c r="A592" s="223" t="s">
        <v>50</v>
      </c>
      <c r="B592" s="223" t="s">
        <v>1275</v>
      </c>
      <c r="C592" s="223" t="s">
        <v>1156</v>
      </c>
      <c r="D592" s="316">
        <v>44865.0</v>
      </c>
      <c r="E592" s="218">
        <v>375.0</v>
      </c>
      <c r="F592" s="218">
        <v>0.0</v>
      </c>
      <c r="G592" s="218">
        <v>0.0</v>
      </c>
      <c r="H592" s="223">
        <v>375.0</v>
      </c>
      <c r="J592" s="223" t="s">
        <v>52</v>
      </c>
      <c r="K592" s="317">
        <v>2022.1</v>
      </c>
    </row>
    <row r="593">
      <c r="A593" s="223" t="s">
        <v>105</v>
      </c>
      <c r="B593" s="223" t="s">
        <v>1280</v>
      </c>
      <c r="C593" s="223" t="s">
        <v>2308</v>
      </c>
      <c r="D593" s="316">
        <v>44865.0</v>
      </c>
      <c r="E593" s="218">
        <v>393.4902</v>
      </c>
      <c r="F593" s="218">
        <v>14.9526276</v>
      </c>
      <c r="G593" s="218">
        <v>0.0</v>
      </c>
      <c r="H593" s="223">
        <v>378.53757240000004</v>
      </c>
      <c r="J593" s="223" t="s">
        <v>52</v>
      </c>
      <c r="K593" s="317">
        <v>2022.1</v>
      </c>
    </row>
    <row r="594">
      <c r="A594" s="223" t="s">
        <v>90</v>
      </c>
      <c r="B594" s="223" t="s">
        <v>1282</v>
      </c>
      <c r="C594" s="223" t="s">
        <v>1156</v>
      </c>
      <c r="D594" s="316">
        <v>44865.0</v>
      </c>
      <c r="E594" s="218">
        <v>1150.0</v>
      </c>
      <c r="F594" s="218">
        <v>0.0</v>
      </c>
      <c r="G594" s="218">
        <v>0.0</v>
      </c>
      <c r="H594" s="223">
        <v>1150.0</v>
      </c>
      <c r="J594" s="223" t="s">
        <v>52</v>
      </c>
      <c r="K594" s="317">
        <v>2022.1</v>
      </c>
    </row>
    <row r="595">
      <c r="A595" s="223" t="s">
        <v>97</v>
      </c>
      <c r="B595" s="223" t="s">
        <v>1286</v>
      </c>
      <c r="C595" s="223" t="s">
        <v>1156</v>
      </c>
      <c r="D595" s="316">
        <v>44865.0</v>
      </c>
      <c r="E595" s="218">
        <v>300.0</v>
      </c>
      <c r="F595" s="218">
        <v>9.33</v>
      </c>
      <c r="G595" s="218">
        <v>0.0</v>
      </c>
      <c r="H595" s="223">
        <v>290.67</v>
      </c>
      <c r="J595" s="223" t="s">
        <v>52</v>
      </c>
      <c r="K595" s="317">
        <v>2022.1</v>
      </c>
    </row>
    <row r="596">
      <c r="A596" s="223" t="s">
        <v>92</v>
      </c>
      <c r="B596" s="223" t="s">
        <v>1289</v>
      </c>
      <c r="C596" s="223" t="s">
        <v>1156</v>
      </c>
      <c r="D596" s="316">
        <v>44865.0</v>
      </c>
      <c r="E596" s="218">
        <v>2500.0</v>
      </c>
      <c r="F596" s="218">
        <v>77.78</v>
      </c>
      <c r="G596" s="218">
        <v>0.0</v>
      </c>
      <c r="H596" s="223">
        <v>2422.22</v>
      </c>
      <c r="J596" s="223" t="s">
        <v>52</v>
      </c>
      <c r="K596" s="317">
        <v>2022.1</v>
      </c>
    </row>
    <row r="597">
      <c r="A597" s="223" t="s">
        <v>123</v>
      </c>
      <c r="B597" s="223" t="s">
        <v>1300</v>
      </c>
      <c r="C597" s="223" t="s">
        <v>1156</v>
      </c>
      <c r="D597" s="316">
        <v>44865.0</v>
      </c>
      <c r="E597" s="218">
        <v>5811.561</v>
      </c>
      <c r="F597" s="218">
        <v>215.41519440000002</v>
      </c>
      <c r="G597" s="218">
        <v>1119.2291611199998</v>
      </c>
      <c r="H597" s="223">
        <v>4476.916644479999</v>
      </c>
      <c r="J597" s="223" t="s">
        <v>52</v>
      </c>
      <c r="K597" s="317">
        <v>2022.1</v>
      </c>
    </row>
    <row r="598">
      <c r="A598" s="223" t="s">
        <v>115</v>
      </c>
      <c r="B598" s="223" t="s">
        <v>1308</v>
      </c>
      <c r="C598" s="223" t="s">
        <v>1156</v>
      </c>
      <c r="D598" s="316">
        <v>44865.0</v>
      </c>
      <c r="E598" s="218">
        <v>2584.825</v>
      </c>
      <c r="F598" s="218">
        <v>0.0</v>
      </c>
      <c r="G598" s="218">
        <v>0.0</v>
      </c>
      <c r="H598" s="223">
        <v>2584.825</v>
      </c>
      <c r="J598" s="223" t="s">
        <v>52</v>
      </c>
      <c r="K598" s="317">
        <v>2022.1</v>
      </c>
    </row>
    <row r="599">
      <c r="A599" s="223" t="s">
        <v>118</v>
      </c>
      <c r="B599" s="223" t="s">
        <v>1312</v>
      </c>
      <c r="C599" s="223" t="s">
        <v>1156</v>
      </c>
      <c r="D599" s="316">
        <v>44865.0</v>
      </c>
      <c r="E599" s="218">
        <v>2584.825</v>
      </c>
      <c r="F599" s="218">
        <v>0.0</v>
      </c>
      <c r="G599" s="218">
        <v>0.0</v>
      </c>
      <c r="H599" s="223">
        <v>2584.825</v>
      </c>
      <c r="J599" s="223" t="s">
        <v>52</v>
      </c>
      <c r="K599" s="317">
        <v>2022.1</v>
      </c>
    </row>
    <row r="600">
      <c r="A600" s="223" t="s">
        <v>73</v>
      </c>
      <c r="B600" s="223" t="s">
        <v>1327</v>
      </c>
      <c r="C600" s="223" t="s">
        <v>1156</v>
      </c>
      <c r="D600" s="316">
        <v>44865.0</v>
      </c>
      <c r="E600" s="218">
        <v>700.0</v>
      </c>
      <c r="F600" s="218">
        <v>0.0</v>
      </c>
      <c r="G600" s="218">
        <v>0.0</v>
      </c>
      <c r="H600" s="223">
        <v>700.0</v>
      </c>
      <c r="J600" s="223" t="s">
        <v>52</v>
      </c>
      <c r="K600" s="317">
        <v>2022.1</v>
      </c>
    </row>
    <row r="601">
      <c r="A601" s="223" t="s">
        <v>499</v>
      </c>
      <c r="B601" s="223" t="s">
        <v>1330</v>
      </c>
      <c r="C601" s="223" t="s">
        <v>1375</v>
      </c>
      <c r="D601" s="316">
        <v>44865.0</v>
      </c>
      <c r="E601" s="218">
        <v>1450.0</v>
      </c>
      <c r="F601" s="218">
        <v>48.55</v>
      </c>
      <c r="G601" s="218">
        <v>0.0</v>
      </c>
      <c r="H601" s="223">
        <v>1401.45</v>
      </c>
      <c r="J601" s="223" t="s">
        <v>52</v>
      </c>
      <c r="K601" s="317">
        <v>2022.1</v>
      </c>
    </row>
    <row r="602">
      <c r="A602" s="223" t="s">
        <v>676</v>
      </c>
      <c r="B602" s="223" t="s">
        <v>1441</v>
      </c>
      <c r="C602" s="223" t="s">
        <v>2312</v>
      </c>
      <c r="D602" s="316">
        <v>44865.0</v>
      </c>
      <c r="E602" s="218">
        <v>975.0</v>
      </c>
      <c r="F602" s="218">
        <v>30.33</v>
      </c>
      <c r="G602" s="218">
        <v>0.0</v>
      </c>
      <c r="H602" s="223">
        <v>944.67</v>
      </c>
      <c r="J602" s="223" t="s">
        <v>19</v>
      </c>
      <c r="K602" s="317">
        <v>2022.0</v>
      </c>
    </row>
    <row r="603">
      <c r="A603" s="223" t="s">
        <v>676</v>
      </c>
      <c r="B603" s="223" t="s">
        <v>1441</v>
      </c>
      <c r="C603" s="223" t="s">
        <v>2312</v>
      </c>
      <c r="D603" s="316">
        <v>44895.0</v>
      </c>
      <c r="E603" s="218">
        <v>975.0</v>
      </c>
      <c r="F603" s="218">
        <v>30.33</v>
      </c>
      <c r="G603" s="218">
        <v>0.0</v>
      </c>
      <c r="H603" s="223">
        <v>944.67</v>
      </c>
      <c r="J603" s="223" t="s">
        <v>19</v>
      </c>
      <c r="K603" s="317">
        <v>2022.0</v>
      </c>
    </row>
    <row r="604">
      <c r="A604" s="223" t="s">
        <v>189</v>
      </c>
      <c r="B604" s="223" t="s">
        <v>1158</v>
      </c>
      <c r="C604" s="223" t="s">
        <v>1159</v>
      </c>
      <c r="D604" s="316">
        <v>44865.0</v>
      </c>
      <c r="E604" s="218">
        <v>1130.1599999999999</v>
      </c>
      <c r="F604" s="218">
        <v>0.0</v>
      </c>
      <c r="G604" s="218">
        <v>0.0</v>
      </c>
      <c r="H604" s="223">
        <v>1130.1599999999999</v>
      </c>
      <c r="J604" s="223" t="s">
        <v>459</v>
      </c>
      <c r="K604" s="317">
        <v>2022.0</v>
      </c>
    </row>
    <row r="605">
      <c r="A605" s="223" t="s">
        <v>681</v>
      </c>
      <c r="B605" s="223" t="s">
        <v>1444</v>
      </c>
      <c r="C605" s="223" t="s">
        <v>1445</v>
      </c>
      <c r="D605" s="316">
        <v>44865.0</v>
      </c>
      <c r="E605" s="218">
        <v>1200.0</v>
      </c>
      <c r="F605" s="218">
        <v>0.0</v>
      </c>
      <c r="G605" s="218">
        <v>0.0</v>
      </c>
      <c r="H605" s="223">
        <v>1200.0</v>
      </c>
      <c r="J605" s="223" t="s">
        <v>19</v>
      </c>
      <c r="K605" s="317">
        <v>2022.0</v>
      </c>
    </row>
    <row r="606">
      <c r="A606" s="223" t="s">
        <v>681</v>
      </c>
      <c r="B606" s="223" t="s">
        <v>1444</v>
      </c>
      <c r="C606" s="223" t="s">
        <v>1445</v>
      </c>
      <c r="D606" s="316">
        <v>44949.0</v>
      </c>
      <c r="E606" s="218">
        <v>1200.0</v>
      </c>
      <c r="F606" s="218">
        <v>37.33</v>
      </c>
      <c r="G606" s="218">
        <v>0.0</v>
      </c>
      <c r="H606" s="223">
        <v>1162.67</v>
      </c>
      <c r="J606" s="223" t="s">
        <v>19</v>
      </c>
      <c r="K606" s="317">
        <v>2023.0</v>
      </c>
    </row>
    <row r="607">
      <c r="A607" s="223" t="s">
        <v>394</v>
      </c>
      <c r="B607" s="223" t="s">
        <v>1158</v>
      </c>
      <c r="C607" s="223" t="s">
        <v>1164</v>
      </c>
      <c r="D607" s="316">
        <v>44957.0</v>
      </c>
      <c r="E607" s="218">
        <v>201.48</v>
      </c>
      <c r="F607" s="218">
        <v>0.0</v>
      </c>
      <c r="G607" s="218">
        <v>0.0</v>
      </c>
      <c r="H607" s="223">
        <v>201.48</v>
      </c>
      <c r="J607" s="223" t="s">
        <v>257</v>
      </c>
      <c r="K607" s="317">
        <v>2023.0</v>
      </c>
    </row>
    <row r="608">
      <c r="A608" s="223" t="s">
        <v>686</v>
      </c>
      <c r="B608" s="223" t="s">
        <v>1447</v>
      </c>
      <c r="C608" s="223" t="s">
        <v>1448</v>
      </c>
      <c r="D608" s="316">
        <v>44872.0</v>
      </c>
      <c r="E608" s="218">
        <v>1129.33</v>
      </c>
      <c r="F608" s="218">
        <v>35.14</v>
      </c>
      <c r="G608" s="218">
        <v>0.0</v>
      </c>
      <c r="H608" s="223">
        <v>1094.1899999999998</v>
      </c>
      <c r="J608" s="223" t="s">
        <v>688</v>
      </c>
      <c r="K608" s="317">
        <v>2022.0</v>
      </c>
    </row>
    <row r="609">
      <c r="A609" s="223" t="s">
        <v>686</v>
      </c>
      <c r="B609" s="223" t="s">
        <v>1447</v>
      </c>
      <c r="C609" s="223" t="s">
        <v>1448</v>
      </c>
      <c r="D609" s="316">
        <v>44895.0</v>
      </c>
      <c r="E609" s="218">
        <v>1129.33</v>
      </c>
      <c r="F609" s="218">
        <v>35.14</v>
      </c>
      <c r="G609" s="218">
        <v>0.0</v>
      </c>
      <c r="H609" s="223">
        <v>1094.1899999999998</v>
      </c>
      <c r="J609" s="223" t="s">
        <v>688</v>
      </c>
      <c r="K609" s="317">
        <v>2022.0</v>
      </c>
    </row>
    <row r="610">
      <c r="A610" s="223" t="s">
        <v>686</v>
      </c>
      <c r="B610" s="223" t="s">
        <v>1447</v>
      </c>
      <c r="C610" s="223" t="s">
        <v>1448</v>
      </c>
      <c r="D610" s="316">
        <v>44925.0</v>
      </c>
      <c r="E610" s="218">
        <v>1129.34</v>
      </c>
      <c r="F610" s="218">
        <v>35.14</v>
      </c>
      <c r="G610" s="218">
        <v>0.0</v>
      </c>
      <c r="H610" s="223">
        <v>1094.1999999999998</v>
      </c>
      <c r="J610" s="223" t="s">
        <v>688</v>
      </c>
      <c r="K610" s="317">
        <v>2022.0</v>
      </c>
    </row>
    <row r="611">
      <c r="A611" s="223" t="s">
        <v>692</v>
      </c>
      <c r="B611" s="223" t="s">
        <v>1216</v>
      </c>
      <c r="C611" s="223" t="s">
        <v>1450</v>
      </c>
      <c r="D611" s="316">
        <v>44880.0</v>
      </c>
      <c r="E611" s="218">
        <v>2400.0</v>
      </c>
      <c r="F611" s="218">
        <v>74.67</v>
      </c>
      <c r="G611" s="218">
        <v>0.0</v>
      </c>
      <c r="H611" s="223">
        <v>2325.33</v>
      </c>
      <c r="J611" s="223" t="s">
        <v>252</v>
      </c>
      <c r="K611" s="317">
        <v>2022.0</v>
      </c>
    </row>
    <row r="612">
      <c r="A612" s="223" t="s">
        <v>695</v>
      </c>
      <c r="B612" s="223" t="s">
        <v>1216</v>
      </c>
      <c r="C612" s="223" t="s">
        <v>1451</v>
      </c>
      <c r="D612" s="316">
        <v>44895.0</v>
      </c>
      <c r="E612" s="218">
        <v>600.0</v>
      </c>
      <c r="F612" s="218">
        <v>18.67</v>
      </c>
      <c r="G612" s="218">
        <v>0.0</v>
      </c>
      <c r="H612" s="223">
        <v>581.33</v>
      </c>
      <c r="J612" s="223" t="s">
        <v>52</v>
      </c>
      <c r="K612" s="317">
        <v>2022.11</v>
      </c>
    </row>
    <row r="613">
      <c r="A613" s="223" t="s">
        <v>99</v>
      </c>
      <c r="B613" s="223" t="s">
        <v>1192</v>
      </c>
      <c r="C613" s="223" t="s">
        <v>1156</v>
      </c>
      <c r="D613" s="316">
        <v>44880.0</v>
      </c>
      <c r="E613" s="218">
        <v>1667.6725000000001</v>
      </c>
      <c r="F613" s="218">
        <v>62.088730000000005</v>
      </c>
      <c r="G613" s="218">
        <v>321.11675400000007</v>
      </c>
      <c r="H613" s="223">
        <v>1284.467016</v>
      </c>
      <c r="J613" s="223" t="s">
        <v>52</v>
      </c>
      <c r="K613" s="317">
        <v>2022.11</v>
      </c>
    </row>
    <row r="614">
      <c r="A614" s="223" t="s">
        <v>225</v>
      </c>
      <c r="B614" s="223" t="s">
        <v>1257</v>
      </c>
      <c r="C614" s="223" t="s">
        <v>1156</v>
      </c>
      <c r="D614" s="316">
        <v>44880.0</v>
      </c>
      <c r="E614" s="218">
        <v>5000.0</v>
      </c>
      <c r="F614" s="218">
        <v>0.0</v>
      </c>
      <c r="G614" s="218">
        <v>0.0</v>
      </c>
      <c r="H614" s="223">
        <v>5000.0</v>
      </c>
      <c r="J614" s="223" t="s">
        <v>52</v>
      </c>
      <c r="K614" s="317">
        <v>2022.11</v>
      </c>
    </row>
    <row r="615">
      <c r="A615" s="223" t="s">
        <v>102</v>
      </c>
      <c r="B615" s="223" t="s">
        <v>1259</v>
      </c>
      <c r="C615" s="223" t="s">
        <v>1156</v>
      </c>
      <c r="D615" s="316">
        <v>44880.0</v>
      </c>
      <c r="E615" s="218">
        <v>473.2805</v>
      </c>
      <c r="F615" s="218">
        <v>17.9170475</v>
      </c>
      <c r="G615" s="218">
        <v>0.0</v>
      </c>
      <c r="H615" s="223">
        <v>455.3634525</v>
      </c>
      <c r="J615" s="223" t="s">
        <v>52</v>
      </c>
      <c r="K615" s="317">
        <v>2022.11</v>
      </c>
    </row>
    <row r="616">
      <c r="A616" s="223" t="s">
        <v>62</v>
      </c>
      <c r="B616" s="223" t="s">
        <v>1304</v>
      </c>
      <c r="C616" s="223" t="s">
        <v>1156</v>
      </c>
      <c r="D616" s="316">
        <v>44880.0</v>
      </c>
      <c r="E616" s="218">
        <v>1600.0</v>
      </c>
      <c r="F616" s="218">
        <v>49.78</v>
      </c>
      <c r="G616" s="218">
        <v>0.0</v>
      </c>
      <c r="H616" s="223">
        <v>1550.22</v>
      </c>
      <c r="J616" s="223" t="s">
        <v>52</v>
      </c>
      <c r="K616" s="317">
        <v>2022.11</v>
      </c>
    </row>
    <row r="617">
      <c r="A617" s="223" t="s">
        <v>66</v>
      </c>
      <c r="B617" s="223" t="s">
        <v>1324</v>
      </c>
      <c r="C617" s="223" t="s">
        <v>1156</v>
      </c>
      <c r="D617" s="316">
        <v>44880.0</v>
      </c>
      <c r="E617" s="218">
        <v>900.0</v>
      </c>
      <c r="F617" s="218">
        <v>0.0</v>
      </c>
      <c r="G617" s="218">
        <v>0.0</v>
      </c>
      <c r="H617" s="223">
        <v>900.0</v>
      </c>
      <c r="J617" s="223" t="s">
        <v>52</v>
      </c>
      <c r="K617" s="317">
        <v>2022.11</v>
      </c>
    </row>
    <row r="618">
      <c r="A618" s="223" t="s">
        <v>467</v>
      </c>
      <c r="B618" s="223" t="s">
        <v>1209</v>
      </c>
      <c r="C618" s="223" t="s">
        <v>469</v>
      </c>
      <c r="D618" s="316">
        <v>44880.0</v>
      </c>
      <c r="E618" s="218">
        <v>364.16128</v>
      </c>
      <c r="F618" s="218">
        <v>13.669053759999999</v>
      </c>
      <c r="G618" s="218">
        <v>70.098445248</v>
      </c>
      <c r="H618" s="223">
        <v>280.39378099199996</v>
      </c>
      <c r="J618" s="223" t="s">
        <v>52</v>
      </c>
      <c r="K618" s="317">
        <v>2022.11</v>
      </c>
    </row>
    <row r="619">
      <c r="A619" s="223" t="s">
        <v>629</v>
      </c>
      <c r="B619" s="223" t="s">
        <v>1395</v>
      </c>
      <c r="C619" s="223" t="s">
        <v>469</v>
      </c>
      <c r="D619" s="316">
        <v>44880.0</v>
      </c>
      <c r="E619" s="218">
        <v>373.96520000000004</v>
      </c>
      <c r="F619" s="218">
        <v>11.15</v>
      </c>
      <c r="G619" s="218">
        <v>0.0</v>
      </c>
      <c r="H619" s="223">
        <v>362.81520000000006</v>
      </c>
      <c r="J619" s="223" t="s">
        <v>52</v>
      </c>
      <c r="K619" s="317">
        <v>2022.11</v>
      </c>
    </row>
    <row r="620">
      <c r="A620" s="223" t="s">
        <v>630</v>
      </c>
      <c r="B620" s="223" t="s">
        <v>1345</v>
      </c>
      <c r="C620" s="223" t="s">
        <v>469</v>
      </c>
      <c r="D620" s="316">
        <v>44880.0</v>
      </c>
      <c r="E620" s="218">
        <v>280.0</v>
      </c>
      <c r="F620" s="218">
        <v>8.71</v>
      </c>
      <c r="G620" s="218">
        <v>0.0</v>
      </c>
      <c r="H620" s="223">
        <v>271.29</v>
      </c>
      <c r="J620" s="223" t="s">
        <v>52</v>
      </c>
      <c r="K620" s="317">
        <v>2022.11</v>
      </c>
    </row>
    <row r="621">
      <c r="A621" s="223" t="s">
        <v>58</v>
      </c>
      <c r="B621" s="223" t="s">
        <v>1197</v>
      </c>
      <c r="C621" s="223" t="s">
        <v>1156</v>
      </c>
      <c r="D621" s="316">
        <v>44883.0</v>
      </c>
      <c r="E621" s="218">
        <v>500.0</v>
      </c>
      <c r="F621" s="218">
        <v>15.56</v>
      </c>
      <c r="G621" s="218">
        <v>0.0</v>
      </c>
      <c r="H621" s="223">
        <v>484.44</v>
      </c>
      <c r="J621" s="223" t="s">
        <v>52</v>
      </c>
      <c r="K621" s="317">
        <v>2022.11</v>
      </c>
    </row>
    <row r="622">
      <c r="A622" s="223" t="s">
        <v>584</v>
      </c>
      <c r="B622" s="223" t="s">
        <v>1398</v>
      </c>
      <c r="C622" s="223" t="s">
        <v>1403</v>
      </c>
      <c r="D622" s="316">
        <v>44910.0</v>
      </c>
      <c r="E622" s="218">
        <v>1302.99429</v>
      </c>
      <c r="F622" s="218">
        <v>0.0</v>
      </c>
      <c r="G622" s="218">
        <v>0.0</v>
      </c>
      <c r="H622" s="223">
        <v>1302.99429</v>
      </c>
      <c r="J622" s="223" t="s">
        <v>252</v>
      </c>
      <c r="K622" s="317">
        <v>2022.0</v>
      </c>
    </row>
    <row r="623">
      <c r="A623" s="223" t="s">
        <v>587</v>
      </c>
      <c r="B623" s="223" t="s">
        <v>1406</v>
      </c>
      <c r="C623" s="223" t="s">
        <v>1403</v>
      </c>
      <c r="D623" s="316">
        <v>44910.0</v>
      </c>
      <c r="E623" s="218">
        <v>1300.3654999999999</v>
      </c>
      <c r="F623" s="218">
        <v>0.0</v>
      </c>
      <c r="G623" s="218">
        <v>0.0</v>
      </c>
      <c r="H623" s="223">
        <v>1300.3654999999999</v>
      </c>
      <c r="J623" s="223" t="s">
        <v>252</v>
      </c>
      <c r="K623" s="317">
        <v>2022.0</v>
      </c>
    </row>
    <row r="624">
      <c r="A624" s="223" t="s">
        <v>586</v>
      </c>
      <c r="B624" s="223" t="s">
        <v>1404</v>
      </c>
      <c r="C624" s="223" t="s">
        <v>1403</v>
      </c>
      <c r="D624" s="316">
        <v>44939.0</v>
      </c>
      <c r="E624" s="218">
        <v>1366.7199605</v>
      </c>
      <c r="F624" s="218">
        <v>0.0</v>
      </c>
      <c r="G624" s="218">
        <v>0.0</v>
      </c>
      <c r="H624" s="223">
        <v>1366.7199605</v>
      </c>
      <c r="J624" s="223" t="s">
        <v>252</v>
      </c>
      <c r="K624" s="317">
        <v>2023.0</v>
      </c>
    </row>
    <row r="625">
      <c r="A625" s="223" t="s">
        <v>707</v>
      </c>
      <c r="B625" s="223" t="s">
        <v>1452</v>
      </c>
      <c r="C625" s="223" t="s">
        <v>1232</v>
      </c>
      <c r="D625" s="316">
        <v>44888.0</v>
      </c>
      <c r="E625" s="218">
        <v>600.0</v>
      </c>
      <c r="F625" s="218">
        <v>18.67</v>
      </c>
      <c r="G625" s="218">
        <v>0.0</v>
      </c>
      <c r="H625" s="223">
        <v>581.33</v>
      </c>
      <c r="J625" s="223" t="s">
        <v>252</v>
      </c>
      <c r="K625" s="317">
        <v>2022.0</v>
      </c>
    </row>
    <row r="626">
      <c r="A626" s="223" t="s">
        <v>707</v>
      </c>
      <c r="B626" s="223" t="s">
        <v>1452</v>
      </c>
      <c r="C626" s="223" t="s">
        <v>1232</v>
      </c>
      <c r="D626" s="316">
        <v>44925.0</v>
      </c>
      <c r="E626" s="218">
        <v>600.0</v>
      </c>
      <c r="F626" s="218">
        <v>18.67</v>
      </c>
      <c r="G626" s="218">
        <v>0.0</v>
      </c>
      <c r="H626" s="223">
        <v>581.33</v>
      </c>
      <c r="J626" s="223" t="s">
        <v>252</v>
      </c>
      <c r="K626" s="317">
        <v>2022.0</v>
      </c>
    </row>
    <row r="627">
      <c r="A627" s="223" t="s">
        <v>710</v>
      </c>
      <c r="B627" s="223" t="s">
        <v>1454</v>
      </c>
      <c r="C627" s="223" t="s">
        <v>1455</v>
      </c>
      <c r="D627" s="316">
        <v>44888.0</v>
      </c>
      <c r="E627" s="218">
        <v>910.3353</v>
      </c>
      <c r="F627" s="218">
        <v>34.0725498</v>
      </c>
      <c r="G627" s="218">
        <v>0.0</v>
      </c>
      <c r="H627" s="223">
        <v>876.2627501999999</v>
      </c>
      <c r="J627" s="223" t="s">
        <v>252</v>
      </c>
      <c r="K627" s="317">
        <v>2022.0</v>
      </c>
    </row>
    <row r="628">
      <c r="A628" s="223" t="s">
        <v>713</v>
      </c>
      <c r="B628" s="223" t="s">
        <v>1456</v>
      </c>
      <c r="C628" s="223" t="s">
        <v>1179</v>
      </c>
      <c r="D628" s="316">
        <v>44895.0</v>
      </c>
      <c r="E628" s="218">
        <v>850.0</v>
      </c>
      <c r="F628" s="218">
        <v>26.44</v>
      </c>
      <c r="G628" s="218">
        <v>0.0</v>
      </c>
      <c r="H628" s="223">
        <v>823.56</v>
      </c>
      <c r="J628" s="223" t="s">
        <v>252</v>
      </c>
      <c r="K628" s="317">
        <v>2022.0</v>
      </c>
    </row>
    <row r="629">
      <c r="A629" s="223" t="s">
        <v>180</v>
      </c>
      <c r="B629" s="223" t="s">
        <v>1158</v>
      </c>
      <c r="C629" s="223" t="s">
        <v>1163</v>
      </c>
      <c r="D629" s="316">
        <v>44910.0</v>
      </c>
      <c r="E629" s="218">
        <v>155.20800000000003</v>
      </c>
      <c r="F629" s="218">
        <v>0.0</v>
      </c>
      <c r="G629" s="218">
        <v>0.0</v>
      </c>
      <c r="H629" s="223">
        <v>155.20800000000003</v>
      </c>
      <c r="J629" s="223" t="s">
        <v>716</v>
      </c>
      <c r="K629" s="317">
        <v>2022.12</v>
      </c>
    </row>
    <row r="630">
      <c r="A630" s="223" t="s">
        <v>223</v>
      </c>
      <c r="B630" s="223" t="s">
        <v>1176</v>
      </c>
      <c r="C630" s="223" t="s">
        <v>1156</v>
      </c>
      <c r="D630" s="316">
        <v>44895.0</v>
      </c>
      <c r="E630" s="218">
        <v>800.0</v>
      </c>
      <c r="F630" s="218">
        <v>24.89</v>
      </c>
      <c r="G630" s="218">
        <v>0.0</v>
      </c>
      <c r="H630" s="223">
        <v>775.11</v>
      </c>
      <c r="J630" s="223" t="s">
        <v>52</v>
      </c>
      <c r="K630" s="317">
        <v>2022.11</v>
      </c>
    </row>
    <row r="631">
      <c r="A631" s="223" t="s">
        <v>54</v>
      </c>
      <c r="B631" s="223" t="s">
        <v>1187</v>
      </c>
      <c r="C631" s="223" t="s">
        <v>1156</v>
      </c>
      <c r="D631" s="316">
        <v>44895.0</v>
      </c>
      <c r="E631" s="218">
        <v>750.0</v>
      </c>
      <c r="F631" s="218">
        <v>23.33</v>
      </c>
      <c r="G631" s="218">
        <v>0.0</v>
      </c>
      <c r="H631" s="223">
        <v>726.67</v>
      </c>
      <c r="J631" s="223" t="s">
        <v>52</v>
      </c>
      <c r="K631" s="317">
        <v>2022.11</v>
      </c>
    </row>
    <row r="632">
      <c r="A632" s="223" t="s">
        <v>84</v>
      </c>
      <c r="B632" s="223" t="s">
        <v>1227</v>
      </c>
      <c r="C632" s="223" t="s">
        <v>1156</v>
      </c>
      <c r="D632" s="316">
        <v>44895.0</v>
      </c>
      <c r="E632" s="218">
        <v>1000.0</v>
      </c>
      <c r="F632" s="218">
        <v>0.0</v>
      </c>
      <c r="G632" s="218">
        <v>0.0</v>
      </c>
      <c r="H632" s="223">
        <v>1000.0</v>
      </c>
      <c r="J632" s="223" t="s">
        <v>52</v>
      </c>
      <c r="K632" s="317">
        <v>2022.11</v>
      </c>
    </row>
    <row r="633">
      <c r="A633" s="223" t="s">
        <v>42</v>
      </c>
      <c r="B633" s="223" t="s">
        <v>1236</v>
      </c>
      <c r="C633" s="223" t="s">
        <v>1156</v>
      </c>
      <c r="D633" s="316">
        <v>44895.0</v>
      </c>
      <c r="E633" s="218">
        <v>1500.0</v>
      </c>
      <c r="F633" s="218">
        <v>46.67</v>
      </c>
      <c r="G633" s="218">
        <v>217.99949999999998</v>
      </c>
      <c r="H633" s="223">
        <v>1235.3305</v>
      </c>
      <c r="J633" s="223" t="s">
        <v>52</v>
      </c>
      <c r="K633" s="317">
        <v>2022.11</v>
      </c>
    </row>
    <row r="634">
      <c r="A634" s="223" t="s">
        <v>82</v>
      </c>
      <c r="B634" s="223" t="s">
        <v>1124</v>
      </c>
      <c r="C634" s="223" t="s">
        <v>1156</v>
      </c>
      <c r="D634" s="316">
        <v>44895.0</v>
      </c>
      <c r="E634" s="218">
        <v>800.0</v>
      </c>
      <c r="F634" s="218">
        <v>0.0</v>
      </c>
      <c r="G634" s="218">
        <v>0.0</v>
      </c>
      <c r="H634" s="223">
        <v>800.0</v>
      </c>
      <c r="J634" s="223" t="s">
        <v>52</v>
      </c>
      <c r="K634" s="317">
        <v>2022.11</v>
      </c>
    </row>
    <row r="635">
      <c r="A635" s="223" t="s">
        <v>88</v>
      </c>
      <c r="B635" s="223" t="s">
        <v>1256</v>
      </c>
      <c r="C635" s="223" t="s">
        <v>1156</v>
      </c>
      <c r="D635" s="316">
        <v>44895.0</v>
      </c>
      <c r="E635" s="218">
        <v>500.0</v>
      </c>
      <c r="F635" s="218">
        <v>15.56</v>
      </c>
      <c r="G635" s="218">
        <v>0.0</v>
      </c>
      <c r="H635" s="223">
        <v>484.44</v>
      </c>
      <c r="J635" s="223" t="s">
        <v>52</v>
      </c>
      <c r="K635" s="317">
        <v>2022.11</v>
      </c>
    </row>
    <row r="636">
      <c r="A636" s="223" t="s">
        <v>50</v>
      </c>
      <c r="B636" s="223" t="s">
        <v>1275</v>
      </c>
      <c r="C636" s="223" t="s">
        <v>1156</v>
      </c>
      <c r="D636" s="316">
        <v>44895.0</v>
      </c>
      <c r="E636" s="218">
        <v>375.0</v>
      </c>
      <c r="F636" s="218">
        <v>0.0</v>
      </c>
      <c r="G636" s="218">
        <v>0.0</v>
      </c>
      <c r="H636" s="223">
        <v>375.0</v>
      </c>
      <c r="J636" s="223" t="s">
        <v>52</v>
      </c>
      <c r="K636" s="317">
        <v>2022.11</v>
      </c>
    </row>
    <row r="637">
      <c r="A637" s="223" t="s">
        <v>105</v>
      </c>
      <c r="B637" s="223" t="s">
        <v>1280</v>
      </c>
      <c r="C637" s="223" t="s">
        <v>2308</v>
      </c>
      <c r="D637" s="316">
        <v>44895.0</v>
      </c>
      <c r="E637" s="218">
        <v>390.1728</v>
      </c>
      <c r="F637" s="218">
        <v>14.8265664</v>
      </c>
      <c r="G637" s="218">
        <v>0.0</v>
      </c>
      <c r="H637" s="223">
        <v>375.3462336</v>
      </c>
      <c r="J637" s="223" t="s">
        <v>52</v>
      </c>
      <c r="K637" s="317">
        <v>2022.11</v>
      </c>
    </row>
    <row r="638">
      <c r="A638" s="223" t="s">
        <v>90</v>
      </c>
      <c r="B638" s="223" t="s">
        <v>1282</v>
      </c>
      <c r="C638" s="223" t="s">
        <v>1156</v>
      </c>
      <c r="D638" s="316">
        <v>44895.0</v>
      </c>
      <c r="E638" s="218">
        <v>1150.0</v>
      </c>
      <c r="F638" s="218">
        <v>0.0</v>
      </c>
      <c r="G638" s="218">
        <v>0.0</v>
      </c>
      <c r="H638" s="223">
        <v>1150.0</v>
      </c>
      <c r="J638" s="223" t="s">
        <v>52</v>
      </c>
      <c r="K638" s="317">
        <v>2022.11</v>
      </c>
    </row>
    <row r="639">
      <c r="A639" s="223" t="s">
        <v>97</v>
      </c>
      <c r="B639" s="223" t="s">
        <v>1286</v>
      </c>
      <c r="C639" s="223" t="s">
        <v>1156</v>
      </c>
      <c r="D639" s="316">
        <v>44895.0</v>
      </c>
      <c r="E639" s="218">
        <v>300.0</v>
      </c>
      <c r="F639" s="218">
        <v>9.33</v>
      </c>
      <c r="G639" s="218">
        <v>0.0</v>
      </c>
      <c r="H639" s="223">
        <v>290.67</v>
      </c>
      <c r="J639" s="223" t="s">
        <v>52</v>
      </c>
      <c r="K639" s="317">
        <v>2022.11</v>
      </c>
    </row>
    <row r="640">
      <c r="A640" s="223" t="s">
        <v>92</v>
      </c>
      <c r="B640" s="223" t="s">
        <v>1289</v>
      </c>
      <c r="C640" s="223" t="s">
        <v>1156</v>
      </c>
      <c r="D640" s="316">
        <v>44895.0</v>
      </c>
      <c r="E640" s="218">
        <v>2500.0</v>
      </c>
      <c r="F640" s="218">
        <v>77.78</v>
      </c>
      <c r="G640" s="218">
        <v>0.0</v>
      </c>
      <c r="H640" s="223">
        <v>2422.22</v>
      </c>
      <c r="J640" s="223" t="s">
        <v>52</v>
      </c>
      <c r="K640" s="317">
        <v>2022.11</v>
      </c>
    </row>
    <row r="641">
      <c r="A641" s="223" t="s">
        <v>227</v>
      </c>
      <c r="B641" s="223" t="s">
        <v>1294</v>
      </c>
      <c r="C641" s="223" t="s">
        <v>1163</v>
      </c>
      <c r="D641" s="316">
        <v>44895.0</v>
      </c>
      <c r="E641" s="218">
        <v>1092.40236</v>
      </c>
      <c r="F641" s="218">
        <v>40.80903102</v>
      </c>
      <c r="G641" s="218">
        <v>0.0</v>
      </c>
      <c r="H641" s="223">
        <v>1051.59332898</v>
      </c>
      <c r="J641" s="223" t="s">
        <v>716</v>
      </c>
      <c r="K641" s="317">
        <v>2022.11</v>
      </c>
    </row>
    <row r="642">
      <c r="A642" s="223" t="s">
        <v>123</v>
      </c>
      <c r="B642" s="223" t="s">
        <v>1300</v>
      </c>
      <c r="C642" s="223" t="s">
        <v>1156</v>
      </c>
      <c r="D642" s="316">
        <v>44895.0</v>
      </c>
      <c r="E642" s="218">
        <v>5834.259</v>
      </c>
      <c r="F642" s="218">
        <v>216.2565336</v>
      </c>
      <c r="G642" s="218">
        <v>1123.6004932800001</v>
      </c>
      <c r="H642" s="223">
        <v>4494.401973120001</v>
      </c>
      <c r="J642" s="223" t="s">
        <v>52</v>
      </c>
      <c r="K642" s="317">
        <v>2022.11</v>
      </c>
    </row>
    <row r="643">
      <c r="A643" s="223" t="s">
        <v>115</v>
      </c>
      <c r="B643" s="223" t="s">
        <v>1308</v>
      </c>
      <c r="C643" s="223" t="s">
        <v>1156</v>
      </c>
      <c r="D643" s="316">
        <v>44895.0</v>
      </c>
      <c r="E643" s="218">
        <v>2643.85</v>
      </c>
      <c r="F643" s="218">
        <v>0.0</v>
      </c>
      <c r="G643" s="218">
        <v>0.0</v>
      </c>
      <c r="H643" s="223">
        <v>2643.85</v>
      </c>
      <c r="J643" s="223" t="s">
        <v>52</v>
      </c>
      <c r="K643" s="317">
        <v>2022.11</v>
      </c>
    </row>
    <row r="644">
      <c r="A644" s="223" t="s">
        <v>118</v>
      </c>
      <c r="B644" s="223" t="s">
        <v>1312</v>
      </c>
      <c r="C644" s="223" t="s">
        <v>1156</v>
      </c>
      <c r="D644" s="316">
        <v>44895.0</v>
      </c>
      <c r="E644" s="218">
        <v>2643.85</v>
      </c>
      <c r="F644" s="218">
        <v>0.0</v>
      </c>
      <c r="G644" s="218">
        <v>0.0</v>
      </c>
      <c r="H644" s="223">
        <v>2643.85</v>
      </c>
      <c r="J644" s="223" t="s">
        <v>52</v>
      </c>
      <c r="K644" s="317">
        <v>2022.11</v>
      </c>
    </row>
    <row r="645">
      <c r="A645" s="223" t="s">
        <v>73</v>
      </c>
      <c r="B645" s="223" t="s">
        <v>1327</v>
      </c>
      <c r="C645" s="223" t="s">
        <v>1156</v>
      </c>
      <c r="D645" s="316">
        <v>44895.0</v>
      </c>
      <c r="E645" s="218">
        <v>700.0</v>
      </c>
      <c r="F645" s="218">
        <v>0.0</v>
      </c>
      <c r="G645" s="218">
        <v>0.0</v>
      </c>
      <c r="H645" s="223">
        <v>700.0</v>
      </c>
      <c r="J645" s="223" t="s">
        <v>52</v>
      </c>
      <c r="K645" s="317">
        <v>2022.11</v>
      </c>
    </row>
    <row r="646">
      <c r="A646" s="223" t="s">
        <v>499</v>
      </c>
      <c r="B646" s="223" t="s">
        <v>1330</v>
      </c>
      <c r="C646" s="223" t="s">
        <v>1375</v>
      </c>
      <c r="D646" s="316">
        <v>44895.0</v>
      </c>
      <c r="E646" s="218">
        <v>1450.0</v>
      </c>
      <c r="F646" s="218">
        <v>48.55</v>
      </c>
      <c r="G646" s="218">
        <v>0.0</v>
      </c>
      <c r="H646" s="223">
        <v>1401.45</v>
      </c>
      <c r="J646" s="223" t="s">
        <v>52</v>
      </c>
      <c r="K646" s="317">
        <v>2022.11</v>
      </c>
    </row>
    <row r="647">
      <c r="A647" s="223" t="s">
        <v>725</v>
      </c>
      <c r="B647" s="223" t="s">
        <v>1286</v>
      </c>
      <c r="C647" s="223" t="s">
        <v>1458</v>
      </c>
      <c r="D647" s="316">
        <v>44895.0</v>
      </c>
      <c r="E647" s="218">
        <v>240.0</v>
      </c>
      <c r="F647" s="218">
        <v>7.47</v>
      </c>
      <c r="G647" s="218">
        <v>0.0</v>
      </c>
      <c r="H647" s="223">
        <v>232.53</v>
      </c>
      <c r="J647" s="223" t="s">
        <v>727</v>
      </c>
      <c r="K647" s="317">
        <v>2022.0</v>
      </c>
    </row>
    <row r="648">
      <c r="A648" s="223" t="s">
        <v>729</v>
      </c>
      <c r="B648" s="223" t="s">
        <v>1300</v>
      </c>
      <c r="C648" s="223" t="s">
        <v>1458</v>
      </c>
      <c r="D648" s="316">
        <v>44895.0</v>
      </c>
      <c r="E648" s="218">
        <v>466.14708</v>
      </c>
      <c r="F648" s="218">
        <v>17.63589786</v>
      </c>
      <c r="G648" s="218">
        <v>0.0</v>
      </c>
      <c r="H648" s="223">
        <v>448.51118214</v>
      </c>
      <c r="J648" s="223" t="s">
        <v>727</v>
      </c>
      <c r="K648" s="317">
        <v>2022.0</v>
      </c>
    </row>
    <row r="649">
      <c r="A649" s="223" t="s">
        <v>731</v>
      </c>
      <c r="B649" s="223" t="s">
        <v>1283</v>
      </c>
      <c r="C649" s="223" t="s">
        <v>1190</v>
      </c>
      <c r="D649" s="316">
        <v>44895.0</v>
      </c>
      <c r="E649" s="218">
        <v>599.0</v>
      </c>
      <c r="F649" s="218">
        <v>18.64</v>
      </c>
      <c r="G649" s="218">
        <v>0.0</v>
      </c>
      <c r="H649" s="223">
        <v>580.36</v>
      </c>
      <c r="J649" s="223" t="s">
        <v>252</v>
      </c>
      <c r="K649" s="317">
        <v>2022.0</v>
      </c>
    </row>
    <row r="650">
      <c r="A650" s="223" t="s">
        <v>732</v>
      </c>
      <c r="B650" s="223" t="s">
        <v>1283</v>
      </c>
      <c r="C650" s="223" t="s">
        <v>1179</v>
      </c>
      <c r="D650" s="316">
        <v>44895.0</v>
      </c>
      <c r="E650" s="218">
        <v>1090.0</v>
      </c>
      <c r="F650" s="218">
        <v>33.91</v>
      </c>
      <c r="G650" s="218">
        <v>0.0</v>
      </c>
      <c r="H650" s="223">
        <v>1056.09</v>
      </c>
      <c r="J650" s="223" t="s">
        <v>252</v>
      </c>
      <c r="K650" s="317">
        <v>2022.0</v>
      </c>
    </row>
    <row r="651">
      <c r="A651" s="223" t="s">
        <v>734</v>
      </c>
      <c r="B651" s="223" t="s">
        <v>1398</v>
      </c>
      <c r="C651" s="223" t="s">
        <v>1459</v>
      </c>
      <c r="D651" s="316">
        <v>44925.0</v>
      </c>
      <c r="E651" s="218">
        <v>423.79995</v>
      </c>
      <c r="F651" s="218">
        <v>0.0</v>
      </c>
      <c r="G651" s="218">
        <v>0.0</v>
      </c>
      <c r="H651" s="223">
        <v>423.79995</v>
      </c>
      <c r="J651" s="223" t="s">
        <v>252</v>
      </c>
      <c r="K651" s="317">
        <v>2022.0</v>
      </c>
    </row>
    <row r="652">
      <c r="A652" s="223" t="s">
        <v>737</v>
      </c>
      <c r="B652" s="223" t="s">
        <v>1460</v>
      </c>
      <c r="C652" s="223" t="s">
        <v>1461</v>
      </c>
      <c r="D652" s="316">
        <v>44896.0</v>
      </c>
      <c r="E652" s="218">
        <v>687.5</v>
      </c>
      <c r="F652" s="218">
        <v>0.0</v>
      </c>
      <c r="G652" s="218">
        <v>0.0</v>
      </c>
      <c r="H652" s="223">
        <v>687.5</v>
      </c>
      <c r="J652" s="223" t="s">
        <v>252</v>
      </c>
      <c r="K652" s="317">
        <v>2022.0</v>
      </c>
    </row>
    <row r="653">
      <c r="A653" s="223" t="s">
        <v>737</v>
      </c>
      <c r="B653" s="223" t="s">
        <v>1460</v>
      </c>
      <c r="C653" s="223" t="s">
        <v>1461</v>
      </c>
      <c r="D653" s="316">
        <v>44939.0</v>
      </c>
      <c r="E653" s="218">
        <v>687.5</v>
      </c>
      <c r="F653" s="218">
        <v>21.39</v>
      </c>
      <c r="G653" s="218">
        <v>0.0</v>
      </c>
      <c r="H653" s="223">
        <v>666.11</v>
      </c>
      <c r="J653" s="223" t="s">
        <v>252</v>
      </c>
      <c r="K653" s="317">
        <v>2023.0</v>
      </c>
    </row>
    <row r="654">
      <c r="A654" s="223" t="s">
        <v>740</v>
      </c>
      <c r="B654" s="223" t="s">
        <v>1209</v>
      </c>
      <c r="C654" s="223" t="s">
        <v>1463</v>
      </c>
      <c r="D654" s="316">
        <v>44897.0</v>
      </c>
      <c r="E654" s="218">
        <v>2597.47012832</v>
      </c>
      <c r="F654" s="218">
        <v>96.50734863999999</v>
      </c>
      <c r="G654" s="218">
        <v>296.7142241812352</v>
      </c>
      <c r="H654" s="223">
        <v>2204.2485554987647</v>
      </c>
      <c r="J654" s="223" t="s">
        <v>688</v>
      </c>
      <c r="K654" s="317">
        <v>2022.0</v>
      </c>
    </row>
    <row r="655">
      <c r="A655" s="223" t="s">
        <v>740</v>
      </c>
      <c r="B655" s="223" t="s">
        <v>1209</v>
      </c>
      <c r="C655" s="223" t="s">
        <v>1463</v>
      </c>
      <c r="D655" s="316">
        <v>44957.0</v>
      </c>
      <c r="E655" s="218">
        <v>2554.16624178</v>
      </c>
      <c r="F655" s="218">
        <v>94.89842030999999</v>
      </c>
      <c r="G655" s="218">
        <v>291.7675343392008</v>
      </c>
      <c r="H655" s="223">
        <v>2167.5002871307993</v>
      </c>
      <c r="J655" s="223" t="s">
        <v>688</v>
      </c>
      <c r="K655" s="317">
        <v>2023.0</v>
      </c>
    </row>
    <row r="656">
      <c r="A656" s="223" t="s">
        <v>740</v>
      </c>
      <c r="B656" s="223" t="s">
        <v>1209</v>
      </c>
      <c r="C656" s="223" t="s">
        <v>1463</v>
      </c>
      <c r="D656" s="316">
        <v>45000.0</v>
      </c>
      <c r="E656" s="218">
        <v>2548.83775339</v>
      </c>
      <c r="F656" s="218">
        <v>94.6509873569895</v>
      </c>
      <c r="G656" s="218">
        <v>291.1647179221564</v>
      </c>
      <c r="H656" s="223">
        <v>2163.0220481108545</v>
      </c>
      <c r="J656" s="223" t="s">
        <v>688</v>
      </c>
      <c r="K656" s="317">
        <v>2023.0</v>
      </c>
    </row>
    <row r="657">
      <c r="A657" s="223" t="s">
        <v>747</v>
      </c>
      <c r="B657" s="223" t="s">
        <v>1395</v>
      </c>
      <c r="C657" s="223" t="s">
        <v>1179</v>
      </c>
      <c r="D657" s="316">
        <v>44910.0</v>
      </c>
      <c r="E657" s="218">
        <v>1015.0484</v>
      </c>
      <c r="F657" s="218">
        <v>29.43</v>
      </c>
      <c r="G657" s="218">
        <v>0.0</v>
      </c>
      <c r="H657" s="223">
        <v>985.6184000000001</v>
      </c>
      <c r="J657" s="223" t="s">
        <v>252</v>
      </c>
      <c r="K657" s="317">
        <v>2022.0</v>
      </c>
    </row>
    <row r="658">
      <c r="A658" s="223" t="s">
        <v>120</v>
      </c>
      <c r="B658" s="223" t="s">
        <v>1215</v>
      </c>
      <c r="C658" s="223" t="s">
        <v>1156</v>
      </c>
      <c r="D658" s="316">
        <v>44902.0</v>
      </c>
      <c r="E658" s="218">
        <v>1969.6335</v>
      </c>
      <c r="F658" s="218">
        <v>72.99461751</v>
      </c>
      <c r="G658" s="218">
        <v>379.32777649800005</v>
      </c>
      <c r="H658" s="223">
        <v>1517.311105992</v>
      </c>
      <c r="J658" s="223" t="s">
        <v>52</v>
      </c>
      <c r="K658" s="317">
        <v>2022.12</v>
      </c>
    </row>
    <row r="659">
      <c r="A659" s="223" t="s">
        <v>120</v>
      </c>
      <c r="B659" s="223" t="s">
        <v>1215</v>
      </c>
      <c r="C659" s="223" t="s">
        <v>1156</v>
      </c>
      <c r="D659" s="316">
        <v>44902.0</v>
      </c>
      <c r="E659" s="218">
        <v>1969.6335</v>
      </c>
      <c r="F659" s="218">
        <v>72.99461751</v>
      </c>
      <c r="G659" s="218">
        <v>379.32777649800005</v>
      </c>
      <c r="H659" s="223">
        <v>1517.311105992</v>
      </c>
      <c r="J659" s="223" t="s">
        <v>52</v>
      </c>
      <c r="K659" s="317">
        <v>2022.12</v>
      </c>
    </row>
    <row r="660">
      <c r="A660" s="223" t="s">
        <v>120</v>
      </c>
      <c r="B660" s="223" t="s">
        <v>1215</v>
      </c>
      <c r="C660" s="223" t="s">
        <v>1156</v>
      </c>
      <c r="D660" s="316">
        <v>44902.0</v>
      </c>
      <c r="E660" s="218">
        <v>1969.6335</v>
      </c>
      <c r="F660" s="218">
        <v>72.99461751</v>
      </c>
      <c r="G660" s="218">
        <v>379.32777649800005</v>
      </c>
      <c r="H660" s="223">
        <v>1517.311105992</v>
      </c>
      <c r="J660" s="223" t="s">
        <v>52</v>
      </c>
      <c r="K660" s="317">
        <v>2022.12</v>
      </c>
    </row>
    <row r="661">
      <c r="A661" s="223" t="s">
        <v>754</v>
      </c>
      <c r="B661" s="223" t="s">
        <v>1215</v>
      </c>
      <c r="C661" s="223" t="s">
        <v>1302</v>
      </c>
      <c r="D661" s="316">
        <v>44902.0</v>
      </c>
      <c r="E661" s="218">
        <v>393.9267</v>
      </c>
      <c r="F661" s="218">
        <v>14.61468057</v>
      </c>
      <c r="G661" s="218">
        <v>0.0</v>
      </c>
      <c r="H661" s="223">
        <v>379.31201942999996</v>
      </c>
      <c r="J661" s="223" t="s">
        <v>727</v>
      </c>
      <c r="K661" s="317">
        <v>2022.0</v>
      </c>
    </row>
    <row r="662">
      <c r="A662" s="223" t="s">
        <v>755</v>
      </c>
      <c r="B662" s="223" t="s">
        <v>1259</v>
      </c>
      <c r="C662" s="223" t="s">
        <v>1302</v>
      </c>
      <c r="D662" s="316">
        <v>44910.0</v>
      </c>
      <c r="E662" s="218">
        <v>390.813</v>
      </c>
      <c r="F662" s="218">
        <v>11.38</v>
      </c>
      <c r="G662" s="218">
        <v>0.0</v>
      </c>
      <c r="H662" s="223">
        <v>379.433</v>
      </c>
      <c r="J662" s="223" t="s">
        <v>727</v>
      </c>
      <c r="K662" s="317">
        <v>2022.0</v>
      </c>
    </row>
    <row r="663">
      <c r="A663" s="223" t="s">
        <v>757</v>
      </c>
      <c r="B663" s="223" t="s">
        <v>1289</v>
      </c>
      <c r="C663" s="223" t="s">
        <v>1302</v>
      </c>
      <c r="D663" s="316">
        <v>44925.0</v>
      </c>
      <c r="E663" s="218">
        <v>420.0</v>
      </c>
      <c r="F663" s="218">
        <v>13.07</v>
      </c>
      <c r="G663" s="218">
        <v>0.0</v>
      </c>
      <c r="H663" s="223">
        <v>406.93</v>
      </c>
      <c r="J663" s="223" t="s">
        <v>727</v>
      </c>
      <c r="K663" s="317">
        <v>2022.0</v>
      </c>
    </row>
    <row r="664">
      <c r="A664" s="223" t="s">
        <v>99</v>
      </c>
      <c r="B664" s="223" t="s">
        <v>1192</v>
      </c>
      <c r="C664" s="223" t="s">
        <v>1156</v>
      </c>
      <c r="D664" s="316">
        <v>44910.0</v>
      </c>
      <c r="E664" s="218">
        <v>1716.9776</v>
      </c>
      <c r="F664" s="218">
        <v>63.9243968</v>
      </c>
      <c r="G664" s="218">
        <v>330.61064064</v>
      </c>
      <c r="H664" s="223">
        <v>1322.44256256</v>
      </c>
      <c r="J664" s="223" t="s">
        <v>52</v>
      </c>
      <c r="K664" s="317">
        <v>2022.12</v>
      </c>
    </row>
    <row r="665">
      <c r="A665" s="223" t="s">
        <v>225</v>
      </c>
      <c r="B665" s="223" t="s">
        <v>1257</v>
      </c>
      <c r="C665" s="223" t="s">
        <v>1156</v>
      </c>
      <c r="D665" s="316">
        <v>44910.0</v>
      </c>
      <c r="E665" s="218">
        <v>5000.0</v>
      </c>
      <c r="F665" s="218">
        <v>0.0</v>
      </c>
      <c r="G665" s="218">
        <v>0.0</v>
      </c>
      <c r="H665" s="223">
        <v>5000.0</v>
      </c>
      <c r="J665" s="223" t="s">
        <v>52</v>
      </c>
      <c r="K665" s="317">
        <v>2022.12</v>
      </c>
    </row>
    <row r="666">
      <c r="A666" s="223" t="s">
        <v>102</v>
      </c>
      <c r="B666" s="223" t="s">
        <v>1259</v>
      </c>
      <c r="C666" s="223" t="s">
        <v>1156</v>
      </c>
      <c r="D666" s="316">
        <v>44910.0</v>
      </c>
      <c r="E666" s="218">
        <v>455.9485</v>
      </c>
      <c r="F666" s="218">
        <v>17.2869617</v>
      </c>
      <c r="G666" s="218">
        <v>0.0</v>
      </c>
      <c r="H666" s="223">
        <v>438.6615383</v>
      </c>
      <c r="J666" s="223" t="s">
        <v>52</v>
      </c>
      <c r="K666" s="317">
        <v>2022.12</v>
      </c>
    </row>
    <row r="667">
      <c r="A667" s="223" t="s">
        <v>62</v>
      </c>
      <c r="B667" s="223" t="s">
        <v>1304</v>
      </c>
      <c r="C667" s="223" t="s">
        <v>1156</v>
      </c>
      <c r="D667" s="316">
        <v>44910.0</v>
      </c>
      <c r="E667" s="218">
        <v>1600.0</v>
      </c>
      <c r="F667" s="218">
        <v>49.78</v>
      </c>
      <c r="G667" s="218">
        <v>0.0</v>
      </c>
      <c r="H667" s="223">
        <v>1550.22</v>
      </c>
      <c r="J667" s="223" t="s">
        <v>52</v>
      </c>
      <c r="K667" s="317">
        <v>2022.12</v>
      </c>
    </row>
    <row r="668">
      <c r="A668" s="223" t="s">
        <v>66</v>
      </c>
      <c r="B668" s="223" t="s">
        <v>1324</v>
      </c>
      <c r="C668" s="223" t="s">
        <v>1156</v>
      </c>
      <c r="D668" s="316">
        <v>44910.0</v>
      </c>
      <c r="E668" s="218">
        <v>900.0</v>
      </c>
      <c r="F668" s="218">
        <v>0.0</v>
      </c>
      <c r="G668" s="218">
        <v>0.0</v>
      </c>
      <c r="H668" s="223">
        <v>900.0</v>
      </c>
      <c r="J668" s="223" t="s">
        <v>52</v>
      </c>
      <c r="K668" s="317">
        <v>2022.12</v>
      </c>
    </row>
    <row r="669">
      <c r="A669" s="223" t="s">
        <v>467</v>
      </c>
      <c r="B669" s="223" t="s">
        <v>1209</v>
      </c>
      <c r="C669" s="223" t="s">
        <v>469</v>
      </c>
      <c r="D669" s="316">
        <v>44910.0</v>
      </c>
      <c r="E669" s="218">
        <v>362.39588</v>
      </c>
      <c r="F669" s="218">
        <v>13.79692886</v>
      </c>
      <c r="G669" s="218">
        <v>69.71979022800001</v>
      </c>
      <c r="H669" s="223">
        <v>278.879160912</v>
      </c>
      <c r="J669" s="223" t="s">
        <v>52</v>
      </c>
      <c r="K669" s="317">
        <v>2022.12</v>
      </c>
    </row>
    <row r="670">
      <c r="A670" s="223" t="s">
        <v>629</v>
      </c>
      <c r="B670" s="223" t="s">
        <v>1395</v>
      </c>
      <c r="C670" s="223" t="s">
        <v>469</v>
      </c>
      <c r="D670" s="316">
        <v>44910.0</v>
      </c>
      <c r="E670" s="218">
        <v>373.96520000000004</v>
      </c>
      <c r="F670" s="218">
        <v>11.15</v>
      </c>
      <c r="G670" s="218">
        <v>0.0</v>
      </c>
      <c r="H670" s="223">
        <v>362.81520000000006</v>
      </c>
      <c r="J670" s="223" t="s">
        <v>52</v>
      </c>
      <c r="K670" s="317">
        <v>2022.12</v>
      </c>
    </row>
    <row r="671">
      <c r="A671" s="223" t="s">
        <v>630</v>
      </c>
      <c r="B671" s="223" t="s">
        <v>1345</v>
      </c>
      <c r="C671" s="223" t="s">
        <v>469</v>
      </c>
      <c r="D671" s="316">
        <v>44910.0</v>
      </c>
      <c r="E671" s="218">
        <v>280.0</v>
      </c>
      <c r="F671" s="218">
        <v>8.71</v>
      </c>
      <c r="G671" s="218">
        <v>0.0</v>
      </c>
      <c r="H671" s="223">
        <v>271.29</v>
      </c>
      <c r="J671" s="223" t="s">
        <v>52</v>
      </c>
      <c r="K671" s="317">
        <v>2022.12</v>
      </c>
    </row>
    <row r="672">
      <c r="A672" s="223" t="s">
        <v>762</v>
      </c>
      <c r="B672" s="223" t="s">
        <v>1429</v>
      </c>
      <c r="C672" s="223" t="s">
        <v>1432</v>
      </c>
      <c r="D672" s="316">
        <v>44910.0</v>
      </c>
      <c r="E672" s="218">
        <v>500.0</v>
      </c>
      <c r="F672" s="218">
        <v>15.56</v>
      </c>
      <c r="G672" s="218">
        <v>0.0</v>
      </c>
      <c r="H672" s="223">
        <v>484.44</v>
      </c>
      <c r="J672" s="223" t="s">
        <v>52</v>
      </c>
      <c r="K672" s="317">
        <v>2022.12</v>
      </c>
    </row>
    <row r="673">
      <c r="A673" s="223" t="s">
        <v>662</v>
      </c>
      <c r="B673" s="223" t="s">
        <v>1433</v>
      </c>
      <c r="C673" s="223" t="s">
        <v>1434</v>
      </c>
      <c r="D673" s="316">
        <v>44910.0</v>
      </c>
      <c r="E673" s="218">
        <v>2500.0</v>
      </c>
      <c r="F673" s="218">
        <v>0.0</v>
      </c>
      <c r="G673" s="218">
        <v>0.0</v>
      </c>
      <c r="H673" s="223">
        <v>2500.0</v>
      </c>
      <c r="J673" s="223" t="s">
        <v>52</v>
      </c>
      <c r="K673" s="317">
        <v>2022.12</v>
      </c>
    </row>
    <row r="674">
      <c r="A674" s="223" t="s">
        <v>765</v>
      </c>
      <c r="B674" s="223" t="s">
        <v>1467</v>
      </c>
      <c r="C674" s="223" t="s">
        <v>1468</v>
      </c>
      <c r="D674" s="316">
        <v>44925.0</v>
      </c>
      <c r="E674" s="218">
        <v>300.0</v>
      </c>
      <c r="F674" s="218">
        <v>9.33</v>
      </c>
      <c r="G674" s="218">
        <v>0.0</v>
      </c>
      <c r="H674" s="223">
        <v>290.67</v>
      </c>
      <c r="J674" s="223" t="s">
        <v>252</v>
      </c>
      <c r="K674" s="317">
        <v>2022.0</v>
      </c>
    </row>
    <row r="675">
      <c r="A675" s="223" t="s">
        <v>768</v>
      </c>
      <c r="B675" s="223" t="s">
        <v>1383</v>
      </c>
      <c r="C675" s="223" t="s">
        <v>1179</v>
      </c>
      <c r="D675" s="316">
        <v>44911.0</v>
      </c>
      <c r="E675" s="218">
        <v>2605.42</v>
      </c>
      <c r="F675" s="218">
        <v>96.791353</v>
      </c>
      <c r="G675" s="218">
        <v>501.72572940000003</v>
      </c>
      <c r="H675" s="223">
        <v>2006.9029176</v>
      </c>
      <c r="J675" s="223" t="s">
        <v>252</v>
      </c>
      <c r="K675" s="317">
        <v>2022.0</v>
      </c>
    </row>
    <row r="676">
      <c r="A676" s="223" t="s">
        <v>768</v>
      </c>
      <c r="B676" s="223" t="s">
        <v>1383</v>
      </c>
      <c r="C676" s="223" t="s">
        <v>1179</v>
      </c>
      <c r="D676" s="316">
        <v>45030.0</v>
      </c>
      <c r="E676" s="218">
        <v>2552.264</v>
      </c>
      <c r="F676" s="218">
        <v>94.8166076</v>
      </c>
      <c r="G676" s="218">
        <v>491.4894784800001</v>
      </c>
      <c r="H676" s="223">
        <v>1965.9579139200002</v>
      </c>
      <c r="J676" s="223" t="s">
        <v>252</v>
      </c>
      <c r="K676" s="317">
        <v>2023.0</v>
      </c>
    </row>
    <row r="677">
      <c r="A677" s="223" t="s">
        <v>773</v>
      </c>
      <c r="B677" s="223" t="s">
        <v>1304</v>
      </c>
      <c r="C677" s="223" t="s">
        <v>1190</v>
      </c>
      <c r="D677" s="316">
        <v>44925.0</v>
      </c>
      <c r="E677" s="218">
        <v>600.0</v>
      </c>
      <c r="F677" s="218">
        <v>18.67</v>
      </c>
      <c r="G677" s="218">
        <v>0.0</v>
      </c>
      <c r="H677" s="223">
        <v>581.33</v>
      </c>
      <c r="J677" s="223" t="s">
        <v>252</v>
      </c>
      <c r="K677" s="317">
        <v>2022.0</v>
      </c>
    </row>
    <row r="678">
      <c r="A678" s="223" t="s">
        <v>120</v>
      </c>
      <c r="B678" s="223" t="s">
        <v>1215</v>
      </c>
      <c r="C678" s="223" t="s">
        <v>1156</v>
      </c>
      <c r="D678" s="316">
        <v>44925.0</v>
      </c>
      <c r="E678" s="218">
        <v>2851.656149</v>
      </c>
      <c r="F678" s="218">
        <v>105.89828336000001</v>
      </c>
      <c r="G678" s="218">
        <v>549.151573128</v>
      </c>
      <c r="H678" s="223">
        <v>2196.606292512</v>
      </c>
      <c r="J678" s="223" t="s">
        <v>52</v>
      </c>
      <c r="K678" s="317">
        <v>2022.12</v>
      </c>
    </row>
    <row r="679">
      <c r="A679" s="223" t="s">
        <v>223</v>
      </c>
      <c r="B679" s="223" t="s">
        <v>1176</v>
      </c>
      <c r="C679" s="223" t="s">
        <v>1156</v>
      </c>
      <c r="D679" s="316">
        <v>44925.0</v>
      </c>
      <c r="E679" s="218">
        <v>800.0</v>
      </c>
      <c r="F679" s="218">
        <v>24.89</v>
      </c>
      <c r="G679" s="218">
        <v>0.0</v>
      </c>
      <c r="H679" s="223">
        <v>775.11</v>
      </c>
      <c r="J679" s="223" t="s">
        <v>52</v>
      </c>
      <c r="K679" s="317">
        <v>2022.12</v>
      </c>
    </row>
    <row r="680">
      <c r="A680" s="223" t="s">
        <v>54</v>
      </c>
      <c r="B680" s="223" t="s">
        <v>1187</v>
      </c>
      <c r="C680" s="223" t="s">
        <v>1156</v>
      </c>
      <c r="D680" s="316">
        <v>44926.0</v>
      </c>
      <c r="E680" s="218">
        <v>750.0</v>
      </c>
      <c r="F680" s="218">
        <v>23.33</v>
      </c>
      <c r="G680" s="218">
        <v>0.0</v>
      </c>
      <c r="H680" s="223">
        <v>726.67</v>
      </c>
      <c r="J680" s="223" t="s">
        <v>52</v>
      </c>
      <c r="K680" s="317">
        <v>2022.12</v>
      </c>
    </row>
    <row r="681">
      <c r="A681" s="223" t="s">
        <v>84</v>
      </c>
      <c r="B681" s="223" t="s">
        <v>1227</v>
      </c>
      <c r="C681" s="223" t="s">
        <v>1156</v>
      </c>
      <c r="D681" s="316">
        <v>44925.0</v>
      </c>
      <c r="E681" s="218">
        <v>1000.0</v>
      </c>
      <c r="F681" s="218">
        <v>0.0</v>
      </c>
      <c r="G681" s="218">
        <v>0.0</v>
      </c>
      <c r="H681" s="223">
        <v>1000.0</v>
      </c>
      <c r="J681" s="223" t="s">
        <v>52</v>
      </c>
      <c r="K681" s="317">
        <v>2022.12</v>
      </c>
    </row>
    <row r="682">
      <c r="A682" s="223" t="s">
        <v>42</v>
      </c>
      <c r="B682" s="223" t="s">
        <v>1236</v>
      </c>
      <c r="C682" s="223" t="s">
        <v>1156</v>
      </c>
      <c r="D682" s="316">
        <v>44925.0</v>
      </c>
      <c r="E682" s="218">
        <v>1500.0</v>
      </c>
      <c r="F682" s="218">
        <v>46.67</v>
      </c>
      <c r="G682" s="218">
        <v>217.99949999999998</v>
      </c>
      <c r="H682" s="223">
        <v>1235.3305</v>
      </c>
      <c r="J682" s="223" t="s">
        <v>52</v>
      </c>
      <c r="K682" s="317">
        <v>2022.12</v>
      </c>
    </row>
    <row r="683">
      <c r="A683" s="223" t="s">
        <v>82</v>
      </c>
      <c r="B683" s="223" t="s">
        <v>1124</v>
      </c>
      <c r="C683" s="223" t="s">
        <v>1156</v>
      </c>
      <c r="D683" s="316">
        <v>44925.0</v>
      </c>
      <c r="E683" s="218">
        <v>800.0</v>
      </c>
      <c r="F683" s="218">
        <v>0.0</v>
      </c>
      <c r="G683" s="218">
        <v>0.0</v>
      </c>
      <c r="H683" s="223">
        <v>800.0</v>
      </c>
      <c r="J683" s="223" t="s">
        <v>52</v>
      </c>
      <c r="K683" s="317">
        <v>2022.12</v>
      </c>
    </row>
    <row r="684">
      <c r="A684" s="223" t="s">
        <v>88</v>
      </c>
      <c r="B684" s="223" t="s">
        <v>1256</v>
      </c>
      <c r="C684" s="223" t="s">
        <v>1156</v>
      </c>
      <c r="D684" s="316">
        <v>44926.0</v>
      </c>
      <c r="E684" s="218">
        <v>500.0</v>
      </c>
      <c r="F684" s="218">
        <v>15.56</v>
      </c>
      <c r="G684" s="218">
        <v>0.0</v>
      </c>
      <c r="H684" s="223">
        <v>484.44</v>
      </c>
      <c r="J684" s="223" t="s">
        <v>52</v>
      </c>
      <c r="K684" s="317">
        <v>2022.12</v>
      </c>
    </row>
    <row r="685">
      <c r="A685" s="223" t="s">
        <v>50</v>
      </c>
      <c r="B685" s="223" t="s">
        <v>1275</v>
      </c>
      <c r="C685" s="223" t="s">
        <v>1156</v>
      </c>
      <c r="D685" s="316">
        <v>44925.0</v>
      </c>
      <c r="E685" s="218">
        <v>375.0</v>
      </c>
      <c r="F685" s="218">
        <v>0.0</v>
      </c>
      <c r="G685" s="218">
        <v>0.0</v>
      </c>
      <c r="H685" s="223">
        <v>375.0</v>
      </c>
      <c r="J685" s="223" t="s">
        <v>52</v>
      </c>
      <c r="K685" s="317">
        <v>2022.12</v>
      </c>
    </row>
    <row r="686">
      <c r="A686" s="223" t="s">
        <v>105</v>
      </c>
      <c r="B686" s="223" t="s">
        <v>1280</v>
      </c>
      <c r="C686" s="223" t="s">
        <v>2308</v>
      </c>
      <c r="D686" s="316">
        <v>44925.0</v>
      </c>
      <c r="E686" s="218">
        <v>393.8685</v>
      </c>
      <c r="F686" s="218">
        <v>14.967003</v>
      </c>
      <c r="G686" s="218">
        <v>0.0</v>
      </c>
      <c r="H686" s="223">
        <v>378.901497</v>
      </c>
      <c r="J686" s="223" t="s">
        <v>52</v>
      </c>
      <c r="K686" s="317">
        <v>2022.12</v>
      </c>
    </row>
    <row r="687">
      <c r="A687" s="223" t="s">
        <v>90</v>
      </c>
      <c r="B687" s="223" t="s">
        <v>1282</v>
      </c>
      <c r="C687" s="223" t="s">
        <v>1156</v>
      </c>
      <c r="D687" s="316">
        <v>44925.0</v>
      </c>
      <c r="E687" s="218">
        <v>1150.0</v>
      </c>
      <c r="F687" s="218">
        <v>0.0</v>
      </c>
      <c r="G687" s="218">
        <v>0.0</v>
      </c>
      <c r="H687" s="223">
        <v>1150.0</v>
      </c>
      <c r="J687" s="223" t="s">
        <v>52</v>
      </c>
      <c r="K687" s="317">
        <v>2022.12</v>
      </c>
    </row>
    <row r="688">
      <c r="A688" s="223" t="s">
        <v>97</v>
      </c>
      <c r="B688" s="223" t="s">
        <v>1286</v>
      </c>
      <c r="C688" s="223" t="s">
        <v>1156</v>
      </c>
      <c r="D688" s="316">
        <v>44925.0</v>
      </c>
      <c r="E688" s="218">
        <v>300.0</v>
      </c>
      <c r="F688" s="218">
        <v>9.33</v>
      </c>
      <c r="G688" s="218">
        <v>0.0</v>
      </c>
      <c r="H688" s="223">
        <v>290.67</v>
      </c>
      <c r="J688" s="223" t="s">
        <v>52</v>
      </c>
      <c r="K688" s="317">
        <v>2022.12</v>
      </c>
    </row>
    <row r="689">
      <c r="A689" s="223" t="s">
        <v>92</v>
      </c>
      <c r="B689" s="223" t="s">
        <v>1289</v>
      </c>
      <c r="C689" s="223" t="s">
        <v>1156</v>
      </c>
      <c r="D689" s="316">
        <v>44925.0</v>
      </c>
      <c r="E689" s="218">
        <v>2500.0</v>
      </c>
      <c r="F689" s="218">
        <v>77.78</v>
      </c>
      <c r="G689" s="218">
        <v>0.0</v>
      </c>
      <c r="H689" s="223">
        <v>2422.22</v>
      </c>
      <c r="J689" s="223" t="s">
        <v>52</v>
      </c>
      <c r="K689" s="317">
        <v>2022.12</v>
      </c>
    </row>
    <row r="690">
      <c r="A690" s="223" t="s">
        <v>123</v>
      </c>
      <c r="B690" s="223" t="s">
        <v>1300</v>
      </c>
      <c r="C690" s="223" t="s">
        <v>1156</v>
      </c>
      <c r="D690" s="316">
        <v>44925.0</v>
      </c>
      <c r="E690" s="218">
        <v>5866.5599999999995</v>
      </c>
      <c r="F690" s="218">
        <v>217.453824</v>
      </c>
      <c r="G690" s="218">
        <v>1129.8212351999998</v>
      </c>
      <c r="H690" s="223">
        <v>4519.284940799999</v>
      </c>
      <c r="J690" s="223" t="s">
        <v>52</v>
      </c>
      <c r="K690" s="317">
        <v>2022.12</v>
      </c>
    </row>
    <row r="691">
      <c r="A691" s="223" t="s">
        <v>115</v>
      </c>
      <c r="B691" s="223" t="s">
        <v>1308</v>
      </c>
      <c r="C691" s="223" t="s">
        <v>1156</v>
      </c>
      <c r="D691" s="316">
        <v>44925.0</v>
      </c>
      <c r="E691" s="218">
        <v>2607.8250000000003</v>
      </c>
      <c r="F691" s="218">
        <v>0.0</v>
      </c>
      <c r="G691" s="218">
        <v>0.0</v>
      </c>
      <c r="H691" s="223">
        <v>2607.8250000000003</v>
      </c>
      <c r="J691" s="223" t="s">
        <v>52</v>
      </c>
      <c r="K691" s="317">
        <v>2022.12</v>
      </c>
    </row>
    <row r="692">
      <c r="A692" s="223" t="s">
        <v>118</v>
      </c>
      <c r="B692" s="223" t="s">
        <v>1312</v>
      </c>
      <c r="C692" s="223" t="s">
        <v>1156</v>
      </c>
      <c r="D692" s="316">
        <v>44925.0</v>
      </c>
      <c r="E692" s="218">
        <v>2607.8250000000003</v>
      </c>
      <c r="F692" s="218">
        <v>0.0</v>
      </c>
      <c r="G692" s="218">
        <v>0.0</v>
      </c>
      <c r="H692" s="223">
        <v>2607.8250000000003</v>
      </c>
      <c r="J692" s="223" t="s">
        <v>52</v>
      </c>
      <c r="K692" s="317">
        <v>2022.12</v>
      </c>
    </row>
    <row r="693">
      <c r="A693" s="223" t="s">
        <v>73</v>
      </c>
      <c r="B693" s="223" t="s">
        <v>1327</v>
      </c>
      <c r="C693" s="223" t="s">
        <v>1156</v>
      </c>
      <c r="D693" s="316">
        <v>44925.0</v>
      </c>
      <c r="E693" s="218">
        <v>700.0</v>
      </c>
      <c r="F693" s="218">
        <v>0.0</v>
      </c>
      <c r="G693" s="218">
        <v>0.0</v>
      </c>
      <c r="H693" s="223">
        <v>700.0</v>
      </c>
      <c r="J693" s="223" t="s">
        <v>52</v>
      </c>
      <c r="K693" s="317">
        <v>2022.12</v>
      </c>
    </row>
    <row r="694">
      <c r="A694" s="223" t="s">
        <v>499</v>
      </c>
      <c r="B694" s="223" t="s">
        <v>1330</v>
      </c>
      <c r="C694" s="223" t="s">
        <v>1375</v>
      </c>
      <c r="D694" s="316">
        <v>44925.0</v>
      </c>
      <c r="E694" s="218">
        <v>1450.0</v>
      </c>
      <c r="F694" s="218">
        <v>48.55</v>
      </c>
      <c r="G694" s="218">
        <v>0.0</v>
      </c>
      <c r="H694" s="223">
        <v>1401.45</v>
      </c>
      <c r="J694" s="223" t="s">
        <v>52</v>
      </c>
      <c r="K694" s="317">
        <v>2022.12</v>
      </c>
    </row>
    <row r="695">
      <c r="A695" s="223" t="s">
        <v>695</v>
      </c>
      <c r="B695" s="223" t="s">
        <v>1216</v>
      </c>
      <c r="C695" s="223" t="s">
        <v>1451</v>
      </c>
      <c r="D695" s="316">
        <v>44925.0</v>
      </c>
      <c r="E695" s="218">
        <v>600.0</v>
      </c>
      <c r="F695" s="218">
        <v>18.67</v>
      </c>
      <c r="G695" s="218">
        <v>0.0</v>
      </c>
      <c r="H695" s="223">
        <v>581.33</v>
      </c>
      <c r="J695" s="223" t="s">
        <v>52</v>
      </c>
      <c r="K695" s="317">
        <v>2022.12</v>
      </c>
    </row>
    <row r="696">
      <c r="A696" s="223" t="s">
        <v>734</v>
      </c>
      <c r="B696" s="223" t="s">
        <v>1398</v>
      </c>
      <c r="C696" s="223" t="s">
        <v>1459</v>
      </c>
      <c r="D696" s="316">
        <v>44939.0</v>
      </c>
      <c r="E696" s="218">
        <v>129.29999999999998</v>
      </c>
      <c r="F696" s="218">
        <v>0.0</v>
      </c>
      <c r="G696" s="218">
        <v>0.0</v>
      </c>
      <c r="H696" s="223">
        <v>129.29999999999998</v>
      </c>
      <c r="J696" s="223" t="s">
        <v>252</v>
      </c>
      <c r="K696" s="317">
        <v>2023.0</v>
      </c>
    </row>
    <row r="697">
      <c r="A697" s="223" t="s">
        <v>782</v>
      </c>
      <c r="B697" s="223" t="s">
        <v>1406</v>
      </c>
      <c r="C697" s="223" t="s">
        <v>1459</v>
      </c>
      <c r="D697" s="316">
        <v>44939.0</v>
      </c>
      <c r="E697" s="218">
        <v>130.69</v>
      </c>
      <c r="F697" s="218">
        <v>0.0</v>
      </c>
      <c r="G697" s="218">
        <v>0.0</v>
      </c>
      <c r="H697" s="223">
        <v>130.69</v>
      </c>
      <c r="J697" s="223" t="s">
        <v>252</v>
      </c>
      <c r="K697" s="317">
        <v>2023.0</v>
      </c>
    </row>
    <row r="698">
      <c r="A698" s="223" t="s">
        <v>785</v>
      </c>
      <c r="B698" s="223" t="s">
        <v>1368</v>
      </c>
      <c r="C698" s="223" t="s">
        <v>1190</v>
      </c>
      <c r="D698" s="316">
        <v>44929.0</v>
      </c>
      <c r="E698" s="218">
        <v>785.6106629999999</v>
      </c>
      <c r="F698" s="218">
        <v>29.45712102</v>
      </c>
      <c r="G698" s="218">
        <v>0.0</v>
      </c>
      <c r="H698" s="223">
        <v>756.1535419799999</v>
      </c>
      <c r="J698" s="223" t="s">
        <v>252</v>
      </c>
      <c r="K698" s="317">
        <v>2023.0</v>
      </c>
    </row>
    <row r="699">
      <c r="A699" s="223" t="s">
        <v>788</v>
      </c>
      <c r="B699" s="223" t="s">
        <v>1250</v>
      </c>
      <c r="C699" s="223" t="s">
        <v>1470</v>
      </c>
      <c r="D699" s="316">
        <v>44931.0</v>
      </c>
      <c r="E699" s="218">
        <v>3000.0</v>
      </c>
      <c r="F699" s="218">
        <v>0.0</v>
      </c>
      <c r="G699" s="218">
        <v>0.0</v>
      </c>
      <c r="H699" s="223">
        <v>3000.0</v>
      </c>
      <c r="J699" s="223" t="s">
        <v>52</v>
      </c>
      <c r="K699" s="317">
        <v>2023.01</v>
      </c>
    </row>
    <row r="700">
      <c r="A700" s="223" t="s">
        <v>630</v>
      </c>
      <c r="B700" s="223" t="s">
        <v>1345</v>
      </c>
      <c r="C700" s="223" t="s">
        <v>469</v>
      </c>
      <c r="D700" s="316">
        <v>44939.0</v>
      </c>
      <c r="E700" s="218">
        <v>280.0</v>
      </c>
      <c r="F700" s="218">
        <v>8.71</v>
      </c>
      <c r="G700" s="218">
        <v>0.0</v>
      </c>
      <c r="H700" s="223">
        <v>271.29</v>
      </c>
      <c r="J700" s="223" t="s">
        <v>52</v>
      </c>
      <c r="K700" s="317">
        <v>2023.01</v>
      </c>
    </row>
    <row r="701">
      <c r="A701" s="223" t="s">
        <v>99</v>
      </c>
      <c r="B701" s="223" t="s">
        <v>1192</v>
      </c>
      <c r="C701" s="223" t="s">
        <v>1156</v>
      </c>
      <c r="D701" s="316">
        <v>44939.0</v>
      </c>
      <c r="E701" s="218">
        <v>1683.5611000000001</v>
      </c>
      <c r="F701" s="218">
        <v>62.6802748</v>
      </c>
      <c r="G701" s="218">
        <v>324.17616504000006</v>
      </c>
      <c r="H701" s="223">
        <v>1296.70466016</v>
      </c>
      <c r="J701" s="223" t="s">
        <v>52</v>
      </c>
      <c r="K701" s="317">
        <v>2023.01</v>
      </c>
    </row>
    <row r="702">
      <c r="A702" s="223" t="s">
        <v>225</v>
      </c>
      <c r="B702" s="223" t="s">
        <v>1257</v>
      </c>
      <c r="C702" s="223" t="s">
        <v>1156</v>
      </c>
      <c r="D702" s="316">
        <v>44939.0</v>
      </c>
      <c r="E702" s="218">
        <v>5000.0</v>
      </c>
      <c r="F702" s="218">
        <v>0.0</v>
      </c>
      <c r="G702" s="218">
        <v>0.0</v>
      </c>
      <c r="H702" s="223">
        <v>5000.0</v>
      </c>
      <c r="J702" s="223" t="s">
        <v>52</v>
      </c>
      <c r="K702" s="317">
        <v>2023.01</v>
      </c>
    </row>
    <row r="703">
      <c r="A703" s="223" t="s">
        <v>102</v>
      </c>
      <c r="B703" s="223" t="s">
        <v>1259</v>
      </c>
      <c r="C703" s="223" t="s">
        <v>1156</v>
      </c>
      <c r="D703" s="316">
        <v>44939.0</v>
      </c>
      <c r="E703" s="218">
        <v>452.31584999999995</v>
      </c>
      <c r="F703" s="218">
        <v>17.123385749999997</v>
      </c>
      <c r="G703" s="218">
        <v>0.0</v>
      </c>
      <c r="H703" s="223">
        <v>435.19246424999994</v>
      </c>
      <c r="J703" s="223" t="s">
        <v>52</v>
      </c>
      <c r="K703" s="317">
        <v>2023.01</v>
      </c>
    </row>
    <row r="704">
      <c r="A704" s="223" t="s">
        <v>62</v>
      </c>
      <c r="B704" s="223" t="s">
        <v>1304</v>
      </c>
      <c r="C704" s="223" t="s">
        <v>1156</v>
      </c>
      <c r="D704" s="316">
        <v>44939.0</v>
      </c>
      <c r="E704" s="218">
        <v>1600.0</v>
      </c>
      <c r="F704" s="218">
        <v>49.78</v>
      </c>
      <c r="G704" s="218">
        <v>0.0</v>
      </c>
      <c r="H704" s="223">
        <v>1550.22</v>
      </c>
      <c r="J704" s="223" t="s">
        <v>52</v>
      </c>
      <c r="K704" s="317">
        <v>2023.01</v>
      </c>
    </row>
    <row r="705">
      <c r="A705" s="223" t="s">
        <v>66</v>
      </c>
      <c r="B705" s="223" t="s">
        <v>1324</v>
      </c>
      <c r="C705" s="223" t="s">
        <v>1156</v>
      </c>
      <c r="D705" s="316">
        <v>44939.0</v>
      </c>
      <c r="E705" s="218">
        <v>900.0</v>
      </c>
      <c r="F705" s="218">
        <v>0.0</v>
      </c>
      <c r="G705" s="218">
        <v>0.0</v>
      </c>
      <c r="H705" s="223">
        <v>900.0</v>
      </c>
      <c r="J705" s="223" t="s">
        <v>52</v>
      </c>
      <c r="K705" s="317">
        <v>2023.01</v>
      </c>
    </row>
    <row r="706">
      <c r="A706" s="223" t="s">
        <v>467</v>
      </c>
      <c r="B706" s="223" t="s">
        <v>1209</v>
      </c>
      <c r="C706" s="223" t="s">
        <v>469</v>
      </c>
      <c r="D706" s="316">
        <v>44939.0</v>
      </c>
      <c r="E706" s="218">
        <v>367.339</v>
      </c>
      <c r="F706" s="218">
        <v>13.985387</v>
      </c>
      <c r="G706" s="218">
        <v>70.6707226</v>
      </c>
      <c r="H706" s="223">
        <v>282.6828904</v>
      </c>
      <c r="J706" s="223" t="s">
        <v>52</v>
      </c>
      <c r="K706" s="317">
        <v>2023.01</v>
      </c>
    </row>
    <row r="707">
      <c r="A707" s="223" t="s">
        <v>629</v>
      </c>
      <c r="B707" s="223" t="s">
        <v>1395</v>
      </c>
      <c r="C707" s="223" t="s">
        <v>469</v>
      </c>
      <c r="D707" s="316">
        <v>44939.0</v>
      </c>
      <c r="E707" s="218">
        <v>367.5168</v>
      </c>
      <c r="F707" s="218">
        <v>10.96</v>
      </c>
      <c r="G707" s="218">
        <v>0.0</v>
      </c>
      <c r="H707" s="223">
        <v>356.5568</v>
      </c>
      <c r="J707" s="223" t="s">
        <v>52</v>
      </c>
      <c r="K707" s="317">
        <v>2023.01</v>
      </c>
    </row>
    <row r="708">
      <c r="A708" s="223" t="s">
        <v>762</v>
      </c>
      <c r="B708" s="223" t="s">
        <v>1429</v>
      </c>
      <c r="C708" s="223" t="s">
        <v>1432</v>
      </c>
      <c r="D708" s="316">
        <v>44939.0</v>
      </c>
      <c r="E708" s="218">
        <v>500.0</v>
      </c>
      <c r="F708" s="218">
        <v>0.0</v>
      </c>
      <c r="G708" s="218">
        <v>0.0</v>
      </c>
      <c r="H708" s="223">
        <v>500.0</v>
      </c>
      <c r="J708" s="223" t="s">
        <v>52</v>
      </c>
      <c r="K708" s="317">
        <v>2023.01</v>
      </c>
    </row>
    <row r="709">
      <c r="A709" s="223" t="s">
        <v>662</v>
      </c>
      <c r="B709" s="223" t="s">
        <v>1433</v>
      </c>
      <c r="C709" s="223" t="s">
        <v>1434</v>
      </c>
      <c r="D709" s="316">
        <v>44939.0</v>
      </c>
      <c r="E709" s="218">
        <v>2500.0</v>
      </c>
      <c r="F709" s="218">
        <v>0.0</v>
      </c>
      <c r="G709" s="218">
        <v>0.0</v>
      </c>
      <c r="H709" s="223">
        <v>2500.0</v>
      </c>
      <c r="J709" s="223" t="s">
        <v>52</v>
      </c>
      <c r="K709" s="317">
        <v>2023.01</v>
      </c>
    </row>
    <row r="710">
      <c r="A710" s="223" t="s">
        <v>773</v>
      </c>
      <c r="B710" s="223" t="s">
        <v>1304</v>
      </c>
      <c r="C710" s="223" t="s">
        <v>1190</v>
      </c>
      <c r="D710" s="316">
        <v>44939.0</v>
      </c>
      <c r="E710" s="218">
        <v>600.0</v>
      </c>
      <c r="F710" s="218">
        <v>18.666900000000002</v>
      </c>
      <c r="G710" s="218">
        <v>0.0</v>
      </c>
      <c r="H710" s="223">
        <v>581.3331</v>
      </c>
      <c r="J710" s="223" t="s">
        <v>252</v>
      </c>
      <c r="K710" s="317">
        <v>2023.0</v>
      </c>
    </row>
    <row r="711">
      <c r="A711" s="223" t="s">
        <v>795</v>
      </c>
      <c r="B711" s="223" t="s">
        <v>1352</v>
      </c>
      <c r="C711" s="223" t="s">
        <v>1393</v>
      </c>
      <c r="D711" s="316">
        <v>44972.0</v>
      </c>
      <c r="E711" s="218">
        <v>2000.0</v>
      </c>
      <c r="F711" s="218">
        <v>0.0</v>
      </c>
      <c r="G711" s="218">
        <v>0.0</v>
      </c>
      <c r="H711" s="223">
        <v>2000.0</v>
      </c>
      <c r="J711" s="223" t="s">
        <v>52</v>
      </c>
      <c r="K711" s="317">
        <v>2023.02</v>
      </c>
    </row>
    <row r="712">
      <c r="A712" s="223" t="s">
        <v>584</v>
      </c>
      <c r="B712" s="223" t="s">
        <v>1398</v>
      </c>
      <c r="C712" s="223" t="s">
        <v>1403</v>
      </c>
      <c r="D712" s="316">
        <v>44957.0</v>
      </c>
      <c r="E712" s="218">
        <v>315.02000275200004</v>
      </c>
      <c r="F712" s="218">
        <v>0.0</v>
      </c>
      <c r="G712" s="218">
        <v>0.0</v>
      </c>
      <c r="H712" s="223">
        <v>315.02000275200004</v>
      </c>
      <c r="J712" s="223" t="s">
        <v>252</v>
      </c>
      <c r="K712" s="317">
        <v>2023.0</v>
      </c>
    </row>
    <row r="713">
      <c r="A713" s="223" t="s">
        <v>586</v>
      </c>
      <c r="B713" s="223" t="s">
        <v>1404</v>
      </c>
      <c r="C713" s="223" t="s">
        <v>1403</v>
      </c>
      <c r="D713" s="316">
        <v>44957.0</v>
      </c>
      <c r="E713" s="218">
        <v>130.013814</v>
      </c>
      <c r="F713" s="218">
        <v>0.0</v>
      </c>
      <c r="G713" s="218">
        <v>0.0</v>
      </c>
      <c r="H713" s="223">
        <v>130.013814</v>
      </c>
      <c r="J713" s="223" t="s">
        <v>252</v>
      </c>
      <c r="K713" s="317">
        <v>2023.0</v>
      </c>
    </row>
    <row r="714">
      <c r="A714" s="223" t="s">
        <v>223</v>
      </c>
      <c r="B714" s="223" t="s">
        <v>1176</v>
      </c>
      <c r="C714" s="223" t="s">
        <v>1156</v>
      </c>
      <c r="D714" s="316">
        <v>44957.0</v>
      </c>
      <c r="E714" s="218">
        <v>800.0</v>
      </c>
      <c r="F714" s="218">
        <v>24.89</v>
      </c>
      <c r="G714" s="218">
        <v>0.0</v>
      </c>
      <c r="H714" s="223">
        <v>775.11</v>
      </c>
      <c r="J714" s="223" t="s">
        <v>52</v>
      </c>
      <c r="K714" s="317">
        <v>2023.01</v>
      </c>
    </row>
    <row r="715">
      <c r="A715" s="223" t="s">
        <v>54</v>
      </c>
      <c r="B715" s="223" t="s">
        <v>1187</v>
      </c>
      <c r="C715" s="223" t="s">
        <v>1156</v>
      </c>
      <c r="D715" s="316">
        <v>44957.0</v>
      </c>
      <c r="E715" s="218">
        <v>750.0</v>
      </c>
      <c r="F715" s="218">
        <v>23.33</v>
      </c>
      <c r="G715" s="218">
        <v>0.0</v>
      </c>
      <c r="H715" s="223">
        <v>726.67</v>
      </c>
      <c r="J715" s="223" t="s">
        <v>52</v>
      </c>
      <c r="K715" s="317">
        <v>2023.01</v>
      </c>
    </row>
    <row r="716">
      <c r="A716" s="223" t="s">
        <v>120</v>
      </c>
      <c r="B716" s="223" t="s">
        <v>1215</v>
      </c>
      <c r="C716" s="223" t="s">
        <v>1156</v>
      </c>
      <c r="D716" s="316">
        <v>44957.0</v>
      </c>
      <c r="E716" s="218">
        <v>1936.4595</v>
      </c>
      <c r="F716" s="218">
        <v>72.03629339999999</v>
      </c>
      <c r="G716" s="218">
        <v>372.88464132</v>
      </c>
      <c r="H716" s="223">
        <v>1491.53856528</v>
      </c>
      <c r="J716" s="223" t="s">
        <v>52</v>
      </c>
      <c r="K716" s="317">
        <v>2023.01</v>
      </c>
    </row>
    <row r="717">
      <c r="A717" s="223" t="s">
        <v>84</v>
      </c>
      <c r="B717" s="223" t="s">
        <v>1227</v>
      </c>
      <c r="C717" s="223" t="s">
        <v>1156</v>
      </c>
      <c r="D717" s="316">
        <v>44957.0</v>
      </c>
      <c r="E717" s="218">
        <v>1000.0</v>
      </c>
      <c r="F717" s="218">
        <v>0.0</v>
      </c>
      <c r="G717" s="218">
        <v>0.0</v>
      </c>
      <c r="H717" s="223">
        <v>1000.0</v>
      </c>
      <c r="J717" s="223" t="s">
        <v>52</v>
      </c>
      <c r="K717" s="317">
        <v>2023.01</v>
      </c>
    </row>
    <row r="718">
      <c r="A718" s="223" t="s">
        <v>42</v>
      </c>
      <c r="B718" s="223" t="s">
        <v>1236</v>
      </c>
      <c r="C718" s="223" t="s">
        <v>1156</v>
      </c>
      <c r="D718" s="316">
        <v>44957.0</v>
      </c>
      <c r="E718" s="218">
        <v>1500.0</v>
      </c>
      <c r="F718" s="218">
        <v>46.67</v>
      </c>
      <c r="G718" s="218">
        <v>217.99949999999998</v>
      </c>
      <c r="H718" s="223">
        <v>1235.3305</v>
      </c>
      <c r="J718" s="223" t="s">
        <v>52</v>
      </c>
      <c r="K718" s="317">
        <v>2023.01</v>
      </c>
    </row>
    <row r="719">
      <c r="A719" s="223" t="s">
        <v>82</v>
      </c>
      <c r="B719" s="223" t="s">
        <v>1124</v>
      </c>
      <c r="C719" s="223" t="s">
        <v>1156</v>
      </c>
      <c r="D719" s="316">
        <v>44957.0</v>
      </c>
      <c r="E719" s="218">
        <v>800.0</v>
      </c>
      <c r="F719" s="218">
        <v>0.0</v>
      </c>
      <c r="G719" s="218">
        <v>0.0</v>
      </c>
      <c r="H719" s="223">
        <v>800.0</v>
      </c>
      <c r="J719" s="223" t="s">
        <v>52</v>
      </c>
      <c r="K719" s="317">
        <v>2023.01</v>
      </c>
    </row>
    <row r="720">
      <c r="A720" s="223" t="s">
        <v>88</v>
      </c>
      <c r="B720" s="223" t="s">
        <v>1256</v>
      </c>
      <c r="C720" s="223" t="s">
        <v>1156</v>
      </c>
      <c r="D720" s="316">
        <v>44957.0</v>
      </c>
      <c r="E720" s="218">
        <v>500.0</v>
      </c>
      <c r="F720" s="218">
        <v>15.56</v>
      </c>
      <c r="G720" s="218">
        <v>0.0</v>
      </c>
      <c r="H720" s="223">
        <v>484.44</v>
      </c>
      <c r="J720" s="223" t="s">
        <v>52</v>
      </c>
      <c r="K720" s="317">
        <v>2023.01</v>
      </c>
    </row>
    <row r="721">
      <c r="A721" s="223" t="s">
        <v>50</v>
      </c>
      <c r="B721" s="223" t="s">
        <v>1275</v>
      </c>
      <c r="C721" s="223" t="s">
        <v>1156</v>
      </c>
      <c r="D721" s="316">
        <v>44957.0</v>
      </c>
      <c r="E721" s="218">
        <v>375.0</v>
      </c>
      <c r="F721" s="218">
        <v>0.0</v>
      </c>
      <c r="G721" s="218">
        <v>0.0</v>
      </c>
      <c r="H721" s="223">
        <v>375.0</v>
      </c>
      <c r="J721" s="223" t="s">
        <v>52</v>
      </c>
      <c r="K721" s="317">
        <v>2023.01</v>
      </c>
    </row>
    <row r="722">
      <c r="A722" s="223" t="s">
        <v>105</v>
      </c>
      <c r="B722" s="223" t="s">
        <v>1280</v>
      </c>
      <c r="C722" s="223" t="s">
        <v>2308</v>
      </c>
      <c r="D722" s="316">
        <v>44957.0</v>
      </c>
      <c r="E722" s="218">
        <v>386.9136</v>
      </c>
      <c r="F722" s="218">
        <v>14.7027168</v>
      </c>
      <c r="G722" s="218">
        <v>0.0</v>
      </c>
      <c r="H722" s="223">
        <v>372.21088319999996</v>
      </c>
      <c r="J722" s="223" t="s">
        <v>52</v>
      </c>
      <c r="K722" s="317">
        <v>2023.01</v>
      </c>
    </row>
    <row r="723">
      <c r="A723" s="223" t="s">
        <v>90</v>
      </c>
      <c r="B723" s="223" t="s">
        <v>1282</v>
      </c>
      <c r="C723" s="223" t="s">
        <v>1156</v>
      </c>
      <c r="D723" s="316">
        <v>44957.0</v>
      </c>
      <c r="E723" s="218">
        <v>1150.0</v>
      </c>
      <c r="F723" s="218">
        <v>0.0</v>
      </c>
      <c r="G723" s="218">
        <v>0.0</v>
      </c>
      <c r="H723" s="223">
        <v>1150.0</v>
      </c>
      <c r="J723" s="223" t="s">
        <v>52</v>
      </c>
      <c r="K723" s="317">
        <v>2023.01</v>
      </c>
    </row>
    <row r="724">
      <c r="A724" s="223" t="s">
        <v>97</v>
      </c>
      <c r="B724" s="223" t="s">
        <v>1286</v>
      </c>
      <c r="C724" s="223" t="s">
        <v>1156</v>
      </c>
      <c r="D724" s="316">
        <v>44957.0</v>
      </c>
      <c r="E724" s="218">
        <v>300.0</v>
      </c>
      <c r="F724" s="218">
        <v>9.33</v>
      </c>
      <c r="G724" s="218">
        <v>0.0</v>
      </c>
      <c r="H724" s="223">
        <v>290.67</v>
      </c>
      <c r="J724" s="223" t="s">
        <v>52</v>
      </c>
      <c r="K724" s="317">
        <v>2023.01</v>
      </c>
    </row>
    <row r="725">
      <c r="A725" s="223" t="s">
        <v>92</v>
      </c>
      <c r="B725" s="223" t="s">
        <v>1289</v>
      </c>
      <c r="C725" s="223" t="s">
        <v>1156</v>
      </c>
      <c r="D725" s="316">
        <v>44957.0</v>
      </c>
      <c r="E725" s="218">
        <v>2500.0</v>
      </c>
      <c r="F725" s="218">
        <v>77.78</v>
      </c>
      <c r="G725" s="218">
        <v>0.0</v>
      </c>
      <c r="H725" s="223">
        <v>2422.22</v>
      </c>
      <c r="J725" s="223" t="s">
        <v>52</v>
      </c>
      <c r="K725" s="317">
        <v>2023.01</v>
      </c>
    </row>
    <row r="726">
      <c r="A726" s="223" t="s">
        <v>123</v>
      </c>
      <c r="B726" s="223" t="s">
        <v>1300</v>
      </c>
      <c r="C726" s="223" t="s">
        <v>1156</v>
      </c>
      <c r="D726" s="316">
        <v>44957.0</v>
      </c>
      <c r="E726" s="218">
        <v>5958.224999999999</v>
      </c>
      <c r="F726" s="218">
        <v>220.85154</v>
      </c>
      <c r="G726" s="218">
        <v>1147.474692</v>
      </c>
      <c r="H726" s="223">
        <v>4589.898768</v>
      </c>
      <c r="J726" s="223" t="s">
        <v>52</v>
      </c>
      <c r="K726" s="317">
        <v>2023.01</v>
      </c>
    </row>
    <row r="727">
      <c r="A727" s="223" t="s">
        <v>115</v>
      </c>
      <c r="B727" s="223" t="s">
        <v>1308</v>
      </c>
      <c r="C727" s="223" t="s">
        <v>1156</v>
      </c>
      <c r="D727" s="316">
        <v>44957.0</v>
      </c>
      <c r="E727" s="218">
        <v>2607.8250000000003</v>
      </c>
      <c r="F727" s="218">
        <v>0.0</v>
      </c>
      <c r="G727" s="218">
        <v>0.0</v>
      </c>
      <c r="H727" s="223">
        <v>2607.8250000000003</v>
      </c>
      <c r="J727" s="223" t="s">
        <v>52</v>
      </c>
      <c r="K727" s="317">
        <v>2023.01</v>
      </c>
    </row>
    <row r="728">
      <c r="A728" s="223" t="s">
        <v>118</v>
      </c>
      <c r="B728" s="223" t="s">
        <v>1312</v>
      </c>
      <c r="C728" s="223" t="s">
        <v>1156</v>
      </c>
      <c r="D728" s="316">
        <v>44957.0</v>
      </c>
      <c r="E728" s="218">
        <v>2607.8250000000003</v>
      </c>
      <c r="F728" s="218">
        <v>0.0</v>
      </c>
      <c r="G728" s="218">
        <v>0.0</v>
      </c>
      <c r="H728" s="223">
        <v>2607.8250000000003</v>
      </c>
      <c r="J728" s="223" t="s">
        <v>52</v>
      </c>
      <c r="K728" s="317">
        <v>2023.01</v>
      </c>
    </row>
    <row r="729">
      <c r="A729" s="223" t="s">
        <v>73</v>
      </c>
      <c r="B729" s="223" t="s">
        <v>1327</v>
      </c>
      <c r="C729" s="223" t="s">
        <v>1156</v>
      </c>
      <c r="D729" s="316">
        <v>44957.0</v>
      </c>
      <c r="E729" s="218">
        <v>700.0</v>
      </c>
      <c r="F729" s="218">
        <v>0.0</v>
      </c>
      <c r="G729" s="218">
        <v>0.0</v>
      </c>
      <c r="H729" s="223">
        <v>700.0</v>
      </c>
      <c r="J729" s="223" t="s">
        <v>52</v>
      </c>
      <c r="K729" s="317">
        <v>2023.01</v>
      </c>
    </row>
    <row r="730">
      <c r="A730" s="223" t="s">
        <v>499</v>
      </c>
      <c r="B730" s="223" t="s">
        <v>1330</v>
      </c>
      <c r="C730" s="223" t="s">
        <v>1375</v>
      </c>
      <c r="D730" s="316">
        <v>44957.0</v>
      </c>
      <c r="E730" s="218">
        <v>1650.0</v>
      </c>
      <c r="F730" s="218">
        <v>55.245135</v>
      </c>
      <c r="G730" s="218">
        <v>0.0</v>
      </c>
      <c r="H730" s="223">
        <v>1594.754865</v>
      </c>
      <c r="J730" s="223" t="s">
        <v>52</v>
      </c>
      <c r="K730" s="317">
        <v>2023.01</v>
      </c>
    </row>
    <row r="731">
      <c r="A731" s="223" t="s">
        <v>806</v>
      </c>
      <c r="B731" s="223" t="s">
        <v>1305</v>
      </c>
      <c r="C731" s="223" t="s">
        <v>1435</v>
      </c>
      <c r="D731" s="316">
        <v>44957.0</v>
      </c>
      <c r="E731" s="218">
        <v>400.0</v>
      </c>
      <c r="F731" s="218">
        <v>12.44</v>
      </c>
      <c r="G731" s="218">
        <v>0.0</v>
      </c>
      <c r="H731" s="223">
        <v>387.56</v>
      </c>
      <c r="J731" s="223" t="s">
        <v>52</v>
      </c>
      <c r="K731" s="317">
        <v>2023.01</v>
      </c>
    </row>
    <row r="732">
      <c r="A732" s="223" t="s">
        <v>695</v>
      </c>
      <c r="B732" s="223" t="s">
        <v>1216</v>
      </c>
      <c r="C732" s="223" t="s">
        <v>1451</v>
      </c>
      <c r="D732" s="316">
        <v>44957.0</v>
      </c>
      <c r="E732" s="218">
        <v>600.0</v>
      </c>
      <c r="F732" s="218">
        <v>18.67</v>
      </c>
      <c r="G732" s="218">
        <v>0.0</v>
      </c>
      <c r="H732" s="223">
        <v>581.33</v>
      </c>
      <c r="J732" s="223" t="s">
        <v>52</v>
      </c>
      <c r="K732" s="317">
        <v>2023.01</v>
      </c>
    </row>
    <row r="733">
      <c r="A733" s="223" t="s">
        <v>808</v>
      </c>
      <c r="B733" s="223" t="s">
        <v>1352</v>
      </c>
      <c r="C733" s="223" t="s">
        <v>1471</v>
      </c>
      <c r="D733" s="316">
        <v>44957.0</v>
      </c>
      <c r="E733" s="218">
        <v>900.0</v>
      </c>
      <c r="F733" s="218">
        <v>0.0</v>
      </c>
      <c r="G733" s="218">
        <v>0.0</v>
      </c>
      <c r="H733" s="223">
        <v>900.0</v>
      </c>
      <c r="J733" s="223" t="s">
        <v>252</v>
      </c>
      <c r="K733" s="317">
        <v>2023.0</v>
      </c>
    </row>
    <row r="734">
      <c r="A734" s="223" t="s">
        <v>810</v>
      </c>
      <c r="B734" s="223" t="s">
        <v>1363</v>
      </c>
      <c r="C734" s="223" t="s">
        <v>1393</v>
      </c>
      <c r="D734" s="316">
        <v>44957.0</v>
      </c>
      <c r="E734" s="218">
        <v>1031.8472</v>
      </c>
      <c r="F734" s="218">
        <v>153.1003283</v>
      </c>
      <c r="G734" s="218">
        <v>0.0</v>
      </c>
      <c r="H734" s="223">
        <v>878.7468716999999</v>
      </c>
      <c r="J734" s="223" t="s">
        <v>52</v>
      </c>
      <c r="K734" s="317">
        <v>2023.01</v>
      </c>
    </row>
    <row r="735">
      <c r="A735" s="223" t="s">
        <v>810</v>
      </c>
      <c r="B735" s="223" t="s">
        <v>1363</v>
      </c>
      <c r="C735" s="223" t="s">
        <v>1393</v>
      </c>
      <c r="D735" s="316">
        <v>44957.0</v>
      </c>
      <c r="E735" s="218">
        <v>4127.3888</v>
      </c>
      <c r="F735" s="218">
        <v>38.5652891</v>
      </c>
      <c r="G735" s="218">
        <v>0.0</v>
      </c>
      <c r="H735" s="223">
        <v>4088.8235108999997</v>
      </c>
      <c r="J735" s="223" t="s">
        <v>52</v>
      </c>
      <c r="K735" s="317">
        <v>2023.01</v>
      </c>
    </row>
    <row r="736">
      <c r="A736" s="223" t="s">
        <v>394</v>
      </c>
      <c r="B736" s="223" t="s">
        <v>1158</v>
      </c>
      <c r="C736" s="223" t="s">
        <v>1164</v>
      </c>
      <c r="D736" s="316">
        <v>45044.0</v>
      </c>
      <c r="E736" s="218">
        <v>194.73</v>
      </c>
      <c r="F736" s="218">
        <v>0.0</v>
      </c>
      <c r="G736" s="218">
        <v>0.0</v>
      </c>
      <c r="H736" s="223">
        <v>194.73</v>
      </c>
      <c r="J736" s="223" t="s">
        <v>257</v>
      </c>
      <c r="K736" s="317">
        <v>2023.0</v>
      </c>
    </row>
    <row r="737">
      <c r="A737" s="223" t="s">
        <v>817</v>
      </c>
      <c r="B737" s="223" t="s">
        <v>1473</v>
      </c>
      <c r="C737" s="223" t="s">
        <v>1393</v>
      </c>
      <c r="D737" s="316">
        <v>44959.0</v>
      </c>
      <c r="E737" s="218">
        <v>7500.0</v>
      </c>
      <c r="F737" s="218">
        <v>233.33625</v>
      </c>
      <c r="G737" s="218">
        <v>0.0</v>
      </c>
      <c r="H737" s="223">
        <v>7266.66375</v>
      </c>
      <c r="J737" s="223" t="s">
        <v>52</v>
      </c>
      <c r="K737" s="317">
        <v>2023.02</v>
      </c>
    </row>
    <row r="738">
      <c r="A738" s="223" t="s">
        <v>676</v>
      </c>
      <c r="B738" s="223" t="s">
        <v>1441</v>
      </c>
      <c r="C738" s="223" t="s">
        <v>2312</v>
      </c>
      <c r="D738" s="316">
        <v>44959.0</v>
      </c>
      <c r="E738" s="218">
        <v>1000.0</v>
      </c>
      <c r="F738" s="218">
        <v>0.0</v>
      </c>
      <c r="G738" s="218">
        <v>0.0</v>
      </c>
      <c r="H738" s="223">
        <v>1000.0</v>
      </c>
      <c r="J738" s="223" t="s">
        <v>819</v>
      </c>
      <c r="K738" s="317">
        <v>2023.0</v>
      </c>
    </row>
    <row r="739">
      <c r="A739" s="223" t="s">
        <v>821</v>
      </c>
      <c r="B739" s="223" t="s">
        <v>1475</v>
      </c>
      <c r="C739" s="223" t="s">
        <v>1476</v>
      </c>
      <c r="D739" s="316">
        <v>44970.0</v>
      </c>
      <c r="E739" s="218">
        <v>750.0</v>
      </c>
      <c r="F739" s="218">
        <v>23.33</v>
      </c>
      <c r="G739" s="218">
        <v>0.0</v>
      </c>
      <c r="H739" s="223">
        <v>726.67</v>
      </c>
      <c r="J739" s="223" t="s">
        <v>822</v>
      </c>
      <c r="K739" s="317">
        <v>2023.0</v>
      </c>
    </row>
    <row r="740">
      <c r="A740" s="223" t="s">
        <v>821</v>
      </c>
      <c r="B740" s="223" t="s">
        <v>1475</v>
      </c>
      <c r="C740" s="223" t="s">
        <v>1476</v>
      </c>
      <c r="D740" s="316">
        <v>45000.0</v>
      </c>
      <c r="E740" s="218">
        <v>750.0</v>
      </c>
      <c r="F740" s="218">
        <v>23.33</v>
      </c>
      <c r="G740" s="218">
        <v>0.0</v>
      </c>
      <c r="H740" s="223">
        <v>726.67</v>
      </c>
      <c r="J740" s="223" t="s">
        <v>824</v>
      </c>
      <c r="K740" s="317">
        <v>2023.0</v>
      </c>
    </row>
    <row r="741">
      <c r="A741" s="223" t="s">
        <v>99</v>
      </c>
      <c r="B741" s="223" t="s">
        <v>1192</v>
      </c>
      <c r="C741" s="223" t="s">
        <v>1156</v>
      </c>
      <c r="D741" s="316">
        <v>44972.0</v>
      </c>
      <c r="E741" s="218">
        <v>1849.14301</v>
      </c>
      <c r="F741" s="218">
        <v>68.80622347</v>
      </c>
      <c r="G741" s="218">
        <v>356.067357306</v>
      </c>
      <c r="H741" s="223">
        <v>1424.2694292239999</v>
      </c>
      <c r="J741" s="223" t="s">
        <v>52</v>
      </c>
      <c r="K741" s="317">
        <v>2023.02</v>
      </c>
    </row>
    <row r="742">
      <c r="A742" s="223" t="s">
        <v>225</v>
      </c>
      <c r="B742" s="223" t="s">
        <v>1257</v>
      </c>
      <c r="C742" s="223" t="s">
        <v>1156</v>
      </c>
      <c r="D742" s="316">
        <v>44972.0</v>
      </c>
      <c r="E742" s="218">
        <v>5000.0</v>
      </c>
      <c r="F742" s="218">
        <v>0.0</v>
      </c>
      <c r="G742" s="218">
        <v>0.0</v>
      </c>
      <c r="H742" s="223">
        <v>5000.0</v>
      </c>
      <c r="J742" s="223" t="s">
        <v>52</v>
      </c>
      <c r="K742" s="317">
        <v>2023.02</v>
      </c>
    </row>
    <row r="743">
      <c r="A743" s="223" t="s">
        <v>102</v>
      </c>
      <c r="B743" s="223" t="s">
        <v>1259</v>
      </c>
      <c r="C743" s="223" t="s">
        <v>1156</v>
      </c>
      <c r="D743" s="316">
        <v>44972.0</v>
      </c>
      <c r="E743" s="218">
        <v>461.04100000000005</v>
      </c>
      <c r="F743" s="218">
        <v>17.453695</v>
      </c>
      <c r="G743" s="218">
        <v>0.0</v>
      </c>
      <c r="H743" s="223">
        <v>443.5873050000001</v>
      </c>
      <c r="J743" s="223" t="s">
        <v>52</v>
      </c>
      <c r="K743" s="317">
        <v>2023.02</v>
      </c>
    </row>
    <row r="744">
      <c r="A744" s="223" t="s">
        <v>62</v>
      </c>
      <c r="B744" s="223" t="s">
        <v>1304</v>
      </c>
      <c r="C744" s="223" t="s">
        <v>1156</v>
      </c>
      <c r="D744" s="316">
        <v>44972.0</v>
      </c>
      <c r="E744" s="218">
        <v>1600.0</v>
      </c>
      <c r="F744" s="218">
        <v>49.78</v>
      </c>
      <c r="G744" s="218">
        <v>0.0</v>
      </c>
      <c r="H744" s="223">
        <v>1550.22</v>
      </c>
      <c r="J744" s="223" t="s">
        <v>52</v>
      </c>
      <c r="K744" s="317">
        <v>2023.02</v>
      </c>
    </row>
    <row r="745">
      <c r="A745" s="223" t="s">
        <v>66</v>
      </c>
      <c r="B745" s="223" t="s">
        <v>1324</v>
      </c>
      <c r="C745" s="223" t="s">
        <v>1156</v>
      </c>
      <c r="D745" s="316">
        <v>44972.0</v>
      </c>
      <c r="E745" s="218">
        <v>990.0</v>
      </c>
      <c r="F745" s="218">
        <v>0.0</v>
      </c>
      <c r="G745" s="218">
        <v>0.0</v>
      </c>
      <c r="H745" s="223">
        <v>990.0</v>
      </c>
      <c r="J745" s="223" t="s">
        <v>52</v>
      </c>
      <c r="K745" s="317">
        <v>2023.02</v>
      </c>
    </row>
    <row r="746">
      <c r="A746" s="223" t="s">
        <v>467</v>
      </c>
      <c r="B746" s="223" t="s">
        <v>1209</v>
      </c>
      <c r="C746" s="223" t="s">
        <v>469</v>
      </c>
      <c r="D746" s="316">
        <v>44972.0</v>
      </c>
      <c r="E746" s="218">
        <v>366.82295999999997</v>
      </c>
      <c r="F746" s="218">
        <v>13.96547412</v>
      </c>
      <c r="G746" s="218">
        <v>70.571497176</v>
      </c>
      <c r="H746" s="223">
        <v>282.285988704</v>
      </c>
      <c r="J746" s="223" t="s">
        <v>52</v>
      </c>
      <c r="K746" s="317">
        <v>2023.02</v>
      </c>
    </row>
    <row r="747">
      <c r="A747" s="223" t="s">
        <v>629</v>
      </c>
      <c r="B747" s="223" t="s">
        <v>1395</v>
      </c>
      <c r="C747" s="223" t="s">
        <v>469</v>
      </c>
      <c r="D747" s="316">
        <v>44972.0</v>
      </c>
      <c r="E747" s="218">
        <v>369.19960000000003</v>
      </c>
      <c r="F747" s="218">
        <v>11.01</v>
      </c>
      <c r="G747" s="218">
        <v>0.0</v>
      </c>
      <c r="H747" s="223">
        <v>358.18960000000004</v>
      </c>
      <c r="J747" s="223" t="s">
        <v>52</v>
      </c>
      <c r="K747" s="317">
        <v>2023.02</v>
      </c>
    </row>
    <row r="748">
      <c r="A748" s="223" t="s">
        <v>762</v>
      </c>
      <c r="B748" s="223" t="s">
        <v>1429</v>
      </c>
      <c r="C748" s="223" t="s">
        <v>1432</v>
      </c>
      <c r="D748" s="316">
        <v>44972.0</v>
      </c>
      <c r="E748" s="218">
        <v>500.0</v>
      </c>
      <c r="F748" s="218">
        <v>0.0</v>
      </c>
      <c r="G748" s="218">
        <v>0.0</v>
      </c>
      <c r="H748" s="223">
        <v>500.0</v>
      </c>
      <c r="J748" s="223" t="s">
        <v>52</v>
      </c>
      <c r="K748" s="317">
        <v>2023.02</v>
      </c>
    </row>
    <row r="749">
      <c r="A749" s="223" t="s">
        <v>662</v>
      </c>
      <c r="B749" s="223" t="s">
        <v>1433</v>
      </c>
      <c r="C749" s="223" t="s">
        <v>1434</v>
      </c>
      <c r="D749" s="316">
        <v>44972.0</v>
      </c>
      <c r="E749" s="218">
        <v>2500.0</v>
      </c>
      <c r="F749" s="218">
        <v>0.0</v>
      </c>
      <c r="G749" s="218">
        <v>0.0</v>
      </c>
      <c r="H749" s="223">
        <v>2500.0</v>
      </c>
      <c r="J749" s="223" t="s">
        <v>52</v>
      </c>
      <c r="K749" s="317">
        <v>2023.02</v>
      </c>
    </row>
    <row r="750">
      <c r="A750" s="223" t="s">
        <v>788</v>
      </c>
      <c r="B750" s="223" t="s">
        <v>1250</v>
      </c>
      <c r="C750" s="223" t="s">
        <v>1470</v>
      </c>
      <c r="D750" s="316">
        <v>44972.0</v>
      </c>
      <c r="E750" s="218">
        <v>3000.0</v>
      </c>
      <c r="F750" s="218">
        <v>0.0</v>
      </c>
      <c r="G750" s="218">
        <v>0.0</v>
      </c>
      <c r="H750" s="223">
        <v>3000.0</v>
      </c>
      <c r="J750" s="223" t="s">
        <v>52</v>
      </c>
      <c r="K750" s="317">
        <v>2023.02</v>
      </c>
    </row>
    <row r="751">
      <c r="A751" s="223" t="s">
        <v>817</v>
      </c>
      <c r="B751" s="223" t="s">
        <v>1473</v>
      </c>
      <c r="C751" s="223" t="s">
        <v>1393</v>
      </c>
      <c r="D751" s="316">
        <v>45000.0</v>
      </c>
      <c r="E751" s="218">
        <v>7000.0</v>
      </c>
      <c r="F751" s="218">
        <v>217.78</v>
      </c>
      <c r="G751" s="218">
        <v>0.0</v>
      </c>
      <c r="H751" s="223">
        <v>6782.22</v>
      </c>
      <c r="J751" s="223" t="s">
        <v>52</v>
      </c>
      <c r="K751" s="317">
        <v>2023.03</v>
      </c>
    </row>
    <row r="752">
      <c r="A752" s="223" t="s">
        <v>835</v>
      </c>
      <c r="B752" s="223" t="s">
        <v>1478</v>
      </c>
      <c r="C752" s="223" t="s">
        <v>36</v>
      </c>
      <c r="D752" s="316">
        <v>44972.0</v>
      </c>
      <c r="E752" s="218">
        <v>3233.3333333333335</v>
      </c>
      <c r="F752" s="218">
        <v>100.59</v>
      </c>
      <c r="G752" s="218">
        <v>0.0</v>
      </c>
      <c r="H752" s="223">
        <v>3132.7433333333333</v>
      </c>
      <c r="J752" s="223" t="s">
        <v>688</v>
      </c>
      <c r="K752" s="317">
        <v>2023.0</v>
      </c>
    </row>
    <row r="753">
      <c r="A753" s="223" t="s">
        <v>835</v>
      </c>
      <c r="B753" s="223" t="s">
        <v>1478</v>
      </c>
      <c r="C753" s="223" t="s">
        <v>36</v>
      </c>
      <c r="D753" s="316">
        <v>45016.0</v>
      </c>
      <c r="E753" s="218">
        <v>3233.3333333333335</v>
      </c>
      <c r="F753" s="218">
        <v>0.0</v>
      </c>
      <c r="G753" s="218">
        <v>0.0</v>
      </c>
      <c r="H753" s="223">
        <v>3233.3333333333335</v>
      </c>
      <c r="J753" s="223" t="s">
        <v>688</v>
      </c>
      <c r="K753" s="317">
        <v>2023.0</v>
      </c>
    </row>
    <row r="754">
      <c r="A754" s="223" t="s">
        <v>835</v>
      </c>
      <c r="B754" s="223" t="s">
        <v>1478</v>
      </c>
      <c r="C754" s="223" t="s">
        <v>36</v>
      </c>
      <c r="D754" s="316">
        <v>45107.0</v>
      </c>
      <c r="E754" s="218">
        <v>3233.3433333333337</v>
      </c>
      <c r="F754" s="218">
        <v>0.0</v>
      </c>
      <c r="G754" s="218">
        <v>0.0</v>
      </c>
      <c r="H754" s="223">
        <v>3233.3433333333337</v>
      </c>
      <c r="J754" s="223" t="s">
        <v>688</v>
      </c>
      <c r="K754" s="317">
        <v>2023.0</v>
      </c>
    </row>
    <row r="755">
      <c r="A755" s="223" t="s">
        <v>840</v>
      </c>
      <c r="B755" s="223" t="s">
        <v>1216</v>
      </c>
      <c r="C755" s="223" t="s">
        <v>1471</v>
      </c>
      <c r="D755" s="316">
        <v>44984.0</v>
      </c>
      <c r="E755" s="218">
        <v>489.0</v>
      </c>
      <c r="F755" s="218">
        <v>15.21</v>
      </c>
      <c r="G755" s="218">
        <v>0.0</v>
      </c>
      <c r="H755" s="223">
        <v>473.79</v>
      </c>
      <c r="J755" s="223" t="s">
        <v>252</v>
      </c>
      <c r="K755" s="317">
        <v>2023.0</v>
      </c>
    </row>
    <row r="756">
      <c r="A756" s="223" t="s">
        <v>842</v>
      </c>
      <c r="B756" s="223" t="s">
        <v>1324</v>
      </c>
      <c r="C756" s="223" t="s">
        <v>1471</v>
      </c>
      <c r="D756" s="316">
        <v>44985.0</v>
      </c>
      <c r="E756" s="218">
        <v>699.5</v>
      </c>
      <c r="F756" s="218">
        <v>0.0</v>
      </c>
      <c r="G756" s="218">
        <v>0.0</v>
      </c>
      <c r="H756" s="223">
        <v>699.5</v>
      </c>
      <c r="J756" s="223" t="s">
        <v>252</v>
      </c>
      <c r="K756" s="317">
        <v>2023.0</v>
      </c>
    </row>
    <row r="757">
      <c r="A757" s="223" t="s">
        <v>223</v>
      </c>
      <c r="B757" s="223" t="s">
        <v>1176</v>
      </c>
      <c r="C757" s="223" t="s">
        <v>1156</v>
      </c>
      <c r="D757" s="316">
        <v>44985.0</v>
      </c>
      <c r="E757" s="218">
        <v>800.0</v>
      </c>
      <c r="F757" s="218">
        <v>24.89</v>
      </c>
      <c r="G757" s="218">
        <v>0.0</v>
      </c>
      <c r="H757" s="223">
        <v>775.11</v>
      </c>
      <c r="J757" s="223" t="s">
        <v>52</v>
      </c>
      <c r="K757" s="317">
        <v>2023.02</v>
      </c>
    </row>
    <row r="758">
      <c r="A758" s="223" t="s">
        <v>54</v>
      </c>
      <c r="B758" s="223" t="s">
        <v>1187</v>
      </c>
      <c r="C758" s="223" t="s">
        <v>1156</v>
      </c>
      <c r="D758" s="316">
        <v>44985.0</v>
      </c>
      <c r="E758" s="218">
        <v>750.0</v>
      </c>
      <c r="F758" s="218">
        <v>23.33</v>
      </c>
      <c r="G758" s="218">
        <v>0.0</v>
      </c>
      <c r="H758" s="223">
        <v>726.67</v>
      </c>
      <c r="J758" s="223" t="s">
        <v>52</v>
      </c>
      <c r="K758" s="317">
        <v>2023.02</v>
      </c>
    </row>
    <row r="759">
      <c r="A759" s="223" t="s">
        <v>120</v>
      </c>
      <c r="B759" s="223" t="s">
        <v>1215</v>
      </c>
      <c r="C759" s="223" t="s">
        <v>1156</v>
      </c>
      <c r="D759" s="316">
        <v>44985.0</v>
      </c>
      <c r="E759" s="218">
        <v>1975.89</v>
      </c>
      <c r="F759" s="218">
        <v>73.503108</v>
      </c>
      <c r="G759" s="218">
        <v>380.4773784</v>
      </c>
      <c r="H759" s="223">
        <v>1521.9095136</v>
      </c>
      <c r="J759" s="223" t="s">
        <v>52</v>
      </c>
      <c r="K759" s="317">
        <v>2023.02</v>
      </c>
    </row>
    <row r="760">
      <c r="A760" s="223" t="s">
        <v>84</v>
      </c>
      <c r="B760" s="223" t="s">
        <v>1227</v>
      </c>
      <c r="C760" s="223" t="s">
        <v>1156</v>
      </c>
      <c r="D760" s="316">
        <v>44985.0</v>
      </c>
      <c r="E760" s="218">
        <v>1100.0</v>
      </c>
      <c r="F760" s="218">
        <v>0.0</v>
      </c>
      <c r="G760" s="218">
        <v>0.0</v>
      </c>
      <c r="H760" s="223">
        <v>1100.0</v>
      </c>
      <c r="J760" s="223" t="s">
        <v>52</v>
      </c>
      <c r="K760" s="317">
        <v>2023.02</v>
      </c>
    </row>
    <row r="761">
      <c r="A761" s="223" t="s">
        <v>42</v>
      </c>
      <c r="B761" s="223" t="s">
        <v>1236</v>
      </c>
      <c r="C761" s="223" t="s">
        <v>1156</v>
      </c>
      <c r="D761" s="316">
        <v>44985.0</v>
      </c>
      <c r="E761" s="218">
        <v>1500.0</v>
      </c>
      <c r="F761" s="218">
        <v>46.67</v>
      </c>
      <c r="G761" s="218">
        <v>217.99949999999998</v>
      </c>
      <c r="H761" s="223">
        <v>1235.3305</v>
      </c>
      <c r="J761" s="223" t="s">
        <v>52</v>
      </c>
      <c r="K761" s="317">
        <v>2023.02</v>
      </c>
    </row>
    <row r="762">
      <c r="A762" s="223" t="s">
        <v>82</v>
      </c>
      <c r="B762" s="223" t="s">
        <v>1124</v>
      </c>
      <c r="C762" s="223" t="s">
        <v>1156</v>
      </c>
      <c r="D762" s="316">
        <v>44985.0</v>
      </c>
      <c r="E762" s="218">
        <v>830.0</v>
      </c>
      <c r="F762" s="218">
        <v>0.0</v>
      </c>
      <c r="G762" s="218">
        <v>0.0</v>
      </c>
      <c r="H762" s="223">
        <v>830.0</v>
      </c>
      <c r="J762" s="223" t="s">
        <v>52</v>
      </c>
      <c r="K762" s="317">
        <v>2023.02</v>
      </c>
    </row>
    <row r="763">
      <c r="A763" s="223" t="s">
        <v>88</v>
      </c>
      <c r="B763" s="223" t="s">
        <v>1256</v>
      </c>
      <c r="C763" s="223" t="s">
        <v>1156</v>
      </c>
      <c r="D763" s="316">
        <v>44985.0</v>
      </c>
      <c r="E763" s="218">
        <v>500.0</v>
      </c>
      <c r="F763" s="218">
        <v>15.56</v>
      </c>
      <c r="G763" s="218">
        <v>0.0</v>
      </c>
      <c r="H763" s="223">
        <v>484.44</v>
      </c>
      <c r="J763" s="223" t="s">
        <v>52</v>
      </c>
      <c r="K763" s="317">
        <v>2023.02</v>
      </c>
    </row>
    <row r="764">
      <c r="A764" s="223" t="s">
        <v>50</v>
      </c>
      <c r="B764" s="223" t="s">
        <v>1275</v>
      </c>
      <c r="C764" s="223" t="s">
        <v>1156</v>
      </c>
      <c r="D764" s="316">
        <v>44985.0</v>
      </c>
      <c r="E764" s="218">
        <v>412.5</v>
      </c>
      <c r="F764" s="218">
        <v>0.0</v>
      </c>
      <c r="G764" s="218">
        <v>0.0</v>
      </c>
      <c r="H764" s="223">
        <v>412.5</v>
      </c>
      <c r="J764" s="223" t="s">
        <v>52</v>
      </c>
      <c r="K764" s="317">
        <v>2023.02</v>
      </c>
    </row>
    <row r="765">
      <c r="A765" s="223" t="s">
        <v>105</v>
      </c>
      <c r="B765" s="223" t="s">
        <v>1280</v>
      </c>
      <c r="C765" s="223" t="s">
        <v>2308</v>
      </c>
      <c r="D765" s="316">
        <v>44985.0</v>
      </c>
      <c r="E765" s="218">
        <v>394.56690000000003</v>
      </c>
      <c r="F765" s="218">
        <v>14.9935422</v>
      </c>
      <c r="G765" s="218">
        <v>0.0</v>
      </c>
      <c r="H765" s="223">
        <v>379.57335780000005</v>
      </c>
      <c r="J765" s="223" t="s">
        <v>52</v>
      </c>
      <c r="K765" s="317">
        <v>2023.02</v>
      </c>
    </row>
    <row r="766">
      <c r="A766" s="223" t="s">
        <v>90</v>
      </c>
      <c r="B766" s="223" t="s">
        <v>1282</v>
      </c>
      <c r="C766" s="223" t="s">
        <v>1156</v>
      </c>
      <c r="D766" s="316">
        <v>44985.0</v>
      </c>
      <c r="E766" s="218">
        <v>1150.0</v>
      </c>
      <c r="F766" s="218">
        <v>0.0</v>
      </c>
      <c r="G766" s="218">
        <v>0.0</v>
      </c>
      <c r="H766" s="223">
        <v>1150.0</v>
      </c>
      <c r="J766" s="223" t="s">
        <v>52</v>
      </c>
      <c r="K766" s="317">
        <v>2023.02</v>
      </c>
    </row>
    <row r="767">
      <c r="A767" s="223" t="s">
        <v>97</v>
      </c>
      <c r="B767" s="223" t="s">
        <v>1286</v>
      </c>
      <c r="C767" s="223" t="s">
        <v>1156</v>
      </c>
      <c r="D767" s="316">
        <v>44985.0</v>
      </c>
      <c r="E767" s="218">
        <v>330.0</v>
      </c>
      <c r="F767" s="218">
        <v>10.27</v>
      </c>
      <c r="G767" s="218">
        <v>0.0</v>
      </c>
      <c r="H767" s="223">
        <v>319.73</v>
      </c>
      <c r="J767" s="223" t="s">
        <v>52</v>
      </c>
      <c r="K767" s="317">
        <v>2023.02</v>
      </c>
    </row>
    <row r="768">
      <c r="A768" s="223" t="s">
        <v>92</v>
      </c>
      <c r="B768" s="223" t="s">
        <v>1289</v>
      </c>
      <c r="C768" s="223" t="s">
        <v>1156</v>
      </c>
      <c r="D768" s="316">
        <v>44985.0</v>
      </c>
      <c r="E768" s="218">
        <v>2500.0</v>
      </c>
      <c r="F768" s="218">
        <v>77.78</v>
      </c>
      <c r="G768" s="218">
        <v>0.0</v>
      </c>
      <c r="H768" s="223">
        <v>2422.22</v>
      </c>
      <c r="J768" s="223" t="s">
        <v>52</v>
      </c>
      <c r="K768" s="317">
        <v>2023.02</v>
      </c>
    </row>
    <row r="769">
      <c r="A769" s="223" t="s">
        <v>123</v>
      </c>
      <c r="B769" s="223" t="s">
        <v>1300</v>
      </c>
      <c r="C769" s="223" t="s">
        <v>1156</v>
      </c>
      <c r="D769" s="316">
        <v>44985.0</v>
      </c>
      <c r="E769" s="218">
        <v>5954.733</v>
      </c>
      <c r="F769" s="218">
        <v>220.72210320000002</v>
      </c>
      <c r="G769" s="218">
        <v>0.0</v>
      </c>
      <c r="H769" s="223">
        <v>5734.0108968</v>
      </c>
      <c r="J769" s="223" t="s">
        <v>52</v>
      </c>
      <c r="K769" s="317">
        <v>2023.02</v>
      </c>
    </row>
    <row r="770">
      <c r="A770" s="223" t="s">
        <v>115</v>
      </c>
      <c r="B770" s="223" t="s">
        <v>1308</v>
      </c>
      <c r="C770" s="223" t="s">
        <v>1156</v>
      </c>
      <c r="D770" s="316">
        <v>44985.0</v>
      </c>
      <c r="E770" s="218">
        <v>3289.0000000000005</v>
      </c>
      <c r="F770" s="218">
        <v>0.0</v>
      </c>
      <c r="G770" s="218">
        <v>0.0</v>
      </c>
      <c r="H770" s="223">
        <v>3289.0000000000005</v>
      </c>
      <c r="J770" s="223" t="s">
        <v>52</v>
      </c>
      <c r="K770" s="317">
        <v>2023.02</v>
      </c>
    </row>
    <row r="771">
      <c r="A771" s="223" t="s">
        <v>118</v>
      </c>
      <c r="B771" s="223" t="s">
        <v>1312</v>
      </c>
      <c r="C771" s="223" t="s">
        <v>1156</v>
      </c>
      <c r="D771" s="316">
        <v>44985.0</v>
      </c>
      <c r="E771" s="218">
        <v>3289.0000000000005</v>
      </c>
      <c r="F771" s="218">
        <v>0.0</v>
      </c>
      <c r="G771" s="218">
        <v>0.0</v>
      </c>
      <c r="H771" s="223">
        <v>3289.0000000000005</v>
      </c>
      <c r="J771" s="223" t="s">
        <v>52</v>
      </c>
      <c r="K771" s="317">
        <v>2023.02</v>
      </c>
    </row>
    <row r="772">
      <c r="A772" s="223" t="s">
        <v>73</v>
      </c>
      <c r="B772" s="223" t="s">
        <v>1327</v>
      </c>
      <c r="C772" s="223" t="s">
        <v>1156</v>
      </c>
      <c r="D772" s="316">
        <v>44985.0</v>
      </c>
      <c r="E772" s="218">
        <v>770.0</v>
      </c>
      <c r="F772" s="218">
        <v>0.0</v>
      </c>
      <c r="G772" s="218">
        <v>0.0</v>
      </c>
      <c r="H772" s="223">
        <v>770.0</v>
      </c>
      <c r="J772" s="223" t="s">
        <v>52</v>
      </c>
      <c r="K772" s="317">
        <v>2023.02</v>
      </c>
    </row>
    <row r="773">
      <c r="A773" s="223" t="s">
        <v>499</v>
      </c>
      <c r="B773" s="223" t="s">
        <v>1330</v>
      </c>
      <c r="C773" s="223" t="s">
        <v>1375</v>
      </c>
      <c r="D773" s="316">
        <v>44985.0</v>
      </c>
      <c r="E773" s="218">
        <v>1650.0</v>
      </c>
      <c r="F773" s="218">
        <v>55.25</v>
      </c>
      <c r="G773" s="218">
        <v>0.0</v>
      </c>
      <c r="H773" s="223">
        <v>1594.75</v>
      </c>
      <c r="J773" s="223" t="s">
        <v>52</v>
      </c>
      <c r="K773" s="317">
        <v>2023.02</v>
      </c>
    </row>
    <row r="774">
      <c r="A774" s="223" t="s">
        <v>695</v>
      </c>
      <c r="B774" s="223" t="s">
        <v>1216</v>
      </c>
      <c r="C774" s="223" t="s">
        <v>1451</v>
      </c>
      <c r="D774" s="316">
        <v>44985.0</v>
      </c>
      <c r="E774" s="218">
        <v>600.0</v>
      </c>
      <c r="F774" s="218">
        <v>18.67</v>
      </c>
      <c r="G774" s="218">
        <v>0.0</v>
      </c>
      <c r="H774" s="223">
        <v>581.33</v>
      </c>
      <c r="J774" s="223" t="s">
        <v>52</v>
      </c>
      <c r="K774" s="317">
        <v>2023.02</v>
      </c>
    </row>
    <row r="775">
      <c r="A775" s="223" t="s">
        <v>810</v>
      </c>
      <c r="B775" s="223" t="s">
        <v>1363</v>
      </c>
      <c r="C775" s="223" t="s">
        <v>1393</v>
      </c>
      <c r="D775" s="316">
        <v>44985.0</v>
      </c>
      <c r="E775" s="218">
        <v>1169.77344</v>
      </c>
      <c r="F775" s="218">
        <v>43.68040368</v>
      </c>
      <c r="G775" s="218">
        <v>0.0</v>
      </c>
      <c r="H775" s="223">
        <v>1126.09303632</v>
      </c>
      <c r="J775" s="223" t="s">
        <v>52</v>
      </c>
      <c r="K775" s="317">
        <v>2023.02</v>
      </c>
    </row>
    <row r="776">
      <c r="A776" s="223" t="s">
        <v>855</v>
      </c>
      <c r="B776" s="223" t="s">
        <v>1283</v>
      </c>
      <c r="C776" s="223" t="s">
        <v>1480</v>
      </c>
      <c r="D776" s="316">
        <v>44985.0</v>
      </c>
      <c r="E776" s="218">
        <v>250.0</v>
      </c>
      <c r="F776" s="218">
        <v>7.78</v>
      </c>
      <c r="G776" s="218">
        <v>0.0</v>
      </c>
      <c r="H776" s="223">
        <v>242.22</v>
      </c>
      <c r="J776" s="223" t="s">
        <v>52</v>
      </c>
      <c r="K776" s="317">
        <v>2023.02</v>
      </c>
    </row>
    <row r="777">
      <c r="A777" s="223" t="s">
        <v>858</v>
      </c>
      <c r="B777" s="223" t="s">
        <v>1481</v>
      </c>
      <c r="C777" s="223" t="s">
        <v>1482</v>
      </c>
      <c r="D777" s="316">
        <v>44984.0</v>
      </c>
      <c r="E777" s="218">
        <v>3418.0665999999997</v>
      </c>
      <c r="F777" s="218">
        <v>126.86285649999999</v>
      </c>
      <c r="G777" s="218">
        <v>658.2407487</v>
      </c>
      <c r="H777" s="223">
        <v>2632.9629947999997</v>
      </c>
      <c r="J777" s="223" t="s">
        <v>252</v>
      </c>
      <c r="K777" s="317">
        <v>2023.0</v>
      </c>
    </row>
    <row r="778">
      <c r="A778" s="223" t="s">
        <v>861</v>
      </c>
      <c r="B778" s="223" t="s">
        <v>1483</v>
      </c>
      <c r="C778" s="223" t="s">
        <v>1393</v>
      </c>
      <c r="D778" s="316">
        <v>44985.0</v>
      </c>
      <c r="E778" s="218">
        <v>4880.3222</v>
      </c>
      <c r="F778" s="218">
        <v>180.96762319999996</v>
      </c>
      <c r="G778" s="218">
        <v>939.8709153599999</v>
      </c>
      <c r="H778" s="223">
        <v>3759.4836614399997</v>
      </c>
      <c r="J778" s="223" t="s">
        <v>459</v>
      </c>
      <c r="K778" s="317">
        <v>2023.02</v>
      </c>
    </row>
    <row r="779">
      <c r="A779" s="223" t="s">
        <v>865</v>
      </c>
      <c r="B779" s="223" t="s">
        <v>1487</v>
      </c>
      <c r="C779" s="223" t="s">
        <v>1172</v>
      </c>
      <c r="D779" s="316">
        <v>44985.0</v>
      </c>
      <c r="E779" s="218">
        <v>900.0</v>
      </c>
      <c r="F779" s="218">
        <v>28.0</v>
      </c>
      <c r="G779" s="218">
        <v>87.2</v>
      </c>
      <c r="H779" s="223">
        <v>784.8</v>
      </c>
      <c r="J779" s="223" t="s">
        <v>459</v>
      </c>
      <c r="K779" s="317">
        <v>2023.0</v>
      </c>
    </row>
    <row r="780">
      <c r="A780" s="223" t="s">
        <v>867</v>
      </c>
      <c r="B780" s="223" t="s">
        <v>1456</v>
      </c>
      <c r="C780" s="223" t="s">
        <v>1151</v>
      </c>
      <c r="D780" s="316">
        <v>44985.0</v>
      </c>
      <c r="E780" s="218">
        <v>600.0</v>
      </c>
      <c r="F780" s="218">
        <v>18.67</v>
      </c>
      <c r="G780" s="218">
        <v>0.0</v>
      </c>
      <c r="H780" s="223">
        <v>581.33</v>
      </c>
      <c r="J780" s="223" t="s">
        <v>459</v>
      </c>
      <c r="K780" s="317">
        <v>2023.0</v>
      </c>
    </row>
    <row r="781">
      <c r="A781" s="223" t="s">
        <v>869</v>
      </c>
      <c r="B781" s="223" t="s">
        <v>1352</v>
      </c>
      <c r="C781" s="223" t="s">
        <v>1490</v>
      </c>
      <c r="D781" s="316">
        <v>44994.0</v>
      </c>
      <c r="E781" s="218">
        <v>250.0</v>
      </c>
      <c r="F781" s="218">
        <v>7.78</v>
      </c>
      <c r="G781" s="218">
        <v>0.0</v>
      </c>
      <c r="H781" s="223">
        <v>242.22</v>
      </c>
      <c r="J781" s="223" t="s">
        <v>459</v>
      </c>
      <c r="K781" s="317">
        <v>2023.0</v>
      </c>
    </row>
    <row r="782">
      <c r="A782" s="223" t="s">
        <v>871</v>
      </c>
      <c r="B782" s="223" t="s">
        <v>1491</v>
      </c>
      <c r="C782" s="223" t="s">
        <v>1492</v>
      </c>
      <c r="D782" s="316">
        <v>44992.0</v>
      </c>
      <c r="E782" s="218">
        <v>533.768</v>
      </c>
      <c r="F782" s="218">
        <v>17.96</v>
      </c>
      <c r="G782" s="218">
        <v>0.0</v>
      </c>
      <c r="H782" s="223">
        <v>515.808</v>
      </c>
      <c r="J782" s="223" t="s">
        <v>459</v>
      </c>
      <c r="K782" s="317">
        <v>2023.0</v>
      </c>
    </row>
    <row r="783">
      <c r="A783" s="223" t="s">
        <v>874</v>
      </c>
      <c r="B783" s="223" t="s">
        <v>1495</v>
      </c>
      <c r="C783" s="223" t="s">
        <v>1496</v>
      </c>
      <c r="D783" s="316">
        <v>44998.0</v>
      </c>
      <c r="E783" s="218">
        <v>1487.5</v>
      </c>
      <c r="F783" s="218">
        <v>17.5</v>
      </c>
      <c r="G783" s="218">
        <v>0.0</v>
      </c>
      <c r="H783" s="223">
        <v>1470.0</v>
      </c>
      <c r="J783" s="223" t="s">
        <v>252</v>
      </c>
      <c r="K783" s="317">
        <v>2023.0</v>
      </c>
    </row>
    <row r="784">
      <c r="A784" s="223" t="s">
        <v>874</v>
      </c>
      <c r="B784" s="223" t="s">
        <v>1495</v>
      </c>
      <c r="C784" s="223" t="s">
        <v>1496</v>
      </c>
      <c r="D784" s="316">
        <v>45077.0</v>
      </c>
      <c r="E784" s="218">
        <v>1487.5</v>
      </c>
      <c r="F784" s="218">
        <v>0.0</v>
      </c>
      <c r="G784" s="218">
        <v>0.0</v>
      </c>
      <c r="H784" s="223">
        <v>1487.5</v>
      </c>
      <c r="J784" s="223" t="s">
        <v>252</v>
      </c>
      <c r="K784" s="317">
        <v>2023.0</v>
      </c>
    </row>
    <row r="785">
      <c r="A785" s="223" t="s">
        <v>785</v>
      </c>
      <c r="B785" s="223" t="s">
        <v>1368</v>
      </c>
      <c r="C785" s="223" t="s">
        <v>1190</v>
      </c>
      <c r="D785" s="316">
        <v>45000.0</v>
      </c>
      <c r="E785" s="218">
        <v>391.2495</v>
      </c>
      <c r="F785" s="218">
        <v>14.867481000000002</v>
      </c>
      <c r="G785" s="218">
        <v>0.0</v>
      </c>
      <c r="H785" s="223">
        <v>376.382019</v>
      </c>
      <c r="J785" s="223" t="s">
        <v>252</v>
      </c>
      <c r="K785" s="317">
        <v>2023.0</v>
      </c>
    </row>
    <row r="786">
      <c r="A786" s="223" t="s">
        <v>99</v>
      </c>
      <c r="B786" s="223" t="s">
        <v>1192</v>
      </c>
      <c r="C786" s="223" t="s">
        <v>1156</v>
      </c>
      <c r="D786" s="316">
        <v>45000.0</v>
      </c>
      <c r="E786" s="218">
        <v>1894.50118</v>
      </c>
      <c r="F786" s="218">
        <v>70.49399146</v>
      </c>
      <c r="G786" s="218">
        <v>364.80143770800004</v>
      </c>
      <c r="H786" s="223">
        <v>1459.205750832</v>
      </c>
      <c r="J786" s="223" t="s">
        <v>52</v>
      </c>
      <c r="K786" s="317">
        <v>2023.03</v>
      </c>
    </row>
    <row r="787">
      <c r="A787" s="223" t="s">
        <v>225</v>
      </c>
      <c r="B787" s="223" t="s">
        <v>1257</v>
      </c>
      <c r="C787" s="223" t="s">
        <v>1156</v>
      </c>
      <c r="D787" s="316">
        <v>45000.0</v>
      </c>
      <c r="E787" s="218">
        <v>5000.0</v>
      </c>
      <c r="F787" s="218">
        <v>0.0</v>
      </c>
      <c r="G787" s="218">
        <v>0.0</v>
      </c>
      <c r="H787" s="223">
        <v>5000.0</v>
      </c>
      <c r="J787" s="223" t="s">
        <v>52</v>
      </c>
      <c r="K787" s="317">
        <v>2023.03</v>
      </c>
    </row>
    <row r="788">
      <c r="A788" s="223" t="s">
        <v>102</v>
      </c>
      <c r="B788" s="223" t="s">
        <v>1259</v>
      </c>
      <c r="C788" s="223" t="s">
        <v>1156</v>
      </c>
      <c r="D788" s="316">
        <v>45000.0</v>
      </c>
      <c r="E788" s="218">
        <v>455.1337</v>
      </c>
      <c r="F788" s="218">
        <v>17.230061499999998</v>
      </c>
      <c r="G788" s="218">
        <v>0.0</v>
      </c>
      <c r="H788" s="223">
        <v>437.9036385</v>
      </c>
      <c r="J788" s="223" t="s">
        <v>52</v>
      </c>
      <c r="K788" s="317">
        <v>2023.03</v>
      </c>
    </row>
    <row r="789">
      <c r="A789" s="223" t="s">
        <v>62</v>
      </c>
      <c r="B789" s="223" t="s">
        <v>1304</v>
      </c>
      <c r="C789" s="223" t="s">
        <v>1156</v>
      </c>
      <c r="D789" s="316">
        <v>45000.0</v>
      </c>
      <c r="E789" s="218">
        <v>1600.0</v>
      </c>
      <c r="F789" s="218">
        <v>49.78</v>
      </c>
      <c r="G789" s="218">
        <v>0.0</v>
      </c>
      <c r="H789" s="223">
        <v>1550.22</v>
      </c>
      <c r="J789" s="223" t="s">
        <v>52</v>
      </c>
      <c r="K789" s="317">
        <v>2023.03</v>
      </c>
    </row>
    <row r="790">
      <c r="A790" s="223" t="s">
        <v>66</v>
      </c>
      <c r="B790" s="223" t="s">
        <v>1324</v>
      </c>
      <c r="C790" s="223" t="s">
        <v>1156</v>
      </c>
      <c r="D790" s="316">
        <v>45000.0</v>
      </c>
      <c r="E790" s="218">
        <v>990.0</v>
      </c>
      <c r="F790" s="218">
        <v>0.0</v>
      </c>
      <c r="G790" s="218">
        <v>0.0</v>
      </c>
      <c r="H790" s="223">
        <v>990.0</v>
      </c>
      <c r="J790" s="223" t="s">
        <v>52</v>
      </c>
      <c r="K790" s="317">
        <v>2023.03</v>
      </c>
    </row>
    <row r="791">
      <c r="A791" s="223" t="s">
        <v>467</v>
      </c>
      <c r="B791" s="223" t="s">
        <v>1209</v>
      </c>
      <c r="C791" s="223" t="s">
        <v>469</v>
      </c>
      <c r="D791" s="316">
        <v>45000.0</v>
      </c>
      <c r="E791" s="218">
        <v>362.88475999999997</v>
      </c>
      <c r="F791" s="218">
        <v>13.47571095301045</v>
      </c>
      <c r="G791" s="218">
        <v>69.88180980939791</v>
      </c>
      <c r="H791" s="223">
        <v>279.52723923759163</v>
      </c>
      <c r="J791" s="223" t="s">
        <v>52</v>
      </c>
      <c r="K791" s="317">
        <v>2023.03</v>
      </c>
    </row>
    <row r="792">
      <c r="A792" s="223" t="s">
        <v>629</v>
      </c>
      <c r="B792" s="223" t="s">
        <v>1395</v>
      </c>
      <c r="C792" s="223" t="s">
        <v>469</v>
      </c>
      <c r="D792" s="316">
        <v>45000.0</v>
      </c>
      <c r="E792" s="218">
        <v>374.7324</v>
      </c>
      <c r="F792" s="218">
        <v>11.17</v>
      </c>
      <c r="G792" s="218">
        <v>0.0</v>
      </c>
      <c r="H792" s="223">
        <v>363.56239999999997</v>
      </c>
      <c r="J792" s="223" t="s">
        <v>52</v>
      </c>
      <c r="K792" s="317">
        <v>2023.03</v>
      </c>
    </row>
    <row r="793">
      <c r="A793" s="223" t="s">
        <v>762</v>
      </c>
      <c r="B793" s="223" t="s">
        <v>1429</v>
      </c>
      <c r="C793" s="223" t="s">
        <v>1432</v>
      </c>
      <c r="D793" s="316">
        <v>45000.0</v>
      </c>
      <c r="E793" s="218">
        <v>500.0</v>
      </c>
      <c r="F793" s="218">
        <v>0.0</v>
      </c>
      <c r="G793" s="218">
        <v>0.0</v>
      </c>
      <c r="H793" s="223">
        <v>500.0</v>
      </c>
      <c r="J793" s="223" t="s">
        <v>52</v>
      </c>
      <c r="K793" s="317">
        <v>2023.03</v>
      </c>
    </row>
    <row r="794">
      <c r="A794" s="223" t="s">
        <v>662</v>
      </c>
      <c r="B794" s="223" t="s">
        <v>1433</v>
      </c>
      <c r="C794" s="223" t="s">
        <v>1434</v>
      </c>
      <c r="D794" s="316">
        <v>45000.0</v>
      </c>
      <c r="E794" s="218">
        <v>2500.0</v>
      </c>
      <c r="F794" s="218">
        <v>77.78</v>
      </c>
      <c r="G794" s="218">
        <v>0.0</v>
      </c>
      <c r="H794" s="223">
        <v>2422.22</v>
      </c>
      <c r="J794" s="223" t="s">
        <v>52</v>
      </c>
      <c r="K794" s="317">
        <v>2023.03</v>
      </c>
    </row>
    <row r="795">
      <c r="A795" s="223" t="s">
        <v>788</v>
      </c>
      <c r="B795" s="223" t="s">
        <v>1250</v>
      </c>
      <c r="C795" s="223" t="s">
        <v>1470</v>
      </c>
      <c r="D795" s="316">
        <v>45000.0</v>
      </c>
      <c r="E795" s="218">
        <v>3000.0</v>
      </c>
      <c r="F795" s="218">
        <v>0.0</v>
      </c>
      <c r="G795" s="218">
        <v>0.0</v>
      </c>
      <c r="H795" s="223">
        <v>3000.0</v>
      </c>
      <c r="J795" s="223" t="s">
        <v>52</v>
      </c>
      <c r="K795" s="317">
        <v>2023.03</v>
      </c>
    </row>
    <row r="796">
      <c r="A796" s="223" t="s">
        <v>795</v>
      </c>
      <c r="B796" s="223" t="s">
        <v>1352</v>
      </c>
      <c r="C796" s="223" t="s">
        <v>1393</v>
      </c>
      <c r="D796" s="316">
        <v>45000.0</v>
      </c>
      <c r="E796" s="218">
        <v>2000.0</v>
      </c>
      <c r="F796" s="218">
        <v>0.0</v>
      </c>
      <c r="G796" s="218">
        <v>0.0</v>
      </c>
      <c r="H796" s="223">
        <v>2000.0</v>
      </c>
      <c r="J796" s="223" t="s">
        <v>52</v>
      </c>
      <c r="K796" s="317">
        <v>2023.03</v>
      </c>
    </row>
    <row r="797">
      <c r="A797" s="223" t="s">
        <v>884</v>
      </c>
      <c r="B797" s="223" t="s">
        <v>1493</v>
      </c>
      <c r="C797" s="223" t="s">
        <v>1494</v>
      </c>
      <c r="D797" s="316">
        <v>45000.0</v>
      </c>
      <c r="E797" s="218">
        <v>335.8875</v>
      </c>
      <c r="F797" s="218">
        <v>10.04</v>
      </c>
      <c r="G797" s="218">
        <v>65.1695</v>
      </c>
      <c r="H797" s="223">
        <v>260.678</v>
      </c>
      <c r="J797" s="223" t="s">
        <v>52</v>
      </c>
      <c r="K797" s="317">
        <v>2023.03</v>
      </c>
    </row>
    <row r="798">
      <c r="A798" s="223" t="s">
        <v>886</v>
      </c>
      <c r="B798" s="223" t="s">
        <v>1200</v>
      </c>
      <c r="C798" s="223" t="s">
        <v>1376</v>
      </c>
      <c r="D798" s="316">
        <v>45016.0</v>
      </c>
      <c r="E798" s="218">
        <v>330.5</v>
      </c>
      <c r="F798" s="218">
        <v>0.0</v>
      </c>
      <c r="G798" s="218">
        <v>0.0</v>
      </c>
      <c r="H798" s="223">
        <v>330.5</v>
      </c>
      <c r="J798" s="223" t="s">
        <v>52</v>
      </c>
      <c r="K798" s="317">
        <v>2023.0</v>
      </c>
    </row>
    <row r="799">
      <c r="A799" s="223" t="s">
        <v>890</v>
      </c>
      <c r="B799" s="223" t="s">
        <v>1475</v>
      </c>
      <c r="C799" s="223" t="s">
        <v>1499</v>
      </c>
      <c r="D799" s="316">
        <v>45016.0</v>
      </c>
      <c r="E799" s="218">
        <v>1700.0</v>
      </c>
      <c r="F799" s="218">
        <v>52.89</v>
      </c>
      <c r="G799" s="218">
        <v>0.0</v>
      </c>
      <c r="H799" s="223">
        <v>1647.11</v>
      </c>
      <c r="J799" s="223" t="s">
        <v>52</v>
      </c>
      <c r="K799" s="317">
        <v>2023.03</v>
      </c>
    </row>
    <row r="800">
      <c r="A800" s="223" t="s">
        <v>549</v>
      </c>
      <c r="B800" s="223" t="s">
        <v>1368</v>
      </c>
      <c r="C800" s="223" t="s">
        <v>1393</v>
      </c>
      <c r="D800" s="316">
        <v>45016.0</v>
      </c>
      <c r="E800" s="218">
        <v>391.977</v>
      </c>
      <c r="F800" s="218">
        <v>14.895126</v>
      </c>
      <c r="G800" s="218">
        <v>0.0</v>
      </c>
      <c r="H800" s="223">
        <v>377.08187399999997</v>
      </c>
      <c r="J800" s="223" t="s">
        <v>52</v>
      </c>
      <c r="K800" s="317">
        <v>2023.03</v>
      </c>
    </row>
    <row r="801">
      <c r="A801" s="223" t="s">
        <v>896</v>
      </c>
      <c r="B801" s="223" t="s">
        <v>1501</v>
      </c>
      <c r="C801" s="223" t="s">
        <v>1471</v>
      </c>
      <c r="D801" s="316">
        <v>45016.0</v>
      </c>
      <c r="E801" s="218">
        <v>1649.0</v>
      </c>
      <c r="F801" s="218">
        <v>55.2116531</v>
      </c>
      <c r="G801" s="218">
        <v>0.0</v>
      </c>
      <c r="H801" s="223">
        <v>1593.7883469</v>
      </c>
      <c r="J801" s="223" t="s">
        <v>252</v>
      </c>
      <c r="K801" s="317">
        <v>2023.0</v>
      </c>
    </row>
    <row r="802">
      <c r="A802" s="223" t="s">
        <v>898</v>
      </c>
      <c r="B802" s="223" t="s">
        <v>1383</v>
      </c>
      <c r="C802" s="223" t="s">
        <v>1503</v>
      </c>
      <c r="D802" s="316">
        <v>45008.0</v>
      </c>
      <c r="E802" s="218">
        <v>1399.0</v>
      </c>
      <c r="F802" s="218">
        <v>72.6695676</v>
      </c>
      <c r="G802" s="218">
        <v>0.0</v>
      </c>
      <c r="H802" s="223">
        <v>1326.3304324</v>
      </c>
      <c r="J802" s="223" t="s">
        <v>19</v>
      </c>
      <c r="K802" s="317">
        <v>2023.0</v>
      </c>
    </row>
    <row r="803">
      <c r="A803" s="223" t="s">
        <v>898</v>
      </c>
      <c r="B803" s="223" t="s">
        <v>1383</v>
      </c>
      <c r="C803" s="223" t="s">
        <v>1503</v>
      </c>
      <c r="D803" s="316">
        <v>45008.0</v>
      </c>
      <c r="E803" s="218">
        <v>554.48</v>
      </c>
      <c r="F803" s="218">
        <v>0.0</v>
      </c>
      <c r="G803" s="218">
        <v>0.0</v>
      </c>
      <c r="H803" s="223">
        <v>554.48</v>
      </c>
      <c r="J803" s="223" t="s">
        <v>19</v>
      </c>
      <c r="K803" s="317">
        <v>2023.0</v>
      </c>
    </row>
    <row r="804">
      <c r="A804" s="223" t="s">
        <v>898</v>
      </c>
      <c r="B804" s="223" t="s">
        <v>1383</v>
      </c>
      <c r="C804" s="223" t="s">
        <v>1503</v>
      </c>
      <c r="D804" s="316">
        <v>45077.0</v>
      </c>
      <c r="E804" s="218">
        <v>1930.6395</v>
      </c>
      <c r="F804" s="218">
        <v>71.8197894</v>
      </c>
      <c r="G804" s="218">
        <v>0.0</v>
      </c>
      <c r="H804" s="223">
        <v>1858.8197106</v>
      </c>
      <c r="J804" s="223" t="s">
        <v>19</v>
      </c>
      <c r="K804" s="317">
        <v>2023.0</v>
      </c>
    </row>
    <row r="805">
      <c r="A805" s="223" t="s">
        <v>223</v>
      </c>
      <c r="B805" s="223" t="s">
        <v>1176</v>
      </c>
      <c r="C805" s="223" t="s">
        <v>1156</v>
      </c>
      <c r="D805" s="316">
        <v>45016.0</v>
      </c>
      <c r="E805" s="218">
        <v>800.0</v>
      </c>
      <c r="F805" s="218">
        <v>24.89</v>
      </c>
      <c r="G805" s="218">
        <v>0.0</v>
      </c>
      <c r="H805" s="223">
        <v>775.11</v>
      </c>
      <c r="J805" s="223" t="s">
        <v>52</v>
      </c>
      <c r="K805" s="317">
        <v>2023.03</v>
      </c>
    </row>
    <row r="806">
      <c r="A806" s="223" t="s">
        <v>54</v>
      </c>
      <c r="B806" s="223" t="s">
        <v>1187</v>
      </c>
      <c r="C806" s="223" t="s">
        <v>1156</v>
      </c>
      <c r="D806" s="316">
        <v>45016.0</v>
      </c>
      <c r="E806" s="218">
        <v>750.0</v>
      </c>
      <c r="F806" s="218">
        <v>23.33</v>
      </c>
      <c r="G806" s="218">
        <v>0.0</v>
      </c>
      <c r="H806" s="223">
        <v>726.67</v>
      </c>
      <c r="J806" s="223" t="s">
        <v>52</v>
      </c>
      <c r="K806" s="317">
        <v>2023.03</v>
      </c>
    </row>
    <row r="807">
      <c r="A807" s="223" t="s">
        <v>120</v>
      </c>
      <c r="B807" s="223" t="s">
        <v>1215</v>
      </c>
      <c r="C807" s="223" t="s">
        <v>1156</v>
      </c>
      <c r="D807" s="316">
        <v>45016.0</v>
      </c>
      <c r="E807" s="218">
        <v>1950.5729999999999</v>
      </c>
      <c r="F807" s="218">
        <v>72.56131559999999</v>
      </c>
      <c r="G807" s="218">
        <v>375.60233688</v>
      </c>
      <c r="H807" s="223">
        <v>1502.40934752</v>
      </c>
      <c r="J807" s="223" t="s">
        <v>52</v>
      </c>
      <c r="K807" s="317">
        <v>2023.03</v>
      </c>
    </row>
    <row r="808">
      <c r="A808" s="223" t="s">
        <v>42</v>
      </c>
      <c r="B808" s="223" t="s">
        <v>1236</v>
      </c>
      <c r="C808" s="223" t="s">
        <v>1156</v>
      </c>
      <c r="D808" s="316">
        <v>45016.0</v>
      </c>
      <c r="E808" s="218">
        <v>1500.0</v>
      </c>
      <c r="F808" s="218">
        <v>46.67</v>
      </c>
      <c r="G808" s="218">
        <v>217.99949999999998</v>
      </c>
      <c r="H808" s="223">
        <v>1235.3305</v>
      </c>
      <c r="J808" s="223" t="s">
        <v>52</v>
      </c>
      <c r="K808" s="317">
        <v>2023.03</v>
      </c>
    </row>
    <row r="809">
      <c r="A809" s="223" t="s">
        <v>82</v>
      </c>
      <c r="B809" s="223" t="s">
        <v>1124</v>
      </c>
      <c r="C809" s="223" t="s">
        <v>1156</v>
      </c>
      <c r="D809" s="316">
        <v>45016.0</v>
      </c>
      <c r="E809" s="218">
        <v>830.0</v>
      </c>
      <c r="F809" s="218">
        <v>0.0</v>
      </c>
      <c r="G809" s="218">
        <v>0.0</v>
      </c>
      <c r="H809" s="223">
        <v>830.0</v>
      </c>
      <c r="J809" s="223" t="s">
        <v>52</v>
      </c>
      <c r="K809" s="317">
        <v>2023.03</v>
      </c>
    </row>
    <row r="810">
      <c r="A810" s="223" t="s">
        <v>88</v>
      </c>
      <c r="B810" s="223" t="s">
        <v>1256</v>
      </c>
      <c r="C810" s="223" t="s">
        <v>1156</v>
      </c>
      <c r="D810" s="316">
        <v>45016.0</v>
      </c>
      <c r="E810" s="218">
        <v>500.0</v>
      </c>
      <c r="F810" s="218">
        <v>15.56</v>
      </c>
      <c r="G810" s="218">
        <v>0.0</v>
      </c>
      <c r="H810" s="223">
        <v>484.44</v>
      </c>
      <c r="J810" s="223" t="s">
        <v>52</v>
      </c>
      <c r="K810" s="317">
        <v>2023.03</v>
      </c>
    </row>
    <row r="811">
      <c r="A811" s="223" t="s">
        <v>50</v>
      </c>
      <c r="B811" s="223" t="s">
        <v>1275</v>
      </c>
      <c r="C811" s="223" t="s">
        <v>1156</v>
      </c>
      <c r="D811" s="316">
        <v>45016.0</v>
      </c>
      <c r="E811" s="218">
        <v>412.5</v>
      </c>
      <c r="F811" s="218">
        <v>0.0</v>
      </c>
      <c r="G811" s="218">
        <v>0.0</v>
      </c>
      <c r="H811" s="223">
        <v>412.5</v>
      </c>
      <c r="J811" s="223" t="s">
        <v>52</v>
      </c>
      <c r="K811" s="317">
        <v>2023.03</v>
      </c>
    </row>
    <row r="812">
      <c r="A812" s="223" t="s">
        <v>105</v>
      </c>
      <c r="B812" s="223" t="s">
        <v>1280</v>
      </c>
      <c r="C812" s="223" t="s">
        <v>2308</v>
      </c>
      <c r="D812" s="316"/>
      <c r="E812" s="218">
        <v>0.0</v>
      </c>
      <c r="F812" s="218"/>
      <c r="G812" s="218">
        <v>0.0</v>
      </c>
      <c r="H812" s="223">
        <v>0.0</v>
      </c>
      <c r="J812" s="223" t="s">
        <v>52</v>
      </c>
      <c r="K812" s="317">
        <v>1899.0</v>
      </c>
    </row>
    <row r="813">
      <c r="A813" s="223" t="s">
        <v>97</v>
      </c>
      <c r="B813" s="223" t="s">
        <v>1286</v>
      </c>
      <c r="C813" s="223" t="s">
        <v>1156</v>
      </c>
      <c r="D813" s="316">
        <v>45016.0</v>
      </c>
      <c r="E813" s="218">
        <v>330.0</v>
      </c>
      <c r="F813" s="218">
        <v>10.27</v>
      </c>
      <c r="G813" s="218">
        <v>0.0</v>
      </c>
      <c r="H813" s="223">
        <v>319.73</v>
      </c>
      <c r="J813" s="223" t="s">
        <v>52</v>
      </c>
      <c r="K813" s="317">
        <v>2023.03</v>
      </c>
    </row>
    <row r="814">
      <c r="A814" s="223" t="s">
        <v>92</v>
      </c>
      <c r="B814" s="223" t="s">
        <v>1289</v>
      </c>
      <c r="C814" s="223" t="s">
        <v>1156</v>
      </c>
      <c r="D814" s="316">
        <v>45016.0</v>
      </c>
      <c r="E814" s="218">
        <v>2500.0</v>
      </c>
      <c r="F814" s="218">
        <v>77.78</v>
      </c>
      <c r="G814" s="218">
        <v>0.0</v>
      </c>
      <c r="H814" s="223">
        <v>2422.22</v>
      </c>
      <c r="J814" s="223" t="s">
        <v>52</v>
      </c>
      <c r="K814" s="317">
        <v>2023.03</v>
      </c>
    </row>
    <row r="815">
      <c r="A815" s="223" t="s">
        <v>123</v>
      </c>
      <c r="B815" s="223" t="s">
        <v>1300</v>
      </c>
      <c r="C815" s="223" t="s">
        <v>1156</v>
      </c>
      <c r="D815" s="316">
        <v>45016.0</v>
      </c>
      <c r="E815" s="218">
        <v>3923.5530000000003</v>
      </c>
      <c r="F815" s="218">
        <v>145.5638163</v>
      </c>
      <c r="G815" s="218">
        <v>755.5978367400002</v>
      </c>
      <c r="H815" s="223">
        <v>3022.39134696</v>
      </c>
      <c r="J815" s="223" t="s">
        <v>52</v>
      </c>
      <c r="K815" s="317">
        <v>2023.03</v>
      </c>
    </row>
    <row r="816">
      <c r="A816" s="223" t="s">
        <v>115</v>
      </c>
      <c r="B816" s="223" t="s">
        <v>1308</v>
      </c>
      <c r="C816" s="223" t="s">
        <v>1156</v>
      </c>
      <c r="D816" s="316">
        <v>45016.0</v>
      </c>
      <c r="E816" s="218">
        <v>3277.625</v>
      </c>
      <c r="F816" s="218">
        <v>0.0</v>
      </c>
      <c r="G816" s="218">
        <v>0.0</v>
      </c>
      <c r="H816" s="223">
        <v>3277.625</v>
      </c>
      <c r="J816" s="223" t="s">
        <v>52</v>
      </c>
      <c r="K816" s="317">
        <v>2023.03</v>
      </c>
    </row>
    <row r="817">
      <c r="A817" s="223" t="s">
        <v>118</v>
      </c>
      <c r="B817" s="223" t="s">
        <v>1312</v>
      </c>
      <c r="C817" s="223" t="s">
        <v>1156</v>
      </c>
      <c r="D817" s="316">
        <v>45016.0</v>
      </c>
      <c r="E817" s="218">
        <v>3277.625</v>
      </c>
      <c r="F817" s="218">
        <v>0.0</v>
      </c>
      <c r="G817" s="218">
        <v>0.0</v>
      </c>
      <c r="H817" s="223">
        <v>3277.625</v>
      </c>
      <c r="J817" s="223" t="s">
        <v>52</v>
      </c>
      <c r="K817" s="317">
        <v>2023.03</v>
      </c>
    </row>
    <row r="818">
      <c r="A818" s="223" t="s">
        <v>73</v>
      </c>
      <c r="B818" s="223" t="s">
        <v>1327</v>
      </c>
      <c r="C818" s="223" t="s">
        <v>1156</v>
      </c>
      <c r="D818" s="316">
        <v>45016.0</v>
      </c>
      <c r="E818" s="218">
        <v>770.0</v>
      </c>
      <c r="F818" s="218">
        <v>0.0</v>
      </c>
      <c r="G818" s="218">
        <v>0.0</v>
      </c>
      <c r="H818" s="223">
        <v>770.0</v>
      </c>
      <c r="J818" s="223" t="s">
        <v>52</v>
      </c>
      <c r="K818" s="317">
        <v>2023.03</v>
      </c>
    </row>
    <row r="819">
      <c r="A819" s="223" t="s">
        <v>499</v>
      </c>
      <c r="B819" s="223" t="s">
        <v>1330</v>
      </c>
      <c r="C819" s="223" t="s">
        <v>1375</v>
      </c>
      <c r="D819" s="316">
        <v>45016.0</v>
      </c>
      <c r="E819" s="218">
        <v>1650.0</v>
      </c>
      <c r="F819" s="218">
        <v>55.23</v>
      </c>
      <c r="G819" s="218">
        <v>0.0</v>
      </c>
      <c r="H819" s="223">
        <v>1594.77</v>
      </c>
      <c r="J819" s="223" t="s">
        <v>52</v>
      </c>
      <c r="K819" s="317">
        <v>2023.03</v>
      </c>
    </row>
    <row r="820">
      <c r="A820" s="223" t="s">
        <v>806</v>
      </c>
      <c r="B820" s="223" t="s">
        <v>1305</v>
      </c>
      <c r="C820" s="223" t="s">
        <v>1435</v>
      </c>
      <c r="D820" s="316">
        <v>45016.0</v>
      </c>
      <c r="E820" s="218">
        <v>400.0</v>
      </c>
      <c r="F820" s="218">
        <v>12.44</v>
      </c>
      <c r="G820" s="218">
        <v>0.0</v>
      </c>
      <c r="H820" s="223">
        <v>387.56</v>
      </c>
      <c r="J820" s="223" t="s">
        <v>52</v>
      </c>
      <c r="K820" s="317">
        <v>2023.03</v>
      </c>
    </row>
    <row r="821">
      <c r="A821" s="223" t="s">
        <v>695</v>
      </c>
      <c r="B821" s="223" t="s">
        <v>1216</v>
      </c>
      <c r="C821" s="223" t="s">
        <v>1451</v>
      </c>
      <c r="D821" s="316">
        <v>45016.0</v>
      </c>
      <c r="E821" s="218">
        <v>600.0</v>
      </c>
      <c r="F821" s="218">
        <v>18.67</v>
      </c>
      <c r="G821" s="218">
        <v>0.0</v>
      </c>
      <c r="H821" s="223">
        <v>581.33</v>
      </c>
      <c r="J821" s="223" t="s">
        <v>52</v>
      </c>
      <c r="K821" s="317">
        <v>2023.03</v>
      </c>
    </row>
    <row r="822">
      <c r="A822" s="223" t="s">
        <v>810</v>
      </c>
      <c r="B822" s="223" t="s">
        <v>1363</v>
      </c>
      <c r="C822" s="223" t="s">
        <v>1393</v>
      </c>
      <c r="D822" s="316">
        <v>45016.0</v>
      </c>
      <c r="E822" s="218">
        <v>1154.0672</v>
      </c>
      <c r="F822" s="218">
        <v>43.0939184</v>
      </c>
      <c r="G822" s="218">
        <v>0.0</v>
      </c>
      <c r="H822" s="223">
        <v>1110.9732816</v>
      </c>
      <c r="J822" s="223" t="s">
        <v>52</v>
      </c>
      <c r="K822" s="317">
        <v>2023.03</v>
      </c>
    </row>
    <row r="823">
      <c r="A823" s="223" t="s">
        <v>855</v>
      </c>
      <c r="B823" s="223" t="s">
        <v>1283</v>
      </c>
      <c r="C823" s="223" t="s">
        <v>1480</v>
      </c>
      <c r="D823" s="316">
        <v>45016.0</v>
      </c>
      <c r="E823" s="218">
        <v>250.0</v>
      </c>
      <c r="F823" s="218">
        <v>7.78</v>
      </c>
      <c r="G823" s="218">
        <v>0.0</v>
      </c>
      <c r="H823" s="223">
        <v>242.22</v>
      </c>
      <c r="J823" s="223" t="s">
        <v>52</v>
      </c>
      <c r="K823" s="317">
        <v>2023.03</v>
      </c>
    </row>
    <row r="824">
      <c r="A824" s="223" t="s">
        <v>913</v>
      </c>
      <c r="B824" s="223" t="s">
        <v>1429</v>
      </c>
      <c r="C824" s="223" t="s">
        <v>1471</v>
      </c>
      <c r="D824" s="316">
        <v>45016.0</v>
      </c>
      <c r="E824" s="218">
        <v>700.0</v>
      </c>
      <c r="F824" s="218">
        <v>0.0</v>
      </c>
      <c r="G824" s="218">
        <v>0.0</v>
      </c>
      <c r="H824" s="223">
        <v>700.0</v>
      </c>
      <c r="J824" s="223" t="s">
        <v>252</v>
      </c>
      <c r="K824" s="317">
        <v>2023.0</v>
      </c>
    </row>
    <row r="825">
      <c r="A825" s="223" t="s">
        <v>915</v>
      </c>
      <c r="B825" s="223" t="s">
        <v>1389</v>
      </c>
      <c r="C825" s="223" t="s">
        <v>1505</v>
      </c>
      <c r="D825" s="316">
        <v>45016.0</v>
      </c>
      <c r="E825" s="218">
        <v>599.0</v>
      </c>
      <c r="F825" s="218">
        <v>18.64</v>
      </c>
      <c r="G825" s="218">
        <v>0.0</v>
      </c>
      <c r="H825" s="223">
        <v>580.36</v>
      </c>
      <c r="J825" s="223" t="s">
        <v>252</v>
      </c>
      <c r="K825" s="317">
        <v>2023.0</v>
      </c>
    </row>
    <row r="826">
      <c r="A826" s="223" t="s">
        <v>788</v>
      </c>
      <c r="B826" s="223" t="s">
        <v>1250</v>
      </c>
      <c r="C826" s="223" t="s">
        <v>1470</v>
      </c>
      <c r="D826" s="316">
        <v>45030.0</v>
      </c>
      <c r="E826" s="218">
        <v>2650.0</v>
      </c>
      <c r="F826" s="218">
        <v>0.0</v>
      </c>
      <c r="G826" s="218">
        <v>0.0</v>
      </c>
      <c r="H826" s="223">
        <v>2650.0</v>
      </c>
      <c r="J826" s="223" t="s">
        <v>52</v>
      </c>
      <c r="K826" s="317">
        <v>2023.04</v>
      </c>
    </row>
    <row r="827">
      <c r="A827" s="223" t="s">
        <v>918</v>
      </c>
      <c r="B827" s="223" t="s">
        <v>1439</v>
      </c>
      <c r="C827" s="223" t="s">
        <v>36</v>
      </c>
      <c r="D827" s="316">
        <v>45016.0</v>
      </c>
      <c r="E827" s="218">
        <v>1400.0</v>
      </c>
      <c r="F827" s="218">
        <v>0.0</v>
      </c>
      <c r="G827" s="218">
        <v>0.0</v>
      </c>
      <c r="H827" s="223">
        <v>1400.0</v>
      </c>
      <c r="J827" s="223" t="s">
        <v>19</v>
      </c>
      <c r="K827" s="317">
        <v>2023.0</v>
      </c>
    </row>
    <row r="828">
      <c r="A828" s="223" t="s">
        <v>918</v>
      </c>
      <c r="B828" s="223" t="s">
        <v>1439</v>
      </c>
      <c r="C828" s="223" t="s">
        <v>36</v>
      </c>
      <c r="D828" s="316"/>
      <c r="E828" s="218">
        <v>1400.0</v>
      </c>
      <c r="F828" s="218"/>
      <c r="G828" s="218">
        <v>0.0</v>
      </c>
      <c r="H828" s="223">
        <v>1400.0</v>
      </c>
      <c r="J828" s="223" t="s">
        <v>19</v>
      </c>
      <c r="K828" s="317">
        <v>1899.0</v>
      </c>
    </row>
    <row r="829">
      <c r="A829" s="223" t="s">
        <v>66</v>
      </c>
      <c r="B829" s="223" t="s">
        <v>1324</v>
      </c>
      <c r="C829" s="223" t="s">
        <v>1156</v>
      </c>
      <c r="D829" s="316">
        <v>45022.0</v>
      </c>
      <c r="E829" s="218">
        <v>990.0</v>
      </c>
      <c r="F829" s="218">
        <v>0.0</v>
      </c>
      <c r="G829" s="218">
        <v>0.0</v>
      </c>
      <c r="H829" s="223">
        <v>990.0</v>
      </c>
      <c r="J829" s="223" t="s">
        <v>52</v>
      </c>
      <c r="K829" s="317">
        <v>2023.04</v>
      </c>
    </row>
    <row r="830">
      <c r="A830" s="223" t="s">
        <v>99</v>
      </c>
      <c r="B830" s="223" t="s">
        <v>1192</v>
      </c>
      <c r="C830" s="223" t="s">
        <v>1156</v>
      </c>
      <c r="D830" s="316">
        <v>45030.0</v>
      </c>
      <c r="E830" s="218">
        <v>1844.843</v>
      </c>
      <c r="F830" s="218">
        <v>68.646221</v>
      </c>
      <c r="G830" s="218">
        <v>355.23935580000006</v>
      </c>
      <c r="H830" s="223">
        <v>1420.9574232</v>
      </c>
      <c r="J830" s="223" t="s">
        <v>52</v>
      </c>
      <c r="K830" s="317">
        <v>2023.04</v>
      </c>
    </row>
    <row r="831">
      <c r="A831" s="223" t="s">
        <v>225</v>
      </c>
      <c r="B831" s="223" t="s">
        <v>1257</v>
      </c>
      <c r="C831" s="223" t="s">
        <v>1156</v>
      </c>
      <c r="D831" s="316">
        <v>45030.0</v>
      </c>
      <c r="E831" s="218">
        <v>5000.0</v>
      </c>
      <c r="F831" s="218">
        <v>0.0</v>
      </c>
      <c r="G831" s="218">
        <v>0.0</v>
      </c>
      <c r="H831" s="223">
        <v>5000.0</v>
      </c>
      <c r="J831" s="223" t="s">
        <v>52</v>
      </c>
      <c r="K831" s="317">
        <v>2023.04</v>
      </c>
    </row>
    <row r="832">
      <c r="A832" s="223" t="s">
        <v>102</v>
      </c>
      <c r="B832" s="223" t="s">
        <v>1259</v>
      </c>
      <c r="C832" s="223" t="s">
        <v>1156</v>
      </c>
      <c r="D832" s="316">
        <v>45030.0</v>
      </c>
      <c r="E832" s="218">
        <v>458.90214999999995</v>
      </c>
      <c r="F832" s="218">
        <v>17.372724249999997</v>
      </c>
      <c r="G832" s="218">
        <v>0.0</v>
      </c>
      <c r="H832" s="223">
        <v>441.52942575</v>
      </c>
      <c r="J832" s="223" t="s">
        <v>52</v>
      </c>
      <c r="K832" s="317">
        <v>2023.04</v>
      </c>
    </row>
    <row r="833">
      <c r="A833" s="223" t="s">
        <v>924</v>
      </c>
      <c r="B833" s="223" t="s">
        <v>1280</v>
      </c>
      <c r="C833" s="223" t="s">
        <v>1281</v>
      </c>
      <c r="D833" s="316">
        <v>45030.0</v>
      </c>
      <c r="E833" s="218">
        <v>77.63879999999999</v>
      </c>
      <c r="F833" s="218">
        <v>3.2608295999999997</v>
      </c>
      <c r="G833" s="218">
        <v>0.0</v>
      </c>
      <c r="H833" s="223">
        <v>74.3779704</v>
      </c>
      <c r="J833" s="223"/>
      <c r="K833" s="317">
        <v>2023.0</v>
      </c>
    </row>
    <row r="834">
      <c r="A834" s="223" t="s">
        <v>62</v>
      </c>
      <c r="B834" s="223" t="s">
        <v>1304</v>
      </c>
      <c r="C834" s="223" t="s">
        <v>1156</v>
      </c>
      <c r="D834" s="316">
        <v>45030.0</v>
      </c>
      <c r="E834" s="218">
        <v>1600.0</v>
      </c>
      <c r="F834" s="218">
        <v>49.78</v>
      </c>
      <c r="G834" s="218">
        <v>0.0</v>
      </c>
      <c r="H834" s="223">
        <v>1550.22</v>
      </c>
      <c r="J834" s="223" t="s">
        <v>52</v>
      </c>
      <c r="K834" s="317">
        <v>2023.04</v>
      </c>
    </row>
    <row r="835">
      <c r="A835" s="223" t="s">
        <v>467</v>
      </c>
      <c r="B835" s="223" t="s">
        <v>1209</v>
      </c>
      <c r="C835" s="223" t="s">
        <v>469</v>
      </c>
      <c r="D835" s="316">
        <v>45030.0</v>
      </c>
      <c r="E835" s="218">
        <v>368.42539999999997</v>
      </c>
      <c r="F835" s="218">
        <v>14.026481299999999</v>
      </c>
      <c r="G835" s="218">
        <v>70.87978374</v>
      </c>
      <c r="H835" s="223">
        <v>283.51913496</v>
      </c>
      <c r="J835" s="223" t="s">
        <v>52</v>
      </c>
      <c r="K835" s="317">
        <v>2023.0</v>
      </c>
    </row>
    <row r="836">
      <c r="A836" s="223" t="s">
        <v>629</v>
      </c>
      <c r="B836" s="223" t="s">
        <v>1395</v>
      </c>
      <c r="C836" s="223" t="s">
        <v>469</v>
      </c>
      <c r="D836" s="316">
        <v>45030.0</v>
      </c>
      <c r="E836" s="218">
        <v>371.35560000000004</v>
      </c>
      <c r="F836" s="218">
        <v>11.07</v>
      </c>
      <c r="G836" s="218">
        <v>0.0</v>
      </c>
      <c r="H836" s="223">
        <v>360.28560000000004</v>
      </c>
      <c r="J836" s="223" t="s">
        <v>52</v>
      </c>
      <c r="K836" s="317">
        <v>2023.04</v>
      </c>
    </row>
    <row r="837">
      <c r="A837" s="223" t="s">
        <v>762</v>
      </c>
      <c r="B837" s="223" t="s">
        <v>1429</v>
      </c>
      <c r="C837" s="223" t="s">
        <v>1432</v>
      </c>
      <c r="D837" s="316">
        <v>45030.0</v>
      </c>
      <c r="E837" s="218">
        <v>500.0</v>
      </c>
      <c r="F837" s="218">
        <v>0.0</v>
      </c>
      <c r="G837" s="218">
        <v>0.0</v>
      </c>
      <c r="H837" s="223">
        <v>500.0</v>
      </c>
      <c r="J837" s="223" t="s">
        <v>52</v>
      </c>
      <c r="K837" s="317">
        <v>2023.04</v>
      </c>
    </row>
    <row r="838">
      <c r="A838" s="223" t="s">
        <v>662</v>
      </c>
      <c r="B838" s="223" t="s">
        <v>1433</v>
      </c>
      <c r="C838" s="223" t="s">
        <v>1434</v>
      </c>
      <c r="D838" s="316">
        <v>45030.0</v>
      </c>
      <c r="E838" s="218">
        <v>2500.0</v>
      </c>
      <c r="F838" s="218">
        <v>0.0</v>
      </c>
      <c r="G838" s="218">
        <v>0.0</v>
      </c>
      <c r="H838" s="223">
        <v>2500.0</v>
      </c>
      <c r="J838" s="223" t="s">
        <v>52</v>
      </c>
      <c r="K838" s="317">
        <v>2023.04</v>
      </c>
    </row>
    <row r="839">
      <c r="A839" s="223" t="s">
        <v>795</v>
      </c>
      <c r="B839" s="223" t="s">
        <v>1352</v>
      </c>
      <c r="C839" s="223" t="s">
        <v>1393</v>
      </c>
      <c r="D839" s="316">
        <v>45030.0</v>
      </c>
      <c r="E839" s="218">
        <v>2000.0</v>
      </c>
      <c r="F839" s="218">
        <v>62.223</v>
      </c>
      <c r="G839" s="218">
        <v>0.0</v>
      </c>
      <c r="H839" s="223">
        <v>1937.777</v>
      </c>
      <c r="J839" s="223" t="s">
        <v>52</v>
      </c>
      <c r="K839" s="317">
        <v>2023.04</v>
      </c>
    </row>
    <row r="840">
      <c r="A840" s="223" t="s">
        <v>817</v>
      </c>
      <c r="B840" s="223" t="s">
        <v>1473</v>
      </c>
      <c r="C840" s="223" t="s">
        <v>1393</v>
      </c>
      <c r="D840" s="316"/>
      <c r="E840" s="218">
        <v>7000.0</v>
      </c>
      <c r="F840" s="218"/>
      <c r="G840" s="218">
        <v>0.0</v>
      </c>
      <c r="H840" s="223">
        <v>7000.0</v>
      </c>
      <c r="J840" s="223"/>
      <c r="K840" s="317">
        <v>1899.0</v>
      </c>
    </row>
    <row r="841">
      <c r="A841" s="223" t="s">
        <v>884</v>
      </c>
      <c r="B841" s="223" t="s">
        <v>1493</v>
      </c>
      <c r="C841" s="223" t="s">
        <v>1494</v>
      </c>
      <c r="D841" s="316">
        <v>45030.0</v>
      </c>
      <c r="E841" s="218">
        <v>323.27675</v>
      </c>
      <c r="F841" s="218">
        <v>12.349171850000001</v>
      </c>
      <c r="G841" s="218">
        <v>62.18551563</v>
      </c>
      <c r="H841" s="223">
        <v>248.74206252</v>
      </c>
      <c r="J841" s="223" t="s">
        <v>52</v>
      </c>
      <c r="K841" s="317">
        <v>2023.04</v>
      </c>
    </row>
    <row r="842">
      <c r="A842" s="223" t="s">
        <v>587</v>
      </c>
      <c r="B842" s="223" t="s">
        <v>1406</v>
      </c>
      <c r="C842" s="223" t="s">
        <v>1403</v>
      </c>
      <c r="D842" s="316">
        <v>45030.0</v>
      </c>
      <c r="E842" s="218">
        <v>1316.4845</v>
      </c>
      <c r="F842" s="218">
        <v>0.0</v>
      </c>
      <c r="G842" s="218">
        <v>0.0</v>
      </c>
      <c r="H842" s="223">
        <v>1316.4845</v>
      </c>
      <c r="J842" s="223" t="s">
        <v>252</v>
      </c>
      <c r="K842" s="317">
        <v>2023.0</v>
      </c>
    </row>
    <row r="843">
      <c r="A843" s="223" t="s">
        <v>932</v>
      </c>
      <c r="B843" s="223" t="s">
        <v>1507</v>
      </c>
      <c r="C843" s="223" t="s">
        <v>1381</v>
      </c>
      <c r="D843" s="316">
        <v>45030.0</v>
      </c>
      <c r="E843" s="218">
        <v>800.0</v>
      </c>
      <c r="F843" s="218">
        <v>26.79</v>
      </c>
      <c r="G843" s="218">
        <v>0.0</v>
      </c>
      <c r="H843" s="223">
        <v>773.21</v>
      </c>
      <c r="J843" s="223" t="s">
        <v>19</v>
      </c>
      <c r="K843" s="317">
        <v>2023.0</v>
      </c>
    </row>
    <row r="844">
      <c r="A844" s="223" t="s">
        <v>932</v>
      </c>
      <c r="B844" s="223" t="s">
        <v>1507</v>
      </c>
      <c r="C844" s="223" t="s">
        <v>1381</v>
      </c>
      <c r="D844" s="316">
        <v>45077.0</v>
      </c>
      <c r="E844" s="218">
        <v>800.0</v>
      </c>
      <c r="F844" s="218">
        <v>26.79</v>
      </c>
      <c r="G844" s="218">
        <v>0.0</v>
      </c>
      <c r="H844" s="223">
        <v>773.21</v>
      </c>
      <c r="J844" s="223" t="s">
        <v>19</v>
      </c>
      <c r="K844" s="317">
        <v>2023.0</v>
      </c>
    </row>
    <row r="845">
      <c r="A845" s="223" t="s">
        <v>935</v>
      </c>
      <c r="B845" s="223" t="s">
        <v>1282</v>
      </c>
      <c r="C845" s="223" t="s">
        <v>1509</v>
      </c>
      <c r="D845" s="316">
        <v>45077.0</v>
      </c>
      <c r="E845" s="218">
        <v>2400.0</v>
      </c>
      <c r="F845" s="218">
        <v>0.0</v>
      </c>
      <c r="G845" s="218">
        <v>0.0</v>
      </c>
      <c r="H845" s="223">
        <v>2400.0</v>
      </c>
      <c r="J845" s="223" t="s">
        <v>252</v>
      </c>
      <c r="K845" s="317">
        <v>2023.0</v>
      </c>
    </row>
    <row r="846">
      <c r="A846" s="223" t="s">
        <v>223</v>
      </c>
      <c r="B846" s="223" t="s">
        <v>1176</v>
      </c>
      <c r="C846" s="223" t="s">
        <v>1156</v>
      </c>
      <c r="D846" s="316">
        <v>45044.0</v>
      </c>
      <c r="E846" s="218">
        <v>2149.5</v>
      </c>
      <c r="F846" s="218">
        <v>66.87</v>
      </c>
      <c r="G846" s="218">
        <v>0.0</v>
      </c>
      <c r="H846" s="223">
        <v>2082.63</v>
      </c>
      <c r="J846" s="223" t="s">
        <v>52</v>
      </c>
      <c r="K846" s="317">
        <v>2023.04</v>
      </c>
    </row>
    <row r="847">
      <c r="A847" s="223" t="s">
        <v>70</v>
      </c>
      <c r="B847" s="223" t="s">
        <v>1239</v>
      </c>
      <c r="C847" s="223" t="s">
        <v>1168</v>
      </c>
      <c r="D847" s="316">
        <v>45044.0</v>
      </c>
      <c r="E847" s="218">
        <v>2966.6666666666665</v>
      </c>
      <c r="F847" s="218">
        <v>0.0</v>
      </c>
      <c r="G847" s="218">
        <v>0.0</v>
      </c>
      <c r="H847" s="223">
        <v>2966.6666666666665</v>
      </c>
      <c r="J847" s="223" t="s">
        <v>939</v>
      </c>
      <c r="K847" s="317">
        <v>2023.0</v>
      </c>
    </row>
    <row r="848">
      <c r="A848" s="223" t="s">
        <v>70</v>
      </c>
      <c r="B848" s="223" t="s">
        <v>1239</v>
      </c>
      <c r="C848" s="223" t="s">
        <v>1168</v>
      </c>
      <c r="D848" s="316">
        <v>45077.0</v>
      </c>
      <c r="E848" s="218">
        <v>2966.6666666666665</v>
      </c>
      <c r="F848" s="218">
        <v>0.0</v>
      </c>
      <c r="G848" s="218">
        <v>0.0</v>
      </c>
      <c r="H848" s="223">
        <v>2966.6666666666665</v>
      </c>
      <c r="J848" s="223" t="s">
        <v>196</v>
      </c>
      <c r="K848" s="317">
        <v>2023.0</v>
      </c>
    </row>
    <row r="849">
      <c r="A849" s="223" t="s">
        <v>70</v>
      </c>
      <c r="B849" s="223" t="s">
        <v>1239</v>
      </c>
      <c r="C849" s="223" t="s">
        <v>1168</v>
      </c>
      <c r="D849" s="316">
        <v>45107.0</v>
      </c>
      <c r="E849" s="218">
        <v>2966.6666666666665</v>
      </c>
      <c r="F849" s="218">
        <v>0.0</v>
      </c>
      <c r="G849" s="218">
        <v>0.0</v>
      </c>
      <c r="H849" s="223">
        <v>2966.6666666666665</v>
      </c>
      <c r="J849" s="223" t="s">
        <v>196</v>
      </c>
      <c r="K849" s="317">
        <v>2023.0</v>
      </c>
    </row>
    <row r="850">
      <c r="A850" s="223" t="s">
        <v>629</v>
      </c>
      <c r="B850" s="223" t="s">
        <v>1395</v>
      </c>
      <c r="C850" s="223" t="s">
        <v>469</v>
      </c>
      <c r="D850" s="316">
        <v>45061.0</v>
      </c>
      <c r="E850" s="218">
        <v>462.931</v>
      </c>
      <c r="F850" s="218">
        <v>13.72</v>
      </c>
      <c r="G850" s="218">
        <v>0.0</v>
      </c>
      <c r="H850" s="223">
        <v>449.21099999999996</v>
      </c>
      <c r="J850" s="223" t="s">
        <v>52</v>
      </c>
      <c r="K850" s="317">
        <v>2023.05</v>
      </c>
    </row>
    <row r="851">
      <c r="A851" s="223" t="s">
        <v>840</v>
      </c>
      <c r="B851" s="223" t="s">
        <v>1216</v>
      </c>
      <c r="C851" s="223" t="s">
        <v>1471</v>
      </c>
      <c r="D851" s="316">
        <v>45044.0</v>
      </c>
      <c r="E851" s="218">
        <v>489.0</v>
      </c>
      <c r="F851" s="218">
        <v>15.21</v>
      </c>
      <c r="G851" s="218">
        <v>0.0</v>
      </c>
      <c r="H851" s="223">
        <v>473.79</v>
      </c>
      <c r="J851" s="223" t="s">
        <v>252</v>
      </c>
      <c r="K851" s="317">
        <v>2023.0</v>
      </c>
    </row>
    <row r="852">
      <c r="A852" s="223" t="s">
        <v>54</v>
      </c>
      <c r="B852" s="223" t="s">
        <v>1187</v>
      </c>
      <c r="C852" s="223" t="s">
        <v>1156</v>
      </c>
      <c r="D852" s="316">
        <v>45046.0</v>
      </c>
      <c r="E852" s="218">
        <v>750.0</v>
      </c>
      <c r="F852" s="218">
        <v>23.33</v>
      </c>
      <c r="G852" s="218">
        <v>0.0</v>
      </c>
      <c r="H852" s="223">
        <v>726.67</v>
      </c>
      <c r="J852" s="223" t="s">
        <v>52</v>
      </c>
      <c r="K852" s="317">
        <v>2023.04</v>
      </c>
    </row>
    <row r="853">
      <c r="A853" s="223" t="s">
        <v>120</v>
      </c>
      <c r="B853" s="223" t="s">
        <v>1215</v>
      </c>
      <c r="C853" s="223" t="s">
        <v>1156</v>
      </c>
      <c r="D853" s="316">
        <v>45044.0</v>
      </c>
      <c r="E853" s="218">
        <v>1298.636</v>
      </c>
      <c r="F853" s="218">
        <v>38.4396256</v>
      </c>
      <c r="G853" s="218">
        <v>252.03927488</v>
      </c>
      <c r="H853" s="223">
        <v>1008.15709952</v>
      </c>
      <c r="J853" s="223" t="s">
        <v>52</v>
      </c>
      <c r="K853" s="317">
        <v>2023.04</v>
      </c>
    </row>
    <row r="854">
      <c r="A854" s="223" t="s">
        <v>42</v>
      </c>
      <c r="B854" s="223" t="s">
        <v>1236</v>
      </c>
      <c r="C854" s="223" t="s">
        <v>1156</v>
      </c>
      <c r="D854" s="316">
        <v>45044.0</v>
      </c>
      <c r="E854" s="218">
        <v>1500.0</v>
      </c>
      <c r="F854" s="218">
        <v>46.67</v>
      </c>
      <c r="G854" s="218">
        <v>217.99949999999998</v>
      </c>
      <c r="H854" s="223">
        <v>1235.3305</v>
      </c>
      <c r="J854" s="223" t="s">
        <v>52</v>
      </c>
      <c r="K854" s="317">
        <v>2023.04</v>
      </c>
    </row>
    <row r="855">
      <c r="A855" s="223" t="s">
        <v>82</v>
      </c>
      <c r="B855" s="223" t="s">
        <v>1124</v>
      </c>
      <c r="C855" s="223" t="s">
        <v>1156</v>
      </c>
      <c r="D855" s="316">
        <v>45044.0</v>
      </c>
      <c r="E855" s="218">
        <v>860.0</v>
      </c>
      <c r="F855" s="218">
        <v>0.0</v>
      </c>
      <c r="G855" s="218">
        <v>0.0</v>
      </c>
      <c r="H855" s="223">
        <v>860.0</v>
      </c>
      <c r="J855" s="223" t="s">
        <v>52</v>
      </c>
      <c r="K855" s="317">
        <v>2023.04</v>
      </c>
    </row>
    <row r="856">
      <c r="A856" s="223" t="s">
        <v>88</v>
      </c>
      <c r="B856" s="223" t="s">
        <v>1256</v>
      </c>
      <c r="C856" s="223" t="s">
        <v>1156</v>
      </c>
      <c r="D856" s="316">
        <v>45046.0</v>
      </c>
      <c r="E856" s="218">
        <v>500.0</v>
      </c>
      <c r="F856" s="218">
        <v>15.56</v>
      </c>
      <c r="G856" s="218">
        <v>0.0</v>
      </c>
      <c r="H856" s="223">
        <v>484.44</v>
      </c>
      <c r="J856" s="223" t="s">
        <v>52</v>
      </c>
      <c r="K856" s="317">
        <v>2023.04</v>
      </c>
    </row>
    <row r="857">
      <c r="A857" s="223" t="s">
        <v>50</v>
      </c>
      <c r="B857" s="223" t="s">
        <v>1275</v>
      </c>
      <c r="C857" s="223" t="s">
        <v>1156</v>
      </c>
      <c r="D857" s="316">
        <v>45044.0</v>
      </c>
      <c r="E857" s="218">
        <v>412.5</v>
      </c>
      <c r="F857" s="218">
        <v>0.0</v>
      </c>
      <c r="G857" s="218">
        <v>0.0</v>
      </c>
      <c r="H857" s="223">
        <v>412.5</v>
      </c>
      <c r="J857" s="223" t="s">
        <v>52</v>
      </c>
      <c r="K857" s="317">
        <v>2023.04</v>
      </c>
    </row>
    <row r="858">
      <c r="A858" s="223" t="s">
        <v>97</v>
      </c>
      <c r="B858" s="223" t="s">
        <v>1286</v>
      </c>
      <c r="C858" s="223" t="s">
        <v>1156</v>
      </c>
      <c r="D858" s="316">
        <v>45044.0</v>
      </c>
      <c r="E858" s="218">
        <v>330.0</v>
      </c>
      <c r="F858" s="218">
        <v>10.27</v>
      </c>
      <c r="G858" s="218">
        <v>0.0</v>
      </c>
      <c r="H858" s="223">
        <v>319.73</v>
      </c>
      <c r="J858" s="223" t="s">
        <v>52</v>
      </c>
      <c r="K858" s="317">
        <v>2023.04</v>
      </c>
    </row>
    <row r="859">
      <c r="A859" s="223" t="s">
        <v>92</v>
      </c>
      <c r="B859" s="223" t="s">
        <v>1289</v>
      </c>
      <c r="C859" s="223" t="s">
        <v>1156</v>
      </c>
      <c r="D859" s="316">
        <v>45044.0</v>
      </c>
      <c r="E859" s="218">
        <v>2500.0</v>
      </c>
      <c r="F859" s="218">
        <v>77.78</v>
      </c>
      <c r="G859" s="218">
        <v>0.0</v>
      </c>
      <c r="H859" s="223">
        <v>2422.22</v>
      </c>
      <c r="J859" s="223" t="s">
        <v>52</v>
      </c>
      <c r="K859" s="317">
        <v>2023.04</v>
      </c>
    </row>
    <row r="860">
      <c r="A860" s="223" t="s">
        <v>123</v>
      </c>
      <c r="B860" s="223" t="s">
        <v>1300</v>
      </c>
      <c r="C860" s="223" t="s">
        <v>1156</v>
      </c>
      <c r="D860" s="316">
        <v>45044.0</v>
      </c>
      <c r="E860" s="218">
        <v>3947.4149999999995</v>
      </c>
      <c r="F860" s="218">
        <v>146.4490965</v>
      </c>
      <c r="G860" s="218">
        <v>0.0</v>
      </c>
      <c r="H860" s="223">
        <v>3800.9659034999995</v>
      </c>
      <c r="J860" s="223" t="s">
        <v>52</v>
      </c>
      <c r="K860" s="317">
        <v>2023.04</v>
      </c>
    </row>
    <row r="861">
      <c r="A861" s="223" t="s">
        <v>115</v>
      </c>
      <c r="B861" s="223" t="s">
        <v>1308</v>
      </c>
      <c r="C861" s="223" t="s">
        <v>1156</v>
      </c>
      <c r="D861" s="316">
        <v>45044.0</v>
      </c>
      <c r="E861" s="218">
        <v>3277.625</v>
      </c>
      <c r="F861" s="218">
        <v>0.0</v>
      </c>
      <c r="G861" s="218">
        <v>0.0</v>
      </c>
      <c r="H861" s="223">
        <v>3277.625</v>
      </c>
      <c r="J861" s="223" t="s">
        <v>52</v>
      </c>
      <c r="K861" s="317">
        <v>2023.04</v>
      </c>
    </row>
    <row r="862">
      <c r="A862" s="223" t="s">
        <v>118</v>
      </c>
      <c r="B862" s="223" t="s">
        <v>1312</v>
      </c>
      <c r="C862" s="223" t="s">
        <v>1156</v>
      </c>
      <c r="D862" s="316">
        <v>45044.0</v>
      </c>
      <c r="E862" s="218">
        <v>3277.625</v>
      </c>
      <c r="F862" s="218">
        <v>0.0</v>
      </c>
      <c r="G862" s="218">
        <v>0.0</v>
      </c>
      <c r="H862" s="223">
        <v>3277.625</v>
      </c>
      <c r="J862" s="223" t="s">
        <v>52</v>
      </c>
      <c r="K862" s="317">
        <v>2023.04</v>
      </c>
    </row>
    <row r="863">
      <c r="A863" s="223" t="s">
        <v>73</v>
      </c>
      <c r="B863" s="223" t="s">
        <v>1327</v>
      </c>
      <c r="C863" s="223" t="s">
        <v>1156</v>
      </c>
      <c r="D863" s="316">
        <v>45044.0</v>
      </c>
      <c r="E863" s="218">
        <v>770.0</v>
      </c>
      <c r="F863" s="218">
        <v>0.0</v>
      </c>
      <c r="G863" s="218">
        <v>0.0</v>
      </c>
      <c r="H863" s="223">
        <v>770.0</v>
      </c>
      <c r="J863" s="223" t="s">
        <v>52</v>
      </c>
      <c r="K863" s="317">
        <v>2023.04</v>
      </c>
    </row>
    <row r="864">
      <c r="A864" s="223" t="s">
        <v>499</v>
      </c>
      <c r="B864" s="223" t="s">
        <v>1330</v>
      </c>
      <c r="C864" s="223" t="s">
        <v>1375</v>
      </c>
      <c r="D864" s="316">
        <v>45044.0</v>
      </c>
      <c r="E864" s="218">
        <v>1650.0</v>
      </c>
      <c r="F864" s="218">
        <v>55.23</v>
      </c>
      <c r="G864" s="218">
        <v>0.0</v>
      </c>
      <c r="H864" s="223">
        <v>1594.77</v>
      </c>
      <c r="J864" s="223" t="s">
        <v>52</v>
      </c>
      <c r="K864" s="317">
        <v>2023.04</v>
      </c>
    </row>
    <row r="865">
      <c r="A865" s="223" t="s">
        <v>549</v>
      </c>
      <c r="B865" s="223" t="s">
        <v>1368</v>
      </c>
      <c r="C865" s="223" t="s">
        <v>1393</v>
      </c>
      <c r="D865" s="316">
        <v>45044.0</v>
      </c>
      <c r="E865" s="218">
        <v>787.6787999999999</v>
      </c>
      <c r="F865" s="218">
        <v>29.537954999999997</v>
      </c>
      <c r="G865" s="218">
        <v>0.0</v>
      </c>
      <c r="H865" s="223">
        <v>758.1408449999999</v>
      </c>
      <c r="J865" s="223" t="s">
        <v>52</v>
      </c>
      <c r="K865" s="317">
        <v>2023.04</v>
      </c>
    </row>
    <row r="866">
      <c r="A866" s="223" t="s">
        <v>695</v>
      </c>
      <c r="B866" s="223" t="s">
        <v>1216</v>
      </c>
      <c r="C866" s="223" t="s">
        <v>1451</v>
      </c>
      <c r="D866" s="316">
        <v>45044.0</v>
      </c>
      <c r="E866" s="218">
        <v>600.0</v>
      </c>
      <c r="F866" s="218">
        <v>18.67</v>
      </c>
      <c r="G866" s="218">
        <v>0.0</v>
      </c>
      <c r="H866" s="223">
        <v>581.33</v>
      </c>
      <c r="J866" s="223" t="s">
        <v>52</v>
      </c>
      <c r="K866" s="317">
        <v>2023.04</v>
      </c>
    </row>
    <row r="867">
      <c r="A867" s="223" t="s">
        <v>810</v>
      </c>
      <c r="B867" s="223" t="s">
        <v>1363</v>
      </c>
      <c r="C867" s="223" t="s">
        <v>1393</v>
      </c>
      <c r="D867" s="316">
        <v>45044.0</v>
      </c>
      <c r="E867" s="218">
        <v>1157.9083999999998</v>
      </c>
      <c r="F867" s="218">
        <v>43.2373523</v>
      </c>
      <c r="G867" s="218">
        <v>0.0</v>
      </c>
      <c r="H867" s="223">
        <v>1114.6710476999997</v>
      </c>
      <c r="J867" s="223" t="s">
        <v>52</v>
      </c>
      <c r="K867" s="317">
        <v>2023.04</v>
      </c>
    </row>
    <row r="868">
      <c r="A868" s="223" t="s">
        <v>855</v>
      </c>
      <c r="B868" s="223" t="s">
        <v>1283</v>
      </c>
      <c r="C868" s="223" t="s">
        <v>1480</v>
      </c>
      <c r="D868" s="316">
        <v>45046.0</v>
      </c>
      <c r="E868" s="218">
        <v>250.0</v>
      </c>
      <c r="F868" s="218">
        <v>7.78</v>
      </c>
      <c r="G868" s="218">
        <v>0.0</v>
      </c>
      <c r="H868" s="223">
        <v>242.22</v>
      </c>
      <c r="J868" s="223" t="s">
        <v>52</v>
      </c>
      <c r="K868" s="317">
        <v>2023.04</v>
      </c>
    </row>
    <row r="869">
      <c r="A869" s="223" t="s">
        <v>890</v>
      </c>
      <c r="B869" s="223" t="s">
        <v>1475</v>
      </c>
      <c r="C869" s="223" t="s">
        <v>1499</v>
      </c>
      <c r="D869" s="316">
        <v>45044.0</v>
      </c>
      <c r="E869" s="218">
        <v>1700.0</v>
      </c>
      <c r="F869" s="218">
        <v>52.89</v>
      </c>
      <c r="G869" s="218">
        <v>0.0</v>
      </c>
      <c r="H869" s="223">
        <v>1647.11</v>
      </c>
      <c r="J869" s="223" t="s">
        <v>52</v>
      </c>
      <c r="K869" s="317">
        <v>2023.04</v>
      </c>
    </row>
    <row r="870">
      <c r="A870" s="223" t="s">
        <v>394</v>
      </c>
      <c r="B870" s="223" t="s">
        <v>1158</v>
      </c>
      <c r="C870" s="223" t="s">
        <v>1164</v>
      </c>
      <c r="D870" s="316">
        <v>45138.0</v>
      </c>
      <c r="E870" s="218">
        <v>197.565</v>
      </c>
      <c r="F870" s="218">
        <v>0.0</v>
      </c>
      <c r="G870" s="218">
        <v>0.0</v>
      </c>
      <c r="H870" s="223">
        <v>197.565</v>
      </c>
      <c r="J870" s="223" t="s">
        <v>257</v>
      </c>
      <c r="K870" s="317">
        <v>2023.0</v>
      </c>
    </row>
    <row r="871">
      <c r="A871" s="223" t="s">
        <v>886</v>
      </c>
      <c r="B871" s="223" t="s">
        <v>1200</v>
      </c>
      <c r="C871" s="223" t="s">
        <v>1376</v>
      </c>
      <c r="D871" s="316">
        <v>45044.0</v>
      </c>
      <c r="E871" s="218">
        <v>661.5</v>
      </c>
      <c r="F871" s="218">
        <v>0.0</v>
      </c>
      <c r="G871" s="218">
        <v>0.0</v>
      </c>
      <c r="H871" s="223">
        <v>661.5</v>
      </c>
      <c r="J871" s="223" t="s">
        <v>52</v>
      </c>
      <c r="K871" s="317">
        <v>2023.0</v>
      </c>
    </row>
    <row r="872">
      <c r="A872" s="223" t="s">
        <v>861</v>
      </c>
      <c r="B872" s="223" t="s">
        <v>1483</v>
      </c>
      <c r="C872" s="223" t="s">
        <v>1393</v>
      </c>
      <c r="D872" s="316">
        <v>45049.0</v>
      </c>
      <c r="E872" s="218">
        <v>3363.46724</v>
      </c>
      <c r="F872" s="218">
        <v>124.83787867999999</v>
      </c>
      <c r="G872" s="218">
        <v>647.725872264</v>
      </c>
      <c r="H872" s="223">
        <v>2590.903489056</v>
      </c>
      <c r="J872" s="223" t="s">
        <v>52</v>
      </c>
      <c r="K872" s="317">
        <v>2023.05</v>
      </c>
    </row>
    <row r="873">
      <c r="A873" s="223" t="s">
        <v>963</v>
      </c>
      <c r="B873" s="223" t="s">
        <v>1485</v>
      </c>
      <c r="C873" s="223" t="s">
        <v>1393</v>
      </c>
      <c r="D873" s="316">
        <v>45049.0</v>
      </c>
      <c r="E873" s="218">
        <v>1460.5435499999999</v>
      </c>
      <c r="F873" s="218">
        <v>54.43485284999999</v>
      </c>
      <c r="G873" s="218">
        <v>281.22173943</v>
      </c>
      <c r="H873" s="223">
        <v>1124.8869577199998</v>
      </c>
      <c r="J873" s="223" t="s">
        <v>52</v>
      </c>
      <c r="K873" s="317">
        <v>2023.05</v>
      </c>
    </row>
    <row r="874">
      <c r="A874" s="223" t="s">
        <v>966</v>
      </c>
      <c r="B874" s="223" t="s">
        <v>1487</v>
      </c>
      <c r="C874" s="223" t="s">
        <v>1510</v>
      </c>
      <c r="D874" s="316">
        <v>45061.0</v>
      </c>
      <c r="E874" s="218">
        <v>3700.0</v>
      </c>
      <c r="F874" s="218">
        <v>115.11</v>
      </c>
      <c r="G874" s="218">
        <v>358.48900000000003</v>
      </c>
      <c r="H874" s="223">
        <v>3226.401</v>
      </c>
      <c r="J874" s="223" t="s">
        <v>52</v>
      </c>
      <c r="K874" s="317">
        <v>2023.05</v>
      </c>
    </row>
    <row r="875">
      <c r="A875" s="223" t="s">
        <v>966</v>
      </c>
      <c r="B875" s="223" t="s">
        <v>1487</v>
      </c>
      <c r="C875" s="223" t="s">
        <v>1510</v>
      </c>
      <c r="D875" s="316">
        <v>45092.0</v>
      </c>
      <c r="E875" s="218">
        <v>1800.0</v>
      </c>
      <c r="F875" s="218">
        <v>56.0</v>
      </c>
      <c r="G875" s="218">
        <v>174.4</v>
      </c>
      <c r="H875" s="223">
        <v>1569.6</v>
      </c>
      <c r="J875" s="223" t="s">
        <v>52</v>
      </c>
      <c r="K875" s="317">
        <v>2023.06</v>
      </c>
    </row>
    <row r="876">
      <c r="A876" s="223" t="s">
        <v>62</v>
      </c>
      <c r="B876" s="223" t="s">
        <v>1304</v>
      </c>
      <c r="C876" s="223" t="s">
        <v>1156</v>
      </c>
      <c r="D876" s="316">
        <v>45061.0</v>
      </c>
      <c r="E876" s="218">
        <v>2300.0</v>
      </c>
      <c r="F876" s="218">
        <v>71.56</v>
      </c>
      <c r="G876" s="218">
        <v>0.0</v>
      </c>
      <c r="H876" s="223">
        <v>2228.44</v>
      </c>
      <c r="J876" s="223" t="s">
        <v>52</v>
      </c>
      <c r="K876" s="317">
        <v>2023.05</v>
      </c>
    </row>
    <row r="877">
      <c r="A877" s="223" t="s">
        <v>99</v>
      </c>
      <c r="B877" s="223" t="s">
        <v>1192</v>
      </c>
      <c r="C877" s="223" t="s">
        <v>1156</v>
      </c>
      <c r="D877" s="316">
        <v>45061.0</v>
      </c>
      <c r="E877" s="218">
        <v>2802.6646499999997</v>
      </c>
      <c r="F877" s="218">
        <v>104.09333355</v>
      </c>
      <c r="G877" s="218">
        <v>539.71426329</v>
      </c>
      <c r="H877" s="223">
        <v>2158.85705316</v>
      </c>
      <c r="J877" s="223" t="s">
        <v>52</v>
      </c>
      <c r="K877" s="317">
        <v>2023.05</v>
      </c>
    </row>
    <row r="878">
      <c r="A878" s="223" t="s">
        <v>225</v>
      </c>
      <c r="B878" s="223" t="s">
        <v>1257</v>
      </c>
      <c r="C878" s="223" t="s">
        <v>1156</v>
      </c>
      <c r="D878" s="316">
        <v>45061.0</v>
      </c>
      <c r="E878" s="218">
        <v>5000.0</v>
      </c>
      <c r="F878" s="218">
        <v>0.0</v>
      </c>
      <c r="G878" s="218">
        <v>0.0</v>
      </c>
      <c r="H878" s="223">
        <v>5000.0</v>
      </c>
      <c r="J878" s="223" t="s">
        <v>52</v>
      </c>
      <c r="K878" s="317">
        <v>2023.05</v>
      </c>
    </row>
    <row r="879">
      <c r="A879" s="223" t="s">
        <v>102</v>
      </c>
      <c r="B879" s="223" t="s">
        <v>1259</v>
      </c>
      <c r="C879" s="223" t="s">
        <v>1156</v>
      </c>
      <c r="D879" s="316">
        <v>45061.0</v>
      </c>
      <c r="E879" s="218">
        <v>454.52259999999995</v>
      </c>
      <c r="F879" s="218">
        <v>17.206927</v>
      </c>
      <c r="G879" s="218">
        <v>0.0</v>
      </c>
      <c r="H879" s="223">
        <v>437.31567299999995</v>
      </c>
      <c r="J879" s="223" t="s">
        <v>52</v>
      </c>
      <c r="K879" s="317">
        <v>2023.05</v>
      </c>
    </row>
    <row r="880">
      <c r="A880" s="223" t="s">
        <v>924</v>
      </c>
      <c r="B880" s="223" t="s">
        <v>1280</v>
      </c>
      <c r="C880" s="223" t="s">
        <v>1281</v>
      </c>
      <c r="D880" s="316">
        <v>45061.0</v>
      </c>
      <c r="E880" s="218">
        <v>78.94829999999999</v>
      </c>
      <c r="F880" s="218">
        <v>3.3158285999999997</v>
      </c>
      <c r="G880" s="218">
        <v>0.0</v>
      </c>
      <c r="H880" s="223">
        <v>75.63247139999999</v>
      </c>
      <c r="J880" s="223" t="s">
        <v>52</v>
      </c>
      <c r="K880" s="317">
        <v>2023.05</v>
      </c>
    </row>
    <row r="881">
      <c r="A881" s="223" t="s">
        <v>467</v>
      </c>
      <c r="B881" s="223" t="s">
        <v>1209</v>
      </c>
      <c r="C881" s="223" t="s">
        <v>469</v>
      </c>
      <c r="D881" s="316">
        <v>45061.0</v>
      </c>
      <c r="E881" s="218">
        <v>280.0</v>
      </c>
      <c r="F881" s="218"/>
      <c r="G881" s="218">
        <v>56.0</v>
      </c>
      <c r="H881" s="223">
        <v>224.0</v>
      </c>
      <c r="J881" s="223" t="s">
        <v>52</v>
      </c>
      <c r="K881" s="317">
        <v>2023.05</v>
      </c>
    </row>
    <row r="882">
      <c r="A882" s="223" t="s">
        <v>762</v>
      </c>
      <c r="B882" s="223" t="s">
        <v>1429</v>
      </c>
      <c r="C882" s="223" t="s">
        <v>1432</v>
      </c>
      <c r="D882" s="316">
        <v>45061.0</v>
      </c>
      <c r="E882" s="218">
        <v>500.0</v>
      </c>
      <c r="F882" s="218">
        <v>0.0</v>
      </c>
      <c r="G882" s="218">
        <v>0.0</v>
      </c>
      <c r="H882" s="223">
        <v>500.0</v>
      </c>
      <c r="J882" s="223" t="s">
        <v>52</v>
      </c>
      <c r="K882" s="317">
        <v>2023.05</v>
      </c>
    </row>
    <row r="883">
      <c r="A883" s="223" t="s">
        <v>662</v>
      </c>
      <c r="B883" s="223" t="s">
        <v>1433</v>
      </c>
      <c r="C883" s="223" t="s">
        <v>1434</v>
      </c>
      <c r="D883" s="316">
        <v>45061.0</v>
      </c>
      <c r="E883" s="218">
        <v>2500.0</v>
      </c>
      <c r="F883" s="218">
        <v>0.0</v>
      </c>
      <c r="G883" s="218">
        <v>0.0</v>
      </c>
      <c r="H883" s="223">
        <v>2500.0</v>
      </c>
      <c r="J883" s="223" t="s">
        <v>52</v>
      </c>
      <c r="K883" s="317">
        <v>2023.05</v>
      </c>
    </row>
    <row r="884">
      <c r="A884" s="223" t="s">
        <v>788</v>
      </c>
      <c r="B884" s="223" t="s">
        <v>1250</v>
      </c>
      <c r="C884" s="223" t="s">
        <v>1470</v>
      </c>
      <c r="D884" s="316">
        <v>45061.0</v>
      </c>
      <c r="E884" s="218">
        <v>2000.0</v>
      </c>
      <c r="F884" s="218">
        <v>0.0</v>
      </c>
      <c r="G884" s="218">
        <v>0.0</v>
      </c>
      <c r="H884" s="223">
        <v>2000.0</v>
      </c>
      <c r="J884" s="223" t="s">
        <v>52</v>
      </c>
      <c r="K884" s="317">
        <v>2023.05</v>
      </c>
    </row>
    <row r="885">
      <c r="A885" s="223" t="s">
        <v>795</v>
      </c>
      <c r="B885" s="223" t="s">
        <v>1352</v>
      </c>
      <c r="C885" s="223" t="s">
        <v>1393</v>
      </c>
      <c r="D885" s="316">
        <v>45061.0</v>
      </c>
      <c r="E885" s="218">
        <v>2000.0</v>
      </c>
      <c r="F885" s="218">
        <v>62.22</v>
      </c>
      <c r="G885" s="218">
        <v>0.0</v>
      </c>
      <c r="H885" s="223">
        <v>1937.78</v>
      </c>
      <c r="J885" s="223" t="s">
        <v>52</v>
      </c>
      <c r="K885" s="317">
        <v>2023.05</v>
      </c>
    </row>
    <row r="886">
      <c r="A886" s="223" t="s">
        <v>884</v>
      </c>
      <c r="B886" s="223" t="s">
        <v>1493</v>
      </c>
      <c r="C886" s="223" t="s">
        <v>1494</v>
      </c>
      <c r="D886" s="316">
        <v>45061.0</v>
      </c>
      <c r="E886" s="218">
        <v>250.0</v>
      </c>
      <c r="F886" s="218"/>
      <c r="G886" s="218">
        <v>50.0</v>
      </c>
      <c r="H886" s="223">
        <v>200.0</v>
      </c>
      <c r="J886" s="223" t="s">
        <v>52</v>
      </c>
      <c r="K886" s="317">
        <v>2023.05</v>
      </c>
    </row>
    <row r="887">
      <c r="A887" s="223" t="s">
        <v>979</v>
      </c>
      <c r="B887" s="223" t="s">
        <v>1511</v>
      </c>
      <c r="C887" s="223" t="s">
        <v>1512</v>
      </c>
      <c r="D887" s="316">
        <v>45057.0</v>
      </c>
      <c r="E887" s="218">
        <v>1409.1869000000002</v>
      </c>
      <c r="F887" s="218">
        <v>52.524239</v>
      </c>
      <c r="G887" s="218">
        <v>0.0</v>
      </c>
      <c r="H887" s="223">
        <v>1356.662661</v>
      </c>
      <c r="J887" s="223" t="s">
        <v>52</v>
      </c>
      <c r="K887" s="317">
        <v>2023.05</v>
      </c>
    </row>
    <row r="888">
      <c r="A888" s="223" t="s">
        <v>979</v>
      </c>
      <c r="B888" s="223" t="s">
        <v>1511</v>
      </c>
      <c r="C888" s="223" t="s">
        <v>1512</v>
      </c>
      <c r="D888" s="316">
        <v>45092.0</v>
      </c>
      <c r="E888" s="218">
        <v>1404.0653000000002</v>
      </c>
      <c r="F888" s="218">
        <v>52.333343000000006</v>
      </c>
      <c r="G888" s="218">
        <v>0.0</v>
      </c>
      <c r="H888" s="223">
        <v>1351.7319570000002</v>
      </c>
      <c r="J888" s="223" t="s">
        <v>52</v>
      </c>
      <c r="K888" s="317">
        <v>2023.06</v>
      </c>
    </row>
    <row r="889">
      <c r="A889" s="223" t="s">
        <v>979</v>
      </c>
      <c r="B889" s="223" t="s">
        <v>1511</v>
      </c>
      <c r="C889" s="223" t="s">
        <v>1512</v>
      </c>
      <c r="D889" s="316">
        <v>45122.0</v>
      </c>
      <c r="E889" s="218">
        <v>1441.6237</v>
      </c>
      <c r="F889" s="218">
        <v>53.733247</v>
      </c>
      <c r="G889" s="218">
        <v>0.0</v>
      </c>
      <c r="H889" s="223">
        <v>1387.8904530000002</v>
      </c>
      <c r="J889" s="223" t="s">
        <v>52</v>
      </c>
      <c r="K889" s="317">
        <v>2023.07</v>
      </c>
    </row>
    <row r="890">
      <c r="A890" s="223" t="s">
        <v>118</v>
      </c>
      <c r="B890" s="223" t="s">
        <v>1312</v>
      </c>
      <c r="C890" s="223" t="s">
        <v>1156</v>
      </c>
      <c r="D890" s="316">
        <v>45077.0</v>
      </c>
      <c r="E890" s="218">
        <v>4103.890015999999</v>
      </c>
      <c r="F890" s="218">
        <v>0.0</v>
      </c>
      <c r="G890" s="218">
        <v>0.0</v>
      </c>
      <c r="H890" s="223">
        <v>4103.890015999999</v>
      </c>
      <c r="J890" s="223" t="s">
        <v>52</v>
      </c>
      <c r="K890" s="317">
        <v>2023.05</v>
      </c>
    </row>
    <row r="891">
      <c r="A891" s="223" t="s">
        <v>115</v>
      </c>
      <c r="B891" s="223" t="s">
        <v>1308</v>
      </c>
      <c r="C891" s="223" t="s">
        <v>1156</v>
      </c>
      <c r="D891" s="316">
        <v>45077.0</v>
      </c>
      <c r="E891" s="218">
        <v>4103.890015999999</v>
      </c>
      <c r="F891" s="218">
        <v>0.0</v>
      </c>
      <c r="G891" s="218">
        <v>0.0</v>
      </c>
      <c r="H891" s="223">
        <v>4103.890015999999</v>
      </c>
      <c r="J891" s="223" t="s">
        <v>52</v>
      </c>
      <c r="K891" s="317">
        <v>2023.05</v>
      </c>
    </row>
    <row r="892">
      <c r="A892" s="223" t="s">
        <v>54</v>
      </c>
      <c r="B892" s="223" t="s">
        <v>1187</v>
      </c>
      <c r="C892" s="223" t="s">
        <v>1156</v>
      </c>
      <c r="D892" s="316">
        <v>45077.0</v>
      </c>
      <c r="E892" s="218">
        <v>350.0</v>
      </c>
      <c r="F892" s="218">
        <v>10.89</v>
      </c>
      <c r="G892" s="218">
        <v>0.0</v>
      </c>
      <c r="H892" s="223">
        <v>339.11</v>
      </c>
      <c r="J892" s="223" t="s">
        <v>52</v>
      </c>
      <c r="K892" s="317">
        <v>2023.05</v>
      </c>
    </row>
    <row r="893">
      <c r="A893" s="223" t="s">
        <v>50</v>
      </c>
      <c r="B893" s="223" t="s">
        <v>1275</v>
      </c>
      <c r="C893" s="223" t="s">
        <v>1156</v>
      </c>
      <c r="D893" s="316">
        <v>45077.0</v>
      </c>
      <c r="E893" s="218">
        <v>762.5</v>
      </c>
      <c r="F893" s="218">
        <v>0.0</v>
      </c>
      <c r="G893" s="218">
        <v>0.0</v>
      </c>
      <c r="H893" s="223">
        <v>762.5</v>
      </c>
      <c r="J893" s="223" t="s">
        <v>52</v>
      </c>
      <c r="K893" s="317">
        <v>2023.05</v>
      </c>
    </row>
    <row r="894">
      <c r="A894" s="223" t="s">
        <v>806</v>
      </c>
      <c r="B894" s="223" t="s">
        <v>1305</v>
      </c>
      <c r="C894" s="223" t="s">
        <v>1435</v>
      </c>
      <c r="D894" s="316">
        <v>45077.0</v>
      </c>
      <c r="E894" s="218">
        <v>400.0</v>
      </c>
      <c r="F894" s="218">
        <v>12.44</v>
      </c>
      <c r="G894" s="218">
        <v>0.0</v>
      </c>
      <c r="H894" s="223">
        <v>387.56</v>
      </c>
      <c r="J894" s="223" t="s">
        <v>52</v>
      </c>
      <c r="K894" s="317">
        <v>2023.05</v>
      </c>
    </row>
    <row r="895">
      <c r="A895" s="223" t="s">
        <v>584</v>
      </c>
      <c r="B895" s="223" t="s">
        <v>1398</v>
      </c>
      <c r="C895" s="223" t="s">
        <v>1403</v>
      </c>
      <c r="D895" s="316">
        <v>45077.0</v>
      </c>
      <c r="E895" s="218">
        <v>1257.07302015</v>
      </c>
      <c r="F895" s="218">
        <v>0.0</v>
      </c>
      <c r="G895" s="218">
        <v>0.0</v>
      </c>
      <c r="H895" s="223">
        <v>1257.07302015</v>
      </c>
      <c r="J895" s="223" t="s">
        <v>52</v>
      </c>
      <c r="K895" s="317">
        <v>2023.05</v>
      </c>
    </row>
    <row r="896">
      <c r="A896" s="223" t="s">
        <v>586</v>
      </c>
      <c r="B896" s="223" t="s">
        <v>1404</v>
      </c>
      <c r="C896" s="223" t="s">
        <v>1403</v>
      </c>
      <c r="D896" s="316">
        <v>45077.0</v>
      </c>
      <c r="E896" s="218">
        <v>1261.620000005</v>
      </c>
      <c r="F896" s="218">
        <v>0.0</v>
      </c>
      <c r="G896" s="218">
        <v>0.0</v>
      </c>
      <c r="H896" s="223">
        <v>1261.620000005</v>
      </c>
      <c r="J896" s="223" t="s">
        <v>52</v>
      </c>
      <c r="K896" s="317">
        <v>2023.05</v>
      </c>
    </row>
    <row r="897">
      <c r="A897" s="223" t="s">
        <v>587</v>
      </c>
      <c r="B897" s="223" t="s">
        <v>1406</v>
      </c>
      <c r="C897" s="223" t="s">
        <v>1403</v>
      </c>
      <c r="D897" s="316">
        <v>45077.0</v>
      </c>
      <c r="E897" s="218">
        <v>1278.0774999999999</v>
      </c>
      <c r="F897" s="218">
        <v>0.0</v>
      </c>
      <c r="G897" s="218">
        <v>0.0</v>
      </c>
      <c r="H897" s="223">
        <v>1278.0774999999999</v>
      </c>
      <c r="J897" s="223" t="s">
        <v>52</v>
      </c>
      <c r="K897" s="317">
        <v>2023.05</v>
      </c>
    </row>
    <row r="898">
      <c r="A898" s="223" t="s">
        <v>734</v>
      </c>
      <c r="B898" s="223" t="s">
        <v>1398</v>
      </c>
      <c r="C898" s="223" t="s">
        <v>1459</v>
      </c>
      <c r="D898" s="316">
        <v>45077.0</v>
      </c>
      <c r="E898" s="218">
        <v>379.016991</v>
      </c>
      <c r="F898" s="218">
        <v>0.0</v>
      </c>
      <c r="G898" s="218">
        <v>0.0</v>
      </c>
      <c r="H898" s="223">
        <v>379.016991</v>
      </c>
      <c r="J898" s="223" t="s">
        <v>252</v>
      </c>
      <c r="K898" s="317">
        <v>2023.0</v>
      </c>
    </row>
    <row r="899">
      <c r="A899" s="223" t="s">
        <v>788</v>
      </c>
      <c r="B899" s="223" t="s">
        <v>1250</v>
      </c>
      <c r="C899" s="223" t="s">
        <v>1470</v>
      </c>
      <c r="D899" s="316">
        <v>45092.0</v>
      </c>
      <c r="E899" s="218">
        <v>2000.0</v>
      </c>
      <c r="F899" s="218">
        <v>0.0</v>
      </c>
      <c r="G899" s="218">
        <v>0.0</v>
      </c>
      <c r="H899" s="223">
        <v>2000.0</v>
      </c>
      <c r="J899" s="223" t="s">
        <v>52</v>
      </c>
      <c r="K899" s="317">
        <v>2023.06</v>
      </c>
    </row>
    <row r="900">
      <c r="A900" s="223" t="s">
        <v>549</v>
      </c>
      <c r="B900" s="223" t="s">
        <v>1368</v>
      </c>
      <c r="C900" s="223" t="s">
        <v>1393</v>
      </c>
      <c r="D900" s="316">
        <v>45077.0</v>
      </c>
      <c r="E900" s="218">
        <v>1250.19905</v>
      </c>
      <c r="F900" s="218">
        <v>46.65216455</v>
      </c>
      <c r="G900" s="218">
        <v>0.0</v>
      </c>
      <c r="H900" s="223">
        <v>1203.54688545</v>
      </c>
      <c r="J900" s="223" t="s">
        <v>52</v>
      </c>
      <c r="K900" s="317">
        <v>2023.05</v>
      </c>
    </row>
    <row r="901">
      <c r="A901" s="223" t="s">
        <v>1001</v>
      </c>
      <c r="B901" s="223" t="s">
        <v>1294</v>
      </c>
      <c r="C901" s="223" t="s">
        <v>1471</v>
      </c>
      <c r="D901" s="316">
        <v>45077.0</v>
      </c>
      <c r="E901" s="218">
        <v>624.59173</v>
      </c>
      <c r="F901" s="218">
        <v>23.49229711</v>
      </c>
      <c r="G901" s="218">
        <v>0.0</v>
      </c>
      <c r="H901" s="223">
        <v>601.09943289</v>
      </c>
      <c r="J901" s="223" t="s">
        <v>52</v>
      </c>
      <c r="K901" s="317">
        <v>2023.05</v>
      </c>
    </row>
    <row r="902">
      <c r="A902" s="223" t="s">
        <v>120</v>
      </c>
      <c r="B902" s="223" t="s">
        <v>1215</v>
      </c>
      <c r="C902" s="223" t="s">
        <v>1156</v>
      </c>
      <c r="D902" s="316">
        <v>45077.0</v>
      </c>
      <c r="E902" s="218">
        <v>2305.4184</v>
      </c>
      <c r="F902" s="218">
        <v>85.68471720000001</v>
      </c>
      <c r="G902" s="218">
        <v>443.9467365600001</v>
      </c>
      <c r="H902" s="223">
        <v>1775.7869462400001</v>
      </c>
      <c r="J902" s="223" t="s">
        <v>52</v>
      </c>
      <c r="K902" s="317">
        <v>2023.05</v>
      </c>
    </row>
    <row r="903">
      <c r="A903" s="223" t="s">
        <v>1006</v>
      </c>
      <c r="B903" s="223" t="s">
        <v>1250</v>
      </c>
      <c r="C903" s="223" t="s">
        <v>1514</v>
      </c>
      <c r="D903" s="316">
        <v>45107.0</v>
      </c>
      <c r="E903" s="218">
        <v>1000.0</v>
      </c>
      <c r="F903" s="218">
        <v>0.0</v>
      </c>
      <c r="G903" s="218">
        <v>0.0</v>
      </c>
      <c r="H903" s="223">
        <v>1000.0</v>
      </c>
      <c r="J903" s="223" t="s">
        <v>252</v>
      </c>
      <c r="K903" s="317">
        <v>2023.0</v>
      </c>
    </row>
    <row r="904">
      <c r="A904" s="223" t="s">
        <v>1008</v>
      </c>
      <c r="B904" s="223" t="s">
        <v>1516</v>
      </c>
      <c r="C904" s="223" t="s">
        <v>1509</v>
      </c>
      <c r="D904" s="316">
        <v>45092.0</v>
      </c>
      <c r="E904" s="218">
        <v>1200.0</v>
      </c>
      <c r="F904" s="218">
        <v>37.33</v>
      </c>
      <c r="G904" s="218">
        <v>0.0</v>
      </c>
      <c r="H904" s="223">
        <v>1162.67</v>
      </c>
      <c r="J904" s="223" t="s">
        <v>252</v>
      </c>
      <c r="K904" s="317">
        <v>2023.0</v>
      </c>
    </row>
    <row r="905">
      <c r="A905" s="223" t="s">
        <v>1008</v>
      </c>
      <c r="B905" s="223" t="s">
        <v>1516</v>
      </c>
      <c r="C905" s="223" t="s">
        <v>1509</v>
      </c>
      <c r="D905" s="316">
        <v>45138.0</v>
      </c>
      <c r="E905" s="218">
        <v>1200.0</v>
      </c>
      <c r="F905" s="218">
        <v>37.33</v>
      </c>
      <c r="G905" s="218">
        <v>0.0</v>
      </c>
      <c r="H905" s="223">
        <v>1162.67</v>
      </c>
      <c r="J905" s="223" t="s">
        <v>252</v>
      </c>
      <c r="K905" s="317">
        <v>2023.0</v>
      </c>
    </row>
    <row r="906">
      <c r="A906" s="223" t="s">
        <v>1011</v>
      </c>
      <c r="B906" s="223" t="s">
        <v>1404</v>
      </c>
      <c r="C906" s="223" t="s">
        <v>1518</v>
      </c>
      <c r="D906" s="316">
        <v>45138.0</v>
      </c>
      <c r="E906" s="218">
        <v>2200.0</v>
      </c>
      <c r="F906" s="218"/>
      <c r="G906" s="218">
        <v>0.0</v>
      </c>
      <c r="H906" s="223">
        <v>2200.0</v>
      </c>
      <c r="J906" s="223" t="s">
        <v>252</v>
      </c>
      <c r="K906" s="317">
        <v>2023.0</v>
      </c>
    </row>
    <row r="907">
      <c r="A907" s="223" t="s">
        <v>1014</v>
      </c>
      <c r="B907" s="223" t="s">
        <v>1519</v>
      </c>
      <c r="C907" s="223" t="s">
        <v>1509</v>
      </c>
      <c r="D907" s="316">
        <v>45107.0</v>
      </c>
      <c r="E907" s="218">
        <v>1200.0</v>
      </c>
      <c r="F907" s="218">
        <v>37.33</v>
      </c>
      <c r="G907" s="218">
        <v>0.0</v>
      </c>
      <c r="H907" s="223">
        <v>1162.67</v>
      </c>
      <c r="J907" s="223" t="s">
        <v>472</v>
      </c>
      <c r="K907" s="317">
        <v>2023.0</v>
      </c>
    </row>
    <row r="908">
      <c r="A908" s="223" t="s">
        <v>1014</v>
      </c>
      <c r="B908" s="223" t="s">
        <v>1519</v>
      </c>
      <c r="C908" s="223" t="s">
        <v>1509</v>
      </c>
      <c r="D908" s="316">
        <v>45122.0</v>
      </c>
      <c r="E908" s="218">
        <v>1200.0</v>
      </c>
      <c r="F908" s="218">
        <v>37.33</v>
      </c>
      <c r="G908" s="218">
        <v>0.0</v>
      </c>
      <c r="H908" s="223">
        <v>1162.67</v>
      </c>
      <c r="J908" s="223" t="s">
        <v>1016</v>
      </c>
      <c r="K908" s="317">
        <v>2023.0</v>
      </c>
    </row>
    <row r="909">
      <c r="A909" s="223" t="s">
        <v>1018</v>
      </c>
      <c r="B909" s="223" t="s">
        <v>1520</v>
      </c>
      <c r="C909" s="223" t="s">
        <v>1168</v>
      </c>
      <c r="D909" s="316">
        <v>45077.0</v>
      </c>
      <c r="E909" s="218">
        <v>1107.6333</v>
      </c>
      <c r="F909" s="218">
        <v>41.3733615</v>
      </c>
      <c r="G909" s="218">
        <v>213.25198769999997</v>
      </c>
      <c r="H909" s="223">
        <v>853.0079507999999</v>
      </c>
      <c r="J909" s="223" t="s">
        <v>472</v>
      </c>
      <c r="K909" s="317">
        <v>2023.0</v>
      </c>
    </row>
    <row r="910">
      <c r="A910" s="223" t="s">
        <v>1018</v>
      </c>
      <c r="B910" s="223" t="s">
        <v>1520</v>
      </c>
      <c r="C910" s="223" t="s">
        <v>1168</v>
      </c>
      <c r="D910" s="316">
        <v>45107.0</v>
      </c>
      <c r="E910" s="218">
        <v>1085.45425</v>
      </c>
      <c r="F910" s="218">
        <v>40.54490875</v>
      </c>
      <c r="G910" s="218">
        <v>208.98186825</v>
      </c>
      <c r="H910" s="223">
        <v>835.927473</v>
      </c>
      <c r="J910" s="223" t="s">
        <v>824</v>
      </c>
      <c r="K910" s="317">
        <v>2023.0</v>
      </c>
    </row>
    <row r="911">
      <c r="A911" s="223" t="s">
        <v>223</v>
      </c>
      <c r="B911" s="223" t="s">
        <v>1176</v>
      </c>
      <c r="C911" s="223" t="s">
        <v>1156</v>
      </c>
      <c r="D911" s="316">
        <v>45077.0</v>
      </c>
      <c r="E911" s="218">
        <v>800.0</v>
      </c>
      <c r="F911" s="218">
        <v>24.89</v>
      </c>
      <c r="G911" s="218">
        <v>0.0</v>
      </c>
      <c r="H911" s="223">
        <v>775.11</v>
      </c>
      <c r="J911" s="223" t="s">
        <v>52</v>
      </c>
      <c r="K911" s="317">
        <v>2023.05</v>
      </c>
    </row>
    <row r="912">
      <c r="A912" s="223" t="s">
        <v>54</v>
      </c>
      <c r="B912" s="223" t="s">
        <v>1187</v>
      </c>
      <c r="C912" s="223" t="s">
        <v>1156</v>
      </c>
      <c r="D912" s="316">
        <v>45077.0</v>
      </c>
      <c r="E912" s="218">
        <v>750.0</v>
      </c>
      <c r="F912" s="218">
        <v>23.33</v>
      </c>
      <c r="G912" s="218">
        <v>0.0</v>
      </c>
      <c r="H912" s="223">
        <v>726.67</v>
      </c>
      <c r="J912" s="223" t="s">
        <v>52</v>
      </c>
      <c r="K912" s="317">
        <v>2023.05</v>
      </c>
    </row>
    <row r="913">
      <c r="A913" s="223" t="s">
        <v>42</v>
      </c>
      <c r="B913" s="223" t="s">
        <v>1236</v>
      </c>
      <c r="C913" s="223" t="s">
        <v>1156</v>
      </c>
      <c r="D913" s="316">
        <v>45077.0</v>
      </c>
      <c r="E913" s="218">
        <v>1500.0</v>
      </c>
      <c r="F913" s="218">
        <v>46.67</v>
      </c>
      <c r="G913" s="218">
        <v>217.99949999999998</v>
      </c>
      <c r="H913" s="223">
        <v>1235.3305</v>
      </c>
      <c r="J913" s="223" t="s">
        <v>52</v>
      </c>
      <c r="K913" s="317">
        <v>2023.05</v>
      </c>
    </row>
    <row r="914">
      <c r="A914" s="223" t="s">
        <v>82</v>
      </c>
      <c r="B914" s="223" t="s">
        <v>1124</v>
      </c>
      <c r="C914" s="223" t="s">
        <v>1156</v>
      </c>
      <c r="D914" s="316">
        <v>45077.0</v>
      </c>
      <c r="E914" s="218">
        <v>860.0</v>
      </c>
      <c r="F914" s="218">
        <v>0.0</v>
      </c>
      <c r="G914" s="218">
        <v>0.0</v>
      </c>
      <c r="H914" s="223">
        <v>860.0</v>
      </c>
      <c r="J914" s="223" t="s">
        <v>52</v>
      </c>
      <c r="K914" s="317">
        <v>2023.05</v>
      </c>
    </row>
    <row r="915">
      <c r="A915" s="223" t="s">
        <v>88</v>
      </c>
      <c r="B915" s="223" t="s">
        <v>1256</v>
      </c>
      <c r="C915" s="223" t="s">
        <v>1156</v>
      </c>
      <c r="D915" s="316">
        <v>45077.0</v>
      </c>
      <c r="E915" s="218">
        <v>500.0</v>
      </c>
      <c r="F915" s="218">
        <v>15.56</v>
      </c>
      <c r="G915" s="218">
        <v>0.0</v>
      </c>
      <c r="H915" s="223">
        <v>484.44</v>
      </c>
      <c r="J915" s="223" t="s">
        <v>52</v>
      </c>
      <c r="K915" s="317">
        <v>2023.05</v>
      </c>
    </row>
    <row r="916">
      <c r="A916" s="223" t="s">
        <v>97</v>
      </c>
      <c r="B916" s="223" t="s">
        <v>1286</v>
      </c>
      <c r="C916" s="223" t="s">
        <v>1156</v>
      </c>
      <c r="D916" s="316">
        <v>45077.0</v>
      </c>
      <c r="E916" s="218">
        <v>330.0</v>
      </c>
      <c r="F916" s="218">
        <v>10.27</v>
      </c>
      <c r="G916" s="218">
        <v>0.0</v>
      </c>
      <c r="H916" s="223">
        <v>319.73</v>
      </c>
      <c r="J916" s="223" t="s">
        <v>52</v>
      </c>
      <c r="K916" s="317">
        <v>2023.05</v>
      </c>
    </row>
    <row r="917">
      <c r="A917" s="223" t="s">
        <v>92</v>
      </c>
      <c r="B917" s="223" t="s">
        <v>1289</v>
      </c>
      <c r="C917" s="223" t="s">
        <v>1156</v>
      </c>
      <c r="D917" s="316">
        <v>45077.0</v>
      </c>
      <c r="E917" s="218">
        <v>2500.0</v>
      </c>
      <c r="F917" s="218">
        <v>77.78</v>
      </c>
      <c r="G917" s="218">
        <v>0.0</v>
      </c>
      <c r="H917" s="223">
        <v>2422.22</v>
      </c>
      <c r="J917" s="223" t="s">
        <v>52</v>
      </c>
      <c r="K917" s="317">
        <v>2023.05</v>
      </c>
    </row>
    <row r="918">
      <c r="A918" s="223" t="s">
        <v>123</v>
      </c>
      <c r="B918" s="223" t="s">
        <v>1300</v>
      </c>
      <c r="C918" s="223" t="s">
        <v>1156</v>
      </c>
      <c r="D918" s="316">
        <v>45077.0</v>
      </c>
      <c r="E918" s="218">
        <v>3860.697</v>
      </c>
      <c r="F918" s="218">
        <v>143.2318587</v>
      </c>
      <c r="G918" s="218">
        <v>743.4930282600001</v>
      </c>
      <c r="H918" s="223">
        <v>2973.9721130400003</v>
      </c>
      <c r="J918" s="223" t="s">
        <v>52</v>
      </c>
      <c r="K918" s="317">
        <v>2023.05</v>
      </c>
    </row>
    <row r="919">
      <c r="A919" s="223" t="s">
        <v>73</v>
      </c>
      <c r="B919" s="223" t="s">
        <v>1327</v>
      </c>
      <c r="C919" s="223" t="s">
        <v>1156</v>
      </c>
      <c r="D919" s="316">
        <v>45077.0</v>
      </c>
      <c r="E919" s="218">
        <v>770.0</v>
      </c>
      <c r="F919" s="218">
        <v>0.0</v>
      </c>
      <c r="G919" s="218">
        <v>0.0</v>
      </c>
      <c r="H919" s="223">
        <v>770.0</v>
      </c>
      <c r="J919" s="223" t="s">
        <v>52</v>
      </c>
      <c r="K919" s="317">
        <v>2023.05</v>
      </c>
    </row>
    <row r="920">
      <c r="A920" s="223" t="s">
        <v>499</v>
      </c>
      <c r="B920" s="223" t="s">
        <v>1330</v>
      </c>
      <c r="C920" s="223" t="s">
        <v>1375</v>
      </c>
      <c r="D920" s="316">
        <v>45077.0</v>
      </c>
      <c r="E920" s="218">
        <v>1650.0</v>
      </c>
      <c r="F920" s="218">
        <v>55.23</v>
      </c>
      <c r="G920" s="218">
        <v>0.0</v>
      </c>
      <c r="H920" s="223">
        <v>1594.77</v>
      </c>
      <c r="J920" s="223" t="s">
        <v>52</v>
      </c>
      <c r="K920" s="317">
        <v>2023.05</v>
      </c>
    </row>
    <row r="921">
      <c r="A921" s="223" t="s">
        <v>695</v>
      </c>
      <c r="B921" s="223" t="s">
        <v>1216</v>
      </c>
      <c r="C921" s="223" t="s">
        <v>1451</v>
      </c>
      <c r="D921" s="316">
        <v>45077.0</v>
      </c>
      <c r="E921" s="218">
        <v>600.0</v>
      </c>
      <c r="F921" s="218">
        <v>18.67</v>
      </c>
      <c r="G921" s="218">
        <v>0.0</v>
      </c>
      <c r="H921" s="223">
        <v>581.33</v>
      </c>
      <c r="J921" s="223" t="s">
        <v>52</v>
      </c>
      <c r="K921" s="317">
        <v>2023.05</v>
      </c>
    </row>
    <row r="922">
      <c r="A922" s="223" t="s">
        <v>810</v>
      </c>
      <c r="B922" s="223" t="s">
        <v>1363</v>
      </c>
      <c r="C922" s="223" t="s">
        <v>1393</v>
      </c>
      <c r="D922" s="316">
        <v>45077.0</v>
      </c>
      <c r="E922" s="218">
        <v>1121.71576</v>
      </c>
      <c r="F922" s="218">
        <v>41.88588622</v>
      </c>
      <c r="G922" s="218">
        <v>0.0</v>
      </c>
      <c r="H922" s="223">
        <v>1079.82987378</v>
      </c>
      <c r="J922" s="223" t="s">
        <v>52</v>
      </c>
      <c r="K922" s="317">
        <v>2023.05</v>
      </c>
    </row>
    <row r="923">
      <c r="A923" s="223" t="s">
        <v>855</v>
      </c>
      <c r="B923" s="223" t="s">
        <v>1283</v>
      </c>
      <c r="C923" s="223" t="s">
        <v>1480</v>
      </c>
      <c r="D923" s="316">
        <v>45077.0</v>
      </c>
      <c r="E923" s="218">
        <v>250.0</v>
      </c>
      <c r="F923" s="218">
        <v>7.78</v>
      </c>
      <c r="G923" s="218">
        <v>0.0</v>
      </c>
      <c r="H923" s="223">
        <v>242.22</v>
      </c>
      <c r="J923" s="223" t="s">
        <v>52</v>
      </c>
      <c r="K923" s="317">
        <v>2023.05</v>
      </c>
    </row>
    <row r="924">
      <c r="A924" s="223" t="s">
        <v>861</v>
      </c>
      <c r="B924" s="223" t="s">
        <v>1483</v>
      </c>
      <c r="C924" s="223" t="s">
        <v>1393</v>
      </c>
      <c r="D924" s="316">
        <v>45077.0</v>
      </c>
      <c r="E924" s="218">
        <v>3320.50691</v>
      </c>
      <c r="F924" s="218">
        <v>123.24337037</v>
      </c>
      <c r="G924" s="218">
        <v>639.4527079260001</v>
      </c>
      <c r="H924" s="223">
        <v>2557.810831704</v>
      </c>
      <c r="J924" s="223" t="s">
        <v>52</v>
      </c>
      <c r="K924" s="317">
        <v>2023.05</v>
      </c>
    </row>
    <row r="925">
      <c r="A925" s="223" t="s">
        <v>963</v>
      </c>
      <c r="B925" s="223" t="s">
        <v>1485</v>
      </c>
      <c r="C925" s="223" t="s">
        <v>1393</v>
      </c>
      <c r="D925" s="316">
        <v>45077.0</v>
      </c>
      <c r="E925" s="218">
        <v>1423.07439</v>
      </c>
      <c r="F925" s="218">
        <v>53.03836713</v>
      </c>
      <c r="G925" s="218">
        <v>274.007204574</v>
      </c>
      <c r="H925" s="223">
        <v>1096.0288182959998</v>
      </c>
      <c r="J925" s="223" t="s">
        <v>52</v>
      </c>
      <c r="K925" s="317">
        <v>2023.05</v>
      </c>
    </row>
    <row r="926">
      <c r="A926" s="223" t="s">
        <v>890</v>
      </c>
      <c r="B926" s="223" t="s">
        <v>1475</v>
      </c>
      <c r="C926" s="223" t="s">
        <v>1499</v>
      </c>
      <c r="D926" s="316">
        <v>45077.0</v>
      </c>
      <c r="E926" s="218">
        <v>1700.0</v>
      </c>
      <c r="F926" s="218">
        <v>52.89</v>
      </c>
      <c r="G926" s="218">
        <v>0.0</v>
      </c>
      <c r="H926" s="223">
        <v>1647.11</v>
      </c>
      <c r="J926" s="223" t="s">
        <v>52</v>
      </c>
      <c r="K926" s="317">
        <v>2023.05</v>
      </c>
    </row>
    <row r="927">
      <c r="A927" s="223" t="s">
        <v>1031</v>
      </c>
      <c r="B927" s="223" t="s">
        <v>1216</v>
      </c>
      <c r="C927" s="223" t="s">
        <v>1522</v>
      </c>
      <c r="D927" s="316">
        <v>45092.0</v>
      </c>
      <c r="E927" s="218">
        <v>980.0</v>
      </c>
      <c r="F927" s="218">
        <v>30.49</v>
      </c>
      <c r="G927" s="218">
        <v>0.0</v>
      </c>
      <c r="H927" s="223">
        <v>949.51</v>
      </c>
      <c r="J927" s="223" t="s">
        <v>252</v>
      </c>
      <c r="K927" s="317">
        <v>2023.0</v>
      </c>
    </row>
    <row r="928">
      <c r="A928" s="223" t="s">
        <v>99</v>
      </c>
      <c r="B928" s="223" t="s">
        <v>1192</v>
      </c>
      <c r="C928" s="223" t="s">
        <v>1156</v>
      </c>
      <c r="D928" s="316">
        <v>45092.0</v>
      </c>
      <c r="E928" s="218">
        <v>1831.94297</v>
      </c>
      <c r="F928" s="218">
        <v>68.16621359000001</v>
      </c>
      <c r="G928" s="218">
        <v>352.755351282</v>
      </c>
      <c r="H928" s="223">
        <v>1411.021405128</v>
      </c>
      <c r="J928" s="223" t="s">
        <v>52</v>
      </c>
      <c r="K928" s="317">
        <v>2023.06</v>
      </c>
    </row>
    <row r="929">
      <c r="A929" s="223" t="s">
        <v>225</v>
      </c>
      <c r="B929" s="223" t="s">
        <v>1257</v>
      </c>
      <c r="C929" s="223" t="s">
        <v>1156</v>
      </c>
      <c r="D929" s="316">
        <v>45092.0</v>
      </c>
      <c r="E929" s="218">
        <v>5000.0</v>
      </c>
      <c r="F929" s="218">
        <v>0.0</v>
      </c>
      <c r="G929" s="218">
        <v>0.0</v>
      </c>
      <c r="H929" s="223">
        <v>5000.0</v>
      </c>
      <c r="J929" s="223" t="s">
        <v>52</v>
      </c>
      <c r="K929" s="317">
        <v>2023.06</v>
      </c>
    </row>
    <row r="930">
      <c r="A930" s="223" t="s">
        <v>102</v>
      </c>
      <c r="B930" s="223" t="s">
        <v>1259</v>
      </c>
      <c r="C930" s="223" t="s">
        <v>1156</v>
      </c>
      <c r="D930" s="316">
        <v>45092.0</v>
      </c>
      <c r="E930" s="218">
        <v>446.13695</v>
      </c>
      <c r="F930" s="218">
        <v>16.889470250000002</v>
      </c>
      <c r="G930" s="218">
        <v>0.0</v>
      </c>
      <c r="H930" s="223">
        <v>429.24747975</v>
      </c>
      <c r="J930" s="223" t="s">
        <v>52</v>
      </c>
      <c r="K930" s="317">
        <v>2023.06</v>
      </c>
    </row>
    <row r="931">
      <c r="A931" s="223" t="s">
        <v>924</v>
      </c>
      <c r="B931" s="223" t="s">
        <v>1280</v>
      </c>
      <c r="C931" s="223" t="s">
        <v>1281</v>
      </c>
      <c r="D931" s="316">
        <v>45092.0</v>
      </c>
      <c r="E931" s="218">
        <v>76.86474000000001</v>
      </c>
      <c r="F931" s="218">
        <v>3.2283190800000003</v>
      </c>
      <c r="G931" s="218">
        <v>0.0</v>
      </c>
      <c r="H931" s="223">
        <v>73.63642092</v>
      </c>
      <c r="J931" s="223" t="s">
        <v>52</v>
      </c>
      <c r="K931" s="317">
        <v>2023.06</v>
      </c>
    </row>
    <row r="932">
      <c r="A932" s="223" t="s">
        <v>62</v>
      </c>
      <c r="B932" s="223" t="s">
        <v>1304</v>
      </c>
      <c r="C932" s="223" t="s">
        <v>1156</v>
      </c>
      <c r="D932" s="316">
        <v>45092.0</v>
      </c>
      <c r="E932" s="218">
        <v>1600.0</v>
      </c>
      <c r="F932" s="218">
        <v>49.78</v>
      </c>
      <c r="G932" s="218">
        <v>0.0</v>
      </c>
      <c r="H932" s="223">
        <v>1550.22</v>
      </c>
      <c r="J932" s="223" t="s">
        <v>52</v>
      </c>
      <c r="K932" s="317">
        <v>2023.06</v>
      </c>
    </row>
    <row r="933">
      <c r="A933" s="223" t="s">
        <v>467</v>
      </c>
      <c r="B933" s="223" t="s">
        <v>1209</v>
      </c>
      <c r="C933" s="223" t="s">
        <v>469</v>
      </c>
      <c r="D933" s="316">
        <v>45092.0</v>
      </c>
      <c r="E933" s="218">
        <v>280.0</v>
      </c>
      <c r="F933" s="218"/>
      <c r="G933" s="218">
        <v>56.0</v>
      </c>
      <c r="H933" s="223">
        <v>224.0</v>
      </c>
      <c r="J933" s="223" t="s">
        <v>52</v>
      </c>
      <c r="K933" s="317">
        <v>2023.06</v>
      </c>
    </row>
    <row r="934">
      <c r="A934" s="223" t="s">
        <v>629</v>
      </c>
      <c r="B934" s="223" t="s">
        <v>1395</v>
      </c>
      <c r="C934" s="223" t="s">
        <v>469</v>
      </c>
      <c r="D934" s="316">
        <v>45092.0</v>
      </c>
      <c r="E934" s="218">
        <v>362.7036</v>
      </c>
      <c r="F934" s="218">
        <v>10.82</v>
      </c>
      <c r="G934" s="218">
        <v>0.0</v>
      </c>
      <c r="H934" s="223">
        <v>351.8836</v>
      </c>
      <c r="J934" s="223" t="s">
        <v>52</v>
      </c>
      <c r="K934" s="317">
        <v>2023.06</v>
      </c>
    </row>
    <row r="935">
      <c r="A935" s="223" t="s">
        <v>762</v>
      </c>
      <c r="B935" s="223" t="s">
        <v>1429</v>
      </c>
      <c r="C935" s="223" t="s">
        <v>1432</v>
      </c>
      <c r="D935" s="316">
        <v>45092.0</v>
      </c>
      <c r="E935" s="218">
        <v>865.0</v>
      </c>
      <c r="F935" s="218">
        <v>0.0</v>
      </c>
      <c r="G935" s="218">
        <v>0.0</v>
      </c>
      <c r="H935" s="223">
        <v>865.0</v>
      </c>
      <c r="J935" s="223" t="s">
        <v>52</v>
      </c>
      <c r="K935" s="317">
        <v>2023.06</v>
      </c>
    </row>
    <row r="936">
      <c r="A936" s="223" t="s">
        <v>662</v>
      </c>
      <c r="B936" s="223" t="s">
        <v>1433</v>
      </c>
      <c r="C936" s="223" t="s">
        <v>1434</v>
      </c>
      <c r="D936" s="316">
        <v>45092.0</v>
      </c>
      <c r="E936" s="218">
        <v>2500.0</v>
      </c>
      <c r="F936" s="218">
        <v>0.0</v>
      </c>
      <c r="G936" s="218">
        <v>0.0</v>
      </c>
      <c r="H936" s="223">
        <v>2500.0</v>
      </c>
      <c r="J936" s="223" t="s">
        <v>52</v>
      </c>
      <c r="K936" s="317">
        <v>2023.06</v>
      </c>
    </row>
    <row r="937">
      <c r="A937" s="223" t="s">
        <v>795</v>
      </c>
      <c r="B937" s="223" t="s">
        <v>1352</v>
      </c>
      <c r="C937" s="223" t="s">
        <v>1393</v>
      </c>
      <c r="D937" s="316">
        <v>45092.0</v>
      </c>
      <c r="E937" s="218">
        <v>2000.0</v>
      </c>
      <c r="F937" s="218">
        <v>62.22</v>
      </c>
      <c r="G937" s="218">
        <v>0.0</v>
      </c>
      <c r="H937" s="223">
        <v>1937.78</v>
      </c>
      <c r="J937" s="223" t="s">
        <v>52</v>
      </c>
      <c r="K937" s="317">
        <v>2023.06</v>
      </c>
    </row>
    <row r="938">
      <c r="A938" s="223" t="s">
        <v>884</v>
      </c>
      <c r="B938" s="223" t="s">
        <v>1493</v>
      </c>
      <c r="C938" s="223" t="s">
        <v>1494</v>
      </c>
      <c r="D938" s="316">
        <v>45092.0</v>
      </c>
      <c r="E938" s="218">
        <v>320.875</v>
      </c>
      <c r="F938" s="218">
        <v>0.0</v>
      </c>
      <c r="G938" s="218">
        <v>64.175</v>
      </c>
      <c r="H938" s="223">
        <v>256.7</v>
      </c>
      <c r="J938" s="223" t="s">
        <v>52</v>
      </c>
      <c r="K938" s="317">
        <v>2023.06</v>
      </c>
    </row>
    <row r="939">
      <c r="A939" s="223" t="s">
        <v>1040</v>
      </c>
      <c r="B939" s="223" t="s">
        <v>1289</v>
      </c>
      <c r="C939" s="223" t="s">
        <v>1524</v>
      </c>
      <c r="D939" s="316">
        <v>45107.0</v>
      </c>
      <c r="E939" s="218">
        <v>700.0</v>
      </c>
      <c r="F939" s="218">
        <v>21.78</v>
      </c>
      <c r="G939" s="218">
        <v>0.0</v>
      </c>
      <c r="H939" s="223">
        <v>678.22</v>
      </c>
      <c r="J939" s="223" t="s">
        <v>252</v>
      </c>
      <c r="K939" s="317">
        <v>2023.0</v>
      </c>
    </row>
    <row r="940">
      <c r="A940" s="223" t="s">
        <v>1041</v>
      </c>
      <c r="B940" s="223" t="s">
        <v>1475</v>
      </c>
      <c r="C940" s="223" t="s">
        <v>1525</v>
      </c>
      <c r="D940" s="316">
        <v>45107.0</v>
      </c>
      <c r="E940" s="218">
        <v>700.0</v>
      </c>
      <c r="F940" s="218">
        <v>21.78</v>
      </c>
      <c r="G940" s="218">
        <v>0.0</v>
      </c>
      <c r="H940" s="223">
        <v>678.22</v>
      </c>
      <c r="J940" s="223" t="s">
        <v>52</v>
      </c>
      <c r="K940" s="317">
        <v>2023.06</v>
      </c>
    </row>
    <row r="941">
      <c r="A941" s="223" t="s">
        <v>88</v>
      </c>
      <c r="B941" s="223" t="s">
        <v>1256</v>
      </c>
      <c r="C941" s="223" t="s">
        <v>1156</v>
      </c>
      <c r="D941" s="316">
        <v>45107.0</v>
      </c>
      <c r="E941" s="218">
        <v>350.0</v>
      </c>
      <c r="F941" s="218">
        <v>10.89</v>
      </c>
      <c r="G941" s="218">
        <v>0.0</v>
      </c>
      <c r="H941" s="223">
        <v>339.11</v>
      </c>
      <c r="J941" s="223" t="s">
        <v>52</v>
      </c>
      <c r="K941" s="317">
        <v>2023.06</v>
      </c>
    </row>
    <row r="942">
      <c r="A942" s="223" t="s">
        <v>88</v>
      </c>
      <c r="B942" s="223" t="s">
        <v>1256</v>
      </c>
      <c r="C942" s="223" t="s">
        <v>1156</v>
      </c>
      <c r="D942" s="316">
        <v>45107.0</v>
      </c>
      <c r="E942" s="218">
        <v>500.0</v>
      </c>
      <c r="F942" s="218">
        <v>15.56</v>
      </c>
      <c r="G942" s="218">
        <v>0.0</v>
      </c>
      <c r="H942" s="223">
        <v>484.44</v>
      </c>
      <c r="J942" s="223" t="s">
        <v>52</v>
      </c>
      <c r="K942" s="317">
        <v>2023.06</v>
      </c>
    </row>
    <row r="943">
      <c r="A943" s="223" t="s">
        <v>223</v>
      </c>
      <c r="B943" s="223" t="s">
        <v>1176</v>
      </c>
      <c r="C943" s="223" t="s">
        <v>1156</v>
      </c>
      <c r="D943" s="316">
        <v>45107.0</v>
      </c>
      <c r="E943" s="218">
        <v>800.0</v>
      </c>
      <c r="F943" s="218">
        <v>24.89</v>
      </c>
      <c r="G943" s="218">
        <v>0.0</v>
      </c>
      <c r="H943" s="223">
        <v>775.11</v>
      </c>
      <c r="J943" s="223" t="s">
        <v>52</v>
      </c>
      <c r="K943" s="317">
        <v>2023.06</v>
      </c>
    </row>
    <row r="944">
      <c r="A944" s="223" t="s">
        <v>54</v>
      </c>
      <c r="B944" s="223" t="s">
        <v>1187</v>
      </c>
      <c r="C944" s="223" t="s">
        <v>1156</v>
      </c>
      <c r="D944" s="316">
        <v>45107.0</v>
      </c>
      <c r="E944" s="218">
        <v>750.0</v>
      </c>
      <c r="F944" s="218">
        <v>23.33</v>
      </c>
      <c r="G944" s="218">
        <v>0.0</v>
      </c>
      <c r="H944" s="223">
        <v>726.67</v>
      </c>
      <c r="J944" s="223" t="s">
        <v>52</v>
      </c>
      <c r="K944" s="317">
        <v>2023.06</v>
      </c>
    </row>
    <row r="945">
      <c r="A945" s="223" t="s">
        <v>120</v>
      </c>
      <c r="B945" s="223" t="s">
        <v>1215</v>
      </c>
      <c r="C945" s="223" t="s">
        <v>1156</v>
      </c>
      <c r="D945" s="316">
        <v>45107.0</v>
      </c>
      <c r="E945" s="218">
        <v>1308.9180000000001</v>
      </c>
      <c r="F945" s="218">
        <v>48.822641399999995</v>
      </c>
      <c r="G945" s="218">
        <v>252.01907172000003</v>
      </c>
      <c r="H945" s="223">
        <v>1008.07628688</v>
      </c>
      <c r="J945" s="223" t="s">
        <v>52</v>
      </c>
      <c r="K945" s="317">
        <v>2023.06</v>
      </c>
    </row>
    <row r="946">
      <c r="A946" s="223" t="s">
        <v>42</v>
      </c>
      <c r="B946" s="223" t="s">
        <v>1236</v>
      </c>
      <c r="C946" s="223" t="s">
        <v>1156</v>
      </c>
      <c r="D946" s="316">
        <v>45107.0</v>
      </c>
      <c r="E946" s="218">
        <v>1500.0</v>
      </c>
      <c r="F946" s="218">
        <v>46.67</v>
      </c>
      <c r="G946" s="218">
        <v>217.99949999999998</v>
      </c>
      <c r="H946" s="223">
        <v>1235.3305</v>
      </c>
      <c r="J946" s="223" t="s">
        <v>52</v>
      </c>
      <c r="K946" s="317">
        <v>2023.06</v>
      </c>
    </row>
    <row r="947">
      <c r="A947" s="223" t="s">
        <v>82</v>
      </c>
      <c r="B947" s="223" t="s">
        <v>1124</v>
      </c>
      <c r="C947" s="223" t="s">
        <v>1156</v>
      </c>
      <c r="D947" s="316">
        <v>45107.0</v>
      </c>
      <c r="E947" s="218">
        <v>860.0</v>
      </c>
      <c r="F947" s="218">
        <v>0.0</v>
      </c>
      <c r="G947" s="218">
        <v>0.0</v>
      </c>
      <c r="H947" s="223">
        <v>860.0</v>
      </c>
      <c r="J947" s="223" t="s">
        <v>52</v>
      </c>
      <c r="K947" s="317">
        <v>2023.06</v>
      </c>
    </row>
    <row r="948">
      <c r="A948" s="223" t="s">
        <v>50</v>
      </c>
      <c r="B948" s="223" t="s">
        <v>1275</v>
      </c>
      <c r="C948" s="223" t="s">
        <v>1156</v>
      </c>
      <c r="D948" s="316">
        <v>45107.0</v>
      </c>
      <c r="E948" s="218">
        <v>412.5</v>
      </c>
      <c r="F948" s="218">
        <v>0.0</v>
      </c>
      <c r="G948" s="218">
        <v>0.0</v>
      </c>
      <c r="H948" s="223">
        <v>412.5</v>
      </c>
      <c r="J948" s="223" t="s">
        <v>52</v>
      </c>
      <c r="K948" s="317">
        <v>2023.06</v>
      </c>
    </row>
    <row r="949">
      <c r="A949" s="223" t="s">
        <v>97</v>
      </c>
      <c r="B949" s="223" t="s">
        <v>1286</v>
      </c>
      <c r="C949" s="223" t="s">
        <v>1156</v>
      </c>
      <c r="D949" s="316">
        <v>45107.0</v>
      </c>
      <c r="E949" s="218">
        <v>330.0</v>
      </c>
      <c r="F949" s="218">
        <v>10.27</v>
      </c>
      <c r="G949" s="218">
        <v>0.0</v>
      </c>
      <c r="H949" s="223">
        <v>319.73</v>
      </c>
      <c r="J949" s="223" t="s">
        <v>52</v>
      </c>
      <c r="K949" s="317">
        <v>2023.06</v>
      </c>
    </row>
    <row r="950">
      <c r="A950" s="223" t="s">
        <v>92</v>
      </c>
      <c r="B950" s="223" t="s">
        <v>1289</v>
      </c>
      <c r="C950" s="223" t="s">
        <v>1156</v>
      </c>
      <c r="D950" s="316">
        <v>45107.0</v>
      </c>
      <c r="E950" s="218">
        <v>2500.0</v>
      </c>
      <c r="F950" s="218">
        <v>77.78</v>
      </c>
      <c r="G950" s="218">
        <v>0.0</v>
      </c>
      <c r="H950" s="223">
        <v>2422.22</v>
      </c>
      <c r="J950" s="223" t="s">
        <v>52</v>
      </c>
      <c r="K950" s="317">
        <v>2023.06</v>
      </c>
    </row>
    <row r="951">
      <c r="A951" s="223" t="s">
        <v>123</v>
      </c>
      <c r="B951" s="223" t="s">
        <v>1300</v>
      </c>
      <c r="C951" s="223" t="s">
        <v>1156</v>
      </c>
      <c r="D951" s="316">
        <v>45107.0</v>
      </c>
      <c r="E951" s="218">
        <v>3826.941</v>
      </c>
      <c r="F951" s="218">
        <v>141.9795111</v>
      </c>
      <c r="G951" s="218">
        <v>736.9922977800001</v>
      </c>
      <c r="H951" s="223">
        <v>2947.96919112</v>
      </c>
      <c r="J951" s="223" t="s">
        <v>52</v>
      </c>
      <c r="K951" s="317">
        <v>2023.06</v>
      </c>
    </row>
    <row r="952">
      <c r="A952" s="223" t="s">
        <v>115</v>
      </c>
      <c r="B952" s="223" t="s">
        <v>1308</v>
      </c>
      <c r="C952" s="223" t="s">
        <v>1156</v>
      </c>
      <c r="D952" s="316">
        <v>45107.0</v>
      </c>
      <c r="E952" s="218">
        <v>3255.6249999999995</v>
      </c>
      <c r="F952" s="218">
        <v>0.0</v>
      </c>
      <c r="G952" s="218">
        <v>0.0</v>
      </c>
      <c r="H952" s="223">
        <v>3255.6249999999995</v>
      </c>
      <c r="J952" s="223" t="s">
        <v>52</v>
      </c>
      <c r="K952" s="317">
        <v>2023.06</v>
      </c>
    </row>
    <row r="953">
      <c r="A953" s="223" t="s">
        <v>118</v>
      </c>
      <c r="B953" s="223" t="s">
        <v>1312</v>
      </c>
      <c r="C953" s="223" t="s">
        <v>1156</v>
      </c>
      <c r="D953" s="316">
        <v>45107.0</v>
      </c>
      <c r="E953" s="218">
        <v>3255.6249999999995</v>
      </c>
      <c r="F953" s="218">
        <v>0.0</v>
      </c>
      <c r="G953" s="218">
        <v>0.0</v>
      </c>
      <c r="H953" s="223">
        <v>3255.6249999999995</v>
      </c>
      <c r="J953" s="223" t="s">
        <v>52</v>
      </c>
      <c r="K953" s="317">
        <v>2023.06</v>
      </c>
    </row>
    <row r="954">
      <c r="A954" s="223" t="s">
        <v>73</v>
      </c>
      <c r="B954" s="223" t="s">
        <v>1327</v>
      </c>
      <c r="C954" s="223" t="s">
        <v>1156</v>
      </c>
      <c r="D954" s="316">
        <v>45107.0</v>
      </c>
      <c r="E954" s="218">
        <v>770.0</v>
      </c>
      <c r="F954" s="218">
        <v>0.0</v>
      </c>
      <c r="G954" s="218">
        <v>0.0</v>
      </c>
      <c r="H954" s="223">
        <v>770.0</v>
      </c>
      <c r="J954" s="223" t="s">
        <v>52</v>
      </c>
      <c r="K954" s="317">
        <v>2023.06</v>
      </c>
    </row>
    <row r="955">
      <c r="A955" s="223" t="s">
        <v>499</v>
      </c>
      <c r="B955" s="223" t="s">
        <v>1330</v>
      </c>
      <c r="C955" s="223" t="s">
        <v>1375</v>
      </c>
      <c r="D955" s="316">
        <v>45107.0</v>
      </c>
      <c r="E955" s="218">
        <v>1650.0</v>
      </c>
      <c r="F955" s="218">
        <v>55.23</v>
      </c>
      <c r="G955" s="218">
        <v>0.0</v>
      </c>
      <c r="H955" s="223">
        <v>1594.77</v>
      </c>
      <c r="J955" s="223" t="s">
        <v>52</v>
      </c>
      <c r="K955" s="317">
        <v>2023.06</v>
      </c>
    </row>
    <row r="956">
      <c r="A956" s="223" t="s">
        <v>695</v>
      </c>
      <c r="B956" s="223" t="s">
        <v>1216</v>
      </c>
      <c r="C956" s="223" t="s">
        <v>1451</v>
      </c>
      <c r="D956" s="316">
        <v>45107.0</v>
      </c>
      <c r="E956" s="218">
        <v>600.0</v>
      </c>
      <c r="F956" s="218">
        <v>18.67</v>
      </c>
      <c r="G956" s="218">
        <v>0.0</v>
      </c>
      <c r="H956" s="223">
        <v>581.33</v>
      </c>
      <c r="J956" s="223" t="s">
        <v>52</v>
      </c>
      <c r="K956" s="317">
        <v>2023.06</v>
      </c>
    </row>
    <row r="957">
      <c r="A957" s="223" t="s">
        <v>810</v>
      </c>
      <c r="B957" s="223" t="s">
        <v>1363</v>
      </c>
      <c r="C957" s="223" t="s">
        <v>1393</v>
      </c>
      <c r="D957" s="316">
        <v>45107.0</v>
      </c>
      <c r="E957" s="218">
        <v>1122.3132799999998</v>
      </c>
      <c r="F957" s="218">
        <v>41.90819816</v>
      </c>
      <c r="G957" s="218">
        <v>0.0</v>
      </c>
      <c r="H957" s="223">
        <v>1080.4050818399999</v>
      </c>
      <c r="J957" s="223" t="s">
        <v>52</v>
      </c>
      <c r="K957" s="317">
        <v>2023.06</v>
      </c>
    </row>
    <row r="958">
      <c r="A958" s="223" t="s">
        <v>855</v>
      </c>
      <c r="B958" s="223" t="s">
        <v>1283</v>
      </c>
      <c r="C958" s="223" t="s">
        <v>1480</v>
      </c>
      <c r="D958" s="316">
        <v>45107.0</v>
      </c>
      <c r="E958" s="218">
        <v>250.0</v>
      </c>
      <c r="F958" s="218">
        <v>7.78</v>
      </c>
      <c r="G958" s="218">
        <v>0.0</v>
      </c>
      <c r="H958" s="223">
        <v>242.22</v>
      </c>
      <c r="J958" s="223" t="s">
        <v>52</v>
      </c>
      <c r="K958" s="317">
        <v>2023.06</v>
      </c>
    </row>
    <row r="959">
      <c r="A959" s="223" t="s">
        <v>861</v>
      </c>
      <c r="B959" s="223" t="s">
        <v>1483</v>
      </c>
      <c r="C959" s="223" t="s">
        <v>1393</v>
      </c>
      <c r="D959" s="316">
        <v>45107.0</v>
      </c>
      <c r="E959" s="218">
        <v>2237.47475</v>
      </c>
      <c r="F959" s="218">
        <v>83.17013284999999</v>
      </c>
      <c r="G959" s="218">
        <v>430.86092343</v>
      </c>
      <c r="H959" s="223">
        <v>1723.44369372</v>
      </c>
      <c r="J959" s="223" t="s">
        <v>52</v>
      </c>
      <c r="K959" s="317">
        <v>2023.06</v>
      </c>
    </row>
    <row r="960">
      <c r="A960" s="223" t="s">
        <v>963</v>
      </c>
      <c r="B960" s="223" t="s">
        <v>1485</v>
      </c>
      <c r="C960" s="223" t="s">
        <v>1393</v>
      </c>
      <c r="D960" s="316">
        <v>45107.0</v>
      </c>
      <c r="E960" s="218">
        <v>958.91775</v>
      </c>
      <c r="F960" s="218">
        <v>35.86352385</v>
      </c>
      <c r="G960" s="218">
        <v>184.61084523</v>
      </c>
      <c r="H960" s="223">
        <v>738.44338092</v>
      </c>
      <c r="J960" s="223" t="s">
        <v>52</v>
      </c>
      <c r="K960" s="317">
        <v>2023.06</v>
      </c>
    </row>
    <row r="961">
      <c r="A961" s="223" t="s">
        <v>1053</v>
      </c>
      <c r="B961" s="223" t="s">
        <v>1398</v>
      </c>
      <c r="C961" s="223" t="s">
        <v>1471</v>
      </c>
      <c r="D961" s="316">
        <v>45107.0</v>
      </c>
      <c r="E961" s="218">
        <v>929.81025</v>
      </c>
      <c r="F961" s="218">
        <v>0.0</v>
      </c>
      <c r="G961" s="218">
        <v>0.0</v>
      </c>
      <c r="H961" s="223">
        <v>929.81025</v>
      </c>
      <c r="J961" s="223" t="s">
        <v>252</v>
      </c>
      <c r="K961" s="317">
        <v>2023.0</v>
      </c>
    </row>
    <row r="962">
      <c r="A962" s="223" t="s">
        <v>1055</v>
      </c>
      <c r="B962" s="223" t="s">
        <v>1404</v>
      </c>
      <c r="C962" s="223" t="s">
        <v>1471</v>
      </c>
      <c r="D962" s="316">
        <v>45107.0</v>
      </c>
      <c r="E962" s="218">
        <v>929.4502499999999</v>
      </c>
      <c r="F962" s="218">
        <v>0.0</v>
      </c>
      <c r="G962" s="218">
        <v>0.0</v>
      </c>
      <c r="H962" s="223">
        <v>929.4502499999999</v>
      </c>
      <c r="J962" s="223" t="s">
        <v>252</v>
      </c>
      <c r="K962" s="317">
        <v>2023.0</v>
      </c>
    </row>
    <row r="963">
      <c r="A963" s="223" t="s">
        <v>788</v>
      </c>
      <c r="B963" s="223" t="s">
        <v>1250</v>
      </c>
      <c r="C963" s="223" t="s">
        <v>1470</v>
      </c>
      <c r="D963" s="316">
        <v>45138.0</v>
      </c>
      <c r="E963" s="218">
        <v>440.0</v>
      </c>
      <c r="F963" s="218">
        <v>0.0</v>
      </c>
      <c r="G963" s="218">
        <v>0.0</v>
      </c>
      <c r="H963" s="223">
        <v>440.0</v>
      </c>
      <c r="J963" s="223" t="s">
        <v>52</v>
      </c>
      <c r="K963" s="317">
        <v>2023.07</v>
      </c>
    </row>
    <row r="964">
      <c r="A964" s="223" t="s">
        <v>1058</v>
      </c>
      <c r="B964" s="223" t="s">
        <v>1124</v>
      </c>
      <c r="C964" s="223" t="s">
        <v>2313</v>
      </c>
      <c r="D964" s="316">
        <v>45138.0</v>
      </c>
      <c r="E964" s="218">
        <v>2400.0</v>
      </c>
      <c r="F964" s="218"/>
      <c r="G964" s="218">
        <v>0.0</v>
      </c>
      <c r="H964" s="223">
        <v>2400.0</v>
      </c>
      <c r="J964" s="223" t="s">
        <v>252</v>
      </c>
      <c r="K964" s="317">
        <v>2023.0</v>
      </c>
    </row>
    <row r="965">
      <c r="A965" s="223" t="s">
        <v>1060</v>
      </c>
      <c r="B965" s="223" t="s">
        <v>1532</v>
      </c>
      <c r="C965" s="223" t="s">
        <v>1533</v>
      </c>
      <c r="D965" s="316">
        <v>45107.0</v>
      </c>
      <c r="E965" s="218">
        <v>2435.8931</v>
      </c>
      <c r="F965" s="218">
        <v>90.51265939999999</v>
      </c>
      <c r="G965" s="218">
        <v>469.07608812</v>
      </c>
      <c r="H965" s="223">
        <v>1876.30435248</v>
      </c>
      <c r="J965" s="223" t="s">
        <v>252</v>
      </c>
      <c r="K965" s="317">
        <v>2023.0</v>
      </c>
    </row>
    <row r="966">
      <c r="A966" s="223" t="s">
        <v>1060</v>
      </c>
      <c r="B966" s="223" t="s">
        <v>1532</v>
      </c>
      <c r="C966" s="223" t="s">
        <v>1533</v>
      </c>
      <c r="D966" s="316">
        <v>45153.0</v>
      </c>
      <c r="E966" s="218">
        <v>2486.9442</v>
      </c>
      <c r="F966" s="218">
        <v>165.0545598</v>
      </c>
      <c r="G966" s="218">
        <v>464.37792804000003</v>
      </c>
      <c r="H966" s="223">
        <v>1857.5117121600001</v>
      </c>
      <c r="J966" s="223" t="s">
        <v>252</v>
      </c>
      <c r="K966" s="317">
        <v>2023.0</v>
      </c>
    </row>
    <row r="967">
      <c r="A967" s="223" t="s">
        <v>1066</v>
      </c>
      <c r="B967" s="223" t="s">
        <v>1286</v>
      </c>
      <c r="C967" s="223" t="s">
        <v>1168</v>
      </c>
      <c r="D967" s="316">
        <v>45113.0</v>
      </c>
      <c r="E967" s="218">
        <v>1300.0</v>
      </c>
      <c r="F967" s="218">
        <v>40.44</v>
      </c>
      <c r="G967" s="218">
        <v>0.0</v>
      </c>
      <c r="H967" s="223">
        <v>1259.56</v>
      </c>
      <c r="J967" s="223" t="s">
        <v>688</v>
      </c>
      <c r="K967" s="317">
        <v>2023.0</v>
      </c>
    </row>
    <row r="968">
      <c r="A968" s="223" t="s">
        <v>1066</v>
      </c>
      <c r="B968" s="223" t="s">
        <v>1286</v>
      </c>
      <c r="C968" s="223" t="s">
        <v>1168</v>
      </c>
      <c r="D968" s="316">
        <v>45138.0</v>
      </c>
      <c r="E968" s="218">
        <v>1100.0</v>
      </c>
      <c r="F968" s="218">
        <v>34.22</v>
      </c>
      <c r="G968" s="218">
        <v>0.0</v>
      </c>
      <c r="H968" s="223">
        <v>1065.78</v>
      </c>
      <c r="J968" s="223" t="s">
        <v>688</v>
      </c>
      <c r="K968" s="317">
        <v>2023.0</v>
      </c>
    </row>
    <row r="969">
      <c r="A969" s="223" t="s">
        <v>1066</v>
      </c>
      <c r="B969" s="223" t="s">
        <v>1286</v>
      </c>
      <c r="C969" s="223" t="s">
        <v>1168</v>
      </c>
      <c r="D969" s="316">
        <v>45138.0</v>
      </c>
      <c r="E969" s="218">
        <v>3700.0</v>
      </c>
      <c r="F969" s="218">
        <v>115.11</v>
      </c>
      <c r="G969" s="218">
        <v>0.0</v>
      </c>
      <c r="H969" s="223">
        <v>3584.89</v>
      </c>
      <c r="J969" s="223" t="s">
        <v>688</v>
      </c>
      <c r="K969" s="317">
        <v>2023.0</v>
      </c>
    </row>
    <row r="970">
      <c r="A970" s="223" t="s">
        <v>1070</v>
      </c>
      <c r="B970" s="223" t="s">
        <v>1540</v>
      </c>
      <c r="C970" s="223" t="s">
        <v>1393</v>
      </c>
      <c r="D970" s="316">
        <v>45122.0</v>
      </c>
      <c r="E970" s="218">
        <v>981.61575</v>
      </c>
      <c r="F970" s="218">
        <v>36.712429050000004</v>
      </c>
      <c r="G970" s="218">
        <v>188.98066419000003</v>
      </c>
      <c r="H970" s="223">
        <v>755.9226567600001</v>
      </c>
      <c r="J970" s="223" t="s">
        <v>52</v>
      </c>
      <c r="K970" s="317">
        <v>2023.07</v>
      </c>
    </row>
    <row r="971">
      <c r="A971" s="223" t="s">
        <v>99</v>
      </c>
      <c r="B971" s="223" t="s">
        <v>1192</v>
      </c>
      <c r="C971" s="223" t="s">
        <v>1156</v>
      </c>
      <c r="D971" s="316">
        <v>45122.0</v>
      </c>
      <c r="E971" s="218">
        <v>1825.2848900000001</v>
      </c>
      <c r="F971" s="218">
        <v>67.91846783000001</v>
      </c>
      <c r="G971" s="218">
        <v>351.47328443400005</v>
      </c>
      <c r="H971" s="223">
        <v>1405.893137736</v>
      </c>
      <c r="J971" s="223" t="s">
        <v>52</v>
      </c>
      <c r="K971" s="317">
        <v>2023.07</v>
      </c>
    </row>
    <row r="972">
      <c r="A972" s="223" t="s">
        <v>225</v>
      </c>
      <c r="B972" s="223" t="s">
        <v>1257</v>
      </c>
      <c r="C972" s="223" t="s">
        <v>1156</v>
      </c>
      <c r="D972" s="316">
        <v>45122.0</v>
      </c>
      <c r="E972" s="218">
        <v>5000.0</v>
      </c>
      <c r="F972" s="218">
        <v>0.0</v>
      </c>
      <c r="G972" s="218">
        <v>0.0</v>
      </c>
      <c r="H972" s="223">
        <v>5000.0</v>
      </c>
      <c r="J972" s="223" t="s">
        <v>52</v>
      </c>
      <c r="K972" s="317">
        <v>2023.07</v>
      </c>
    </row>
    <row r="973">
      <c r="A973" s="223" t="s">
        <v>102</v>
      </c>
      <c r="B973" s="223" t="s">
        <v>1259</v>
      </c>
      <c r="C973" s="223" t="s">
        <v>1156</v>
      </c>
      <c r="D973" s="316">
        <v>45122.0</v>
      </c>
      <c r="E973" s="218">
        <v>452.45165</v>
      </c>
      <c r="F973" s="218">
        <v>17.12852675</v>
      </c>
      <c r="G973" s="218">
        <v>0.0</v>
      </c>
      <c r="H973" s="223">
        <v>435.32312325</v>
      </c>
      <c r="J973" s="223" t="s">
        <v>52</v>
      </c>
      <c r="K973" s="317">
        <v>2023.07</v>
      </c>
    </row>
    <row r="974">
      <c r="A974" s="223" t="s">
        <v>924</v>
      </c>
      <c r="B974" s="223" t="s">
        <v>1280</v>
      </c>
      <c r="C974" s="223" t="s">
        <v>1281</v>
      </c>
      <c r="D974" s="316">
        <v>45122.0</v>
      </c>
      <c r="E974" s="218">
        <v>76.58538</v>
      </c>
      <c r="F974" s="218">
        <v>3.21658596</v>
      </c>
      <c r="G974" s="218">
        <v>0.0</v>
      </c>
      <c r="H974" s="223">
        <v>73.36879404</v>
      </c>
      <c r="J974" s="223" t="s">
        <v>52</v>
      </c>
      <c r="K974" s="317">
        <v>2023.07</v>
      </c>
    </row>
    <row r="975">
      <c r="A975" s="223" t="s">
        <v>62</v>
      </c>
      <c r="B975" s="223" t="s">
        <v>1304</v>
      </c>
      <c r="C975" s="223" t="s">
        <v>1156</v>
      </c>
      <c r="D975" s="316">
        <v>45122.0</v>
      </c>
      <c r="E975" s="218">
        <v>1600.0</v>
      </c>
      <c r="F975" s="218">
        <v>49.78</v>
      </c>
      <c r="G975" s="218">
        <v>0.0</v>
      </c>
      <c r="H975" s="223">
        <v>1550.22</v>
      </c>
      <c r="J975" s="223" t="s">
        <v>52</v>
      </c>
      <c r="K975" s="317">
        <v>2023.07</v>
      </c>
    </row>
    <row r="976">
      <c r="A976" s="223" t="s">
        <v>467</v>
      </c>
      <c r="B976" s="223" t="s">
        <v>1209</v>
      </c>
      <c r="C976" s="223" t="s">
        <v>469</v>
      </c>
      <c r="D976" s="316">
        <v>45122.0</v>
      </c>
      <c r="E976" s="218">
        <v>280.0</v>
      </c>
      <c r="F976" s="218"/>
      <c r="G976" s="218">
        <v>56.0</v>
      </c>
      <c r="H976" s="223">
        <v>224.0</v>
      </c>
      <c r="J976" s="223" t="s">
        <v>52</v>
      </c>
      <c r="K976" s="317">
        <v>2023.07</v>
      </c>
    </row>
    <row r="977">
      <c r="A977" s="223" t="s">
        <v>629</v>
      </c>
      <c r="B977" s="223" t="s">
        <v>1395</v>
      </c>
      <c r="C977" s="223" t="s">
        <v>469</v>
      </c>
      <c r="D977" s="316">
        <v>45122.0</v>
      </c>
      <c r="E977" s="218">
        <v>361.956</v>
      </c>
      <c r="F977" s="218">
        <v>10.8</v>
      </c>
      <c r="G977" s="218">
        <v>0.0</v>
      </c>
      <c r="H977" s="223">
        <v>351.156</v>
      </c>
      <c r="J977" s="223" t="s">
        <v>52</v>
      </c>
      <c r="K977" s="317">
        <v>2023.07</v>
      </c>
    </row>
    <row r="978">
      <c r="A978" s="223" t="s">
        <v>762</v>
      </c>
      <c r="B978" s="223" t="s">
        <v>1429</v>
      </c>
      <c r="C978" s="223" t="s">
        <v>1432</v>
      </c>
      <c r="D978" s="316">
        <v>45122.0</v>
      </c>
      <c r="E978" s="218">
        <v>865.0</v>
      </c>
      <c r="F978" s="218">
        <v>0.0</v>
      </c>
      <c r="G978" s="218">
        <v>0.0</v>
      </c>
      <c r="H978" s="223">
        <v>865.0</v>
      </c>
      <c r="J978" s="223" t="s">
        <v>52</v>
      </c>
      <c r="K978" s="317">
        <v>2023.07</v>
      </c>
    </row>
    <row r="979">
      <c r="A979" s="223" t="s">
        <v>662</v>
      </c>
      <c r="B979" s="223" t="s">
        <v>1433</v>
      </c>
      <c r="C979" s="223" t="s">
        <v>1434</v>
      </c>
      <c r="D979" s="316">
        <v>45122.0</v>
      </c>
      <c r="E979" s="218">
        <v>2500.0</v>
      </c>
      <c r="F979" s="218">
        <v>0.0</v>
      </c>
      <c r="G979" s="218">
        <v>0.0</v>
      </c>
      <c r="H979" s="223">
        <v>2500.0</v>
      </c>
      <c r="J979" s="223" t="s">
        <v>52</v>
      </c>
      <c r="K979" s="317">
        <v>2023.07</v>
      </c>
    </row>
    <row r="980">
      <c r="A980" s="223" t="s">
        <v>788</v>
      </c>
      <c r="B980" s="223" t="s">
        <v>1250</v>
      </c>
      <c r="C980" s="223" t="s">
        <v>1470</v>
      </c>
      <c r="D980" s="316">
        <v>45122.0</v>
      </c>
      <c r="E980" s="218">
        <v>2000.0</v>
      </c>
      <c r="F980" s="218">
        <v>0.0</v>
      </c>
      <c r="G980" s="218">
        <v>0.0</v>
      </c>
      <c r="H980" s="223">
        <v>2000.0</v>
      </c>
      <c r="J980" s="223" t="s">
        <v>52</v>
      </c>
      <c r="K980" s="317">
        <v>2023.07</v>
      </c>
    </row>
    <row r="981">
      <c r="A981" s="223" t="s">
        <v>795</v>
      </c>
      <c r="B981" s="223" t="s">
        <v>1352</v>
      </c>
      <c r="C981" s="223" t="s">
        <v>1393</v>
      </c>
      <c r="D981" s="316">
        <v>45122.0</v>
      </c>
      <c r="E981" s="218">
        <v>2000.0</v>
      </c>
      <c r="F981" s="218">
        <v>62.22</v>
      </c>
      <c r="G981" s="218">
        <v>0.0</v>
      </c>
      <c r="H981" s="223">
        <v>1937.78</v>
      </c>
      <c r="J981" s="223" t="s">
        <v>52</v>
      </c>
      <c r="K981" s="317">
        <v>2023.07</v>
      </c>
    </row>
    <row r="982">
      <c r="A982" s="223" t="s">
        <v>884</v>
      </c>
      <c r="B982" s="223" t="s">
        <v>1493</v>
      </c>
      <c r="C982" s="223" t="s">
        <v>1494</v>
      </c>
      <c r="D982" s="316">
        <v>45122.0</v>
      </c>
      <c r="E982" s="218">
        <v>326.40000000000003</v>
      </c>
      <c r="F982" s="218">
        <v>0.0</v>
      </c>
      <c r="G982" s="218">
        <v>65.28000000000002</v>
      </c>
      <c r="H982" s="223">
        <v>261.12</v>
      </c>
      <c r="J982" s="223" t="s">
        <v>52</v>
      </c>
      <c r="K982" s="317">
        <v>2023.07</v>
      </c>
    </row>
    <row r="983">
      <c r="A983" s="223" t="s">
        <v>966</v>
      </c>
      <c r="B983" s="223" t="s">
        <v>1487</v>
      </c>
      <c r="C983" s="223" t="s">
        <v>1510</v>
      </c>
      <c r="D983" s="316">
        <v>45122.0</v>
      </c>
      <c r="E983" s="218">
        <v>1800.0</v>
      </c>
      <c r="F983" s="218">
        <v>56.0</v>
      </c>
      <c r="G983" s="218">
        <v>174.4</v>
      </c>
      <c r="H983" s="223">
        <v>1569.6</v>
      </c>
      <c r="J983" s="223" t="s">
        <v>52</v>
      </c>
      <c r="K983" s="317">
        <v>2023.07</v>
      </c>
    </row>
    <row r="984">
      <c r="A984" s="223" t="s">
        <v>795</v>
      </c>
      <c r="B984" s="223" t="s">
        <v>1352</v>
      </c>
      <c r="C984" s="223" t="s">
        <v>1393</v>
      </c>
      <c r="D984" s="316">
        <v>45138.0</v>
      </c>
      <c r="E984" s="218">
        <v>600.0</v>
      </c>
      <c r="F984" s="218">
        <v>18.67</v>
      </c>
      <c r="G984" s="218">
        <v>0.0</v>
      </c>
      <c r="H984" s="223">
        <v>581.33</v>
      </c>
      <c r="J984" s="223" t="s">
        <v>52</v>
      </c>
      <c r="K984" s="317">
        <v>2023.07</v>
      </c>
    </row>
    <row r="985">
      <c r="A985" s="223" t="s">
        <v>223</v>
      </c>
      <c r="B985" s="223" t="s">
        <v>1176</v>
      </c>
      <c r="C985" s="223" t="s">
        <v>1156</v>
      </c>
      <c r="D985" s="316">
        <v>45138.0</v>
      </c>
      <c r="E985" s="218">
        <v>800.0</v>
      </c>
      <c r="F985" s="218">
        <v>24.89</v>
      </c>
      <c r="G985" s="218">
        <v>0.0</v>
      </c>
      <c r="H985" s="223">
        <v>775.11</v>
      </c>
      <c r="J985" s="223" t="s">
        <v>52</v>
      </c>
      <c r="K985" s="317">
        <v>2023.07</v>
      </c>
    </row>
    <row r="986">
      <c r="A986" s="223" t="s">
        <v>54</v>
      </c>
      <c r="B986" s="223" t="s">
        <v>1187</v>
      </c>
      <c r="C986" s="223" t="s">
        <v>1156</v>
      </c>
      <c r="D986" s="316">
        <v>45138.0</v>
      </c>
      <c r="E986" s="218">
        <v>750.0</v>
      </c>
      <c r="F986" s="218">
        <v>23.33</v>
      </c>
      <c r="G986" s="218">
        <v>0.0</v>
      </c>
      <c r="H986" s="223">
        <v>726.67</v>
      </c>
      <c r="J986" s="223" t="s">
        <v>52</v>
      </c>
      <c r="K986" s="317">
        <v>2023.07</v>
      </c>
    </row>
    <row r="987">
      <c r="A987" s="223" t="s">
        <v>120</v>
      </c>
      <c r="B987" s="223" t="s">
        <v>1215</v>
      </c>
      <c r="C987" s="223" t="s">
        <v>1156</v>
      </c>
      <c r="D987" s="316">
        <v>45138.0</v>
      </c>
      <c r="E987" s="218">
        <v>1308.9180000000001</v>
      </c>
      <c r="F987" s="218">
        <v>48.822641399999995</v>
      </c>
      <c r="G987" s="218">
        <v>252.01907172000003</v>
      </c>
      <c r="H987" s="223">
        <v>1008.07628688</v>
      </c>
      <c r="J987" s="223" t="s">
        <v>52</v>
      </c>
      <c r="K987" s="317">
        <v>2023.07</v>
      </c>
    </row>
    <row r="988">
      <c r="A988" s="223" t="s">
        <v>42</v>
      </c>
      <c r="B988" s="223" t="s">
        <v>1236</v>
      </c>
      <c r="C988" s="223" t="s">
        <v>1156</v>
      </c>
      <c r="D988" s="316">
        <v>45138.0</v>
      </c>
      <c r="E988" s="218">
        <v>1500.0</v>
      </c>
      <c r="F988" s="218"/>
      <c r="G988" s="218">
        <v>225.0</v>
      </c>
      <c r="H988" s="223">
        <v>1275.0</v>
      </c>
      <c r="J988" s="223" t="s">
        <v>52</v>
      </c>
      <c r="K988" s="317">
        <v>2023.07</v>
      </c>
    </row>
    <row r="989">
      <c r="A989" s="223" t="s">
        <v>82</v>
      </c>
      <c r="B989" s="223" t="s">
        <v>1124</v>
      </c>
      <c r="C989" s="223" t="s">
        <v>1156</v>
      </c>
      <c r="D989" s="316">
        <v>45138.0</v>
      </c>
      <c r="E989" s="218">
        <v>860.0</v>
      </c>
      <c r="F989" s="218">
        <v>0.0</v>
      </c>
      <c r="G989" s="218">
        <v>0.0</v>
      </c>
      <c r="H989" s="223">
        <v>860.0</v>
      </c>
      <c r="J989" s="223" t="s">
        <v>52</v>
      </c>
      <c r="K989" s="317">
        <v>2023.07</v>
      </c>
    </row>
    <row r="990">
      <c r="A990" s="223" t="s">
        <v>88</v>
      </c>
      <c r="B990" s="223" t="s">
        <v>1256</v>
      </c>
      <c r="C990" s="223" t="s">
        <v>1156</v>
      </c>
      <c r="D990" s="316">
        <v>45138.0</v>
      </c>
      <c r="E990" s="218">
        <v>500.0</v>
      </c>
      <c r="F990" s="218">
        <v>15.56</v>
      </c>
      <c r="G990" s="218">
        <v>0.0</v>
      </c>
      <c r="H990" s="223">
        <v>484.44</v>
      </c>
      <c r="J990" s="223" t="s">
        <v>52</v>
      </c>
      <c r="K990" s="317">
        <v>2023.07</v>
      </c>
    </row>
    <row r="991">
      <c r="A991" s="223" t="s">
        <v>50</v>
      </c>
      <c r="B991" s="223" t="s">
        <v>1275</v>
      </c>
      <c r="C991" s="223" t="s">
        <v>1156</v>
      </c>
      <c r="D991" s="316">
        <v>45138.0</v>
      </c>
      <c r="E991" s="218">
        <v>412.5</v>
      </c>
      <c r="F991" s="218">
        <v>0.0</v>
      </c>
      <c r="G991" s="218">
        <v>0.0</v>
      </c>
      <c r="H991" s="223">
        <v>412.5</v>
      </c>
      <c r="J991" s="223" t="s">
        <v>52</v>
      </c>
      <c r="K991" s="317">
        <v>2023.07</v>
      </c>
    </row>
    <row r="992">
      <c r="A992" s="223" t="s">
        <v>97</v>
      </c>
      <c r="B992" s="223" t="s">
        <v>1286</v>
      </c>
      <c r="C992" s="223" t="s">
        <v>1156</v>
      </c>
      <c r="D992" s="316">
        <v>45138.0</v>
      </c>
      <c r="E992" s="218">
        <v>330.0</v>
      </c>
      <c r="F992" s="218">
        <v>10.27</v>
      </c>
      <c r="G992" s="218">
        <v>0.0</v>
      </c>
      <c r="H992" s="223">
        <v>319.73</v>
      </c>
      <c r="J992" s="223" t="s">
        <v>52</v>
      </c>
      <c r="K992" s="317">
        <v>2023.07</v>
      </c>
    </row>
    <row r="993">
      <c r="A993" s="223" t="s">
        <v>92</v>
      </c>
      <c r="B993" s="223" t="s">
        <v>1289</v>
      </c>
      <c r="C993" s="223" t="s">
        <v>1156</v>
      </c>
      <c r="D993" s="316">
        <v>45138.0</v>
      </c>
      <c r="E993" s="218">
        <v>2500.0</v>
      </c>
      <c r="F993" s="218">
        <v>77.78</v>
      </c>
      <c r="G993" s="218">
        <v>0.0</v>
      </c>
      <c r="H993" s="223">
        <v>2422.22</v>
      </c>
      <c r="J993" s="223" t="s">
        <v>52</v>
      </c>
      <c r="K993" s="317">
        <v>2023.07</v>
      </c>
    </row>
    <row r="994">
      <c r="A994" s="223" t="s">
        <v>123</v>
      </c>
      <c r="B994" s="223" t="s">
        <v>1300</v>
      </c>
      <c r="C994" s="223" t="s">
        <v>1156</v>
      </c>
      <c r="D994" s="316">
        <v>45138.0</v>
      </c>
      <c r="E994" s="218">
        <v>3000.0</v>
      </c>
      <c r="F994" s="218"/>
      <c r="G994" s="218">
        <v>600.0</v>
      </c>
      <c r="H994" s="223">
        <v>2400.0</v>
      </c>
      <c r="J994" s="223" t="s">
        <v>52</v>
      </c>
      <c r="K994" s="317">
        <v>2023.07</v>
      </c>
    </row>
    <row r="995">
      <c r="A995" s="223" t="s">
        <v>115</v>
      </c>
      <c r="B995" s="223" t="s">
        <v>1308</v>
      </c>
      <c r="C995" s="223" t="s">
        <v>1156</v>
      </c>
      <c r="D995" s="316">
        <v>45138.0</v>
      </c>
      <c r="E995" s="218">
        <v>3255.6249999999995</v>
      </c>
      <c r="F995" s="218">
        <v>0.0</v>
      </c>
      <c r="G995" s="218">
        <v>0.0</v>
      </c>
      <c r="H995" s="223">
        <v>3255.6249999999995</v>
      </c>
      <c r="J995" s="223" t="s">
        <v>52</v>
      </c>
      <c r="K995" s="317">
        <v>2023.07</v>
      </c>
    </row>
    <row r="996">
      <c r="A996" s="223" t="s">
        <v>118</v>
      </c>
      <c r="B996" s="223" t="s">
        <v>1312</v>
      </c>
      <c r="C996" s="223" t="s">
        <v>1156</v>
      </c>
      <c r="D996" s="316">
        <v>45138.0</v>
      </c>
      <c r="E996" s="218">
        <v>3255.6249999999995</v>
      </c>
      <c r="F996" s="218">
        <v>0.0</v>
      </c>
      <c r="G996" s="218">
        <v>0.0</v>
      </c>
      <c r="H996" s="223">
        <v>3255.6249999999995</v>
      </c>
      <c r="J996" s="223" t="s">
        <v>52</v>
      </c>
      <c r="K996" s="317">
        <v>2023.07</v>
      </c>
    </row>
    <row r="997">
      <c r="A997" s="223" t="s">
        <v>73</v>
      </c>
      <c r="B997" s="223" t="s">
        <v>1327</v>
      </c>
      <c r="C997" s="223" t="s">
        <v>1156</v>
      </c>
      <c r="D997" s="316">
        <v>45138.0</v>
      </c>
      <c r="E997" s="218">
        <v>770.0</v>
      </c>
      <c r="F997" s="218"/>
      <c r="G997" s="218">
        <v>0.0</v>
      </c>
      <c r="H997" s="223">
        <v>770.0</v>
      </c>
      <c r="J997" s="223" t="s">
        <v>52</v>
      </c>
      <c r="K997" s="317">
        <v>2023.07</v>
      </c>
    </row>
    <row r="998">
      <c r="A998" s="223" t="s">
        <v>499</v>
      </c>
      <c r="B998" s="223" t="s">
        <v>1330</v>
      </c>
      <c r="C998" s="223" t="s">
        <v>1375</v>
      </c>
      <c r="D998" s="316">
        <v>45138.0</v>
      </c>
      <c r="E998" s="218">
        <v>1650.0</v>
      </c>
      <c r="F998" s="218">
        <v>55.23</v>
      </c>
      <c r="G998" s="218">
        <v>0.0</v>
      </c>
      <c r="H998" s="223">
        <v>1594.77</v>
      </c>
      <c r="J998" s="223" t="s">
        <v>52</v>
      </c>
      <c r="K998" s="317">
        <v>2023.07</v>
      </c>
    </row>
    <row r="999">
      <c r="A999" s="223" t="s">
        <v>695</v>
      </c>
      <c r="B999" s="223" t="s">
        <v>1216</v>
      </c>
      <c r="C999" s="223" t="s">
        <v>1451</v>
      </c>
      <c r="D999" s="316">
        <v>45138.0</v>
      </c>
      <c r="E999" s="218">
        <v>600.0</v>
      </c>
      <c r="F999" s="218">
        <v>18.67</v>
      </c>
      <c r="G999" s="218">
        <v>0.0</v>
      </c>
      <c r="H999" s="223">
        <v>581.33</v>
      </c>
      <c r="J999" s="223" t="s">
        <v>52</v>
      </c>
      <c r="K999" s="317">
        <v>2023.07</v>
      </c>
    </row>
    <row r="1000">
      <c r="A1000" s="223" t="s">
        <v>810</v>
      </c>
      <c r="B1000" s="223" t="s">
        <v>1363</v>
      </c>
      <c r="C1000" s="223" t="s">
        <v>1393</v>
      </c>
      <c r="D1000" s="316">
        <v>45138.0</v>
      </c>
      <c r="E1000" s="218">
        <v>1153.2136</v>
      </c>
      <c r="F1000" s="218">
        <v>43.0620442</v>
      </c>
      <c r="G1000" s="218">
        <v>0.0</v>
      </c>
      <c r="H1000" s="223">
        <v>1110.1515558</v>
      </c>
      <c r="J1000" s="223" t="s">
        <v>52</v>
      </c>
      <c r="K1000" s="317">
        <v>2023.07</v>
      </c>
    </row>
    <row r="1001">
      <c r="A1001" s="223" t="s">
        <v>855</v>
      </c>
      <c r="B1001" s="223" t="s">
        <v>1283</v>
      </c>
      <c r="C1001" s="223" t="s">
        <v>1480</v>
      </c>
      <c r="D1001" s="316">
        <v>45138.0</v>
      </c>
      <c r="E1001" s="218">
        <v>250.0</v>
      </c>
      <c r="F1001" s="218">
        <v>7.78</v>
      </c>
      <c r="G1001" s="218">
        <v>0.0</v>
      </c>
      <c r="H1001" s="223">
        <v>242.22</v>
      </c>
      <c r="J1001" s="223" t="s">
        <v>52</v>
      </c>
      <c r="K1001" s="317">
        <v>2023.07</v>
      </c>
    </row>
    <row r="1002">
      <c r="A1002" s="223" t="s">
        <v>861</v>
      </c>
      <c r="B1002" s="223" t="s">
        <v>1483</v>
      </c>
      <c r="C1002" s="223" t="s">
        <v>1393</v>
      </c>
      <c r="D1002" s="316">
        <v>45138.0</v>
      </c>
      <c r="E1002" s="218">
        <v>1750.0</v>
      </c>
      <c r="F1002" s="218"/>
      <c r="G1002" s="218">
        <v>350.0</v>
      </c>
      <c r="H1002" s="223">
        <v>1400.0</v>
      </c>
      <c r="J1002" s="223" t="s">
        <v>52</v>
      </c>
      <c r="K1002" s="317">
        <v>2023.07</v>
      </c>
    </row>
    <row r="1003">
      <c r="A1003" s="223" t="s">
        <v>963</v>
      </c>
      <c r="B1003" s="223" t="s">
        <v>1485</v>
      </c>
      <c r="C1003" s="223" t="s">
        <v>1393</v>
      </c>
      <c r="D1003" s="316">
        <v>45138.0</v>
      </c>
      <c r="E1003" s="218">
        <v>750.0</v>
      </c>
      <c r="F1003" s="218"/>
      <c r="G1003" s="218">
        <v>150.0</v>
      </c>
      <c r="H1003" s="223">
        <v>600.0</v>
      </c>
      <c r="J1003" s="223" t="s">
        <v>52</v>
      </c>
      <c r="K1003" s="317">
        <v>2023.07</v>
      </c>
    </row>
    <row r="1004">
      <c r="A1004" s="223" t="s">
        <v>1041</v>
      </c>
      <c r="B1004" s="223" t="s">
        <v>1475</v>
      </c>
      <c r="C1004" s="223" t="s">
        <v>1525</v>
      </c>
      <c r="D1004" s="316">
        <v>45138.0</v>
      </c>
      <c r="E1004" s="218">
        <v>1000.0</v>
      </c>
      <c r="F1004" s="218"/>
      <c r="G1004" s="218">
        <v>0.0</v>
      </c>
      <c r="H1004" s="223">
        <v>1000.0</v>
      </c>
      <c r="J1004" s="223" t="s">
        <v>52</v>
      </c>
      <c r="K1004" s="317">
        <v>2023.07</v>
      </c>
    </row>
    <row r="1005">
      <c r="A1005" s="223" t="s">
        <v>394</v>
      </c>
      <c r="B1005" s="223" t="s">
        <v>1158</v>
      </c>
      <c r="C1005" s="223" t="s">
        <v>1164</v>
      </c>
      <c r="D1005" s="316">
        <v>45230.0</v>
      </c>
      <c r="E1005" s="218">
        <v>150.0</v>
      </c>
      <c r="F1005" s="218"/>
      <c r="G1005" s="218">
        <v>0.0</v>
      </c>
      <c r="H1005" s="223">
        <v>150.0</v>
      </c>
      <c r="J1005" s="223" t="s">
        <v>257</v>
      </c>
      <c r="K1005" s="317">
        <v>2023.0</v>
      </c>
    </row>
    <row r="1006">
      <c r="A1006" s="223" t="s">
        <v>99</v>
      </c>
      <c r="B1006" s="223" t="s">
        <v>1192</v>
      </c>
      <c r="C1006" s="223" t="s">
        <v>1156</v>
      </c>
      <c r="D1006" s="316">
        <v>45153.0</v>
      </c>
      <c r="E1006" s="218">
        <v>1871.61403</v>
      </c>
      <c r="F1006" s="218">
        <v>69.64236541</v>
      </c>
      <c r="G1006" s="218">
        <v>360.39433291800003</v>
      </c>
      <c r="H1006" s="223">
        <v>1441.5773316720001</v>
      </c>
      <c r="J1006" s="223" t="s">
        <v>52</v>
      </c>
      <c r="K1006" s="317">
        <v>2023.08</v>
      </c>
    </row>
    <row r="1007">
      <c r="A1007" s="223" t="s">
        <v>225</v>
      </c>
      <c r="B1007" s="223" t="s">
        <v>1257</v>
      </c>
      <c r="C1007" s="223" t="s">
        <v>1156</v>
      </c>
      <c r="D1007" s="316">
        <v>45153.0</v>
      </c>
      <c r="E1007" s="218">
        <v>5000.0</v>
      </c>
      <c r="F1007" s="218"/>
      <c r="G1007" s="218">
        <v>0.0</v>
      </c>
      <c r="H1007" s="223">
        <v>5000.0</v>
      </c>
      <c r="J1007" s="223" t="s">
        <v>52</v>
      </c>
      <c r="K1007" s="317">
        <v>2023.08</v>
      </c>
    </row>
    <row r="1008">
      <c r="A1008" s="223" t="s">
        <v>102</v>
      </c>
      <c r="B1008" s="223" t="s">
        <v>1259</v>
      </c>
      <c r="C1008" s="223" t="s">
        <v>1156</v>
      </c>
      <c r="D1008" s="316">
        <v>45153.0</v>
      </c>
      <c r="E1008" s="218">
        <v>350.0</v>
      </c>
      <c r="F1008" s="218"/>
      <c r="G1008" s="218">
        <v>0.0</v>
      </c>
      <c r="H1008" s="223">
        <v>350.0</v>
      </c>
      <c r="J1008" s="223" t="s">
        <v>52</v>
      </c>
      <c r="K1008" s="317">
        <v>2023.08</v>
      </c>
    </row>
    <row r="1009">
      <c r="A1009" s="223" t="s">
        <v>924</v>
      </c>
      <c r="B1009" s="223" t="s">
        <v>1280</v>
      </c>
      <c r="C1009" s="223" t="s">
        <v>1281</v>
      </c>
      <c r="D1009" s="316">
        <v>45153.0</v>
      </c>
      <c r="E1009" s="218">
        <v>78.53508000000001</v>
      </c>
      <c r="F1009" s="218">
        <v>3.29847336</v>
      </c>
      <c r="G1009" s="218">
        <v>0.0</v>
      </c>
      <c r="H1009" s="223">
        <v>75.23660664</v>
      </c>
      <c r="J1009" s="223" t="s">
        <v>52</v>
      </c>
      <c r="K1009" s="317">
        <v>2023.08</v>
      </c>
    </row>
    <row r="1010">
      <c r="A1010" s="223" t="s">
        <v>62</v>
      </c>
      <c r="B1010" s="223" t="s">
        <v>1304</v>
      </c>
      <c r="C1010" s="223" t="s">
        <v>1156</v>
      </c>
      <c r="D1010" s="316">
        <v>45153.0</v>
      </c>
      <c r="E1010" s="218">
        <v>1600.0</v>
      </c>
      <c r="F1010" s="218">
        <v>49.78</v>
      </c>
      <c r="G1010" s="218">
        <v>0.0</v>
      </c>
      <c r="H1010" s="223">
        <v>1550.22</v>
      </c>
      <c r="J1010" s="223" t="s">
        <v>52</v>
      </c>
      <c r="K1010" s="317">
        <v>2023.08</v>
      </c>
    </row>
    <row r="1011">
      <c r="A1011" s="223" t="s">
        <v>467</v>
      </c>
      <c r="B1011" s="223" t="s">
        <v>1209</v>
      </c>
      <c r="C1011" s="223" t="s">
        <v>469</v>
      </c>
      <c r="D1011" s="316">
        <v>45153.0</v>
      </c>
      <c r="E1011" s="218">
        <v>280.0</v>
      </c>
      <c r="F1011" s="218"/>
      <c r="G1011" s="218">
        <v>56.0</v>
      </c>
      <c r="H1011" s="223">
        <v>224.0</v>
      </c>
      <c r="J1011" s="223" t="s">
        <v>52</v>
      </c>
      <c r="K1011" s="317">
        <v>2023.08</v>
      </c>
    </row>
    <row r="1012">
      <c r="A1012" s="223" t="s">
        <v>629</v>
      </c>
      <c r="B1012" s="223" t="s">
        <v>1395</v>
      </c>
      <c r="C1012" s="223" t="s">
        <v>469</v>
      </c>
      <c r="D1012" s="316">
        <v>45153.0</v>
      </c>
      <c r="E1012" s="218">
        <v>370.5632</v>
      </c>
      <c r="F1012" s="218">
        <v>11.05</v>
      </c>
      <c r="G1012" s="218">
        <v>0.0</v>
      </c>
      <c r="H1012" s="223">
        <v>359.5132</v>
      </c>
      <c r="J1012" s="223" t="s">
        <v>52</v>
      </c>
      <c r="K1012" s="317">
        <v>2023.08</v>
      </c>
    </row>
    <row r="1013">
      <c r="A1013" s="223" t="s">
        <v>762</v>
      </c>
      <c r="B1013" s="223" t="s">
        <v>1429</v>
      </c>
      <c r="C1013" s="223" t="s">
        <v>1432</v>
      </c>
      <c r="D1013" s="316">
        <v>45153.0</v>
      </c>
      <c r="E1013" s="218">
        <v>865.0</v>
      </c>
      <c r="F1013" s="218">
        <v>0.0</v>
      </c>
      <c r="G1013" s="218">
        <v>0.0</v>
      </c>
      <c r="H1013" s="223">
        <v>865.0</v>
      </c>
      <c r="J1013" s="223" t="s">
        <v>52</v>
      </c>
      <c r="K1013" s="317">
        <v>2023.08</v>
      </c>
    </row>
    <row r="1014">
      <c r="A1014" s="223" t="s">
        <v>662</v>
      </c>
      <c r="B1014" s="223" t="s">
        <v>1433</v>
      </c>
      <c r="C1014" s="223" t="s">
        <v>1434</v>
      </c>
      <c r="D1014" s="316">
        <v>45153.0</v>
      </c>
      <c r="E1014" s="218">
        <v>2500.0</v>
      </c>
      <c r="F1014" s="218"/>
      <c r="G1014" s="218">
        <v>0.0</v>
      </c>
      <c r="H1014" s="223">
        <v>2500.0</v>
      </c>
      <c r="J1014" s="223" t="s">
        <v>52</v>
      </c>
      <c r="K1014" s="317">
        <v>2023.08</v>
      </c>
    </row>
    <row r="1015">
      <c r="A1015" s="223" t="s">
        <v>788</v>
      </c>
      <c r="B1015" s="223" t="s">
        <v>1250</v>
      </c>
      <c r="C1015" s="223" t="s">
        <v>1470</v>
      </c>
      <c r="D1015" s="316">
        <v>45153.0</v>
      </c>
      <c r="E1015" s="218">
        <v>2000.0</v>
      </c>
      <c r="F1015" s="218"/>
      <c r="G1015" s="218">
        <v>0.0</v>
      </c>
      <c r="H1015" s="223">
        <v>2000.0</v>
      </c>
      <c r="J1015" s="223" t="s">
        <v>52</v>
      </c>
      <c r="K1015" s="317">
        <v>2023.08</v>
      </c>
    </row>
    <row r="1016">
      <c r="A1016" s="223" t="s">
        <v>795</v>
      </c>
      <c r="B1016" s="223" t="s">
        <v>1352</v>
      </c>
      <c r="C1016" s="223" t="s">
        <v>1393</v>
      </c>
      <c r="D1016" s="316">
        <v>45153.0</v>
      </c>
      <c r="E1016" s="218">
        <v>2000.0</v>
      </c>
      <c r="F1016" s="218"/>
      <c r="G1016" s="218">
        <v>0.0</v>
      </c>
      <c r="H1016" s="223">
        <v>2000.0</v>
      </c>
      <c r="J1016" s="223" t="s">
        <v>52</v>
      </c>
      <c r="K1016" s="317">
        <v>2023.08</v>
      </c>
    </row>
    <row r="1017">
      <c r="A1017" s="223" t="s">
        <v>884</v>
      </c>
      <c r="B1017" s="223" t="s">
        <v>1493</v>
      </c>
      <c r="C1017" s="223" t="s">
        <v>1494</v>
      </c>
      <c r="D1017" s="316">
        <v>45153.0</v>
      </c>
      <c r="E1017" s="218">
        <v>326.40000000000003</v>
      </c>
      <c r="F1017" s="218">
        <v>0.0</v>
      </c>
      <c r="G1017" s="218">
        <v>65.28000000000002</v>
      </c>
      <c r="H1017" s="223">
        <v>261.12</v>
      </c>
      <c r="J1017" s="223" t="s">
        <v>52</v>
      </c>
      <c r="K1017" s="317">
        <v>2023.08</v>
      </c>
    </row>
    <row r="1018">
      <c r="A1018" s="223" t="s">
        <v>966</v>
      </c>
      <c r="B1018" s="223" t="s">
        <v>1487</v>
      </c>
      <c r="C1018" s="223" t="s">
        <v>1510</v>
      </c>
      <c r="D1018" s="316">
        <v>45153.0</v>
      </c>
      <c r="E1018" s="218">
        <v>1800.0</v>
      </c>
      <c r="F1018" s="218"/>
      <c r="G1018" s="218">
        <v>180.0</v>
      </c>
      <c r="H1018" s="223">
        <v>1620.0</v>
      </c>
      <c r="J1018" s="223" t="s">
        <v>52</v>
      </c>
      <c r="K1018" s="317">
        <v>2023.08</v>
      </c>
    </row>
    <row r="1019">
      <c r="A1019" s="223" t="s">
        <v>1101</v>
      </c>
      <c r="B1019" s="223" t="s">
        <v>1532</v>
      </c>
      <c r="C1019" s="223" t="s">
        <v>1536</v>
      </c>
      <c r="D1019" s="316">
        <v>45153.0</v>
      </c>
      <c r="E1019" s="218">
        <v>1963.377</v>
      </c>
      <c r="F1019" s="218">
        <v>0.0</v>
      </c>
      <c r="G1019" s="218">
        <v>392.6754</v>
      </c>
      <c r="H1019" s="223">
        <v>1570.7015999999999</v>
      </c>
      <c r="J1019" s="223" t="s">
        <v>52</v>
      </c>
      <c r="K1019" s="317">
        <v>2023.08</v>
      </c>
    </row>
    <row r="1020">
      <c r="A1020" s="223" t="s">
        <v>1070</v>
      </c>
      <c r="B1020" s="223" t="s">
        <v>1540</v>
      </c>
      <c r="C1020" s="223" t="s">
        <v>1393</v>
      </c>
      <c r="D1020" s="316">
        <v>45153.0</v>
      </c>
      <c r="E1020" s="218">
        <v>750.0</v>
      </c>
      <c r="F1020" s="218"/>
      <c r="G1020" s="218">
        <v>150.0</v>
      </c>
      <c r="H1020" s="223">
        <v>600.0</v>
      </c>
      <c r="J1020" s="223" t="s">
        <v>52</v>
      </c>
      <c r="K1020" s="317">
        <v>2023.08</v>
      </c>
    </row>
    <row r="1021">
      <c r="A1021" s="223" t="s">
        <v>1105</v>
      </c>
      <c r="B1021" s="223" t="s">
        <v>1501</v>
      </c>
      <c r="C1021" s="223" t="s">
        <v>1541</v>
      </c>
      <c r="D1021" s="316">
        <v>45169.0</v>
      </c>
      <c r="E1021" s="218">
        <v>1000.0</v>
      </c>
      <c r="F1021" s="218"/>
      <c r="G1021" s="218">
        <v>0.0</v>
      </c>
      <c r="H1021" s="223">
        <v>1000.0</v>
      </c>
      <c r="J1021" s="223" t="s">
        <v>1106</v>
      </c>
      <c r="K1021" s="317">
        <v>2023.08</v>
      </c>
    </row>
    <row r="1022">
      <c r="A1022" s="223" t="s">
        <v>1105</v>
      </c>
      <c r="B1022" s="223" t="s">
        <v>1501</v>
      </c>
      <c r="C1022" s="223" t="s">
        <v>1541</v>
      </c>
      <c r="D1022" s="316">
        <v>45170.0</v>
      </c>
      <c r="E1022" s="218">
        <v>1000.0</v>
      </c>
      <c r="F1022" s="218"/>
      <c r="G1022" s="218">
        <v>0.0</v>
      </c>
      <c r="H1022" s="223">
        <v>1000.0</v>
      </c>
      <c r="J1022" s="223" t="s">
        <v>1106</v>
      </c>
      <c r="K1022" s="317">
        <v>2023.09</v>
      </c>
    </row>
    <row r="1023">
      <c r="A1023" s="223" t="s">
        <v>1109</v>
      </c>
      <c r="B1023" s="223" t="s">
        <v>1250</v>
      </c>
      <c r="C1023" s="223" t="s">
        <v>1543</v>
      </c>
      <c r="D1023" s="316">
        <v>45153.0</v>
      </c>
      <c r="E1023" s="218">
        <v>1800.0</v>
      </c>
      <c r="F1023" s="218"/>
      <c r="G1023" s="218">
        <v>0.0</v>
      </c>
      <c r="H1023" s="223">
        <v>1800.0</v>
      </c>
      <c r="J1023" s="223" t="s">
        <v>52</v>
      </c>
      <c r="K1023" s="317">
        <v>2023.08</v>
      </c>
    </row>
    <row r="1024">
      <c r="A1024" s="223" t="s">
        <v>1111</v>
      </c>
      <c r="B1024" s="223" t="s">
        <v>1545</v>
      </c>
      <c r="C1024" s="223" t="s">
        <v>1168</v>
      </c>
      <c r="D1024" s="316">
        <v>45155.0</v>
      </c>
      <c r="E1024" s="218">
        <v>5000.0</v>
      </c>
      <c r="F1024" s="218"/>
      <c r="G1024" s="218">
        <v>0.0</v>
      </c>
      <c r="H1024" s="223">
        <v>5000.0</v>
      </c>
      <c r="J1024" s="223" t="s">
        <v>766</v>
      </c>
      <c r="K1024" s="317">
        <v>2023.08</v>
      </c>
    </row>
    <row r="1025">
      <c r="A1025" s="223" t="s">
        <v>1111</v>
      </c>
      <c r="B1025" s="223" t="s">
        <v>1545</v>
      </c>
      <c r="C1025" s="223" t="s">
        <v>1168</v>
      </c>
      <c r="D1025" s="316"/>
      <c r="E1025" s="218">
        <v>5000.0</v>
      </c>
      <c r="F1025" s="218"/>
      <c r="G1025" s="218">
        <v>0.0</v>
      </c>
      <c r="H1025" s="223">
        <v>5000.0</v>
      </c>
      <c r="J1025" s="223" t="s">
        <v>766</v>
      </c>
      <c r="K1025" s="317">
        <v>1899.12</v>
      </c>
    </row>
    <row r="1026">
      <c r="A1026" s="223" t="s">
        <v>1111</v>
      </c>
      <c r="B1026" s="223" t="s">
        <v>1545</v>
      </c>
      <c r="C1026" s="223" t="s">
        <v>1168</v>
      </c>
      <c r="D1026" s="316"/>
      <c r="E1026" s="218">
        <v>5000.0</v>
      </c>
      <c r="F1026" s="218"/>
      <c r="G1026" s="218">
        <v>0.0</v>
      </c>
      <c r="H1026" s="223">
        <v>5000.0</v>
      </c>
      <c r="J1026" s="223" t="s">
        <v>766</v>
      </c>
      <c r="K1026" s="317">
        <v>1899.12</v>
      </c>
    </row>
    <row r="1027">
      <c r="A1027" s="223" t="s">
        <v>1114</v>
      </c>
      <c r="B1027" s="223" t="s">
        <v>1547</v>
      </c>
      <c r="C1027" s="223" t="s">
        <v>1548</v>
      </c>
      <c r="D1027" s="316">
        <v>45153.0</v>
      </c>
      <c r="E1027" s="218">
        <v>1963.377</v>
      </c>
      <c r="F1027" s="218">
        <v>73.0376244</v>
      </c>
      <c r="G1027" s="218">
        <v>0.0</v>
      </c>
      <c r="H1027" s="223">
        <v>1890.3393756</v>
      </c>
      <c r="J1027" s="223" t="s">
        <v>766</v>
      </c>
      <c r="K1027" s="317">
        <v>2023.08</v>
      </c>
    </row>
    <row r="1028">
      <c r="A1028" s="223" t="s">
        <v>584</v>
      </c>
      <c r="B1028" s="223" t="s">
        <v>1398</v>
      </c>
      <c r="C1028" s="223" t="s">
        <v>1403</v>
      </c>
      <c r="D1028" s="316">
        <v>45169.0</v>
      </c>
      <c r="E1028" s="218">
        <v>995.0</v>
      </c>
      <c r="F1028" s="218"/>
      <c r="G1028" s="218">
        <v>0.0</v>
      </c>
      <c r="H1028" s="223">
        <v>995.0</v>
      </c>
      <c r="J1028" s="223"/>
      <c r="K1028" s="317">
        <v>2023.0</v>
      </c>
    </row>
    <row r="1029">
      <c r="A1029" s="223" t="s">
        <v>120</v>
      </c>
      <c r="B1029" s="223" t="s">
        <v>1215</v>
      </c>
      <c r="C1029" s="223" t="s">
        <v>1156</v>
      </c>
      <c r="D1029" s="316">
        <v>45169.0</v>
      </c>
      <c r="E1029" s="218">
        <v>1308.9180000000001</v>
      </c>
      <c r="F1029" s="218">
        <v>48.822641399999995</v>
      </c>
      <c r="G1029" s="218">
        <v>252.01907172000003</v>
      </c>
      <c r="H1029" s="223">
        <v>1008.07628688</v>
      </c>
      <c r="J1029" s="223" t="s">
        <v>52</v>
      </c>
      <c r="K1029" s="317">
        <v>2023.08</v>
      </c>
    </row>
    <row r="1030">
      <c r="A1030" s="223" t="s">
        <v>1120</v>
      </c>
      <c r="B1030" s="223" t="s">
        <v>1549</v>
      </c>
      <c r="C1030" s="223" t="s">
        <v>1168</v>
      </c>
      <c r="D1030" s="316">
        <v>45169.0</v>
      </c>
      <c r="E1030" s="218">
        <v>1500.0</v>
      </c>
      <c r="F1030" s="218"/>
      <c r="G1030" s="218">
        <v>0.0</v>
      </c>
      <c r="H1030" s="223">
        <v>1500.0</v>
      </c>
      <c r="J1030" s="223"/>
      <c r="K1030" s="317">
        <v>2023.0</v>
      </c>
    </row>
    <row r="1031">
      <c r="A1031" s="223" t="s">
        <v>1120</v>
      </c>
      <c r="B1031" s="223" t="s">
        <v>1549</v>
      </c>
      <c r="C1031" s="223" t="s">
        <v>1168</v>
      </c>
      <c r="D1031" s="316"/>
      <c r="E1031" s="218">
        <v>0.0</v>
      </c>
      <c r="F1031" s="218"/>
      <c r="G1031" s="218">
        <v>0.0</v>
      </c>
      <c r="H1031" s="223">
        <v>0.0</v>
      </c>
      <c r="J1031" s="223"/>
      <c r="K1031" s="317">
        <v>1899.0</v>
      </c>
    </row>
    <row r="1032">
      <c r="A1032" s="223" t="s">
        <v>223</v>
      </c>
      <c r="B1032" s="223" t="s">
        <v>1176</v>
      </c>
      <c r="C1032" s="223" t="s">
        <v>1156</v>
      </c>
      <c r="D1032" s="316">
        <v>45169.0</v>
      </c>
      <c r="E1032" s="218">
        <v>880.0</v>
      </c>
      <c r="F1032" s="218"/>
      <c r="G1032" s="218">
        <v>0.0</v>
      </c>
      <c r="H1032" s="223">
        <v>880.0</v>
      </c>
      <c r="J1032" s="223" t="s">
        <v>52</v>
      </c>
      <c r="K1032" s="317">
        <v>2023.08</v>
      </c>
    </row>
    <row r="1033">
      <c r="A1033" s="223" t="s">
        <v>54</v>
      </c>
      <c r="B1033" s="223" t="s">
        <v>1187</v>
      </c>
      <c r="C1033" s="223" t="s">
        <v>1156</v>
      </c>
      <c r="D1033" s="316">
        <v>45169.0</v>
      </c>
      <c r="E1033" s="218">
        <v>750.0</v>
      </c>
      <c r="F1033" s="218"/>
      <c r="G1033" s="218">
        <v>0.0</v>
      </c>
      <c r="H1033" s="223">
        <v>750.0</v>
      </c>
      <c r="J1033" s="223" t="s">
        <v>52</v>
      </c>
      <c r="K1033" s="317">
        <v>2023.08</v>
      </c>
    </row>
    <row r="1034">
      <c r="A1034" s="223" t="s">
        <v>42</v>
      </c>
      <c r="B1034" s="223" t="s">
        <v>1236</v>
      </c>
      <c r="C1034" s="223" t="s">
        <v>1156</v>
      </c>
      <c r="D1034" s="316">
        <v>45169.0</v>
      </c>
      <c r="E1034" s="218">
        <v>1500.0</v>
      </c>
      <c r="F1034" s="218">
        <v>46.67</v>
      </c>
      <c r="G1034" s="218">
        <v>217.99949999999998</v>
      </c>
      <c r="H1034" s="223">
        <v>1235.3305</v>
      </c>
      <c r="J1034" s="223" t="s">
        <v>52</v>
      </c>
      <c r="K1034" s="317">
        <v>2023.08</v>
      </c>
    </row>
    <row r="1035">
      <c r="A1035" s="223" t="s">
        <v>1124</v>
      </c>
      <c r="B1035" s="223" t="s">
        <v>200</v>
      </c>
      <c r="C1035" s="223"/>
      <c r="D1035" s="316">
        <v>45169.0</v>
      </c>
      <c r="E1035" s="218">
        <v>860.0</v>
      </c>
      <c r="F1035" s="218"/>
      <c r="G1035" s="218">
        <v>0.0</v>
      </c>
      <c r="H1035" s="223">
        <v>860.0</v>
      </c>
      <c r="J1035" s="223" t="s">
        <v>52</v>
      </c>
      <c r="K1035" s="317">
        <v>2023.08</v>
      </c>
    </row>
    <row r="1036">
      <c r="A1036" s="223" t="s">
        <v>88</v>
      </c>
      <c r="B1036" s="223" t="s">
        <v>1256</v>
      </c>
      <c r="C1036" s="223" t="s">
        <v>1156</v>
      </c>
      <c r="D1036" s="316">
        <v>45169.0</v>
      </c>
      <c r="E1036" s="218">
        <v>500.0</v>
      </c>
      <c r="F1036" s="218"/>
      <c r="G1036" s="218">
        <v>0.0</v>
      </c>
      <c r="H1036" s="223">
        <v>500.0</v>
      </c>
      <c r="J1036" s="223" t="s">
        <v>52</v>
      </c>
      <c r="K1036" s="317">
        <v>2023.08</v>
      </c>
    </row>
    <row r="1037">
      <c r="A1037" s="223" t="s">
        <v>50</v>
      </c>
      <c r="B1037" s="223" t="s">
        <v>1275</v>
      </c>
      <c r="C1037" s="223" t="s">
        <v>1156</v>
      </c>
      <c r="D1037" s="316">
        <v>45169.0</v>
      </c>
      <c r="E1037" s="218">
        <v>412.5</v>
      </c>
      <c r="F1037" s="218"/>
      <c r="G1037" s="218">
        <v>0.0</v>
      </c>
      <c r="H1037" s="223">
        <v>412.5</v>
      </c>
      <c r="J1037" s="223" t="s">
        <v>52</v>
      </c>
      <c r="K1037" s="317">
        <v>2023.08</v>
      </c>
    </row>
    <row r="1038">
      <c r="A1038" s="223" t="s">
        <v>97</v>
      </c>
      <c r="B1038" s="223" t="s">
        <v>1286</v>
      </c>
      <c r="C1038" s="223" t="s">
        <v>1156</v>
      </c>
      <c r="D1038" s="316">
        <v>45169.0</v>
      </c>
      <c r="E1038" s="218">
        <v>330.0</v>
      </c>
      <c r="F1038" s="218">
        <v>10.27</v>
      </c>
      <c r="G1038" s="218">
        <v>0.0</v>
      </c>
      <c r="H1038" s="223">
        <v>319.73</v>
      </c>
      <c r="J1038" s="223" t="s">
        <v>52</v>
      </c>
      <c r="K1038" s="317">
        <v>2023.08</v>
      </c>
    </row>
    <row r="1039">
      <c r="A1039" s="223" t="s">
        <v>92</v>
      </c>
      <c r="B1039" s="223" t="s">
        <v>1289</v>
      </c>
      <c r="C1039" s="223" t="s">
        <v>1156</v>
      </c>
      <c r="D1039" s="316">
        <v>45169.0</v>
      </c>
      <c r="E1039" s="218">
        <v>2500.0</v>
      </c>
      <c r="F1039" s="218"/>
      <c r="G1039" s="218">
        <v>0.0</v>
      </c>
      <c r="H1039" s="223">
        <v>2500.0</v>
      </c>
      <c r="J1039" s="223" t="s">
        <v>52</v>
      </c>
      <c r="K1039" s="317">
        <v>2023.08</v>
      </c>
    </row>
    <row r="1040">
      <c r="A1040" s="223" t="s">
        <v>123</v>
      </c>
      <c r="B1040" s="223" t="s">
        <v>1300</v>
      </c>
      <c r="C1040" s="223" t="s">
        <v>1156</v>
      </c>
      <c r="D1040" s="316">
        <v>45169.0</v>
      </c>
      <c r="E1040" s="218">
        <v>250.0</v>
      </c>
      <c r="F1040" s="218"/>
      <c r="G1040" s="218">
        <v>50.0</v>
      </c>
      <c r="H1040" s="223">
        <v>200.0</v>
      </c>
      <c r="J1040" s="223" t="s">
        <v>52</v>
      </c>
      <c r="K1040" s="317">
        <v>2023.08</v>
      </c>
    </row>
    <row r="1041">
      <c r="A1041" s="223" t="s">
        <v>115</v>
      </c>
      <c r="B1041" s="223" t="s">
        <v>1308</v>
      </c>
      <c r="C1041" s="223" t="s">
        <v>1156</v>
      </c>
      <c r="D1041" s="316">
        <v>45169.0</v>
      </c>
      <c r="E1041" s="218">
        <v>2500.0</v>
      </c>
      <c r="F1041" s="218"/>
      <c r="G1041" s="218">
        <v>0.0</v>
      </c>
      <c r="H1041" s="223">
        <v>2500.0</v>
      </c>
      <c r="J1041" s="223" t="s">
        <v>52</v>
      </c>
      <c r="K1041" s="317">
        <v>2023.08</v>
      </c>
    </row>
    <row r="1042">
      <c r="A1042" s="223" t="s">
        <v>118</v>
      </c>
      <c r="B1042" s="223" t="s">
        <v>1312</v>
      </c>
      <c r="C1042" s="223" t="s">
        <v>1156</v>
      </c>
      <c r="D1042" s="316">
        <v>45169.0</v>
      </c>
      <c r="E1042" s="218">
        <v>2500.0</v>
      </c>
      <c r="F1042" s="218"/>
      <c r="G1042" s="218">
        <v>0.0</v>
      </c>
      <c r="H1042" s="223">
        <v>2500.0</v>
      </c>
      <c r="J1042" s="223" t="s">
        <v>52</v>
      </c>
      <c r="K1042" s="317">
        <v>2023.08</v>
      </c>
    </row>
    <row r="1043">
      <c r="A1043" s="223" t="s">
        <v>73</v>
      </c>
      <c r="B1043" s="223" t="s">
        <v>1327</v>
      </c>
      <c r="C1043" s="223" t="s">
        <v>1156</v>
      </c>
      <c r="D1043" s="316">
        <v>45169.0</v>
      </c>
      <c r="E1043" s="218">
        <v>770.0</v>
      </c>
      <c r="F1043" s="218"/>
      <c r="G1043" s="218">
        <v>0.0</v>
      </c>
      <c r="H1043" s="223">
        <v>770.0</v>
      </c>
      <c r="J1043" s="223" t="s">
        <v>52</v>
      </c>
      <c r="K1043" s="317">
        <v>2023.08</v>
      </c>
    </row>
    <row r="1044">
      <c r="A1044" s="223" t="s">
        <v>499</v>
      </c>
      <c r="B1044" s="223" t="s">
        <v>1330</v>
      </c>
      <c r="C1044" s="223" t="s">
        <v>1375</v>
      </c>
      <c r="D1044" s="316">
        <v>45169.0</v>
      </c>
      <c r="E1044" s="218">
        <v>1650.0</v>
      </c>
      <c r="F1044" s="218">
        <v>55.25</v>
      </c>
      <c r="G1044" s="218">
        <v>0.0</v>
      </c>
      <c r="H1044" s="223">
        <v>1594.75</v>
      </c>
      <c r="J1044" s="223" t="s">
        <v>52</v>
      </c>
      <c r="K1044" s="317">
        <v>2023.08</v>
      </c>
    </row>
    <row r="1045">
      <c r="A1045" s="223" t="s">
        <v>695</v>
      </c>
      <c r="B1045" s="223" t="s">
        <v>1216</v>
      </c>
      <c r="C1045" s="223" t="s">
        <v>1451</v>
      </c>
      <c r="D1045" s="316">
        <v>45169.0</v>
      </c>
      <c r="E1045" s="218">
        <v>600.0</v>
      </c>
      <c r="F1045" s="218">
        <v>18.67</v>
      </c>
      <c r="G1045" s="218">
        <v>0.0</v>
      </c>
      <c r="H1045" s="223">
        <v>581.33</v>
      </c>
      <c r="J1045" s="223" t="s">
        <v>52</v>
      </c>
      <c r="K1045" s="317">
        <v>2023.08</v>
      </c>
    </row>
    <row r="1046">
      <c r="A1046" s="223" t="s">
        <v>810</v>
      </c>
      <c r="B1046" s="223" t="s">
        <v>1363</v>
      </c>
      <c r="C1046" s="223" t="s">
        <v>1393</v>
      </c>
      <c r="D1046" s="316">
        <v>45169.0</v>
      </c>
      <c r="E1046" s="218">
        <v>880.0</v>
      </c>
      <c r="F1046" s="218"/>
      <c r="G1046" s="218">
        <v>0.0</v>
      </c>
      <c r="H1046" s="223">
        <v>880.0</v>
      </c>
      <c r="J1046" s="223" t="s">
        <v>52</v>
      </c>
      <c r="K1046" s="317">
        <v>2023.08</v>
      </c>
    </row>
    <row r="1047">
      <c r="A1047" s="223" t="s">
        <v>855</v>
      </c>
      <c r="B1047" s="223" t="s">
        <v>1283</v>
      </c>
      <c r="C1047" s="223" t="s">
        <v>1480</v>
      </c>
      <c r="D1047" s="316">
        <v>45169.0</v>
      </c>
      <c r="E1047" s="218">
        <v>250.0</v>
      </c>
      <c r="F1047" s="218"/>
      <c r="G1047" s="218">
        <v>0.0</v>
      </c>
      <c r="H1047" s="223">
        <v>250.0</v>
      </c>
      <c r="J1047" s="223" t="s">
        <v>52</v>
      </c>
      <c r="K1047" s="317">
        <v>2023.08</v>
      </c>
    </row>
    <row r="1048">
      <c r="A1048" s="223" t="s">
        <v>861</v>
      </c>
      <c r="B1048" s="223" t="s">
        <v>1483</v>
      </c>
      <c r="C1048" s="223" t="s">
        <v>1393</v>
      </c>
      <c r="D1048" s="316">
        <v>45169.0</v>
      </c>
      <c r="E1048" s="218">
        <v>1750.0</v>
      </c>
      <c r="F1048" s="218"/>
      <c r="G1048" s="218">
        <v>350.0</v>
      </c>
      <c r="H1048" s="223">
        <v>1400.0</v>
      </c>
      <c r="J1048" s="223" t="s">
        <v>52</v>
      </c>
      <c r="K1048" s="317">
        <v>2023.08</v>
      </c>
    </row>
    <row r="1049">
      <c r="A1049" s="223" t="s">
        <v>963</v>
      </c>
      <c r="B1049" s="223" t="s">
        <v>1485</v>
      </c>
      <c r="C1049" s="223" t="s">
        <v>1393</v>
      </c>
      <c r="D1049" s="316">
        <v>45169.0</v>
      </c>
      <c r="E1049" s="218">
        <v>750.0</v>
      </c>
      <c r="F1049" s="218"/>
      <c r="G1049" s="218">
        <v>150.0</v>
      </c>
      <c r="H1049" s="223">
        <v>600.0</v>
      </c>
      <c r="J1049" s="223" t="s">
        <v>52</v>
      </c>
      <c r="K1049" s="317">
        <v>2023.08</v>
      </c>
    </row>
    <row r="1050">
      <c r="A1050" s="223" t="s">
        <v>1041</v>
      </c>
      <c r="B1050" s="223" t="s">
        <v>1475</v>
      </c>
      <c r="C1050" s="223" t="s">
        <v>1525</v>
      </c>
      <c r="D1050" s="316">
        <v>45169.0</v>
      </c>
      <c r="E1050" s="218">
        <v>1000.0</v>
      </c>
      <c r="F1050" s="218"/>
      <c r="G1050" s="218">
        <v>0.0</v>
      </c>
      <c r="H1050" s="223">
        <v>1000.0</v>
      </c>
      <c r="J1050" s="223" t="s">
        <v>52</v>
      </c>
      <c r="K1050" s="317">
        <v>2023.08</v>
      </c>
    </row>
    <row r="1051">
      <c r="A1051" s="223" t="s">
        <v>1133</v>
      </c>
      <c r="B1051" s="223" t="s">
        <v>1291</v>
      </c>
      <c r="C1051" s="223" t="s">
        <v>1551</v>
      </c>
      <c r="D1051" s="316">
        <v>45169.0</v>
      </c>
      <c r="E1051" s="218">
        <v>1100.0</v>
      </c>
      <c r="F1051" s="218"/>
      <c r="G1051" s="218">
        <v>0.0</v>
      </c>
      <c r="H1051" s="223">
        <v>1100.0</v>
      </c>
      <c r="J1051" s="223" t="s">
        <v>52</v>
      </c>
      <c r="K1051" s="317">
        <v>2023.08</v>
      </c>
    </row>
    <row r="1052">
      <c r="A1052" s="223" t="s">
        <v>64</v>
      </c>
      <c r="B1052" s="223" t="s">
        <v>1245</v>
      </c>
      <c r="C1052" s="223" t="s">
        <v>1156</v>
      </c>
      <c r="D1052" s="316">
        <v>45169.0</v>
      </c>
      <c r="E1052" s="218">
        <v>1200.0</v>
      </c>
      <c r="F1052" s="218"/>
      <c r="G1052" s="218">
        <v>0.0</v>
      </c>
      <c r="H1052" s="223">
        <v>1200.0</v>
      </c>
      <c r="J1052" s="223" t="s">
        <v>52</v>
      </c>
      <c r="K1052" s="317">
        <v>2023.08</v>
      </c>
    </row>
    <row r="1053">
      <c r="A1053" s="223" t="s">
        <v>692</v>
      </c>
      <c r="B1053" s="223" t="s">
        <v>1216</v>
      </c>
      <c r="C1053" s="223" t="s">
        <v>1450</v>
      </c>
      <c r="D1053" s="316">
        <v>45169.0</v>
      </c>
      <c r="E1053" s="218">
        <v>450.0</v>
      </c>
      <c r="F1053" s="218">
        <v>14.0</v>
      </c>
      <c r="G1053" s="218">
        <v>0.0</v>
      </c>
      <c r="H1053" s="223">
        <v>436.0</v>
      </c>
      <c r="J1053" s="223" t="s">
        <v>52</v>
      </c>
      <c r="K1053" s="317">
        <v>2023.08</v>
      </c>
    </row>
    <row r="1054">
      <c r="A1054" s="223"/>
      <c r="B1054" s="223" t="s">
        <v>200</v>
      </c>
      <c r="C1054" s="223"/>
      <c r="D1054" s="316"/>
      <c r="E1054" s="218"/>
      <c r="F1054" s="218"/>
      <c r="G1054" s="218" t="s">
        <v>200</v>
      </c>
      <c r="H1054" s="223">
        <v>0.0</v>
      </c>
      <c r="J1054" s="223"/>
      <c r="K1054" s="317">
        <v>1899.0</v>
      </c>
    </row>
    <row r="1055">
      <c r="A1055" s="223"/>
      <c r="B1055" s="223" t="s">
        <v>200</v>
      </c>
      <c r="C1055" s="223"/>
      <c r="D1055" s="316"/>
      <c r="E1055" s="218"/>
      <c r="F1055" s="218"/>
      <c r="G1055" s="218" t="s">
        <v>200</v>
      </c>
      <c r="H1055" s="223">
        <v>0.0</v>
      </c>
      <c r="J1055" s="223"/>
      <c r="K1055" s="317">
        <v>1899.0</v>
      </c>
    </row>
    <row r="1056">
      <c r="A1056" s="223"/>
      <c r="B1056" s="223" t="s">
        <v>200</v>
      </c>
      <c r="C1056" s="223"/>
      <c r="D1056" s="316"/>
      <c r="E1056" s="218"/>
      <c r="F1056" s="218"/>
      <c r="G1056" s="218" t="s">
        <v>200</v>
      </c>
      <c r="H1056" s="223">
        <v>0.0</v>
      </c>
      <c r="J1056" s="223"/>
      <c r="K1056" s="317">
        <v>1899.0</v>
      </c>
    </row>
    <row r="1057">
      <c r="A1057" s="223"/>
      <c r="B1057" s="223" t="s">
        <v>200</v>
      </c>
      <c r="C1057" s="223"/>
      <c r="D1057" s="316"/>
      <c r="E1057" s="218"/>
      <c r="F1057" s="218"/>
      <c r="G1057" s="218" t="s">
        <v>200</v>
      </c>
      <c r="H1057" s="223">
        <v>0.0</v>
      </c>
      <c r="J1057" s="223"/>
      <c r="K1057" s="317">
        <v>1899.0</v>
      </c>
    </row>
    <row r="1058">
      <c r="A1058" s="223"/>
      <c r="B1058" s="223" t="s">
        <v>200</v>
      </c>
      <c r="C1058" s="223"/>
      <c r="D1058" s="316"/>
      <c r="E1058" s="218"/>
      <c r="F1058" s="218"/>
      <c r="G1058" s="218" t="s">
        <v>200</v>
      </c>
      <c r="H1058" s="223">
        <v>0.0</v>
      </c>
      <c r="J1058" s="223"/>
      <c r="K1058" s="317">
        <v>1899.0</v>
      </c>
    </row>
    <row r="1059">
      <c r="A1059" s="223"/>
      <c r="B1059" s="223" t="s">
        <v>200</v>
      </c>
      <c r="C1059" s="223"/>
      <c r="D1059" s="316"/>
      <c r="E1059" s="218"/>
      <c r="F1059" s="218"/>
      <c r="G1059" s="218" t="s">
        <v>200</v>
      </c>
      <c r="H1059" s="223">
        <v>0.0</v>
      </c>
      <c r="J1059" s="223"/>
      <c r="K1059" s="317">
        <v>1899.0</v>
      </c>
    </row>
    <row r="1060">
      <c r="A1060" s="223"/>
      <c r="B1060" s="223" t="s">
        <v>200</v>
      </c>
      <c r="C1060" s="223"/>
      <c r="D1060" s="316"/>
      <c r="E1060" s="218"/>
      <c r="F1060" s="218"/>
      <c r="G1060" s="218" t="s">
        <v>200</v>
      </c>
      <c r="H1060" s="223">
        <v>0.0</v>
      </c>
      <c r="J1060" s="223"/>
      <c r="K1060" s="317">
        <v>1899.0</v>
      </c>
    </row>
    <row r="1061">
      <c r="A1061" s="223"/>
      <c r="B1061" s="223" t="s">
        <v>200</v>
      </c>
      <c r="C1061" s="223"/>
      <c r="D1061" s="316"/>
      <c r="E1061" s="218"/>
      <c r="F1061" s="218"/>
      <c r="G1061" s="218" t="s">
        <v>200</v>
      </c>
      <c r="H1061" s="223">
        <v>0.0</v>
      </c>
      <c r="J1061" s="223"/>
      <c r="K1061" s="317">
        <v>1899.0</v>
      </c>
    </row>
    <row r="1062">
      <c r="A1062" s="223"/>
      <c r="B1062" s="223" t="s">
        <v>200</v>
      </c>
      <c r="C1062" s="223"/>
      <c r="D1062" s="316"/>
      <c r="E1062" s="218"/>
      <c r="F1062" s="218"/>
      <c r="G1062" s="218" t="s">
        <v>200</v>
      </c>
      <c r="H1062" s="223">
        <v>0.0</v>
      </c>
      <c r="J1062" s="223"/>
      <c r="K1062" s="317">
        <v>1899.0</v>
      </c>
    </row>
    <row r="1063">
      <c r="A1063" s="223"/>
      <c r="B1063" s="223" t="s">
        <v>200</v>
      </c>
      <c r="C1063" s="223"/>
      <c r="D1063" s="316"/>
      <c r="E1063" s="218"/>
      <c r="F1063" s="218"/>
      <c r="G1063" s="218" t="s">
        <v>200</v>
      </c>
      <c r="H1063" s="223">
        <v>0.0</v>
      </c>
      <c r="J1063" s="223"/>
      <c r="K1063" s="317">
        <v>1899.0</v>
      </c>
    </row>
    <row r="1064">
      <c r="A1064" s="223"/>
      <c r="B1064" s="223" t="s">
        <v>200</v>
      </c>
      <c r="C1064" s="223"/>
      <c r="D1064" s="316"/>
      <c r="E1064" s="218"/>
      <c r="F1064" s="218"/>
      <c r="G1064" s="218" t="s">
        <v>200</v>
      </c>
      <c r="H1064" s="223">
        <v>0.0</v>
      </c>
      <c r="J1064" s="223"/>
      <c r="K1064" s="317">
        <v>1899.0</v>
      </c>
    </row>
    <row r="1065">
      <c r="A1065" s="223"/>
      <c r="B1065" s="223" t="s">
        <v>200</v>
      </c>
      <c r="C1065" s="223"/>
      <c r="D1065" s="316"/>
      <c r="E1065" s="218"/>
      <c r="F1065" s="218"/>
      <c r="G1065" s="218" t="s">
        <v>200</v>
      </c>
      <c r="H1065" s="223">
        <v>0.0</v>
      </c>
      <c r="J1065" s="223"/>
      <c r="K1065" s="317">
        <v>1899.0</v>
      </c>
    </row>
    <row r="1066">
      <c r="A1066" s="223"/>
      <c r="B1066" s="223" t="s">
        <v>200</v>
      </c>
      <c r="C1066" s="223"/>
      <c r="D1066" s="316"/>
      <c r="E1066" s="218"/>
      <c r="F1066" s="218"/>
      <c r="G1066" s="218" t="s">
        <v>200</v>
      </c>
      <c r="H1066" s="223">
        <v>0.0</v>
      </c>
      <c r="J1066" s="223"/>
      <c r="K1066" s="317">
        <v>1899.0</v>
      </c>
    </row>
    <row r="1067">
      <c r="A1067" s="223"/>
      <c r="B1067" s="223" t="s">
        <v>200</v>
      </c>
      <c r="C1067" s="223"/>
      <c r="D1067" s="316"/>
      <c r="E1067" s="218"/>
      <c r="F1067" s="218"/>
      <c r="G1067" s="218" t="s">
        <v>200</v>
      </c>
      <c r="H1067" s="223">
        <v>0.0</v>
      </c>
      <c r="J1067" s="223"/>
      <c r="K1067" s="317">
        <v>1899.0</v>
      </c>
    </row>
    <row r="1068">
      <c r="A1068" s="223"/>
      <c r="B1068" s="223" t="s">
        <v>200</v>
      </c>
      <c r="C1068" s="223"/>
      <c r="D1068" s="316"/>
      <c r="E1068" s="218"/>
      <c r="F1068" s="218"/>
      <c r="G1068" s="218" t="s">
        <v>200</v>
      </c>
      <c r="H1068" s="223">
        <v>0.0</v>
      </c>
      <c r="J1068" s="223"/>
      <c r="K1068" s="317">
        <v>1899.0</v>
      </c>
    </row>
    <row r="1069">
      <c r="A1069" s="223"/>
      <c r="B1069" s="223" t="s">
        <v>200</v>
      </c>
      <c r="C1069" s="223"/>
      <c r="D1069" s="316"/>
      <c r="E1069" s="218"/>
      <c r="F1069" s="218"/>
      <c r="G1069" s="218" t="s">
        <v>200</v>
      </c>
      <c r="H1069" s="223">
        <v>0.0</v>
      </c>
      <c r="J1069" s="223"/>
      <c r="K1069" s="317">
        <v>1899.0</v>
      </c>
    </row>
    <row r="1070">
      <c r="A1070" s="223"/>
      <c r="B1070" s="223" t="s">
        <v>200</v>
      </c>
      <c r="C1070" s="223"/>
      <c r="D1070" s="316"/>
      <c r="E1070" s="218"/>
      <c r="F1070" s="218"/>
      <c r="G1070" s="218" t="s">
        <v>200</v>
      </c>
      <c r="H1070" s="223">
        <v>0.0</v>
      </c>
      <c r="J1070" s="223"/>
      <c r="K1070" s="317">
        <v>1899.0</v>
      </c>
    </row>
    <row r="1071">
      <c r="A1071" s="223"/>
      <c r="B1071" s="223" t="s">
        <v>200</v>
      </c>
      <c r="C1071" s="223"/>
      <c r="D1071" s="316"/>
      <c r="E1071" s="218"/>
      <c r="F1071" s="218"/>
      <c r="G1071" s="218" t="s">
        <v>200</v>
      </c>
      <c r="H1071" s="223">
        <v>0.0</v>
      </c>
      <c r="J1071" s="223"/>
      <c r="K1071" s="317">
        <v>1899.0</v>
      </c>
    </row>
    <row r="1072">
      <c r="A1072" s="223"/>
      <c r="B1072" s="223" t="s">
        <v>200</v>
      </c>
      <c r="C1072" s="223"/>
      <c r="D1072" s="316"/>
      <c r="E1072" s="218"/>
      <c r="F1072" s="218"/>
      <c r="G1072" s="218" t="s">
        <v>200</v>
      </c>
      <c r="H1072" s="223">
        <v>0.0</v>
      </c>
      <c r="J1072" s="223"/>
      <c r="K1072" s="317">
        <v>1899.0</v>
      </c>
    </row>
    <row r="1073">
      <c r="A1073" s="223"/>
      <c r="B1073" s="223" t="s">
        <v>200</v>
      </c>
      <c r="C1073" s="223"/>
      <c r="D1073" s="316"/>
      <c r="E1073" s="218"/>
      <c r="F1073" s="218"/>
      <c r="G1073" s="218" t="s">
        <v>200</v>
      </c>
      <c r="H1073" s="223">
        <v>0.0</v>
      </c>
      <c r="J1073" s="223"/>
      <c r="K1073" s="317">
        <v>1899.0</v>
      </c>
    </row>
    <row r="1074">
      <c r="A1074" s="223"/>
      <c r="B1074" s="223" t="s">
        <v>200</v>
      </c>
      <c r="C1074" s="223"/>
      <c r="D1074" s="316"/>
      <c r="E1074" s="218"/>
      <c r="F1074" s="218"/>
      <c r="G1074" s="218" t="s">
        <v>200</v>
      </c>
      <c r="H1074" s="223">
        <v>0.0</v>
      </c>
      <c r="J1074" s="223"/>
      <c r="K1074" s="317">
        <v>1899.0</v>
      </c>
    </row>
    <row r="1075">
      <c r="A1075" s="223"/>
      <c r="B1075" s="223" t="s">
        <v>200</v>
      </c>
      <c r="C1075" s="223"/>
      <c r="D1075" s="316"/>
      <c r="E1075" s="218"/>
      <c r="F1075" s="218"/>
      <c r="G1075" s="218" t="s">
        <v>200</v>
      </c>
      <c r="H1075" s="223">
        <v>0.0</v>
      </c>
      <c r="J1075" s="223"/>
      <c r="K1075" s="317">
        <v>1899.0</v>
      </c>
    </row>
    <row r="1076">
      <c r="A1076" s="223"/>
      <c r="B1076" s="223" t="s">
        <v>200</v>
      </c>
      <c r="C1076" s="223"/>
      <c r="D1076" s="316"/>
      <c r="E1076" s="218"/>
      <c r="F1076" s="218"/>
      <c r="G1076" s="218" t="s">
        <v>200</v>
      </c>
      <c r="H1076" s="223">
        <v>0.0</v>
      </c>
      <c r="J1076" s="223"/>
      <c r="K1076" s="317">
        <v>1899.0</v>
      </c>
    </row>
    <row r="1077">
      <c r="A1077" s="223"/>
      <c r="B1077" s="223" t="s">
        <v>200</v>
      </c>
      <c r="C1077" s="223"/>
      <c r="D1077" s="316"/>
      <c r="E1077" s="218"/>
      <c r="F1077" s="218"/>
      <c r="G1077" s="218" t="s">
        <v>200</v>
      </c>
      <c r="H1077" s="223">
        <v>0.0</v>
      </c>
      <c r="J1077" s="223"/>
      <c r="K1077" s="317">
        <v>1899.0</v>
      </c>
    </row>
    <row r="1078">
      <c r="A1078" s="223"/>
      <c r="B1078" s="223" t="s">
        <v>200</v>
      </c>
      <c r="C1078" s="223"/>
      <c r="D1078" s="316"/>
      <c r="E1078" s="218"/>
      <c r="F1078" s="218"/>
      <c r="G1078" s="218" t="s">
        <v>200</v>
      </c>
      <c r="H1078" s="223">
        <v>0.0</v>
      </c>
      <c r="J1078" s="223"/>
      <c r="K1078" s="317">
        <v>1899.0</v>
      </c>
    </row>
    <row r="1079">
      <c r="A1079" s="223"/>
      <c r="B1079" s="223" t="s">
        <v>200</v>
      </c>
      <c r="C1079" s="223"/>
      <c r="D1079" s="316"/>
      <c r="E1079" s="218"/>
      <c r="F1079" s="218"/>
      <c r="G1079" s="218" t="s">
        <v>200</v>
      </c>
      <c r="H1079" s="223">
        <v>0.0</v>
      </c>
      <c r="J1079" s="223"/>
      <c r="K1079" s="317">
        <v>1899.0</v>
      </c>
    </row>
    <row r="1080">
      <c r="A1080" s="223"/>
      <c r="B1080" s="223" t="s">
        <v>200</v>
      </c>
      <c r="C1080" s="223"/>
      <c r="D1080" s="316"/>
      <c r="E1080" s="218"/>
      <c r="F1080" s="218"/>
      <c r="G1080" s="218" t="s">
        <v>200</v>
      </c>
      <c r="H1080" s="223">
        <v>0.0</v>
      </c>
      <c r="J1080" s="223"/>
      <c r="K1080" s="317">
        <v>1899.0</v>
      </c>
    </row>
    <row r="1081">
      <c r="A1081" s="223"/>
      <c r="B1081" s="223" t="s">
        <v>200</v>
      </c>
      <c r="C1081" s="223"/>
      <c r="D1081" s="316"/>
      <c r="E1081" s="218"/>
      <c r="F1081" s="218"/>
      <c r="G1081" s="218" t="s">
        <v>200</v>
      </c>
      <c r="H1081" s="223">
        <v>0.0</v>
      </c>
      <c r="J1081" s="223"/>
      <c r="K1081" s="317">
        <v>1899.0</v>
      </c>
    </row>
    <row r="1082">
      <c r="A1082" s="223"/>
      <c r="B1082" s="223" t="s">
        <v>200</v>
      </c>
      <c r="C1082" s="223"/>
      <c r="D1082" s="316"/>
      <c r="E1082" s="218"/>
      <c r="F1082" s="218"/>
      <c r="G1082" s="218" t="s">
        <v>200</v>
      </c>
      <c r="H1082" s="223">
        <v>0.0</v>
      </c>
      <c r="J1082" s="223"/>
      <c r="K1082" s="317">
        <v>1899.0</v>
      </c>
    </row>
    <row r="1083">
      <c r="A1083" s="223"/>
      <c r="B1083" s="223" t="s">
        <v>200</v>
      </c>
      <c r="C1083" s="223"/>
      <c r="D1083" s="316"/>
      <c r="E1083" s="218"/>
      <c r="F1083" s="218"/>
      <c r="G1083" s="218" t="s">
        <v>200</v>
      </c>
      <c r="H1083" s="223">
        <v>0.0</v>
      </c>
      <c r="J1083" s="223"/>
      <c r="K1083" s="317">
        <v>1899.0</v>
      </c>
    </row>
    <row r="1084">
      <c r="A1084" s="223"/>
      <c r="B1084" s="223" t="s">
        <v>200</v>
      </c>
      <c r="C1084" s="223"/>
      <c r="D1084" s="316"/>
      <c r="E1084" s="218"/>
      <c r="F1084" s="218"/>
      <c r="G1084" s="218" t="s">
        <v>200</v>
      </c>
      <c r="H1084" s="223">
        <v>0.0</v>
      </c>
      <c r="J1084" s="223"/>
      <c r="K1084" s="317">
        <v>1899.0</v>
      </c>
    </row>
    <row r="1085">
      <c r="A1085" s="223"/>
      <c r="B1085" s="223" t="s">
        <v>200</v>
      </c>
      <c r="C1085" s="223"/>
      <c r="D1085" s="316"/>
      <c r="E1085" s="218"/>
      <c r="F1085" s="218"/>
      <c r="G1085" s="218" t="s">
        <v>200</v>
      </c>
      <c r="H1085" s="223">
        <v>0.0</v>
      </c>
      <c r="J1085" s="223"/>
      <c r="K1085" s="317">
        <v>1899.0</v>
      </c>
    </row>
    <row r="1086">
      <c r="A1086" s="223"/>
      <c r="B1086" s="223" t="s">
        <v>200</v>
      </c>
      <c r="C1086" s="223"/>
      <c r="D1086" s="316"/>
      <c r="E1086" s="218"/>
      <c r="F1086" s="218"/>
      <c r="G1086" s="218" t="s">
        <v>200</v>
      </c>
      <c r="H1086" s="223">
        <v>0.0</v>
      </c>
      <c r="J1086" s="223"/>
      <c r="K1086" s="317">
        <v>1899.0</v>
      </c>
    </row>
    <row r="1087">
      <c r="A1087" s="223"/>
      <c r="B1087" s="223" t="s">
        <v>200</v>
      </c>
      <c r="C1087" s="223"/>
      <c r="D1087" s="316"/>
      <c r="E1087" s="218"/>
      <c r="F1087" s="218"/>
      <c r="G1087" s="218" t="s">
        <v>200</v>
      </c>
      <c r="H1087" s="223">
        <v>0.0</v>
      </c>
      <c r="J1087" s="223"/>
      <c r="K1087" s="317">
        <v>1899.0</v>
      </c>
    </row>
    <row r="1088">
      <c r="A1088" s="223"/>
      <c r="B1088" s="223" t="s">
        <v>200</v>
      </c>
      <c r="C1088" s="223"/>
      <c r="D1088" s="316"/>
      <c r="E1088" s="218"/>
      <c r="F1088" s="218"/>
      <c r="G1088" s="218" t="s">
        <v>200</v>
      </c>
      <c r="H1088" s="223">
        <v>0.0</v>
      </c>
      <c r="J1088" s="223"/>
      <c r="K1088" s="317">
        <v>1899.0</v>
      </c>
    </row>
    <row r="1089">
      <c r="A1089" s="223"/>
      <c r="B1089" s="223" t="s">
        <v>200</v>
      </c>
      <c r="C1089" s="223"/>
      <c r="D1089" s="316"/>
      <c r="E1089" s="218"/>
      <c r="F1089" s="218"/>
      <c r="G1089" s="218" t="s">
        <v>200</v>
      </c>
      <c r="H1089" s="223">
        <v>0.0</v>
      </c>
      <c r="J1089" s="223"/>
      <c r="K1089" s="317">
        <v>1899.0</v>
      </c>
    </row>
    <row r="1090">
      <c r="A1090" s="223"/>
      <c r="B1090" s="223" t="s">
        <v>200</v>
      </c>
      <c r="C1090" s="223"/>
      <c r="D1090" s="316"/>
      <c r="E1090" s="218"/>
      <c r="F1090" s="218"/>
      <c r="G1090" s="218" t="s">
        <v>200</v>
      </c>
      <c r="H1090" s="223">
        <v>0.0</v>
      </c>
      <c r="J1090" s="223"/>
      <c r="K1090" s="317">
        <v>1899.0</v>
      </c>
    </row>
    <row r="1091">
      <c r="A1091" s="223"/>
      <c r="B1091" s="223" t="s">
        <v>200</v>
      </c>
      <c r="C1091" s="223"/>
      <c r="D1091" s="316"/>
      <c r="E1091" s="218"/>
      <c r="F1091" s="218"/>
      <c r="G1091" s="218" t="s">
        <v>200</v>
      </c>
      <c r="H1091" s="223">
        <v>0.0</v>
      </c>
      <c r="J1091" s="223"/>
      <c r="K1091" s="317">
        <v>1899.0</v>
      </c>
    </row>
    <row r="1092">
      <c r="A1092" s="223"/>
      <c r="B1092" s="223" t="s">
        <v>200</v>
      </c>
      <c r="C1092" s="223"/>
      <c r="D1092" s="316"/>
      <c r="E1092" s="218"/>
      <c r="F1092" s="218"/>
      <c r="G1092" s="218" t="s">
        <v>200</v>
      </c>
      <c r="H1092" s="223">
        <v>0.0</v>
      </c>
      <c r="J1092" s="223"/>
      <c r="K1092" s="317">
        <v>1899.0</v>
      </c>
    </row>
    <row r="1093">
      <c r="A1093" s="223"/>
      <c r="B1093" s="223" t="s">
        <v>200</v>
      </c>
      <c r="C1093" s="223"/>
      <c r="D1093" s="316"/>
      <c r="E1093" s="218"/>
      <c r="F1093" s="218"/>
      <c r="G1093" s="218" t="s">
        <v>200</v>
      </c>
      <c r="H1093" s="223">
        <v>0.0</v>
      </c>
      <c r="J1093" s="223"/>
      <c r="K1093" s="317">
        <v>1899.0</v>
      </c>
    </row>
    <row r="1094">
      <c r="A1094" s="223"/>
      <c r="B1094" s="223" t="s">
        <v>200</v>
      </c>
      <c r="C1094" s="223"/>
      <c r="D1094" s="316"/>
      <c r="E1094" s="218"/>
      <c r="F1094" s="218"/>
      <c r="G1094" s="218" t="s">
        <v>200</v>
      </c>
      <c r="H1094" s="223">
        <v>0.0</v>
      </c>
      <c r="J1094" s="223"/>
      <c r="K1094" s="317">
        <v>1899.0</v>
      </c>
    </row>
    <row r="1095">
      <c r="A1095" s="223"/>
      <c r="B1095" s="223" t="s">
        <v>200</v>
      </c>
      <c r="C1095" s="223"/>
      <c r="D1095" s="316"/>
      <c r="E1095" s="218"/>
      <c r="F1095" s="218"/>
      <c r="G1095" s="218" t="s">
        <v>200</v>
      </c>
      <c r="H1095" s="223">
        <v>0.0</v>
      </c>
      <c r="J1095" s="223"/>
      <c r="K1095" s="317">
        <v>1899.0</v>
      </c>
    </row>
    <row r="1096">
      <c r="A1096" s="223"/>
      <c r="B1096" s="223" t="s">
        <v>200</v>
      </c>
      <c r="C1096" s="223"/>
      <c r="D1096" s="316"/>
      <c r="E1096" s="218"/>
      <c r="F1096" s="218"/>
      <c r="G1096" s="218" t="s">
        <v>200</v>
      </c>
      <c r="H1096" s="223">
        <v>0.0</v>
      </c>
      <c r="J1096" s="223"/>
      <c r="K1096" s="317">
        <v>1899.0</v>
      </c>
    </row>
    <row r="1097">
      <c r="A1097" s="223"/>
      <c r="B1097" s="223" t="s">
        <v>200</v>
      </c>
      <c r="C1097" s="223"/>
      <c r="D1097" s="316"/>
      <c r="E1097" s="218"/>
      <c r="F1097" s="218"/>
      <c r="G1097" s="218" t="s">
        <v>200</v>
      </c>
      <c r="H1097" s="223">
        <v>0.0</v>
      </c>
      <c r="J1097" s="223"/>
      <c r="K1097" s="317">
        <v>1899.0</v>
      </c>
    </row>
    <row r="1098">
      <c r="A1098" s="223"/>
      <c r="B1098" s="223" t="s">
        <v>200</v>
      </c>
      <c r="C1098" s="223"/>
      <c r="D1098" s="316"/>
      <c r="E1098" s="218"/>
      <c r="F1098" s="218"/>
      <c r="G1098" s="218" t="s">
        <v>200</v>
      </c>
      <c r="H1098" s="223">
        <v>0.0</v>
      </c>
      <c r="J1098" s="223"/>
      <c r="K1098" s="317">
        <v>1899.0</v>
      </c>
    </row>
    <row r="1099">
      <c r="A1099" s="223"/>
      <c r="B1099" s="223" t="s">
        <v>200</v>
      </c>
      <c r="C1099" s="223"/>
      <c r="D1099" s="316"/>
      <c r="E1099" s="218"/>
      <c r="F1099" s="218"/>
      <c r="G1099" s="218" t="s">
        <v>200</v>
      </c>
      <c r="H1099" s="223">
        <v>0.0</v>
      </c>
      <c r="J1099" s="223"/>
      <c r="K1099" s="317">
        <v>1899.0</v>
      </c>
    </row>
    <row r="1100">
      <c r="A1100" s="223"/>
      <c r="B1100" s="223" t="s">
        <v>200</v>
      </c>
      <c r="C1100" s="223"/>
      <c r="D1100" s="316"/>
      <c r="E1100" s="218"/>
      <c r="F1100" s="218"/>
      <c r="G1100" s="218" t="s">
        <v>200</v>
      </c>
      <c r="H1100" s="223">
        <v>0.0</v>
      </c>
      <c r="J1100" s="223"/>
      <c r="K1100" s="317">
        <v>1899.0</v>
      </c>
    </row>
    <row r="1101">
      <c r="A1101" s="223"/>
      <c r="B1101" s="223" t="s">
        <v>200</v>
      </c>
      <c r="C1101" s="223"/>
      <c r="D1101" s="316"/>
      <c r="E1101" s="218"/>
      <c r="F1101" s="218"/>
      <c r="G1101" s="218" t="s">
        <v>200</v>
      </c>
      <c r="H1101" s="223">
        <v>0.0</v>
      </c>
      <c r="J1101" s="223"/>
      <c r="K1101" s="317">
        <v>1899.0</v>
      </c>
    </row>
    <row r="1102">
      <c r="A1102" s="223"/>
      <c r="B1102" s="223" t="s">
        <v>200</v>
      </c>
      <c r="C1102" s="223"/>
      <c r="D1102" s="316"/>
      <c r="E1102" s="218"/>
      <c r="F1102" s="218"/>
      <c r="G1102" s="218" t="s">
        <v>200</v>
      </c>
      <c r="H1102" s="223">
        <v>0.0</v>
      </c>
      <c r="J1102" s="223"/>
      <c r="K1102" s="317">
        <v>1899.0</v>
      </c>
    </row>
    <row r="1103">
      <c r="A1103" s="223"/>
      <c r="B1103" s="223" t="s">
        <v>200</v>
      </c>
      <c r="C1103" s="223"/>
      <c r="D1103" s="316"/>
      <c r="E1103" s="218"/>
      <c r="F1103" s="218"/>
      <c r="G1103" s="218" t="s">
        <v>200</v>
      </c>
      <c r="H1103" s="223">
        <v>0.0</v>
      </c>
      <c r="J1103" s="223"/>
      <c r="K1103" s="317">
        <v>1899.0</v>
      </c>
    </row>
    <row r="1104">
      <c r="A1104" s="223"/>
      <c r="B1104" s="223" t="s">
        <v>200</v>
      </c>
      <c r="C1104" s="223"/>
      <c r="D1104" s="316"/>
      <c r="E1104" s="218"/>
      <c r="F1104" s="218"/>
      <c r="G1104" s="218" t="s">
        <v>200</v>
      </c>
      <c r="H1104" s="223">
        <v>0.0</v>
      </c>
      <c r="J1104" s="223"/>
      <c r="K1104" s="317">
        <v>1899.0</v>
      </c>
    </row>
    <row r="1105">
      <c r="A1105" s="223"/>
      <c r="B1105" s="223" t="s">
        <v>200</v>
      </c>
      <c r="C1105" s="223"/>
      <c r="D1105" s="316"/>
      <c r="E1105" s="218"/>
      <c r="F1105" s="218"/>
      <c r="G1105" s="218" t="s">
        <v>200</v>
      </c>
      <c r="H1105" s="223">
        <v>0.0</v>
      </c>
      <c r="J1105" s="223"/>
      <c r="K1105" s="317">
        <v>1899.0</v>
      </c>
    </row>
    <row r="1106">
      <c r="A1106" s="223"/>
      <c r="B1106" s="223" t="s">
        <v>200</v>
      </c>
      <c r="C1106" s="223"/>
      <c r="D1106" s="316"/>
      <c r="E1106" s="218"/>
      <c r="F1106" s="218"/>
      <c r="G1106" s="218" t="s">
        <v>200</v>
      </c>
      <c r="H1106" s="223">
        <v>0.0</v>
      </c>
      <c r="J1106" s="223"/>
      <c r="K1106" s="317">
        <v>1899.0</v>
      </c>
    </row>
    <row r="1107">
      <c r="A1107" s="223"/>
      <c r="B1107" s="223" t="s">
        <v>200</v>
      </c>
      <c r="C1107" s="223"/>
      <c r="D1107" s="316"/>
      <c r="E1107" s="218"/>
      <c r="F1107" s="218"/>
      <c r="G1107" s="218" t="s">
        <v>200</v>
      </c>
      <c r="H1107" s="223">
        <v>0.0</v>
      </c>
      <c r="J1107" s="223"/>
      <c r="K1107" s="317">
        <v>1899.0</v>
      </c>
    </row>
    <row r="1108">
      <c r="A1108" s="223"/>
      <c r="B1108" s="223" t="s">
        <v>200</v>
      </c>
      <c r="C1108" s="223"/>
      <c r="D1108" s="316"/>
      <c r="E1108" s="218"/>
      <c r="F1108" s="218"/>
      <c r="G1108" s="218" t="s">
        <v>200</v>
      </c>
      <c r="H1108" s="223">
        <v>0.0</v>
      </c>
      <c r="J1108" s="223"/>
      <c r="K1108" s="317">
        <v>1899.0</v>
      </c>
    </row>
    <row r="1109">
      <c r="A1109" s="223"/>
      <c r="B1109" s="223" t="s">
        <v>200</v>
      </c>
      <c r="C1109" s="223"/>
      <c r="D1109" s="316"/>
      <c r="E1109" s="218"/>
      <c r="F1109" s="218"/>
      <c r="G1109" s="218" t="s">
        <v>200</v>
      </c>
      <c r="H1109" s="223">
        <v>0.0</v>
      </c>
      <c r="J1109" s="223"/>
      <c r="K1109" s="317">
        <v>1899.0</v>
      </c>
    </row>
    <row r="1110">
      <c r="A1110" s="223"/>
      <c r="B1110" s="223" t="s">
        <v>200</v>
      </c>
      <c r="C1110" s="223"/>
      <c r="D1110" s="316"/>
      <c r="E1110" s="218"/>
      <c r="F1110" s="218"/>
      <c r="G1110" s="218" t="s">
        <v>200</v>
      </c>
      <c r="H1110" s="223">
        <v>0.0</v>
      </c>
      <c r="J1110" s="223"/>
      <c r="K1110" s="317">
        <v>1899.0</v>
      </c>
    </row>
    <row r="1111">
      <c r="A1111" s="223"/>
      <c r="B1111" s="223" t="s">
        <v>200</v>
      </c>
      <c r="C1111" s="223"/>
      <c r="D1111" s="316"/>
      <c r="E1111" s="218"/>
      <c r="F1111" s="218"/>
      <c r="G1111" s="218" t="s">
        <v>200</v>
      </c>
      <c r="H1111" s="223">
        <v>0.0</v>
      </c>
      <c r="J1111" s="223"/>
      <c r="K1111" s="317">
        <v>1899.0</v>
      </c>
    </row>
    <row r="1112">
      <c r="A1112" s="223"/>
      <c r="B1112" s="223" t="s">
        <v>200</v>
      </c>
      <c r="C1112" s="223"/>
      <c r="D1112" s="316"/>
      <c r="E1112" s="218"/>
      <c r="F1112" s="218"/>
      <c r="G1112" s="218" t="s">
        <v>200</v>
      </c>
      <c r="H1112" s="223">
        <v>0.0</v>
      </c>
      <c r="J1112" s="223"/>
      <c r="K1112" s="317">
        <v>1899.0</v>
      </c>
    </row>
    <row r="1113">
      <c r="A1113" s="223"/>
      <c r="B1113" s="223" t="s">
        <v>200</v>
      </c>
      <c r="C1113" s="223"/>
      <c r="D1113" s="316"/>
      <c r="E1113" s="218"/>
      <c r="F1113" s="218"/>
      <c r="G1113" s="218" t="s">
        <v>200</v>
      </c>
      <c r="H1113" s="223">
        <v>0.0</v>
      </c>
      <c r="J1113" s="223"/>
      <c r="K1113" s="317">
        <v>1899.0</v>
      </c>
    </row>
    <row r="1114">
      <c r="A1114" s="223"/>
      <c r="B1114" s="223" t="s">
        <v>200</v>
      </c>
      <c r="C1114" s="223"/>
      <c r="D1114" s="316"/>
      <c r="E1114" s="218"/>
      <c r="F1114" s="218"/>
      <c r="G1114" s="218" t="s">
        <v>200</v>
      </c>
      <c r="H1114" s="223">
        <v>0.0</v>
      </c>
      <c r="J1114" s="223"/>
      <c r="K1114" s="317">
        <v>1899.0</v>
      </c>
    </row>
    <row r="1115">
      <c r="A1115" s="223"/>
      <c r="B1115" s="223" t="s">
        <v>200</v>
      </c>
      <c r="C1115" s="223"/>
      <c r="D1115" s="316"/>
      <c r="E1115" s="218"/>
      <c r="F1115" s="218"/>
      <c r="G1115" s="218" t="s">
        <v>200</v>
      </c>
      <c r="H1115" s="223">
        <v>0.0</v>
      </c>
      <c r="J1115" s="223"/>
      <c r="K1115" s="317">
        <v>1899.0</v>
      </c>
    </row>
    <row r="1116">
      <c r="A1116" s="223"/>
      <c r="B1116" s="223" t="s">
        <v>200</v>
      </c>
      <c r="C1116" s="223"/>
      <c r="D1116" s="316"/>
      <c r="E1116" s="218"/>
      <c r="F1116" s="218"/>
      <c r="G1116" s="218" t="s">
        <v>200</v>
      </c>
      <c r="H1116" s="223">
        <v>0.0</v>
      </c>
      <c r="J1116" s="223"/>
      <c r="K1116" s="317">
        <v>1899.0</v>
      </c>
    </row>
    <row r="1117">
      <c r="A1117" s="223"/>
      <c r="B1117" s="223" t="s">
        <v>200</v>
      </c>
      <c r="C1117" s="223"/>
      <c r="D1117" s="316"/>
      <c r="E1117" s="218"/>
      <c r="F1117" s="218"/>
      <c r="G1117" s="218" t="s">
        <v>200</v>
      </c>
      <c r="H1117" s="223">
        <v>0.0</v>
      </c>
      <c r="J1117" s="223"/>
      <c r="K1117" s="317">
        <v>1899.0</v>
      </c>
    </row>
    <row r="1118">
      <c r="A1118" s="223"/>
      <c r="B1118" s="223" t="s">
        <v>200</v>
      </c>
      <c r="C1118" s="223"/>
      <c r="D1118" s="316"/>
      <c r="E1118" s="218"/>
      <c r="F1118" s="218"/>
      <c r="G1118" s="218" t="s">
        <v>200</v>
      </c>
      <c r="H1118" s="223">
        <v>0.0</v>
      </c>
      <c r="J1118" s="223"/>
      <c r="K1118" s="317">
        <v>1899.0</v>
      </c>
    </row>
    <row r="1119">
      <c r="A1119" s="223"/>
      <c r="B1119" s="223" t="s">
        <v>200</v>
      </c>
      <c r="C1119" s="223"/>
      <c r="D1119" s="316"/>
      <c r="E1119" s="218"/>
      <c r="F1119" s="218"/>
      <c r="G1119" s="218" t="s">
        <v>200</v>
      </c>
      <c r="H1119" s="223">
        <v>0.0</v>
      </c>
      <c r="J1119" s="223"/>
      <c r="K1119" s="317">
        <v>1899.0</v>
      </c>
    </row>
    <row r="1120">
      <c r="A1120" s="223"/>
      <c r="B1120" s="223" t="s">
        <v>200</v>
      </c>
      <c r="C1120" s="223"/>
      <c r="D1120" s="316"/>
      <c r="E1120" s="218"/>
      <c r="F1120" s="218"/>
      <c r="G1120" s="218" t="s">
        <v>200</v>
      </c>
      <c r="H1120" s="223">
        <v>0.0</v>
      </c>
      <c r="J1120" s="223"/>
      <c r="K1120" s="317">
        <v>1899.0</v>
      </c>
    </row>
    <row r="1121">
      <c r="A1121" s="223"/>
      <c r="B1121" s="223" t="s">
        <v>200</v>
      </c>
      <c r="C1121" s="223"/>
      <c r="D1121" s="316"/>
      <c r="E1121" s="218"/>
      <c r="F1121" s="218"/>
      <c r="G1121" s="218" t="s">
        <v>200</v>
      </c>
      <c r="H1121" s="223">
        <v>0.0</v>
      </c>
      <c r="J1121" s="223"/>
      <c r="K1121" s="317">
        <v>1899.0</v>
      </c>
    </row>
    <row r="1122">
      <c r="A1122" s="223"/>
      <c r="B1122" s="223" t="s">
        <v>200</v>
      </c>
      <c r="C1122" s="223"/>
      <c r="D1122" s="316"/>
      <c r="E1122" s="218"/>
      <c r="F1122" s="218"/>
      <c r="G1122" s="218" t="s">
        <v>200</v>
      </c>
      <c r="H1122" s="223">
        <v>0.0</v>
      </c>
      <c r="J1122" s="223"/>
      <c r="K1122" s="317">
        <v>1899.0</v>
      </c>
    </row>
    <row r="1123">
      <c r="A1123" s="223"/>
      <c r="B1123" s="223" t="s">
        <v>200</v>
      </c>
      <c r="C1123" s="223"/>
      <c r="D1123" s="316"/>
      <c r="E1123" s="218"/>
      <c r="F1123" s="218"/>
      <c r="G1123" s="218" t="s">
        <v>200</v>
      </c>
      <c r="H1123" s="223">
        <v>0.0</v>
      </c>
      <c r="J1123" s="223"/>
      <c r="K1123" s="317">
        <v>1899.0</v>
      </c>
    </row>
    <row r="1124">
      <c r="A1124" s="223"/>
      <c r="B1124" s="223" t="s">
        <v>200</v>
      </c>
      <c r="C1124" s="223"/>
      <c r="D1124" s="316"/>
      <c r="E1124" s="218"/>
      <c r="F1124" s="218"/>
      <c r="G1124" s="218" t="s">
        <v>200</v>
      </c>
      <c r="H1124" s="223">
        <v>0.0</v>
      </c>
      <c r="J1124" s="223"/>
      <c r="K1124" s="317">
        <v>1899.0</v>
      </c>
    </row>
    <row r="1125">
      <c r="A1125" s="223"/>
      <c r="B1125" s="223" t="s">
        <v>200</v>
      </c>
      <c r="C1125" s="223"/>
      <c r="D1125" s="316"/>
      <c r="E1125" s="218"/>
      <c r="F1125" s="218"/>
      <c r="G1125" s="218" t="s">
        <v>200</v>
      </c>
      <c r="H1125" s="223">
        <v>0.0</v>
      </c>
      <c r="J1125" s="223"/>
      <c r="K1125" s="317">
        <v>1899.0</v>
      </c>
    </row>
    <row r="1126">
      <c r="A1126" s="223"/>
      <c r="B1126" s="223" t="s">
        <v>200</v>
      </c>
      <c r="C1126" s="223"/>
      <c r="D1126" s="316"/>
      <c r="E1126" s="218"/>
      <c r="F1126" s="218"/>
      <c r="G1126" s="218" t="s">
        <v>200</v>
      </c>
      <c r="H1126" s="223">
        <v>0.0</v>
      </c>
      <c r="J1126" s="223"/>
      <c r="K1126" s="317">
        <v>1899.0</v>
      </c>
    </row>
    <row r="1127">
      <c r="A1127" s="223"/>
      <c r="B1127" s="223" t="s">
        <v>200</v>
      </c>
      <c r="C1127" s="223"/>
      <c r="D1127" s="316"/>
      <c r="E1127" s="218"/>
      <c r="F1127" s="218"/>
      <c r="G1127" s="218" t="s">
        <v>200</v>
      </c>
      <c r="H1127" s="223">
        <v>0.0</v>
      </c>
      <c r="J1127" s="223"/>
      <c r="K1127" s="317">
        <v>1899.0</v>
      </c>
    </row>
    <row r="1128">
      <c r="A1128" s="223"/>
      <c r="B1128" s="223" t="s">
        <v>200</v>
      </c>
      <c r="C1128" s="223"/>
      <c r="D1128" s="316"/>
      <c r="E1128" s="218"/>
      <c r="F1128" s="218"/>
      <c r="G1128" s="218" t="s">
        <v>200</v>
      </c>
      <c r="H1128" s="223">
        <v>0.0</v>
      </c>
      <c r="J1128" s="223"/>
      <c r="K1128" s="317">
        <v>1899.0</v>
      </c>
    </row>
    <row r="1129">
      <c r="A1129" s="223"/>
      <c r="B1129" s="223" t="s">
        <v>200</v>
      </c>
      <c r="C1129" s="223"/>
      <c r="D1129" s="316"/>
      <c r="E1129" s="218"/>
      <c r="F1129" s="218"/>
      <c r="G1129" s="218" t="s">
        <v>200</v>
      </c>
      <c r="H1129" s="223">
        <v>0.0</v>
      </c>
      <c r="J1129" s="223"/>
      <c r="K1129" s="317">
        <v>1899.0</v>
      </c>
    </row>
    <row r="1130">
      <c r="A1130" s="223"/>
      <c r="B1130" s="223" t="s">
        <v>200</v>
      </c>
      <c r="C1130" s="223"/>
      <c r="D1130" s="316"/>
      <c r="E1130" s="218"/>
      <c r="F1130" s="218"/>
      <c r="G1130" s="218" t="s">
        <v>200</v>
      </c>
      <c r="H1130" s="223">
        <v>0.0</v>
      </c>
      <c r="J1130" s="223"/>
      <c r="K1130" s="317">
        <v>1899.0</v>
      </c>
    </row>
    <row r="1131">
      <c r="A1131" s="223"/>
      <c r="B1131" s="223" t="s">
        <v>200</v>
      </c>
      <c r="C1131" s="223"/>
      <c r="D1131" s="316"/>
      <c r="E1131" s="218"/>
      <c r="F1131" s="218"/>
      <c r="G1131" s="218" t="s">
        <v>200</v>
      </c>
      <c r="H1131" s="223">
        <v>0.0</v>
      </c>
      <c r="J1131" s="223"/>
      <c r="K1131" s="317">
        <v>1899.0</v>
      </c>
    </row>
    <row r="1132">
      <c r="A1132" s="223"/>
      <c r="B1132" s="223" t="s">
        <v>200</v>
      </c>
      <c r="C1132" s="223"/>
      <c r="D1132" s="316"/>
      <c r="E1132" s="218"/>
      <c r="F1132" s="218"/>
      <c r="G1132" s="218" t="s">
        <v>200</v>
      </c>
      <c r="H1132" s="223">
        <v>0.0</v>
      </c>
      <c r="J1132" s="223"/>
      <c r="K1132" s="317">
        <v>1899.0</v>
      </c>
    </row>
    <row r="1133">
      <c r="A1133" s="223"/>
      <c r="B1133" s="223" t="s">
        <v>200</v>
      </c>
      <c r="C1133" s="223"/>
      <c r="D1133" s="316"/>
      <c r="E1133" s="218"/>
      <c r="F1133" s="218"/>
      <c r="G1133" s="218" t="s">
        <v>200</v>
      </c>
      <c r="H1133" s="223">
        <v>0.0</v>
      </c>
      <c r="J1133" s="223"/>
      <c r="K1133" s="317">
        <v>1899.0</v>
      </c>
    </row>
    <row r="1134">
      <c r="A1134" s="223"/>
      <c r="B1134" s="223" t="s">
        <v>200</v>
      </c>
      <c r="C1134" s="223"/>
      <c r="D1134" s="316"/>
      <c r="E1134" s="218"/>
      <c r="F1134" s="218"/>
      <c r="G1134" s="218" t="s">
        <v>200</v>
      </c>
      <c r="H1134" s="223">
        <v>0.0</v>
      </c>
      <c r="J1134" s="223"/>
      <c r="K1134" s="317">
        <v>1899.0</v>
      </c>
    </row>
    <row r="1135">
      <c r="A1135" s="223"/>
      <c r="B1135" s="223" t="s">
        <v>200</v>
      </c>
      <c r="C1135" s="223"/>
      <c r="D1135" s="316"/>
      <c r="E1135" s="218"/>
      <c r="F1135" s="218"/>
      <c r="G1135" s="218" t="s">
        <v>200</v>
      </c>
      <c r="H1135" s="223">
        <v>0.0</v>
      </c>
      <c r="J1135" s="223"/>
      <c r="K1135" s="317">
        <v>1899.0</v>
      </c>
    </row>
    <row r="1136">
      <c r="A1136" s="223"/>
      <c r="B1136" s="223" t="s">
        <v>200</v>
      </c>
      <c r="C1136" s="223"/>
      <c r="D1136" s="316"/>
      <c r="E1136" s="218"/>
      <c r="F1136" s="218"/>
      <c r="G1136" s="218" t="s">
        <v>200</v>
      </c>
      <c r="H1136" s="223">
        <v>0.0</v>
      </c>
      <c r="J1136" s="223"/>
      <c r="K1136" s="317">
        <v>1899.0</v>
      </c>
    </row>
    <row r="1137">
      <c r="A1137" s="223"/>
      <c r="B1137" s="223" t="s">
        <v>200</v>
      </c>
      <c r="C1137" s="223"/>
      <c r="D1137" s="316"/>
      <c r="E1137" s="218"/>
      <c r="F1137" s="218"/>
      <c r="G1137" s="218" t="s">
        <v>200</v>
      </c>
      <c r="H1137" s="223">
        <v>0.0</v>
      </c>
      <c r="J1137" s="223"/>
      <c r="K1137" s="317">
        <v>1899.0</v>
      </c>
    </row>
    <row r="1138">
      <c r="A1138" s="223"/>
      <c r="B1138" s="223" t="s">
        <v>200</v>
      </c>
      <c r="C1138" s="223"/>
      <c r="D1138" s="316"/>
      <c r="E1138" s="218"/>
      <c r="F1138" s="218"/>
      <c r="G1138" s="218" t="s">
        <v>200</v>
      </c>
      <c r="H1138" s="223">
        <v>0.0</v>
      </c>
      <c r="J1138" s="223"/>
      <c r="K1138" s="317">
        <v>1899.0</v>
      </c>
    </row>
    <row r="1139">
      <c r="A1139" s="223"/>
      <c r="B1139" s="223" t="s">
        <v>200</v>
      </c>
      <c r="C1139" s="223"/>
      <c r="D1139" s="316"/>
      <c r="E1139" s="218"/>
      <c r="F1139" s="218"/>
      <c r="G1139" s="218" t="s">
        <v>200</v>
      </c>
      <c r="H1139" s="223">
        <v>0.0</v>
      </c>
      <c r="J1139" s="223"/>
      <c r="K1139" s="317">
        <v>1899.0</v>
      </c>
    </row>
    <row r="1140">
      <c r="A1140" s="223"/>
      <c r="B1140" s="223" t="s">
        <v>200</v>
      </c>
      <c r="C1140" s="223"/>
      <c r="D1140" s="316"/>
      <c r="E1140" s="218"/>
      <c r="F1140" s="218"/>
      <c r="G1140" s="218" t="s">
        <v>200</v>
      </c>
      <c r="H1140" s="223">
        <v>0.0</v>
      </c>
      <c r="J1140" s="223"/>
      <c r="K1140" s="317">
        <v>1899.0</v>
      </c>
    </row>
    <row r="1141">
      <c r="A1141" s="223"/>
      <c r="B1141" s="223" t="s">
        <v>200</v>
      </c>
      <c r="C1141" s="223"/>
      <c r="D1141" s="316"/>
      <c r="E1141" s="218"/>
      <c r="F1141" s="218"/>
      <c r="G1141" s="218" t="s">
        <v>200</v>
      </c>
      <c r="H1141" s="223">
        <v>0.0</v>
      </c>
      <c r="J1141" s="223"/>
      <c r="K1141" s="317">
        <v>1899.0</v>
      </c>
    </row>
    <row r="1142">
      <c r="A1142" s="223"/>
      <c r="B1142" s="223" t="s">
        <v>200</v>
      </c>
      <c r="C1142" s="223"/>
      <c r="D1142" s="316"/>
      <c r="E1142" s="218"/>
      <c r="F1142" s="218"/>
      <c r="G1142" s="218" t="s">
        <v>200</v>
      </c>
      <c r="H1142" s="223">
        <v>0.0</v>
      </c>
      <c r="J1142" s="223"/>
      <c r="K1142" s="317">
        <v>1899.0</v>
      </c>
    </row>
    <row r="1143">
      <c r="A1143" s="223"/>
      <c r="B1143" s="223" t="s">
        <v>200</v>
      </c>
      <c r="C1143" s="223"/>
      <c r="D1143" s="316"/>
      <c r="E1143" s="218"/>
      <c r="F1143" s="218"/>
      <c r="G1143" s="218" t="s">
        <v>200</v>
      </c>
      <c r="H1143" s="223">
        <v>0.0</v>
      </c>
      <c r="J1143" s="223"/>
      <c r="K1143" s="317">
        <v>1899.0</v>
      </c>
    </row>
    <row r="1144">
      <c r="A1144" s="223"/>
      <c r="B1144" s="223" t="s">
        <v>200</v>
      </c>
      <c r="C1144" s="223"/>
      <c r="D1144" s="316"/>
      <c r="E1144" s="218"/>
      <c r="F1144" s="218"/>
      <c r="G1144" s="218" t="s">
        <v>200</v>
      </c>
      <c r="H1144" s="223">
        <v>0.0</v>
      </c>
      <c r="J1144" s="223"/>
      <c r="K1144" s="317">
        <v>1899.0</v>
      </c>
    </row>
    <row r="1145">
      <c r="A1145" s="223"/>
      <c r="B1145" s="223" t="s">
        <v>200</v>
      </c>
      <c r="C1145" s="223"/>
      <c r="D1145" s="316"/>
      <c r="E1145" s="218"/>
      <c r="F1145" s="218"/>
      <c r="G1145" s="218" t="s">
        <v>200</v>
      </c>
      <c r="H1145" s="223">
        <v>0.0</v>
      </c>
      <c r="J1145" s="223"/>
      <c r="K1145" s="317">
        <v>1899.0</v>
      </c>
    </row>
    <row r="1146">
      <c r="A1146" s="223"/>
      <c r="B1146" s="223" t="s">
        <v>200</v>
      </c>
      <c r="C1146" s="223"/>
      <c r="D1146" s="316"/>
      <c r="E1146" s="218"/>
      <c r="F1146" s="218"/>
      <c r="G1146" s="218" t="s">
        <v>200</v>
      </c>
      <c r="H1146" s="223">
        <v>0.0</v>
      </c>
      <c r="J1146" s="223"/>
      <c r="K1146" s="317">
        <v>1899.0</v>
      </c>
    </row>
    <row r="1147">
      <c r="A1147" s="223"/>
      <c r="B1147" s="223" t="s">
        <v>200</v>
      </c>
      <c r="C1147" s="223"/>
      <c r="D1147" s="316"/>
      <c r="E1147" s="218"/>
      <c r="F1147" s="218"/>
      <c r="G1147" s="218" t="s">
        <v>200</v>
      </c>
      <c r="H1147" s="223">
        <v>0.0</v>
      </c>
      <c r="J1147" s="223"/>
      <c r="K1147" s="317">
        <v>1899.0</v>
      </c>
    </row>
    <row r="1148">
      <c r="A1148" s="223"/>
      <c r="B1148" s="223" t="s">
        <v>200</v>
      </c>
      <c r="C1148" s="223"/>
      <c r="D1148" s="316"/>
      <c r="E1148" s="218"/>
      <c r="F1148" s="218"/>
      <c r="G1148" s="218" t="s">
        <v>200</v>
      </c>
      <c r="H1148" s="223">
        <v>0.0</v>
      </c>
      <c r="J1148" s="223"/>
      <c r="K1148" s="317">
        <v>1899.0</v>
      </c>
    </row>
    <row r="1149">
      <c r="A1149" s="223"/>
      <c r="B1149" s="223" t="s">
        <v>200</v>
      </c>
      <c r="C1149" s="223"/>
      <c r="D1149" s="316"/>
      <c r="E1149" s="218"/>
      <c r="F1149" s="218"/>
      <c r="G1149" s="218" t="s">
        <v>200</v>
      </c>
      <c r="H1149" s="223">
        <v>0.0</v>
      </c>
      <c r="J1149" s="223"/>
      <c r="K1149" s="317">
        <v>1899.0</v>
      </c>
    </row>
    <row r="1150">
      <c r="A1150" s="223"/>
      <c r="B1150" s="223" t="s">
        <v>200</v>
      </c>
      <c r="C1150" s="223"/>
      <c r="D1150" s="316"/>
      <c r="E1150" s="218"/>
      <c r="F1150" s="218"/>
      <c r="G1150" s="218" t="s">
        <v>200</v>
      </c>
      <c r="H1150" s="223">
        <v>0.0</v>
      </c>
      <c r="J1150" s="223"/>
      <c r="K1150" s="317">
        <v>1899.0</v>
      </c>
    </row>
    <row r="1151">
      <c r="A1151" s="223"/>
      <c r="B1151" s="223" t="s">
        <v>200</v>
      </c>
      <c r="C1151" s="223"/>
      <c r="D1151" s="316"/>
      <c r="E1151" s="218"/>
      <c r="F1151" s="218"/>
      <c r="G1151" s="218" t="s">
        <v>200</v>
      </c>
      <c r="H1151" s="223">
        <v>0.0</v>
      </c>
      <c r="J1151" s="223"/>
      <c r="K1151" s="317">
        <v>1899.0</v>
      </c>
    </row>
    <row r="1152">
      <c r="A1152" s="223"/>
      <c r="B1152" s="223" t="s">
        <v>200</v>
      </c>
      <c r="C1152" s="223"/>
      <c r="D1152" s="316"/>
      <c r="E1152" s="218"/>
      <c r="F1152" s="218"/>
      <c r="G1152" s="218" t="s">
        <v>200</v>
      </c>
      <c r="H1152" s="223">
        <v>0.0</v>
      </c>
      <c r="J1152" s="223"/>
      <c r="K1152" s="317">
        <v>1899.0</v>
      </c>
    </row>
    <row r="1153">
      <c r="A1153" s="223"/>
      <c r="B1153" s="223" t="s">
        <v>200</v>
      </c>
      <c r="C1153" s="223"/>
      <c r="D1153" s="316"/>
      <c r="E1153" s="218"/>
      <c r="F1153" s="218"/>
      <c r="G1153" s="218" t="s">
        <v>200</v>
      </c>
      <c r="H1153" s="223">
        <v>0.0</v>
      </c>
      <c r="J1153" s="223"/>
      <c r="K1153" s="317">
        <v>1899.0</v>
      </c>
    </row>
    <row r="1154">
      <c r="A1154" s="223"/>
      <c r="B1154" s="223" t="s">
        <v>200</v>
      </c>
      <c r="C1154" s="223"/>
      <c r="D1154" s="316"/>
      <c r="E1154" s="218"/>
      <c r="F1154" s="218"/>
      <c r="G1154" s="218" t="s">
        <v>200</v>
      </c>
      <c r="H1154" s="223">
        <v>0.0</v>
      </c>
      <c r="J1154" s="223"/>
      <c r="K1154" s="317">
        <v>1899.0</v>
      </c>
    </row>
    <row r="1155">
      <c r="A1155" s="223"/>
      <c r="B1155" s="223" t="s">
        <v>200</v>
      </c>
      <c r="C1155" s="223"/>
      <c r="D1155" s="316"/>
      <c r="E1155" s="218"/>
      <c r="F1155" s="218"/>
      <c r="G1155" s="218" t="s">
        <v>200</v>
      </c>
      <c r="H1155" s="223">
        <v>0.0</v>
      </c>
      <c r="J1155" s="223"/>
      <c r="K1155" s="317">
        <v>1899.0</v>
      </c>
    </row>
    <row r="1156">
      <c r="A1156" s="223"/>
      <c r="B1156" s="223" t="s">
        <v>200</v>
      </c>
      <c r="C1156" s="223"/>
      <c r="D1156" s="316"/>
      <c r="E1156" s="218"/>
      <c r="F1156" s="218"/>
      <c r="G1156" s="218" t="s">
        <v>200</v>
      </c>
      <c r="H1156" s="223">
        <v>0.0</v>
      </c>
      <c r="J1156" s="223"/>
      <c r="K1156" s="317">
        <v>1899.0</v>
      </c>
    </row>
    <row r="1157">
      <c r="A1157" s="223"/>
      <c r="B1157" s="223" t="s">
        <v>200</v>
      </c>
      <c r="C1157" s="223"/>
      <c r="D1157" s="316"/>
      <c r="E1157" s="218"/>
      <c r="F1157" s="218"/>
      <c r="G1157" s="218" t="s">
        <v>200</v>
      </c>
      <c r="H1157" s="223">
        <v>0.0</v>
      </c>
      <c r="J1157" s="223"/>
      <c r="K1157" s="317">
        <v>1899.0</v>
      </c>
    </row>
    <row r="1158">
      <c r="A1158" s="223"/>
      <c r="B1158" s="223" t="s">
        <v>200</v>
      </c>
      <c r="C1158" s="223"/>
      <c r="D1158" s="316"/>
      <c r="E1158" s="218"/>
      <c r="F1158" s="218"/>
      <c r="G1158" s="218" t="s">
        <v>200</v>
      </c>
      <c r="H1158" s="223">
        <v>0.0</v>
      </c>
      <c r="J1158" s="223"/>
      <c r="K1158" s="317">
        <v>1899.0</v>
      </c>
    </row>
    <row r="1159">
      <c r="A1159" s="223"/>
      <c r="B1159" s="223" t="s">
        <v>200</v>
      </c>
      <c r="C1159" s="223"/>
      <c r="D1159" s="316"/>
      <c r="E1159" s="218"/>
      <c r="F1159" s="218"/>
      <c r="G1159" s="218" t="s">
        <v>200</v>
      </c>
      <c r="H1159" s="223">
        <v>0.0</v>
      </c>
      <c r="J1159" s="223"/>
      <c r="K1159" s="317">
        <v>1899.0</v>
      </c>
    </row>
    <row r="1160">
      <c r="A1160" s="223"/>
      <c r="B1160" s="223" t="s">
        <v>200</v>
      </c>
      <c r="C1160" s="223"/>
      <c r="D1160" s="316"/>
      <c r="E1160" s="218"/>
      <c r="F1160" s="218"/>
      <c r="G1160" s="218" t="s">
        <v>200</v>
      </c>
      <c r="H1160" s="223">
        <v>0.0</v>
      </c>
      <c r="J1160" s="223"/>
      <c r="K1160" s="317">
        <v>1899.0</v>
      </c>
    </row>
    <row r="1161">
      <c r="A1161" s="223"/>
      <c r="B1161" s="223" t="s">
        <v>200</v>
      </c>
      <c r="C1161" s="223"/>
      <c r="D1161" s="316"/>
      <c r="E1161" s="218"/>
      <c r="F1161" s="218"/>
      <c r="G1161" s="218" t="s">
        <v>200</v>
      </c>
      <c r="H1161" s="223">
        <v>0.0</v>
      </c>
      <c r="J1161" s="223"/>
      <c r="K1161" s="317">
        <v>1899.0</v>
      </c>
    </row>
    <row r="1162">
      <c r="A1162" s="223"/>
      <c r="B1162" s="223" t="s">
        <v>200</v>
      </c>
      <c r="C1162" s="223"/>
      <c r="D1162" s="316"/>
      <c r="E1162" s="218"/>
      <c r="F1162" s="218"/>
      <c r="G1162" s="218" t="s">
        <v>200</v>
      </c>
      <c r="H1162" s="223">
        <v>0.0</v>
      </c>
      <c r="J1162" s="223"/>
      <c r="K1162" s="317">
        <v>1899.0</v>
      </c>
    </row>
    <row r="1163">
      <c r="A1163" s="223"/>
      <c r="B1163" s="223" t="s">
        <v>200</v>
      </c>
      <c r="C1163" s="223"/>
      <c r="D1163" s="316"/>
      <c r="E1163" s="218"/>
      <c r="F1163" s="218"/>
      <c r="G1163" s="218" t="s">
        <v>200</v>
      </c>
      <c r="H1163" s="223">
        <v>0.0</v>
      </c>
      <c r="J1163" s="223"/>
      <c r="K1163" s="317">
        <v>1899.0</v>
      </c>
    </row>
    <row r="1164">
      <c r="A1164" s="223"/>
      <c r="B1164" s="223" t="s">
        <v>200</v>
      </c>
      <c r="C1164" s="223"/>
      <c r="D1164" s="316"/>
      <c r="E1164" s="218"/>
      <c r="F1164" s="218"/>
      <c r="G1164" s="218" t="s">
        <v>200</v>
      </c>
      <c r="H1164" s="223">
        <v>0.0</v>
      </c>
      <c r="J1164" s="223"/>
      <c r="K1164" s="317">
        <v>1899.0</v>
      </c>
    </row>
    <row r="1165">
      <c r="A1165" s="223"/>
      <c r="B1165" s="223" t="s">
        <v>200</v>
      </c>
      <c r="C1165" s="223"/>
      <c r="D1165" s="316"/>
      <c r="E1165" s="218"/>
      <c r="F1165" s="218"/>
      <c r="G1165" s="218" t="s">
        <v>200</v>
      </c>
      <c r="H1165" s="223">
        <v>0.0</v>
      </c>
      <c r="J1165" s="223"/>
      <c r="K1165" s="317">
        <v>1899.0</v>
      </c>
    </row>
    <row r="1166">
      <c r="A1166" s="223"/>
      <c r="B1166" s="223" t="s">
        <v>200</v>
      </c>
      <c r="C1166" s="223"/>
      <c r="D1166" s="316"/>
      <c r="E1166" s="218"/>
      <c r="F1166" s="218"/>
      <c r="G1166" s="218" t="s">
        <v>200</v>
      </c>
      <c r="H1166" s="223">
        <v>0.0</v>
      </c>
      <c r="J1166" s="223"/>
      <c r="K1166" s="317">
        <v>1899.0</v>
      </c>
    </row>
    <row r="1167">
      <c r="A1167" s="223"/>
      <c r="B1167" s="223" t="s">
        <v>200</v>
      </c>
      <c r="C1167" s="223"/>
      <c r="D1167" s="316"/>
      <c r="E1167" s="218"/>
      <c r="F1167" s="218"/>
      <c r="G1167" s="218" t="s">
        <v>200</v>
      </c>
      <c r="H1167" s="223">
        <v>0.0</v>
      </c>
      <c r="J1167" s="223"/>
      <c r="K1167" s="317">
        <v>1899.0</v>
      </c>
    </row>
    <row r="1168">
      <c r="A1168" s="223"/>
      <c r="B1168" s="223" t="s">
        <v>200</v>
      </c>
      <c r="C1168" s="223"/>
      <c r="D1168" s="316"/>
      <c r="E1168" s="218"/>
      <c r="F1168" s="218"/>
      <c r="G1168" s="218" t="s">
        <v>200</v>
      </c>
      <c r="H1168" s="223">
        <v>0.0</v>
      </c>
      <c r="J1168" s="223"/>
      <c r="K1168" s="317">
        <v>1899.0</v>
      </c>
    </row>
    <row r="1169">
      <c r="A1169" s="223"/>
      <c r="B1169" s="223" t="s">
        <v>200</v>
      </c>
      <c r="C1169" s="223"/>
      <c r="D1169" s="316"/>
      <c r="E1169" s="218"/>
      <c r="F1169" s="218"/>
      <c r="G1169" s="218" t="s">
        <v>200</v>
      </c>
      <c r="H1169" s="223">
        <v>0.0</v>
      </c>
      <c r="J1169" s="223"/>
      <c r="K1169" s="317">
        <v>1899.0</v>
      </c>
    </row>
    <row r="1170">
      <c r="A1170" s="223"/>
      <c r="B1170" s="223" t="s">
        <v>200</v>
      </c>
      <c r="C1170" s="223"/>
      <c r="D1170" s="316"/>
      <c r="E1170" s="218"/>
      <c r="F1170" s="218"/>
      <c r="G1170" s="218" t="s">
        <v>200</v>
      </c>
      <c r="H1170" s="223">
        <v>0.0</v>
      </c>
      <c r="J1170" s="223"/>
      <c r="K1170" s="317">
        <v>1899.0</v>
      </c>
    </row>
    <row r="1171">
      <c r="A1171" s="223"/>
      <c r="B1171" s="223" t="s">
        <v>200</v>
      </c>
      <c r="C1171" s="223"/>
      <c r="D1171" s="316"/>
      <c r="E1171" s="218"/>
      <c r="F1171" s="218"/>
      <c r="G1171" s="218" t="s">
        <v>200</v>
      </c>
      <c r="H1171" s="223">
        <v>0.0</v>
      </c>
      <c r="J1171" s="223"/>
      <c r="K1171" s="317">
        <v>1899.0</v>
      </c>
    </row>
    <row r="1172">
      <c r="A1172" s="223"/>
      <c r="B1172" s="223" t="s">
        <v>200</v>
      </c>
      <c r="C1172" s="223"/>
      <c r="D1172" s="316"/>
      <c r="E1172" s="218"/>
      <c r="F1172" s="218"/>
      <c r="G1172" s="218" t="s">
        <v>200</v>
      </c>
      <c r="H1172" s="223">
        <v>0.0</v>
      </c>
      <c r="J1172" s="223"/>
      <c r="K1172" s="317">
        <v>1899.0</v>
      </c>
    </row>
    <row r="1173">
      <c r="A1173" s="223"/>
      <c r="B1173" s="223" t="s">
        <v>200</v>
      </c>
      <c r="C1173" s="223"/>
      <c r="D1173" s="316"/>
      <c r="E1173" s="218"/>
      <c r="F1173" s="218"/>
      <c r="G1173" s="218" t="s">
        <v>200</v>
      </c>
      <c r="H1173" s="223">
        <v>0.0</v>
      </c>
      <c r="J1173" s="223"/>
      <c r="K1173" s="317">
        <v>1899.0</v>
      </c>
    </row>
    <row r="1174">
      <c r="A1174" s="223"/>
      <c r="B1174" s="223" t="s">
        <v>200</v>
      </c>
      <c r="C1174" s="223"/>
      <c r="D1174" s="316"/>
      <c r="E1174" s="218"/>
      <c r="F1174" s="218"/>
      <c r="G1174" s="218" t="s">
        <v>200</v>
      </c>
      <c r="H1174" s="223">
        <v>0.0</v>
      </c>
      <c r="J1174" s="223"/>
      <c r="K1174" s="317">
        <v>1899.0</v>
      </c>
    </row>
    <row r="1175">
      <c r="A1175" s="223"/>
      <c r="B1175" s="223" t="s">
        <v>200</v>
      </c>
      <c r="C1175" s="223"/>
      <c r="D1175" s="316"/>
      <c r="E1175" s="218"/>
      <c r="F1175" s="218"/>
      <c r="G1175" s="218" t="s">
        <v>200</v>
      </c>
      <c r="H1175" s="223">
        <v>0.0</v>
      </c>
      <c r="J1175" s="223"/>
      <c r="K1175" s="317">
        <v>1899.0</v>
      </c>
    </row>
    <row r="1176">
      <c r="A1176" s="223"/>
      <c r="B1176" s="223" t="s">
        <v>200</v>
      </c>
      <c r="C1176" s="223"/>
      <c r="D1176" s="316"/>
      <c r="E1176" s="218"/>
      <c r="F1176" s="218"/>
      <c r="G1176" s="218" t="s">
        <v>200</v>
      </c>
      <c r="H1176" s="223">
        <v>0.0</v>
      </c>
      <c r="J1176" s="223"/>
      <c r="K1176" s="317">
        <v>1899.0</v>
      </c>
    </row>
    <row r="1177">
      <c r="A1177" s="223"/>
      <c r="B1177" s="223" t="s">
        <v>200</v>
      </c>
      <c r="C1177" s="223"/>
      <c r="D1177" s="316"/>
      <c r="E1177" s="218"/>
      <c r="F1177" s="218"/>
      <c r="G1177" s="218" t="s">
        <v>200</v>
      </c>
      <c r="H1177" s="223">
        <v>0.0</v>
      </c>
      <c r="J1177" s="223"/>
      <c r="K1177" s="317">
        <v>1899.0</v>
      </c>
    </row>
    <row r="1178">
      <c r="A1178" s="223"/>
      <c r="B1178" s="223" t="s">
        <v>200</v>
      </c>
      <c r="C1178" s="223"/>
      <c r="D1178" s="316"/>
      <c r="E1178" s="218"/>
      <c r="F1178" s="218"/>
      <c r="G1178" s="218" t="s">
        <v>200</v>
      </c>
      <c r="H1178" s="223">
        <v>0.0</v>
      </c>
      <c r="J1178" s="223"/>
      <c r="K1178" s="317">
        <v>1899.0</v>
      </c>
    </row>
    <row r="1179">
      <c r="A1179" s="223"/>
      <c r="B1179" s="223" t="s">
        <v>200</v>
      </c>
      <c r="C1179" s="223"/>
      <c r="D1179" s="316"/>
      <c r="E1179" s="218"/>
      <c r="F1179" s="218"/>
      <c r="G1179" s="218" t="s">
        <v>200</v>
      </c>
      <c r="H1179" s="223">
        <v>0.0</v>
      </c>
      <c r="J1179" s="223"/>
      <c r="K1179" s="317">
        <v>1899.0</v>
      </c>
    </row>
    <row r="1180">
      <c r="A1180" s="223"/>
      <c r="B1180" s="223" t="s">
        <v>200</v>
      </c>
      <c r="C1180" s="223"/>
      <c r="D1180" s="316"/>
      <c r="E1180" s="218"/>
      <c r="F1180" s="218"/>
      <c r="G1180" s="218" t="s">
        <v>200</v>
      </c>
      <c r="H1180" s="223">
        <v>0.0</v>
      </c>
      <c r="J1180" s="223"/>
      <c r="K1180" s="317">
        <v>1899.0</v>
      </c>
    </row>
    <row r="1181">
      <c r="A1181" s="223"/>
      <c r="B1181" s="223" t="s">
        <v>200</v>
      </c>
      <c r="C1181" s="223"/>
      <c r="D1181" s="316"/>
      <c r="E1181" s="218"/>
      <c r="F1181" s="218"/>
      <c r="G1181" s="218" t="s">
        <v>200</v>
      </c>
      <c r="H1181" s="223">
        <v>0.0</v>
      </c>
      <c r="J1181" s="223"/>
      <c r="K1181" s="317">
        <v>1899.0</v>
      </c>
    </row>
    <row r="1182">
      <c r="A1182" s="223"/>
      <c r="B1182" s="223" t="s">
        <v>200</v>
      </c>
      <c r="C1182" s="223"/>
      <c r="D1182" s="316"/>
      <c r="E1182" s="218"/>
      <c r="F1182" s="218"/>
      <c r="G1182" s="218" t="s">
        <v>200</v>
      </c>
      <c r="H1182" s="223">
        <v>0.0</v>
      </c>
      <c r="J1182" s="223"/>
      <c r="K1182" s="317">
        <v>1899.0</v>
      </c>
    </row>
    <row r="1183">
      <c r="A1183" s="223"/>
      <c r="B1183" s="223" t="s">
        <v>200</v>
      </c>
      <c r="C1183" s="223"/>
      <c r="D1183" s="316"/>
      <c r="E1183" s="218"/>
      <c r="F1183" s="218"/>
      <c r="G1183" s="218" t="s">
        <v>200</v>
      </c>
      <c r="H1183" s="223">
        <v>0.0</v>
      </c>
      <c r="J1183" s="223"/>
      <c r="K1183" s="317">
        <v>1899.0</v>
      </c>
    </row>
    <row r="1184">
      <c r="A1184" s="223"/>
      <c r="B1184" s="223" t="s">
        <v>200</v>
      </c>
      <c r="C1184" s="223"/>
      <c r="D1184" s="316"/>
      <c r="E1184" s="218"/>
      <c r="F1184" s="218"/>
      <c r="G1184" s="218" t="s">
        <v>200</v>
      </c>
      <c r="H1184" s="223">
        <v>0.0</v>
      </c>
      <c r="J1184" s="223"/>
      <c r="K1184" s="317">
        <v>1899.0</v>
      </c>
    </row>
    <row r="1185">
      <c r="A1185" s="223"/>
      <c r="B1185" s="223" t="s">
        <v>200</v>
      </c>
      <c r="C1185" s="223"/>
      <c r="D1185" s="316"/>
      <c r="E1185" s="218"/>
      <c r="F1185" s="218"/>
      <c r="G1185" s="218" t="s">
        <v>200</v>
      </c>
      <c r="H1185" s="223">
        <v>0.0</v>
      </c>
      <c r="J1185" s="223"/>
      <c r="K1185" s="317">
        <v>1899.0</v>
      </c>
    </row>
    <row r="1186">
      <c r="A1186" s="223"/>
      <c r="B1186" s="223" t="s">
        <v>200</v>
      </c>
      <c r="C1186" s="223"/>
      <c r="D1186" s="316"/>
      <c r="E1186" s="218"/>
      <c r="F1186" s="218"/>
      <c r="G1186" s="218" t="s">
        <v>200</v>
      </c>
      <c r="H1186" s="223">
        <v>0.0</v>
      </c>
      <c r="J1186" s="223"/>
      <c r="K1186" s="317">
        <v>1899.0</v>
      </c>
    </row>
    <row r="1187">
      <c r="A1187" s="223"/>
      <c r="B1187" s="223" t="s">
        <v>200</v>
      </c>
      <c r="C1187" s="223"/>
      <c r="D1187" s="316"/>
      <c r="E1187" s="218"/>
      <c r="F1187" s="218"/>
      <c r="G1187" s="218" t="s">
        <v>200</v>
      </c>
      <c r="H1187" s="223">
        <v>0.0</v>
      </c>
      <c r="J1187" s="223"/>
      <c r="K1187" s="317">
        <v>1899.0</v>
      </c>
    </row>
    <row r="1188">
      <c r="A1188" s="223"/>
      <c r="B1188" s="223" t="s">
        <v>200</v>
      </c>
      <c r="C1188" s="223"/>
      <c r="D1188" s="316"/>
      <c r="E1188" s="218"/>
      <c r="F1188" s="218"/>
      <c r="G1188" s="218" t="s">
        <v>200</v>
      </c>
      <c r="H1188" s="223">
        <v>0.0</v>
      </c>
      <c r="J1188" s="223"/>
      <c r="K1188" s="317">
        <v>1899.0</v>
      </c>
    </row>
    <row r="1189">
      <c r="A1189" s="223"/>
      <c r="B1189" s="223" t="s">
        <v>200</v>
      </c>
      <c r="C1189" s="223"/>
      <c r="D1189" s="316"/>
      <c r="E1189" s="218"/>
      <c r="F1189" s="218"/>
      <c r="G1189" s="218" t="s">
        <v>200</v>
      </c>
      <c r="H1189" s="223">
        <v>0.0</v>
      </c>
      <c r="J1189" s="223"/>
      <c r="K1189" s="317">
        <v>1899.0</v>
      </c>
    </row>
    <row r="1190">
      <c r="A1190" s="223"/>
      <c r="B1190" s="223" t="s">
        <v>200</v>
      </c>
      <c r="C1190" s="223"/>
      <c r="D1190" s="316"/>
      <c r="E1190" s="218"/>
      <c r="F1190" s="218"/>
      <c r="G1190" s="218" t="s">
        <v>200</v>
      </c>
      <c r="H1190" s="223">
        <v>0.0</v>
      </c>
      <c r="J1190" s="223"/>
      <c r="K1190" s="317">
        <v>1899.0</v>
      </c>
    </row>
    <row r="1191">
      <c r="A1191" s="223"/>
      <c r="B1191" s="223" t="s">
        <v>200</v>
      </c>
      <c r="C1191" s="223"/>
      <c r="D1191" s="316"/>
      <c r="E1191" s="218"/>
      <c r="F1191" s="218"/>
      <c r="G1191" s="218" t="s">
        <v>200</v>
      </c>
      <c r="H1191" s="223">
        <v>0.0</v>
      </c>
      <c r="J1191" s="223"/>
      <c r="K1191" s="317">
        <v>1899.0</v>
      </c>
    </row>
    <row r="1192">
      <c r="A1192" s="223"/>
      <c r="B1192" s="223" t="s">
        <v>200</v>
      </c>
      <c r="C1192" s="223"/>
      <c r="D1192" s="316"/>
      <c r="E1192" s="218"/>
      <c r="F1192" s="218"/>
      <c r="G1192" s="218" t="s">
        <v>200</v>
      </c>
      <c r="H1192" s="223">
        <v>0.0</v>
      </c>
      <c r="J1192" s="223"/>
      <c r="K1192" s="317">
        <v>1899.0</v>
      </c>
    </row>
    <row r="1193">
      <c r="A1193" s="223"/>
      <c r="B1193" s="223" t="s">
        <v>200</v>
      </c>
      <c r="C1193" s="223"/>
      <c r="D1193" s="316"/>
      <c r="E1193" s="218"/>
      <c r="F1193" s="218"/>
      <c r="G1193" s="218" t="s">
        <v>200</v>
      </c>
      <c r="H1193" s="223">
        <v>0.0</v>
      </c>
      <c r="J1193" s="223"/>
      <c r="K1193" s="317">
        <v>1899.0</v>
      </c>
    </row>
    <row r="1194">
      <c r="A1194" s="223"/>
      <c r="B1194" s="223" t="s">
        <v>200</v>
      </c>
      <c r="C1194" s="223"/>
      <c r="D1194" s="316"/>
      <c r="E1194" s="218"/>
      <c r="F1194" s="218"/>
      <c r="G1194" s="218" t="s">
        <v>200</v>
      </c>
      <c r="H1194" s="223">
        <v>0.0</v>
      </c>
      <c r="J1194" s="223"/>
      <c r="K1194" s="317">
        <v>1899.0</v>
      </c>
    </row>
    <row r="1195">
      <c r="A1195" s="223"/>
      <c r="B1195" s="223" t="s">
        <v>200</v>
      </c>
      <c r="C1195" s="223"/>
      <c r="D1195" s="316"/>
      <c r="E1195" s="218"/>
      <c r="F1195" s="218"/>
      <c r="G1195" s="218" t="s">
        <v>200</v>
      </c>
      <c r="H1195" s="223">
        <v>0.0</v>
      </c>
      <c r="J1195" s="223"/>
      <c r="K1195" s="317">
        <v>1899.0</v>
      </c>
    </row>
    <row r="1196">
      <c r="A1196" s="223"/>
      <c r="B1196" s="223" t="s">
        <v>200</v>
      </c>
      <c r="C1196" s="223"/>
      <c r="D1196" s="316"/>
      <c r="E1196" s="218"/>
      <c r="F1196" s="218"/>
      <c r="G1196" s="218" t="s">
        <v>200</v>
      </c>
      <c r="H1196" s="223">
        <v>0.0</v>
      </c>
      <c r="J1196" s="223"/>
      <c r="K1196" s="317">
        <v>1899.0</v>
      </c>
    </row>
    <row r="1197">
      <c r="A1197" s="223"/>
      <c r="B1197" s="223" t="s">
        <v>200</v>
      </c>
      <c r="C1197" s="223"/>
      <c r="D1197" s="316"/>
      <c r="E1197" s="218"/>
      <c r="F1197" s="218"/>
      <c r="G1197" s="218" t="s">
        <v>200</v>
      </c>
      <c r="H1197" s="223">
        <v>0.0</v>
      </c>
      <c r="J1197" s="223"/>
      <c r="K1197" s="317">
        <v>1899.0</v>
      </c>
    </row>
    <row r="1198">
      <c r="A1198" s="223"/>
      <c r="B1198" s="223" t="s">
        <v>200</v>
      </c>
      <c r="C1198" s="223"/>
      <c r="D1198" s="316"/>
      <c r="E1198" s="218"/>
      <c r="F1198" s="218"/>
      <c r="G1198" s="218" t="s">
        <v>200</v>
      </c>
      <c r="H1198" s="223">
        <v>0.0</v>
      </c>
      <c r="J1198" s="223"/>
      <c r="K1198" s="317">
        <v>1899.0</v>
      </c>
    </row>
    <row r="1199">
      <c r="A1199" s="223"/>
      <c r="B1199" s="223" t="s">
        <v>200</v>
      </c>
      <c r="C1199" s="223"/>
      <c r="D1199" s="316"/>
      <c r="E1199" s="218"/>
      <c r="F1199" s="218"/>
      <c r="G1199" s="218" t="s">
        <v>200</v>
      </c>
      <c r="H1199" s="223">
        <v>0.0</v>
      </c>
      <c r="J1199" s="223"/>
      <c r="K1199" s="317">
        <v>1899.0</v>
      </c>
    </row>
    <row r="1200">
      <c r="A1200" s="223"/>
      <c r="B1200" s="223" t="s">
        <v>200</v>
      </c>
      <c r="C1200" s="223"/>
      <c r="D1200" s="316"/>
      <c r="E1200" s="218"/>
      <c r="F1200" s="218"/>
      <c r="G1200" s="218" t="s">
        <v>200</v>
      </c>
      <c r="H1200" s="223">
        <v>0.0</v>
      </c>
      <c r="J1200" s="223"/>
      <c r="K1200" s="317">
        <v>1899.0</v>
      </c>
    </row>
    <row r="1201">
      <c r="A1201" s="223"/>
      <c r="B1201" s="223" t="s">
        <v>200</v>
      </c>
      <c r="C1201" s="223"/>
      <c r="D1201" s="316"/>
      <c r="E1201" s="218"/>
      <c r="F1201" s="218"/>
      <c r="G1201" s="218" t="s">
        <v>200</v>
      </c>
      <c r="H1201" s="223">
        <v>0.0</v>
      </c>
      <c r="J1201" s="223"/>
      <c r="K1201" s="317">
        <v>1899.0</v>
      </c>
    </row>
    <row r="1202">
      <c r="A1202" s="223"/>
      <c r="B1202" s="223" t="s">
        <v>200</v>
      </c>
      <c r="C1202" s="223"/>
      <c r="D1202" s="316"/>
      <c r="E1202" s="218"/>
      <c r="F1202" s="218"/>
      <c r="G1202" s="218" t="s">
        <v>200</v>
      </c>
      <c r="H1202" s="223">
        <v>0.0</v>
      </c>
      <c r="J1202" s="223"/>
      <c r="K1202" s="317">
        <v>1899.0</v>
      </c>
    </row>
    <row r="1203">
      <c r="A1203" s="223"/>
      <c r="B1203" s="223" t="s">
        <v>200</v>
      </c>
      <c r="C1203" s="223"/>
      <c r="D1203" s="316"/>
      <c r="E1203" s="218"/>
      <c r="F1203" s="218"/>
      <c r="G1203" s="218" t="s">
        <v>200</v>
      </c>
      <c r="H1203" s="223">
        <v>0.0</v>
      </c>
      <c r="J1203" s="223"/>
      <c r="K1203" s="317">
        <v>1899.0</v>
      </c>
    </row>
    <row r="1204">
      <c r="A1204" s="223"/>
      <c r="B1204" s="223" t="s">
        <v>200</v>
      </c>
      <c r="C1204" s="223"/>
      <c r="D1204" s="316"/>
      <c r="E1204" s="218"/>
      <c r="F1204" s="218"/>
      <c r="G1204" s="218" t="s">
        <v>200</v>
      </c>
      <c r="H1204" s="223">
        <v>0.0</v>
      </c>
      <c r="J1204" s="223"/>
      <c r="K1204" s="317">
        <v>1899.0</v>
      </c>
    </row>
    <row r="1205">
      <c r="A1205" s="223"/>
      <c r="B1205" s="223" t="s">
        <v>200</v>
      </c>
      <c r="C1205" s="223"/>
      <c r="D1205" s="316"/>
      <c r="E1205" s="218"/>
      <c r="F1205" s="218"/>
      <c r="G1205" s="218" t="s">
        <v>200</v>
      </c>
      <c r="H1205" s="223">
        <v>0.0</v>
      </c>
      <c r="J1205" s="223"/>
      <c r="K1205" s="317">
        <v>1899.0</v>
      </c>
    </row>
    <row r="1206">
      <c r="A1206" s="223"/>
      <c r="B1206" s="223" t="s">
        <v>200</v>
      </c>
      <c r="C1206" s="223"/>
      <c r="D1206" s="316"/>
      <c r="E1206" s="218"/>
      <c r="F1206" s="218"/>
      <c r="G1206" s="218" t="s">
        <v>200</v>
      </c>
      <c r="H1206" s="223">
        <v>0.0</v>
      </c>
      <c r="J1206" s="223"/>
      <c r="K1206" s="317">
        <v>1899.0</v>
      </c>
    </row>
    <row r="1207">
      <c r="A1207" s="223"/>
      <c r="B1207" s="223" t="s">
        <v>200</v>
      </c>
      <c r="C1207" s="223"/>
      <c r="D1207" s="316"/>
      <c r="E1207" s="218"/>
      <c r="F1207" s="218"/>
      <c r="G1207" s="218" t="s">
        <v>200</v>
      </c>
      <c r="H1207" s="223">
        <v>0.0</v>
      </c>
      <c r="J1207" s="223"/>
      <c r="K1207" s="317">
        <v>1899.0</v>
      </c>
    </row>
    <row r="1208">
      <c r="A1208" s="223"/>
      <c r="B1208" s="223" t="s">
        <v>200</v>
      </c>
      <c r="C1208" s="223"/>
      <c r="D1208" s="316"/>
      <c r="E1208" s="218"/>
      <c r="F1208" s="218"/>
      <c r="G1208" s="218" t="s">
        <v>200</v>
      </c>
      <c r="H1208" s="223">
        <v>0.0</v>
      </c>
      <c r="J1208" s="223"/>
      <c r="K1208" s="317">
        <v>1899.0</v>
      </c>
    </row>
    <row r="1209">
      <c r="A1209" s="223"/>
      <c r="B1209" s="223" t="s">
        <v>200</v>
      </c>
      <c r="C1209" s="223"/>
      <c r="D1209" s="316"/>
      <c r="E1209" s="218"/>
      <c r="F1209" s="218"/>
      <c r="G1209" s="218" t="s">
        <v>200</v>
      </c>
      <c r="H1209" s="223">
        <v>0.0</v>
      </c>
      <c r="J1209" s="223"/>
      <c r="K1209" s="317">
        <v>1899.0</v>
      </c>
    </row>
    <row r="1210">
      <c r="A1210" s="223"/>
      <c r="B1210" s="223" t="s">
        <v>200</v>
      </c>
      <c r="C1210" s="223"/>
      <c r="D1210" s="316"/>
      <c r="E1210" s="218"/>
      <c r="F1210" s="218"/>
      <c r="G1210" s="218" t="s">
        <v>200</v>
      </c>
      <c r="H1210" s="223">
        <v>0.0</v>
      </c>
      <c r="J1210" s="223"/>
      <c r="K1210" s="317">
        <v>1899.0</v>
      </c>
    </row>
    <row r="1211">
      <c r="A1211" s="223"/>
      <c r="B1211" s="223" t="s">
        <v>200</v>
      </c>
      <c r="C1211" s="223"/>
      <c r="D1211" s="316"/>
      <c r="E1211" s="218"/>
      <c r="F1211" s="218"/>
      <c r="G1211" s="218" t="s">
        <v>200</v>
      </c>
      <c r="H1211" s="223">
        <v>0.0</v>
      </c>
      <c r="J1211" s="223"/>
      <c r="K1211" s="317">
        <v>1899.0</v>
      </c>
    </row>
    <row r="1212">
      <c r="A1212" s="223"/>
      <c r="B1212" s="223" t="s">
        <v>200</v>
      </c>
      <c r="C1212" s="223"/>
      <c r="D1212" s="316"/>
      <c r="E1212" s="218"/>
      <c r="F1212" s="218"/>
      <c r="G1212" s="218" t="s">
        <v>200</v>
      </c>
      <c r="H1212" s="223">
        <v>0.0</v>
      </c>
      <c r="J1212" s="223"/>
      <c r="K1212" s="317">
        <v>1899.0</v>
      </c>
    </row>
    <row r="1213">
      <c r="A1213" s="223"/>
      <c r="B1213" s="223" t="s">
        <v>200</v>
      </c>
      <c r="C1213" s="223"/>
      <c r="D1213" s="316"/>
      <c r="E1213" s="218"/>
      <c r="F1213" s="218"/>
      <c r="G1213" s="218" t="s">
        <v>200</v>
      </c>
      <c r="H1213" s="223">
        <v>0.0</v>
      </c>
      <c r="J1213" s="223"/>
      <c r="K1213" s="317">
        <v>1899.0</v>
      </c>
    </row>
    <row r="1214">
      <c r="A1214" s="223"/>
      <c r="B1214" s="223" t="s">
        <v>200</v>
      </c>
      <c r="C1214" s="223"/>
      <c r="D1214" s="316"/>
      <c r="E1214" s="218"/>
      <c r="F1214" s="218"/>
      <c r="G1214" s="218" t="s">
        <v>200</v>
      </c>
      <c r="H1214" s="223">
        <v>0.0</v>
      </c>
      <c r="J1214" s="223"/>
      <c r="K1214" s="317">
        <v>1899.0</v>
      </c>
    </row>
    <row r="1215">
      <c r="A1215" s="223"/>
      <c r="B1215" s="223" t="s">
        <v>200</v>
      </c>
      <c r="C1215" s="223"/>
      <c r="D1215" s="316"/>
      <c r="E1215" s="218"/>
      <c r="F1215" s="218"/>
      <c r="G1215" s="218" t="s">
        <v>200</v>
      </c>
      <c r="H1215" s="223">
        <v>0.0</v>
      </c>
      <c r="J1215" s="223"/>
      <c r="K1215" s="317">
        <v>1899.0</v>
      </c>
    </row>
    <row r="1216">
      <c r="A1216" s="223"/>
      <c r="B1216" s="223" t="s">
        <v>200</v>
      </c>
      <c r="C1216" s="223"/>
      <c r="D1216" s="316"/>
      <c r="E1216" s="218"/>
      <c r="F1216" s="218"/>
      <c r="G1216" s="218" t="s">
        <v>200</v>
      </c>
      <c r="H1216" s="223">
        <v>0.0</v>
      </c>
      <c r="J1216" s="223"/>
      <c r="K1216" s="317">
        <v>1899.0</v>
      </c>
    </row>
    <row r="1217">
      <c r="A1217" s="223"/>
      <c r="B1217" s="223" t="s">
        <v>200</v>
      </c>
      <c r="C1217" s="223"/>
      <c r="D1217" s="316"/>
      <c r="E1217" s="218"/>
      <c r="F1217" s="218"/>
      <c r="G1217" s="218" t="s">
        <v>200</v>
      </c>
      <c r="H1217" s="223">
        <v>0.0</v>
      </c>
      <c r="J1217" s="223"/>
      <c r="K1217" s="317">
        <v>1899.0</v>
      </c>
    </row>
    <row r="1218">
      <c r="A1218" s="223"/>
      <c r="B1218" s="223" t="s">
        <v>200</v>
      </c>
      <c r="C1218" s="223"/>
      <c r="D1218" s="316"/>
      <c r="E1218" s="218"/>
      <c r="F1218" s="218"/>
      <c r="G1218" s="218" t="s">
        <v>200</v>
      </c>
      <c r="H1218" s="223">
        <v>0.0</v>
      </c>
      <c r="J1218" s="223"/>
      <c r="K1218" s="317">
        <v>1899.0</v>
      </c>
    </row>
    <row r="1219">
      <c r="A1219" s="223"/>
      <c r="B1219" s="223" t="s">
        <v>200</v>
      </c>
      <c r="C1219" s="223"/>
      <c r="D1219" s="316"/>
      <c r="E1219" s="218"/>
      <c r="F1219" s="218"/>
      <c r="G1219" s="218" t="s">
        <v>200</v>
      </c>
      <c r="H1219" s="223">
        <v>0.0</v>
      </c>
      <c r="J1219" s="223"/>
      <c r="K1219" s="317">
        <v>1899.0</v>
      </c>
    </row>
    <row r="1220">
      <c r="A1220" s="223"/>
      <c r="B1220" s="223" t="s">
        <v>200</v>
      </c>
      <c r="C1220" s="223"/>
      <c r="D1220" s="316"/>
      <c r="E1220" s="218"/>
      <c r="F1220" s="218"/>
      <c r="G1220" s="218" t="s">
        <v>200</v>
      </c>
      <c r="H1220" s="223">
        <v>0.0</v>
      </c>
      <c r="J1220" s="223"/>
      <c r="K1220" s="317">
        <v>1899.0</v>
      </c>
    </row>
    <row r="1221">
      <c r="A1221" s="223"/>
      <c r="B1221" s="223" t="s">
        <v>200</v>
      </c>
      <c r="C1221" s="223"/>
      <c r="D1221" s="316"/>
      <c r="E1221" s="218"/>
      <c r="F1221" s="218"/>
      <c r="G1221" s="218" t="s">
        <v>200</v>
      </c>
      <c r="H1221" s="223">
        <v>0.0</v>
      </c>
      <c r="J1221" s="223"/>
      <c r="K1221" s="317">
        <v>1899.0</v>
      </c>
    </row>
    <row r="1222">
      <c r="A1222" s="223"/>
      <c r="B1222" s="223" t="s">
        <v>200</v>
      </c>
      <c r="C1222" s="223"/>
      <c r="D1222" s="316"/>
      <c r="E1222" s="218"/>
      <c r="F1222" s="218"/>
      <c r="G1222" s="218" t="s">
        <v>200</v>
      </c>
      <c r="H1222" s="223">
        <v>0.0</v>
      </c>
      <c r="J1222" s="223"/>
      <c r="K1222" s="317">
        <v>1899.0</v>
      </c>
    </row>
    <row r="1223">
      <c r="A1223" s="223"/>
      <c r="B1223" s="223" t="s">
        <v>200</v>
      </c>
      <c r="C1223" s="223"/>
      <c r="D1223" s="316"/>
      <c r="E1223" s="218"/>
      <c r="F1223" s="218"/>
      <c r="G1223" s="218" t="s">
        <v>200</v>
      </c>
      <c r="H1223" s="223">
        <v>0.0</v>
      </c>
      <c r="J1223" s="223"/>
      <c r="K1223" s="317">
        <v>1899.0</v>
      </c>
    </row>
    <row r="1224">
      <c r="A1224" s="223"/>
      <c r="B1224" s="223" t="s">
        <v>200</v>
      </c>
      <c r="C1224" s="223"/>
      <c r="D1224" s="316"/>
      <c r="E1224" s="218"/>
      <c r="F1224" s="218"/>
      <c r="G1224" s="218" t="s">
        <v>200</v>
      </c>
      <c r="H1224" s="223">
        <v>0.0</v>
      </c>
      <c r="J1224" s="223"/>
      <c r="K1224" s="317">
        <v>1899.0</v>
      </c>
    </row>
    <row r="1225">
      <c r="A1225" s="223"/>
      <c r="B1225" s="223" t="s">
        <v>200</v>
      </c>
      <c r="C1225" s="223"/>
      <c r="D1225" s="316"/>
      <c r="E1225" s="218"/>
      <c r="F1225" s="218"/>
      <c r="G1225" s="218" t="s">
        <v>200</v>
      </c>
      <c r="H1225" s="223">
        <v>0.0</v>
      </c>
      <c r="J1225" s="223"/>
      <c r="K1225" s="317">
        <v>1899.0</v>
      </c>
    </row>
    <row r="1226">
      <c r="A1226" s="223"/>
      <c r="B1226" s="223" t="s">
        <v>200</v>
      </c>
      <c r="C1226" s="223"/>
      <c r="D1226" s="316"/>
      <c r="E1226" s="218"/>
      <c r="F1226" s="218"/>
      <c r="G1226" s="218" t="s">
        <v>200</v>
      </c>
      <c r="H1226" s="223">
        <v>0.0</v>
      </c>
      <c r="J1226" s="223"/>
      <c r="K1226" s="317">
        <v>1899.0</v>
      </c>
    </row>
    <row r="1227">
      <c r="A1227" s="223"/>
      <c r="B1227" s="223" t="s">
        <v>200</v>
      </c>
      <c r="C1227" s="223"/>
      <c r="D1227" s="316"/>
      <c r="E1227" s="218"/>
      <c r="F1227" s="218"/>
      <c r="G1227" s="218" t="s">
        <v>200</v>
      </c>
      <c r="H1227" s="223">
        <v>0.0</v>
      </c>
      <c r="J1227" s="223"/>
      <c r="K1227" s="317">
        <v>1899.0</v>
      </c>
    </row>
    <row r="1228">
      <c r="A1228" s="223"/>
      <c r="B1228" s="223" t="s">
        <v>200</v>
      </c>
      <c r="C1228" s="223"/>
      <c r="D1228" s="316"/>
      <c r="E1228" s="218"/>
      <c r="F1228" s="218"/>
      <c r="G1228" s="218" t="s">
        <v>200</v>
      </c>
      <c r="H1228" s="223">
        <v>0.0</v>
      </c>
      <c r="J1228" s="223"/>
      <c r="K1228" s="317">
        <v>1899.0</v>
      </c>
    </row>
    <row r="1229">
      <c r="A1229" s="223"/>
      <c r="B1229" s="223" t="s">
        <v>200</v>
      </c>
      <c r="C1229" s="223"/>
      <c r="D1229" s="316"/>
      <c r="E1229" s="218"/>
      <c r="F1229" s="218"/>
      <c r="G1229" s="218" t="s">
        <v>200</v>
      </c>
      <c r="H1229" s="223">
        <v>0.0</v>
      </c>
      <c r="J1229" s="223"/>
      <c r="K1229" s="317">
        <v>1899.0</v>
      </c>
    </row>
    <row r="1230">
      <c r="A1230" s="223"/>
      <c r="B1230" s="223" t="s">
        <v>200</v>
      </c>
      <c r="C1230" s="223"/>
      <c r="D1230" s="316"/>
      <c r="E1230" s="218"/>
      <c r="F1230" s="218"/>
      <c r="G1230" s="218" t="s">
        <v>200</v>
      </c>
      <c r="H1230" s="223">
        <v>0.0</v>
      </c>
      <c r="J1230" s="223"/>
      <c r="K1230" s="317">
        <v>1899.0</v>
      </c>
    </row>
    <row r="1231">
      <c r="A1231" s="223"/>
      <c r="B1231" s="223" t="s">
        <v>200</v>
      </c>
      <c r="C1231" s="223"/>
      <c r="D1231" s="316"/>
      <c r="E1231" s="218"/>
      <c r="F1231" s="218"/>
      <c r="G1231" s="218" t="s">
        <v>200</v>
      </c>
      <c r="H1231" s="223">
        <v>0.0</v>
      </c>
      <c r="J1231" s="223"/>
      <c r="K1231" s="317">
        <v>1899.0</v>
      </c>
    </row>
    <row r="1232">
      <c r="A1232" s="223"/>
      <c r="B1232" s="223" t="s">
        <v>200</v>
      </c>
      <c r="C1232" s="223"/>
      <c r="D1232" s="316"/>
      <c r="E1232" s="218"/>
      <c r="F1232" s="218"/>
      <c r="G1232" s="218" t="s">
        <v>200</v>
      </c>
      <c r="H1232" s="223">
        <v>0.0</v>
      </c>
      <c r="J1232" s="223"/>
      <c r="K1232" s="317">
        <v>1899.0</v>
      </c>
    </row>
    <row r="1233">
      <c r="A1233" s="223"/>
      <c r="B1233" s="223" t="s">
        <v>200</v>
      </c>
      <c r="C1233" s="223"/>
      <c r="D1233" s="316"/>
      <c r="E1233" s="218"/>
      <c r="F1233" s="218"/>
      <c r="G1233" s="218" t="s">
        <v>200</v>
      </c>
      <c r="H1233" s="223">
        <v>0.0</v>
      </c>
      <c r="J1233" s="223"/>
      <c r="K1233" s="317">
        <v>1899.0</v>
      </c>
    </row>
    <row r="1234">
      <c r="A1234" s="223"/>
      <c r="B1234" s="223" t="s">
        <v>200</v>
      </c>
      <c r="C1234" s="223"/>
      <c r="D1234" s="316"/>
      <c r="E1234" s="218"/>
      <c r="F1234" s="218"/>
      <c r="G1234" s="218" t="s">
        <v>200</v>
      </c>
      <c r="H1234" s="223">
        <v>0.0</v>
      </c>
      <c r="J1234" s="223"/>
      <c r="K1234" s="317">
        <v>1899.0</v>
      </c>
    </row>
    <row r="1235">
      <c r="A1235" s="223"/>
      <c r="B1235" s="223" t="s">
        <v>200</v>
      </c>
      <c r="C1235" s="223"/>
      <c r="D1235" s="316"/>
      <c r="E1235" s="218"/>
      <c r="F1235" s="218"/>
      <c r="G1235" s="218" t="s">
        <v>200</v>
      </c>
      <c r="H1235" s="223">
        <v>0.0</v>
      </c>
      <c r="J1235" s="223"/>
      <c r="K1235" s="317">
        <v>1899.0</v>
      </c>
    </row>
    <row r="1236">
      <c r="A1236" s="223"/>
      <c r="B1236" s="223" t="s">
        <v>200</v>
      </c>
      <c r="C1236" s="223"/>
      <c r="D1236" s="316"/>
      <c r="E1236" s="218"/>
      <c r="F1236" s="218"/>
      <c r="G1236" s="218" t="s">
        <v>200</v>
      </c>
      <c r="H1236" s="223">
        <v>0.0</v>
      </c>
      <c r="J1236" s="223"/>
      <c r="K1236" s="317">
        <v>1899.0</v>
      </c>
    </row>
    <row r="1237">
      <c r="A1237" s="223"/>
      <c r="B1237" s="223" t="s">
        <v>200</v>
      </c>
      <c r="C1237" s="223"/>
      <c r="D1237" s="316"/>
      <c r="E1237" s="218"/>
      <c r="F1237" s="218"/>
      <c r="G1237" s="218" t="s">
        <v>200</v>
      </c>
      <c r="H1237" s="223">
        <v>0.0</v>
      </c>
      <c r="J1237" s="223"/>
      <c r="K1237" s="317">
        <v>1899.0</v>
      </c>
    </row>
    <row r="1238">
      <c r="A1238" s="223"/>
      <c r="B1238" s="223" t="s">
        <v>200</v>
      </c>
      <c r="C1238" s="223"/>
      <c r="D1238" s="316"/>
      <c r="E1238" s="218"/>
      <c r="F1238" s="218"/>
      <c r="G1238" s="218" t="s">
        <v>200</v>
      </c>
      <c r="H1238" s="223">
        <v>0.0</v>
      </c>
      <c r="J1238" s="223"/>
      <c r="K1238" s="317">
        <v>1899.0</v>
      </c>
    </row>
    <row r="1239">
      <c r="A1239" s="223"/>
      <c r="B1239" s="223" t="s">
        <v>200</v>
      </c>
      <c r="C1239" s="223"/>
      <c r="D1239" s="316"/>
      <c r="E1239" s="218"/>
      <c r="F1239" s="218"/>
      <c r="G1239" s="218" t="s">
        <v>200</v>
      </c>
      <c r="H1239" s="223">
        <v>0.0</v>
      </c>
      <c r="J1239" s="223"/>
      <c r="K1239" s="317">
        <v>1899.0</v>
      </c>
    </row>
    <row r="1240">
      <c r="A1240" s="223"/>
      <c r="B1240" s="223" t="s">
        <v>200</v>
      </c>
      <c r="C1240" s="223"/>
      <c r="D1240" s="316"/>
      <c r="E1240" s="218"/>
      <c r="F1240" s="218"/>
      <c r="G1240" s="218" t="s">
        <v>200</v>
      </c>
      <c r="H1240" s="223">
        <v>0.0</v>
      </c>
      <c r="J1240" s="223"/>
      <c r="K1240" s="317">
        <v>1899.0</v>
      </c>
    </row>
    <row r="1241">
      <c r="A1241" s="223"/>
      <c r="B1241" s="223" t="s">
        <v>200</v>
      </c>
      <c r="C1241" s="223"/>
      <c r="D1241" s="316"/>
      <c r="E1241" s="218"/>
      <c r="F1241" s="218"/>
      <c r="G1241" s="218" t="s">
        <v>200</v>
      </c>
      <c r="H1241" s="223">
        <v>0.0</v>
      </c>
      <c r="J1241" s="223"/>
      <c r="K1241" s="317">
        <v>1899.0</v>
      </c>
    </row>
    <row r="1242">
      <c r="A1242" s="223"/>
      <c r="B1242" s="223" t="s">
        <v>200</v>
      </c>
      <c r="C1242" s="223"/>
      <c r="D1242" s="316"/>
      <c r="E1242" s="218"/>
      <c r="F1242" s="218"/>
      <c r="G1242" s="218" t="s">
        <v>200</v>
      </c>
      <c r="H1242" s="223">
        <v>0.0</v>
      </c>
      <c r="J1242" s="223"/>
      <c r="K1242" s="317">
        <v>1899.0</v>
      </c>
    </row>
    <row r="1243">
      <c r="A1243" s="223"/>
      <c r="B1243" s="223" t="s">
        <v>200</v>
      </c>
      <c r="C1243" s="223"/>
      <c r="D1243" s="316"/>
      <c r="E1243" s="218"/>
      <c r="F1243" s="218"/>
      <c r="G1243" s="218" t="s">
        <v>200</v>
      </c>
      <c r="H1243" s="223">
        <v>0.0</v>
      </c>
      <c r="J1243" s="223"/>
      <c r="K1243" s="317">
        <v>1899.0</v>
      </c>
    </row>
    <row r="1244">
      <c r="A1244" s="223"/>
      <c r="B1244" s="223" t="s">
        <v>200</v>
      </c>
      <c r="C1244" s="223"/>
      <c r="D1244" s="316"/>
      <c r="E1244" s="218"/>
      <c r="F1244" s="218"/>
      <c r="G1244" s="218" t="s">
        <v>200</v>
      </c>
      <c r="H1244" s="223">
        <v>0.0</v>
      </c>
      <c r="J1244" s="223"/>
      <c r="K1244" s="317">
        <v>1899.0</v>
      </c>
    </row>
    <row r="1245">
      <c r="A1245" s="223"/>
      <c r="B1245" s="223" t="s">
        <v>200</v>
      </c>
      <c r="C1245" s="223"/>
      <c r="D1245" s="316"/>
      <c r="E1245" s="218"/>
      <c r="F1245" s="218"/>
      <c r="G1245" s="218" t="s">
        <v>200</v>
      </c>
      <c r="H1245" s="223">
        <v>0.0</v>
      </c>
      <c r="J1245" s="223"/>
      <c r="K1245" s="317">
        <v>1899.0</v>
      </c>
    </row>
    <row r="1246">
      <c r="A1246" s="223"/>
      <c r="B1246" s="223" t="s">
        <v>200</v>
      </c>
      <c r="C1246" s="223"/>
      <c r="D1246" s="316"/>
      <c r="E1246" s="218"/>
      <c r="F1246" s="218"/>
      <c r="G1246" s="218" t="s">
        <v>200</v>
      </c>
      <c r="H1246" s="223">
        <v>0.0</v>
      </c>
      <c r="J1246" s="223"/>
      <c r="K1246" s="317">
        <v>1899.0</v>
      </c>
    </row>
    <row r="1247">
      <c r="A1247" s="223"/>
      <c r="B1247" s="223" t="s">
        <v>200</v>
      </c>
      <c r="C1247" s="223"/>
      <c r="D1247" s="316"/>
      <c r="E1247" s="218"/>
      <c r="F1247" s="218"/>
      <c r="G1247" s="218" t="s">
        <v>200</v>
      </c>
      <c r="H1247" s="223">
        <v>0.0</v>
      </c>
      <c r="J1247" s="223"/>
      <c r="K1247" s="317">
        <v>1899.0</v>
      </c>
    </row>
    <row r="1248">
      <c r="A1248" s="223"/>
      <c r="B1248" s="223" t="s">
        <v>200</v>
      </c>
      <c r="C1248" s="223"/>
      <c r="D1248" s="316"/>
      <c r="E1248" s="218"/>
      <c r="F1248" s="218"/>
      <c r="G1248" s="218" t="s">
        <v>200</v>
      </c>
      <c r="H1248" s="223">
        <v>0.0</v>
      </c>
      <c r="J1248" s="223"/>
      <c r="K1248" s="317">
        <v>1899.0</v>
      </c>
    </row>
    <row r="1249">
      <c r="A1249" s="223"/>
      <c r="B1249" s="223" t="s">
        <v>200</v>
      </c>
      <c r="C1249" s="223"/>
      <c r="D1249" s="316"/>
      <c r="E1249" s="218"/>
      <c r="F1249" s="218"/>
      <c r="G1249" s="218" t="s">
        <v>200</v>
      </c>
      <c r="H1249" s="223">
        <v>0.0</v>
      </c>
      <c r="J1249" s="223"/>
      <c r="K1249" s="317">
        <v>1899.0</v>
      </c>
    </row>
    <row r="1250">
      <c r="A1250" s="223"/>
      <c r="B1250" s="223" t="s">
        <v>200</v>
      </c>
      <c r="C1250" s="223"/>
      <c r="D1250" s="316"/>
      <c r="E1250" s="218"/>
      <c r="F1250" s="218"/>
      <c r="G1250" s="218" t="s">
        <v>200</v>
      </c>
      <c r="H1250" s="223">
        <v>0.0</v>
      </c>
      <c r="J1250" s="223"/>
      <c r="K1250" s="317">
        <v>1899.0</v>
      </c>
    </row>
    <row r="1251">
      <c r="A1251" s="223"/>
      <c r="B1251" s="223" t="s">
        <v>200</v>
      </c>
      <c r="C1251" s="223"/>
      <c r="D1251" s="316"/>
      <c r="E1251" s="218"/>
      <c r="F1251" s="218"/>
      <c r="G1251" s="218" t="s">
        <v>200</v>
      </c>
      <c r="H1251" s="223">
        <v>0.0</v>
      </c>
      <c r="J1251" s="223"/>
      <c r="K1251" s="317">
        <v>1899.0</v>
      </c>
    </row>
    <row r="1252">
      <c r="A1252" s="223"/>
      <c r="B1252" s="223" t="s">
        <v>200</v>
      </c>
      <c r="C1252" s="223"/>
      <c r="D1252" s="316"/>
      <c r="E1252" s="218"/>
      <c r="F1252" s="218"/>
      <c r="G1252" s="218" t="s">
        <v>200</v>
      </c>
      <c r="H1252" s="223">
        <v>0.0</v>
      </c>
      <c r="J1252" s="223"/>
      <c r="K1252" s="317">
        <v>1899.0</v>
      </c>
    </row>
    <row r="1253">
      <c r="A1253" s="223"/>
      <c r="B1253" s="223" t="s">
        <v>200</v>
      </c>
      <c r="C1253" s="223"/>
      <c r="D1253" s="316"/>
      <c r="E1253" s="218"/>
      <c r="F1253" s="218"/>
      <c r="G1253" s="218" t="s">
        <v>200</v>
      </c>
      <c r="H1253" s="223">
        <v>0.0</v>
      </c>
      <c r="J1253" s="223"/>
      <c r="K1253" s="317">
        <v>1899.0</v>
      </c>
    </row>
    <row r="1254">
      <c r="A1254" s="223"/>
      <c r="B1254" s="223" t="s">
        <v>200</v>
      </c>
      <c r="C1254" s="223"/>
      <c r="D1254" s="316"/>
      <c r="E1254" s="218"/>
      <c r="F1254" s="218"/>
      <c r="G1254" s="218" t="s">
        <v>200</v>
      </c>
      <c r="H1254" s="223">
        <v>0.0</v>
      </c>
      <c r="J1254" s="223"/>
      <c r="K1254" s="317">
        <v>1899.0</v>
      </c>
    </row>
    <row r="1255">
      <c r="A1255" s="223"/>
      <c r="B1255" s="223" t="s">
        <v>200</v>
      </c>
      <c r="C1255" s="223"/>
      <c r="D1255" s="316"/>
      <c r="E1255" s="218"/>
      <c r="F1255" s="218"/>
      <c r="G1255" s="218" t="s">
        <v>200</v>
      </c>
      <c r="H1255" s="223">
        <v>0.0</v>
      </c>
      <c r="J1255" s="223"/>
      <c r="K1255" s="317">
        <v>1899.0</v>
      </c>
    </row>
    <row r="1256">
      <c r="A1256" s="223"/>
      <c r="B1256" s="223" t="s">
        <v>200</v>
      </c>
      <c r="C1256" s="223"/>
      <c r="D1256" s="316"/>
      <c r="E1256" s="218"/>
      <c r="F1256" s="218"/>
      <c r="G1256" s="218" t="s">
        <v>200</v>
      </c>
      <c r="H1256" s="223">
        <v>0.0</v>
      </c>
      <c r="J1256" s="223"/>
      <c r="K1256" s="317">
        <v>1899.0</v>
      </c>
    </row>
    <row r="1257">
      <c r="A1257" s="223"/>
      <c r="B1257" s="223" t="s">
        <v>200</v>
      </c>
      <c r="C1257" s="223"/>
      <c r="D1257" s="316"/>
      <c r="E1257" s="218"/>
      <c r="F1257" s="218"/>
      <c r="G1257" s="218" t="s">
        <v>200</v>
      </c>
      <c r="H1257" s="223">
        <v>0.0</v>
      </c>
      <c r="J1257" s="223"/>
      <c r="K1257" s="317">
        <v>1899.0</v>
      </c>
    </row>
    <row r="1258">
      <c r="A1258" s="223"/>
      <c r="B1258" s="223" t="s">
        <v>200</v>
      </c>
      <c r="C1258" s="223"/>
      <c r="D1258" s="316"/>
      <c r="E1258" s="218"/>
      <c r="F1258" s="218"/>
      <c r="G1258" s="218" t="s">
        <v>200</v>
      </c>
      <c r="H1258" s="223">
        <v>0.0</v>
      </c>
      <c r="J1258" s="223"/>
      <c r="K1258" s="317">
        <v>1899.0</v>
      </c>
    </row>
    <row r="1259">
      <c r="A1259" s="223"/>
      <c r="B1259" s="223" t="s">
        <v>200</v>
      </c>
      <c r="C1259" s="223"/>
      <c r="D1259" s="316"/>
      <c r="E1259" s="218"/>
      <c r="F1259" s="218"/>
      <c r="G1259" s="218" t="s">
        <v>200</v>
      </c>
      <c r="H1259" s="223">
        <v>0.0</v>
      </c>
      <c r="J1259" s="223"/>
      <c r="K1259" s="317">
        <v>1899.0</v>
      </c>
    </row>
    <row r="1260">
      <c r="A1260" s="223"/>
      <c r="B1260" s="223" t="s">
        <v>200</v>
      </c>
      <c r="C1260" s="223"/>
      <c r="D1260" s="316"/>
      <c r="E1260" s="218"/>
      <c r="F1260" s="218"/>
      <c r="G1260" s="218" t="s">
        <v>200</v>
      </c>
      <c r="H1260" s="223">
        <v>0.0</v>
      </c>
      <c r="J1260" s="223"/>
      <c r="K1260" s="317">
        <v>1899.0</v>
      </c>
    </row>
    <row r="1261">
      <c r="A1261" s="223"/>
      <c r="B1261" s="223" t="s">
        <v>200</v>
      </c>
      <c r="C1261" s="223"/>
      <c r="D1261" s="316"/>
      <c r="E1261" s="218"/>
      <c r="F1261" s="218"/>
      <c r="G1261" s="218" t="s">
        <v>200</v>
      </c>
      <c r="H1261" s="223">
        <v>0.0</v>
      </c>
      <c r="J1261" s="223"/>
      <c r="K1261" s="317">
        <v>1899.0</v>
      </c>
    </row>
    <row r="1262">
      <c r="A1262" s="223"/>
      <c r="B1262" s="223" t="s">
        <v>200</v>
      </c>
      <c r="C1262" s="223"/>
      <c r="D1262" s="316"/>
      <c r="E1262" s="218"/>
      <c r="F1262" s="218"/>
      <c r="G1262" s="218" t="s">
        <v>200</v>
      </c>
      <c r="H1262" s="223">
        <v>0.0</v>
      </c>
      <c r="J1262" s="223"/>
      <c r="K1262" s="317">
        <v>1899.0</v>
      </c>
    </row>
    <row r="1263">
      <c r="A1263" s="223"/>
      <c r="B1263" s="223" t="s">
        <v>200</v>
      </c>
      <c r="C1263" s="223"/>
      <c r="D1263" s="316"/>
      <c r="E1263" s="218"/>
      <c r="F1263" s="218"/>
      <c r="G1263" s="218" t="s">
        <v>200</v>
      </c>
      <c r="H1263" s="223">
        <v>0.0</v>
      </c>
      <c r="J1263" s="223"/>
      <c r="K1263" s="317">
        <v>1899.0</v>
      </c>
    </row>
    <row r="1264">
      <c r="A1264" s="223"/>
      <c r="B1264" s="223" t="s">
        <v>200</v>
      </c>
      <c r="C1264" s="223"/>
      <c r="D1264" s="316"/>
      <c r="E1264" s="218"/>
      <c r="F1264" s="218"/>
      <c r="G1264" s="218" t="s">
        <v>200</v>
      </c>
      <c r="H1264" s="223">
        <v>0.0</v>
      </c>
      <c r="J1264" s="223"/>
      <c r="K1264" s="317">
        <v>1899.0</v>
      </c>
    </row>
    <row r="1265">
      <c r="A1265" s="223"/>
      <c r="B1265" s="223" t="s">
        <v>200</v>
      </c>
      <c r="C1265" s="223"/>
      <c r="D1265" s="316"/>
      <c r="E1265" s="218"/>
      <c r="F1265" s="218"/>
      <c r="G1265" s="218" t="s">
        <v>200</v>
      </c>
      <c r="H1265" s="223">
        <v>0.0</v>
      </c>
      <c r="J1265" s="223"/>
      <c r="K1265" s="317">
        <v>1899.0</v>
      </c>
    </row>
    <row r="1266">
      <c r="A1266" s="223"/>
      <c r="B1266" s="223" t="s">
        <v>200</v>
      </c>
      <c r="C1266" s="223"/>
      <c r="D1266" s="316"/>
      <c r="E1266" s="218"/>
      <c r="F1266" s="218"/>
      <c r="G1266" s="218" t="s">
        <v>200</v>
      </c>
      <c r="H1266" s="223">
        <v>0.0</v>
      </c>
      <c r="J1266" s="223"/>
      <c r="K1266" s="317">
        <v>1899.0</v>
      </c>
    </row>
    <row r="1267">
      <c r="A1267" s="223"/>
      <c r="B1267" s="223" t="s">
        <v>200</v>
      </c>
      <c r="C1267" s="223"/>
      <c r="D1267" s="316"/>
      <c r="E1267" s="218"/>
      <c r="F1267" s="218"/>
      <c r="G1267" s="218" t="s">
        <v>200</v>
      </c>
      <c r="H1267" s="223">
        <v>0.0</v>
      </c>
      <c r="J1267" s="223"/>
      <c r="K1267" s="317">
        <v>1899.0</v>
      </c>
    </row>
    <row r="1268">
      <c r="A1268" s="223"/>
      <c r="B1268" s="223" t="s">
        <v>200</v>
      </c>
      <c r="C1268" s="223"/>
      <c r="D1268" s="316"/>
      <c r="E1268" s="218"/>
      <c r="F1268" s="218"/>
      <c r="G1268" s="218" t="s">
        <v>200</v>
      </c>
      <c r="H1268" s="223">
        <v>0.0</v>
      </c>
      <c r="J1268" s="223"/>
      <c r="K1268" s="317">
        <v>1899.0</v>
      </c>
    </row>
    <row r="1269">
      <c r="A1269" s="223"/>
      <c r="B1269" s="223" t="s">
        <v>200</v>
      </c>
      <c r="C1269" s="223"/>
      <c r="D1269" s="316"/>
      <c r="E1269" s="218"/>
      <c r="F1269" s="218"/>
      <c r="G1269" s="218" t="s">
        <v>200</v>
      </c>
      <c r="H1269" s="223">
        <v>0.0</v>
      </c>
      <c r="J1269" s="223"/>
      <c r="K1269" s="317">
        <v>1899.0</v>
      </c>
    </row>
    <row r="1270">
      <c r="A1270" s="223"/>
      <c r="B1270" s="223" t="s">
        <v>200</v>
      </c>
      <c r="C1270" s="223"/>
      <c r="D1270" s="316"/>
      <c r="E1270" s="218"/>
      <c r="F1270" s="218"/>
      <c r="G1270" s="218" t="s">
        <v>200</v>
      </c>
      <c r="H1270" s="223">
        <v>0.0</v>
      </c>
      <c r="J1270" s="223"/>
      <c r="K1270" s="317">
        <v>1899.0</v>
      </c>
    </row>
    <row r="1271">
      <c r="A1271" s="223"/>
      <c r="B1271" s="223" t="s">
        <v>200</v>
      </c>
      <c r="C1271" s="223"/>
      <c r="D1271" s="316"/>
      <c r="E1271" s="218"/>
      <c r="F1271" s="218"/>
      <c r="G1271" s="218" t="s">
        <v>200</v>
      </c>
      <c r="H1271" s="223">
        <v>0.0</v>
      </c>
      <c r="J1271" s="223"/>
      <c r="K1271" s="317">
        <v>1899.0</v>
      </c>
    </row>
    <row r="1272">
      <c r="A1272" s="223"/>
      <c r="B1272" s="223" t="s">
        <v>200</v>
      </c>
      <c r="C1272" s="223"/>
      <c r="D1272" s="316"/>
      <c r="E1272" s="218"/>
      <c r="F1272" s="218"/>
      <c r="G1272" s="218" t="s">
        <v>200</v>
      </c>
      <c r="H1272" s="223">
        <v>0.0</v>
      </c>
      <c r="J1272" s="223"/>
      <c r="K1272" s="317">
        <v>1899.0</v>
      </c>
    </row>
    <row r="1273">
      <c r="A1273" s="223"/>
      <c r="B1273" s="223" t="s">
        <v>200</v>
      </c>
      <c r="C1273" s="223"/>
      <c r="D1273" s="316"/>
      <c r="E1273" s="218"/>
      <c r="F1273" s="218"/>
      <c r="G1273" s="218" t="s">
        <v>200</v>
      </c>
      <c r="H1273" s="223">
        <v>0.0</v>
      </c>
      <c r="J1273" s="223"/>
      <c r="K1273" s="317">
        <v>1899.0</v>
      </c>
    </row>
    <row r="1274">
      <c r="A1274" s="223"/>
      <c r="B1274" s="223" t="s">
        <v>200</v>
      </c>
      <c r="C1274" s="223"/>
      <c r="D1274" s="316"/>
      <c r="E1274" s="218"/>
      <c r="F1274" s="218"/>
      <c r="G1274" s="218" t="s">
        <v>200</v>
      </c>
      <c r="H1274" s="223">
        <v>0.0</v>
      </c>
      <c r="J1274" s="223"/>
      <c r="K1274" s="317">
        <v>1899.0</v>
      </c>
    </row>
    <row r="1275">
      <c r="A1275" s="223"/>
      <c r="B1275" s="223" t="s">
        <v>200</v>
      </c>
      <c r="C1275" s="223"/>
      <c r="D1275" s="316"/>
      <c r="E1275" s="218"/>
      <c r="F1275" s="218"/>
      <c r="G1275" s="218" t="s">
        <v>200</v>
      </c>
      <c r="H1275" s="223">
        <v>0.0</v>
      </c>
      <c r="J1275" s="223"/>
      <c r="K1275" s="317">
        <v>1899.0</v>
      </c>
    </row>
    <row r="1276">
      <c r="A1276" s="223"/>
      <c r="B1276" s="223" t="s">
        <v>200</v>
      </c>
      <c r="C1276" s="223"/>
      <c r="D1276" s="316"/>
      <c r="E1276" s="218"/>
      <c r="F1276" s="218"/>
      <c r="G1276" s="218" t="s">
        <v>200</v>
      </c>
      <c r="H1276" s="223">
        <v>0.0</v>
      </c>
      <c r="J1276" s="223"/>
      <c r="K1276" s="317">
        <v>1899.0</v>
      </c>
    </row>
    <row r="1277">
      <c r="A1277" s="223"/>
      <c r="B1277" s="223" t="s">
        <v>200</v>
      </c>
      <c r="C1277" s="223"/>
      <c r="D1277" s="316"/>
      <c r="E1277" s="218"/>
      <c r="F1277" s="218"/>
      <c r="G1277" s="218" t="s">
        <v>200</v>
      </c>
      <c r="H1277" s="223">
        <v>0.0</v>
      </c>
      <c r="J1277" s="223"/>
      <c r="K1277" s="317">
        <v>1899.0</v>
      </c>
    </row>
    <row r="1278">
      <c r="A1278" s="223"/>
      <c r="B1278" s="223" t="s">
        <v>200</v>
      </c>
      <c r="C1278" s="223"/>
      <c r="D1278" s="316"/>
      <c r="E1278" s="218"/>
      <c r="F1278" s="218"/>
      <c r="G1278" s="218" t="s">
        <v>200</v>
      </c>
      <c r="H1278" s="223">
        <v>0.0</v>
      </c>
      <c r="J1278" s="223"/>
      <c r="K1278" s="317">
        <v>1899.0</v>
      </c>
    </row>
    <row r="1279">
      <c r="A1279" s="223"/>
      <c r="B1279" s="223" t="s">
        <v>200</v>
      </c>
      <c r="C1279" s="223"/>
      <c r="D1279" s="316"/>
      <c r="E1279" s="218"/>
      <c r="F1279" s="218"/>
      <c r="G1279" s="218" t="s">
        <v>200</v>
      </c>
      <c r="H1279" s="223">
        <v>0.0</v>
      </c>
      <c r="J1279" s="223"/>
      <c r="K1279" s="317">
        <v>1899.0</v>
      </c>
    </row>
    <row r="1280">
      <c r="A1280" s="223"/>
      <c r="B1280" s="223" t="s">
        <v>200</v>
      </c>
      <c r="C1280" s="223"/>
      <c r="D1280" s="316"/>
      <c r="E1280" s="218"/>
      <c r="F1280" s="218"/>
      <c r="G1280" s="218" t="s">
        <v>200</v>
      </c>
      <c r="H1280" s="223">
        <v>0.0</v>
      </c>
      <c r="J1280" s="223"/>
      <c r="K1280" s="317">
        <v>1899.0</v>
      </c>
    </row>
    <row r="1281">
      <c r="A1281" s="223"/>
      <c r="B1281" s="223" t="s">
        <v>200</v>
      </c>
      <c r="C1281" s="223"/>
      <c r="D1281" s="316"/>
      <c r="E1281" s="218"/>
      <c r="F1281" s="218"/>
      <c r="G1281" s="218" t="s">
        <v>200</v>
      </c>
      <c r="H1281" s="223">
        <v>0.0</v>
      </c>
      <c r="J1281" s="223"/>
      <c r="K1281" s="317">
        <v>1899.0</v>
      </c>
    </row>
    <row r="1282">
      <c r="A1282" s="223"/>
      <c r="B1282" s="223" t="s">
        <v>200</v>
      </c>
      <c r="C1282" s="223"/>
      <c r="D1282" s="316"/>
      <c r="E1282" s="218"/>
      <c r="F1282" s="218"/>
      <c r="G1282" s="218" t="s">
        <v>200</v>
      </c>
      <c r="H1282" s="223">
        <v>0.0</v>
      </c>
      <c r="J1282" s="223"/>
      <c r="K1282" s="317">
        <v>1899.0</v>
      </c>
    </row>
    <row r="1283">
      <c r="A1283" s="223"/>
      <c r="B1283" s="223" t="s">
        <v>200</v>
      </c>
      <c r="C1283" s="223"/>
      <c r="D1283" s="316"/>
      <c r="E1283" s="218"/>
      <c r="F1283" s="218"/>
      <c r="G1283" s="218" t="s">
        <v>200</v>
      </c>
      <c r="H1283" s="223">
        <v>0.0</v>
      </c>
      <c r="J1283" s="223"/>
      <c r="K1283" s="317">
        <v>1899.0</v>
      </c>
    </row>
    <row r="1284">
      <c r="A1284" s="223"/>
      <c r="B1284" s="223" t="s">
        <v>200</v>
      </c>
      <c r="C1284" s="223"/>
      <c r="D1284" s="316"/>
      <c r="E1284" s="218"/>
      <c r="F1284" s="218"/>
      <c r="G1284" s="218" t="s">
        <v>200</v>
      </c>
      <c r="H1284" s="223">
        <v>0.0</v>
      </c>
      <c r="J1284" s="223"/>
      <c r="K1284" s="317">
        <v>1899.0</v>
      </c>
    </row>
    <row r="1285">
      <c r="A1285" s="223"/>
      <c r="B1285" s="223" t="s">
        <v>200</v>
      </c>
      <c r="C1285" s="223"/>
      <c r="D1285" s="316"/>
      <c r="E1285" s="218"/>
      <c r="F1285" s="218"/>
      <c r="G1285" s="218" t="s">
        <v>200</v>
      </c>
      <c r="H1285" s="223">
        <v>0.0</v>
      </c>
      <c r="J1285" s="223"/>
      <c r="K1285" s="317">
        <v>1899.0</v>
      </c>
    </row>
    <row r="1286">
      <c r="A1286" s="223"/>
      <c r="B1286" s="223" t="s">
        <v>200</v>
      </c>
      <c r="C1286" s="223"/>
      <c r="D1286" s="316"/>
      <c r="E1286" s="218"/>
      <c r="F1286" s="218"/>
      <c r="G1286" s="218" t="s">
        <v>200</v>
      </c>
      <c r="H1286" s="223">
        <v>0.0</v>
      </c>
      <c r="J1286" s="223"/>
      <c r="K1286" s="317">
        <v>1899.0</v>
      </c>
    </row>
    <row r="1287">
      <c r="A1287" s="223"/>
      <c r="B1287" s="223" t="s">
        <v>200</v>
      </c>
      <c r="C1287" s="223"/>
      <c r="D1287" s="316"/>
      <c r="E1287" s="218"/>
      <c r="F1287" s="218"/>
      <c r="G1287" s="218" t="s">
        <v>200</v>
      </c>
      <c r="H1287" s="223">
        <v>0.0</v>
      </c>
      <c r="J1287" s="223"/>
      <c r="K1287" s="317">
        <v>1899.0</v>
      </c>
    </row>
    <row r="1288">
      <c r="A1288" s="223"/>
      <c r="B1288" s="223" t="s">
        <v>200</v>
      </c>
      <c r="C1288" s="223"/>
      <c r="D1288" s="316"/>
      <c r="E1288" s="218"/>
      <c r="F1288" s="218"/>
      <c r="G1288" s="218" t="s">
        <v>200</v>
      </c>
      <c r="H1288" s="223">
        <v>0.0</v>
      </c>
      <c r="J1288" s="223"/>
      <c r="K1288" s="317">
        <v>1899.0</v>
      </c>
    </row>
    <row r="1289">
      <c r="A1289" s="223"/>
      <c r="B1289" s="223" t="s">
        <v>200</v>
      </c>
      <c r="C1289" s="223"/>
      <c r="D1289" s="316"/>
      <c r="E1289" s="218"/>
      <c r="F1289" s="218"/>
      <c r="G1289" s="218" t="s">
        <v>200</v>
      </c>
      <c r="H1289" s="223">
        <v>0.0</v>
      </c>
      <c r="J1289" s="223"/>
      <c r="K1289" s="317">
        <v>1899.0</v>
      </c>
    </row>
    <row r="1290">
      <c r="A1290" s="223"/>
      <c r="B1290" s="223" t="s">
        <v>200</v>
      </c>
      <c r="C1290" s="223"/>
      <c r="D1290" s="316"/>
      <c r="E1290" s="218"/>
      <c r="F1290" s="218"/>
      <c r="G1290" s="218" t="s">
        <v>200</v>
      </c>
      <c r="H1290" s="223">
        <v>0.0</v>
      </c>
      <c r="J1290" s="223"/>
      <c r="K1290" s="317">
        <v>1899.0</v>
      </c>
    </row>
    <row r="1291">
      <c r="A1291" s="223"/>
      <c r="B1291" s="223" t="s">
        <v>200</v>
      </c>
      <c r="C1291" s="223"/>
      <c r="D1291" s="316"/>
      <c r="E1291" s="218"/>
      <c r="F1291" s="218"/>
      <c r="G1291" s="218" t="s">
        <v>200</v>
      </c>
      <c r="H1291" s="223">
        <v>0.0</v>
      </c>
      <c r="J1291" s="223"/>
      <c r="K1291" s="317">
        <v>1899.0</v>
      </c>
    </row>
    <row r="1292">
      <c r="A1292" s="223"/>
      <c r="B1292" s="223" t="s">
        <v>200</v>
      </c>
      <c r="C1292" s="223"/>
      <c r="D1292" s="316"/>
      <c r="E1292" s="218"/>
      <c r="F1292" s="218"/>
      <c r="G1292" s="218" t="s">
        <v>200</v>
      </c>
      <c r="H1292" s="223">
        <v>0.0</v>
      </c>
      <c r="J1292" s="223"/>
      <c r="K1292" s="317">
        <v>1899.0</v>
      </c>
    </row>
    <row r="1293">
      <c r="A1293" s="223"/>
      <c r="B1293" s="223" t="s">
        <v>200</v>
      </c>
      <c r="C1293" s="223"/>
      <c r="D1293" s="316"/>
      <c r="E1293" s="218"/>
      <c r="F1293" s="218"/>
      <c r="G1293" s="218" t="s">
        <v>200</v>
      </c>
      <c r="H1293" s="223">
        <v>0.0</v>
      </c>
      <c r="J1293" s="223"/>
      <c r="K1293" s="317">
        <v>1899.0</v>
      </c>
    </row>
    <row r="1294">
      <c r="A1294" s="223"/>
      <c r="B1294" s="223" t="s">
        <v>200</v>
      </c>
      <c r="C1294" s="223"/>
      <c r="D1294" s="316"/>
      <c r="E1294" s="218"/>
      <c r="F1294" s="218"/>
      <c r="G1294" s="218" t="s">
        <v>200</v>
      </c>
      <c r="H1294" s="223">
        <v>0.0</v>
      </c>
      <c r="J1294" s="223"/>
      <c r="K1294" s="317">
        <v>1899.0</v>
      </c>
    </row>
    <row r="1295">
      <c r="A1295" s="223"/>
      <c r="B1295" s="223" t="s">
        <v>200</v>
      </c>
      <c r="C1295" s="223"/>
      <c r="D1295" s="316"/>
      <c r="E1295" s="218"/>
      <c r="F1295" s="218"/>
      <c r="G1295" s="218" t="s">
        <v>200</v>
      </c>
      <c r="H1295" s="223">
        <v>0.0</v>
      </c>
      <c r="J1295" s="223"/>
      <c r="K1295" s="317">
        <v>1899.0</v>
      </c>
    </row>
    <row r="1296">
      <c r="A1296" s="223"/>
      <c r="B1296" s="223" t="s">
        <v>200</v>
      </c>
      <c r="C1296" s="223"/>
      <c r="D1296" s="316"/>
      <c r="E1296" s="218"/>
      <c r="F1296" s="218"/>
      <c r="G1296" s="218" t="s">
        <v>200</v>
      </c>
      <c r="H1296" s="223">
        <v>0.0</v>
      </c>
      <c r="J1296" s="223"/>
      <c r="K1296" s="317">
        <v>1899.0</v>
      </c>
    </row>
    <row r="1297">
      <c r="A1297" s="223"/>
      <c r="B1297" s="223" t="s">
        <v>200</v>
      </c>
      <c r="C1297" s="223"/>
      <c r="D1297" s="316"/>
      <c r="E1297" s="218"/>
      <c r="F1297" s="218"/>
      <c r="G1297" s="218" t="s">
        <v>200</v>
      </c>
      <c r="H1297" s="223">
        <v>0.0</v>
      </c>
      <c r="J1297" s="223"/>
      <c r="K1297" s="317">
        <v>1899.0</v>
      </c>
    </row>
    <row r="1298">
      <c r="A1298" s="223"/>
      <c r="B1298" s="223" t="s">
        <v>200</v>
      </c>
      <c r="C1298" s="223"/>
      <c r="D1298" s="316"/>
      <c r="E1298" s="218"/>
      <c r="F1298" s="218"/>
      <c r="G1298" s="218" t="s">
        <v>200</v>
      </c>
      <c r="H1298" s="223">
        <v>0.0</v>
      </c>
      <c r="J1298" s="223"/>
      <c r="K1298" s="317">
        <v>1899.0</v>
      </c>
    </row>
    <row r="1299">
      <c r="A1299" s="223"/>
      <c r="B1299" s="223" t="s">
        <v>200</v>
      </c>
      <c r="C1299" s="223"/>
      <c r="D1299" s="316"/>
      <c r="E1299" s="218"/>
      <c r="F1299" s="218"/>
      <c r="G1299" s="218" t="s">
        <v>200</v>
      </c>
      <c r="H1299" s="223">
        <v>0.0</v>
      </c>
      <c r="J1299" s="223"/>
      <c r="K1299" s="317">
        <v>1899.0</v>
      </c>
    </row>
    <row r="1300">
      <c r="A1300" s="223"/>
      <c r="B1300" s="223" t="s">
        <v>200</v>
      </c>
      <c r="C1300" s="223"/>
      <c r="D1300" s="316"/>
      <c r="E1300" s="218"/>
      <c r="F1300" s="218"/>
      <c r="G1300" s="218" t="s">
        <v>200</v>
      </c>
      <c r="H1300" s="223">
        <v>0.0</v>
      </c>
      <c r="J1300" s="223"/>
      <c r="K1300" s="317">
        <v>1899.0</v>
      </c>
    </row>
    <row r="1301">
      <c r="A1301" s="223"/>
      <c r="B1301" s="223" t="s">
        <v>200</v>
      </c>
      <c r="C1301" s="223"/>
      <c r="D1301" s="316"/>
      <c r="E1301" s="218"/>
      <c r="F1301" s="218"/>
      <c r="G1301" s="218" t="s">
        <v>200</v>
      </c>
      <c r="H1301" s="223">
        <v>0.0</v>
      </c>
      <c r="J1301" s="223"/>
      <c r="K1301" s="317">
        <v>1899.0</v>
      </c>
    </row>
    <row r="1302">
      <c r="A1302" s="223"/>
      <c r="B1302" s="223" t="s">
        <v>200</v>
      </c>
      <c r="C1302" s="223"/>
      <c r="D1302" s="316"/>
      <c r="E1302" s="218"/>
      <c r="F1302" s="218"/>
      <c r="G1302" s="218" t="s">
        <v>200</v>
      </c>
      <c r="H1302" s="223">
        <v>0.0</v>
      </c>
      <c r="J1302" s="223"/>
      <c r="K1302" s="317">
        <v>1899.0</v>
      </c>
    </row>
    <row r="1303">
      <c r="A1303" s="223"/>
      <c r="B1303" s="223" t="s">
        <v>200</v>
      </c>
      <c r="C1303" s="223"/>
      <c r="D1303" s="316"/>
      <c r="E1303" s="218"/>
      <c r="F1303" s="218"/>
      <c r="G1303" s="218" t="s">
        <v>200</v>
      </c>
      <c r="H1303" s="223">
        <v>0.0</v>
      </c>
      <c r="J1303" s="223"/>
      <c r="K1303" s="317">
        <v>1899.0</v>
      </c>
    </row>
    <row r="1304">
      <c r="A1304" s="223"/>
      <c r="B1304" s="223" t="s">
        <v>200</v>
      </c>
      <c r="C1304" s="223"/>
      <c r="D1304" s="316"/>
      <c r="E1304" s="218"/>
      <c r="F1304" s="218"/>
      <c r="G1304" s="218" t="s">
        <v>200</v>
      </c>
      <c r="H1304" s="223">
        <v>0.0</v>
      </c>
      <c r="J1304" s="223"/>
      <c r="K1304" s="317">
        <v>1899.0</v>
      </c>
    </row>
    <row r="1305">
      <c r="A1305" s="223"/>
      <c r="B1305" s="223" t="s">
        <v>200</v>
      </c>
      <c r="C1305" s="223"/>
      <c r="D1305" s="316"/>
      <c r="E1305" s="218"/>
      <c r="F1305" s="218"/>
      <c r="G1305" s="218" t="s">
        <v>200</v>
      </c>
      <c r="H1305" s="223">
        <v>0.0</v>
      </c>
      <c r="J1305" s="223"/>
      <c r="K1305" s="317">
        <v>1899.0</v>
      </c>
    </row>
    <row r="1306">
      <c r="A1306" s="223"/>
      <c r="B1306" s="223" t="s">
        <v>200</v>
      </c>
      <c r="C1306" s="223"/>
      <c r="D1306" s="316"/>
      <c r="E1306" s="218"/>
      <c r="F1306" s="218"/>
      <c r="G1306" s="218" t="s">
        <v>200</v>
      </c>
      <c r="H1306" s="223">
        <v>0.0</v>
      </c>
      <c r="J1306" s="223"/>
      <c r="K1306" s="317">
        <v>1899.0</v>
      </c>
    </row>
    <row r="1307">
      <c r="A1307" s="223"/>
      <c r="B1307" s="223" t="s">
        <v>200</v>
      </c>
      <c r="C1307" s="223"/>
      <c r="D1307" s="316"/>
      <c r="E1307" s="218"/>
      <c r="F1307" s="218"/>
      <c r="G1307" s="218" t="s">
        <v>200</v>
      </c>
      <c r="H1307" s="223">
        <v>0.0</v>
      </c>
      <c r="J1307" s="223"/>
      <c r="K1307" s="317">
        <v>1899.0</v>
      </c>
    </row>
    <row r="1308">
      <c r="A1308" s="223"/>
      <c r="B1308" s="223" t="s">
        <v>200</v>
      </c>
      <c r="C1308" s="223"/>
      <c r="D1308" s="316"/>
      <c r="E1308" s="218"/>
      <c r="F1308" s="218"/>
      <c r="G1308" s="218" t="s">
        <v>200</v>
      </c>
      <c r="H1308" s="223">
        <v>0.0</v>
      </c>
      <c r="J1308" s="223"/>
      <c r="K1308" s="317">
        <v>1899.0</v>
      </c>
    </row>
    <row r="1309">
      <c r="A1309" s="223"/>
      <c r="B1309" s="223" t="s">
        <v>200</v>
      </c>
      <c r="C1309" s="223"/>
      <c r="D1309" s="316"/>
      <c r="E1309" s="218"/>
      <c r="F1309" s="218"/>
      <c r="G1309" s="218" t="s">
        <v>200</v>
      </c>
      <c r="H1309" s="223">
        <v>0.0</v>
      </c>
      <c r="J1309" s="223"/>
      <c r="K1309" s="317">
        <v>1899.0</v>
      </c>
    </row>
    <row r="1310">
      <c r="A1310" s="223"/>
      <c r="B1310" s="223" t="s">
        <v>200</v>
      </c>
      <c r="C1310" s="223"/>
      <c r="D1310" s="316"/>
      <c r="E1310" s="218"/>
      <c r="F1310" s="218"/>
      <c r="G1310" s="218" t="s">
        <v>200</v>
      </c>
      <c r="H1310" s="223">
        <v>0.0</v>
      </c>
      <c r="J1310" s="223"/>
      <c r="K1310" s="317">
        <v>1899.0</v>
      </c>
    </row>
    <row r="1311">
      <c r="A1311" s="223"/>
      <c r="B1311" s="223" t="s">
        <v>200</v>
      </c>
      <c r="C1311" s="223"/>
      <c r="D1311" s="316"/>
      <c r="E1311" s="218"/>
      <c r="F1311" s="218"/>
      <c r="G1311" s="218" t="s">
        <v>200</v>
      </c>
      <c r="H1311" s="223">
        <v>0.0</v>
      </c>
      <c r="J1311" s="223"/>
      <c r="K1311" s="317">
        <v>1899.0</v>
      </c>
    </row>
    <row r="1312">
      <c r="A1312" s="223"/>
      <c r="B1312" s="223" t="s">
        <v>200</v>
      </c>
      <c r="C1312" s="223"/>
      <c r="D1312" s="316"/>
      <c r="E1312" s="218"/>
      <c r="F1312" s="218"/>
      <c r="G1312" s="218" t="s">
        <v>200</v>
      </c>
      <c r="H1312" s="223">
        <v>0.0</v>
      </c>
      <c r="J1312" s="223"/>
      <c r="K1312" s="317">
        <v>1899.0</v>
      </c>
    </row>
    <row r="1313">
      <c r="A1313" s="223"/>
      <c r="B1313" s="223" t="s">
        <v>200</v>
      </c>
      <c r="C1313" s="223"/>
      <c r="D1313" s="316"/>
      <c r="E1313" s="218"/>
      <c r="F1313" s="218"/>
      <c r="G1313" s="218" t="s">
        <v>200</v>
      </c>
      <c r="H1313" s="223">
        <v>0.0</v>
      </c>
      <c r="J1313" s="223"/>
      <c r="K1313" s="317">
        <v>1899.0</v>
      </c>
    </row>
    <row r="1314">
      <c r="A1314" s="223"/>
      <c r="B1314" s="223" t="s">
        <v>200</v>
      </c>
      <c r="C1314" s="223"/>
      <c r="D1314" s="316"/>
      <c r="E1314" s="218"/>
      <c r="F1314" s="218"/>
      <c r="G1314" s="218" t="s">
        <v>200</v>
      </c>
      <c r="H1314" s="223">
        <v>0.0</v>
      </c>
      <c r="J1314" s="223"/>
      <c r="K1314" s="317">
        <v>1899.0</v>
      </c>
    </row>
    <row r="1315">
      <c r="A1315" s="223"/>
      <c r="B1315" s="223" t="s">
        <v>200</v>
      </c>
      <c r="C1315" s="223"/>
      <c r="D1315" s="316"/>
      <c r="E1315" s="218"/>
      <c r="F1315" s="218"/>
      <c r="G1315" s="218" t="s">
        <v>200</v>
      </c>
      <c r="H1315" s="223">
        <v>0.0</v>
      </c>
      <c r="J1315" s="223"/>
      <c r="K1315" s="317">
        <v>1899.0</v>
      </c>
    </row>
    <row r="1316">
      <c r="A1316" s="223"/>
      <c r="B1316" s="223" t="s">
        <v>200</v>
      </c>
      <c r="C1316" s="223"/>
      <c r="D1316" s="316"/>
      <c r="E1316" s="218"/>
      <c r="F1316" s="218"/>
      <c r="G1316" s="218" t="s">
        <v>200</v>
      </c>
      <c r="H1316" s="223">
        <v>0.0</v>
      </c>
      <c r="J1316" s="223"/>
      <c r="K1316" s="317">
        <v>1899.0</v>
      </c>
    </row>
    <row r="1317">
      <c r="A1317" s="223"/>
      <c r="B1317" s="223" t="s">
        <v>200</v>
      </c>
      <c r="C1317" s="223"/>
      <c r="D1317" s="316"/>
      <c r="E1317" s="218"/>
      <c r="F1317" s="218"/>
      <c r="G1317" s="218" t="s">
        <v>200</v>
      </c>
      <c r="H1317" s="223">
        <v>0.0</v>
      </c>
      <c r="J1317" s="223"/>
      <c r="K1317" s="317">
        <v>1899.0</v>
      </c>
    </row>
    <row r="1318">
      <c r="A1318" s="223"/>
      <c r="B1318" s="223" t="s">
        <v>200</v>
      </c>
      <c r="C1318" s="223"/>
      <c r="D1318" s="316"/>
      <c r="E1318" s="218"/>
      <c r="F1318" s="218"/>
      <c r="G1318" s="218" t="s">
        <v>200</v>
      </c>
      <c r="H1318" s="223">
        <v>0.0</v>
      </c>
      <c r="J1318" s="223"/>
      <c r="K1318" s="317">
        <v>1899.0</v>
      </c>
    </row>
    <row r="1319">
      <c r="A1319" s="223"/>
      <c r="B1319" s="223" t="s">
        <v>200</v>
      </c>
      <c r="C1319" s="223"/>
      <c r="D1319" s="316"/>
      <c r="E1319" s="218"/>
      <c r="F1319" s="218"/>
      <c r="G1319" s="218" t="s">
        <v>200</v>
      </c>
      <c r="H1319" s="223">
        <v>0.0</v>
      </c>
      <c r="J1319" s="223"/>
      <c r="K1319" s="317">
        <v>1899.0</v>
      </c>
    </row>
    <row r="1320">
      <c r="A1320" s="223"/>
      <c r="B1320" s="223" t="s">
        <v>200</v>
      </c>
      <c r="C1320" s="223"/>
      <c r="D1320" s="316"/>
      <c r="E1320" s="218"/>
      <c r="F1320" s="218"/>
      <c r="G1320" s="218" t="s">
        <v>200</v>
      </c>
      <c r="H1320" s="223">
        <v>0.0</v>
      </c>
      <c r="J1320" s="223"/>
      <c r="K1320" s="317">
        <v>1899.0</v>
      </c>
    </row>
    <row r="1321">
      <c r="A1321" s="223"/>
      <c r="B1321" s="223" t="s">
        <v>200</v>
      </c>
      <c r="C1321" s="223"/>
      <c r="D1321" s="316"/>
      <c r="E1321" s="218"/>
      <c r="F1321" s="218"/>
      <c r="G1321" s="218" t="s">
        <v>200</v>
      </c>
      <c r="H1321" s="223">
        <v>0.0</v>
      </c>
      <c r="J1321" s="223"/>
      <c r="K1321" s="317">
        <v>1899.0</v>
      </c>
    </row>
    <row r="1322">
      <c r="A1322" s="223"/>
      <c r="B1322" s="223" t="s">
        <v>200</v>
      </c>
      <c r="C1322" s="223"/>
      <c r="D1322" s="316"/>
      <c r="E1322" s="218"/>
      <c r="F1322" s="218"/>
      <c r="G1322" s="218" t="s">
        <v>200</v>
      </c>
      <c r="H1322" s="223">
        <v>0.0</v>
      </c>
      <c r="J1322" s="223"/>
      <c r="K1322" s="317">
        <v>1899.0</v>
      </c>
    </row>
    <row r="1323">
      <c r="A1323" s="223"/>
      <c r="B1323" s="223" t="s">
        <v>200</v>
      </c>
      <c r="C1323" s="223"/>
      <c r="D1323" s="316"/>
      <c r="E1323" s="218"/>
      <c r="F1323" s="218"/>
      <c r="G1323" s="218" t="s">
        <v>200</v>
      </c>
      <c r="H1323" s="223">
        <v>0.0</v>
      </c>
      <c r="J1323" s="223"/>
      <c r="K1323" s="317">
        <v>1899.0</v>
      </c>
    </row>
    <row r="1324">
      <c r="A1324" s="223"/>
      <c r="B1324" s="223" t="s">
        <v>200</v>
      </c>
      <c r="C1324" s="223"/>
      <c r="D1324" s="316"/>
      <c r="E1324" s="218"/>
      <c r="F1324" s="218"/>
      <c r="G1324" s="218" t="s">
        <v>200</v>
      </c>
      <c r="H1324" s="223">
        <v>0.0</v>
      </c>
      <c r="J1324" s="223"/>
      <c r="K1324" s="317">
        <v>1899.0</v>
      </c>
    </row>
    <row r="1325">
      <c r="A1325" s="223"/>
      <c r="B1325" s="223" t="s">
        <v>200</v>
      </c>
      <c r="C1325" s="223"/>
      <c r="D1325" s="316"/>
      <c r="E1325" s="218"/>
      <c r="F1325" s="218"/>
      <c r="G1325" s="218" t="s">
        <v>200</v>
      </c>
      <c r="H1325" s="223">
        <v>0.0</v>
      </c>
      <c r="J1325" s="223"/>
      <c r="K1325" s="317">
        <v>1899.0</v>
      </c>
    </row>
    <row r="1326">
      <c r="A1326" s="223"/>
      <c r="B1326" s="223" t="s">
        <v>200</v>
      </c>
      <c r="C1326" s="223"/>
      <c r="D1326" s="316"/>
      <c r="E1326" s="218"/>
      <c r="F1326" s="218"/>
      <c r="G1326" s="218" t="s">
        <v>200</v>
      </c>
      <c r="H1326" s="223">
        <v>0.0</v>
      </c>
      <c r="J1326" s="223"/>
      <c r="K1326" s="317">
        <v>1899.0</v>
      </c>
    </row>
    <row r="1327">
      <c r="A1327" s="223"/>
      <c r="B1327" s="223" t="s">
        <v>200</v>
      </c>
      <c r="C1327" s="223"/>
      <c r="D1327" s="316"/>
      <c r="E1327" s="218"/>
      <c r="F1327" s="218"/>
      <c r="G1327" s="218" t="s">
        <v>200</v>
      </c>
      <c r="H1327" s="223">
        <v>0.0</v>
      </c>
      <c r="J1327" s="223"/>
      <c r="K1327" s="317">
        <v>1899.0</v>
      </c>
    </row>
    <row r="1328">
      <c r="A1328" s="223"/>
      <c r="B1328" s="223" t="s">
        <v>200</v>
      </c>
      <c r="C1328" s="223"/>
      <c r="D1328" s="316"/>
      <c r="E1328" s="218"/>
      <c r="F1328" s="218"/>
      <c r="G1328" s="218" t="s">
        <v>200</v>
      </c>
      <c r="H1328" s="223">
        <v>0.0</v>
      </c>
      <c r="J1328" s="223"/>
      <c r="K1328" s="317">
        <v>1899.0</v>
      </c>
    </row>
    <row r="1329">
      <c r="A1329" s="223"/>
      <c r="B1329" s="223" t="s">
        <v>200</v>
      </c>
      <c r="C1329" s="223"/>
      <c r="D1329" s="316"/>
      <c r="E1329" s="218"/>
      <c r="F1329" s="218"/>
      <c r="G1329" s="218" t="s">
        <v>200</v>
      </c>
      <c r="H1329" s="223">
        <v>0.0</v>
      </c>
      <c r="J1329" s="223"/>
      <c r="K1329" s="317">
        <v>1899.0</v>
      </c>
    </row>
    <row r="1330">
      <c r="A1330" s="223"/>
      <c r="B1330" s="223" t="s">
        <v>200</v>
      </c>
      <c r="C1330" s="223"/>
      <c r="D1330" s="316"/>
      <c r="E1330" s="218"/>
      <c r="F1330" s="218"/>
      <c r="G1330" s="218" t="s">
        <v>200</v>
      </c>
      <c r="H1330" s="223">
        <v>0.0</v>
      </c>
      <c r="J1330" s="223"/>
      <c r="K1330" s="317">
        <v>1899.0</v>
      </c>
    </row>
    <row r="1331">
      <c r="A1331" s="223"/>
      <c r="B1331" s="223" t="s">
        <v>200</v>
      </c>
      <c r="C1331" s="223"/>
      <c r="D1331" s="316"/>
      <c r="E1331" s="218"/>
      <c r="F1331" s="218"/>
      <c r="G1331" s="218" t="s">
        <v>200</v>
      </c>
      <c r="H1331" s="223">
        <v>0.0</v>
      </c>
      <c r="J1331" s="223"/>
      <c r="K1331" s="317">
        <v>1899.0</v>
      </c>
    </row>
    <row r="1332">
      <c r="A1332" s="223"/>
      <c r="B1332" s="223" t="s">
        <v>200</v>
      </c>
      <c r="C1332" s="223"/>
      <c r="D1332" s="316"/>
      <c r="E1332" s="218"/>
      <c r="F1332" s="218"/>
      <c r="G1332" s="218" t="s">
        <v>200</v>
      </c>
      <c r="H1332" s="223">
        <v>0.0</v>
      </c>
      <c r="J1332" s="223"/>
      <c r="K1332" s="317">
        <v>1899.0</v>
      </c>
    </row>
    <row r="1333">
      <c r="A1333" s="223"/>
      <c r="B1333" s="223" t="s">
        <v>200</v>
      </c>
      <c r="C1333" s="223"/>
      <c r="D1333" s="316"/>
      <c r="E1333" s="218"/>
      <c r="F1333" s="218"/>
      <c r="G1333" s="218" t="s">
        <v>200</v>
      </c>
      <c r="H1333" s="223">
        <v>0.0</v>
      </c>
      <c r="J1333" s="223"/>
      <c r="K1333" s="317">
        <v>1899.0</v>
      </c>
    </row>
    <row r="1334">
      <c r="A1334" s="223"/>
      <c r="B1334" s="223" t="s">
        <v>200</v>
      </c>
      <c r="C1334" s="223"/>
      <c r="D1334" s="316"/>
      <c r="E1334" s="218"/>
      <c r="F1334" s="218"/>
      <c r="G1334" s="218" t="s">
        <v>200</v>
      </c>
      <c r="H1334" s="223">
        <v>0.0</v>
      </c>
      <c r="J1334" s="223"/>
      <c r="K1334" s="317">
        <v>1899.0</v>
      </c>
    </row>
    <row r="1335">
      <c r="A1335" s="223"/>
      <c r="B1335" s="223" t="s">
        <v>200</v>
      </c>
      <c r="C1335" s="223"/>
      <c r="D1335" s="316"/>
      <c r="E1335" s="218"/>
      <c r="F1335" s="218"/>
      <c r="G1335" s="218" t="s">
        <v>200</v>
      </c>
      <c r="H1335" s="223">
        <v>0.0</v>
      </c>
      <c r="J1335" s="223"/>
      <c r="K1335" s="317">
        <v>1899.0</v>
      </c>
    </row>
    <row r="1336">
      <c r="A1336" s="223"/>
      <c r="B1336" s="223" t="s">
        <v>200</v>
      </c>
      <c r="C1336" s="223"/>
      <c r="D1336" s="316"/>
      <c r="E1336" s="218"/>
      <c r="F1336" s="218"/>
      <c r="G1336" s="218" t="s">
        <v>200</v>
      </c>
      <c r="H1336" s="223">
        <v>0.0</v>
      </c>
      <c r="J1336" s="223"/>
      <c r="K1336" s="317">
        <v>1899.0</v>
      </c>
    </row>
    <row r="1337">
      <c r="A1337" s="223"/>
      <c r="B1337" s="223" t="s">
        <v>200</v>
      </c>
      <c r="C1337" s="223"/>
      <c r="D1337" s="316"/>
      <c r="E1337" s="218"/>
      <c r="F1337" s="218"/>
      <c r="G1337" s="218" t="s">
        <v>200</v>
      </c>
      <c r="H1337" s="223">
        <v>0.0</v>
      </c>
      <c r="J1337" s="223"/>
      <c r="K1337" s="317">
        <v>1899.0</v>
      </c>
    </row>
    <row r="1338">
      <c r="A1338" s="223"/>
      <c r="B1338" s="223" t="s">
        <v>200</v>
      </c>
      <c r="C1338" s="223"/>
      <c r="D1338" s="316"/>
      <c r="E1338" s="218"/>
      <c r="F1338" s="218"/>
      <c r="G1338" s="218" t="s">
        <v>200</v>
      </c>
      <c r="H1338" s="223">
        <v>0.0</v>
      </c>
      <c r="J1338" s="223"/>
      <c r="K1338" s="317">
        <v>1899.0</v>
      </c>
    </row>
    <row r="1339">
      <c r="A1339" s="223"/>
      <c r="B1339" s="223" t="s">
        <v>200</v>
      </c>
      <c r="C1339" s="223"/>
      <c r="D1339" s="316"/>
      <c r="E1339" s="218"/>
      <c r="F1339" s="218"/>
      <c r="G1339" s="218" t="s">
        <v>200</v>
      </c>
      <c r="H1339" s="223">
        <v>0.0</v>
      </c>
      <c r="J1339" s="223"/>
      <c r="K1339" s="317">
        <v>1899.0</v>
      </c>
    </row>
    <row r="1340">
      <c r="A1340" s="223"/>
      <c r="B1340" s="223" t="s">
        <v>200</v>
      </c>
      <c r="C1340" s="223"/>
      <c r="D1340" s="316"/>
      <c r="E1340" s="218"/>
      <c r="F1340" s="218"/>
      <c r="G1340" s="218" t="s">
        <v>200</v>
      </c>
      <c r="H1340" s="223">
        <v>0.0</v>
      </c>
      <c r="J1340" s="223"/>
      <c r="K1340" s="317">
        <v>1899.0</v>
      </c>
    </row>
    <row r="1341">
      <c r="A1341" s="223"/>
      <c r="B1341" s="223" t="s">
        <v>200</v>
      </c>
      <c r="C1341" s="223"/>
      <c r="D1341" s="316"/>
      <c r="E1341" s="218"/>
      <c r="F1341" s="218"/>
      <c r="G1341" s="218" t="s">
        <v>200</v>
      </c>
      <c r="H1341" s="223">
        <v>0.0</v>
      </c>
      <c r="J1341" s="223"/>
      <c r="K1341" s="317">
        <v>1899.0</v>
      </c>
    </row>
    <row r="1342">
      <c r="A1342" s="223"/>
      <c r="B1342" s="223" t="s">
        <v>200</v>
      </c>
      <c r="C1342" s="223"/>
      <c r="D1342" s="316"/>
      <c r="E1342" s="218"/>
      <c r="F1342" s="218"/>
      <c r="G1342" s="218" t="s">
        <v>200</v>
      </c>
      <c r="H1342" s="223">
        <v>0.0</v>
      </c>
      <c r="J1342" s="223"/>
      <c r="K1342" s="317">
        <v>1899.0</v>
      </c>
    </row>
    <row r="1343">
      <c r="A1343" s="223"/>
      <c r="B1343" s="223" t="s">
        <v>200</v>
      </c>
      <c r="C1343" s="223"/>
      <c r="D1343" s="316"/>
      <c r="E1343" s="218"/>
      <c r="F1343" s="218"/>
      <c r="G1343" s="218" t="s">
        <v>200</v>
      </c>
      <c r="H1343" s="223">
        <v>0.0</v>
      </c>
      <c r="J1343" s="223"/>
      <c r="K1343" s="317">
        <v>1899.0</v>
      </c>
    </row>
    <row r="1344">
      <c r="A1344" s="223"/>
      <c r="B1344" s="223" t="s">
        <v>200</v>
      </c>
      <c r="C1344" s="223"/>
      <c r="D1344" s="316"/>
      <c r="E1344" s="218"/>
      <c r="F1344" s="218"/>
      <c r="G1344" s="218" t="s">
        <v>200</v>
      </c>
      <c r="H1344" s="223">
        <v>0.0</v>
      </c>
      <c r="J1344" s="223"/>
      <c r="K1344" s="317">
        <v>1899.0</v>
      </c>
    </row>
    <row r="1345">
      <c r="A1345" s="223"/>
      <c r="B1345" s="223" t="s">
        <v>200</v>
      </c>
      <c r="C1345" s="223"/>
      <c r="D1345" s="316"/>
      <c r="E1345" s="218"/>
      <c r="F1345" s="218"/>
      <c r="G1345" s="218" t="s">
        <v>200</v>
      </c>
      <c r="H1345" s="223">
        <v>0.0</v>
      </c>
      <c r="J1345" s="223"/>
      <c r="K1345" s="317">
        <v>1899.0</v>
      </c>
    </row>
    <row r="1346">
      <c r="A1346" s="223"/>
      <c r="B1346" s="223" t="s">
        <v>200</v>
      </c>
      <c r="C1346" s="223"/>
      <c r="D1346" s="316"/>
      <c r="E1346" s="218"/>
      <c r="F1346" s="218"/>
      <c r="G1346" s="218" t="s">
        <v>200</v>
      </c>
      <c r="H1346" s="223">
        <v>0.0</v>
      </c>
      <c r="J1346" s="223"/>
      <c r="K1346" s="317">
        <v>1899.0</v>
      </c>
    </row>
    <row r="1347">
      <c r="A1347" s="223"/>
      <c r="B1347" s="223" t="s">
        <v>200</v>
      </c>
      <c r="C1347" s="223"/>
      <c r="D1347" s="316"/>
      <c r="E1347" s="218"/>
      <c r="F1347" s="218"/>
      <c r="G1347" s="218" t="s">
        <v>200</v>
      </c>
      <c r="H1347" s="223">
        <v>0.0</v>
      </c>
      <c r="J1347" s="223"/>
      <c r="K1347" s="317">
        <v>1899.0</v>
      </c>
    </row>
    <row r="1348">
      <c r="A1348" s="223"/>
      <c r="B1348" s="223" t="s">
        <v>200</v>
      </c>
      <c r="C1348" s="223"/>
      <c r="D1348" s="316"/>
      <c r="E1348" s="218"/>
      <c r="F1348" s="218"/>
      <c r="G1348" s="218" t="s">
        <v>200</v>
      </c>
      <c r="H1348" s="223">
        <v>0.0</v>
      </c>
      <c r="J1348" s="223"/>
      <c r="K1348" s="317">
        <v>1899.0</v>
      </c>
    </row>
    <row r="1349">
      <c r="A1349" s="223"/>
      <c r="B1349" s="223" t="s">
        <v>200</v>
      </c>
      <c r="C1349" s="223"/>
      <c r="D1349" s="316"/>
      <c r="E1349" s="218"/>
      <c r="F1349" s="218"/>
      <c r="G1349" s="218" t="s">
        <v>200</v>
      </c>
      <c r="H1349" s="223">
        <v>0.0</v>
      </c>
      <c r="J1349" s="223"/>
      <c r="K1349" s="317">
        <v>1899.0</v>
      </c>
    </row>
    <row r="1350">
      <c r="A1350" s="223"/>
      <c r="B1350" s="223" t="s">
        <v>200</v>
      </c>
      <c r="C1350" s="223"/>
      <c r="D1350" s="316"/>
      <c r="E1350" s="218"/>
      <c r="F1350" s="218"/>
      <c r="G1350" s="218" t="s">
        <v>200</v>
      </c>
      <c r="H1350" s="223">
        <v>0.0</v>
      </c>
      <c r="J1350" s="223"/>
      <c r="K1350" s="317">
        <v>1899.0</v>
      </c>
    </row>
    <row r="1351">
      <c r="A1351" s="223"/>
      <c r="B1351" s="223" t="s">
        <v>200</v>
      </c>
      <c r="C1351" s="223"/>
      <c r="D1351" s="316"/>
      <c r="E1351" s="218"/>
      <c r="F1351" s="218"/>
      <c r="G1351" s="218" t="s">
        <v>200</v>
      </c>
      <c r="H1351" s="223">
        <v>0.0</v>
      </c>
      <c r="J1351" s="223"/>
      <c r="K1351" s="317">
        <v>1899.0</v>
      </c>
    </row>
    <row r="1352">
      <c r="A1352" s="223"/>
      <c r="B1352" s="223" t="s">
        <v>200</v>
      </c>
      <c r="C1352" s="223"/>
      <c r="D1352" s="316"/>
      <c r="E1352" s="218"/>
      <c r="F1352" s="218"/>
      <c r="G1352" s="218" t="s">
        <v>200</v>
      </c>
      <c r="H1352" s="223">
        <v>0.0</v>
      </c>
      <c r="J1352" s="223"/>
      <c r="K1352" s="317">
        <v>1899.0</v>
      </c>
    </row>
    <row r="1353">
      <c r="A1353" s="223"/>
      <c r="B1353" s="223" t="s">
        <v>200</v>
      </c>
      <c r="C1353" s="223"/>
      <c r="D1353" s="316"/>
      <c r="E1353" s="218"/>
      <c r="F1353" s="218"/>
      <c r="G1353" s="218" t="s">
        <v>200</v>
      </c>
      <c r="H1353" s="223">
        <v>0.0</v>
      </c>
      <c r="J1353" s="223"/>
      <c r="K1353" s="317">
        <v>1899.0</v>
      </c>
    </row>
    <row r="1354">
      <c r="A1354" s="223"/>
      <c r="B1354" s="223" t="s">
        <v>200</v>
      </c>
      <c r="C1354" s="223"/>
      <c r="D1354" s="316"/>
      <c r="E1354" s="218"/>
      <c r="F1354" s="218"/>
      <c r="G1354" s="218" t="s">
        <v>200</v>
      </c>
      <c r="H1354" s="223">
        <v>0.0</v>
      </c>
      <c r="J1354" s="223"/>
      <c r="K1354" s="317">
        <v>1899.0</v>
      </c>
    </row>
    <row r="1355">
      <c r="A1355" s="223"/>
      <c r="B1355" s="223" t="s">
        <v>200</v>
      </c>
      <c r="C1355" s="223"/>
      <c r="D1355" s="316"/>
      <c r="E1355" s="218"/>
      <c r="F1355" s="218"/>
      <c r="G1355" s="218" t="s">
        <v>200</v>
      </c>
      <c r="H1355" s="223">
        <v>0.0</v>
      </c>
      <c r="J1355" s="223"/>
      <c r="K1355" s="317">
        <v>1899.0</v>
      </c>
    </row>
    <row r="1356">
      <c r="A1356" s="223"/>
      <c r="B1356" s="223" t="s">
        <v>200</v>
      </c>
      <c r="C1356" s="223"/>
      <c r="D1356" s="316"/>
      <c r="E1356" s="218"/>
      <c r="F1356" s="218"/>
      <c r="G1356" s="218" t="s">
        <v>200</v>
      </c>
      <c r="H1356" s="223">
        <v>0.0</v>
      </c>
      <c r="J1356" s="223"/>
      <c r="K1356" s="317">
        <v>1899.0</v>
      </c>
    </row>
    <row r="1357">
      <c r="A1357" s="223"/>
      <c r="B1357" s="223" t="s">
        <v>200</v>
      </c>
      <c r="C1357" s="223"/>
      <c r="D1357" s="316"/>
      <c r="E1357" s="218"/>
      <c r="F1357" s="218"/>
      <c r="G1357" s="218" t="s">
        <v>200</v>
      </c>
      <c r="H1357" s="223">
        <v>0.0</v>
      </c>
      <c r="J1357" s="223"/>
      <c r="K1357" s="317">
        <v>1899.0</v>
      </c>
    </row>
    <row r="1358">
      <c r="A1358" s="223"/>
      <c r="B1358" s="223" t="s">
        <v>200</v>
      </c>
      <c r="C1358" s="223"/>
      <c r="D1358" s="316"/>
      <c r="E1358" s="218"/>
      <c r="F1358" s="218"/>
      <c r="G1358" s="218" t="s">
        <v>200</v>
      </c>
      <c r="H1358" s="223">
        <v>0.0</v>
      </c>
      <c r="J1358" s="223"/>
      <c r="K1358" s="317">
        <v>1899.0</v>
      </c>
    </row>
    <row r="1359">
      <c r="A1359" s="223"/>
      <c r="B1359" s="223" t="s">
        <v>200</v>
      </c>
      <c r="C1359" s="223"/>
      <c r="D1359" s="316"/>
      <c r="E1359" s="218"/>
      <c r="F1359" s="218"/>
      <c r="G1359" s="218" t="s">
        <v>200</v>
      </c>
      <c r="H1359" s="223">
        <v>0.0</v>
      </c>
      <c r="J1359" s="223"/>
      <c r="K1359" s="317">
        <v>1899.0</v>
      </c>
    </row>
    <row r="1360">
      <c r="A1360" s="223"/>
      <c r="B1360" s="223" t="s">
        <v>200</v>
      </c>
      <c r="C1360" s="223"/>
      <c r="D1360" s="316"/>
      <c r="E1360" s="218"/>
      <c r="F1360" s="218"/>
      <c r="G1360" s="218" t="s">
        <v>200</v>
      </c>
      <c r="H1360" s="223">
        <v>0.0</v>
      </c>
      <c r="J1360" s="223"/>
      <c r="K1360" s="317">
        <v>1899.0</v>
      </c>
    </row>
    <row r="1361">
      <c r="A1361" s="223"/>
      <c r="B1361" s="223" t="s">
        <v>200</v>
      </c>
      <c r="C1361" s="223"/>
      <c r="D1361" s="316"/>
      <c r="E1361" s="218"/>
      <c r="F1361" s="218"/>
      <c r="G1361" s="218" t="s">
        <v>200</v>
      </c>
      <c r="H1361" s="223">
        <v>0.0</v>
      </c>
      <c r="J1361" s="223"/>
      <c r="K1361" s="317">
        <v>1899.0</v>
      </c>
    </row>
    <row r="1362">
      <c r="A1362" s="223"/>
      <c r="B1362" s="223" t="s">
        <v>200</v>
      </c>
      <c r="C1362" s="223"/>
      <c r="D1362" s="316"/>
      <c r="E1362" s="218"/>
      <c r="F1362" s="218"/>
      <c r="G1362" s="218" t="s">
        <v>200</v>
      </c>
      <c r="H1362" s="223">
        <v>0.0</v>
      </c>
      <c r="J1362" s="223"/>
      <c r="K1362" s="317">
        <v>1899.0</v>
      </c>
    </row>
    <row r="1363">
      <c r="A1363" s="223"/>
      <c r="B1363" s="223" t="s">
        <v>200</v>
      </c>
      <c r="C1363" s="223"/>
      <c r="D1363" s="316"/>
      <c r="E1363" s="218"/>
      <c r="F1363" s="218"/>
      <c r="G1363" s="218" t="s">
        <v>200</v>
      </c>
      <c r="H1363" s="223">
        <v>0.0</v>
      </c>
      <c r="J1363" s="223"/>
      <c r="K1363" s="317">
        <v>1899.0</v>
      </c>
    </row>
    <row r="1364">
      <c r="A1364" s="223"/>
      <c r="B1364" s="223" t="s">
        <v>200</v>
      </c>
      <c r="C1364" s="223"/>
      <c r="D1364" s="316"/>
      <c r="E1364" s="218"/>
      <c r="F1364" s="218"/>
      <c r="G1364" s="218" t="s">
        <v>200</v>
      </c>
      <c r="H1364" s="223">
        <v>0.0</v>
      </c>
      <c r="J1364" s="223"/>
      <c r="K1364" s="317">
        <v>1899.0</v>
      </c>
    </row>
    <row r="1365">
      <c r="A1365" s="223"/>
      <c r="B1365" s="223" t="s">
        <v>200</v>
      </c>
      <c r="C1365" s="223"/>
      <c r="D1365" s="316"/>
      <c r="E1365" s="218"/>
      <c r="F1365" s="218"/>
      <c r="G1365" s="218" t="s">
        <v>200</v>
      </c>
      <c r="H1365" s="223">
        <v>0.0</v>
      </c>
      <c r="J1365" s="223"/>
      <c r="K1365" s="317">
        <v>1899.0</v>
      </c>
    </row>
    <row r="1366">
      <c r="A1366" s="223"/>
      <c r="B1366" s="223" t="s">
        <v>200</v>
      </c>
      <c r="C1366" s="223"/>
      <c r="D1366" s="316"/>
      <c r="E1366" s="218"/>
      <c r="F1366" s="218"/>
      <c r="G1366" s="218" t="s">
        <v>200</v>
      </c>
      <c r="H1366" s="223">
        <v>0.0</v>
      </c>
      <c r="J1366" s="223"/>
      <c r="K1366" s="317">
        <v>1899.0</v>
      </c>
    </row>
    <row r="1367">
      <c r="A1367" s="223"/>
      <c r="B1367" s="223" t="s">
        <v>200</v>
      </c>
      <c r="C1367" s="223"/>
      <c r="D1367" s="316"/>
      <c r="E1367" s="218"/>
      <c r="F1367" s="218"/>
      <c r="G1367" s="218" t="s">
        <v>200</v>
      </c>
      <c r="H1367" s="223">
        <v>0.0</v>
      </c>
      <c r="J1367" s="223"/>
      <c r="K1367" s="317">
        <v>1899.0</v>
      </c>
    </row>
    <row r="1368">
      <c r="A1368" s="223"/>
      <c r="B1368" s="223" t="s">
        <v>200</v>
      </c>
      <c r="C1368" s="223"/>
      <c r="D1368" s="316"/>
      <c r="E1368" s="218"/>
      <c r="F1368" s="218"/>
      <c r="G1368" s="218" t="s">
        <v>200</v>
      </c>
      <c r="H1368" s="223">
        <v>0.0</v>
      </c>
      <c r="J1368" s="223"/>
      <c r="K1368" s="317">
        <v>1899.0</v>
      </c>
    </row>
    <row r="1369">
      <c r="A1369" s="223"/>
      <c r="B1369" s="223" t="s">
        <v>200</v>
      </c>
      <c r="C1369" s="223"/>
      <c r="D1369" s="316"/>
      <c r="E1369" s="218"/>
      <c r="F1369" s="218"/>
      <c r="G1369" s="218" t="s">
        <v>200</v>
      </c>
      <c r="H1369" s="223">
        <v>0.0</v>
      </c>
      <c r="J1369" s="223"/>
      <c r="K1369" s="317">
        <v>1899.0</v>
      </c>
    </row>
    <row r="1370">
      <c r="A1370" s="223"/>
      <c r="B1370" s="223" t="s">
        <v>200</v>
      </c>
      <c r="C1370" s="223"/>
      <c r="D1370" s="316"/>
      <c r="E1370" s="218"/>
      <c r="F1370" s="218"/>
      <c r="G1370" s="218" t="s">
        <v>200</v>
      </c>
      <c r="H1370" s="223">
        <v>0.0</v>
      </c>
      <c r="J1370" s="223"/>
      <c r="K1370" s="317">
        <v>1899.0</v>
      </c>
    </row>
    <row r="1371">
      <c r="A1371" s="223"/>
      <c r="B1371" s="223" t="s">
        <v>200</v>
      </c>
      <c r="C1371" s="223"/>
      <c r="D1371" s="316"/>
      <c r="E1371" s="218"/>
      <c r="F1371" s="218"/>
      <c r="G1371" s="218" t="s">
        <v>200</v>
      </c>
      <c r="H1371" s="223">
        <v>0.0</v>
      </c>
      <c r="J1371" s="223"/>
      <c r="K1371" s="317">
        <v>1899.0</v>
      </c>
    </row>
    <row r="1372">
      <c r="A1372" s="223"/>
      <c r="B1372" s="223" t="s">
        <v>200</v>
      </c>
      <c r="C1372" s="223"/>
      <c r="D1372" s="316"/>
      <c r="E1372" s="218"/>
      <c r="F1372" s="218"/>
      <c r="G1372" s="218" t="s">
        <v>200</v>
      </c>
      <c r="H1372" s="223">
        <v>0.0</v>
      </c>
      <c r="J1372" s="223"/>
      <c r="K1372" s="317">
        <v>1899.0</v>
      </c>
    </row>
    <row r="1373">
      <c r="A1373" s="223"/>
      <c r="B1373" s="223" t="s">
        <v>200</v>
      </c>
      <c r="C1373" s="223"/>
      <c r="D1373" s="316"/>
      <c r="E1373" s="218"/>
      <c r="F1373" s="218"/>
      <c r="G1373" s="218" t="s">
        <v>200</v>
      </c>
      <c r="H1373" s="223">
        <v>0.0</v>
      </c>
      <c r="J1373" s="223"/>
      <c r="K1373" s="317">
        <v>1899.0</v>
      </c>
    </row>
    <row r="1374">
      <c r="A1374" s="223"/>
      <c r="B1374" s="223" t="s">
        <v>200</v>
      </c>
      <c r="C1374" s="223"/>
      <c r="D1374" s="316"/>
      <c r="E1374" s="218"/>
      <c r="F1374" s="218"/>
      <c r="G1374" s="218" t="s">
        <v>200</v>
      </c>
      <c r="H1374" s="223">
        <v>0.0</v>
      </c>
      <c r="J1374" s="223"/>
      <c r="K1374" s="317">
        <v>1899.0</v>
      </c>
    </row>
    <row r="1375">
      <c r="A1375" s="223"/>
      <c r="B1375" s="223" t="s">
        <v>200</v>
      </c>
      <c r="C1375" s="223"/>
      <c r="D1375" s="316"/>
      <c r="E1375" s="218"/>
      <c r="F1375" s="218"/>
      <c r="G1375" s="218" t="s">
        <v>200</v>
      </c>
      <c r="H1375" s="223">
        <v>0.0</v>
      </c>
      <c r="J1375" s="223"/>
      <c r="K1375" s="317">
        <v>1899.0</v>
      </c>
    </row>
    <row r="1376">
      <c r="A1376" s="223"/>
      <c r="B1376" s="223" t="s">
        <v>200</v>
      </c>
      <c r="C1376" s="223"/>
      <c r="D1376" s="316"/>
      <c r="E1376" s="218"/>
      <c r="F1376" s="218"/>
      <c r="G1376" s="218" t="s">
        <v>200</v>
      </c>
      <c r="H1376" s="223">
        <v>0.0</v>
      </c>
      <c r="J1376" s="223"/>
      <c r="K1376" s="317">
        <v>1899.0</v>
      </c>
    </row>
    <row r="1377">
      <c r="A1377" s="223"/>
      <c r="B1377" s="223" t="s">
        <v>200</v>
      </c>
      <c r="C1377" s="223"/>
      <c r="D1377" s="316"/>
      <c r="E1377" s="218"/>
      <c r="F1377" s="218"/>
      <c r="G1377" s="218" t="s">
        <v>200</v>
      </c>
      <c r="H1377" s="223">
        <v>0.0</v>
      </c>
      <c r="J1377" s="223"/>
      <c r="K1377" s="317">
        <v>1899.0</v>
      </c>
    </row>
    <row r="1378">
      <c r="A1378" s="223"/>
      <c r="B1378" s="223" t="s">
        <v>200</v>
      </c>
      <c r="C1378" s="223"/>
      <c r="D1378" s="316"/>
      <c r="E1378" s="218"/>
      <c r="F1378" s="218"/>
      <c r="G1378" s="218" t="s">
        <v>200</v>
      </c>
      <c r="H1378" s="223">
        <v>0.0</v>
      </c>
      <c r="J1378" s="223"/>
      <c r="K1378" s="317">
        <v>1899.0</v>
      </c>
    </row>
    <row r="1379">
      <c r="A1379" s="223"/>
      <c r="B1379" s="223" t="s">
        <v>200</v>
      </c>
      <c r="C1379" s="223"/>
      <c r="D1379" s="316"/>
      <c r="E1379" s="218"/>
      <c r="F1379" s="218"/>
      <c r="G1379" s="218" t="s">
        <v>200</v>
      </c>
      <c r="H1379" s="223">
        <v>0.0</v>
      </c>
      <c r="J1379" s="223"/>
      <c r="K1379" s="317">
        <v>1899.0</v>
      </c>
    </row>
    <row r="1380">
      <c r="A1380" s="223"/>
      <c r="B1380" s="223" t="s">
        <v>200</v>
      </c>
      <c r="C1380" s="223"/>
      <c r="D1380" s="316"/>
      <c r="E1380" s="218"/>
      <c r="F1380" s="218"/>
      <c r="G1380" s="218" t="s">
        <v>200</v>
      </c>
      <c r="H1380" s="223">
        <v>0.0</v>
      </c>
      <c r="J1380" s="223"/>
      <c r="K1380" s="317">
        <v>1899.0</v>
      </c>
    </row>
    <row r="1381">
      <c r="A1381" s="223"/>
      <c r="B1381" s="223" t="s">
        <v>200</v>
      </c>
      <c r="C1381" s="223"/>
      <c r="D1381" s="316"/>
      <c r="E1381" s="218"/>
      <c r="F1381" s="218"/>
      <c r="G1381" s="218" t="s">
        <v>200</v>
      </c>
      <c r="H1381" s="223">
        <v>0.0</v>
      </c>
      <c r="J1381" s="223"/>
      <c r="K1381" s="317">
        <v>1899.0</v>
      </c>
    </row>
    <row r="1382">
      <c r="A1382" s="223"/>
      <c r="B1382" s="223" t="s">
        <v>200</v>
      </c>
      <c r="C1382" s="223"/>
      <c r="D1382" s="316"/>
      <c r="E1382" s="218"/>
      <c r="F1382" s="218"/>
      <c r="G1382" s="218" t="s">
        <v>200</v>
      </c>
      <c r="H1382" s="223">
        <v>0.0</v>
      </c>
      <c r="J1382" s="223"/>
      <c r="K1382" s="317">
        <v>1899.0</v>
      </c>
    </row>
    <row r="1383">
      <c r="A1383" s="223"/>
      <c r="B1383" s="223" t="s">
        <v>200</v>
      </c>
      <c r="C1383" s="223"/>
      <c r="D1383" s="316"/>
      <c r="E1383" s="218"/>
      <c r="F1383" s="218"/>
      <c r="G1383" s="218" t="s">
        <v>200</v>
      </c>
      <c r="H1383" s="223">
        <v>0.0</v>
      </c>
      <c r="J1383" s="223"/>
      <c r="K1383" s="317">
        <v>1899.0</v>
      </c>
    </row>
    <row r="1384">
      <c r="A1384" s="223"/>
      <c r="B1384" s="223" t="s">
        <v>200</v>
      </c>
      <c r="C1384" s="223"/>
      <c r="D1384" s="316"/>
      <c r="E1384" s="218"/>
      <c r="F1384" s="218"/>
      <c r="G1384" s="218" t="s">
        <v>200</v>
      </c>
      <c r="H1384" s="223">
        <v>0.0</v>
      </c>
      <c r="J1384" s="223"/>
      <c r="K1384" s="317">
        <v>1899.0</v>
      </c>
    </row>
    <row r="1385">
      <c r="A1385" s="223"/>
      <c r="B1385" s="223" t="s">
        <v>200</v>
      </c>
      <c r="C1385" s="223"/>
      <c r="D1385" s="316"/>
      <c r="E1385" s="218"/>
      <c r="F1385" s="218"/>
      <c r="G1385" s="218" t="s">
        <v>200</v>
      </c>
      <c r="H1385" s="223">
        <v>0.0</v>
      </c>
      <c r="J1385" s="223"/>
      <c r="K1385" s="317">
        <v>1899.0</v>
      </c>
    </row>
    <row r="1386">
      <c r="A1386" s="223"/>
      <c r="B1386" s="223" t="s">
        <v>200</v>
      </c>
      <c r="C1386" s="223"/>
      <c r="D1386" s="316"/>
      <c r="E1386" s="218"/>
      <c r="F1386" s="218"/>
      <c r="G1386" s="218" t="s">
        <v>200</v>
      </c>
      <c r="H1386" s="223">
        <v>0.0</v>
      </c>
      <c r="J1386" s="223"/>
      <c r="K1386" s="317">
        <v>1899.0</v>
      </c>
    </row>
    <row r="1387">
      <c r="A1387" s="223"/>
      <c r="B1387" s="223" t="s">
        <v>200</v>
      </c>
      <c r="C1387" s="223"/>
      <c r="D1387" s="316"/>
      <c r="E1387" s="218"/>
      <c r="F1387" s="218"/>
      <c r="G1387" s="218" t="s">
        <v>200</v>
      </c>
      <c r="H1387" s="223">
        <v>0.0</v>
      </c>
      <c r="J1387" s="223"/>
      <c r="K1387" s="317">
        <v>1899.0</v>
      </c>
    </row>
    <row r="1388">
      <c r="A1388" s="223"/>
      <c r="B1388" s="223" t="s">
        <v>200</v>
      </c>
      <c r="C1388" s="223"/>
      <c r="D1388" s="316"/>
      <c r="E1388" s="218"/>
      <c r="F1388" s="218"/>
      <c r="G1388" s="218" t="s">
        <v>200</v>
      </c>
      <c r="H1388" s="223">
        <v>0.0</v>
      </c>
      <c r="J1388" s="223"/>
      <c r="K1388" s="317">
        <v>1899.0</v>
      </c>
    </row>
    <row r="1389">
      <c r="A1389" s="223"/>
      <c r="B1389" s="223" t="s">
        <v>200</v>
      </c>
      <c r="C1389" s="223"/>
      <c r="D1389" s="316"/>
      <c r="E1389" s="218"/>
      <c r="F1389" s="218"/>
      <c r="G1389" s="218" t="s">
        <v>200</v>
      </c>
      <c r="H1389" s="223">
        <v>0.0</v>
      </c>
      <c r="J1389" s="223"/>
      <c r="K1389" s="317">
        <v>1899.0</v>
      </c>
    </row>
    <row r="1390">
      <c r="A1390" s="223"/>
      <c r="B1390" s="223" t="s">
        <v>200</v>
      </c>
      <c r="C1390" s="223"/>
      <c r="D1390" s="316"/>
      <c r="E1390" s="218"/>
      <c r="F1390" s="218"/>
      <c r="G1390" s="218" t="s">
        <v>200</v>
      </c>
      <c r="H1390" s="223">
        <v>0.0</v>
      </c>
      <c r="J1390" s="223"/>
      <c r="K1390" s="317">
        <v>1899.0</v>
      </c>
    </row>
    <row r="1391">
      <c r="A1391" s="223"/>
      <c r="B1391" s="223" t="s">
        <v>200</v>
      </c>
      <c r="C1391" s="223"/>
      <c r="D1391" s="316"/>
      <c r="E1391" s="218"/>
      <c r="F1391" s="218"/>
      <c r="G1391" s="218" t="s">
        <v>200</v>
      </c>
      <c r="H1391" s="223">
        <v>0.0</v>
      </c>
      <c r="J1391" s="223"/>
      <c r="K1391" s="317">
        <v>1899.0</v>
      </c>
    </row>
    <row r="1392">
      <c r="A1392" s="223"/>
      <c r="B1392" s="223" t="s">
        <v>200</v>
      </c>
      <c r="C1392" s="223"/>
      <c r="D1392" s="316"/>
      <c r="E1392" s="218"/>
      <c r="F1392" s="218"/>
      <c r="G1392" s="218" t="s">
        <v>200</v>
      </c>
      <c r="H1392" s="223">
        <v>0.0</v>
      </c>
      <c r="J1392" s="223"/>
      <c r="K1392" s="317">
        <v>1899.0</v>
      </c>
    </row>
    <row r="1393">
      <c r="A1393" s="223"/>
      <c r="B1393" s="223" t="s">
        <v>200</v>
      </c>
      <c r="C1393" s="223"/>
      <c r="D1393" s="316"/>
      <c r="E1393" s="218"/>
      <c r="F1393" s="218"/>
      <c r="G1393" s="218" t="s">
        <v>200</v>
      </c>
      <c r="H1393" s="223">
        <v>0.0</v>
      </c>
      <c r="J1393" s="223"/>
      <c r="K1393" s="317">
        <v>1899.0</v>
      </c>
    </row>
    <row r="1394">
      <c r="A1394" s="223"/>
      <c r="B1394" s="223" t="s">
        <v>200</v>
      </c>
      <c r="C1394" s="223"/>
      <c r="D1394" s="316"/>
      <c r="E1394" s="218"/>
      <c r="F1394" s="218"/>
      <c r="G1394" s="218" t="s">
        <v>200</v>
      </c>
      <c r="H1394" s="223">
        <v>0.0</v>
      </c>
      <c r="J1394" s="223"/>
      <c r="K1394" s="317">
        <v>1899.0</v>
      </c>
    </row>
    <row r="1395">
      <c r="A1395" s="223"/>
      <c r="B1395" s="223" t="s">
        <v>200</v>
      </c>
      <c r="C1395" s="223"/>
      <c r="D1395" s="316"/>
      <c r="E1395" s="218"/>
      <c r="F1395" s="218"/>
      <c r="G1395" s="218" t="s">
        <v>200</v>
      </c>
      <c r="H1395" s="223">
        <v>0.0</v>
      </c>
      <c r="J1395" s="223"/>
      <c r="K1395" s="317">
        <v>1899.0</v>
      </c>
    </row>
    <row r="1396">
      <c r="A1396" s="223"/>
      <c r="B1396" s="223" t="s">
        <v>200</v>
      </c>
      <c r="C1396" s="223"/>
      <c r="D1396" s="316"/>
      <c r="E1396" s="218"/>
      <c r="F1396" s="218"/>
      <c r="G1396" s="218" t="s">
        <v>200</v>
      </c>
      <c r="H1396" s="223">
        <v>0.0</v>
      </c>
      <c r="J1396" s="223"/>
      <c r="K1396" s="317">
        <v>1899.0</v>
      </c>
    </row>
    <row r="1397">
      <c r="A1397" s="223"/>
      <c r="B1397" s="223" t="s">
        <v>200</v>
      </c>
      <c r="C1397" s="223"/>
      <c r="D1397" s="316"/>
      <c r="E1397" s="218"/>
      <c r="F1397" s="218"/>
      <c r="G1397" s="218" t="s">
        <v>200</v>
      </c>
      <c r="H1397" s="223">
        <v>0.0</v>
      </c>
      <c r="J1397" s="223"/>
      <c r="K1397" s="317">
        <v>1899.0</v>
      </c>
    </row>
    <row r="1398">
      <c r="A1398" s="223"/>
      <c r="B1398" s="223" t="s">
        <v>200</v>
      </c>
      <c r="C1398" s="223"/>
      <c r="D1398" s="316"/>
      <c r="E1398" s="218"/>
      <c r="F1398" s="218"/>
      <c r="G1398" s="218" t="s">
        <v>200</v>
      </c>
      <c r="H1398" s="223">
        <v>0.0</v>
      </c>
      <c r="J1398" s="223"/>
      <c r="K1398" s="317">
        <v>1899.0</v>
      </c>
    </row>
    <row r="1399">
      <c r="A1399" s="223"/>
      <c r="B1399" s="223" t="s">
        <v>200</v>
      </c>
      <c r="C1399" s="223"/>
      <c r="D1399" s="316"/>
      <c r="E1399" s="218"/>
      <c r="F1399" s="218"/>
      <c r="G1399" s="218" t="s">
        <v>200</v>
      </c>
      <c r="H1399" s="223">
        <v>0.0</v>
      </c>
      <c r="J1399" s="223"/>
      <c r="K1399" s="317">
        <v>1899.0</v>
      </c>
    </row>
    <row r="1400">
      <c r="A1400" s="223"/>
      <c r="B1400" s="223" t="s">
        <v>200</v>
      </c>
      <c r="C1400" s="223"/>
      <c r="D1400" s="316"/>
      <c r="E1400" s="218"/>
      <c r="F1400" s="218"/>
      <c r="G1400" s="218" t="s">
        <v>200</v>
      </c>
      <c r="H1400" s="223">
        <v>0.0</v>
      </c>
      <c r="J1400" s="223"/>
      <c r="K1400" s="317">
        <v>1899.0</v>
      </c>
    </row>
    <row r="1401">
      <c r="A1401" s="223"/>
      <c r="B1401" s="223" t="s">
        <v>200</v>
      </c>
      <c r="C1401" s="223"/>
      <c r="D1401" s="316"/>
      <c r="E1401" s="218"/>
      <c r="F1401" s="218"/>
      <c r="G1401" s="218" t="s">
        <v>200</v>
      </c>
      <c r="H1401" s="223">
        <v>0.0</v>
      </c>
      <c r="J1401" s="223"/>
      <c r="K1401" s="317">
        <v>1899.0</v>
      </c>
    </row>
    <row r="1402">
      <c r="A1402" s="223"/>
      <c r="B1402" s="223" t="s">
        <v>200</v>
      </c>
      <c r="C1402" s="223"/>
      <c r="D1402" s="316"/>
      <c r="E1402" s="218"/>
      <c r="F1402" s="218"/>
      <c r="G1402" s="218" t="s">
        <v>200</v>
      </c>
      <c r="H1402" s="223">
        <v>0.0</v>
      </c>
      <c r="J1402" s="223"/>
      <c r="K1402" s="317">
        <v>1899.0</v>
      </c>
    </row>
    <row r="1403">
      <c r="A1403" s="223"/>
      <c r="B1403" s="223" t="s">
        <v>200</v>
      </c>
      <c r="C1403" s="223"/>
      <c r="D1403" s="316"/>
      <c r="E1403" s="218"/>
      <c r="F1403" s="218"/>
      <c r="G1403" s="218" t="s">
        <v>200</v>
      </c>
      <c r="H1403" s="223">
        <v>0.0</v>
      </c>
      <c r="J1403" s="223"/>
      <c r="K1403" s="317">
        <v>1899.0</v>
      </c>
    </row>
    <row r="1404">
      <c r="A1404" s="223"/>
      <c r="B1404" s="223" t="s">
        <v>200</v>
      </c>
      <c r="C1404" s="223"/>
      <c r="D1404" s="316"/>
      <c r="E1404" s="218"/>
      <c r="F1404" s="218"/>
      <c r="G1404" s="218" t="s">
        <v>200</v>
      </c>
      <c r="H1404" s="223">
        <v>0.0</v>
      </c>
      <c r="J1404" s="223"/>
      <c r="K1404" s="317">
        <v>1899.0</v>
      </c>
    </row>
    <row r="1405">
      <c r="A1405" s="223"/>
      <c r="B1405" s="223" t="s">
        <v>200</v>
      </c>
      <c r="C1405" s="223"/>
      <c r="D1405" s="316"/>
      <c r="E1405" s="218"/>
      <c r="F1405" s="218"/>
      <c r="G1405" s="218" t="s">
        <v>200</v>
      </c>
      <c r="H1405" s="223">
        <v>0.0</v>
      </c>
      <c r="J1405" s="223"/>
      <c r="K1405" s="317">
        <v>1899.0</v>
      </c>
    </row>
    <row r="1406">
      <c r="A1406" s="223"/>
      <c r="B1406" s="223" t="s">
        <v>200</v>
      </c>
      <c r="C1406" s="223"/>
      <c r="D1406" s="316"/>
      <c r="E1406" s="218"/>
      <c r="F1406" s="218"/>
      <c r="G1406" s="218" t="s">
        <v>200</v>
      </c>
      <c r="H1406" s="223">
        <v>0.0</v>
      </c>
      <c r="J1406" s="223"/>
      <c r="K1406" s="317">
        <v>1899.0</v>
      </c>
    </row>
    <row r="1407">
      <c r="A1407" s="223"/>
      <c r="B1407" s="223" t="s">
        <v>200</v>
      </c>
      <c r="C1407" s="223"/>
      <c r="D1407" s="316"/>
      <c r="E1407" s="218"/>
      <c r="F1407" s="218"/>
      <c r="G1407" s="218" t="s">
        <v>200</v>
      </c>
      <c r="H1407" s="223">
        <v>0.0</v>
      </c>
      <c r="J1407" s="223"/>
      <c r="K1407" s="317">
        <v>1899.0</v>
      </c>
    </row>
    <row r="1408">
      <c r="A1408" s="223"/>
      <c r="B1408" s="223" t="s">
        <v>200</v>
      </c>
      <c r="C1408" s="223"/>
      <c r="D1408" s="316"/>
      <c r="E1408" s="218"/>
      <c r="F1408" s="218"/>
      <c r="G1408" s="218" t="s">
        <v>200</v>
      </c>
      <c r="H1408" s="223">
        <v>0.0</v>
      </c>
      <c r="J1408" s="223"/>
      <c r="K1408" s="317">
        <v>1899.0</v>
      </c>
    </row>
    <row r="1409">
      <c r="A1409" s="223"/>
      <c r="B1409" s="223" t="s">
        <v>200</v>
      </c>
      <c r="C1409" s="223"/>
      <c r="D1409" s="316"/>
      <c r="E1409" s="218"/>
      <c r="F1409" s="218"/>
      <c r="G1409" s="218" t="s">
        <v>200</v>
      </c>
      <c r="H1409" s="223">
        <v>0.0</v>
      </c>
      <c r="J1409" s="223"/>
      <c r="K1409" s="317">
        <v>1899.0</v>
      </c>
    </row>
    <row r="1410">
      <c r="A1410" s="223"/>
      <c r="B1410" s="223" t="s">
        <v>200</v>
      </c>
      <c r="C1410" s="223"/>
      <c r="D1410" s="316"/>
      <c r="E1410" s="218"/>
      <c r="F1410" s="218"/>
      <c r="G1410" s="218" t="s">
        <v>200</v>
      </c>
      <c r="H1410" s="223">
        <v>0.0</v>
      </c>
      <c r="J1410" s="223"/>
      <c r="K1410" s="317">
        <v>1899.0</v>
      </c>
    </row>
    <row r="1411">
      <c r="A1411" s="223"/>
      <c r="B1411" s="223" t="s">
        <v>200</v>
      </c>
      <c r="C1411" s="223"/>
      <c r="D1411" s="316"/>
      <c r="E1411" s="218"/>
      <c r="F1411" s="218"/>
      <c r="G1411" s="218" t="s">
        <v>200</v>
      </c>
      <c r="H1411" s="223">
        <v>0.0</v>
      </c>
      <c r="J1411" s="223"/>
      <c r="K1411" s="317">
        <v>1899.0</v>
      </c>
    </row>
    <row r="1412">
      <c r="A1412" s="223"/>
      <c r="B1412" s="223" t="s">
        <v>200</v>
      </c>
      <c r="C1412" s="223"/>
      <c r="D1412" s="316"/>
      <c r="E1412" s="218"/>
      <c r="F1412" s="218"/>
      <c r="G1412" s="218" t="s">
        <v>200</v>
      </c>
      <c r="H1412" s="223">
        <v>0.0</v>
      </c>
      <c r="J1412" s="223"/>
      <c r="K1412" s="317">
        <v>1899.0</v>
      </c>
    </row>
    <row r="1413">
      <c r="A1413" s="223"/>
      <c r="B1413" s="223" t="s">
        <v>200</v>
      </c>
      <c r="C1413" s="223"/>
      <c r="D1413" s="316"/>
      <c r="E1413" s="218"/>
      <c r="F1413" s="218"/>
      <c r="G1413" s="218" t="s">
        <v>200</v>
      </c>
      <c r="H1413" s="223">
        <v>0.0</v>
      </c>
      <c r="J1413" s="223"/>
      <c r="K1413" s="317">
        <v>1899.0</v>
      </c>
    </row>
    <row r="1414">
      <c r="A1414" s="223"/>
      <c r="B1414" s="223" t="s">
        <v>200</v>
      </c>
      <c r="C1414" s="223"/>
      <c r="D1414" s="316"/>
      <c r="E1414" s="218"/>
      <c r="F1414" s="218"/>
      <c r="G1414" s="218" t="s">
        <v>200</v>
      </c>
      <c r="H1414" s="223">
        <v>0.0</v>
      </c>
      <c r="J1414" s="223"/>
      <c r="K1414" s="317">
        <v>1899.0</v>
      </c>
    </row>
    <row r="1415">
      <c r="A1415" s="223"/>
      <c r="B1415" s="223" t="s">
        <v>200</v>
      </c>
      <c r="C1415" s="223"/>
      <c r="D1415" s="316"/>
      <c r="E1415" s="218"/>
      <c r="F1415" s="218"/>
      <c r="G1415" s="218" t="s">
        <v>200</v>
      </c>
      <c r="H1415" s="223">
        <v>0.0</v>
      </c>
      <c r="J1415" s="223"/>
      <c r="K1415" s="317">
        <v>1899.0</v>
      </c>
    </row>
    <row r="1416">
      <c r="A1416" s="223"/>
      <c r="B1416" s="223" t="s">
        <v>200</v>
      </c>
      <c r="C1416" s="223"/>
      <c r="D1416" s="316"/>
      <c r="E1416" s="218"/>
      <c r="F1416" s="218"/>
      <c r="G1416" s="218" t="s">
        <v>200</v>
      </c>
      <c r="H1416" s="223">
        <v>0.0</v>
      </c>
      <c r="J1416" s="223"/>
      <c r="K1416" s="317">
        <v>1899.0</v>
      </c>
    </row>
    <row r="1417">
      <c r="A1417" s="223"/>
      <c r="B1417" s="223" t="s">
        <v>200</v>
      </c>
      <c r="C1417" s="223"/>
      <c r="D1417" s="316"/>
      <c r="E1417" s="218"/>
      <c r="F1417" s="218"/>
      <c r="G1417" s="218" t="s">
        <v>200</v>
      </c>
      <c r="H1417" s="223">
        <v>0.0</v>
      </c>
      <c r="J1417" s="223"/>
      <c r="K1417" s="317">
        <v>1899.0</v>
      </c>
    </row>
    <row r="1418">
      <c r="A1418" s="223"/>
      <c r="B1418" s="223" t="s">
        <v>200</v>
      </c>
      <c r="C1418" s="223"/>
      <c r="D1418" s="316"/>
      <c r="E1418" s="218"/>
      <c r="F1418" s="218"/>
      <c r="G1418" s="218" t="s">
        <v>200</v>
      </c>
      <c r="H1418" s="223">
        <v>0.0</v>
      </c>
      <c r="J1418" s="223"/>
      <c r="K1418" s="317">
        <v>1899.0</v>
      </c>
    </row>
    <row r="1419">
      <c r="A1419" s="223"/>
      <c r="B1419" s="223" t="s">
        <v>200</v>
      </c>
      <c r="C1419" s="223"/>
      <c r="D1419" s="316"/>
      <c r="E1419" s="218"/>
      <c r="F1419" s="218"/>
      <c r="G1419" s="218" t="s">
        <v>200</v>
      </c>
      <c r="H1419" s="223">
        <v>0.0</v>
      </c>
      <c r="J1419" s="223"/>
      <c r="K1419" s="317">
        <v>1899.0</v>
      </c>
    </row>
    <row r="1420">
      <c r="A1420" s="223"/>
      <c r="B1420" s="223" t="s">
        <v>200</v>
      </c>
      <c r="C1420" s="223"/>
      <c r="D1420" s="316"/>
      <c r="E1420" s="218"/>
      <c r="F1420" s="218"/>
      <c r="G1420" s="218" t="s">
        <v>200</v>
      </c>
      <c r="H1420" s="223">
        <v>0.0</v>
      </c>
      <c r="J1420" s="223"/>
      <c r="K1420" s="317">
        <v>1899.0</v>
      </c>
    </row>
    <row r="1421">
      <c r="A1421" s="223"/>
      <c r="B1421" s="223" t="s">
        <v>200</v>
      </c>
      <c r="C1421" s="223"/>
      <c r="D1421" s="316"/>
      <c r="E1421" s="218"/>
      <c r="F1421" s="218"/>
      <c r="G1421" s="218" t="s">
        <v>200</v>
      </c>
      <c r="H1421" s="223">
        <v>0.0</v>
      </c>
      <c r="J1421" s="223"/>
      <c r="K1421" s="317">
        <v>1899.0</v>
      </c>
    </row>
    <row r="1422">
      <c r="A1422" s="223"/>
      <c r="B1422" s="223" t="s">
        <v>200</v>
      </c>
      <c r="C1422" s="223"/>
      <c r="D1422" s="316"/>
      <c r="E1422" s="218"/>
      <c r="F1422" s="218"/>
      <c r="G1422" s="218" t="s">
        <v>200</v>
      </c>
      <c r="H1422" s="223">
        <v>0.0</v>
      </c>
      <c r="J1422" s="223"/>
      <c r="K1422" s="317">
        <v>1899.0</v>
      </c>
    </row>
    <row r="1423">
      <c r="A1423" s="223"/>
      <c r="B1423" s="223" t="s">
        <v>200</v>
      </c>
      <c r="C1423" s="223"/>
      <c r="D1423" s="316"/>
      <c r="E1423" s="218"/>
      <c r="F1423" s="218"/>
      <c r="G1423" s="218" t="s">
        <v>200</v>
      </c>
      <c r="H1423" s="223">
        <v>0.0</v>
      </c>
      <c r="J1423" s="223"/>
      <c r="K1423" s="317">
        <v>1899.0</v>
      </c>
    </row>
    <row r="1424">
      <c r="A1424" s="223"/>
      <c r="B1424" s="223" t="s">
        <v>200</v>
      </c>
      <c r="C1424" s="223"/>
      <c r="D1424" s="316"/>
      <c r="E1424" s="218"/>
      <c r="F1424" s="218"/>
      <c r="G1424" s="218" t="s">
        <v>200</v>
      </c>
      <c r="H1424" s="223">
        <v>0.0</v>
      </c>
      <c r="J1424" s="223"/>
      <c r="K1424" s="317">
        <v>1899.0</v>
      </c>
    </row>
    <row r="1425">
      <c r="A1425" s="223"/>
      <c r="B1425" s="223" t="s">
        <v>200</v>
      </c>
      <c r="C1425" s="223"/>
      <c r="D1425" s="316"/>
      <c r="E1425" s="218"/>
      <c r="F1425" s="218"/>
      <c r="G1425" s="218" t="s">
        <v>200</v>
      </c>
      <c r="H1425" s="223">
        <v>0.0</v>
      </c>
      <c r="J1425" s="223"/>
      <c r="K1425" s="317">
        <v>1899.0</v>
      </c>
    </row>
    <row r="1426">
      <c r="A1426" s="223"/>
      <c r="B1426" s="223" t="s">
        <v>200</v>
      </c>
      <c r="C1426" s="223"/>
      <c r="D1426" s="316"/>
      <c r="E1426" s="218"/>
      <c r="F1426" s="218"/>
      <c r="G1426" s="218" t="s">
        <v>200</v>
      </c>
      <c r="H1426" s="223">
        <v>0.0</v>
      </c>
      <c r="J1426" s="223"/>
      <c r="K1426" s="317">
        <v>1899.0</v>
      </c>
    </row>
    <row r="1427">
      <c r="A1427" s="223"/>
      <c r="B1427" s="223" t="s">
        <v>200</v>
      </c>
      <c r="C1427" s="223"/>
      <c r="D1427" s="316"/>
      <c r="E1427" s="218"/>
      <c r="F1427" s="218"/>
      <c r="G1427" s="218" t="s">
        <v>200</v>
      </c>
      <c r="H1427" s="223">
        <v>0.0</v>
      </c>
      <c r="J1427" s="223"/>
      <c r="K1427" s="317">
        <v>1899.0</v>
      </c>
    </row>
    <row r="1428">
      <c r="A1428" s="223"/>
      <c r="B1428" s="223" t="s">
        <v>200</v>
      </c>
      <c r="C1428" s="223"/>
      <c r="D1428" s="316"/>
      <c r="E1428" s="218"/>
      <c r="F1428" s="218"/>
      <c r="G1428" s="218" t="s">
        <v>200</v>
      </c>
      <c r="H1428" s="223">
        <v>0.0</v>
      </c>
      <c r="J1428" s="223"/>
      <c r="K1428" s="317">
        <v>1899.0</v>
      </c>
    </row>
    <row r="1429">
      <c r="A1429" s="223"/>
      <c r="B1429" s="223" t="s">
        <v>200</v>
      </c>
      <c r="C1429" s="223"/>
      <c r="D1429" s="316"/>
      <c r="E1429" s="218"/>
      <c r="F1429" s="218"/>
      <c r="G1429" s="218" t="s">
        <v>200</v>
      </c>
      <c r="H1429" s="223">
        <v>0.0</v>
      </c>
      <c r="J1429" s="223"/>
      <c r="K1429" s="317">
        <v>1899.0</v>
      </c>
    </row>
    <row r="1430">
      <c r="A1430" s="223"/>
      <c r="B1430" s="223" t="s">
        <v>200</v>
      </c>
      <c r="C1430" s="223"/>
      <c r="D1430" s="316"/>
      <c r="E1430" s="218"/>
      <c r="F1430" s="218"/>
      <c r="G1430" s="218" t="s">
        <v>200</v>
      </c>
      <c r="H1430" s="223">
        <v>0.0</v>
      </c>
      <c r="J1430" s="223"/>
      <c r="K1430" s="317">
        <v>1899.0</v>
      </c>
    </row>
    <row r="1431">
      <c r="A1431" s="223"/>
      <c r="B1431" s="223" t="s">
        <v>200</v>
      </c>
      <c r="C1431" s="223"/>
      <c r="D1431" s="316"/>
      <c r="E1431" s="218"/>
      <c r="F1431" s="218"/>
      <c r="G1431" s="218" t="s">
        <v>200</v>
      </c>
      <c r="H1431" s="223">
        <v>0.0</v>
      </c>
      <c r="J1431" s="223"/>
      <c r="K1431" s="317">
        <v>1899.0</v>
      </c>
    </row>
    <row r="1432">
      <c r="A1432" s="223"/>
      <c r="B1432" s="223" t="s">
        <v>200</v>
      </c>
      <c r="C1432" s="223"/>
      <c r="D1432" s="316"/>
      <c r="E1432" s="218"/>
      <c r="F1432" s="218"/>
      <c r="G1432" s="218" t="s">
        <v>200</v>
      </c>
      <c r="H1432" s="223">
        <v>0.0</v>
      </c>
      <c r="J1432" s="223"/>
      <c r="K1432" s="317">
        <v>1899.0</v>
      </c>
    </row>
    <row r="1433">
      <c r="A1433" s="223"/>
      <c r="B1433" s="223" t="s">
        <v>200</v>
      </c>
      <c r="C1433" s="223"/>
      <c r="D1433" s="316"/>
      <c r="E1433" s="218"/>
      <c r="F1433" s="218"/>
      <c r="G1433" s="218" t="s">
        <v>200</v>
      </c>
      <c r="H1433" s="223">
        <v>0.0</v>
      </c>
      <c r="J1433" s="223"/>
      <c r="K1433" s="317">
        <v>1899.0</v>
      </c>
    </row>
    <row r="1434">
      <c r="A1434" s="223"/>
      <c r="B1434" s="223" t="s">
        <v>200</v>
      </c>
      <c r="C1434" s="223"/>
      <c r="D1434" s="316"/>
      <c r="E1434" s="218"/>
      <c r="F1434" s="218"/>
      <c r="G1434" s="218" t="s">
        <v>200</v>
      </c>
      <c r="H1434" s="223">
        <v>0.0</v>
      </c>
      <c r="J1434" s="223"/>
      <c r="K1434" s="317">
        <v>1899.0</v>
      </c>
    </row>
    <row r="1435">
      <c r="A1435" s="223"/>
      <c r="B1435" s="223" t="s">
        <v>200</v>
      </c>
      <c r="C1435" s="223"/>
      <c r="D1435" s="316"/>
      <c r="E1435" s="218"/>
      <c r="F1435" s="218"/>
      <c r="G1435" s="218" t="s">
        <v>200</v>
      </c>
      <c r="H1435" s="223">
        <v>0.0</v>
      </c>
      <c r="J1435" s="223"/>
      <c r="K1435" s="317">
        <v>1899.0</v>
      </c>
    </row>
    <row r="1436">
      <c r="A1436" s="223"/>
      <c r="B1436" s="223" t="s">
        <v>200</v>
      </c>
      <c r="C1436" s="223"/>
      <c r="D1436" s="316"/>
      <c r="E1436" s="218"/>
      <c r="F1436" s="218"/>
      <c r="G1436" s="218" t="s">
        <v>200</v>
      </c>
      <c r="H1436" s="223">
        <v>0.0</v>
      </c>
      <c r="J1436" s="223"/>
      <c r="K1436" s="317">
        <v>1899.0</v>
      </c>
    </row>
    <row r="1437">
      <c r="A1437" s="223"/>
      <c r="B1437" s="223" t="s">
        <v>200</v>
      </c>
      <c r="C1437" s="223"/>
      <c r="D1437" s="316"/>
      <c r="E1437" s="218"/>
      <c r="F1437" s="218"/>
      <c r="G1437" s="218" t="s">
        <v>200</v>
      </c>
      <c r="H1437" s="223">
        <v>0.0</v>
      </c>
      <c r="J1437" s="223"/>
      <c r="K1437" s="317">
        <v>1899.0</v>
      </c>
    </row>
    <row r="1438">
      <c r="A1438" s="223"/>
      <c r="B1438" s="223" t="s">
        <v>200</v>
      </c>
      <c r="C1438" s="223"/>
      <c r="D1438" s="316"/>
      <c r="E1438" s="218"/>
      <c r="F1438" s="218"/>
      <c r="G1438" s="218" t="s">
        <v>200</v>
      </c>
      <c r="H1438" s="223">
        <v>0.0</v>
      </c>
      <c r="J1438" s="223"/>
      <c r="K1438" s="317">
        <v>1899.0</v>
      </c>
    </row>
    <row r="1439">
      <c r="A1439" s="223"/>
      <c r="B1439" s="223" t="s">
        <v>200</v>
      </c>
      <c r="C1439" s="223"/>
      <c r="D1439" s="316"/>
      <c r="E1439" s="218"/>
      <c r="F1439" s="218"/>
      <c r="G1439" s="218" t="s">
        <v>200</v>
      </c>
      <c r="H1439" s="223">
        <v>0.0</v>
      </c>
      <c r="J1439" s="223"/>
      <c r="K1439" s="317">
        <v>1899.0</v>
      </c>
    </row>
    <row r="1440">
      <c r="A1440" s="223"/>
      <c r="B1440" s="223" t="s">
        <v>200</v>
      </c>
      <c r="C1440" s="223"/>
      <c r="D1440" s="316"/>
      <c r="E1440" s="218"/>
      <c r="F1440" s="218"/>
      <c r="G1440" s="218" t="s">
        <v>200</v>
      </c>
      <c r="H1440" s="223">
        <v>0.0</v>
      </c>
      <c r="J1440" s="223"/>
      <c r="K1440" s="317">
        <v>1899.0</v>
      </c>
    </row>
    <row r="1441">
      <c r="A1441" s="223"/>
      <c r="B1441" s="223" t="s">
        <v>200</v>
      </c>
      <c r="C1441" s="223"/>
      <c r="D1441" s="316"/>
      <c r="E1441" s="218"/>
      <c r="F1441" s="218"/>
      <c r="G1441" s="218" t="s">
        <v>200</v>
      </c>
      <c r="H1441" s="223">
        <v>0.0</v>
      </c>
      <c r="J1441" s="223"/>
      <c r="K1441" s="317">
        <v>1899.0</v>
      </c>
    </row>
    <row r="1442">
      <c r="A1442" s="223"/>
      <c r="B1442" s="223" t="s">
        <v>200</v>
      </c>
      <c r="C1442" s="223"/>
      <c r="D1442" s="316"/>
      <c r="E1442" s="218"/>
      <c r="F1442" s="218"/>
      <c r="G1442" s="218" t="s">
        <v>200</v>
      </c>
      <c r="H1442" s="223">
        <v>0.0</v>
      </c>
      <c r="J1442" s="223"/>
      <c r="K1442" s="317">
        <v>1899.0</v>
      </c>
    </row>
    <row r="1443">
      <c r="A1443" s="223"/>
      <c r="B1443" s="223" t="s">
        <v>200</v>
      </c>
      <c r="C1443" s="223"/>
      <c r="D1443" s="316"/>
      <c r="E1443" s="218"/>
      <c r="F1443" s="218"/>
      <c r="G1443" s="218" t="s">
        <v>200</v>
      </c>
      <c r="H1443" s="223">
        <v>0.0</v>
      </c>
      <c r="J1443" s="223"/>
      <c r="K1443" s="317">
        <v>1899.0</v>
      </c>
    </row>
    <row r="1444">
      <c r="A1444" s="223"/>
      <c r="B1444" s="223" t="s">
        <v>200</v>
      </c>
      <c r="C1444" s="223"/>
      <c r="D1444" s="316"/>
      <c r="E1444" s="218"/>
      <c r="F1444" s="218"/>
      <c r="G1444" s="218" t="s">
        <v>200</v>
      </c>
      <c r="H1444" s="223">
        <v>0.0</v>
      </c>
      <c r="J1444" s="223"/>
      <c r="K1444" s="317">
        <v>1899.0</v>
      </c>
    </row>
    <row r="1445">
      <c r="A1445" s="223"/>
      <c r="B1445" s="223" t="s">
        <v>200</v>
      </c>
      <c r="C1445" s="223"/>
      <c r="D1445" s="316"/>
      <c r="E1445" s="218"/>
      <c r="F1445" s="218"/>
      <c r="G1445" s="218" t="s">
        <v>200</v>
      </c>
      <c r="H1445" s="223">
        <v>0.0</v>
      </c>
      <c r="J1445" s="223"/>
      <c r="K1445" s="317">
        <v>1899.0</v>
      </c>
    </row>
    <row r="1446">
      <c r="A1446" s="223"/>
      <c r="B1446" s="223" t="s">
        <v>200</v>
      </c>
      <c r="C1446" s="223"/>
      <c r="D1446" s="316"/>
      <c r="E1446" s="218"/>
      <c r="F1446" s="218"/>
      <c r="G1446" s="218" t="s">
        <v>200</v>
      </c>
      <c r="H1446" s="223">
        <v>0.0</v>
      </c>
      <c r="J1446" s="223"/>
      <c r="K1446" s="317">
        <v>1899.0</v>
      </c>
    </row>
    <row r="1447">
      <c r="A1447" s="223"/>
      <c r="B1447" s="223" t="s">
        <v>200</v>
      </c>
      <c r="C1447" s="223"/>
      <c r="D1447" s="316"/>
      <c r="E1447" s="218"/>
      <c r="F1447" s="218"/>
      <c r="G1447" s="218" t="s">
        <v>200</v>
      </c>
      <c r="H1447" s="223">
        <v>0.0</v>
      </c>
      <c r="J1447" s="223"/>
      <c r="K1447" s="317">
        <v>1899.0</v>
      </c>
    </row>
    <row r="1448">
      <c r="A1448" s="223"/>
      <c r="B1448" s="223" t="s">
        <v>200</v>
      </c>
      <c r="C1448" s="223"/>
      <c r="D1448" s="316"/>
      <c r="E1448" s="218"/>
      <c r="F1448" s="218"/>
      <c r="G1448" s="218" t="s">
        <v>200</v>
      </c>
      <c r="H1448" s="223">
        <v>0.0</v>
      </c>
      <c r="J1448" s="223"/>
      <c r="K1448" s="317">
        <v>1899.0</v>
      </c>
    </row>
    <row r="1449">
      <c r="A1449" s="223"/>
      <c r="B1449" s="223" t="s">
        <v>200</v>
      </c>
      <c r="C1449" s="223"/>
      <c r="D1449" s="316"/>
      <c r="E1449" s="218"/>
      <c r="F1449" s="218"/>
      <c r="G1449" s="218" t="s">
        <v>200</v>
      </c>
      <c r="H1449" s="223">
        <v>0.0</v>
      </c>
      <c r="J1449" s="223"/>
      <c r="K1449" s="317">
        <v>1899.0</v>
      </c>
    </row>
    <row r="1450">
      <c r="A1450" s="223"/>
      <c r="B1450" s="223" t="s">
        <v>200</v>
      </c>
      <c r="C1450" s="223"/>
      <c r="D1450" s="316"/>
      <c r="E1450" s="218"/>
      <c r="F1450" s="218"/>
      <c r="G1450" s="218" t="s">
        <v>200</v>
      </c>
      <c r="H1450" s="223">
        <v>0.0</v>
      </c>
      <c r="J1450" s="223"/>
      <c r="K1450" s="317">
        <v>1899.0</v>
      </c>
    </row>
    <row r="1451">
      <c r="A1451" s="223"/>
      <c r="B1451" s="223" t="s">
        <v>200</v>
      </c>
      <c r="C1451" s="223"/>
      <c r="D1451" s="316"/>
      <c r="E1451" s="218"/>
      <c r="F1451" s="218"/>
      <c r="G1451" s="218" t="s">
        <v>200</v>
      </c>
      <c r="H1451" s="223">
        <v>0.0</v>
      </c>
      <c r="J1451" s="223"/>
      <c r="K1451" s="317">
        <v>1899.0</v>
      </c>
    </row>
    <row r="1452">
      <c r="A1452" s="223"/>
      <c r="B1452" s="223" t="s">
        <v>200</v>
      </c>
      <c r="C1452" s="223"/>
      <c r="D1452" s="316"/>
      <c r="E1452" s="218"/>
      <c r="F1452" s="218"/>
      <c r="G1452" s="218" t="s">
        <v>200</v>
      </c>
      <c r="H1452" s="223">
        <v>0.0</v>
      </c>
      <c r="J1452" s="223"/>
      <c r="K1452" s="317">
        <v>1899.0</v>
      </c>
    </row>
    <row r="1453">
      <c r="A1453" s="223"/>
      <c r="B1453" s="223" t="s">
        <v>200</v>
      </c>
      <c r="C1453" s="223"/>
      <c r="D1453" s="316"/>
      <c r="E1453" s="218"/>
      <c r="F1453" s="218"/>
      <c r="G1453" s="218" t="s">
        <v>200</v>
      </c>
      <c r="H1453" s="223">
        <v>0.0</v>
      </c>
      <c r="J1453" s="223"/>
      <c r="K1453" s="317">
        <v>1899.0</v>
      </c>
    </row>
    <row r="1454">
      <c r="A1454" s="223"/>
      <c r="B1454" s="223" t="s">
        <v>200</v>
      </c>
      <c r="C1454" s="223"/>
      <c r="D1454" s="316"/>
      <c r="E1454" s="218"/>
      <c r="F1454" s="218"/>
      <c r="G1454" s="218" t="s">
        <v>200</v>
      </c>
      <c r="H1454" s="223">
        <v>0.0</v>
      </c>
      <c r="J1454" s="223"/>
      <c r="K1454" s="317">
        <v>1899.0</v>
      </c>
    </row>
    <row r="1455">
      <c r="A1455" s="223"/>
      <c r="B1455" s="223" t="s">
        <v>200</v>
      </c>
      <c r="C1455" s="223"/>
      <c r="D1455" s="316"/>
      <c r="E1455" s="218"/>
      <c r="F1455" s="218"/>
      <c r="G1455" s="218" t="s">
        <v>200</v>
      </c>
      <c r="H1455" s="223">
        <v>0.0</v>
      </c>
      <c r="J1455" s="223"/>
      <c r="K1455" s="317">
        <v>1899.0</v>
      </c>
    </row>
    <row r="1456">
      <c r="A1456" s="223"/>
      <c r="B1456" s="223" t="s">
        <v>200</v>
      </c>
      <c r="C1456" s="223"/>
      <c r="D1456" s="316"/>
      <c r="E1456" s="218"/>
      <c r="F1456" s="218"/>
      <c r="G1456" s="218" t="s">
        <v>200</v>
      </c>
      <c r="H1456" s="223">
        <v>0.0</v>
      </c>
      <c r="J1456" s="223"/>
      <c r="K1456" s="317">
        <v>1899.0</v>
      </c>
    </row>
    <row r="1457">
      <c r="A1457" s="223"/>
      <c r="B1457" s="223" t="s">
        <v>200</v>
      </c>
      <c r="C1457" s="223"/>
      <c r="D1457" s="316"/>
      <c r="E1457" s="218"/>
      <c r="F1457" s="218"/>
      <c r="G1457" s="218" t="s">
        <v>200</v>
      </c>
      <c r="H1457" s="223">
        <v>0.0</v>
      </c>
      <c r="J1457" s="223"/>
      <c r="K1457" s="317">
        <v>1899.0</v>
      </c>
    </row>
    <row r="1458">
      <c r="A1458" s="223"/>
      <c r="B1458" s="223" t="s">
        <v>200</v>
      </c>
      <c r="C1458" s="223"/>
      <c r="D1458" s="316"/>
      <c r="E1458" s="218"/>
      <c r="F1458" s="218"/>
      <c r="G1458" s="218" t="s">
        <v>200</v>
      </c>
      <c r="H1458" s="223">
        <v>0.0</v>
      </c>
      <c r="J1458" s="223"/>
      <c r="K1458" s="317">
        <v>1899.0</v>
      </c>
    </row>
    <row r="1459">
      <c r="A1459" s="223"/>
      <c r="B1459" s="223" t="s">
        <v>200</v>
      </c>
      <c r="C1459" s="223"/>
      <c r="D1459" s="316"/>
      <c r="E1459" s="218"/>
      <c r="F1459" s="218"/>
      <c r="G1459" s="218" t="s">
        <v>200</v>
      </c>
      <c r="H1459" s="223">
        <v>0.0</v>
      </c>
      <c r="J1459" s="223"/>
      <c r="K1459" s="317">
        <v>1899.0</v>
      </c>
    </row>
    <row r="1460">
      <c r="A1460" s="223"/>
      <c r="B1460" s="223" t="s">
        <v>200</v>
      </c>
      <c r="C1460" s="223"/>
      <c r="D1460" s="316"/>
      <c r="E1460" s="218"/>
      <c r="F1460" s="218"/>
      <c r="G1460" s="218" t="s">
        <v>200</v>
      </c>
      <c r="H1460" s="223">
        <v>0.0</v>
      </c>
      <c r="J1460" s="223"/>
      <c r="K1460" s="317">
        <v>1899.0</v>
      </c>
    </row>
    <row r="1461">
      <c r="A1461" s="223"/>
      <c r="B1461" s="223" t="s">
        <v>200</v>
      </c>
      <c r="C1461" s="223"/>
      <c r="D1461" s="316"/>
      <c r="E1461" s="218"/>
      <c r="F1461" s="218"/>
      <c r="G1461" s="218" t="s">
        <v>200</v>
      </c>
      <c r="H1461" s="223">
        <v>0.0</v>
      </c>
      <c r="J1461" s="223"/>
      <c r="K1461" s="317">
        <v>1899.0</v>
      </c>
    </row>
    <row r="1462">
      <c r="A1462" s="223"/>
      <c r="B1462" s="223" t="s">
        <v>200</v>
      </c>
      <c r="C1462" s="223"/>
      <c r="D1462" s="316"/>
      <c r="E1462" s="218"/>
      <c r="F1462" s="218"/>
      <c r="G1462" s="218" t="s">
        <v>200</v>
      </c>
      <c r="H1462" s="223">
        <v>0.0</v>
      </c>
      <c r="J1462" s="223"/>
      <c r="K1462" s="317">
        <v>1899.0</v>
      </c>
    </row>
    <row r="1463">
      <c r="A1463" s="223"/>
      <c r="B1463" s="223" t="s">
        <v>200</v>
      </c>
      <c r="C1463" s="223"/>
      <c r="D1463" s="316"/>
      <c r="E1463" s="218"/>
      <c r="F1463" s="218"/>
      <c r="G1463" s="218" t="s">
        <v>200</v>
      </c>
      <c r="H1463" s="223">
        <v>0.0</v>
      </c>
      <c r="J1463" s="223"/>
      <c r="K1463" s="317">
        <v>1899.0</v>
      </c>
    </row>
    <row r="1464">
      <c r="A1464" s="223"/>
      <c r="B1464" s="223" t="s">
        <v>200</v>
      </c>
      <c r="C1464" s="223"/>
      <c r="D1464" s="316"/>
      <c r="E1464" s="218"/>
      <c r="F1464" s="218"/>
      <c r="G1464" s="218" t="s">
        <v>200</v>
      </c>
      <c r="H1464" s="223">
        <v>0.0</v>
      </c>
      <c r="J1464" s="223"/>
      <c r="K1464" s="317">
        <v>1899.0</v>
      </c>
    </row>
    <row r="1465">
      <c r="A1465" s="223"/>
      <c r="B1465" s="223" t="s">
        <v>200</v>
      </c>
      <c r="C1465" s="223"/>
      <c r="D1465" s="316"/>
      <c r="E1465" s="218"/>
      <c r="F1465" s="218"/>
      <c r="G1465" s="218" t="s">
        <v>200</v>
      </c>
      <c r="H1465" s="223">
        <v>0.0</v>
      </c>
      <c r="J1465" s="223"/>
      <c r="K1465" s="317">
        <v>1899.0</v>
      </c>
    </row>
    <row r="1466">
      <c r="A1466" s="223"/>
      <c r="B1466" s="223" t="s">
        <v>200</v>
      </c>
      <c r="C1466" s="223"/>
      <c r="D1466" s="316"/>
      <c r="E1466" s="218"/>
      <c r="F1466" s="218"/>
      <c r="G1466" s="218" t="s">
        <v>200</v>
      </c>
      <c r="H1466" s="223">
        <v>0.0</v>
      </c>
      <c r="J1466" s="223"/>
      <c r="K1466" s="317">
        <v>1899.0</v>
      </c>
    </row>
    <row r="1467">
      <c r="A1467" s="223"/>
      <c r="B1467" s="223" t="s">
        <v>200</v>
      </c>
      <c r="C1467" s="223"/>
      <c r="D1467" s="316"/>
      <c r="E1467" s="218"/>
      <c r="F1467" s="218"/>
      <c r="G1467" s="218" t="s">
        <v>200</v>
      </c>
      <c r="H1467" s="223">
        <v>0.0</v>
      </c>
      <c r="J1467" s="223"/>
      <c r="K1467" s="317">
        <v>1899.0</v>
      </c>
    </row>
    <row r="1468">
      <c r="A1468" s="223"/>
      <c r="B1468" s="223" t="s">
        <v>200</v>
      </c>
      <c r="C1468" s="223"/>
      <c r="D1468" s="316"/>
      <c r="E1468" s="218"/>
      <c r="F1468" s="218"/>
      <c r="G1468" s="218" t="s">
        <v>200</v>
      </c>
      <c r="H1468" s="223">
        <v>0.0</v>
      </c>
      <c r="J1468" s="223"/>
      <c r="K1468" s="317">
        <v>1899.0</v>
      </c>
    </row>
    <row r="1469">
      <c r="A1469" s="223"/>
      <c r="B1469" s="223" t="s">
        <v>200</v>
      </c>
      <c r="C1469" s="223"/>
      <c r="D1469" s="316"/>
      <c r="E1469" s="218"/>
      <c r="F1469" s="218"/>
      <c r="G1469" s="218" t="s">
        <v>200</v>
      </c>
      <c r="H1469" s="223">
        <v>0.0</v>
      </c>
      <c r="J1469" s="223"/>
      <c r="K1469" s="317">
        <v>1899.0</v>
      </c>
    </row>
    <row r="1470">
      <c r="A1470" s="223"/>
      <c r="B1470" s="223" t="s">
        <v>200</v>
      </c>
      <c r="C1470" s="223"/>
      <c r="D1470" s="316"/>
      <c r="E1470" s="218"/>
      <c r="F1470" s="218"/>
      <c r="G1470" s="218" t="s">
        <v>200</v>
      </c>
      <c r="H1470" s="223">
        <v>0.0</v>
      </c>
      <c r="J1470" s="223"/>
      <c r="K1470" s="317">
        <v>1899.0</v>
      </c>
    </row>
    <row r="1471">
      <c r="A1471" s="223"/>
      <c r="B1471" s="223" t="s">
        <v>200</v>
      </c>
      <c r="C1471" s="223"/>
      <c r="D1471" s="316"/>
      <c r="E1471" s="218"/>
      <c r="F1471" s="218"/>
      <c r="G1471" s="218" t="s">
        <v>200</v>
      </c>
      <c r="H1471" s="223">
        <v>0.0</v>
      </c>
      <c r="J1471" s="223"/>
      <c r="K1471" s="317">
        <v>1899.0</v>
      </c>
    </row>
    <row r="1472">
      <c r="A1472" s="223"/>
      <c r="B1472" s="223" t="s">
        <v>200</v>
      </c>
      <c r="C1472" s="223"/>
      <c r="D1472" s="316"/>
      <c r="E1472" s="218"/>
      <c r="F1472" s="218"/>
      <c r="G1472" s="218" t="s">
        <v>200</v>
      </c>
      <c r="H1472" s="223">
        <v>0.0</v>
      </c>
      <c r="J1472" s="223"/>
      <c r="K1472" s="317">
        <v>1899.0</v>
      </c>
    </row>
    <row r="1473">
      <c r="A1473" s="223"/>
      <c r="B1473" s="223" t="s">
        <v>200</v>
      </c>
      <c r="C1473" s="223"/>
      <c r="D1473" s="316"/>
      <c r="E1473" s="218"/>
      <c r="F1473" s="218"/>
      <c r="G1473" s="218" t="s">
        <v>200</v>
      </c>
      <c r="H1473" s="223">
        <v>0.0</v>
      </c>
      <c r="J1473" s="223"/>
      <c r="K1473" s="317">
        <v>1899.0</v>
      </c>
    </row>
    <row r="1474">
      <c r="A1474" s="223"/>
      <c r="B1474" s="223" t="s">
        <v>200</v>
      </c>
      <c r="C1474" s="223"/>
      <c r="D1474" s="316"/>
      <c r="E1474" s="218"/>
      <c r="F1474" s="218"/>
      <c r="G1474" s="218" t="s">
        <v>200</v>
      </c>
      <c r="H1474" s="223">
        <v>0.0</v>
      </c>
      <c r="J1474" s="223"/>
      <c r="K1474" s="317">
        <v>1899.0</v>
      </c>
    </row>
    <row r="1475">
      <c r="A1475" s="223"/>
      <c r="B1475" s="223" t="s">
        <v>200</v>
      </c>
      <c r="C1475" s="223"/>
      <c r="D1475" s="316"/>
      <c r="E1475" s="218"/>
      <c r="F1475" s="218"/>
      <c r="G1475" s="218" t="s">
        <v>200</v>
      </c>
      <c r="H1475" s="223">
        <v>0.0</v>
      </c>
      <c r="J1475" s="223"/>
      <c r="K1475" s="317">
        <v>1899.0</v>
      </c>
    </row>
    <row r="1476">
      <c r="A1476" s="223"/>
      <c r="B1476" s="223" t="s">
        <v>200</v>
      </c>
      <c r="C1476" s="223"/>
      <c r="D1476" s="316"/>
      <c r="E1476" s="218"/>
      <c r="F1476" s="218"/>
      <c r="G1476" s="218" t="s">
        <v>200</v>
      </c>
      <c r="H1476" s="223">
        <v>0.0</v>
      </c>
      <c r="J1476" s="223"/>
      <c r="K1476" s="317">
        <v>1899.0</v>
      </c>
    </row>
    <row r="1477">
      <c r="A1477" s="223"/>
      <c r="B1477" s="223" t="s">
        <v>200</v>
      </c>
      <c r="C1477" s="223"/>
      <c r="D1477" s="316"/>
      <c r="E1477" s="218"/>
      <c r="F1477" s="218"/>
      <c r="G1477" s="218" t="s">
        <v>200</v>
      </c>
      <c r="H1477" s="223">
        <v>0.0</v>
      </c>
      <c r="J1477" s="223"/>
      <c r="K1477" s="317">
        <v>1899.0</v>
      </c>
    </row>
    <row r="1478">
      <c r="A1478" s="223"/>
      <c r="B1478" s="223" t="s">
        <v>200</v>
      </c>
      <c r="C1478" s="223"/>
      <c r="D1478" s="316"/>
      <c r="E1478" s="218"/>
      <c r="F1478" s="218"/>
      <c r="G1478" s="218" t="s">
        <v>200</v>
      </c>
      <c r="H1478" s="223">
        <v>0.0</v>
      </c>
      <c r="J1478" s="223"/>
      <c r="K1478" s="317">
        <v>1899.0</v>
      </c>
    </row>
    <row r="1479">
      <c r="A1479" s="223"/>
      <c r="B1479" s="223" t="s">
        <v>200</v>
      </c>
      <c r="C1479" s="223"/>
      <c r="D1479" s="316"/>
      <c r="E1479" s="218"/>
      <c r="F1479" s="218"/>
      <c r="G1479" s="218" t="s">
        <v>200</v>
      </c>
      <c r="H1479" s="223">
        <v>0.0</v>
      </c>
      <c r="J1479" s="223"/>
      <c r="K1479" s="317">
        <v>1899.0</v>
      </c>
    </row>
    <row r="1480">
      <c r="A1480" s="223"/>
      <c r="B1480" s="223" t="s">
        <v>200</v>
      </c>
      <c r="C1480" s="223"/>
      <c r="D1480" s="316"/>
      <c r="E1480" s="218"/>
      <c r="F1480" s="218"/>
      <c r="G1480" s="218" t="s">
        <v>200</v>
      </c>
      <c r="H1480" s="223">
        <v>0.0</v>
      </c>
      <c r="J1480" s="223"/>
      <c r="K1480" s="317">
        <v>1899.0</v>
      </c>
    </row>
    <row r="1481">
      <c r="A1481" s="223"/>
      <c r="B1481" s="223" t="s">
        <v>200</v>
      </c>
      <c r="C1481" s="223"/>
      <c r="D1481" s="316"/>
      <c r="E1481" s="218"/>
      <c r="F1481" s="218"/>
      <c r="G1481" s="218" t="s">
        <v>200</v>
      </c>
      <c r="H1481" s="223">
        <v>0.0</v>
      </c>
      <c r="J1481" s="223"/>
      <c r="K1481" s="317">
        <v>1899.0</v>
      </c>
    </row>
    <row r="1482">
      <c r="A1482" s="223"/>
      <c r="B1482" s="223" t="s">
        <v>200</v>
      </c>
      <c r="C1482" s="223"/>
      <c r="D1482" s="316"/>
      <c r="E1482" s="218"/>
      <c r="F1482" s="218"/>
      <c r="G1482" s="218" t="s">
        <v>200</v>
      </c>
      <c r="H1482" s="223">
        <v>0.0</v>
      </c>
      <c r="J1482" s="223"/>
      <c r="K1482" s="317">
        <v>1899.0</v>
      </c>
    </row>
    <row r="1483">
      <c r="A1483" s="223"/>
      <c r="B1483" s="223" t="s">
        <v>200</v>
      </c>
      <c r="C1483" s="223"/>
      <c r="D1483" s="316"/>
      <c r="E1483" s="218"/>
      <c r="F1483" s="218"/>
      <c r="G1483" s="218" t="s">
        <v>200</v>
      </c>
      <c r="H1483" s="223">
        <v>0.0</v>
      </c>
      <c r="J1483" s="223"/>
      <c r="K1483" s="317">
        <v>1899.0</v>
      </c>
    </row>
    <row r="1484">
      <c r="A1484" s="223"/>
      <c r="B1484" s="223" t="s">
        <v>200</v>
      </c>
      <c r="C1484" s="223"/>
      <c r="D1484" s="316"/>
      <c r="E1484" s="218"/>
      <c r="F1484" s="218"/>
      <c r="G1484" s="218" t="s">
        <v>200</v>
      </c>
      <c r="H1484" s="223">
        <v>0.0</v>
      </c>
      <c r="J1484" s="223"/>
      <c r="K1484" s="317">
        <v>1899.0</v>
      </c>
    </row>
    <row r="1485">
      <c r="A1485" s="223"/>
      <c r="B1485" s="223" t="s">
        <v>200</v>
      </c>
      <c r="C1485" s="223"/>
      <c r="D1485" s="316"/>
      <c r="E1485" s="218"/>
      <c r="F1485" s="218"/>
      <c r="G1485" s="218" t="s">
        <v>200</v>
      </c>
      <c r="H1485" s="223">
        <v>0.0</v>
      </c>
      <c r="J1485" s="223"/>
      <c r="K1485" s="317">
        <v>1899.0</v>
      </c>
    </row>
    <row r="1486">
      <c r="A1486" s="223"/>
      <c r="B1486" s="223" t="s">
        <v>200</v>
      </c>
      <c r="C1486" s="223"/>
      <c r="D1486" s="316"/>
      <c r="E1486" s="218"/>
      <c r="F1486" s="218"/>
      <c r="G1486" s="218" t="s">
        <v>200</v>
      </c>
      <c r="H1486" s="223">
        <v>0.0</v>
      </c>
      <c r="J1486" s="223"/>
      <c r="K1486" s="317">
        <v>1899.0</v>
      </c>
    </row>
    <row r="1487">
      <c r="A1487" s="223"/>
      <c r="B1487" s="223" t="s">
        <v>200</v>
      </c>
      <c r="C1487" s="223"/>
      <c r="D1487" s="316"/>
      <c r="E1487" s="218"/>
      <c r="F1487" s="218"/>
      <c r="G1487" s="218" t="s">
        <v>200</v>
      </c>
      <c r="H1487" s="223">
        <v>0.0</v>
      </c>
      <c r="J1487" s="223"/>
      <c r="K1487" s="317">
        <v>1899.0</v>
      </c>
    </row>
    <row r="1488">
      <c r="A1488" s="223"/>
      <c r="B1488" s="223" t="s">
        <v>200</v>
      </c>
      <c r="C1488" s="223"/>
      <c r="D1488" s="316"/>
      <c r="E1488" s="218"/>
      <c r="F1488" s="218"/>
      <c r="G1488" s="218" t="s">
        <v>200</v>
      </c>
      <c r="H1488" s="223">
        <v>0.0</v>
      </c>
      <c r="J1488" s="223"/>
      <c r="K1488" s="317">
        <v>1899.0</v>
      </c>
    </row>
    <row r="1489">
      <c r="A1489" s="223"/>
      <c r="B1489" s="223" t="s">
        <v>200</v>
      </c>
      <c r="C1489" s="223"/>
      <c r="D1489" s="316"/>
      <c r="E1489" s="218"/>
      <c r="F1489" s="218"/>
      <c r="G1489" s="218" t="s">
        <v>200</v>
      </c>
      <c r="H1489" s="223">
        <v>0.0</v>
      </c>
      <c r="J1489" s="223"/>
      <c r="K1489" s="317">
        <v>1899.0</v>
      </c>
    </row>
    <row r="1490">
      <c r="A1490" s="223"/>
      <c r="B1490" s="223" t="s">
        <v>200</v>
      </c>
      <c r="C1490" s="223"/>
      <c r="D1490" s="316"/>
      <c r="E1490" s="218"/>
      <c r="F1490" s="218"/>
      <c r="G1490" s="218" t="s">
        <v>200</v>
      </c>
      <c r="H1490" s="223">
        <v>0.0</v>
      </c>
      <c r="J1490" s="223"/>
      <c r="K1490" s="317">
        <v>1899.0</v>
      </c>
    </row>
    <row r="1491">
      <c r="A1491" s="223"/>
      <c r="B1491" s="223" t="s">
        <v>200</v>
      </c>
      <c r="C1491" s="223"/>
      <c r="D1491" s="316"/>
      <c r="E1491" s="218"/>
      <c r="F1491" s="218"/>
      <c r="G1491" s="218" t="s">
        <v>200</v>
      </c>
      <c r="H1491" s="223">
        <v>0.0</v>
      </c>
      <c r="J1491" s="223"/>
      <c r="K1491" s="317">
        <v>1899.0</v>
      </c>
    </row>
    <row r="1492">
      <c r="A1492" s="223"/>
      <c r="B1492" s="223" t="s">
        <v>200</v>
      </c>
      <c r="C1492" s="223"/>
      <c r="D1492" s="316"/>
      <c r="E1492" s="218"/>
      <c r="F1492" s="218"/>
      <c r="G1492" s="218" t="s">
        <v>200</v>
      </c>
      <c r="H1492" s="223">
        <v>0.0</v>
      </c>
      <c r="J1492" s="223"/>
      <c r="K1492" s="317">
        <v>1899.0</v>
      </c>
    </row>
    <row r="1493">
      <c r="A1493" s="223"/>
      <c r="B1493" s="223" t="s">
        <v>200</v>
      </c>
      <c r="C1493" s="223"/>
      <c r="D1493" s="316"/>
      <c r="E1493" s="218"/>
      <c r="F1493" s="218"/>
      <c r="G1493" s="218" t="s">
        <v>200</v>
      </c>
      <c r="H1493" s="223">
        <v>0.0</v>
      </c>
      <c r="J1493" s="223"/>
      <c r="K1493" s="317">
        <v>1899.0</v>
      </c>
    </row>
    <row r="1494">
      <c r="A1494" s="223"/>
      <c r="B1494" s="223" t="s">
        <v>200</v>
      </c>
      <c r="C1494" s="223"/>
      <c r="D1494" s="316"/>
      <c r="E1494" s="218"/>
      <c r="F1494" s="218"/>
      <c r="G1494" s="218" t="s">
        <v>200</v>
      </c>
      <c r="H1494" s="223">
        <v>0.0</v>
      </c>
      <c r="J1494" s="223"/>
      <c r="K1494" s="317">
        <v>1899.0</v>
      </c>
    </row>
    <row r="1495">
      <c r="A1495" s="223"/>
      <c r="B1495" s="223" t="s">
        <v>200</v>
      </c>
      <c r="C1495" s="223"/>
      <c r="D1495" s="316"/>
      <c r="E1495" s="218"/>
      <c r="F1495" s="218"/>
      <c r="G1495" s="218" t="s">
        <v>200</v>
      </c>
      <c r="H1495" s="223">
        <v>0.0</v>
      </c>
      <c r="J1495" s="223"/>
      <c r="K1495" s="317">
        <v>1899.0</v>
      </c>
    </row>
    <row r="1496">
      <c r="A1496" s="223"/>
      <c r="B1496" s="223" t="s">
        <v>200</v>
      </c>
      <c r="C1496" s="223"/>
      <c r="D1496" s="316"/>
      <c r="E1496" s="218"/>
      <c r="F1496" s="218"/>
      <c r="G1496" s="218" t="s">
        <v>200</v>
      </c>
      <c r="H1496" s="223">
        <v>0.0</v>
      </c>
      <c r="J1496" s="223"/>
      <c r="K1496" s="317">
        <v>1899.0</v>
      </c>
    </row>
    <row r="1497">
      <c r="A1497" s="223"/>
      <c r="B1497" s="223" t="s">
        <v>200</v>
      </c>
      <c r="C1497" s="223"/>
      <c r="D1497" s="316"/>
      <c r="E1497" s="218"/>
      <c r="F1497" s="218"/>
      <c r="G1497" s="218" t="s">
        <v>200</v>
      </c>
      <c r="H1497" s="223">
        <v>0.0</v>
      </c>
      <c r="J1497" s="223"/>
      <c r="K1497" s="317">
        <v>1899.0</v>
      </c>
    </row>
    <row r="1498">
      <c r="A1498" s="223"/>
      <c r="B1498" s="223" t="s">
        <v>200</v>
      </c>
      <c r="C1498" s="223"/>
      <c r="D1498" s="316"/>
      <c r="E1498" s="218"/>
      <c r="F1498" s="218"/>
      <c r="G1498" s="218" t="s">
        <v>200</v>
      </c>
      <c r="H1498" s="223">
        <v>0.0</v>
      </c>
      <c r="J1498" s="223"/>
      <c r="K1498" s="317">
        <v>1899.0</v>
      </c>
    </row>
    <row r="1499">
      <c r="A1499" s="223"/>
      <c r="B1499" s="223" t="s">
        <v>200</v>
      </c>
      <c r="C1499" s="223"/>
      <c r="D1499" s="316"/>
      <c r="E1499" s="218"/>
      <c r="F1499" s="218"/>
      <c r="G1499" s="218" t="s">
        <v>200</v>
      </c>
      <c r="H1499" s="223">
        <v>0.0</v>
      </c>
      <c r="J1499" s="223"/>
      <c r="K1499" s="317">
        <v>1899.0</v>
      </c>
    </row>
    <row r="1500">
      <c r="A1500" s="223"/>
      <c r="B1500" s="223" t="s">
        <v>200</v>
      </c>
      <c r="C1500" s="223"/>
      <c r="D1500" s="316"/>
      <c r="E1500" s="218"/>
      <c r="F1500" s="218"/>
      <c r="G1500" s="218" t="s">
        <v>200</v>
      </c>
      <c r="H1500" s="223">
        <v>0.0</v>
      </c>
      <c r="J1500" s="223"/>
      <c r="K1500" s="317">
        <v>1899.0</v>
      </c>
    </row>
    <row r="1501">
      <c r="A1501" s="223"/>
      <c r="B1501" s="223" t="s">
        <v>200</v>
      </c>
      <c r="C1501" s="223"/>
      <c r="D1501" s="316"/>
      <c r="E1501" s="218"/>
      <c r="F1501" s="218"/>
      <c r="G1501" s="218" t="s">
        <v>200</v>
      </c>
      <c r="H1501" s="223">
        <v>0.0</v>
      </c>
      <c r="J1501" s="223"/>
      <c r="K1501" s="317">
        <v>1899.0</v>
      </c>
    </row>
    <row r="1502">
      <c r="A1502" s="223"/>
      <c r="B1502" s="223" t="s">
        <v>200</v>
      </c>
      <c r="C1502" s="223"/>
      <c r="D1502" s="316"/>
      <c r="E1502" s="218"/>
      <c r="F1502" s="218"/>
      <c r="G1502" s="218" t="s">
        <v>200</v>
      </c>
      <c r="H1502" s="223">
        <v>0.0</v>
      </c>
      <c r="J1502" s="223"/>
      <c r="K1502" s="317">
        <v>1899.0</v>
      </c>
    </row>
    <row r="1503">
      <c r="A1503" s="223"/>
      <c r="B1503" s="223" t="s">
        <v>200</v>
      </c>
      <c r="C1503" s="223"/>
      <c r="D1503" s="316"/>
      <c r="E1503" s="218"/>
      <c r="F1503" s="218"/>
      <c r="G1503" s="218" t="s">
        <v>200</v>
      </c>
      <c r="H1503" s="223">
        <v>0.0</v>
      </c>
      <c r="J1503" s="223"/>
      <c r="K1503" s="317">
        <v>1899.0</v>
      </c>
    </row>
    <row r="1504">
      <c r="A1504" s="223"/>
      <c r="B1504" s="223" t="s">
        <v>200</v>
      </c>
      <c r="C1504" s="223"/>
      <c r="D1504" s="316"/>
      <c r="E1504" s="218"/>
      <c r="F1504" s="218"/>
      <c r="G1504" s="218" t="s">
        <v>200</v>
      </c>
      <c r="H1504" s="223">
        <v>0.0</v>
      </c>
      <c r="J1504" s="223"/>
      <c r="K1504" s="317">
        <v>1899.0</v>
      </c>
    </row>
    <row r="1505">
      <c r="A1505" s="223"/>
      <c r="B1505" s="223" t="s">
        <v>200</v>
      </c>
      <c r="C1505" s="223"/>
      <c r="D1505" s="316"/>
      <c r="E1505" s="218"/>
      <c r="F1505" s="218"/>
      <c r="G1505" s="218" t="s">
        <v>200</v>
      </c>
      <c r="H1505" s="223">
        <v>0.0</v>
      </c>
      <c r="J1505" s="223"/>
      <c r="K1505" s="317">
        <v>1899.0</v>
      </c>
    </row>
    <row r="1506">
      <c r="A1506" s="223"/>
      <c r="B1506" s="223" t="s">
        <v>200</v>
      </c>
      <c r="C1506" s="223"/>
      <c r="D1506" s="316"/>
      <c r="E1506" s="218"/>
      <c r="F1506" s="218"/>
      <c r="G1506" s="218" t="s">
        <v>200</v>
      </c>
      <c r="H1506" s="223">
        <v>0.0</v>
      </c>
      <c r="J1506" s="223"/>
      <c r="K1506" s="317">
        <v>1899.0</v>
      </c>
    </row>
    <row r="1507">
      <c r="A1507" s="223"/>
      <c r="B1507" s="223" t="s">
        <v>200</v>
      </c>
      <c r="C1507" s="223"/>
      <c r="D1507" s="316"/>
      <c r="E1507" s="218"/>
      <c r="F1507" s="218"/>
      <c r="G1507" s="218" t="s">
        <v>200</v>
      </c>
      <c r="H1507" s="223">
        <v>0.0</v>
      </c>
      <c r="J1507" s="223"/>
      <c r="K1507" s="317">
        <v>1899.0</v>
      </c>
    </row>
    <row r="1508">
      <c r="A1508" s="223"/>
      <c r="B1508" s="223" t="s">
        <v>200</v>
      </c>
      <c r="C1508" s="223"/>
      <c r="D1508" s="316"/>
      <c r="E1508" s="218"/>
      <c r="F1508" s="218"/>
      <c r="G1508" s="218" t="s">
        <v>200</v>
      </c>
      <c r="H1508" s="223">
        <v>0.0</v>
      </c>
      <c r="J1508" s="223"/>
      <c r="K1508" s="317">
        <v>1899.0</v>
      </c>
    </row>
    <row r="1509">
      <c r="A1509" s="223"/>
      <c r="B1509" s="223" t="s">
        <v>200</v>
      </c>
      <c r="C1509" s="223"/>
      <c r="D1509" s="316"/>
      <c r="E1509" s="218"/>
      <c r="F1509" s="218"/>
      <c r="G1509" s="218" t="s">
        <v>200</v>
      </c>
      <c r="H1509" s="223">
        <v>0.0</v>
      </c>
      <c r="J1509" s="223"/>
      <c r="K1509" s="317">
        <v>1899.0</v>
      </c>
    </row>
    <row r="1510">
      <c r="A1510" s="223"/>
      <c r="B1510" s="223" t="s">
        <v>200</v>
      </c>
      <c r="C1510" s="223"/>
      <c r="D1510" s="316"/>
      <c r="E1510" s="218"/>
      <c r="F1510" s="218"/>
      <c r="G1510" s="218" t="s">
        <v>200</v>
      </c>
      <c r="H1510" s="223">
        <v>0.0</v>
      </c>
      <c r="J1510" s="223"/>
      <c r="K1510" s="317">
        <v>1899.0</v>
      </c>
    </row>
    <row r="1511">
      <c r="A1511" s="223"/>
      <c r="B1511" s="223" t="s">
        <v>200</v>
      </c>
      <c r="C1511" s="223"/>
      <c r="D1511" s="316"/>
      <c r="E1511" s="218"/>
      <c r="F1511" s="218"/>
      <c r="G1511" s="218" t="s">
        <v>200</v>
      </c>
      <c r="H1511" s="223">
        <v>0.0</v>
      </c>
      <c r="J1511" s="223"/>
      <c r="K1511" s="317">
        <v>1899.0</v>
      </c>
    </row>
    <row r="1512">
      <c r="A1512" s="223"/>
      <c r="B1512" s="223" t="s">
        <v>200</v>
      </c>
      <c r="C1512" s="223"/>
      <c r="D1512" s="316"/>
      <c r="E1512" s="218"/>
      <c r="F1512" s="218"/>
      <c r="G1512" s="218" t="s">
        <v>200</v>
      </c>
      <c r="H1512" s="223">
        <v>0.0</v>
      </c>
      <c r="J1512" s="223"/>
      <c r="K1512" s="317">
        <v>1899.0</v>
      </c>
    </row>
    <row r="1513">
      <c r="A1513" s="223"/>
      <c r="B1513" s="223" t="s">
        <v>200</v>
      </c>
      <c r="C1513" s="223"/>
      <c r="D1513" s="316"/>
      <c r="E1513" s="218"/>
      <c r="F1513" s="218"/>
      <c r="G1513" s="218" t="s">
        <v>200</v>
      </c>
      <c r="H1513" s="223">
        <v>0.0</v>
      </c>
      <c r="J1513" s="223"/>
      <c r="K1513" s="317">
        <v>1899.0</v>
      </c>
    </row>
    <row r="1514">
      <c r="A1514" s="223"/>
      <c r="B1514" s="223" t="s">
        <v>200</v>
      </c>
      <c r="C1514" s="223"/>
      <c r="D1514" s="316"/>
      <c r="E1514" s="218"/>
      <c r="F1514" s="218"/>
      <c r="G1514" s="218" t="s">
        <v>200</v>
      </c>
      <c r="H1514" s="223">
        <v>0.0</v>
      </c>
      <c r="J1514" s="223"/>
      <c r="K1514" s="317">
        <v>1899.0</v>
      </c>
    </row>
    <row r="1515">
      <c r="A1515" s="223"/>
      <c r="B1515" s="223" t="s">
        <v>200</v>
      </c>
      <c r="C1515" s="223"/>
      <c r="D1515" s="316"/>
      <c r="E1515" s="218"/>
      <c r="F1515" s="218"/>
      <c r="G1515" s="218" t="s">
        <v>200</v>
      </c>
      <c r="H1515" s="223">
        <v>0.0</v>
      </c>
      <c r="J1515" s="223"/>
      <c r="K1515" s="317">
        <v>1899.0</v>
      </c>
    </row>
    <row r="1516">
      <c r="A1516" s="223"/>
      <c r="B1516" s="223" t="s">
        <v>200</v>
      </c>
      <c r="C1516" s="223"/>
      <c r="D1516" s="316"/>
      <c r="E1516" s="218"/>
      <c r="F1516" s="218"/>
      <c r="G1516" s="218" t="s">
        <v>200</v>
      </c>
      <c r="H1516" s="223">
        <v>0.0</v>
      </c>
      <c r="J1516" s="223"/>
      <c r="K1516" s="317">
        <v>1899.0</v>
      </c>
    </row>
    <row r="1517">
      <c r="A1517" s="223"/>
      <c r="B1517" s="223" t="s">
        <v>200</v>
      </c>
      <c r="C1517" s="223"/>
      <c r="D1517" s="316"/>
      <c r="E1517" s="218"/>
      <c r="F1517" s="218"/>
      <c r="G1517" s="218" t="s">
        <v>200</v>
      </c>
      <c r="H1517" s="223">
        <v>0.0</v>
      </c>
      <c r="J1517" s="223"/>
      <c r="K1517" s="317">
        <v>1899.0</v>
      </c>
    </row>
    <row r="1518">
      <c r="A1518" s="223"/>
      <c r="B1518" s="223" t="s">
        <v>200</v>
      </c>
      <c r="C1518" s="223"/>
      <c r="D1518" s="316"/>
      <c r="E1518" s="218"/>
      <c r="F1518" s="218"/>
      <c r="G1518" s="218" t="s">
        <v>200</v>
      </c>
      <c r="H1518" s="223">
        <v>0.0</v>
      </c>
      <c r="J1518" s="223"/>
      <c r="K1518" s="317">
        <v>1899.0</v>
      </c>
    </row>
    <row r="1519">
      <c r="A1519" s="223"/>
      <c r="B1519" s="223" t="s">
        <v>200</v>
      </c>
      <c r="C1519" s="223"/>
      <c r="D1519" s="316"/>
      <c r="E1519" s="218"/>
      <c r="F1519" s="218"/>
      <c r="G1519" s="218" t="s">
        <v>200</v>
      </c>
      <c r="H1519" s="223">
        <v>0.0</v>
      </c>
      <c r="J1519" s="223"/>
      <c r="K1519" s="317">
        <v>1899.0</v>
      </c>
    </row>
    <row r="1520">
      <c r="A1520" s="223"/>
      <c r="B1520" s="223" t="s">
        <v>200</v>
      </c>
      <c r="C1520" s="223"/>
      <c r="D1520" s="316"/>
      <c r="E1520" s="218"/>
      <c r="F1520" s="218"/>
      <c r="G1520" s="218" t="s">
        <v>200</v>
      </c>
      <c r="H1520" s="223">
        <v>0.0</v>
      </c>
      <c r="J1520" s="223"/>
      <c r="K1520" s="317">
        <v>1899.0</v>
      </c>
    </row>
    <row r="1521">
      <c r="A1521" s="223"/>
      <c r="B1521" s="223" t="s">
        <v>200</v>
      </c>
      <c r="C1521" s="223"/>
      <c r="D1521" s="316"/>
      <c r="E1521" s="218"/>
      <c r="F1521" s="218"/>
      <c r="G1521" s="218" t="s">
        <v>200</v>
      </c>
      <c r="H1521" s="223">
        <v>0.0</v>
      </c>
      <c r="J1521" s="223"/>
      <c r="K1521" s="317">
        <v>1899.0</v>
      </c>
    </row>
    <row r="1522">
      <c r="A1522" s="223"/>
      <c r="B1522" s="223" t="s">
        <v>200</v>
      </c>
      <c r="C1522" s="223"/>
      <c r="D1522" s="316"/>
      <c r="E1522" s="218"/>
      <c r="F1522" s="218"/>
      <c r="G1522" s="218" t="s">
        <v>200</v>
      </c>
      <c r="H1522" s="223">
        <v>0.0</v>
      </c>
      <c r="J1522" s="223"/>
      <c r="K1522" s="317">
        <v>1899.0</v>
      </c>
    </row>
    <row r="1523">
      <c r="A1523" s="223"/>
      <c r="B1523" s="223" t="s">
        <v>200</v>
      </c>
      <c r="C1523" s="223"/>
      <c r="D1523" s="316"/>
      <c r="E1523" s="218"/>
      <c r="F1523" s="218"/>
      <c r="G1523" s="218" t="s">
        <v>200</v>
      </c>
      <c r="H1523" s="223">
        <v>0.0</v>
      </c>
      <c r="J1523" s="223"/>
      <c r="K1523" s="317">
        <v>1899.0</v>
      </c>
    </row>
    <row r="1524">
      <c r="A1524" s="223"/>
      <c r="B1524" s="223" t="s">
        <v>200</v>
      </c>
      <c r="C1524" s="223"/>
      <c r="D1524" s="316"/>
      <c r="E1524" s="218"/>
      <c r="F1524" s="218"/>
      <c r="G1524" s="218" t="s">
        <v>200</v>
      </c>
      <c r="H1524" s="223">
        <v>0.0</v>
      </c>
      <c r="J1524" s="223"/>
      <c r="K1524" s="317">
        <v>1899.0</v>
      </c>
    </row>
    <row r="1525">
      <c r="A1525" s="223"/>
      <c r="B1525" s="223" t="s">
        <v>200</v>
      </c>
      <c r="C1525" s="223"/>
      <c r="D1525" s="316"/>
      <c r="E1525" s="218"/>
      <c r="F1525" s="218"/>
      <c r="G1525" s="218" t="s">
        <v>200</v>
      </c>
      <c r="H1525" s="223">
        <v>0.0</v>
      </c>
      <c r="J1525" s="223"/>
      <c r="K1525" s="317">
        <v>1899.0</v>
      </c>
    </row>
    <row r="1526">
      <c r="A1526" s="223"/>
      <c r="B1526" s="223" t="s">
        <v>200</v>
      </c>
      <c r="C1526" s="223"/>
      <c r="D1526" s="316"/>
      <c r="E1526" s="218"/>
      <c r="F1526" s="218"/>
      <c r="G1526" s="218" t="s">
        <v>200</v>
      </c>
      <c r="H1526" s="223">
        <v>0.0</v>
      </c>
      <c r="J1526" s="223"/>
      <c r="K1526" s="317">
        <v>1899.0</v>
      </c>
    </row>
    <row r="1527">
      <c r="A1527" s="223"/>
      <c r="B1527" s="223" t="s">
        <v>200</v>
      </c>
      <c r="C1527" s="223"/>
      <c r="D1527" s="316"/>
      <c r="E1527" s="218"/>
      <c r="F1527" s="218"/>
      <c r="G1527" s="218" t="s">
        <v>200</v>
      </c>
      <c r="H1527" s="223">
        <v>0.0</v>
      </c>
      <c r="J1527" s="223"/>
      <c r="K1527" s="317">
        <v>1899.0</v>
      </c>
    </row>
    <row r="1528">
      <c r="A1528" s="223"/>
      <c r="B1528" s="223" t="s">
        <v>200</v>
      </c>
      <c r="C1528" s="223"/>
      <c r="D1528" s="316"/>
      <c r="E1528" s="218"/>
      <c r="F1528" s="218"/>
      <c r="G1528" s="218" t="s">
        <v>200</v>
      </c>
      <c r="H1528" s="223">
        <v>0.0</v>
      </c>
      <c r="J1528" s="223"/>
      <c r="K1528" s="317">
        <v>1899.0</v>
      </c>
    </row>
    <row r="1529">
      <c r="A1529" s="223"/>
      <c r="B1529" s="223" t="s">
        <v>200</v>
      </c>
      <c r="C1529" s="223"/>
      <c r="D1529" s="316"/>
      <c r="E1529" s="218"/>
      <c r="F1529" s="218"/>
      <c r="G1529" s="218" t="s">
        <v>200</v>
      </c>
      <c r="H1529" s="223">
        <v>0.0</v>
      </c>
      <c r="J1529" s="223"/>
      <c r="K1529" s="317">
        <v>1899.0</v>
      </c>
    </row>
    <row r="1530">
      <c r="A1530" s="223"/>
      <c r="B1530" s="223" t="s">
        <v>200</v>
      </c>
      <c r="C1530" s="223"/>
      <c r="D1530" s="316"/>
      <c r="E1530" s="218"/>
      <c r="F1530" s="218"/>
      <c r="G1530" s="218" t="s">
        <v>200</v>
      </c>
      <c r="H1530" s="223">
        <v>0.0</v>
      </c>
      <c r="J1530" s="223"/>
      <c r="K1530" s="317">
        <v>1899.0</v>
      </c>
    </row>
    <row r="1531">
      <c r="A1531" s="223"/>
      <c r="B1531" s="223" t="s">
        <v>200</v>
      </c>
      <c r="C1531" s="223"/>
      <c r="D1531" s="316"/>
      <c r="E1531" s="218"/>
      <c r="F1531" s="218"/>
      <c r="G1531" s="218" t="s">
        <v>200</v>
      </c>
      <c r="H1531" s="223">
        <v>0.0</v>
      </c>
      <c r="J1531" s="223"/>
      <c r="K1531" s="317">
        <v>1899.0</v>
      </c>
    </row>
    <row r="1532">
      <c r="A1532" s="223"/>
      <c r="B1532" s="223" t="s">
        <v>200</v>
      </c>
      <c r="C1532" s="223"/>
      <c r="D1532" s="316"/>
      <c r="E1532" s="218"/>
      <c r="F1532" s="218"/>
      <c r="G1532" s="218" t="s">
        <v>200</v>
      </c>
      <c r="H1532" s="223">
        <v>0.0</v>
      </c>
      <c r="J1532" s="223"/>
      <c r="K1532" s="317">
        <v>1899.0</v>
      </c>
    </row>
    <row r="1533">
      <c r="A1533" s="223"/>
      <c r="B1533" s="223" t="s">
        <v>200</v>
      </c>
      <c r="C1533" s="223"/>
      <c r="D1533" s="316"/>
      <c r="E1533" s="218"/>
      <c r="F1533" s="218"/>
      <c r="G1533" s="218" t="s">
        <v>200</v>
      </c>
      <c r="H1533" s="223">
        <v>0.0</v>
      </c>
      <c r="J1533" s="223"/>
      <c r="K1533" s="317">
        <v>1899.0</v>
      </c>
    </row>
    <row r="1534">
      <c r="A1534" s="223"/>
      <c r="B1534" s="223" t="s">
        <v>200</v>
      </c>
      <c r="C1534" s="223"/>
      <c r="D1534" s="316"/>
      <c r="E1534" s="218"/>
      <c r="F1534" s="218"/>
      <c r="G1534" s="218" t="s">
        <v>200</v>
      </c>
      <c r="H1534" s="223">
        <v>0.0</v>
      </c>
      <c r="J1534" s="223"/>
      <c r="K1534" s="317">
        <v>1899.0</v>
      </c>
    </row>
    <row r="1535">
      <c r="A1535" s="223"/>
      <c r="B1535" s="223" t="s">
        <v>200</v>
      </c>
      <c r="C1535" s="223"/>
      <c r="D1535" s="316"/>
      <c r="E1535" s="218"/>
      <c r="F1535" s="218"/>
      <c r="G1535" s="218" t="s">
        <v>200</v>
      </c>
      <c r="H1535" s="223">
        <v>0.0</v>
      </c>
      <c r="J1535" s="223"/>
      <c r="K1535" s="317">
        <v>1899.0</v>
      </c>
    </row>
    <row r="1536">
      <c r="A1536" s="223"/>
      <c r="B1536" s="223" t="s">
        <v>200</v>
      </c>
      <c r="C1536" s="223"/>
      <c r="D1536" s="316"/>
      <c r="E1536" s="218"/>
      <c r="F1536" s="218"/>
      <c r="G1536" s="218" t="s">
        <v>200</v>
      </c>
      <c r="H1536" s="223">
        <v>0.0</v>
      </c>
      <c r="J1536" s="223"/>
      <c r="K1536" s="317">
        <v>1899.0</v>
      </c>
    </row>
    <row r="1537">
      <c r="A1537" s="223"/>
      <c r="B1537" s="223" t="s">
        <v>200</v>
      </c>
      <c r="C1537" s="223"/>
      <c r="D1537" s="316"/>
      <c r="E1537" s="218"/>
      <c r="F1537" s="218"/>
      <c r="G1537" s="218" t="s">
        <v>200</v>
      </c>
      <c r="H1537" s="223">
        <v>0.0</v>
      </c>
      <c r="J1537" s="223"/>
      <c r="K1537" s="317">
        <v>1899.0</v>
      </c>
    </row>
    <row r="1538">
      <c r="A1538" s="223"/>
      <c r="B1538" s="223" t="s">
        <v>200</v>
      </c>
      <c r="C1538" s="223"/>
      <c r="D1538" s="316"/>
      <c r="E1538" s="218"/>
      <c r="F1538" s="218"/>
      <c r="G1538" s="218" t="s">
        <v>200</v>
      </c>
      <c r="H1538" s="223">
        <v>0.0</v>
      </c>
      <c r="J1538" s="223"/>
      <c r="K1538" s="317">
        <v>1899.0</v>
      </c>
    </row>
    <row r="1539">
      <c r="A1539" s="223"/>
      <c r="B1539" s="223" t="s">
        <v>200</v>
      </c>
      <c r="C1539" s="223"/>
      <c r="D1539" s="316"/>
      <c r="E1539" s="218"/>
      <c r="F1539" s="218"/>
      <c r="G1539" s="218" t="s">
        <v>200</v>
      </c>
      <c r="H1539" s="223">
        <v>0.0</v>
      </c>
      <c r="J1539" s="223"/>
      <c r="K1539" s="317">
        <v>1899.0</v>
      </c>
    </row>
    <row r="1540">
      <c r="A1540" s="223"/>
      <c r="B1540" s="223" t="s">
        <v>200</v>
      </c>
      <c r="C1540" s="223"/>
      <c r="D1540" s="316"/>
      <c r="E1540" s="218"/>
      <c r="F1540" s="218"/>
      <c r="G1540" s="218" t="s">
        <v>200</v>
      </c>
      <c r="H1540" s="223">
        <v>0.0</v>
      </c>
      <c r="J1540" s="223"/>
      <c r="K1540" s="317">
        <v>1899.0</v>
      </c>
    </row>
    <row r="1541">
      <c r="A1541" s="223"/>
      <c r="B1541" s="223" t="s">
        <v>200</v>
      </c>
      <c r="C1541" s="223"/>
      <c r="D1541" s="316"/>
      <c r="E1541" s="218"/>
      <c r="F1541" s="218"/>
      <c r="G1541" s="218" t="s">
        <v>200</v>
      </c>
      <c r="H1541" s="223">
        <v>0.0</v>
      </c>
      <c r="J1541" s="223"/>
      <c r="K1541" s="317">
        <v>1899.0</v>
      </c>
    </row>
    <row r="1542">
      <c r="A1542" s="223"/>
      <c r="B1542" s="223" t="s">
        <v>200</v>
      </c>
      <c r="C1542" s="223"/>
      <c r="D1542" s="316"/>
      <c r="E1542" s="218"/>
      <c r="F1542" s="218"/>
      <c r="G1542" s="218" t="s">
        <v>200</v>
      </c>
      <c r="H1542" s="223">
        <v>0.0</v>
      </c>
      <c r="J1542" s="223"/>
      <c r="K1542" s="317">
        <v>1899.0</v>
      </c>
    </row>
    <row r="1543">
      <c r="A1543" s="223"/>
      <c r="B1543" s="223" t="s">
        <v>200</v>
      </c>
      <c r="C1543" s="223"/>
      <c r="D1543" s="316"/>
      <c r="E1543" s="218"/>
      <c r="F1543" s="218"/>
      <c r="G1543" s="218" t="s">
        <v>200</v>
      </c>
      <c r="H1543" s="223">
        <v>0.0</v>
      </c>
      <c r="J1543" s="223"/>
      <c r="K1543" s="317">
        <v>1899.0</v>
      </c>
    </row>
    <row r="1544">
      <c r="A1544" s="223"/>
      <c r="B1544" s="223" t="s">
        <v>200</v>
      </c>
      <c r="C1544" s="223"/>
      <c r="D1544" s="316"/>
      <c r="E1544" s="218"/>
      <c r="F1544" s="218"/>
      <c r="G1544" s="218" t="s">
        <v>200</v>
      </c>
      <c r="H1544" s="223">
        <v>0.0</v>
      </c>
      <c r="J1544" s="223"/>
      <c r="K1544" s="317">
        <v>1899.0</v>
      </c>
    </row>
    <row r="1545">
      <c r="A1545" s="223"/>
      <c r="B1545" s="223" t="s">
        <v>200</v>
      </c>
      <c r="C1545" s="223"/>
      <c r="D1545" s="316"/>
      <c r="E1545" s="218"/>
      <c r="F1545" s="218"/>
      <c r="G1545" s="218" t="s">
        <v>200</v>
      </c>
      <c r="H1545" s="223">
        <v>0.0</v>
      </c>
      <c r="J1545" s="223"/>
      <c r="K1545" s="317">
        <v>1899.0</v>
      </c>
    </row>
    <row r="1546">
      <c r="A1546" s="223"/>
      <c r="B1546" s="223" t="s">
        <v>200</v>
      </c>
      <c r="C1546" s="223"/>
      <c r="D1546" s="316"/>
      <c r="E1546" s="218"/>
      <c r="F1546" s="218"/>
      <c r="G1546" s="218" t="s">
        <v>200</v>
      </c>
      <c r="H1546" s="223">
        <v>0.0</v>
      </c>
      <c r="J1546" s="223"/>
      <c r="K1546" s="317">
        <v>1899.0</v>
      </c>
    </row>
    <row r="1547">
      <c r="A1547" s="223"/>
      <c r="B1547" s="223" t="s">
        <v>200</v>
      </c>
      <c r="C1547" s="223"/>
      <c r="D1547" s="316"/>
      <c r="E1547" s="218"/>
      <c r="F1547" s="218"/>
      <c r="G1547" s="218" t="s">
        <v>200</v>
      </c>
      <c r="H1547" s="223">
        <v>0.0</v>
      </c>
      <c r="J1547" s="223"/>
      <c r="K1547" s="317">
        <v>1899.0</v>
      </c>
    </row>
    <row r="1548">
      <c r="A1548" s="223"/>
      <c r="B1548" s="223" t="s">
        <v>200</v>
      </c>
      <c r="C1548" s="223"/>
      <c r="D1548" s="316"/>
      <c r="E1548" s="218"/>
      <c r="F1548" s="218"/>
      <c r="G1548" s="218" t="s">
        <v>200</v>
      </c>
      <c r="H1548" s="223">
        <v>0.0</v>
      </c>
      <c r="J1548" s="223"/>
      <c r="K1548" s="317">
        <v>1899.0</v>
      </c>
    </row>
    <row r="1549">
      <c r="A1549" s="223"/>
      <c r="B1549" s="223" t="s">
        <v>200</v>
      </c>
      <c r="C1549" s="223"/>
      <c r="D1549" s="316"/>
      <c r="E1549" s="218"/>
      <c r="F1549" s="218"/>
      <c r="G1549" s="218" t="s">
        <v>200</v>
      </c>
      <c r="H1549" s="223">
        <v>0.0</v>
      </c>
      <c r="J1549" s="223"/>
      <c r="K1549" s="317">
        <v>1899.0</v>
      </c>
    </row>
    <row r="1550">
      <c r="A1550" s="223"/>
      <c r="B1550" s="223" t="s">
        <v>200</v>
      </c>
      <c r="C1550" s="223"/>
      <c r="D1550" s="316"/>
      <c r="E1550" s="218"/>
      <c r="F1550" s="218"/>
      <c r="G1550" s="218" t="s">
        <v>200</v>
      </c>
      <c r="H1550" s="223">
        <v>0.0</v>
      </c>
      <c r="J1550" s="223"/>
      <c r="K1550" s="317">
        <v>1899.0</v>
      </c>
    </row>
    <row r="1551">
      <c r="A1551" s="223"/>
      <c r="B1551" s="223" t="s">
        <v>200</v>
      </c>
      <c r="C1551" s="223"/>
      <c r="D1551" s="316"/>
      <c r="E1551" s="218"/>
      <c r="F1551" s="218"/>
      <c r="G1551" s="218" t="s">
        <v>200</v>
      </c>
      <c r="H1551" s="223">
        <v>0.0</v>
      </c>
      <c r="J1551" s="223"/>
      <c r="K1551" s="317">
        <v>1899.0</v>
      </c>
    </row>
    <row r="1552">
      <c r="A1552" s="223"/>
      <c r="B1552" s="223" t="s">
        <v>200</v>
      </c>
      <c r="C1552" s="223"/>
      <c r="D1552" s="316"/>
      <c r="E1552" s="218"/>
      <c r="F1552" s="218"/>
      <c r="G1552" s="218" t="s">
        <v>200</v>
      </c>
      <c r="H1552" s="223">
        <v>0.0</v>
      </c>
      <c r="J1552" s="223"/>
      <c r="K1552" s="317">
        <v>1899.0</v>
      </c>
    </row>
    <row r="1553">
      <c r="A1553" s="223"/>
      <c r="B1553" s="223" t="s">
        <v>200</v>
      </c>
      <c r="C1553" s="223"/>
      <c r="D1553" s="316"/>
      <c r="E1553" s="218"/>
      <c r="F1553" s="218"/>
      <c r="G1553" s="218" t="s">
        <v>200</v>
      </c>
      <c r="H1553" s="223">
        <v>0.0</v>
      </c>
      <c r="J1553" s="223"/>
      <c r="K1553" s="317">
        <v>1899.0</v>
      </c>
    </row>
    <row r="1554">
      <c r="A1554" s="223"/>
      <c r="B1554" s="223" t="s">
        <v>200</v>
      </c>
      <c r="C1554" s="223"/>
      <c r="D1554" s="316"/>
      <c r="E1554" s="218"/>
      <c r="F1554" s="218"/>
      <c r="G1554" s="218" t="s">
        <v>200</v>
      </c>
      <c r="H1554" s="223">
        <v>0.0</v>
      </c>
      <c r="J1554" s="223"/>
      <c r="K1554" s="317">
        <v>1899.0</v>
      </c>
    </row>
    <row r="1555">
      <c r="A1555" s="223"/>
      <c r="B1555" s="223" t="s">
        <v>200</v>
      </c>
      <c r="C1555" s="223"/>
      <c r="D1555" s="316"/>
      <c r="E1555" s="218"/>
      <c r="F1555" s="218"/>
      <c r="G1555" s="218" t="s">
        <v>200</v>
      </c>
      <c r="H1555" s="223">
        <v>0.0</v>
      </c>
      <c r="J1555" s="223"/>
      <c r="K1555" s="317">
        <v>1899.0</v>
      </c>
    </row>
    <row r="1556">
      <c r="A1556" s="223"/>
      <c r="B1556" s="223" t="s">
        <v>200</v>
      </c>
      <c r="C1556" s="223"/>
      <c r="D1556" s="316"/>
      <c r="E1556" s="218"/>
      <c r="F1556" s="218"/>
      <c r="G1556" s="218" t="s">
        <v>200</v>
      </c>
      <c r="H1556" s="223">
        <v>0.0</v>
      </c>
      <c r="J1556" s="223"/>
      <c r="K1556" s="317">
        <v>1899.0</v>
      </c>
    </row>
    <row r="1557">
      <c r="A1557" s="223"/>
      <c r="B1557" s="223" t="s">
        <v>200</v>
      </c>
      <c r="C1557" s="223"/>
      <c r="D1557" s="316"/>
      <c r="E1557" s="218"/>
      <c r="F1557" s="218"/>
      <c r="G1557" s="218" t="s">
        <v>200</v>
      </c>
      <c r="H1557" s="223">
        <v>0.0</v>
      </c>
      <c r="J1557" s="223"/>
      <c r="K1557" s="317">
        <v>1899.0</v>
      </c>
    </row>
    <row r="1558">
      <c r="A1558" s="223"/>
      <c r="B1558" s="223" t="s">
        <v>200</v>
      </c>
      <c r="C1558" s="223"/>
      <c r="D1558" s="316"/>
      <c r="E1558" s="218"/>
      <c r="F1558" s="218"/>
      <c r="G1558" s="218" t="s">
        <v>200</v>
      </c>
      <c r="H1558" s="223">
        <v>0.0</v>
      </c>
      <c r="J1558" s="223"/>
      <c r="K1558" s="317">
        <v>1899.0</v>
      </c>
    </row>
    <row r="1559">
      <c r="A1559" s="223"/>
      <c r="B1559" s="223" t="s">
        <v>200</v>
      </c>
      <c r="C1559" s="223"/>
      <c r="D1559" s="316"/>
      <c r="E1559" s="218"/>
      <c r="F1559" s="218"/>
      <c r="G1559" s="218" t="s">
        <v>200</v>
      </c>
      <c r="H1559" s="223">
        <v>0.0</v>
      </c>
      <c r="J1559" s="223"/>
      <c r="K1559" s="317">
        <v>1899.0</v>
      </c>
    </row>
    <row r="1560">
      <c r="A1560" s="223"/>
      <c r="B1560" s="223" t="s">
        <v>200</v>
      </c>
      <c r="C1560" s="223"/>
      <c r="D1560" s="316"/>
      <c r="E1560" s="218"/>
      <c r="F1560" s="218"/>
      <c r="G1560" s="218" t="s">
        <v>200</v>
      </c>
      <c r="H1560" s="223">
        <v>0.0</v>
      </c>
      <c r="J1560" s="223"/>
      <c r="K1560" s="317">
        <v>1899.0</v>
      </c>
    </row>
    <row r="1561">
      <c r="A1561" s="223"/>
      <c r="B1561" s="223" t="s">
        <v>200</v>
      </c>
      <c r="C1561" s="223"/>
      <c r="D1561" s="316"/>
      <c r="E1561" s="218"/>
      <c r="F1561" s="218"/>
      <c r="G1561" s="218" t="s">
        <v>200</v>
      </c>
      <c r="H1561" s="223">
        <v>0.0</v>
      </c>
      <c r="J1561" s="223"/>
      <c r="K1561" s="317">
        <v>1899.0</v>
      </c>
    </row>
    <row r="1562">
      <c r="A1562" s="223"/>
      <c r="B1562" s="223" t="s">
        <v>200</v>
      </c>
      <c r="C1562" s="223"/>
      <c r="D1562" s="316"/>
      <c r="E1562" s="218"/>
      <c r="F1562" s="218"/>
      <c r="G1562" s="218" t="s">
        <v>200</v>
      </c>
      <c r="H1562" s="223">
        <v>0.0</v>
      </c>
      <c r="J1562" s="223"/>
      <c r="K1562" s="317">
        <v>1899.0</v>
      </c>
    </row>
    <row r="1563">
      <c r="A1563" s="223"/>
      <c r="B1563" s="223" t="s">
        <v>200</v>
      </c>
      <c r="C1563" s="223"/>
      <c r="D1563" s="316"/>
      <c r="E1563" s="218"/>
      <c r="F1563" s="218"/>
      <c r="G1563" s="218" t="s">
        <v>200</v>
      </c>
      <c r="H1563" s="223">
        <v>0.0</v>
      </c>
      <c r="J1563" s="223"/>
      <c r="K1563" s="317">
        <v>1899.0</v>
      </c>
    </row>
    <row r="1564">
      <c r="A1564" s="223"/>
      <c r="B1564" s="223" t="s">
        <v>200</v>
      </c>
      <c r="C1564" s="223"/>
      <c r="D1564" s="316"/>
      <c r="E1564" s="218"/>
      <c r="F1564" s="218"/>
      <c r="G1564" s="218" t="s">
        <v>200</v>
      </c>
      <c r="H1564" s="223">
        <v>0.0</v>
      </c>
      <c r="J1564" s="223"/>
      <c r="K1564" s="317">
        <v>1899.0</v>
      </c>
    </row>
    <row r="1565">
      <c r="A1565" s="223"/>
      <c r="B1565" s="223" t="s">
        <v>200</v>
      </c>
      <c r="C1565" s="223"/>
      <c r="D1565" s="316"/>
      <c r="E1565" s="218"/>
      <c r="F1565" s="218"/>
      <c r="G1565" s="218" t="s">
        <v>200</v>
      </c>
      <c r="H1565" s="223">
        <v>0.0</v>
      </c>
      <c r="J1565" s="223"/>
      <c r="K1565" s="317">
        <v>1899.0</v>
      </c>
    </row>
    <row r="1566">
      <c r="A1566" s="223"/>
      <c r="B1566" s="223" t="s">
        <v>200</v>
      </c>
      <c r="C1566" s="223"/>
      <c r="D1566" s="316"/>
      <c r="E1566" s="218"/>
      <c r="F1566" s="218"/>
      <c r="G1566" s="218" t="s">
        <v>200</v>
      </c>
      <c r="H1566" s="223">
        <v>0.0</v>
      </c>
      <c r="J1566" s="223"/>
      <c r="K1566" s="317">
        <v>1899.0</v>
      </c>
    </row>
    <row r="1567">
      <c r="A1567" s="223"/>
      <c r="B1567" s="223" t="s">
        <v>200</v>
      </c>
      <c r="C1567" s="223"/>
      <c r="D1567" s="316"/>
      <c r="E1567" s="218"/>
      <c r="F1567" s="218"/>
      <c r="G1567" s="218" t="s">
        <v>200</v>
      </c>
      <c r="H1567" s="223">
        <v>0.0</v>
      </c>
      <c r="J1567" s="223"/>
      <c r="K1567" s="317">
        <v>1899.0</v>
      </c>
    </row>
    <row r="1568">
      <c r="A1568" s="223"/>
      <c r="B1568" s="223" t="s">
        <v>200</v>
      </c>
      <c r="C1568" s="223"/>
      <c r="D1568" s="316"/>
      <c r="E1568" s="218"/>
      <c r="F1568" s="218"/>
      <c r="G1568" s="218" t="s">
        <v>200</v>
      </c>
      <c r="H1568" s="223">
        <v>0.0</v>
      </c>
      <c r="J1568" s="223"/>
      <c r="K1568" s="317">
        <v>1899.0</v>
      </c>
    </row>
    <row r="1569">
      <c r="A1569" s="223"/>
      <c r="B1569" s="223" t="s">
        <v>200</v>
      </c>
      <c r="C1569" s="223"/>
      <c r="D1569" s="316"/>
      <c r="E1569" s="218"/>
      <c r="F1569" s="218"/>
      <c r="G1569" s="218" t="s">
        <v>200</v>
      </c>
      <c r="H1569" s="223">
        <v>0.0</v>
      </c>
      <c r="J1569" s="223"/>
      <c r="K1569" s="317">
        <v>1899.0</v>
      </c>
    </row>
    <row r="1570">
      <c r="A1570" s="223"/>
      <c r="B1570" s="223" t="s">
        <v>200</v>
      </c>
      <c r="C1570" s="223"/>
      <c r="D1570" s="316"/>
      <c r="E1570" s="218"/>
      <c r="F1570" s="218"/>
      <c r="G1570" s="218" t="s">
        <v>200</v>
      </c>
      <c r="H1570" s="223">
        <v>0.0</v>
      </c>
      <c r="J1570" s="223"/>
      <c r="K1570" s="317">
        <v>1899.0</v>
      </c>
    </row>
    <row r="1571">
      <c r="A1571" s="223"/>
      <c r="B1571" s="223" t="s">
        <v>200</v>
      </c>
      <c r="C1571" s="223"/>
      <c r="D1571" s="316"/>
      <c r="E1571" s="218"/>
      <c r="F1571" s="218"/>
      <c r="G1571" s="218" t="s">
        <v>200</v>
      </c>
      <c r="H1571" s="223">
        <v>0.0</v>
      </c>
      <c r="J1571" s="223"/>
      <c r="K1571" s="317">
        <v>1899.0</v>
      </c>
    </row>
    <row r="1572">
      <c r="A1572" s="223"/>
      <c r="B1572" s="223" t="s">
        <v>200</v>
      </c>
      <c r="C1572" s="223"/>
      <c r="D1572" s="316"/>
      <c r="E1572" s="218"/>
      <c r="F1572" s="218"/>
      <c r="G1572" s="218" t="s">
        <v>200</v>
      </c>
      <c r="H1572" s="223">
        <v>0.0</v>
      </c>
      <c r="J1572" s="223"/>
      <c r="K1572" s="317">
        <v>1899.0</v>
      </c>
    </row>
    <row r="1573">
      <c r="A1573" s="223"/>
      <c r="B1573" s="223" t="s">
        <v>200</v>
      </c>
      <c r="C1573" s="223"/>
      <c r="D1573" s="316"/>
      <c r="E1573" s="218"/>
      <c r="F1573" s="218"/>
      <c r="G1573" s="218" t="s">
        <v>200</v>
      </c>
      <c r="H1573" s="223">
        <v>0.0</v>
      </c>
      <c r="J1573" s="223"/>
      <c r="K1573" s="317">
        <v>1899.0</v>
      </c>
    </row>
    <row r="1574">
      <c r="A1574" s="223"/>
      <c r="B1574" s="223" t="s">
        <v>200</v>
      </c>
      <c r="C1574" s="223"/>
      <c r="D1574" s="316"/>
      <c r="E1574" s="218"/>
      <c r="F1574" s="218"/>
      <c r="G1574" s="218" t="s">
        <v>200</v>
      </c>
      <c r="H1574" s="223">
        <v>0.0</v>
      </c>
      <c r="J1574" s="223"/>
      <c r="K1574" s="317">
        <v>1899.0</v>
      </c>
    </row>
    <row r="1575">
      <c r="A1575" s="223"/>
      <c r="B1575" s="223" t="s">
        <v>200</v>
      </c>
      <c r="C1575" s="223"/>
      <c r="D1575" s="316"/>
      <c r="E1575" s="218"/>
      <c r="F1575" s="218"/>
      <c r="G1575" s="218" t="s">
        <v>200</v>
      </c>
      <c r="H1575" s="223">
        <v>0.0</v>
      </c>
      <c r="J1575" s="223"/>
      <c r="K1575" s="317">
        <v>1899.0</v>
      </c>
    </row>
    <row r="1576">
      <c r="A1576" s="223"/>
      <c r="B1576" s="223" t="s">
        <v>200</v>
      </c>
      <c r="C1576" s="223"/>
      <c r="D1576" s="316"/>
      <c r="E1576" s="218"/>
      <c r="F1576" s="218"/>
      <c r="G1576" s="218" t="s">
        <v>200</v>
      </c>
      <c r="H1576" s="223">
        <v>0.0</v>
      </c>
      <c r="J1576" s="223"/>
      <c r="K1576" s="317">
        <v>1899.0</v>
      </c>
    </row>
    <row r="1577">
      <c r="A1577" s="223"/>
      <c r="B1577" s="223" t="s">
        <v>200</v>
      </c>
      <c r="C1577" s="223"/>
      <c r="D1577" s="316"/>
      <c r="E1577" s="218"/>
      <c r="F1577" s="218"/>
      <c r="G1577" s="218" t="s">
        <v>200</v>
      </c>
      <c r="H1577" s="223">
        <v>0.0</v>
      </c>
      <c r="J1577" s="223"/>
      <c r="K1577" s="317">
        <v>1899.0</v>
      </c>
    </row>
    <row r="1578">
      <c r="A1578" s="223"/>
      <c r="B1578" s="223" t="s">
        <v>200</v>
      </c>
      <c r="C1578" s="223"/>
      <c r="D1578" s="316"/>
      <c r="E1578" s="218"/>
      <c r="F1578" s="218"/>
      <c r="G1578" s="218" t="s">
        <v>200</v>
      </c>
      <c r="H1578" s="223">
        <v>0.0</v>
      </c>
      <c r="J1578" s="223"/>
      <c r="K1578" s="317">
        <v>1899.0</v>
      </c>
    </row>
    <row r="1579">
      <c r="A1579" s="223"/>
      <c r="B1579" s="223" t="s">
        <v>200</v>
      </c>
      <c r="C1579" s="223"/>
      <c r="D1579" s="316"/>
      <c r="E1579" s="218"/>
      <c r="F1579" s="218"/>
      <c r="G1579" s="218" t="s">
        <v>200</v>
      </c>
      <c r="H1579" s="223">
        <v>0.0</v>
      </c>
      <c r="J1579" s="223"/>
      <c r="K1579" s="317">
        <v>1899.0</v>
      </c>
    </row>
    <row r="1580">
      <c r="A1580" s="223"/>
      <c r="B1580" s="223" t="s">
        <v>200</v>
      </c>
      <c r="C1580" s="223"/>
      <c r="D1580" s="316"/>
      <c r="E1580" s="218"/>
      <c r="F1580" s="218"/>
      <c r="G1580" s="218" t="s">
        <v>200</v>
      </c>
      <c r="H1580" s="223">
        <v>0.0</v>
      </c>
      <c r="J1580" s="223"/>
      <c r="K1580" s="317">
        <v>1899.0</v>
      </c>
    </row>
    <row r="1581">
      <c r="A1581" s="223"/>
      <c r="B1581" s="223" t="s">
        <v>200</v>
      </c>
      <c r="C1581" s="223"/>
      <c r="D1581" s="316"/>
      <c r="E1581" s="218"/>
      <c r="F1581" s="218"/>
      <c r="G1581" s="218" t="s">
        <v>200</v>
      </c>
      <c r="H1581" s="223">
        <v>0.0</v>
      </c>
      <c r="J1581" s="223"/>
      <c r="K1581" s="317">
        <v>1899.0</v>
      </c>
    </row>
    <row r="1582">
      <c r="A1582" s="223"/>
      <c r="B1582" s="223" t="s">
        <v>200</v>
      </c>
      <c r="C1582" s="223"/>
      <c r="D1582" s="316"/>
      <c r="E1582" s="218"/>
      <c r="F1582" s="218"/>
      <c r="G1582" s="218" t="s">
        <v>200</v>
      </c>
      <c r="H1582" s="223">
        <v>0.0</v>
      </c>
      <c r="J1582" s="223"/>
      <c r="K1582" s="317">
        <v>1899.0</v>
      </c>
    </row>
    <row r="1583">
      <c r="A1583" s="223"/>
      <c r="B1583" s="223" t="s">
        <v>200</v>
      </c>
      <c r="C1583" s="223"/>
      <c r="D1583" s="316"/>
      <c r="E1583" s="218"/>
      <c r="F1583" s="218"/>
      <c r="G1583" s="218" t="s">
        <v>200</v>
      </c>
      <c r="H1583" s="223">
        <v>0.0</v>
      </c>
      <c r="J1583" s="223"/>
      <c r="K1583" s="317">
        <v>1899.0</v>
      </c>
    </row>
    <row r="1584">
      <c r="A1584" s="223"/>
      <c r="B1584" s="223" t="s">
        <v>200</v>
      </c>
      <c r="C1584" s="223"/>
      <c r="D1584" s="316"/>
      <c r="E1584" s="218"/>
      <c r="F1584" s="218"/>
      <c r="G1584" s="218" t="s">
        <v>200</v>
      </c>
      <c r="H1584" s="223">
        <v>0.0</v>
      </c>
      <c r="J1584" s="223"/>
      <c r="K1584" s="317">
        <v>1899.0</v>
      </c>
    </row>
    <row r="1585">
      <c r="A1585" s="223"/>
      <c r="B1585" s="223" t="s">
        <v>200</v>
      </c>
      <c r="C1585" s="223"/>
      <c r="D1585" s="316"/>
      <c r="E1585" s="218"/>
      <c r="F1585" s="218"/>
      <c r="G1585" s="218" t="s">
        <v>200</v>
      </c>
      <c r="H1585" s="223">
        <v>0.0</v>
      </c>
      <c r="J1585" s="223"/>
      <c r="K1585" s="317">
        <v>1899.0</v>
      </c>
    </row>
    <row r="1586">
      <c r="A1586" s="223"/>
      <c r="B1586" s="223" t="s">
        <v>200</v>
      </c>
      <c r="C1586" s="223"/>
      <c r="D1586" s="316"/>
      <c r="E1586" s="218"/>
      <c r="F1586" s="218"/>
      <c r="G1586" s="218" t="s">
        <v>200</v>
      </c>
      <c r="H1586" s="223">
        <v>0.0</v>
      </c>
      <c r="J1586" s="223"/>
      <c r="K1586" s="317">
        <v>1899.0</v>
      </c>
    </row>
    <row r="1587">
      <c r="A1587" s="223"/>
      <c r="B1587" s="223" t="s">
        <v>200</v>
      </c>
      <c r="C1587" s="223"/>
      <c r="D1587" s="316"/>
      <c r="E1587" s="218"/>
      <c r="F1587" s="218"/>
      <c r="G1587" s="218" t="s">
        <v>200</v>
      </c>
      <c r="H1587" s="223">
        <v>0.0</v>
      </c>
      <c r="J1587" s="223"/>
      <c r="K1587" s="317">
        <v>1899.0</v>
      </c>
    </row>
    <row r="1588">
      <c r="A1588" s="223"/>
      <c r="B1588" s="223" t="s">
        <v>200</v>
      </c>
      <c r="C1588" s="223"/>
      <c r="D1588" s="316"/>
      <c r="E1588" s="218"/>
      <c r="F1588" s="218"/>
      <c r="G1588" s="218" t="s">
        <v>200</v>
      </c>
      <c r="H1588" s="223">
        <v>0.0</v>
      </c>
      <c r="J1588" s="223"/>
      <c r="K1588" s="317">
        <v>1899.0</v>
      </c>
    </row>
    <row r="1589">
      <c r="A1589" s="223"/>
      <c r="B1589" s="223" t="s">
        <v>200</v>
      </c>
      <c r="C1589" s="223"/>
      <c r="D1589" s="316"/>
      <c r="E1589" s="218"/>
      <c r="F1589" s="218"/>
      <c r="G1589" s="218" t="s">
        <v>200</v>
      </c>
      <c r="H1589" s="223">
        <v>0.0</v>
      </c>
      <c r="J1589" s="223"/>
      <c r="K1589" s="317">
        <v>1899.0</v>
      </c>
    </row>
    <row r="1590">
      <c r="A1590" s="223"/>
      <c r="B1590" s="223" t="s">
        <v>200</v>
      </c>
      <c r="C1590" s="223"/>
      <c r="D1590" s="316"/>
      <c r="E1590" s="218"/>
      <c r="F1590" s="218"/>
      <c r="G1590" s="218" t="s">
        <v>200</v>
      </c>
      <c r="H1590" s="223">
        <v>0.0</v>
      </c>
      <c r="J1590" s="223"/>
      <c r="K1590" s="317">
        <v>1899.0</v>
      </c>
    </row>
    <row r="1591">
      <c r="A1591" s="223"/>
      <c r="B1591" s="223" t="s">
        <v>200</v>
      </c>
      <c r="C1591" s="223"/>
      <c r="D1591" s="316"/>
      <c r="E1591" s="218"/>
      <c r="F1591" s="218"/>
      <c r="G1591" s="218" t="s">
        <v>200</v>
      </c>
      <c r="H1591" s="223">
        <v>0.0</v>
      </c>
      <c r="J1591" s="223"/>
      <c r="K1591" s="317">
        <v>1899.0</v>
      </c>
    </row>
    <row r="1592">
      <c r="A1592" s="223"/>
      <c r="B1592" s="223" t="s">
        <v>200</v>
      </c>
      <c r="C1592" s="223"/>
      <c r="D1592" s="316"/>
      <c r="E1592" s="218"/>
      <c r="F1592" s="218"/>
      <c r="G1592" s="218" t="s">
        <v>200</v>
      </c>
      <c r="H1592" s="223">
        <v>0.0</v>
      </c>
      <c r="J1592" s="223"/>
      <c r="K1592" s="317">
        <v>1899.0</v>
      </c>
    </row>
    <row r="1593">
      <c r="A1593" s="223"/>
      <c r="B1593" s="223" t="s">
        <v>200</v>
      </c>
      <c r="C1593" s="223"/>
      <c r="D1593" s="316"/>
      <c r="E1593" s="218"/>
      <c r="F1593" s="218"/>
      <c r="G1593" s="218" t="s">
        <v>200</v>
      </c>
      <c r="H1593" s="223">
        <v>0.0</v>
      </c>
      <c r="J1593" s="223"/>
      <c r="K1593" s="317">
        <v>1899.0</v>
      </c>
    </row>
    <row r="1594">
      <c r="A1594" s="223"/>
      <c r="B1594" s="223" t="s">
        <v>200</v>
      </c>
      <c r="C1594" s="223"/>
      <c r="D1594" s="316"/>
      <c r="E1594" s="218"/>
      <c r="F1594" s="218"/>
      <c r="G1594" s="218" t="s">
        <v>200</v>
      </c>
      <c r="H1594" s="223">
        <v>0.0</v>
      </c>
      <c r="J1594" s="223"/>
      <c r="K1594" s="317">
        <v>1899.0</v>
      </c>
    </row>
    <row r="1595">
      <c r="A1595" s="223"/>
      <c r="B1595" s="223" t="s">
        <v>200</v>
      </c>
      <c r="C1595" s="223"/>
      <c r="D1595" s="316"/>
      <c r="E1595" s="218"/>
      <c r="F1595" s="218"/>
      <c r="G1595" s="218" t="s">
        <v>200</v>
      </c>
      <c r="H1595" s="223">
        <v>0.0</v>
      </c>
      <c r="J1595" s="223"/>
      <c r="K1595" s="317">
        <v>1899.0</v>
      </c>
    </row>
    <row r="1596">
      <c r="A1596" s="223"/>
      <c r="B1596" s="223" t="s">
        <v>200</v>
      </c>
      <c r="C1596" s="223"/>
      <c r="D1596" s="316"/>
      <c r="E1596" s="218"/>
      <c r="F1596" s="218"/>
      <c r="G1596" s="218" t="s">
        <v>200</v>
      </c>
      <c r="H1596" s="223">
        <v>0.0</v>
      </c>
      <c r="J1596" s="223"/>
      <c r="K1596" s="317">
        <v>1899.0</v>
      </c>
    </row>
    <row r="1597">
      <c r="A1597" s="223"/>
      <c r="B1597" s="223" t="s">
        <v>200</v>
      </c>
      <c r="C1597" s="223"/>
      <c r="D1597" s="316"/>
      <c r="E1597" s="218"/>
      <c r="F1597" s="218"/>
      <c r="G1597" s="218" t="s">
        <v>200</v>
      </c>
      <c r="H1597" s="223">
        <v>0.0</v>
      </c>
      <c r="J1597" s="223"/>
      <c r="K1597" s="317">
        <v>1899.0</v>
      </c>
    </row>
    <row r="1598">
      <c r="A1598" s="223"/>
      <c r="B1598" s="223" t="s">
        <v>200</v>
      </c>
      <c r="C1598" s="223"/>
      <c r="D1598" s="316"/>
      <c r="E1598" s="218"/>
      <c r="F1598" s="218"/>
      <c r="G1598" s="218" t="s">
        <v>200</v>
      </c>
      <c r="H1598" s="223">
        <v>0.0</v>
      </c>
      <c r="J1598" s="223"/>
      <c r="K1598" s="317">
        <v>1899.0</v>
      </c>
    </row>
    <row r="1599">
      <c r="A1599" s="223"/>
      <c r="B1599" s="223" t="s">
        <v>200</v>
      </c>
      <c r="C1599" s="223"/>
      <c r="D1599" s="316"/>
      <c r="E1599" s="218"/>
      <c r="F1599" s="218"/>
      <c r="G1599" s="218" t="s">
        <v>200</v>
      </c>
      <c r="H1599" s="223">
        <v>0.0</v>
      </c>
      <c r="J1599" s="223"/>
      <c r="K1599" s="317">
        <v>1899.0</v>
      </c>
    </row>
    <row r="1600">
      <c r="A1600" s="223"/>
      <c r="B1600" s="223" t="s">
        <v>200</v>
      </c>
      <c r="C1600" s="223"/>
      <c r="D1600" s="316"/>
      <c r="E1600" s="218"/>
      <c r="F1600" s="218"/>
      <c r="G1600" s="218" t="s">
        <v>200</v>
      </c>
      <c r="H1600" s="223">
        <v>0.0</v>
      </c>
      <c r="J1600" s="223"/>
      <c r="K1600" s="317">
        <v>1899.0</v>
      </c>
    </row>
    <row r="1601">
      <c r="A1601" s="223"/>
      <c r="B1601" s="223" t="s">
        <v>200</v>
      </c>
      <c r="C1601" s="223"/>
      <c r="D1601" s="316"/>
      <c r="E1601" s="218"/>
      <c r="F1601" s="218"/>
      <c r="G1601" s="218" t="s">
        <v>200</v>
      </c>
      <c r="H1601" s="223">
        <v>0.0</v>
      </c>
      <c r="J1601" s="223"/>
      <c r="K1601" s="317">
        <v>1899.0</v>
      </c>
    </row>
    <row r="1602">
      <c r="A1602" s="223"/>
      <c r="B1602" s="223" t="s">
        <v>200</v>
      </c>
      <c r="C1602" s="223"/>
      <c r="D1602" s="316"/>
      <c r="E1602" s="218"/>
      <c r="F1602" s="218"/>
      <c r="G1602" s="218" t="s">
        <v>200</v>
      </c>
      <c r="H1602" s="223">
        <v>0.0</v>
      </c>
      <c r="J1602" s="223"/>
      <c r="K1602" s="317">
        <v>1899.0</v>
      </c>
    </row>
    <row r="1603">
      <c r="A1603" s="223"/>
      <c r="B1603" s="223" t="s">
        <v>200</v>
      </c>
      <c r="C1603" s="223"/>
      <c r="D1603" s="316"/>
      <c r="E1603" s="218"/>
      <c r="F1603" s="218"/>
      <c r="G1603" s="218" t="s">
        <v>200</v>
      </c>
      <c r="H1603" s="223">
        <v>0.0</v>
      </c>
      <c r="J1603" s="223"/>
      <c r="K1603" s="317">
        <v>1899.0</v>
      </c>
    </row>
    <row r="1604">
      <c r="A1604" s="223"/>
      <c r="B1604" s="223" t="s">
        <v>200</v>
      </c>
      <c r="C1604" s="223"/>
      <c r="D1604" s="316"/>
      <c r="E1604" s="218"/>
      <c r="F1604" s="218"/>
      <c r="G1604" s="218" t="s">
        <v>200</v>
      </c>
      <c r="H1604" s="223">
        <v>0.0</v>
      </c>
      <c r="J1604" s="223"/>
      <c r="K1604" s="317">
        <v>1899.0</v>
      </c>
    </row>
    <row r="1605">
      <c r="A1605" s="223"/>
      <c r="B1605" s="223" t="s">
        <v>200</v>
      </c>
      <c r="C1605" s="223"/>
      <c r="D1605" s="316"/>
      <c r="E1605" s="218"/>
      <c r="F1605" s="218"/>
      <c r="G1605" s="218" t="s">
        <v>200</v>
      </c>
      <c r="H1605" s="223">
        <v>0.0</v>
      </c>
      <c r="J1605" s="223"/>
      <c r="K1605" s="317">
        <v>1899.0</v>
      </c>
    </row>
    <row r="1606">
      <c r="A1606" s="223"/>
      <c r="B1606" s="223" t="s">
        <v>200</v>
      </c>
      <c r="C1606" s="223"/>
      <c r="D1606" s="316"/>
      <c r="E1606" s="218"/>
      <c r="F1606" s="218"/>
      <c r="G1606" s="218" t="s">
        <v>200</v>
      </c>
      <c r="H1606" s="223">
        <v>0.0</v>
      </c>
      <c r="J1606" s="223"/>
      <c r="K1606" s="317">
        <v>1899.0</v>
      </c>
    </row>
    <row r="1607">
      <c r="A1607" s="223"/>
      <c r="B1607" s="223" t="s">
        <v>200</v>
      </c>
      <c r="C1607" s="223"/>
      <c r="D1607" s="316"/>
      <c r="E1607" s="218"/>
      <c r="F1607" s="218"/>
      <c r="G1607" s="218" t="s">
        <v>200</v>
      </c>
      <c r="H1607" s="223">
        <v>0.0</v>
      </c>
      <c r="J1607" s="223"/>
      <c r="K1607" s="317">
        <v>1899.0</v>
      </c>
    </row>
    <row r="1608">
      <c r="A1608" s="223"/>
      <c r="B1608" s="223" t="s">
        <v>200</v>
      </c>
      <c r="C1608" s="223"/>
      <c r="D1608" s="316"/>
      <c r="E1608" s="218"/>
      <c r="F1608" s="218"/>
      <c r="G1608" s="218" t="s">
        <v>200</v>
      </c>
      <c r="H1608" s="223">
        <v>0.0</v>
      </c>
      <c r="J1608" s="223"/>
      <c r="K1608" s="317">
        <v>1899.0</v>
      </c>
    </row>
    <row r="1609">
      <c r="A1609" s="223"/>
      <c r="B1609" s="223" t="s">
        <v>200</v>
      </c>
      <c r="C1609" s="223"/>
      <c r="D1609" s="316"/>
      <c r="E1609" s="218"/>
      <c r="F1609" s="218"/>
      <c r="G1609" s="218" t="s">
        <v>200</v>
      </c>
      <c r="H1609" s="223">
        <v>0.0</v>
      </c>
      <c r="J1609" s="223"/>
      <c r="K1609" s="317">
        <v>1899.0</v>
      </c>
    </row>
    <row r="1610">
      <c r="A1610" s="223"/>
      <c r="B1610" s="223" t="s">
        <v>200</v>
      </c>
      <c r="C1610" s="223"/>
      <c r="D1610" s="316"/>
      <c r="E1610" s="218"/>
      <c r="F1610" s="218"/>
      <c r="G1610" s="218" t="s">
        <v>200</v>
      </c>
      <c r="H1610" s="223">
        <v>0.0</v>
      </c>
      <c r="J1610" s="223"/>
      <c r="K1610" s="317">
        <v>1899.0</v>
      </c>
    </row>
    <row r="1611">
      <c r="A1611" s="223"/>
      <c r="B1611" s="223" t="s">
        <v>200</v>
      </c>
      <c r="C1611" s="223"/>
      <c r="D1611" s="316"/>
      <c r="E1611" s="218"/>
      <c r="F1611" s="218"/>
      <c r="G1611" s="218" t="s">
        <v>200</v>
      </c>
      <c r="H1611" s="223">
        <v>0.0</v>
      </c>
      <c r="J1611" s="223"/>
      <c r="K1611" s="317">
        <v>1899.0</v>
      </c>
    </row>
    <row r="1612">
      <c r="A1612" s="223"/>
      <c r="B1612" s="223" t="s">
        <v>200</v>
      </c>
      <c r="C1612" s="223"/>
      <c r="D1612" s="316"/>
      <c r="E1612" s="218"/>
      <c r="F1612" s="218"/>
      <c r="G1612" s="218" t="s">
        <v>200</v>
      </c>
      <c r="H1612" s="223">
        <v>0.0</v>
      </c>
      <c r="J1612" s="223"/>
      <c r="K1612" s="317">
        <v>1899.0</v>
      </c>
    </row>
    <row r="1613">
      <c r="A1613" s="223"/>
      <c r="B1613" s="223" t="s">
        <v>200</v>
      </c>
      <c r="C1613" s="223"/>
      <c r="D1613" s="316"/>
      <c r="E1613" s="218"/>
      <c r="F1613" s="218"/>
      <c r="G1613" s="218" t="s">
        <v>200</v>
      </c>
      <c r="H1613" s="223">
        <v>0.0</v>
      </c>
      <c r="J1613" s="223"/>
      <c r="K1613" s="317">
        <v>1899.0</v>
      </c>
    </row>
    <row r="1614">
      <c r="A1614" s="223"/>
      <c r="B1614" s="223" t="s">
        <v>200</v>
      </c>
      <c r="C1614" s="223"/>
      <c r="D1614" s="316"/>
      <c r="E1614" s="218"/>
      <c r="F1614" s="218"/>
      <c r="G1614" s="218" t="s">
        <v>200</v>
      </c>
      <c r="H1614" s="223">
        <v>0.0</v>
      </c>
      <c r="J1614" s="223"/>
      <c r="K1614" s="317">
        <v>1899.0</v>
      </c>
    </row>
    <row r="1615">
      <c r="A1615" s="223"/>
      <c r="B1615" s="223" t="s">
        <v>200</v>
      </c>
      <c r="C1615" s="223"/>
      <c r="D1615" s="316"/>
      <c r="E1615" s="218"/>
      <c r="F1615" s="218"/>
      <c r="G1615" s="218" t="s">
        <v>200</v>
      </c>
      <c r="H1615" s="223">
        <v>0.0</v>
      </c>
      <c r="J1615" s="223"/>
      <c r="K1615" s="317">
        <v>1899.0</v>
      </c>
    </row>
    <row r="1616">
      <c r="A1616" s="223"/>
      <c r="B1616" s="223" t="s">
        <v>200</v>
      </c>
      <c r="C1616" s="223"/>
      <c r="D1616" s="316"/>
      <c r="E1616" s="218"/>
      <c r="F1616" s="218"/>
      <c r="G1616" s="218" t="s">
        <v>200</v>
      </c>
      <c r="H1616" s="223">
        <v>0.0</v>
      </c>
      <c r="J1616" s="223"/>
      <c r="K1616" s="317">
        <v>1899.0</v>
      </c>
    </row>
    <row r="1617">
      <c r="A1617" s="223"/>
      <c r="B1617" s="223" t="s">
        <v>200</v>
      </c>
      <c r="C1617" s="223"/>
      <c r="D1617" s="316"/>
      <c r="E1617" s="218"/>
      <c r="F1617" s="218"/>
      <c r="G1617" s="218" t="s">
        <v>200</v>
      </c>
      <c r="H1617" s="223">
        <v>0.0</v>
      </c>
      <c r="J1617" s="223"/>
      <c r="K1617" s="317">
        <v>1899.0</v>
      </c>
    </row>
    <row r="1618">
      <c r="A1618" s="223"/>
      <c r="B1618" s="223" t="s">
        <v>200</v>
      </c>
      <c r="C1618" s="223"/>
      <c r="D1618" s="316"/>
      <c r="E1618" s="218"/>
      <c r="F1618" s="218"/>
      <c r="G1618" s="218" t="s">
        <v>200</v>
      </c>
      <c r="H1618" s="223">
        <v>0.0</v>
      </c>
      <c r="J1618" s="223"/>
      <c r="K1618" s="317">
        <v>1899.0</v>
      </c>
    </row>
    <row r="1619">
      <c r="A1619" s="223"/>
      <c r="B1619" s="223" t="s">
        <v>200</v>
      </c>
      <c r="C1619" s="223"/>
      <c r="D1619" s="316"/>
      <c r="E1619" s="218"/>
      <c r="F1619" s="218"/>
      <c r="G1619" s="218" t="s">
        <v>200</v>
      </c>
      <c r="H1619" s="223">
        <v>0.0</v>
      </c>
      <c r="J1619" s="223"/>
      <c r="K1619" s="317">
        <v>1899.0</v>
      </c>
    </row>
    <row r="1620">
      <c r="A1620" s="223"/>
      <c r="B1620" s="223" t="s">
        <v>200</v>
      </c>
      <c r="C1620" s="223"/>
      <c r="D1620" s="316"/>
      <c r="E1620" s="218"/>
      <c r="F1620" s="218"/>
      <c r="G1620" s="218" t="s">
        <v>200</v>
      </c>
      <c r="H1620" s="223">
        <v>0.0</v>
      </c>
      <c r="J1620" s="223"/>
      <c r="K1620" s="317">
        <v>1899.0</v>
      </c>
    </row>
    <row r="1621">
      <c r="A1621" s="223"/>
      <c r="B1621" s="223" t="s">
        <v>200</v>
      </c>
      <c r="C1621" s="223"/>
      <c r="D1621" s="316"/>
      <c r="E1621" s="218"/>
      <c r="F1621" s="218"/>
      <c r="G1621" s="218" t="s">
        <v>200</v>
      </c>
      <c r="H1621" s="223">
        <v>0.0</v>
      </c>
      <c r="J1621" s="223"/>
      <c r="K1621" s="317">
        <v>1899.0</v>
      </c>
    </row>
    <row r="1622">
      <c r="A1622" s="223"/>
      <c r="B1622" s="223" t="s">
        <v>200</v>
      </c>
      <c r="C1622" s="223"/>
      <c r="D1622" s="316"/>
      <c r="E1622" s="218"/>
      <c r="F1622" s="218"/>
      <c r="G1622" s="218" t="s">
        <v>200</v>
      </c>
      <c r="H1622" s="223">
        <v>0.0</v>
      </c>
      <c r="J1622" s="223"/>
      <c r="K1622" s="317">
        <v>1899.0</v>
      </c>
    </row>
    <row r="1623">
      <c r="A1623" s="223"/>
      <c r="B1623" s="223" t="s">
        <v>200</v>
      </c>
      <c r="C1623" s="223"/>
      <c r="D1623" s="316"/>
      <c r="E1623" s="218"/>
      <c r="F1623" s="218"/>
      <c r="G1623" s="218" t="s">
        <v>200</v>
      </c>
      <c r="H1623" s="223">
        <v>0.0</v>
      </c>
      <c r="J1623" s="223"/>
      <c r="K1623" s="317">
        <v>1899.0</v>
      </c>
    </row>
    <row r="1624">
      <c r="A1624" s="223"/>
      <c r="B1624" s="223" t="s">
        <v>200</v>
      </c>
      <c r="C1624" s="223"/>
      <c r="D1624" s="316"/>
      <c r="E1624" s="218"/>
      <c r="F1624" s="218"/>
      <c r="G1624" s="218" t="s">
        <v>200</v>
      </c>
      <c r="H1624" s="223">
        <v>0.0</v>
      </c>
      <c r="J1624" s="223"/>
      <c r="K1624" s="317">
        <v>1899.0</v>
      </c>
    </row>
    <row r="1625">
      <c r="A1625" s="223"/>
      <c r="B1625" s="223" t="s">
        <v>200</v>
      </c>
      <c r="C1625" s="223"/>
      <c r="D1625" s="316"/>
      <c r="E1625" s="218"/>
      <c r="F1625" s="218"/>
      <c r="G1625" s="218" t="s">
        <v>200</v>
      </c>
      <c r="H1625" s="223">
        <v>0.0</v>
      </c>
      <c r="J1625" s="223"/>
      <c r="K1625" s="317">
        <v>1899.0</v>
      </c>
    </row>
    <row r="1626">
      <c r="A1626" s="223"/>
      <c r="B1626" s="223" t="s">
        <v>200</v>
      </c>
      <c r="C1626" s="223"/>
      <c r="D1626" s="316"/>
      <c r="E1626" s="218"/>
      <c r="F1626" s="218"/>
      <c r="G1626" s="218" t="s">
        <v>200</v>
      </c>
      <c r="H1626" s="223">
        <v>0.0</v>
      </c>
      <c r="J1626" s="223"/>
      <c r="K1626" s="317">
        <v>1899.0</v>
      </c>
    </row>
    <row r="1627">
      <c r="A1627" s="223"/>
      <c r="B1627" s="223" t="s">
        <v>200</v>
      </c>
      <c r="C1627" s="223"/>
      <c r="D1627" s="316"/>
      <c r="E1627" s="218"/>
      <c r="F1627" s="218"/>
      <c r="G1627" s="218" t="s">
        <v>200</v>
      </c>
      <c r="H1627" s="223">
        <v>0.0</v>
      </c>
      <c r="J1627" s="223"/>
      <c r="K1627" s="317">
        <v>1899.0</v>
      </c>
    </row>
    <row r="1628">
      <c r="A1628" s="223"/>
      <c r="B1628" s="223" t="s">
        <v>200</v>
      </c>
      <c r="C1628" s="223"/>
      <c r="D1628" s="316"/>
      <c r="E1628" s="218"/>
      <c r="F1628" s="218"/>
      <c r="G1628" s="218" t="s">
        <v>200</v>
      </c>
      <c r="H1628" s="223">
        <v>0.0</v>
      </c>
      <c r="J1628" s="223"/>
      <c r="K1628" s="317">
        <v>1899.0</v>
      </c>
    </row>
    <row r="1629">
      <c r="A1629" s="223"/>
      <c r="B1629" s="223" t="s">
        <v>200</v>
      </c>
      <c r="C1629" s="223"/>
      <c r="D1629" s="316"/>
      <c r="E1629" s="218"/>
      <c r="F1629" s="218"/>
      <c r="G1629" s="218" t="s">
        <v>200</v>
      </c>
      <c r="H1629" s="223">
        <v>0.0</v>
      </c>
      <c r="J1629" s="223"/>
      <c r="K1629" s="317">
        <v>1899.0</v>
      </c>
    </row>
    <row r="1630">
      <c r="A1630" s="223"/>
      <c r="B1630" s="223" t="s">
        <v>200</v>
      </c>
      <c r="C1630" s="223"/>
      <c r="D1630" s="316"/>
      <c r="E1630" s="218"/>
      <c r="F1630" s="218"/>
      <c r="G1630" s="218" t="s">
        <v>200</v>
      </c>
      <c r="H1630" s="223">
        <v>0.0</v>
      </c>
      <c r="J1630" s="223"/>
      <c r="K1630" s="317">
        <v>1899.0</v>
      </c>
    </row>
    <row r="1631">
      <c r="A1631" s="223"/>
      <c r="B1631" s="223" t="s">
        <v>200</v>
      </c>
      <c r="C1631" s="223"/>
      <c r="D1631" s="316"/>
      <c r="E1631" s="218"/>
      <c r="F1631" s="218"/>
      <c r="G1631" s="218" t="s">
        <v>200</v>
      </c>
      <c r="H1631" s="223">
        <v>0.0</v>
      </c>
      <c r="J1631" s="223"/>
      <c r="K1631" s="317">
        <v>1899.0</v>
      </c>
    </row>
    <row r="1632">
      <c r="A1632" s="223"/>
      <c r="B1632" s="223" t="s">
        <v>200</v>
      </c>
      <c r="C1632" s="223"/>
      <c r="D1632" s="316"/>
      <c r="E1632" s="218"/>
      <c r="F1632" s="218"/>
      <c r="G1632" s="218" t="s">
        <v>200</v>
      </c>
      <c r="H1632" s="223">
        <v>0.0</v>
      </c>
      <c r="J1632" s="223"/>
      <c r="K1632" s="317">
        <v>1899.0</v>
      </c>
    </row>
    <row r="1633">
      <c r="A1633" s="223"/>
      <c r="B1633" s="223" t="s">
        <v>200</v>
      </c>
      <c r="C1633" s="223"/>
      <c r="D1633" s="316"/>
      <c r="E1633" s="218"/>
      <c r="F1633" s="218"/>
      <c r="G1633" s="218" t="s">
        <v>200</v>
      </c>
      <c r="H1633" s="223">
        <v>0.0</v>
      </c>
      <c r="J1633" s="223"/>
      <c r="K1633" s="317">
        <v>1899.0</v>
      </c>
    </row>
    <row r="1634">
      <c r="A1634" s="223"/>
      <c r="B1634" s="223" t="s">
        <v>200</v>
      </c>
      <c r="C1634" s="223"/>
      <c r="D1634" s="316"/>
      <c r="E1634" s="218"/>
      <c r="F1634" s="218"/>
      <c r="G1634" s="218" t="s">
        <v>200</v>
      </c>
      <c r="H1634" s="223">
        <v>0.0</v>
      </c>
      <c r="J1634" s="223"/>
      <c r="K1634" s="317">
        <v>1899.0</v>
      </c>
    </row>
    <row r="1635">
      <c r="A1635" s="223"/>
      <c r="B1635" s="223" t="s">
        <v>200</v>
      </c>
      <c r="C1635" s="223"/>
      <c r="D1635" s="316"/>
      <c r="E1635" s="218"/>
      <c r="F1635" s="218"/>
      <c r="G1635" s="218" t="s">
        <v>200</v>
      </c>
      <c r="H1635" s="223">
        <v>0.0</v>
      </c>
      <c r="J1635" s="223"/>
      <c r="K1635" s="317">
        <v>1899.0</v>
      </c>
    </row>
    <row r="1636">
      <c r="A1636" s="223"/>
      <c r="B1636" s="223" t="s">
        <v>200</v>
      </c>
      <c r="C1636" s="223"/>
      <c r="D1636" s="316"/>
      <c r="E1636" s="218"/>
      <c r="F1636" s="218"/>
      <c r="G1636" s="218" t="s">
        <v>200</v>
      </c>
      <c r="H1636" s="223">
        <v>0.0</v>
      </c>
      <c r="J1636" s="223"/>
      <c r="K1636" s="317">
        <v>1899.0</v>
      </c>
    </row>
    <row r="1637">
      <c r="A1637" s="223"/>
      <c r="B1637" s="223" t="s">
        <v>200</v>
      </c>
      <c r="C1637" s="223"/>
      <c r="D1637" s="316"/>
      <c r="E1637" s="218"/>
      <c r="F1637" s="218"/>
      <c r="G1637" s="218" t="s">
        <v>200</v>
      </c>
      <c r="H1637" s="223">
        <v>0.0</v>
      </c>
      <c r="J1637" s="223"/>
      <c r="K1637" s="317">
        <v>1899.0</v>
      </c>
    </row>
    <row r="1638">
      <c r="A1638" s="223"/>
      <c r="B1638" s="223" t="s">
        <v>200</v>
      </c>
      <c r="C1638" s="223"/>
      <c r="D1638" s="316"/>
      <c r="E1638" s="218"/>
      <c r="F1638" s="218"/>
      <c r="G1638" s="218" t="s">
        <v>200</v>
      </c>
      <c r="H1638" s="223">
        <v>0.0</v>
      </c>
      <c r="J1638" s="223"/>
      <c r="K1638" s="317">
        <v>1899.0</v>
      </c>
    </row>
    <row r="1639">
      <c r="A1639" s="223"/>
      <c r="B1639" s="223" t="s">
        <v>200</v>
      </c>
      <c r="C1639" s="223"/>
      <c r="D1639" s="316"/>
      <c r="E1639" s="218"/>
      <c r="F1639" s="218"/>
      <c r="G1639" s="218" t="s">
        <v>200</v>
      </c>
      <c r="H1639" s="223">
        <v>0.0</v>
      </c>
      <c r="J1639" s="223"/>
      <c r="K1639" s="317">
        <v>1899.0</v>
      </c>
    </row>
    <row r="1640">
      <c r="A1640" s="223"/>
      <c r="B1640" s="223" t="s">
        <v>200</v>
      </c>
      <c r="C1640" s="223"/>
      <c r="D1640" s="316"/>
      <c r="E1640" s="218"/>
      <c r="F1640" s="218"/>
      <c r="G1640" s="218" t="s">
        <v>200</v>
      </c>
      <c r="H1640" s="223">
        <v>0.0</v>
      </c>
      <c r="J1640" s="223"/>
      <c r="K1640" s="317">
        <v>1899.0</v>
      </c>
    </row>
    <row r="1641">
      <c r="A1641" s="223"/>
      <c r="B1641" s="223" t="s">
        <v>200</v>
      </c>
      <c r="C1641" s="223"/>
      <c r="D1641" s="316"/>
      <c r="E1641" s="218"/>
      <c r="F1641" s="218"/>
      <c r="G1641" s="218" t="s">
        <v>200</v>
      </c>
      <c r="H1641" s="223">
        <v>0.0</v>
      </c>
      <c r="J1641" s="223"/>
      <c r="K1641" s="317">
        <v>1899.0</v>
      </c>
    </row>
    <row r="1642">
      <c r="A1642" s="223"/>
      <c r="B1642" s="223" t="s">
        <v>200</v>
      </c>
      <c r="C1642" s="223"/>
      <c r="D1642" s="316"/>
      <c r="E1642" s="218"/>
      <c r="F1642" s="218"/>
      <c r="G1642" s="218" t="s">
        <v>200</v>
      </c>
      <c r="H1642" s="223">
        <v>0.0</v>
      </c>
      <c r="J1642" s="223"/>
      <c r="K1642" s="317">
        <v>1899.0</v>
      </c>
    </row>
    <row r="1643">
      <c r="A1643" s="223"/>
      <c r="B1643" s="223" t="s">
        <v>200</v>
      </c>
      <c r="C1643" s="223"/>
      <c r="D1643" s="316"/>
      <c r="E1643" s="218"/>
      <c r="F1643" s="218"/>
      <c r="G1643" s="218" t="s">
        <v>200</v>
      </c>
      <c r="H1643" s="223">
        <v>0.0</v>
      </c>
      <c r="J1643" s="223"/>
      <c r="K1643" s="317">
        <v>1899.0</v>
      </c>
    </row>
    <row r="1644">
      <c r="A1644" s="223"/>
      <c r="B1644" s="223" t="s">
        <v>200</v>
      </c>
      <c r="C1644" s="223"/>
      <c r="D1644" s="316"/>
      <c r="E1644" s="218"/>
      <c r="F1644" s="218"/>
      <c r="G1644" s="218" t="s">
        <v>200</v>
      </c>
      <c r="H1644" s="223">
        <v>0.0</v>
      </c>
      <c r="J1644" s="223"/>
      <c r="K1644" s="317">
        <v>1899.0</v>
      </c>
    </row>
    <row r="1645">
      <c r="A1645" s="223"/>
      <c r="B1645" s="223" t="s">
        <v>200</v>
      </c>
      <c r="C1645" s="223"/>
      <c r="D1645" s="316"/>
      <c r="E1645" s="218"/>
      <c r="F1645" s="218"/>
      <c r="G1645" s="218" t="s">
        <v>200</v>
      </c>
      <c r="H1645" s="223">
        <v>0.0</v>
      </c>
      <c r="J1645" s="223"/>
      <c r="K1645" s="317">
        <v>1899.0</v>
      </c>
    </row>
    <row r="1646">
      <c r="A1646" s="223"/>
      <c r="B1646" s="223" t="s">
        <v>200</v>
      </c>
      <c r="C1646" s="223"/>
      <c r="D1646" s="316"/>
      <c r="E1646" s="218"/>
      <c r="F1646" s="218"/>
      <c r="G1646" s="218" t="s">
        <v>200</v>
      </c>
      <c r="H1646" s="223">
        <v>0.0</v>
      </c>
      <c r="J1646" s="223"/>
      <c r="K1646" s="317">
        <v>1899.0</v>
      </c>
    </row>
    <row r="1647">
      <c r="A1647" s="223"/>
      <c r="B1647" s="223" t="s">
        <v>200</v>
      </c>
      <c r="C1647" s="223"/>
      <c r="D1647" s="316"/>
      <c r="E1647" s="218"/>
      <c r="F1647" s="218"/>
      <c r="G1647" s="218" t="s">
        <v>200</v>
      </c>
      <c r="H1647" s="223">
        <v>0.0</v>
      </c>
      <c r="J1647" s="223"/>
      <c r="K1647" s="317">
        <v>1899.0</v>
      </c>
    </row>
    <row r="1648">
      <c r="A1648" s="223"/>
      <c r="B1648" s="223" t="s">
        <v>200</v>
      </c>
      <c r="C1648" s="223"/>
      <c r="D1648" s="316"/>
      <c r="E1648" s="218"/>
      <c r="F1648" s="218"/>
      <c r="G1648" s="218" t="s">
        <v>200</v>
      </c>
      <c r="H1648" s="223">
        <v>0.0</v>
      </c>
      <c r="J1648" s="223"/>
      <c r="K1648" s="317">
        <v>1899.0</v>
      </c>
    </row>
    <row r="1649">
      <c r="A1649" s="223"/>
      <c r="B1649" s="223" t="s">
        <v>200</v>
      </c>
      <c r="C1649" s="223"/>
      <c r="D1649" s="316"/>
      <c r="E1649" s="218"/>
      <c r="F1649" s="218"/>
      <c r="G1649" s="218" t="s">
        <v>200</v>
      </c>
      <c r="H1649" s="223">
        <v>0.0</v>
      </c>
      <c r="J1649" s="223"/>
      <c r="K1649" s="317">
        <v>1899.0</v>
      </c>
    </row>
    <row r="1650">
      <c r="A1650" s="223"/>
      <c r="B1650" s="223" t="s">
        <v>200</v>
      </c>
      <c r="C1650" s="223"/>
      <c r="D1650" s="316"/>
      <c r="E1650" s="218"/>
      <c r="F1650" s="218"/>
      <c r="G1650" s="218" t="s">
        <v>200</v>
      </c>
      <c r="H1650" s="223">
        <v>0.0</v>
      </c>
      <c r="J1650" s="223"/>
      <c r="K1650" s="317">
        <v>1899.0</v>
      </c>
    </row>
    <row r="1651">
      <c r="A1651" s="223"/>
      <c r="B1651" s="223" t="s">
        <v>200</v>
      </c>
      <c r="C1651" s="223"/>
      <c r="D1651" s="316"/>
      <c r="E1651" s="218"/>
      <c r="F1651" s="218"/>
      <c r="G1651" s="218" t="s">
        <v>200</v>
      </c>
      <c r="H1651" s="223">
        <v>0.0</v>
      </c>
      <c r="J1651" s="223"/>
      <c r="K1651" s="317">
        <v>1899.0</v>
      </c>
    </row>
    <row r="1652">
      <c r="A1652" s="223"/>
      <c r="B1652" s="223" t="s">
        <v>200</v>
      </c>
      <c r="C1652" s="223"/>
      <c r="D1652" s="316"/>
      <c r="E1652" s="218"/>
      <c r="F1652" s="218"/>
      <c r="G1652" s="218" t="s">
        <v>200</v>
      </c>
      <c r="H1652" s="223">
        <v>0.0</v>
      </c>
      <c r="J1652" s="223"/>
      <c r="K1652" s="317">
        <v>1899.0</v>
      </c>
    </row>
    <row r="1653">
      <c r="A1653" s="223"/>
      <c r="B1653" s="223" t="s">
        <v>200</v>
      </c>
      <c r="C1653" s="223"/>
      <c r="D1653" s="316"/>
      <c r="E1653" s="218"/>
      <c r="F1653" s="218"/>
      <c r="G1653" s="218" t="s">
        <v>200</v>
      </c>
      <c r="H1653" s="223">
        <v>0.0</v>
      </c>
      <c r="J1653" s="223"/>
      <c r="K1653" s="317">
        <v>1899.0</v>
      </c>
    </row>
    <row r="1654">
      <c r="A1654" s="223"/>
      <c r="B1654" s="223" t="s">
        <v>200</v>
      </c>
      <c r="C1654" s="223"/>
      <c r="D1654" s="316"/>
      <c r="E1654" s="218"/>
      <c r="F1654" s="218"/>
      <c r="G1654" s="218" t="s">
        <v>200</v>
      </c>
      <c r="H1654" s="223">
        <v>0.0</v>
      </c>
      <c r="J1654" s="223"/>
      <c r="K1654" s="317">
        <v>1899.0</v>
      </c>
    </row>
    <row r="1655">
      <c r="A1655" s="223"/>
      <c r="B1655" s="223" t="s">
        <v>200</v>
      </c>
      <c r="C1655" s="223"/>
      <c r="D1655" s="316"/>
      <c r="E1655" s="218"/>
      <c r="F1655" s="218"/>
      <c r="G1655" s="218" t="s">
        <v>200</v>
      </c>
      <c r="H1655" s="223">
        <v>0.0</v>
      </c>
      <c r="J1655" s="223"/>
      <c r="K1655" s="317">
        <v>1899.0</v>
      </c>
    </row>
    <row r="1656">
      <c r="A1656" s="223"/>
      <c r="B1656" s="223" t="s">
        <v>200</v>
      </c>
      <c r="C1656" s="223"/>
      <c r="D1656" s="316"/>
      <c r="E1656" s="218"/>
      <c r="F1656" s="218"/>
      <c r="G1656" s="218" t="s">
        <v>200</v>
      </c>
      <c r="H1656" s="223">
        <v>0.0</v>
      </c>
      <c r="J1656" s="223"/>
      <c r="K1656" s="317">
        <v>1899.0</v>
      </c>
    </row>
    <row r="1657">
      <c r="A1657" s="223"/>
      <c r="B1657" s="223" t="s">
        <v>200</v>
      </c>
      <c r="C1657" s="223"/>
      <c r="D1657" s="316"/>
      <c r="E1657" s="218"/>
      <c r="F1657" s="218"/>
      <c r="G1657" s="218" t="s">
        <v>200</v>
      </c>
      <c r="H1657" s="223">
        <v>0.0</v>
      </c>
      <c r="J1657" s="223"/>
      <c r="K1657" s="317">
        <v>1899.0</v>
      </c>
    </row>
    <row r="1658">
      <c r="A1658" s="223"/>
      <c r="B1658" s="223" t="s">
        <v>200</v>
      </c>
      <c r="C1658" s="223"/>
      <c r="D1658" s="316"/>
      <c r="E1658" s="218"/>
      <c r="F1658" s="218"/>
      <c r="G1658" s="218" t="s">
        <v>200</v>
      </c>
      <c r="H1658" s="223">
        <v>0.0</v>
      </c>
      <c r="J1658" s="223"/>
      <c r="K1658" s="317">
        <v>1899.0</v>
      </c>
    </row>
    <row r="1659">
      <c r="A1659" s="223"/>
      <c r="B1659" s="223" t="s">
        <v>200</v>
      </c>
      <c r="C1659" s="223"/>
      <c r="D1659" s="316"/>
      <c r="E1659" s="218"/>
      <c r="F1659" s="218"/>
      <c r="G1659" s="218" t="s">
        <v>200</v>
      </c>
      <c r="H1659" s="223">
        <v>0.0</v>
      </c>
      <c r="J1659" s="223"/>
      <c r="K1659" s="317">
        <v>1899.0</v>
      </c>
    </row>
    <row r="1660">
      <c r="A1660" s="223"/>
      <c r="B1660" s="223" t="s">
        <v>200</v>
      </c>
      <c r="C1660" s="223"/>
      <c r="D1660" s="316"/>
      <c r="E1660" s="218"/>
      <c r="F1660" s="218"/>
      <c r="G1660" s="218" t="s">
        <v>200</v>
      </c>
      <c r="H1660" s="223">
        <v>0.0</v>
      </c>
      <c r="J1660" s="223"/>
      <c r="K1660" s="317">
        <v>1899.0</v>
      </c>
    </row>
    <row r="1661">
      <c r="A1661" s="223"/>
      <c r="B1661" s="223" t="s">
        <v>200</v>
      </c>
      <c r="C1661" s="223"/>
      <c r="D1661" s="316"/>
      <c r="E1661" s="218"/>
      <c r="F1661" s="218"/>
      <c r="G1661" s="218" t="s">
        <v>200</v>
      </c>
      <c r="H1661" s="223">
        <v>0.0</v>
      </c>
      <c r="J1661" s="223"/>
      <c r="K1661" s="317">
        <v>1899.0</v>
      </c>
    </row>
    <row r="1662">
      <c r="A1662" s="223"/>
      <c r="B1662" s="223" t="s">
        <v>200</v>
      </c>
      <c r="C1662" s="223"/>
      <c r="D1662" s="316"/>
      <c r="E1662" s="218"/>
      <c r="F1662" s="218"/>
      <c r="G1662" s="218" t="s">
        <v>200</v>
      </c>
      <c r="H1662" s="223">
        <v>0.0</v>
      </c>
      <c r="J1662" s="223"/>
      <c r="K1662" s="317">
        <v>1899.0</v>
      </c>
    </row>
    <row r="1663">
      <c r="A1663" s="223"/>
      <c r="B1663" s="223" t="s">
        <v>200</v>
      </c>
      <c r="C1663" s="223"/>
      <c r="D1663" s="316"/>
      <c r="E1663" s="218"/>
      <c r="F1663" s="218"/>
      <c r="G1663" s="218" t="s">
        <v>200</v>
      </c>
      <c r="H1663" s="223">
        <v>0.0</v>
      </c>
      <c r="J1663" s="223"/>
      <c r="K1663" s="317">
        <v>1899.0</v>
      </c>
    </row>
    <row r="1664">
      <c r="A1664" s="223"/>
      <c r="B1664" s="223" t="s">
        <v>200</v>
      </c>
      <c r="C1664" s="223"/>
      <c r="D1664" s="316"/>
      <c r="E1664" s="218"/>
      <c r="F1664" s="218"/>
      <c r="G1664" s="218" t="s">
        <v>200</v>
      </c>
      <c r="H1664" s="223">
        <v>0.0</v>
      </c>
      <c r="J1664" s="223"/>
      <c r="K1664" s="317">
        <v>1899.0</v>
      </c>
    </row>
    <row r="1665">
      <c r="A1665" s="223"/>
      <c r="B1665" s="223" t="s">
        <v>200</v>
      </c>
      <c r="C1665" s="223"/>
      <c r="D1665" s="316"/>
      <c r="E1665" s="218"/>
      <c r="F1665" s="218"/>
      <c r="G1665" s="218" t="s">
        <v>200</v>
      </c>
      <c r="H1665" s="223">
        <v>0.0</v>
      </c>
      <c r="J1665" s="223"/>
      <c r="K1665" s="317">
        <v>1899.0</v>
      </c>
    </row>
    <row r="1666">
      <c r="A1666" s="223"/>
      <c r="B1666" s="223" t="s">
        <v>200</v>
      </c>
      <c r="C1666" s="223"/>
      <c r="D1666" s="316"/>
      <c r="E1666" s="218"/>
      <c r="F1666" s="218"/>
      <c r="G1666" s="218" t="s">
        <v>200</v>
      </c>
      <c r="H1666" s="223">
        <v>0.0</v>
      </c>
      <c r="J1666" s="223"/>
      <c r="K1666" s="317">
        <v>1899.0</v>
      </c>
    </row>
    <row r="1667">
      <c r="A1667" s="223"/>
      <c r="B1667" s="223" t="s">
        <v>200</v>
      </c>
      <c r="C1667" s="223"/>
      <c r="D1667" s="316"/>
      <c r="E1667" s="218"/>
      <c r="F1667" s="218"/>
      <c r="G1667" s="218" t="s">
        <v>200</v>
      </c>
      <c r="H1667" s="223">
        <v>0.0</v>
      </c>
      <c r="J1667" s="223"/>
      <c r="K1667" s="317">
        <v>1899.0</v>
      </c>
    </row>
    <row r="1668">
      <c r="A1668" s="223"/>
      <c r="B1668" s="223" t="s">
        <v>200</v>
      </c>
      <c r="C1668" s="223"/>
      <c r="D1668" s="316"/>
      <c r="E1668" s="218"/>
      <c r="F1668" s="218"/>
      <c r="G1668" s="218" t="s">
        <v>200</v>
      </c>
      <c r="H1668" s="223">
        <v>0.0</v>
      </c>
      <c r="J1668" s="223"/>
      <c r="K1668" s="317">
        <v>1899.0</v>
      </c>
    </row>
    <row r="1669">
      <c r="A1669" s="223"/>
      <c r="B1669" s="223" t="s">
        <v>200</v>
      </c>
      <c r="C1669" s="223"/>
      <c r="D1669" s="316"/>
      <c r="E1669" s="218"/>
      <c r="F1669" s="218"/>
      <c r="G1669" s="218" t="s">
        <v>200</v>
      </c>
      <c r="H1669" s="223">
        <v>0.0</v>
      </c>
      <c r="J1669" s="223"/>
      <c r="K1669" s="317">
        <v>1899.0</v>
      </c>
    </row>
    <row r="1670">
      <c r="A1670" s="223"/>
      <c r="B1670" s="223" t="s">
        <v>200</v>
      </c>
      <c r="C1670" s="223"/>
      <c r="D1670" s="316"/>
      <c r="E1670" s="218"/>
      <c r="F1670" s="218"/>
      <c r="G1670" s="218" t="s">
        <v>200</v>
      </c>
      <c r="H1670" s="223">
        <v>0.0</v>
      </c>
      <c r="J1670" s="223"/>
      <c r="K1670" s="317">
        <v>1899.0</v>
      </c>
    </row>
    <row r="1671">
      <c r="A1671" s="223"/>
      <c r="B1671" s="223" t="s">
        <v>200</v>
      </c>
      <c r="C1671" s="223"/>
      <c r="D1671" s="316"/>
      <c r="E1671" s="218"/>
      <c r="F1671" s="218"/>
      <c r="G1671" s="218" t="s">
        <v>200</v>
      </c>
      <c r="H1671" s="223">
        <v>0.0</v>
      </c>
      <c r="J1671" s="223"/>
      <c r="K1671" s="317">
        <v>1899.0</v>
      </c>
    </row>
    <row r="1672">
      <c r="A1672" s="223"/>
      <c r="B1672" s="223" t="s">
        <v>200</v>
      </c>
      <c r="C1672" s="223"/>
      <c r="D1672" s="316"/>
      <c r="E1672" s="218"/>
      <c r="F1672" s="218"/>
      <c r="G1672" s="218" t="s">
        <v>200</v>
      </c>
      <c r="H1672" s="223">
        <v>0.0</v>
      </c>
      <c r="J1672" s="223"/>
      <c r="K1672" s="317">
        <v>1899.0</v>
      </c>
    </row>
    <row r="1673">
      <c r="A1673" s="223"/>
      <c r="B1673" s="223" t="s">
        <v>200</v>
      </c>
      <c r="C1673" s="223"/>
      <c r="D1673" s="316"/>
      <c r="E1673" s="218"/>
      <c r="F1673" s="218"/>
      <c r="G1673" s="218" t="s">
        <v>200</v>
      </c>
      <c r="H1673" s="223">
        <v>0.0</v>
      </c>
      <c r="J1673" s="223"/>
      <c r="K1673" s="317">
        <v>1899.0</v>
      </c>
    </row>
    <row r="1674">
      <c r="A1674" s="223"/>
      <c r="B1674" s="223" t="s">
        <v>200</v>
      </c>
      <c r="C1674" s="223"/>
      <c r="D1674" s="316"/>
      <c r="E1674" s="218"/>
      <c r="F1674" s="218"/>
      <c r="G1674" s="218" t="s">
        <v>200</v>
      </c>
      <c r="H1674" s="223">
        <v>0.0</v>
      </c>
      <c r="J1674" s="223"/>
      <c r="K1674" s="317">
        <v>1899.0</v>
      </c>
    </row>
    <row r="1675">
      <c r="A1675" s="223"/>
      <c r="B1675" s="223" t="s">
        <v>200</v>
      </c>
      <c r="C1675" s="223"/>
      <c r="D1675" s="316"/>
      <c r="E1675" s="218"/>
      <c r="F1675" s="218"/>
      <c r="G1675" s="218" t="s">
        <v>200</v>
      </c>
      <c r="H1675" s="223">
        <v>0.0</v>
      </c>
      <c r="J1675" s="223"/>
      <c r="K1675" s="317">
        <v>1899.0</v>
      </c>
    </row>
    <row r="1676">
      <c r="A1676" s="223"/>
      <c r="B1676" s="223" t="s">
        <v>200</v>
      </c>
      <c r="C1676" s="223"/>
      <c r="D1676" s="316"/>
      <c r="E1676" s="218"/>
      <c r="F1676" s="218"/>
      <c r="G1676" s="218" t="s">
        <v>200</v>
      </c>
      <c r="H1676" s="223">
        <v>0.0</v>
      </c>
      <c r="J1676" s="223"/>
      <c r="K1676" s="317">
        <v>1899.0</v>
      </c>
    </row>
    <row r="1677">
      <c r="A1677" s="223"/>
      <c r="B1677" s="223" t="s">
        <v>200</v>
      </c>
      <c r="C1677" s="223"/>
      <c r="D1677" s="316"/>
      <c r="E1677" s="218"/>
      <c r="F1677" s="218"/>
      <c r="G1677" s="218" t="s">
        <v>200</v>
      </c>
      <c r="H1677" s="223">
        <v>0.0</v>
      </c>
      <c r="J1677" s="223"/>
      <c r="K1677" s="317">
        <v>1899.0</v>
      </c>
    </row>
    <row r="1678">
      <c r="A1678" s="223"/>
      <c r="B1678" s="223" t="s">
        <v>200</v>
      </c>
      <c r="C1678" s="223"/>
      <c r="D1678" s="316"/>
      <c r="E1678" s="218"/>
      <c r="F1678" s="218"/>
      <c r="G1678" s="218" t="s">
        <v>200</v>
      </c>
      <c r="H1678" s="223">
        <v>0.0</v>
      </c>
      <c r="J1678" s="223"/>
      <c r="K1678" s="317">
        <v>1899.0</v>
      </c>
    </row>
    <row r="1679">
      <c r="A1679" s="223"/>
      <c r="B1679" s="223" t="s">
        <v>200</v>
      </c>
      <c r="C1679" s="223"/>
      <c r="D1679" s="316"/>
      <c r="E1679" s="218"/>
      <c r="F1679" s="218"/>
      <c r="G1679" s="218" t="s">
        <v>200</v>
      </c>
      <c r="H1679" s="223">
        <v>0.0</v>
      </c>
      <c r="J1679" s="223"/>
      <c r="K1679" s="317">
        <v>1899.0</v>
      </c>
    </row>
    <row r="1680">
      <c r="A1680" s="223"/>
      <c r="B1680" s="223" t="s">
        <v>200</v>
      </c>
      <c r="C1680" s="223"/>
      <c r="D1680" s="316"/>
      <c r="E1680" s="218"/>
      <c r="F1680" s="218"/>
      <c r="G1680" s="218" t="s">
        <v>200</v>
      </c>
      <c r="H1680" s="223">
        <v>0.0</v>
      </c>
      <c r="J1680" s="223"/>
      <c r="K1680" s="317">
        <v>1899.0</v>
      </c>
    </row>
    <row r="1681">
      <c r="A1681" s="223"/>
      <c r="B1681" s="223" t="s">
        <v>200</v>
      </c>
      <c r="C1681" s="223"/>
      <c r="D1681" s="316"/>
      <c r="E1681" s="218"/>
      <c r="F1681" s="218"/>
      <c r="G1681" s="218" t="s">
        <v>200</v>
      </c>
      <c r="H1681" s="223">
        <v>0.0</v>
      </c>
      <c r="J1681" s="223"/>
      <c r="K1681" s="317">
        <v>1899.0</v>
      </c>
    </row>
    <row r="1682">
      <c r="A1682" s="223"/>
      <c r="B1682" s="223" t="s">
        <v>200</v>
      </c>
      <c r="C1682" s="223"/>
      <c r="D1682" s="316"/>
      <c r="E1682" s="218"/>
      <c r="F1682" s="218"/>
      <c r="G1682" s="218" t="s">
        <v>200</v>
      </c>
      <c r="H1682" s="223">
        <v>0.0</v>
      </c>
      <c r="J1682" s="223"/>
      <c r="K1682" s="317">
        <v>1899.0</v>
      </c>
    </row>
    <row r="1683">
      <c r="A1683" s="223"/>
      <c r="B1683" s="223" t="s">
        <v>200</v>
      </c>
      <c r="C1683" s="223"/>
      <c r="D1683" s="316"/>
      <c r="E1683" s="218"/>
      <c r="F1683" s="218"/>
      <c r="G1683" s="218" t="s">
        <v>200</v>
      </c>
      <c r="H1683" s="223">
        <v>0.0</v>
      </c>
      <c r="J1683" s="223"/>
      <c r="K1683" s="317">
        <v>1899.0</v>
      </c>
    </row>
    <row r="1684">
      <c r="A1684" s="223"/>
      <c r="B1684" s="223" t="s">
        <v>200</v>
      </c>
      <c r="C1684" s="223"/>
      <c r="D1684" s="316"/>
      <c r="E1684" s="218"/>
      <c r="F1684" s="218"/>
      <c r="G1684" s="218" t="s">
        <v>200</v>
      </c>
      <c r="H1684" s="223">
        <v>0.0</v>
      </c>
      <c r="J1684" s="223"/>
      <c r="K1684" s="317">
        <v>1899.0</v>
      </c>
    </row>
    <row r="1685">
      <c r="A1685" s="223"/>
      <c r="B1685" s="223" t="s">
        <v>200</v>
      </c>
      <c r="C1685" s="223"/>
      <c r="D1685" s="316"/>
      <c r="E1685" s="218"/>
      <c r="F1685" s="218"/>
      <c r="G1685" s="218" t="s">
        <v>200</v>
      </c>
      <c r="H1685" s="223">
        <v>0.0</v>
      </c>
      <c r="J1685" s="223"/>
      <c r="K1685" s="317">
        <v>1899.0</v>
      </c>
    </row>
    <row r="1686">
      <c r="A1686" s="223"/>
      <c r="B1686" s="223" t="s">
        <v>200</v>
      </c>
      <c r="C1686" s="223"/>
      <c r="D1686" s="316"/>
      <c r="E1686" s="218"/>
      <c r="F1686" s="218"/>
      <c r="G1686" s="218" t="s">
        <v>200</v>
      </c>
      <c r="H1686" s="223">
        <v>0.0</v>
      </c>
      <c r="J1686" s="223"/>
      <c r="K1686" s="317">
        <v>1899.0</v>
      </c>
    </row>
    <row r="1687">
      <c r="A1687" s="223"/>
      <c r="B1687" s="223" t="s">
        <v>200</v>
      </c>
      <c r="C1687" s="223"/>
      <c r="D1687" s="316"/>
      <c r="E1687" s="218"/>
      <c r="F1687" s="218"/>
      <c r="G1687" s="218" t="s">
        <v>200</v>
      </c>
      <c r="H1687" s="223">
        <v>0.0</v>
      </c>
      <c r="J1687" s="223"/>
      <c r="K1687" s="317">
        <v>1899.0</v>
      </c>
    </row>
    <row r="1688">
      <c r="A1688" s="223"/>
      <c r="B1688" s="223" t="s">
        <v>200</v>
      </c>
      <c r="C1688" s="223"/>
      <c r="D1688" s="316"/>
      <c r="E1688" s="218"/>
      <c r="F1688" s="218"/>
      <c r="G1688" s="218" t="s">
        <v>200</v>
      </c>
      <c r="H1688" s="223">
        <v>0.0</v>
      </c>
      <c r="J1688" s="223"/>
      <c r="K1688" s="317">
        <v>1899.0</v>
      </c>
    </row>
    <row r="1689">
      <c r="A1689" s="223"/>
      <c r="B1689" s="223" t="s">
        <v>200</v>
      </c>
      <c r="C1689" s="223"/>
      <c r="D1689" s="316"/>
      <c r="E1689" s="218"/>
      <c r="F1689" s="218"/>
      <c r="G1689" s="218" t="s">
        <v>200</v>
      </c>
      <c r="H1689" s="223">
        <v>0.0</v>
      </c>
      <c r="J1689" s="223"/>
      <c r="K1689" s="317">
        <v>1899.0</v>
      </c>
    </row>
    <row r="1690">
      <c r="A1690" s="223"/>
      <c r="B1690" s="223" t="s">
        <v>200</v>
      </c>
      <c r="C1690" s="223"/>
      <c r="D1690" s="316"/>
      <c r="E1690" s="218"/>
      <c r="F1690" s="218"/>
      <c r="G1690" s="218" t="s">
        <v>200</v>
      </c>
      <c r="H1690" s="223">
        <v>0.0</v>
      </c>
      <c r="J1690" s="223"/>
      <c r="K1690" s="317">
        <v>1899.0</v>
      </c>
    </row>
    <row r="1691">
      <c r="A1691" s="223"/>
      <c r="B1691" s="223" t="s">
        <v>200</v>
      </c>
      <c r="C1691" s="223"/>
      <c r="D1691" s="316"/>
      <c r="E1691" s="218"/>
      <c r="F1691" s="218"/>
      <c r="G1691" s="218" t="s">
        <v>200</v>
      </c>
      <c r="H1691" s="223">
        <v>0.0</v>
      </c>
      <c r="J1691" s="223"/>
      <c r="K1691" s="317">
        <v>1899.0</v>
      </c>
    </row>
    <row r="1692">
      <c r="A1692" s="223"/>
      <c r="B1692" s="223" t="s">
        <v>200</v>
      </c>
      <c r="C1692" s="223"/>
      <c r="D1692" s="316"/>
      <c r="E1692" s="218"/>
      <c r="F1692" s="218"/>
      <c r="G1692" s="218" t="s">
        <v>200</v>
      </c>
      <c r="H1692" s="223">
        <v>0.0</v>
      </c>
      <c r="J1692" s="223"/>
      <c r="K1692" s="317">
        <v>1899.0</v>
      </c>
    </row>
    <row r="1693">
      <c r="A1693" s="223"/>
      <c r="B1693" s="223" t="s">
        <v>200</v>
      </c>
      <c r="C1693" s="223"/>
      <c r="D1693" s="316"/>
      <c r="E1693" s="218"/>
      <c r="F1693" s="218"/>
      <c r="G1693" s="218" t="s">
        <v>200</v>
      </c>
      <c r="H1693" s="223">
        <v>0.0</v>
      </c>
      <c r="J1693" s="223"/>
      <c r="K1693" s="317">
        <v>1899.0</v>
      </c>
    </row>
    <row r="1694">
      <c r="A1694" s="223"/>
      <c r="B1694" s="223" t="s">
        <v>200</v>
      </c>
      <c r="C1694" s="223"/>
      <c r="D1694" s="316"/>
      <c r="E1694" s="218"/>
      <c r="F1694" s="218"/>
      <c r="G1694" s="218" t="s">
        <v>200</v>
      </c>
      <c r="H1694" s="223">
        <v>0.0</v>
      </c>
      <c r="J1694" s="223"/>
      <c r="K1694" s="317">
        <v>1899.0</v>
      </c>
    </row>
    <row r="1695">
      <c r="A1695" s="223"/>
      <c r="B1695" s="223" t="s">
        <v>200</v>
      </c>
      <c r="C1695" s="223"/>
      <c r="D1695" s="316"/>
      <c r="E1695" s="218"/>
      <c r="F1695" s="218"/>
      <c r="G1695" s="218" t="s">
        <v>200</v>
      </c>
      <c r="H1695" s="223">
        <v>0.0</v>
      </c>
      <c r="J1695" s="223"/>
      <c r="K1695" s="317">
        <v>1899.0</v>
      </c>
    </row>
    <row r="1696">
      <c r="A1696" s="223"/>
      <c r="B1696" s="223" t="s">
        <v>200</v>
      </c>
      <c r="C1696" s="223"/>
      <c r="D1696" s="316"/>
      <c r="E1696" s="218"/>
      <c r="F1696" s="218"/>
      <c r="G1696" s="218" t="s">
        <v>200</v>
      </c>
      <c r="H1696" s="223">
        <v>0.0</v>
      </c>
      <c r="J1696" s="223"/>
      <c r="K1696" s="317">
        <v>1899.0</v>
      </c>
    </row>
    <row r="1697">
      <c r="A1697" s="223"/>
      <c r="B1697" s="223" t="s">
        <v>200</v>
      </c>
      <c r="C1697" s="223"/>
      <c r="D1697" s="316"/>
      <c r="E1697" s="218"/>
      <c r="F1697" s="218"/>
      <c r="G1697" s="218" t="s">
        <v>200</v>
      </c>
      <c r="H1697" s="223">
        <v>0.0</v>
      </c>
      <c r="J1697" s="223"/>
      <c r="K1697" s="317">
        <v>1899.0</v>
      </c>
    </row>
    <row r="1698">
      <c r="A1698" s="223"/>
      <c r="B1698" s="223" t="s">
        <v>200</v>
      </c>
      <c r="C1698" s="223"/>
      <c r="D1698" s="316"/>
      <c r="E1698" s="218"/>
      <c r="F1698" s="218"/>
      <c r="G1698" s="218" t="s">
        <v>200</v>
      </c>
      <c r="H1698" s="223">
        <v>0.0</v>
      </c>
      <c r="J1698" s="223"/>
      <c r="K1698" s="317">
        <v>1899.0</v>
      </c>
    </row>
    <row r="1699">
      <c r="A1699" s="223"/>
      <c r="B1699" s="223" t="s">
        <v>200</v>
      </c>
      <c r="C1699" s="223"/>
      <c r="D1699" s="316"/>
      <c r="E1699" s="218"/>
      <c r="F1699" s="218"/>
      <c r="G1699" s="218" t="s">
        <v>200</v>
      </c>
      <c r="H1699" s="223">
        <v>0.0</v>
      </c>
      <c r="J1699" s="223"/>
      <c r="K1699" s="317">
        <v>1899.0</v>
      </c>
    </row>
    <row r="1700">
      <c r="A1700" s="223"/>
      <c r="B1700" s="223" t="s">
        <v>200</v>
      </c>
      <c r="C1700" s="223"/>
      <c r="D1700" s="316"/>
      <c r="E1700" s="218"/>
      <c r="F1700" s="218"/>
      <c r="G1700" s="218" t="s">
        <v>200</v>
      </c>
      <c r="H1700" s="223">
        <v>0.0</v>
      </c>
      <c r="J1700" s="223"/>
      <c r="K1700" s="317">
        <v>1899.0</v>
      </c>
    </row>
    <row r="1701">
      <c r="A1701" s="223"/>
      <c r="B1701" s="223" t="s">
        <v>200</v>
      </c>
      <c r="C1701" s="223"/>
      <c r="D1701" s="316"/>
      <c r="E1701" s="218"/>
      <c r="F1701" s="218"/>
      <c r="G1701" s="218" t="s">
        <v>200</v>
      </c>
      <c r="H1701" s="223">
        <v>0.0</v>
      </c>
      <c r="J1701" s="223"/>
      <c r="K1701" s="317">
        <v>1899.0</v>
      </c>
    </row>
    <row r="1702">
      <c r="A1702" s="223"/>
      <c r="B1702" s="223" t="s">
        <v>200</v>
      </c>
      <c r="C1702" s="223"/>
      <c r="D1702" s="316"/>
      <c r="E1702" s="218"/>
      <c r="F1702" s="218"/>
      <c r="G1702" s="218" t="s">
        <v>200</v>
      </c>
      <c r="H1702" s="223">
        <v>0.0</v>
      </c>
      <c r="J1702" s="223"/>
      <c r="K1702" s="317">
        <v>1899.0</v>
      </c>
    </row>
    <row r="1703">
      <c r="A1703" s="223"/>
      <c r="B1703" s="223" t="s">
        <v>200</v>
      </c>
      <c r="C1703" s="223"/>
      <c r="D1703" s="316"/>
      <c r="E1703" s="218"/>
      <c r="F1703" s="218"/>
      <c r="G1703" s="218" t="s">
        <v>200</v>
      </c>
      <c r="H1703" s="223">
        <v>0.0</v>
      </c>
      <c r="J1703" s="223"/>
      <c r="K1703" s="317">
        <v>1899.0</v>
      </c>
    </row>
    <row r="1704">
      <c r="A1704" s="223"/>
      <c r="B1704" s="223" t="s">
        <v>200</v>
      </c>
      <c r="C1704" s="223"/>
      <c r="D1704" s="316"/>
      <c r="E1704" s="218"/>
      <c r="F1704" s="218"/>
      <c r="G1704" s="218" t="s">
        <v>200</v>
      </c>
      <c r="H1704" s="223">
        <v>0.0</v>
      </c>
      <c r="J1704" s="223"/>
      <c r="K1704" s="317">
        <v>1899.0</v>
      </c>
    </row>
    <row r="1705">
      <c r="A1705" s="223"/>
      <c r="B1705" s="223" t="s">
        <v>200</v>
      </c>
      <c r="C1705" s="223"/>
      <c r="D1705" s="316"/>
      <c r="E1705" s="218"/>
      <c r="F1705" s="218"/>
      <c r="G1705" s="218" t="s">
        <v>200</v>
      </c>
      <c r="H1705" s="223">
        <v>0.0</v>
      </c>
      <c r="J1705" s="223"/>
      <c r="K1705" s="317">
        <v>1899.0</v>
      </c>
    </row>
    <row r="1706">
      <c r="A1706" s="223"/>
      <c r="B1706" s="223" t="s">
        <v>200</v>
      </c>
      <c r="C1706" s="223"/>
      <c r="D1706" s="316"/>
      <c r="E1706" s="218"/>
      <c r="F1706" s="218"/>
      <c r="G1706" s="218" t="s">
        <v>200</v>
      </c>
      <c r="H1706" s="223">
        <v>0.0</v>
      </c>
      <c r="J1706" s="223"/>
      <c r="K1706" s="317">
        <v>1899.0</v>
      </c>
    </row>
    <row r="1707">
      <c r="A1707" s="223"/>
      <c r="B1707" s="223" t="s">
        <v>200</v>
      </c>
      <c r="C1707" s="223"/>
      <c r="D1707" s="316"/>
      <c r="E1707" s="218"/>
      <c r="F1707" s="218"/>
      <c r="G1707" s="218" t="s">
        <v>200</v>
      </c>
      <c r="H1707" s="223">
        <v>0.0</v>
      </c>
      <c r="J1707" s="223"/>
      <c r="K1707" s="317">
        <v>1899.0</v>
      </c>
    </row>
    <row r="1708">
      <c r="A1708" s="223"/>
      <c r="B1708" s="223" t="s">
        <v>200</v>
      </c>
      <c r="C1708" s="223"/>
      <c r="D1708" s="316"/>
      <c r="E1708" s="218"/>
      <c r="F1708" s="218"/>
      <c r="G1708" s="218" t="s">
        <v>200</v>
      </c>
      <c r="H1708" s="223">
        <v>0.0</v>
      </c>
      <c r="J1708" s="223"/>
      <c r="K1708" s="317">
        <v>1899.0</v>
      </c>
    </row>
    <row r="1709">
      <c r="A1709" s="223"/>
      <c r="B1709" s="223" t="s">
        <v>200</v>
      </c>
      <c r="C1709" s="223"/>
      <c r="D1709" s="316"/>
      <c r="E1709" s="218"/>
      <c r="F1709" s="218"/>
      <c r="G1709" s="218" t="s">
        <v>200</v>
      </c>
      <c r="H1709" s="223">
        <v>0.0</v>
      </c>
      <c r="J1709" s="223"/>
      <c r="K1709" s="317">
        <v>1899.0</v>
      </c>
    </row>
    <row r="1710">
      <c r="A1710" s="223"/>
      <c r="B1710" s="223" t="s">
        <v>200</v>
      </c>
      <c r="C1710" s="223"/>
      <c r="D1710" s="316"/>
      <c r="E1710" s="218"/>
      <c r="F1710" s="218"/>
      <c r="G1710" s="218" t="s">
        <v>200</v>
      </c>
      <c r="H1710" s="223">
        <v>0.0</v>
      </c>
      <c r="J1710" s="223"/>
      <c r="K1710" s="317">
        <v>1899.0</v>
      </c>
    </row>
    <row r="1711">
      <c r="A1711" s="223"/>
      <c r="B1711" s="223" t="s">
        <v>200</v>
      </c>
      <c r="C1711" s="223"/>
      <c r="D1711" s="316"/>
      <c r="E1711" s="218"/>
      <c r="F1711" s="218"/>
      <c r="G1711" s="218" t="s">
        <v>200</v>
      </c>
      <c r="H1711" s="223">
        <v>0.0</v>
      </c>
      <c r="J1711" s="223"/>
      <c r="K1711" s="317">
        <v>1899.0</v>
      </c>
    </row>
    <row r="1712">
      <c r="A1712" s="223"/>
      <c r="B1712" s="223" t="s">
        <v>200</v>
      </c>
      <c r="C1712" s="223"/>
      <c r="D1712" s="316"/>
      <c r="E1712" s="218"/>
      <c r="F1712" s="218"/>
      <c r="G1712" s="218" t="s">
        <v>200</v>
      </c>
      <c r="H1712" s="223">
        <v>0.0</v>
      </c>
      <c r="J1712" s="223"/>
      <c r="K1712" s="317">
        <v>1899.0</v>
      </c>
    </row>
    <row r="1713">
      <c r="A1713" s="223"/>
      <c r="B1713" s="223" t="s">
        <v>200</v>
      </c>
      <c r="C1713" s="223"/>
      <c r="D1713" s="316"/>
      <c r="E1713" s="218"/>
      <c r="F1713" s="218"/>
      <c r="G1713" s="218" t="s">
        <v>200</v>
      </c>
      <c r="H1713" s="223">
        <v>0.0</v>
      </c>
      <c r="J1713" s="223"/>
      <c r="K1713" s="317">
        <v>1899.0</v>
      </c>
    </row>
    <row r="1714">
      <c r="A1714" s="223"/>
      <c r="B1714" s="223" t="s">
        <v>200</v>
      </c>
      <c r="C1714" s="223"/>
      <c r="D1714" s="316"/>
      <c r="E1714" s="218"/>
      <c r="F1714" s="218"/>
      <c r="G1714" s="218" t="s">
        <v>200</v>
      </c>
      <c r="H1714" s="223">
        <v>0.0</v>
      </c>
      <c r="J1714" s="223"/>
      <c r="K1714" s="317">
        <v>1899.0</v>
      </c>
    </row>
    <row r="1715">
      <c r="A1715" s="223"/>
      <c r="B1715" s="223" t="s">
        <v>200</v>
      </c>
      <c r="C1715" s="223"/>
      <c r="D1715" s="316"/>
      <c r="E1715" s="218"/>
      <c r="F1715" s="218"/>
      <c r="G1715" s="218" t="s">
        <v>200</v>
      </c>
      <c r="H1715" s="223">
        <v>0.0</v>
      </c>
      <c r="J1715" s="223"/>
      <c r="K1715" s="317">
        <v>1899.0</v>
      </c>
    </row>
    <row r="1716">
      <c r="A1716" s="223"/>
      <c r="B1716" s="223" t="s">
        <v>200</v>
      </c>
      <c r="C1716" s="223"/>
      <c r="D1716" s="316"/>
      <c r="E1716" s="218"/>
      <c r="F1716" s="218"/>
      <c r="G1716" s="218" t="s">
        <v>200</v>
      </c>
      <c r="H1716" s="223">
        <v>0.0</v>
      </c>
      <c r="J1716" s="223"/>
      <c r="K1716" s="317">
        <v>1899.0</v>
      </c>
    </row>
    <row r="1717">
      <c r="A1717" s="223"/>
      <c r="B1717" s="223" t="s">
        <v>200</v>
      </c>
      <c r="C1717" s="223"/>
      <c r="D1717" s="316"/>
      <c r="E1717" s="218"/>
      <c r="F1717" s="218"/>
      <c r="G1717" s="218" t="s">
        <v>200</v>
      </c>
      <c r="H1717" s="223">
        <v>0.0</v>
      </c>
      <c r="J1717" s="223"/>
      <c r="K1717" s="317">
        <v>1899.0</v>
      </c>
    </row>
    <row r="1718">
      <c r="A1718" s="223"/>
      <c r="B1718" s="223" t="s">
        <v>200</v>
      </c>
      <c r="C1718" s="223"/>
      <c r="D1718" s="316"/>
      <c r="E1718" s="218"/>
      <c r="F1718" s="218"/>
      <c r="G1718" s="218" t="s">
        <v>200</v>
      </c>
      <c r="H1718" s="223">
        <v>0.0</v>
      </c>
      <c r="J1718" s="223"/>
      <c r="K1718" s="317">
        <v>1899.0</v>
      </c>
    </row>
    <row r="1719">
      <c r="A1719" s="223"/>
      <c r="B1719" s="223" t="s">
        <v>200</v>
      </c>
      <c r="C1719" s="223"/>
      <c r="D1719" s="316"/>
      <c r="E1719" s="218"/>
      <c r="F1719" s="218"/>
      <c r="G1719" s="218" t="s">
        <v>200</v>
      </c>
      <c r="H1719" s="223">
        <v>0.0</v>
      </c>
      <c r="J1719" s="223"/>
      <c r="K1719" s="317">
        <v>1899.0</v>
      </c>
    </row>
    <row r="1720">
      <c r="A1720" s="223"/>
      <c r="B1720" s="223" t="s">
        <v>200</v>
      </c>
      <c r="C1720" s="223"/>
      <c r="D1720" s="316"/>
      <c r="E1720" s="218"/>
      <c r="F1720" s="218"/>
      <c r="G1720" s="218" t="s">
        <v>200</v>
      </c>
      <c r="H1720" s="223">
        <v>0.0</v>
      </c>
      <c r="J1720" s="223"/>
      <c r="K1720" s="317">
        <v>1899.0</v>
      </c>
    </row>
    <row r="1721">
      <c r="A1721" s="223"/>
      <c r="B1721" s="223" t="s">
        <v>200</v>
      </c>
      <c r="C1721" s="223"/>
      <c r="D1721" s="316"/>
      <c r="E1721" s="218"/>
      <c r="F1721" s="218"/>
      <c r="G1721" s="218" t="s">
        <v>200</v>
      </c>
      <c r="H1721" s="223">
        <v>0.0</v>
      </c>
      <c r="J1721" s="223"/>
      <c r="K1721" s="317">
        <v>1899.0</v>
      </c>
    </row>
    <row r="1722">
      <c r="A1722" s="223"/>
      <c r="B1722" s="223" t="s">
        <v>200</v>
      </c>
      <c r="C1722" s="223"/>
      <c r="D1722" s="316"/>
      <c r="E1722" s="218"/>
      <c r="F1722" s="218"/>
      <c r="G1722" s="218" t="s">
        <v>200</v>
      </c>
      <c r="H1722" s="223">
        <v>0.0</v>
      </c>
      <c r="J1722" s="223"/>
      <c r="K1722" s="317">
        <v>1899.0</v>
      </c>
    </row>
    <row r="1723">
      <c r="A1723" s="223"/>
      <c r="B1723" s="223" t="s">
        <v>200</v>
      </c>
      <c r="C1723" s="223"/>
      <c r="D1723" s="316"/>
      <c r="E1723" s="218"/>
      <c r="F1723" s="218"/>
      <c r="G1723" s="218" t="s">
        <v>200</v>
      </c>
      <c r="H1723" s="223">
        <v>0.0</v>
      </c>
      <c r="J1723" s="223"/>
      <c r="K1723" s="317">
        <v>1899.0</v>
      </c>
    </row>
    <row r="1724">
      <c r="A1724" s="223"/>
      <c r="B1724" s="223" t="s">
        <v>200</v>
      </c>
      <c r="C1724" s="223"/>
      <c r="D1724" s="316"/>
      <c r="E1724" s="218"/>
      <c r="F1724" s="218"/>
      <c r="G1724" s="218" t="s">
        <v>200</v>
      </c>
      <c r="H1724" s="223">
        <v>0.0</v>
      </c>
      <c r="J1724" s="223"/>
      <c r="K1724" s="317">
        <v>1899.0</v>
      </c>
    </row>
    <row r="1725">
      <c r="A1725" s="223"/>
      <c r="B1725" s="223" t="s">
        <v>200</v>
      </c>
      <c r="C1725" s="223"/>
      <c r="D1725" s="316"/>
      <c r="E1725" s="218"/>
      <c r="F1725" s="218"/>
      <c r="G1725" s="218" t="s">
        <v>200</v>
      </c>
      <c r="H1725" s="223">
        <v>0.0</v>
      </c>
      <c r="J1725" s="223"/>
      <c r="K1725" s="317">
        <v>1899.0</v>
      </c>
    </row>
    <row r="1726">
      <c r="A1726" s="223"/>
      <c r="B1726" s="223" t="s">
        <v>200</v>
      </c>
      <c r="C1726" s="223"/>
      <c r="D1726" s="316"/>
      <c r="E1726" s="218"/>
      <c r="F1726" s="218"/>
      <c r="G1726" s="218" t="s">
        <v>200</v>
      </c>
      <c r="H1726" s="223">
        <v>0.0</v>
      </c>
      <c r="J1726" s="223"/>
      <c r="K1726" s="317">
        <v>1899.0</v>
      </c>
    </row>
    <row r="1727">
      <c r="A1727" s="223"/>
      <c r="B1727" s="223" t="s">
        <v>200</v>
      </c>
      <c r="C1727" s="223"/>
      <c r="D1727" s="316"/>
      <c r="E1727" s="218"/>
      <c r="F1727" s="218"/>
      <c r="G1727" s="218" t="s">
        <v>200</v>
      </c>
      <c r="H1727" s="223">
        <v>0.0</v>
      </c>
      <c r="J1727" s="223"/>
      <c r="K1727" s="317">
        <v>1899.0</v>
      </c>
    </row>
    <row r="1728">
      <c r="A1728" s="223"/>
      <c r="B1728" s="223" t="s">
        <v>200</v>
      </c>
      <c r="C1728" s="223"/>
      <c r="D1728" s="316"/>
      <c r="E1728" s="218"/>
      <c r="F1728" s="218"/>
      <c r="G1728" s="218" t="s">
        <v>200</v>
      </c>
      <c r="H1728" s="223">
        <v>0.0</v>
      </c>
      <c r="J1728" s="223"/>
      <c r="K1728" s="317">
        <v>1899.0</v>
      </c>
    </row>
    <row r="1729">
      <c r="A1729" s="223"/>
      <c r="B1729" s="223" t="s">
        <v>200</v>
      </c>
      <c r="C1729" s="223"/>
      <c r="D1729" s="316"/>
      <c r="E1729" s="218"/>
      <c r="F1729" s="218"/>
      <c r="G1729" s="218" t="s">
        <v>200</v>
      </c>
      <c r="H1729" s="223">
        <v>0.0</v>
      </c>
      <c r="J1729" s="223"/>
      <c r="K1729" s="317">
        <v>1899.0</v>
      </c>
    </row>
    <row r="1730">
      <c r="A1730" s="223"/>
      <c r="B1730" s="223" t="s">
        <v>200</v>
      </c>
      <c r="C1730" s="223"/>
      <c r="D1730" s="316"/>
      <c r="E1730" s="218"/>
      <c r="F1730" s="218"/>
      <c r="G1730" s="218" t="s">
        <v>200</v>
      </c>
      <c r="H1730" s="223">
        <v>0.0</v>
      </c>
      <c r="J1730" s="223"/>
      <c r="K1730" s="317">
        <v>1899.0</v>
      </c>
    </row>
    <row r="1731">
      <c r="A1731" s="223"/>
      <c r="B1731" s="223" t="s">
        <v>200</v>
      </c>
      <c r="C1731" s="223"/>
      <c r="D1731" s="316"/>
      <c r="E1731" s="218"/>
      <c r="F1731" s="218"/>
      <c r="G1731" s="218" t="s">
        <v>200</v>
      </c>
      <c r="H1731" s="223">
        <v>0.0</v>
      </c>
      <c r="J1731" s="223"/>
      <c r="K1731" s="317">
        <v>1899.0</v>
      </c>
    </row>
    <row r="1732">
      <c r="A1732" s="223"/>
      <c r="B1732" s="223" t="s">
        <v>200</v>
      </c>
      <c r="C1732" s="223"/>
      <c r="D1732" s="316"/>
      <c r="E1732" s="218"/>
      <c r="F1732" s="218"/>
      <c r="G1732" s="218" t="s">
        <v>200</v>
      </c>
      <c r="H1732" s="223">
        <v>0.0</v>
      </c>
      <c r="J1732" s="223"/>
      <c r="K1732" s="317">
        <v>1899.0</v>
      </c>
    </row>
    <row r="1733">
      <c r="A1733" s="223"/>
      <c r="B1733" s="223" t="s">
        <v>200</v>
      </c>
      <c r="C1733" s="223"/>
      <c r="D1733" s="316"/>
      <c r="E1733" s="218"/>
      <c r="F1733" s="218"/>
      <c r="G1733" s="218" t="s">
        <v>200</v>
      </c>
      <c r="H1733" s="223">
        <v>0.0</v>
      </c>
      <c r="J1733" s="223"/>
      <c r="K1733" s="317">
        <v>1899.0</v>
      </c>
    </row>
    <row r="1734">
      <c r="A1734" s="223"/>
      <c r="B1734" s="223" t="s">
        <v>200</v>
      </c>
      <c r="C1734" s="223"/>
      <c r="D1734" s="316"/>
      <c r="E1734" s="218"/>
      <c r="F1734" s="218"/>
      <c r="G1734" s="218" t="s">
        <v>200</v>
      </c>
      <c r="H1734" s="223">
        <v>0.0</v>
      </c>
      <c r="J1734" s="223"/>
      <c r="K1734" s="317">
        <v>1899.0</v>
      </c>
    </row>
    <row r="1735">
      <c r="A1735" s="223"/>
      <c r="B1735" s="223" t="s">
        <v>200</v>
      </c>
      <c r="C1735" s="223"/>
      <c r="D1735" s="316"/>
      <c r="E1735" s="218"/>
      <c r="F1735" s="218"/>
      <c r="G1735" s="218" t="s">
        <v>200</v>
      </c>
      <c r="H1735" s="223">
        <v>0.0</v>
      </c>
      <c r="J1735" s="223"/>
      <c r="K1735" s="317">
        <v>1899.0</v>
      </c>
    </row>
    <row r="1736">
      <c r="A1736" s="223"/>
      <c r="B1736" s="223" t="s">
        <v>200</v>
      </c>
      <c r="C1736" s="223"/>
      <c r="D1736" s="316"/>
      <c r="E1736" s="218"/>
      <c r="F1736" s="218"/>
      <c r="G1736" s="218" t="s">
        <v>200</v>
      </c>
      <c r="H1736" s="223">
        <v>0.0</v>
      </c>
      <c r="J1736" s="223"/>
      <c r="K1736" s="317">
        <v>1899.0</v>
      </c>
    </row>
    <row r="1737">
      <c r="A1737" s="223"/>
      <c r="B1737" s="223" t="s">
        <v>200</v>
      </c>
      <c r="C1737" s="223"/>
      <c r="D1737" s="316"/>
      <c r="E1737" s="218"/>
      <c r="F1737" s="218"/>
      <c r="G1737" s="218" t="s">
        <v>200</v>
      </c>
      <c r="H1737" s="223">
        <v>0.0</v>
      </c>
      <c r="J1737" s="223"/>
      <c r="K1737" s="317">
        <v>1899.0</v>
      </c>
    </row>
    <row r="1738">
      <c r="A1738" s="223"/>
      <c r="B1738" s="223" t="s">
        <v>200</v>
      </c>
      <c r="C1738" s="223"/>
      <c r="D1738" s="316"/>
      <c r="E1738" s="218"/>
      <c r="F1738" s="218"/>
      <c r="G1738" s="218" t="s">
        <v>200</v>
      </c>
      <c r="H1738" s="223">
        <v>0.0</v>
      </c>
      <c r="J1738" s="223"/>
      <c r="K1738" s="317">
        <v>1899.0</v>
      </c>
    </row>
    <row r="1739">
      <c r="A1739" s="223"/>
      <c r="B1739" s="223" t="s">
        <v>200</v>
      </c>
      <c r="C1739" s="223"/>
      <c r="D1739" s="316"/>
      <c r="E1739" s="218"/>
      <c r="F1739" s="218"/>
      <c r="G1739" s="218" t="s">
        <v>200</v>
      </c>
      <c r="H1739" s="223">
        <v>0.0</v>
      </c>
      <c r="J1739" s="223"/>
      <c r="K1739" s="317">
        <v>1899.0</v>
      </c>
    </row>
    <row r="1740">
      <c r="A1740" s="223"/>
      <c r="B1740" s="223" t="s">
        <v>200</v>
      </c>
      <c r="C1740" s="223"/>
      <c r="D1740" s="316"/>
      <c r="E1740" s="218"/>
      <c r="F1740" s="218"/>
      <c r="G1740" s="218" t="s">
        <v>200</v>
      </c>
      <c r="H1740" s="223">
        <v>0.0</v>
      </c>
      <c r="J1740" s="223"/>
      <c r="K1740" s="317">
        <v>1899.0</v>
      </c>
    </row>
    <row r="1741">
      <c r="A1741" s="223"/>
      <c r="B1741" s="223" t="s">
        <v>200</v>
      </c>
      <c r="C1741" s="223"/>
      <c r="D1741" s="316"/>
      <c r="E1741" s="218"/>
      <c r="F1741" s="218"/>
      <c r="G1741" s="218" t="s">
        <v>200</v>
      </c>
      <c r="H1741" s="223">
        <v>0.0</v>
      </c>
      <c r="J1741" s="223"/>
      <c r="K1741" s="317">
        <v>1899.0</v>
      </c>
    </row>
    <row r="1742">
      <c r="A1742" s="223"/>
      <c r="B1742" s="223" t="s">
        <v>200</v>
      </c>
      <c r="C1742" s="223"/>
      <c r="D1742" s="316"/>
      <c r="E1742" s="218"/>
      <c r="F1742" s="218"/>
      <c r="G1742" s="218" t="s">
        <v>200</v>
      </c>
      <c r="H1742" s="223">
        <v>0.0</v>
      </c>
      <c r="J1742" s="223"/>
      <c r="K1742" s="317">
        <v>1899.0</v>
      </c>
    </row>
    <row r="1743">
      <c r="A1743" s="223"/>
      <c r="B1743" s="223" t="s">
        <v>200</v>
      </c>
      <c r="C1743" s="223"/>
      <c r="D1743" s="316"/>
      <c r="E1743" s="218"/>
      <c r="F1743" s="218"/>
      <c r="G1743" s="218" t="s">
        <v>200</v>
      </c>
      <c r="H1743" s="223">
        <v>0.0</v>
      </c>
      <c r="J1743" s="223"/>
      <c r="K1743" s="317">
        <v>1899.0</v>
      </c>
    </row>
    <row r="1744">
      <c r="A1744" s="223"/>
      <c r="B1744" s="223" t="s">
        <v>200</v>
      </c>
      <c r="C1744" s="223"/>
      <c r="D1744" s="316"/>
      <c r="E1744" s="218"/>
      <c r="F1744" s="218"/>
      <c r="G1744" s="218" t="s">
        <v>200</v>
      </c>
      <c r="H1744" s="223">
        <v>0.0</v>
      </c>
      <c r="J1744" s="223"/>
      <c r="K1744" s="317">
        <v>1899.0</v>
      </c>
    </row>
    <row r="1745">
      <c r="A1745" s="223"/>
      <c r="B1745" s="223" t="s">
        <v>200</v>
      </c>
      <c r="C1745" s="223"/>
      <c r="D1745" s="316"/>
      <c r="E1745" s="218"/>
      <c r="F1745" s="218"/>
      <c r="G1745" s="218" t="s">
        <v>200</v>
      </c>
      <c r="H1745" s="223">
        <v>0.0</v>
      </c>
      <c r="J1745" s="223"/>
      <c r="K1745" s="317">
        <v>1899.0</v>
      </c>
    </row>
    <row r="1746">
      <c r="A1746" s="223"/>
      <c r="B1746" s="223" t="s">
        <v>200</v>
      </c>
      <c r="C1746" s="223"/>
      <c r="D1746" s="316"/>
      <c r="E1746" s="218"/>
      <c r="F1746" s="218"/>
      <c r="G1746" s="218" t="s">
        <v>200</v>
      </c>
      <c r="H1746" s="223">
        <v>0.0</v>
      </c>
      <c r="J1746" s="223"/>
      <c r="K1746" s="317">
        <v>1899.0</v>
      </c>
    </row>
    <row r="1747">
      <c r="A1747" s="223"/>
      <c r="B1747" s="223" t="s">
        <v>200</v>
      </c>
      <c r="C1747" s="223"/>
      <c r="D1747" s="316"/>
      <c r="E1747" s="218"/>
      <c r="F1747" s="218"/>
      <c r="G1747" s="218" t="s">
        <v>200</v>
      </c>
      <c r="H1747" s="223">
        <v>0.0</v>
      </c>
      <c r="J1747" s="223"/>
      <c r="K1747" s="317">
        <v>1899.0</v>
      </c>
    </row>
    <row r="1748">
      <c r="A1748" s="223"/>
      <c r="B1748" s="223" t="s">
        <v>200</v>
      </c>
      <c r="C1748" s="223"/>
      <c r="D1748" s="316"/>
      <c r="E1748" s="218"/>
      <c r="F1748" s="218"/>
      <c r="G1748" s="218" t="s">
        <v>200</v>
      </c>
      <c r="H1748" s="223">
        <v>0.0</v>
      </c>
      <c r="J1748" s="223"/>
      <c r="K1748" s="317">
        <v>1899.0</v>
      </c>
    </row>
    <row r="1749">
      <c r="A1749" s="223"/>
      <c r="B1749" s="223" t="s">
        <v>200</v>
      </c>
      <c r="C1749" s="223"/>
      <c r="D1749" s="316"/>
      <c r="E1749" s="218"/>
      <c r="F1749" s="218"/>
      <c r="G1749" s="218" t="s">
        <v>200</v>
      </c>
      <c r="H1749" s="223">
        <v>0.0</v>
      </c>
      <c r="J1749" s="223"/>
      <c r="K1749" s="317">
        <v>1899.0</v>
      </c>
    </row>
    <row r="1750">
      <c r="A1750" s="223"/>
      <c r="B1750" s="223" t="s">
        <v>200</v>
      </c>
      <c r="C1750" s="223"/>
      <c r="D1750" s="316"/>
      <c r="E1750" s="218"/>
      <c r="F1750" s="218"/>
      <c r="G1750" s="218" t="s">
        <v>200</v>
      </c>
      <c r="H1750" s="223">
        <v>0.0</v>
      </c>
      <c r="J1750" s="223"/>
      <c r="K1750" s="317">
        <v>1899.0</v>
      </c>
    </row>
    <row r="1751">
      <c r="A1751" s="223"/>
      <c r="B1751" s="223" t="s">
        <v>200</v>
      </c>
      <c r="C1751" s="223"/>
      <c r="D1751" s="316"/>
      <c r="E1751" s="218"/>
      <c r="F1751" s="218"/>
      <c r="G1751" s="218" t="s">
        <v>200</v>
      </c>
      <c r="H1751" s="223">
        <v>0.0</v>
      </c>
      <c r="J1751" s="223"/>
      <c r="K1751" s="317">
        <v>1899.0</v>
      </c>
    </row>
    <row r="1752">
      <c r="A1752" s="223"/>
      <c r="B1752" s="223" t="s">
        <v>200</v>
      </c>
      <c r="C1752" s="223"/>
      <c r="D1752" s="316"/>
      <c r="E1752" s="218"/>
      <c r="F1752" s="218"/>
      <c r="G1752" s="218" t="s">
        <v>200</v>
      </c>
      <c r="H1752" s="223">
        <v>0.0</v>
      </c>
      <c r="J1752" s="223"/>
      <c r="K1752" s="317">
        <v>1899.0</v>
      </c>
    </row>
    <row r="1753">
      <c r="A1753" s="223"/>
      <c r="B1753" s="223" t="s">
        <v>200</v>
      </c>
      <c r="C1753" s="223"/>
      <c r="D1753" s="316"/>
      <c r="E1753" s="218"/>
      <c r="F1753" s="218"/>
      <c r="G1753" s="218" t="s">
        <v>200</v>
      </c>
      <c r="H1753" s="223">
        <v>0.0</v>
      </c>
      <c r="J1753" s="223"/>
      <c r="K1753" s="317">
        <v>1899.0</v>
      </c>
    </row>
    <row r="1754">
      <c r="A1754" s="223"/>
      <c r="B1754" s="223" t="s">
        <v>200</v>
      </c>
      <c r="C1754" s="223"/>
      <c r="D1754" s="316"/>
      <c r="E1754" s="218"/>
      <c r="F1754" s="218"/>
      <c r="G1754" s="218" t="s">
        <v>200</v>
      </c>
      <c r="H1754" s="223">
        <v>0.0</v>
      </c>
      <c r="J1754" s="223"/>
      <c r="K1754" s="317">
        <v>1899.0</v>
      </c>
    </row>
    <row r="1755">
      <c r="A1755" s="223"/>
      <c r="B1755" s="223" t="s">
        <v>200</v>
      </c>
      <c r="C1755" s="223"/>
      <c r="D1755" s="316"/>
      <c r="E1755" s="218"/>
      <c r="F1755" s="218"/>
      <c r="G1755" s="218" t="s">
        <v>200</v>
      </c>
      <c r="H1755" s="223">
        <v>0.0</v>
      </c>
      <c r="J1755" s="223"/>
      <c r="K1755" s="317">
        <v>1899.0</v>
      </c>
    </row>
    <row r="1756">
      <c r="A1756" s="223"/>
      <c r="B1756" s="223" t="s">
        <v>200</v>
      </c>
      <c r="C1756" s="223"/>
      <c r="D1756" s="316"/>
      <c r="E1756" s="218"/>
      <c r="F1756" s="218"/>
      <c r="G1756" s="218" t="s">
        <v>200</v>
      </c>
      <c r="H1756" s="223">
        <v>0.0</v>
      </c>
      <c r="J1756" s="223"/>
      <c r="K1756" s="317">
        <v>1899.0</v>
      </c>
    </row>
    <row r="1757">
      <c r="A1757" s="223"/>
      <c r="B1757" s="223" t="s">
        <v>200</v>
      </c>
      <c r="C1757" s="223"/>
      <c r="D1757" s="316"/>
      <c r="E1757" s="218"/>
      <c r="F1757" s="218"/>
      <c r="G1757" s="218" t="s">
        <v>200</v>
      </c>
      <c r="H1757" s="223">
        <v>0.0</v>
      </c>
      <c r="J1757" s="223"/>
      <c r="K1757" s="317">
        <v>1899.0</v>
      </c>
    </row>
    <row r="1758">
      <c r="A1758" s="223"/>
      <c r="B1758" s="223" t="s">
        <v>200</v>
      </c>
      <c r="C1758" s="223"/>
      <c r="D1758" s="316"/>
      <c r="E1758" s="218"/>
      <c r="F1758" s="218"/>
      <c r="G1758" s="218" t="s">
        <v>200</v>
      </c>
      <c r="H1758" s="223">
        <v>0.0</v>
      </c>
      <c r="J1758" s="223"/>
      <c r="K1758" s="317">
        <v>1899.0</v>
      </c>
    </row>
    <row r="1759">
      <c r="A1759" s="223"/>
      <c r="B1759" s="223" t="s">
        <v>200</v>
      </c>
      <c r="C1759" s="223"/>
      <c r="D1759" s="316"/>
      <c r="E1759" s="218"/>
      <c r="F1759" s="218"/>
      <c r="G1759" s="218" t="s">
        <v>200</v>
      </c>
      <c r="H1759" s="223">
        <v>0.0</v>
      </c>
      <c r="J1759" s="223"/>
      <c r="K1759" s="317">
        <v>1899.0</v>
      </c>
    </row>
    <row r="1760">
      <c r="A1760" s="223"/>
      <c r="B1760" s="223" t="s">
        <v>200</v>
      </c>
      <c r="C1760" s="223"/>
      <c r="D1760" s="316"/>
      <c r="E1760" s="218"/>
      <c r="F1760" s="218"/>
      <c r="G1760" s="218" t="s">
        <v>200</v>
      </c>
      <c r="H1760" s="223">
        <v>0.0</v>
      </c>
      <c r="J1760" s="223"/>
      <c r="K1760" s="317">
        <v>1899.0</v>
      </c>
    </row>
    <row r="1761">
      <c r="A1761" s="223"/>
      <c r="B1761" s="223" t="s">
        <v>200</v>
      </c>
      <c r="C1761" s="223"/>
      <c r="D1761" s="316"/>
      <c r="E1761" s="218"/>
      <c r="F1761" s="218"/>
      <c r="G1761" s="218" t="s">
        <v>200</v>
      </c>
      <c r="H1761" s="223">
        <v>0.0</v>
      </c>
      <c r="J1761" s="223"/>
      <c r="K1761" s="317">
        <v>1899.0</v>
      </c>
    </row>
    <row r="1762">
      <c r="A1762" s="223"/>
      <c r="B1762" s="223" t="s">
        <v>200</v>
      </c>
      <c r="C1762" s="223"/>
      <c r="D1762" s="316"/>
      <c r="E1762" s="218"/>
      <c r="F1762" s="218"/>
      <c r="G1762" s="218" t="s">
        <v>200</v>
      </c>
      <c r="H1762" s="223">
        <v>0.0</v>
      </c>
      <c r="J1762" s="223"/>
      <c r="K1762" s="317">
        <v>1899.0</v>
      </c>
    </row>
    <row r="1763">
      <c r="A1763" s="223"/>
      <c r="B1763" s="223" t="s">
        <v>200</v>
      </c>
      <c r="C1763" s="223"/>
      <c r="D1763" s="316"/>
      <c r="E1763" s="218"/>
      <c r="F1763" s="218"/>
      <c r="G1763" s="218" t="s">
        <v>200</v>
      </c>
      <c r="H1763" s="223">
        <v>0.0</v>
      </c>
      <c r="J1763" s="223"/>
      <c r="K1763" s="317">
        <v>1899.0</v>
      </c>
    </row>
    <row r="1764">
      <c r="A1764" s="223"/>
      <c r="B1764" s="223" t="s">
        <v>200</v>
      </c>
      <c r="C1764" s="223"/>
      <c r="D1764" s="316"/>
      <c r="E1764" s="218"/>
      <c r="F1764" s="218"/>
      <c r="G1764" s="218" t="s">
        <v>200</v>
      </c>
      <c r="H1764" s="223">
        <v>0.0</v>
      </c>
      <c r="J1764" s="223"/>
      <c r="K1764" s="317">
        <v>1899.0</v>
      </c>
    </row>
    <row r="1765">
      <c r="A1765" s="223"/>
      <c r="B1765" s="223" t="s">
        <v>200</v>
      </c>
      <c r="C1765" s="223"/>
      <c r="D1765" s="316"/>
      <c r="E1765" s="218"/>
      <c r="F1765" s="218"/>
      <c r="G1765" s="218" t="s">
        <v>200</v>
      </c>
      <c r="H1765" s="223">
        <v>0.0</v>
      </c>
      <c r="J1765" s="223"/>
      <c r="K1765" s="317">
        <v>1899.0</v>
      </c>
    </row>
    <row r="1766">
      <c r="A1766" s="223"/>
      <c r="B1766" s="223" t="s">
        <v>200</v>
      </c>
      <c r="C1766" s="223"/>
      <c r="D1766" s="316"/>
      <c r="E1766" s="218"/>
      <c r="F1766" s="218"/>
      <c r="G1766" s="218" t="s">
        <v>200</v>
      </c>
      <c r="H1766" s="223">
        <v>0.0</v>
      </c>
      <c r="J1766" s="223"/>
      <c r="K1766" s="317">
        <v>1899.0</v>
      </c>
    </row>
    <row r="1767">
      <c r="A1767" s="223"/>
      <c r="B1767" s="223" t="s">
        <v>200</v>
      </c>
      <c r="C1767" s="223"/>
      <c r="D1767" s="316"/>
      <c r="E1767" s="218"/>
      <c r="F1767" s="218"/>
      <c r="G1767" s="218" t="s">
        <v>200</v>
      </c>
      <c r="H1767" s="223">
        <v>0.0</v>
      </c>
      <c r="J1767" s="223"/>
      <c r="K1767" s="317">
        <v>1899.0</v>
      </c>
    </row>
    <row r="1768">
      <c r="A1768" s="223"/>
      <c r="B1768" s="223" t="s">
        <v>200</v>
      </c>
      <c r="C1768" s="223"/>
      <c r="D1768" s="316"/>
      <c r="E1768" s="218"/>
      <c r="F1768" s="218"/>
      <c r="G1768" s="218" t="s">
        <v>200</v>
      </c>
      <c r="H1768" s="223">
        <v>0.0</v>
      </c>
      <c r="J1768" s="223"/>
      <c r="K1768" s="317">
        <v>1899.0</v>
      </c>
    </row>
    <row r="1769">
      <c r="A1769" s="223"/>
      <c r="B1769" s="223" t="s">
        <v>200</v>
      </c>
      <c r="C1769" s="223"/>
      <c r="D1769" s="316"/>
      <c r="E1769" s="218"/>
      <c r="F1769" s="218"/>
      <c r="G1769" s="218" t="s">
        <v>200</v>
      </c>
      <c r="H1769" s="223">
        <v>0.0</v>
      </c>
      <c r="J1769" s="223"/>
      <c r="K1769" s="317">
        <v>1899.0</v>
      </c>
    </row>
    <row r="1770">
      <c r="A1770" s="223"/>
      <c r="B1770" s="223" t="s">
        <v>200</v>
      </c>
      <c r="C1770" s="223"/>
      <c r="D1770" s="316"/>
      <c r="E1770" s="218"/>
      <c r="F1770" s="218"/>
      <c r="G1770" s="218" t="s">
        <v>200</v>
      </c>
      <c r="H1770" s="223">
        <v>0.0</v>
      </c>
      <c r="J1770" s="223"/>
      <c r="K1770" s="317">
        <v>1899.0</v>
      </c>
    </row>
    <row r="1771">
      <c r="A1771" s="223"/>
      <c r="B1771" s="223" t="s">
        <v>200</v>
      </c>
      <c r="C1771" s="223"/>
      <c r="D1771" s="316"/>
      <c r="E1771" s="218"/>
      <c r="F1771" s="218"/>
      <c r="G1771" s="218" t="s">
        <v>200</v>
      </c>
      <c r="H1771" s="223">
        <v>0.0</v>
      </c>
      <c r="J1771" s="223"/>
      <c r="K1771" s="317">
        <v>1899.0</v>
      </c>
    </row>
    <row r="1772">
      <c r="A1772" s="223"/>
      <c r="B1772" s="223" t="s">
        <v>200</v>
      </c>
      <c r="C1772" s="223"/>
      <c r="D1772" s="316"/>
      <c r="E1772" s="218"/>
      <c r="F1772" s="218"/>
      <c r="G1772" s="218" t="s">
        <v>200</v>
      </c>
      <c r="H1772" s="223">
        <v>0.0</v>
      </c>
      <c r="J1772" s="223"/>
      <c r="K1772" s="317">
        <v>1899.0</v>
      </c>
    </row>
    <row r="1773">
      <c r="A1773" s="223"/>
      <c r="B1773" s="223" t="s">
        <v>200</v>
      </c>
      <c r="C1773" s="223"/>
      <c r="D1773" s="316"/>
      <c r="E1773" s="218"/>
      <c r="F1773" s="218"/>
      <c r="G1773" s="218" t="s">
        <v>200</v>
      </c>
      <c r="H1773" s="223">
        <v>0.0</v>
      </c>
      <c r="J1773" s="223"/>
      <c r="K1773" s="317">
        <v>1899.0</v>
      </c>
    </row>
    <row r="1774">
      <c r="A1774" s="223"/>
      <c r="B1774" s="223" t="s">
        <v>200</v>
      </c>
      <c r="C1774" s="223"/>
      <c r="D1774" s="316"/>
      <c r="E1774" s="218"/>
      <c r="F1774" s="218"/>
      <c r="G1774" s="218" t="s">
        <v>200</v>
      </c>
      <c r="H1774" s="223">
        <v>0.0</v>
      </c>
      <c r="J1774" s="223"/>
      <c r="K1774" s="317">
        <v>1899.0</v>
      </c>
    </row>
    <row r="1775">
      <c r="A1775" s="223"/>
      <c r="B1775" s="223" t="s">
        <v>200</v>
      </c>
      <c r="C1775" s="223"/>
      <c r="D1775" s="316"/>
      <c r="E1775" s="218"/>
      <c r="F1775" s="218"/>
      <c r="G1775" s="218" t="s">
        <v>200</v>
      </c>
      <c r="H1775" s="223">
        <v>0.0</v>
      </c>
      <c r="J1775" s="223"/>
      <c r="K1775" s="317">
        <v>1899.0</v>
      </c>
    </row>
    <row r="1776">
      <c r="A1776" s="223"/>
      <c r="B1776" s="223" t="s">
        <v>200</v>
      </c>
      <c r="C1776" s="223"/>
      <c r="D1776" s="316"/>
      <c r="E1776" s="218"/>
      <c r="F1776" s="218"/>
      <c r="G1776" s="218" t="s">
        <v>200</v>
      </c>
      <c r="H1776" s="223">
        <v>0.0</v>
      </c>
      <c r="J1776" s="223"/>
      <c r="K1776" s="317">
        <v>1899.0</v>
      </c>
    </row>
    <row r="1777">
      <c r="A1777" s="223"/>
      <c r="B1777" s="223" t="s">
        <v>200</v>
      </c>
      <c r="C1777" s="223"/>
      <c r="D1777" s="316"/>
      <c r="E1777" s="218"/>
      <c r="F1777" s="218"/>
      <c r="G1777" s="218" t="s">
        <v>200</v>
      </c>
      <c r="H1777" s="223">
        <v>0.0</v>
      </c>
      <c r="J1777" s="223"/>
      <c r="K1777" s="317">
        <v>1899.0</v>
      </c>
    </row>
    <row r="1778">
      <c r="A1778" s="223"/>
      <c r="B1778" s="223" t="s">
        <v>200</v>
      </c>
      <c r="C1778" s="223"/>
      <c r="D1778" s="316"/>
      <c r="E1778" s="218"/>
      <c r="F1778" s="218"/>
      <c r="G1778" s="218" t="s">
        <v>200</v>
      </c>
      <c r="H1778" s="223">
        <v>0.0</v>
      </c>
      <c r="J1778" s="223"/>
      <c r="K1778" s="317">
        <v>1899.0</v>
      </c>
    </row>
    <row r="1779">
      <c r="A1779" s="223"/>
      <c r="B1779" s="223" t="s">
        <v>200</v>
      </c>
      <c r="C1779" s="223"/>
      <c r="D1779" s="316"/>
      <c r="E1779" s="218"/>
      <c r="F1779" s="218"/>
      <c r="G1779" s="218" t="s">
        <v>200</v>
      </c>
      <c r="H1779" s="223">
        <v>0.0</v>
      </c>
      <c r="J1779" s="223"/>
      <c r="K1779" s="317">
        <v>1899.0</v>
      </c>
    </row>
    <row r="1780">
      <c r="A1780" s="223"/>
      <c r="B1780" s="223" t="s">
        <v>200</v>
      </c>
      <c r="C1780" s="223"/>
      <c r="D1780" s="316"/>
      <c r="E1780" s="218"/>
      <c r="F1780" s="218"/>
      <c r="G1780" s="218" t="s">
        <v>200</v>
      </c>
      <c r="H1780" s="223">
        <v>0.0</v>
      </c>
      <c r="J1780" s="223"/>
      <c r="K1780" s="317">
        <v>1899.0</v>
      </c>
    </row>
    <row r="1781">
      <c r="A1781" s="223"/>
      <c r="B1781" s="223" t="s">
        <v>200</v>
      </c>
      <c r="C1781" s="223"/>
      <c r="D1781" s="316"/>
      <c r="E1781" s="218"/>
      <c r="F1781" s="218"/>
      <c r="G1781" s="218" t="s">
        <v>200</v>
      </c>
      <c r="H1781" s="223">
        <v>0.0</v>
      </c>
      <c r="J1781" s="223"/>
      <c r="K1781" s="317">
        <v>1899.0</v>
      </c>
    </row>
    <row r="1782">
      <c r="A1782" s="223"/>
      <c r="B1782" s="223" t="s">
        <v>200</v>
      </c>
      <c r="C1782" s="223"/>
      <c r="D1782" s="316"/>
      <c r="E1782" s="218"/>
      <c r="F1782" s="218"/>
      <c r="G1782" s="218" t="s">
        <v>200</v>
      </c>
      <c r="H1782" s="223">
        <v>0.0</v>
      </c>
      <c r="J1782" s="223"/>
      <c r="K1782" s="317">
        <v>1899.0</v>
      </c>
    </row>
    <row r="1783">
      <c r="A1783" s="223"/>
      <c r="B1783" s="223" t="s">
        <v>200</v>
      </c>
      <c r="C1783" s="223"/>
      <c r="D1783" s="316"/>
      <c r="E1783" s="218"/>
      <c r="F1783" s="218"/>
      <c r="G1783" s="218" t="s">
        <v>200</v>
      </c>
      <c r="H1783" s="223">
        <v>0.0</v>
      </c>
      <c r="J1783" s="223"/>
      <c r="K1783" s="317">
        <v>1899.0</v>
      </c>
    </row>
    <row r="1784">
      <c r="A1784" s="223"/>
      <c r="B1784" s="223" t="s">
        <v>200</v>
      </c>
      <c r="C1784" s="223"/>
      <c r="D1784" s="316"/>
      <c r="E1784" s="218"/>
      <c r="F1784" s="218"/>
      <c r="G1784" s="218" t="s">
        <v>200</v>
      </c>
      <c r="H1784" s="223">
        <v>0.0</v>
      </c>
      <c r="J1784" s="223"/>
      <c r="K1784" s="317">
        <v>1899.0</v>
      </c>
    </row>
    <row r="1785">
      <c r="A1785" s="223"/>
      <c r="B1785" s="223" t="s">
        <v>200</v>
      </c>
      <c r="C1785" s="223"/>
      <c r="D1785" s="316"/>
      <c r="E1785" s="218"/>
      <c r="F1785" s="218"/>
      <c r="G1785" s="218" t="s">
        <v>200</v>
      </c>
      <c r="H1785" s="223">
        <v>0.0</v>
      </c>
      <c r="J1785" s="223"/>
      <c r="K1785" s="317">
        <v>1899.0</v>
      </c>
    </row>
    <row r="1786">
      <c r="A1786" s="223"/>
      <c r="B1786" s="223" t="s">
        <v>200</v>
      </c>
      <c r="C1786" s="223"/>
      <c r="D1786" s="316"/>
      <c r="E1786" s="218"/>
      <c r="F1786" s="218"/>
      <c r="G1786" s="218" t="s">
        <v>200</v>
      </c>
      <c r="H1786" s="223">
        <v>0.0</v>
      </c>
      <c r="J1786" s="223"/>
      <c r="K1786" s="317">
        <v>1899.0</v>
      </c>
    </row>
    <row r="1787">
      <c r="A1787" s="223"/>
      <c r="B1787" s="223" t="s">
        <v>200</v>
      </c>
      <c r="C1787" s="223"/>
      <c r="D1787" s="316"/>
      <c r="E1787" s="218"/>
      <c r="F1787" s="218"/>
      <c r="G1787" s="218" t="s">
        <v>200</v>
      </c>
      <c r="H1787" s="223">
        <v>0.0</v>
      </c>
      <c r="J1787" s="223"/>
      <c r="K1787" s="317">
        <v>1899.0</v>
      </c>
    </row>
    <row r="1788">
      <c r="A1788" s="223"/>
      <c r="B1788" s="223" t="s">
        <v>200</v>
      </c>
      <c r="C1788" s="223"/>
      <c r="D1788" s="316"/>
      <c r="E1788" s="218"/>
      <c r="F1788" s="218"/>
      <c r="G1788" s="218" t="s">
        <v>200</v>
      </c>
      <c r="H1788" s="223">
        <v>0.0</v>
      </c>
      <c r="J1788" s="223"/>
      <c r="K1788" s="317">
        <v>1899.0</v>
      </c>
    </row>
    <row r="1789">
      <c r="A1789" s="223"/>
      <c r="B1789" s="223" t="s">
        <v>200</v>
      </c>
      <c r="C1789" s="223"/>
      <c r="D1789" s="316"/>
      <c r="E1789" s="218"/>
      <c r="F1789" s="218"/>
      <c r="G1789" s="218" t="s">
        <v>200</v>
      </c>
      <c r="H1789" s="223">
        <v>0.0</v>
      </c>
      <c r="J1789" s="223"/>
      <c r="K1789" s="317">
        <v>1899.0</v>
      </c>
    </row>
    <row r="1790">
      <c r="A1790" s="223"/>
      <c r="B1790" s="223" t="s">
        <v>200</v>
      </c>
      <c r="C1790" s="223"/>
      <c r="D1790" s="316"/>
      <c r="E1790" s="218"/>
      <c r="F1790" s="218"/>
      <c r="G1790" s="218" t="s">
        <v>200</v>
      </c>
      <c r="H1790" s="223">
        <v>0.0</v>
      </c>
      <c r="J1790" s="223"/>
      <c r="K1790" s="317">
        <v>1899.0</v>
      </c>
    </row>
    <row r="1791">
      <c r="A1791" s="223"/>
      <c r="B1791" s="223" t="s">
        <v>200</v>
      </c>
      <c r="C1791" s="223"/>
      <c r="D1791" s="316"/>
      <c r="E1791" s="218"/>
      <c r="F1791" s="218"/>
      <c r="G1791" s="218" t="s">
        <v>200</v>
      </c>
      <c r="H1791" s="223">
        <v>0.0</v>
      </c>
      <c r="J1791" s="223"/>
      <c r="K1791" s="317">
        <v>1899.0</v>
      </c>
    </row>
    <row r="1792">
      <c r="A1792" s="223"/>
      <c r="B1792" s="223" t="s">
        <v>200</v>
      </c>
      <c r="C1792" s="223"/>
      <c r="D1792" s="316"/>
      <c r="E1792" s="218"/>
      <c r="F1792" s="218"/>
      <c r="G1792" s="218" t="s">
        <v>200</v>
      </c>
      <c r="H1792" s="223">
        <v>0.0</v>
      </c>
      <c r="J1792" s="223"/>
      <c r="K1792" s="317">
        <v>1899.0</v>
      </c>
    </row>
    <row r="1793">
      <c r="A1793" s="223"/>
      <c r="B1793" s="223" t="s">
        <v>200</v>
      </c>
      <c r="C1793" s="223"/>
      <c r="D1793" s="316"/>
      <c r="E1793" s="218"/>
      <c r="F1793" s="218"/>
      <c r="G1793" s="218" t="s">
        <v>200</v>
      </c>
      <c r="H1793" s="223">
        <v>0.0</v>
      </c>
      <c r="J1793" s="223"/>
      <c r="K1793" s="317">
        <v>1899.0</v>
      </c>
    </row>
    <row r="1794">
      <c r="A1794" s="223"/>
      <c r="B1794" s="223" t="s">
        <v>200</v>
      </c>
      <c r="C1794" s="223"/>
      <c r="D1794" s="316"/>
      <c r="E1794" s="218"/>
      <c r="F1794" s="218"/>
      <c r="G1794" s="218" t="s">
        <v>200</v>
      </c>
      <c r="H1794" s="223">
        <v>0.0</v>
      </c>
      <c r="J1794" s="223"/>
      <c r="K1794" s="317">
        <v>1899.0</v>
      </c>
    </row>
    <row r="1795">
      <c r="A1795" s="223"/>
      <c r="B1795" s="223" t="s">
        <v>200</v>
      </c>
      <c r="C1795" s="223"/>
      <c r="D1795" s="316"/>
      <c r="E1795" s="218"/>
      <c r="F1795" s="218"/>
      <c r="G1795" s="218" t="s">
        <v>200</v>
      </c>
      <c r="H1795" s="223">
        <v>0.0</v>
      </c>
      <c r="J1795" s="223"/>
      <c r="K1795" s="317">
        <v>1899.0</v>
      </c>
    </row>
    <row r="1796">
      <c r="A1796" s="223"/>
      <c r="B1796" s="223" t="s">
        <v>200</v>
      </c>
      <c r="C1796" s="223"/>
      <c r="D1796" s="316"/>
      <c r="E1796" s="218"/>
      <c r="F1796" s="218"/>
      <c r="G1796" s="218" t="s">
        <v>200</v>
      </c>
      <c r="H1796" s="223">
        <v>0.0</v>
      </c>
      <c r="J1796" s="223"/>
      <c r="K1796" s="317">
        <v>1899.0</v>
      </c>
    </row>
    <row r="1797">
      <c r="A1797" s="223"/>
      <c r="B1797" s="223" t="s">
        <v>200</v>
      </c>
      <c r="C1797" s="223"/>
      <c r="D1797" s="316"/>
      <c r="E1797" s="218"/>
      <c r="F1797" s="218"/>
      <c r="G1797" s="218" t="s">
        <v>200</v>
      </c>
      <c r="H1797" s="223">
        <v>0.0</v>
      </c>
      <c r="J1797" s="223"/>
      <c r="K1797" s="317">
        <v>1899.0</v>
      </c>
    </row>
    <row r="1798">
      <c r="A1798" s="223"/>
      <c r="B1798" s="223" t="s">
        <v>200</v>
      </c>
      <c r="C1798" s="223"/>
      <c r="D1798" s="316"/>
      <c r="E1798" s="218"/>
      <c r="F1798" s="218"/>
      <c r="G1798" s="218" t="s">
        <v>200</v>
      </c>
      <c r="H1798" s="223">
        <v>0.0</v>
      </c>
      <c r="J1798" s="223"/>
      <c r="K1798" s="317">
        <v>1899.0</v>
      </c>
    </row>
    <row r="1799">
      <c r="A1799" s="223"/>
      <c r="B1799" s="223" t="s">
        <v>200</v>
      </c>
      <c r="C1799" s="223"/>
      <c r="D1799" s="316"/>
      <c r="E1799" s="218"/>
      <c r="F1799" s="218"/>
      <c r="G1799" s="218" t="s">
        <v>200</v>
      </c>
      <c r="H1799" s="223">
        <v>0.0</v>
      </c>
      <c r="J1799" s="223"/>
      <c r="K1799" s="317">
        <v>1899.0</v>
      </c>
    </row>
    <row r="1800">
      <c r="A1800" s="223"/>
      <c r="B1800" s="223" t="s">
        <v>200</v>
      </c>
      <c r="C1800" s="223"/>
      <c r="D1800" s="316"/>
      <c r="E1800" s="218"/>
      <c r="F1800" s="218"/>
      <c r="G1800" s="218" t="s">
        <v>200</v>
      </c>
      <c r="H1800" s="223">
        <v>0.0</v>
      </c>
      <c r="J1800" s="223"/>
      <c r="K1800" s="317">
        <v>1899.0</v>
      </c>
    </row>
    <row r="1801">
      <c r="A1801" s="223"/>
      <c r="B1801" s="223" t="s">
        <v>200</v>
      </c>
      <c r="C1801" s="223"/>
      <c r="D1801" s="316"/>
      <c r="E1801" s="218"/>
      <c r="F1801" s="218"/>
      <c r="G1801" s="218" t="s">
        <v>200</v>
      </c>
      <c r="H1801" s="223">
        <v>0.0</v>
      </c>
      <c r="J1801" s="223"/>
      <c r="K1801" s="317">
        <v>1899.0</v>
      </c>
    </row>
    <row r="1802">
      <c r="A1802" s="223"/>
      <c r="B1802" s="223" t="s">
        <v>200</v>
      </c>
      <c r="C1802" s="223"/>
      <c r="D1802" s="316"/>
      <c r="E1802" s="218"/>
      <c r="F1802" s="218"/>
      <c r="G1802" s="218" t="s">
        <v>200</v>
      </c>
      <c r="H1802" s="223">
        <v>0.0</v>
      </c>
      <c r="J1802" s="223"/>
      <c r="K1802" s="317">
        <v>1899.0</v>
      </c>
    </row>
    <row r="1803">
      <c r="A1803" s="223"/>
      <c r="B1803" s="223" t="s">
        <v>200</v>
      </c>
      <c r="C1803" s="223"/>
      <c r="D1803" s="316"/>
      <c r="E1803" s="218"/>
      <c r="F1803" s="218"/>
      <c r="G1803" s="218" t="s">
        <v>200</v>
      </c>
      <c r="H1803" s="223">
        <v>0.0</v>
      </c>
      <c r="J1803" s="223"/>
      <c r="K1803" s="317">
        <v>1899.0</v>
      </c>
    </row>
    <row r="1804">
      <c r="A1804" s="223"/>
      <c r="B1804" s="223" t="s">
        <v>200</v>
      </c>
      <c r="C1804" s="223"/>
      <c r="D1804" s="316"/>
      <c r="E1804" s="218"/>
      <c r="F1804" s="218"/>
      <c r="G1804" s="218" t="s">
        <v>200</v>
      </c>
      <c r="H1804" s="223">
        <v>0.0</v>
      </c>
      <c r="J1804" s="223"/>
      <c r="K1804" s="317">
        <v>1899.0</v>
      </c>
    </row>
    <row r="1805">
      <c r="A1805" s="223"/>
      <c r="B1805" s="223" t="s">
        <v>200</v>
      </c>
      <c r="C1805" s="223"/>
      <c r="D1805" s="316"/>
      <c r="E1805" s="218"/>
      <c r="F1805" s="218"/>
      <c r="G1805" s="218" t="s">
        <v>200</v>
      </c>
      <c r="H1805" s="223">
        <v>0.0</v>
      </c>
      <c r="J1805" s="223"/>
      <c r="K1805" s="317">
        <v>1899.0</v>
      </c>
    </row>
    <row r="1806">
      <c r="A1806" s="223"/>
      <c r="B1806" s="223" t="s">
        <v>200</v>
      </c>
      <c r="C1806" s="223"/>
      <c r="D1806" s="316"/>
      <c r="E1806" s="218"/>
      <c r="F1806" s="218"/>
      <c r="G1806" s="218" t="s">
        <v>200</v>
      </c>
      <c r="H1806" s="223">
        <v>0.0</v>
      </c>
      <c r="J1806" s="223"/>
      <c r="K1806" s="317">
        <v>1899.0</v>
      </c>
    </row>
    <row r="1807">
      <c r="A1807" s="223"/>
      <c r="B1807" s="223" t="s">
        <v>200</v>
      </c>
      <c r="C1807" s="223"/>
      <c r="D1807" s="316"/>
      <c r="E1807" s="218"/>
      <c r="F1807" s="218"/>
      <c r="G1807" s="218" t="s">
        <v>200</v>
      </c>
      <c r="H1807" s="223">
        <v>0.0</v>
      </c>
      <c r="J1807" s="223"/>
      <c r="K1807" s="317">
        <v>1899.0</v>
      </c>
    </row>
    <row r="1808">
      <c r="A1808" s="223"/>
      <c r="B1808" s="223" t="s">
        <v>200</v>
      </c>
      <c r="C1808" s="223"/>
      <c r="D1808" s="316"/>
      <c r="E1808" s="218"/>
      <c r="F1808" s="218"/>
      <c r="G1808" s="218" t="s">
        <v>200</v>
      </c>
      <c r="H1808" s="223">
        <v>0.0</v>
      </c>
      <c r="J1808" s="223"/>
      <c r="K1808" s="317">
        <v>1899.0</v>
      </c>
    </row>
    <row r="1809">
      <c r="A1809" s="223"/>
      <c r="B1809" s="223" t="s">
        <v>200</v>
      </c>
      <c r="C1809" s="223"/>
      <c r="D1809" s="316"/>
      <c r="E1809" s="218"/>
      <c r="F1809" s="218"/>
      <c r="G1809" s="218" t="s">
        <v>200</v>
      </c>
      <c r="H1809" s="223">
        <v>0.0</v>
      </c>
      <c r="J1809" s="223"/>
      <c r="K1809" s="317">
        <v>1899.0</v>
      </c>
    </row>
    <row r="1810">
      <c r="A1810" s="223"/>
      <c r="B1810" s="223" t="s">
        <v>200</v>
      </c>
      <c r="C1810" s="223"/>
      <c r="D1810" s="316"/>
      <c r="E1810" s="218"/>
      <c r="F1810" s="218"/>
      <c r="G1810" s="218" t="s">
        <v>200</v>
      </c>
      <c r="H1810" s="223">
        <v>0.0</v>
      </c>
      <c r="J1810" s="223"/>
      <c r="K1810" s="317">
        <v>1899.0</v>
      </c>
    </row>
    <row r="1811">
      <c r="A1811" s="223"/>
      <c r="B1811" s="223" t="s">
        <v>200</v>
      </c>
      <c r="C1811" s="223"/>
      <c r="D1811" s="316"/>
      <c r="E1811" s="218"/>
      <c r="F1811" s="218"/>
      <c r="G1811" s="218" t="s">
        <v>200</v>
      </c>
      <c r="H1811" s="223">
        <v>0.0</v>
      </c>
      <c r="J1811" s="223"/>
      <c r="K1811" s="317">
        <v>1899.0</v>
      </c>
    </row>
    <row r="1812">
      <c r="A1812" s="223"/>
      <c r="B1812" s="223" t="s">
        <v>200</v>
      </c>
      <c r="C1812" s="223"/>
      <c r="D1812" s="316"/>
      <c r="E1812" s="218"/>
      <c r="F1812" s="218"/>
      <c r="G1812" s="218" t="s">
        <v>200</v>
      </c>
      <c r="H1812" s="223">
        <v>0.0</v>
      </c>
      <c r="J1812" s="223"/>
      <c r="K1812" s="317">
        <v>1899.0</v>
      </c>
    </row>
    <row r="1813">
      <c r="A1813" s="223"/>
      <c r="B1813" s="223" t="s">
        <v>200</v>
      </c>
      <c r="C1813" s="223"/>
      <c r="D1813" s="316"/>
      <c r="E1813" s="218"/>
      <c r="F1813" s="218"/>
      <c r="G1813" s="218" t="s">
        <v>200</v>
      </c>
      <c r="H1813" s="223">
        <v>0.0</v>
      </c>
      <c r="J1813" s="223"/>
      <c r="K1813" s="317">
        <v>1899.0</v>
      </c>
    </row>
    <row r="1814">
      <c r="A1814" s="223"/>
      <c r="B1814" s="223" t="s">
        <v>200</v>
      </c>
      <c r="C1814" s="223"/>
      <c r="D1814" s="316"/>
      <c r="E1814" s="218"/>
      <c r="F1814" s="218"/>
      <c r="G1814" s="218" t="s">
        <v>200</v>
      </c>
      <c r="H1814" s="223">
        <v>0.0</v>
      </c>
      <c r="J1814" s="223"/>
      <c r="K1814" s="317">
        <v>1899.0</v>
      </c>
    </row>
    <row r="1815">
      <c r="A1815" s="223"/>
      <c r="B1815" s="223" t="s">
        <v>200</v>
      </c>
      <c r="C1815" s="223"/>
      <c r="D1815" s="316"/>
      <c r="E1815" s="218"/>
      <c r="F1815" s="218"/>
      <c r="G1815" s="218" t="s">
        <v>200</v>
      </c>
      <c r="H1815" s="223">
        <v>0.0</v>
      </c>
      <c r="J1815" s="223"/>
      <c r="K1815" s="317">
        <v>1899.0</v>
      </c>
    </row>
    <row r="1816">
      <c r="A1816" s="223"/>
      <c r="B1816" s="223" t="s">
        <v>200</v>
      </c>
      <c r="C1816" s="223"/>
      <c r="D1816" s="316"/>
      <c r="E1816" s="218"/>
      <c r="F1816" s="218"/>
      <c r="G1816" s="218" t="s">
        <v>200</v>
      </c>
      <c r="H1816" s="223">
        <v>0.0</v>
      </c>
      <c r="J1816" s="223"/>
      <c r="K1816" s="317">
        <v>1899.0</v>
      </c>
    </row>
    <row r="1817">
      <c r="A1817" s="223"/>
      <c r="B1817" s="223" t="s">
        <v>200</v>
      </c>
      <c r="C1817" s="223"/>
      <c r="D1817" s="316"/>
      <c r="E1817" s="218"/>
      <c r="F1817" s="218"/>
      <c r="G1817" s="218" t="s">
        <v>200</v>
      </c>
      <c r="H1817" s="223">
        <v>0.0</v>
      </c>
      <c r="J1817" s="223"/>
      <c r="K1817" s="317">
        <v>1899.0</v>
      </c>
    </row>
    <row r="1818">
      <c r="A1818" s="223"/>
      <c r="B1818" s="223" t="s">
        <v>200</v>
      </c>
      <c r="C1818" s="223"/>
      <c r="D1818" s="316"/>
      <c r="E1818" s="218"/>
      <c r="F1818" s="218"/>
      <c r="G1818" s="218" t="s">
        <v>200</v>
      </c>
      <c r="H1818" s="223">
        <v>0.0</v>
      </c>
      <c r="J1818" s="223"/>
      <c r="K1818" s="317">
        <v>1899.0</v>
      </c>
    </row>
    <row r="1819">
      <c r="A1819" s="223"/>
      <c r="B1819" s="223" t="s">
        <v>200</v>
      </c>
      <c r="C1819" s="223"/>
      <c r="D1819" s="316"/>
      <c r="E1819" s="218"/>
      <c r="F1819" s="218"/>
      <c r="G1819" s="218" t="s">
        <v>200</v>
      </c>
      <c r="H1819" s="223">
        <v>0.0</v>
      </c>
      <c r="J1819" s="223"/>
      <c r="K1819" s="317">
        <v>1899.0</v>
      </c>
    </row>
    <row r="1820">
      <c r="A1820" s="223"/>
      <c r="B1820" s="223" t="s">
        <v>200</v>
      </c>
      <c r="C1820" s="223"/>
      <c r="D1820" s="316"/>
      <c r="E1820" s="218"/>
      <c r="F1820" s="218"/>
      <c r="G1820" s="218" t="s">
        <v>200</v>
      </c>
      <c r="H1820" s="223">
        <v>0.0</v>
      </c>
      <c r="J1820" s="223"/>
      <c r="K1820" s="317">
        <v>1899.0</v>
      </c>
    </row>
    <row r="1821">
      <c r="A1821" s="223"/>
      <c r="B1821" s="223" t="s">
        <v>200</v>
      </c>
      <c r="C1821" s="223"/>
      <c r="D1821" s="316"/>
      <c r="E1821" s="218"/>
      <c r="F1821" s="218"/>
      <c r="G1821" s="218" t="s">
        <v>200</v>
      </c>
      <c r="H1821" s="223">
        <v>0.0</v>
      </c>
      <c r="J1821" s="223"/>
      <c r="K1821" s="317">
        <v>1899.0</v>
      </c>
    </row>
    <row r="1822">
      <c r="A1822" s="223"/>
      <c r="B1822" s="223" t="s">
        <v>200</v>
      </c>
      <c r="C1822" s="223"/>
      <c r="D1822" s="316"/>
      <c r="E1822" s="218"/>
      <c r="F1822" s="218"/>
      <c r="G1822" s="218" t="s">
        <v>200</v>
      </c>
      <c r="H1822" s="223">
        <v>0.0</v>
      </c>
      <c r="J1822" s="223"/>
      <c r="K1822" s="317">
        <v>1899.0</v>
      </c>
    </row>
    <row r="1823">
      <c r="A1823" s="223"/>
      <c r="B1823" s="223" t="s">
        <v>200</v>
      </c>
      <c r="C1823" s="223"/>
      <c r="D1823" s="316"/>
      <c r="E1823" s="218"/>
      <c r="F1823" s="218"/>
      <c r="G1823" s="218" t="s">
        <v>200</v>
      </c>
      <c r="H1823" s="223">
        <v>0.0</v>
      </c>
      <c r="J1823" s="223"/>
      <c r="K1823" s="317">
        <v>1899.0</v>
      </c>
    </row>
    <row r="1824">
      <c r="A1824" s="223"/>
      <c r="B1824" s="223" t="s">
        <v>200</v>
      </c>
      <c r="C1824" s="223"/>
      <c r="D1824" s="316"/>
      <c r="E1824" s="218"/>
      <c r="F1824" s="218"/>
      <c r="G1824" s="218" t="s">
        <v>200</v>
      </c>
      <c r="H1824" s="223">
        <v>0.0</v>
      </c>
      <c r="J1824" s="223"/>
      <c r="K1824" s="317">
        <v>1899.0</v>
      </c>
    </row>
    <row r="1825">
      <c r="A1825" s="223"/>
      <c r="B1825" s="223" t="s">
        <v>200</v>
      </c>
      <c r="C1825" s="223"/>
      <c r="D1825" s="316"/>
      <c r="E1825" s="218"/>
      <c r="F1825" s="218"/>
      <c r="G1825" s="218" t="s">
        <v>200</v>
      </c>
      <c r="H1825" s="223">
        <v>0.0</v>
      </c>
      <c r="J1825" s="223"/>
      <c r="K1825" s="317">
        <v>1899.0</v>
      </c>
    </row>
    <row r="1826">
      <c r="A1826" s="223"/>
      <c r="B1826" s="223" t="s">
        <v>200</v>
      </c>
      <c r="C1826" s="223"/>
      <c r="D1826" s="316"/>
      <c r="E1826" s="218"/>
      <c r="F1826" s="218"/>
      <c r="G1826" s="218" t="s">
        <v>200</v>
      </c>
      <c r="H1826" s="223">
        <v>0.0</v>
      </c>
      <c r="J1826" s="223"/>
      <c r="K1826" s="317">
        <v>1899.0</v>
      </c>
    </row>
    <row r="1827">
      <c r="A1827" s="223"/>
      <c r="B1827" s="223" t="s">
        <v>200</v>
      </c>
      <c r="C1827" s="223"/>
      <c r="D1827" s="316"/>
      <c r="E1827" s="218"/>
      <c r="F1827" s="218"/>
      <c r="G1827" s="218" t="s">
        <v>200</v>
      </c>
      <c r="H1827" s="223">
        <v>0.0</v>
      </c>
      <c r="J1827" s="223"/>
      <c r="K1827" s="317">
        <v>1899.0</v>
      </c>
    </row>
    <row r="1828">
      <c r="A1828" s="223"/>
      <c r="B1828" s="223" t="s">
        <v>200</v>
      </c>
      <c r="C1828" s="223"/>
      <c r="D1828" s="316"/>
      <c r="E1828" s="218"/>
      <c r="F1828" s="218"/>
      <c r="G1828" s="218" t="s">
        <v>200</v>
      </c>
      <c r="H1828" s="223">
        <v>0.0</v>
      </c>
      <c r="J1828" s="223"/>
      <c r="K1828" s="317">
        <v>1899.0</v>
      </c>
    </row>
    <row r="1829">
      <c r="A1829" s="223"/>
      <c r="B1829" s="223" t="s">
        <v>200</v>
      </c>
      <c r="C1829" s="223"/>
      <c r="D1829" s="316"/>
      <c r="E1829" s="218"/>
      <c r="F1829" s="218"/>
      <c r="G1829" s="218" t="s">
        <v>200</v>
      </c>
      <c r="H1829" s="223">
        <v>0.0</v>
      </c>
      <c r="J1829" s="223"/>
      <c r="K1829" s="317">
        <v>1899.0</v>
      </c>
    </row>
    <row r="1830">
      <c r="A1830" s="223"/>
      <c r="B1830" s="223" t="s">
        <v>200</v>
      </c>
      <c r="C1830" s="223"/>
      <c r="D1830" s="316"/>
      <c r="E1830" s="218"/>
      <c r="F1830" s="218"/>
      <c r="G1830" s="218" t="s">
        <v>200</v>
      </c>
      <c r="H1830" s="223">
        <v>0.0</v>
      </c>
      <c r="J1830" s="223"/>
      <c r="K1830" s="317">
        <v>1899.0</v>
      </c>
    </row>
    <row r="1831">
      <c r="A1831" s="223"/>
      <c r="B1831" s="223" t="s">
        <v>200</v>
      </c>
      <c r="C1831" s="223"/>
      <c r="D1831" s="316"/>
      <c r="E1831" s="218"/>
      <c r="F1831" s="218"/>
      <c r="G1831" s="218" t="s">
        <v>200</v>
      </c>
      <c r="H1831" s="223">
        <v>0.0</v>
      </c>
      <c r="J1831" s="223"/>
      <c r="K1831" s="317">
        <v>1899.0</v>
      </c>
    </row>
    <row r="1832">
      <c r="A1832" s="223"/>
      <c r="B1832" s="223" t="s">
        <v>200</v>
      </c>
      <c r="C1832" s="223"/>
      <c r="D1832" s="316"/>
      <c r="E1832" s="218"/>
      <c r="F1832" s="218"/>
      <c r="G1832" s="218" t="s">
        <v>200</v>
      </c>
      <c r="H1832" s="223">
        <v>0.0</v>
      </c>
      <c r="J1832" s="223"/>
      <c r="K1832" s="317">
        <v>1899.0</v>
      </c>
    </row>
    <row r="1833">
      <c r="A1833" s="223"/>
      <c r="B1833" s="223" t="s">
        <v>200</v>
      </c>
      <c r="C1833" s="223"/>
      <c r="D1833" s="316"/>
      <c r="E1833" s="218"/>
      <c r="F1833" s="218"/>
      <c r="G1833" s="218" t="s">
        <v>200</v>
      </c>
      <c r="H1833" s="223">
        <v>0.0</v>
      </c>
      <c r="J1833" s="223"/>
      <c r="K1833" s="317">
        <v>1899.0</v>
      </c>
    </row>
    <row r="1834">
      <c r="A1834" s="223"/>
      <c r="B1834" s="223" t="s">
        <v>200</v>
      </c>
      <c r="C1834" s="223"/>
      <c r="D1834" s="316"/>
      <c r="E1834" s="218"/>
      <c r="F1834" s="218"/>
      <c r="G1834" s="218" t="s">
        <v>200</v>
      </c>
      <c r="H1834" s="223">
        <v>0.0</v>
      </c>
      <c r="J1834" s="223"/>
      <c r="K1834" s="317">
        <v>1899.0</v>
      </c>
    </row>
    <row r="1835">
      <c r="A1835" s="223"/>
      <c r="B1835" s="223" t="s">
        <v>200</v>
      </c>
      <c r="C1835" s="223"/>
      <c r="D1835" s="316"/>
      <c r="E1835" s="218"/>
      <c r="F1835" s="218"/>
      <c r="G1835" s="218" t="s">
        <v>200</v>
      </c>
      <c r="H1835" s="223">
        <v>0.0</v>
      </c>
      <c r="J1835" s="223"/>
      <c r="K1835" s="317">
        <v>1899.0</v>
      </c>
    </row>
    <row r="1836">
      <c r="A1836" s="223"/>
      <c r="B1836" s="223" t="s">
        <v>200</v>
      </c>
      <c r="C1836" s="223"/>
      <c r="D1836" s="316"/>
      <c r="E1836" s="218"/>
      <c r="F1836" s="218"/>
      <c r="G1836" s="218" t="s">
        <v>200</v>
      </c>
      <c r="H1836" s="223">
        <v>0.0</v>
      </c>
      <c r="J1836" s="223"/>
      <c r="K1836" s="317">
        <v>1899.0</v>
      </c>
    </row>
    <row r="1837">
      <c r="A1837" s="223"/>
      <c r="B1837" s="223" t="s">
        <v>200</v>
      </c>
      <c r="C1837" s="223"/>
      <c r="D1837" s="316"/>
      <c r="E1837" s="218"/>
      <c r="F1837" s="218"/>
      <c r="G1837" s="218" t="s">
        <v>200</v>
      </c>
      <c r="H1837" s="223">
        <v>0.0</v>
      </c>
      <c r="J1837" s="223"/>
      <c r="K1837" s="317">
        <v>1899.0</v>
      </c>
    </row>
    <row r="1838">
      <c r="A1838" s="223"/>
      <c r="B1838" s="223" t="s">
        <v>200</v>
      </c>
      <c r="C1838" s="223"/>
      <c r="D1838" s="316"/>
      <c r="E1838" s="218"/>
      <c r="F1838" s="218"/>
      <c r="G1838" s="218" t="s">
        <v>200</v>
      </c>
      <c r="H1838" s="223">
        <v>0.0</v>
      </c>
      <c r="J1838" s="223"/>
      <c r="K1838" s="317">
        <v>1899.0</v>
      </c>
    </row>
    <row r="1839">
      <c r="A1839" s="223"/>
      <c r="B1839" s="223" t="s">
        <v>200</v>
      </c>
      <c r="C1839" s="223"/>
      <c r="D1839" s="316"/>
      <c r="E1839" s="218"/>
      <c r="F1839" s="218"/>
      <c r="G1839" s="218" t="s">
        <v>200</v>
      </c>
      <c r="H1839" s="223">
        <v>0.0</v>
      </c>
      <c r="J1839" s="223"/>
      <c r="K1839" s="317">
        <v>1899.0</v>
      </c>
    </row>
    <row r="1840">
      <c r="A1840" s="223"/>
      <c r="B1840" s="223" t="s">
        <v>200</v>
      </c>
      <c r="C1840" s="223"/>
      <c r="D1840" s="316"/>
      <c r="E1840" s="218"/>
      <c r="F1840" s="218"/>
      <c r="G1840" s="218" t="s">
        <v>200</v>
      </c>
      <c r="H1840" s="223">
        <v>0.0</v>
      </c>
      <c r="J1840" s="223"/>
      <c r="K1840" s="317">
        <v>1899.0</v>
      </c>
    </row>
    <row r="1841">
      <c r="A1841" s="223"/>
      <c r="B1841" s="223" t="s">
        <v>200</v>
      </c>
      <c r="C1841" s="223"/>
      <c r="D1841" s="316"/>
      <c r="E1841" s="218"/>
      <c r="F1841" s="218"/>
      <c r="G1841" s="218" t="s">
        <v>200</v>
      </c>
      <c r="H1841" s="223">
        <v>0.0</v>
      </c>
      <c r="J1841" s="223"/>
      <c r="K1841" s="317">
        <v>1899.0</v>
      </c>
    </row>
    <row r="1842">
      <c r="A1842" s="223"/>
      <c r="B1842" s="223" t="s">
        <v>200</v>
      </c>
      <c r="C1842" s="223"/>
      <c r="D1842" s="316"/>
      <c r="E1842" s="218"/>
      <c r="F1842" s="218"/>
      <c r="G1842" s="218" t="s">
        <v>200</v>
      </c>
      <c r="H1842" s="223">
        <v>0.0</v>
      </c>
      <c r="J1842" s="223"/>
      <c r="K1842" s="317">
        <v>1899.0</v>
      </c>
    </row>
    <row r="1843">
      <c r="A1843" s="223"/>
      <c r="B1843" s="223" t="s">
        <v>200</v>
      </c>
      <c r="C1843" s="223"/>
      <c r="D1843" s="316"/>
      <c r="E1843" s="218"/>
      <c r="F1843" s="218"/>
      <c r="G1843" s="218" t="s">
        <v>200</v>
      </c>
      <c r="H1843" s="223">
        <v>0.0</v>
      </c>
      <c r="J1843" s="223"/>
      <c r="K1843" s="317">
        <v>1899.0</v>
      </c>
    </row>
    <row r="1844">
      <c r="A1844" s="223"/>
      <c r="B1844" s="223" t="s">
        <v>200</v>
      </c>
      <c r="C1844" s="223"/>
      <c r="D1844" s="316"/>
      <c r="E1844" s="218"/>
      <c r="F1844" s="218"/>
      <c r="G1844" s="218" t="s">
        <v>200</v>
      </c>
      <c r="H1844" s="223">
        <v>0.0</v>
      </c>
      <c r="J1844" s="223"/>
      <c r="K1844" s="317">
        <v>1899.0</v>
      </c>
    </row>
    <row r="1845">
      <c r="A1845" s="223"/>
      <c r="B1845" s="223" t="s">
        <v>200</v>
      </c>
      <c r="C1845" s="223"/>
      <c r="D1845" s="316"/>
      <c r="E1845" s="218"/>
      <c r="F1845" s="218"/>
      <c r="G1845" s="218" t="s">
        <v>200</v>
      </c>
      <c r="H1845" s="223">
        <v>0.0</v>
      </c>
      <c r="J1845" s="223"/>
      <c r="K1845" s="317">
        <v>1899.0</v>
      </c>
    </row>
    <row r="1846">
      <c r="A1846" s="223"/>
      <c r="B1846" s="223" t="s">
        <v>200</v>
      </c>
      <c r="C1846" s="223"/>
      <c r="D1846" s="316"/>
      <c r="E1846" s="218"/>
      <c r="F1846" s="218"/>
      <c r="G1846" s="218" t="s">
        <v>200</v>
      </c>
      <c r="H1846" s="223">
        <v>0.0</v>
      </c>
      <c r="J1846" s="223"/>
      <c r="K1846" s="317">
        <v>1899.0</v>
      </c>
    </row>
    <row r="1847">
      <c r="A1847" s="223"/>
      <c r="B1847" s="223" t="s">
        <v>200</v>
      </c>
      <c r="C1847" s="223"/>
      <c r="D1847" s="316"/>
      <c r="E1847" s="218"/>
      <c r="F1847" s="218"/>
      <c r="G1847" s="218" t="s">
        <v>200</v>
      </c>
      <c r="H1847" s="223">
        <v>0.0</v>
      </c>
      <c r="J1847" s="223"/>
      <c r="K1847" s="317">
        <v>1899.0</v>
      </c>
    </row>
    <row r="1848">
      <c r="A1848" s="223"/>
      <c r="B1848" s="223" t="s">
        <v>200</v>
      </c>
      <c r="C1848" s="223"/>
      <c r="D1848" s="316"/>
      <c r="E1848" s="218"/>
      <c r="F1848" s="218"/>
      <c r="G1848" s="218" t="s">
        <v>200</v>
      </c>
      <c r="H1848" s="223">
        <v>0.0</v>
      </c>
      <c r="J1848" s="223"/>
      <c r="K1848" s="317">
        <v>1899.0</v>
      </c>
    </row>
    <row r="1849">
      <c r="A1849" s="223"/>
      <c r="B1849" s="223" t="s">
        <v>200</v>
      </c>
      <c r="C1849" s="223"/>
      <c r="D1849" s="316"/>
      <c r="E1849" s="218"/>
      <c r="F1849" s="218"/>
      <c r="G1849" s="218" t="s">
        <v>200</v>
      </c>
      <c r="H1849" s="223">
        <v>0.0</v>
      </c>
      <c r="J1849" s="223"/>
      <c r="K1849" s="317">
        <v>1899.0</v>
      </c>
    </row>
    <row r="1850">
      <c r="A1850" s="223"/>
      <c r="B1850" s="223" t="s">
        <v>200</v>
      </c>
      <c r="C1850" s="223"/>
      <c r="D1850" s="316"/>
      <c r="E1850" s="218"/>
      <c r="F1850" s="218"/>
      <c r="G1850" s="218" t="s">
        <v>200</v>
      </c>
      <c r="H1850" s="223">
        <v>0.0</v>
      </c>
      <c r="J1850" s="223"/>
      <c r="K1850" s="317">
        <v>1899.0</v>
      </c>
    </row>
    <row r="1851">
      <c r="A1851" s="223"/>
      <c r="B1851" s="223" t="s">
        <v>200</v>
      </c>
      <c r="C1851" s="223"/>
      <c r="D1851" s="316"/>
      <c r="E1851" s="218"/>
      <c r="F1851" s="218"/>
      <c r="G1851" s="218" t="s">
        <v>200</v>
      </c>
      <c r="H1851" s="223">
        <v>0.0</v>
      </c>
      <c r="J1851" s="223"/>
      <c r="K1851" s="317">
        <v>1899.0</v>
      </c>
    </row>
    <row r="1852">
      <c r="A1852" s="223"/>
      <c r="B1852" s="223" t="s">
        <v>200</v>
      </c>
      <c r="C1852" s="223"/>
      <c r="D1852" s="316"/>
      <c r="E1852" s="218"/>
      <c r="F1852" s="218"/>
      <c r="G1852" s="218" t="s">
        <v>200</v>
      </c>
      <c r="H1852" s="223">
        <v>0.0</v>
      </c>
      <c r="J1852" s="223"/>
      <c r="K1852" s="317">
        <v>1899.0</v>
      </c>
    </row>
    <row r="1853">
      <c r="A1853" s="223"/>
      <c r="B1853" s="223" t="s">
        <v>200</v>
      </c>
      <c r="C1853" s="223"/>
      <c r="D1853" s="316"/>
      <c r="E1853" s="218"/>
      <c r="F1853" s="218"/>
      <c r="G1853" s="218" t="s">
        <v>200</v>
      </c>
      <c r="H1853" s="223">
        <v>0.0</v>
      </c>
      <c r="J1853" s="223"/>
      <c r="K1853" s="317">
        <v>1899.0</v>
      </c>
    </row>
    <row r="1854">
      <c r="A1854" s="223"/>
      <c r="B1854" s="223" t="s">
        <v>200</v>
      </c>
      <c r="C1854" s="223"/>
      <c r="D1854" s="316"/>
      <c r="E1854" s="218"/>
      <c r="F1854" s="218"/>
      <c r="G1854" s="218" t="s">
        <v>200</v>
      </c>
      <c r="H1854" s="223">
        <v>0.0</v>
      </c>
      <c r="J1854" s="223"/>
      <c r="K1854" s="317">
        <v>1899.0</v>
      </c>
    </row>
    <row r="1855">
      <c r="A1855" s="223"/>
      <c r="B1855" s="223" t="s">
        <v>200</v>
      </c>
      <c r="C1855" s="223"/>
      <c r="D1855" s="316"/>
      <c r="E1855" s="218"/>
      <c r="F1855" s="218"/>
      <c r="G1855" s="218" t="s">
        <v>200</v>
      </c>
      <c r="H1855" s="223">
        <v>0.0</v>
      </c>
      <c r="J1855" s="223"/>
      <c r="K1855" s="317">
        <v>1899.0</v>
      </c>
    </row>
    <row r="1856">
      <c r="A1856" s="223"/>
      <c r="B1856" s="223" t="s">
        <v>200</v>
      </c>
      <c r="C1856" s="223"/>
      <c r="D1856" s="316"/>
      <c r="E1856" s="218"/>
      <c r="F1856" s="218"/>
      <c r="G1856" s="218" t="s">
        <v>200</v>
      </c>
      <c r="H1856" s="223">
        <v>0.0</v>
      </c>
      <c r="J1856" s="223"/>
      <c r="K1856" s="317">
        <v>1899.0</v>
      </c>
    </row>
    <row r="1857">
      <c r="A1857" s="223"/>
      <c r="B1857" s="223" t="s">
        <v>200</v>
      </c>
      <c r="C1857" s="223"/>
      <c r="D1857" s="316"/>
      <c r="E1857" s="218"/>
      <c r="F1857" s="218"/>
      <c r="G1857" s="218" t="s">
        <v>200</v>
      </c>
      <c r="H1857" s="223">
        <v>0.0</v>
      </c>
      <c r="J1857" s="223"/>
      <c r="K1857" s="317">
        <v>1899.0</v>
      </c>
    </row>
    <row r="1858">
      <c r="A1858" s="223"/>
      <c r="B1858" s="223" t="s">
        <v>200</v>
      </c>
      <c r="C1858" s="223"/>
      <c r="D1858" s="316"/>
      <c r="E1858" s="218"/>
      <c r="F1858" s="218"/>
      <c r="G1858" s="218" t="s">
        <v>200</v>
      </c>
      <c r="H1858" s="223">
        <v>0.0</v>
      </c>
      <c r="J1858" s="223"/>
      <c r="K1858" s="317">
        <v>1899.0</v>
      </c>
    </row>
    <row r="1859">
      <c r="A1859" s="223"/>
      <c r="B1859" s="223" t="s">
        <v>200</v>
      </c>
      <c r="C1859" s="223"/>
      <c r="D1859" s="316"/>
      <c r="E1859" s="218"/>
      <c r="F1859" s="218"/>
      <c r="G1859" s="218" t="s">
        <v>200</v>
      </c>
      <c r="H1859" s="223">
        <v>0.0</v>
      </c>
      <c r="J1859" s="223"/>
      <c r="K1859" s="317">
        <v>1899.0</v>
      </c>
    </row>
    <row r="1860">
      <c r="A1860" s="223"/>
      <c r="B1860" s="223" t="s">
        <v>200</v>
      </c>
      <c r="C1860" s="223"/>
      <c r="D1860" s="316"/>
      <c r="E1860" s="218"/>
      <c r="F1860" s="218"/>
      <c r="G1860" s="218" t="s">
        <v>200</v>
      </c>
      <c r="H1860" s="223">
        <v>0.0</v>
      </c>
      <c r="J1860" s="223"/>
      <c r="K1860" s="317">
        <v>1899.0</v>
      </c>
    </row>
    <row r="1861">
      <c r="A1861" s="223"/>
      <c r="B1861" s="223" t="s">
        <v>200</v>
      </c>
      <c r="C1861" s="223"/>
      <c r="D1861" s="316"/>
      <c r="E1861" s="218"/>
      <c r="F1861" s="218"/>
      <c r="G1861" s="218" t="s">
        <v>200</v>
      </c>
      <c r="H1861" s="223">
        <v>0.0</v>
      </c>
      <c r="J1861" s="223"/>
      <c r="K1861" s="317">
        <v>1899.0</v>
      </c>
    </row>
    <row r="1862">
      <c r="A1862" s="223"/>
      <c r="B1862" s="223" t="s">
        <v>200</v>
      </c>
      <c r="C1862" s="223"/>
      <c r="D1862" s="316"/>
      <c r="E1862" s="218"/>
      <c r="F1862" s="218"/>
      <c r="G1862" s="218" t="s">
        <v>200</v>
      </c>
      <c r="H1862" s="223">
        <v>0.0</v>
      </c>
      <c r="J1862" s="223"/>
      <c r="K1862" s="317">
        <v>1899.0</v>
      </c>
    </row>
    <row r="1863">
      <c r="A1863" s="223"/>
      <c r="B1863" s="223" t="s">
        <v>200</v>
      </c>
      <c r="C1863" s="223"/>
      <c r="D1863" s="316"/>
      <c r="E1863" s="218"/>
      <c r="F1863" s="218"/>
      <c r="G1863" s="218" t="s">
        <v>200</v>
      </c>
      <c r="H1863" s="223">
        <v>0.0</v>
      </c>
      <c r="J1863" s="223"/>
      <c r="K1863" s="317">
        <v>1899.0</v>
      </c>
    </row>
    <row r="1864">
      <c r="A1864" s="223"/>
      <c r="B1864" s="223" t="s">
        <v>200</v>
      </c>
      <c r="C1864" s="223"/>
      <c r="D1864" s="316"/>
      <c r="E1864" s="218"/>
      <c r="F1864" s="218"/>
      <c r="G1864" s="218" t="s">
        <v>200</v>
      </c>
      <c r="H1864" s="223">
        <v>0.0</v>
      </c>
      <c r="J1864" s="223"/>
      <c r="K1864" s="317">
        <v>1899.0</v>
      </c>
    </row>
    <row r="1865">
      <c r="A1865" s="223"/>
      <c r="B1865" s="223" t="s">
        <v>200</v>
      </c>
      <c r="C1865" s="223"/>
      <c r="D1865" s="316"/>
      <c r="E1865" s="218"/>
      <c r="F1865" s="218"/>
      <c r="G1865" s="218" t="s">
        <v>200</v>
      </c>
      <c r="H1865" s="223">
        <v>0.0</v>
      </c>
      <c r="J1865" s="223"/>
      <c r="K1865" s="317">
        <v>1899.0</v>
      </c>
    </row>
    <row r="1866">
      <c r="A1866" s="223"/>
      <c r="B1866" s="223" t="s">
        <v>200</v>
      </c>
      <c r="C1866" s="223"/>
      <c r="D1866" s="316"/>
      <c r="E1866" s="218"/>
      <c r="F1866" s="218"/>
      <c r="G1866" s="218" t="s">
        <v>200</v>
      </c>
      <c r="H1866" s="223">
        <v>0.0</v>
      </c>
      <c r="J1866" s="223"/>
      <c r="K1866" s="317">
        <v>1899.0</v>
      </c>
    </row>
    <row r="1867">
      <c r="A1867" s="223"/>
      <c r="B1867" s="223" t="s">
        <v>200</v>
      </c>
      <c r="C1867" s="223"/>
      <c r="D1867" s="316"/>
      <c r="E1867" s="218"/>
      <c r="F1867" s="218"/>
      <c r="G1867" s="218" t="s">
        <v>200</v>
      </c>
      <c r="H1867" s="223">
        <v>0.0</v>
      </c>
      <c r="J1867" s="223"/>
      <c r="K1867" s="317">
        <v>1899.0</v>
      </c>
    </row>
    <row r="1868">
      <c r="A1868" s="223"/>
      <c r="B1868" s="223" t="s">
        <v>200</v>
      </c>
      <c r="C1868" s="223"/>
      <c r="D1868" s="316"/>
      <c r="E1868" s="218"/>
      <c r="F1868" s="218"/>
      <c r="G1868" s="218" t="s">
        <v>200</v>
      </c>
      <c r="H1868" s="223">
        <v>0.0</v>
      </c>
      <c r="J1868" s="223"/>
      <c r="K1868" s="317">
        <v>1899.0</v>
      </c>
    </row>
    <row r="1869">
      <c r="A1869" s="223"/>
      <c r="B1869" s="223" t="s">
        <v>200</v>
      </c>
      <c r="C1869" s="223"/>
      <c r="D1869" s="316"/>
      <c r="E1869" s="218"/>
      <c r="F1869" s="218"/>
      <c r="G1869" s="218" t="s">
        <v>200</v>
      </c>
      <c r="H1869" s="223">
        <v>0.0</v>
      </c>
      <c r="J1869" s="223"/>
      <c r="K1869" s="317">
        <v>1899.0</v>
      </c>
    </row>
    <row r="1870">
      <c r="A1870" s="223"/>
      <c r="B1870" s="223" t="s">
        <v>200</v>
      </c>
      <c r="C1870" s="223"/>
      <c r="D1870" s="316"/>
      <c r="E1870" s="218"/>
      <c r="F1870" s="218"/>
      <c r="G1870" s="218" t="s">
        <v>200</v>
      </c>
      <c r="H1870" s="223">
        <v>0.0</v>
      </c>
      <c r="J1870" s="223"/>
      <c r="K1870" s="317">
        <v>1899.0</v>
      </c>
    </row>
    <row r="1871">
      <c r="A1871" s="223"/>
      <c r="B1871" s="223" t="s">
        <v>200</v>
      </c>
      <c r="C1871" s="223"/>
      <c r="D1871" s="316"/>
      <c r="E1871" s="218"/>
      <c r="F1871" s="218"/>
      <c r="G1871" s="218" t="s">
        <v>200</v>
      </c>
      <c r="H1871" s="223">
        <v>0.0</v>
      </c>
      <c r="J1871" s="223"/>
      <c r="K1871" s="317">
        <v>1899.0</v>
      </c>
    </row>
    <row r="1872">
      <c r="A1872" s="223"/>
      <c r="B1872" s="223" t="s">
        <v>200</v>
      </c>
      <c r="C1872" s="223"/>
      <c r="D1872" s="316"/>
      <c r="E1872" s="218"/>
      <c r="F1872" s="218"/>
      <c r="G1872" s="218" t="s">
        <v>200</v>
      </c>
      <c r="H1872" s="223">
        <v>0.0</v>
      </c>
      <c r="J1872" s="223"/>
      <c r="K1872" s="317">
        <v>1899.0</v>
      </c>
    </row>
    <row r="1873">
      <c r="A1873" s="223"/>
      <c r="B1873" s="223" t="s">
        <v>200</v>
      </c>
      <c r="C1873" s="223"/>
      <c r="D1873" s="316"/>
      <c r="E1873" s="218"/>
      <c r="F1873" s="218"/>
      <c r="G1873" s="218" t="s">
        <v>200</v>
      </c>
      <c r="H1873" s="223">
        <v>0.0</v>
      </c>
      <c r="J1873" s="223"/>
      <c r="K1873" s="317">
        <v>1899.0</v>
      </c>
    </row>
    <row r="1874">
      <c r="A1874" s="223"/>
      <c r="B1874" s="223" t="s">
        <v>200</v>
      </c>
      <c r="C1874" s="223"/>
      <c r="D1874" s="316"/>
      <c r="E1874" s="218"/>
      <c r="F1874" s="218"/>
      <c r="G1874" s="218" t="s">
        <v>200</v>
      </c>
      <c r="H1874" s="223">
        <v>0.0</v>
      </c>
      <c r="J1874" s="223"/>
      <c r="K1874" s="317">
        <v>1899.0</v>
      </c>
    </row>
    <row r="1875">
      <c r="A1875" s="223"/>
      <c r="B1875" s="223" t="s">
        <v>200</v>
      </c>
      <c r="C1875" s="223"/>
      <c r="D1875" s="316"/>
      <c r="E1875" s="218"/>
      <c r="F1875" s="218"/>
      <c r="G1875" s="218" t="s">
        <v>200</v>
      </c>
      <c r="H1875" s="223">
        <v>0.0</v>
      </c>
      <c r="J1875" s="223"/>
      <c r="K1875" s="317">
        <v>1899.0</v>
      </c>
    </row>
    <row r="1876">
      <c r="A1876" s="223"/>
      <c r="B1876" s="223" t="s">
        <v>200</v>
      </c>
      <c r="C1876" s="223"/>
      <c r="D1876" s="316"/>
      <c r="E1876" s="218"/>
      <c r="F1876" s="218"/>
      <c r="G1876" s="218" t="s">
        <v>200</v>
      </c>
      <c r="H1876" s="223">
        <v>0.0</v>
      </c>
      <c r="J1876" s="223"/>
      <c r="K1876" s="317">
        <v>1899.0</v>
      </c>
    </row>
    <row r="1877">
      <c r="A1877" s="223"/>
      <c r="B1877" s="223" t="s">
        <v>200</v>
      </c>
      <c r="C1877" s="223"/>
      <c r="D1877" s="316"/>
      <c r="E1877" s="218"/>
      <c r="F1877" s="218"/>
      <c r="G1877" s="218" t="s">
        <v>200</v>
      </c>
      <c r="H1877" s="223">
        <v>0.0</v>
      </c>
      <c r="J1877" s="223"/>
      <c r="K1877" s="317">
        <v>1899.0</v>
      </c>
    </row>
    <row r="1878">
      <c r="A1878" s="223"/>
      <c r="B1878" s="223" t="s">
        <v>200</v>
      </c>
      <c r="C1878" s="223"/>
      <c r="D1878" s="316"/>
      <c r="E1878" s="218"/>
      <c r="F1878" s="218"/>
      <c r="G1878" s="218" t="s">
        <v>200</v>
      </c>
      <c r="H1878" s="223">
        <v>0.0</v>
      </c>
      <c r="J1878" s="223"/>
      <c r="K1878" s="317">
        <v>1899.0</v>
      </c>
    </row>
    <row r="1879">
      <c r="A1879" s="223"/>
      <c r="B1879" s="223" t="s">
        <v>200</v>
      </c>
      <c r="C1879" s="223"/>
      <c r="D1879" s="316"/>
      <c r="E1879" s="218"/>
      <c r="F1879" s="218"/>
      <c r="G1879" s="218" t="s">
        <v>200</v>
      </c>
      <c r="H1879" s="223">
        <v>0.0</v>
      </c>
      <c r="J1879" s="223"/>
      <c r="K1879" s="317">
        <v>1899.0</v>
      </c>
    </row>
    <row r="1880">
      <c r="A1880" s="223"/>
      <c r="B1880" s="223" t="s">
        <v>200</v>
      </c>
      <c r="C1880" s="223"/>
      <c r="D1880" s="316"/>
      <c r="E1880" s="218"/>
      <c r="F1880" s="218"/>
      <c r="G1880" s="218" t="s">
        <v>200</v>
      </c>
      <c r="H1880" s="223">
        <v>0.0</v>
      </c>
      <c r="J1880" s="223"/>
      <c r="K1880" s="317">
        <v>1899.0</v>
      </c>
    </row>
    <row r="1881">
      <c r="A1881" s="223"/>
      <c r="B1881" s="223" t="s">
        <v>200</v>
      </c>
      <c r="C1881" s="223"/>
      <c r="D1881" s="316"/>
      <c r="E1881" s="218"/>
      <c r="F1881" s="218"/>
      <c r="G1881" s="218" t="s">
        <v>200</v>
      </c>
      <c r="H1881" s="223">
        <v>0.0</v>
      </c>
      <c r="J1881" s="223"/>
      <c r="K1881" s="317">
        <v>1899.0</v>
      </c>
    </row>
    <row r="1882">
      <c r="A1882" s="223"/>
      <c r="B1882" s="223" t="s">
        <v>200</v>
      </c>
      <c r="C1882" s="223"/>
      <c r="D1882" s="316"/>
      <c r="E1882" s="218"/>
      <c r="F1882" s="218"/>
      <c r="G1882" s="218" t="s">
        <v>200</v>
      </c>
      <c r="H1882" s="223">
        <v>0.0</v>
      </c>
      <c r="J1882" s="223"/>
      <c r="K1882" s="317">
        <v>1899.0</v>
      </c>
    </row>
    <row r="1883">
      <c r="A1883" s="223"/>
      <c r="B1883" s="223" t="s">
        <v>200</v>
      </c>
      <c r="C1883" s="223"/>
      <c r="D1883" s="316"/>
      <c r="E1883" s="218"/>
      <c r="F1883" s="218"/>
      <c r="G1883" s="218" t="s">
        <v>200</v>
      </c>
      <c r="H1883" s="223">
        <v>0.0</v>
      </c>
      <c r="J1883" s="223"/>
      <c r="K1883" s="317">
        <v>1899.0</v>
      </c>
    </row>
    <row r="1884">
      <c r="A1884" s="223"/>
      <c r="B1884" s="223" t="s">
        <v>200</v>
      </c>
      <c r="C1884" s="223"/>
      <c r="D1884" s="316"/>
      <c r="E1884" s="218"/>
      <c r="F1884" s="218"/>
      <c r="G1884" s="218" t="s">
        <v>200</v>
      </c>
      <c r="H1884" s="223">
        <v>0.0</v>
      </c>
      <c r="J1884" s="223"/>
      <c r="K1884" s="317">
        <v>1899.0</v>
      </c>
    </row>
    <row r="1885">
      <c r="A1885" s="223"/>
      <c r="B1885" s="223" t="s">
        <v>200</v>
      </c>
      <c r="C1885" s="223"/>
      <c r="D1885" s="316"/>
      <c r="E1885" s="218"/>
      <c r="F1885" s="218"/>
      <c r="G1885" s="218" t="s">
        <v>200</v>
      </c>
      <c r="H1885" s="223">
        <v>0.0</v>
      </c>
      <c r="J1885" s="223"/>
      <c r="K1885" s="317">
        <v>1899.0</v>
      </c>
    </row>
    <row r="1886">
      <c r="A1886" s="223"/>
      <c r="B1886" s="223" t="s">
        <v>200</v>
      </c>
      <c r="C1886" s="223"/>
      <c r="D1886" s="316"/>
      <c r="E1886" s="218"/>
      <c r="F1886" s="218"/>
      <c r="G1886" s="218" t="s">
        <v>200</v>
      </c>
      <c r="H1886" s="223">
        <v>0.0</v>
      </c>
      <c r="J1886" s="223"/>
      <c r="K1886" s="317">
        <v>1899.0</v>
      </c>
    </row>
    <row r="1887">
      <c r="A1887" s="223"/>
      <c r="B1887" s="223" t="s">
        <v>200</v>
      </c>
      <c r="C1887" s="223"/>
      <c r="D1887" s="316"/>
      <c r="E1887" s="218"/>
      <c r="F1887" s="218"/>
      <c r="G1887" s="218" t="s">
        <v>200</v>
      </c>
      <c r="H1887" s="223">
        <v>0.0</v>
      </c>
      <c r="J1887" s="223"/>
      <c r="K1887" s="317">
        <v>1899.0</v>
      </c>
    </row>
    <row r="1888">
      <c r="A1888" s="223"/>
      <c r="B1888" s="223" t="s">
        <v>200</v>
      </c>
      <c r="C1888" s="223"/>
      <c r="D1888" s="316"/>
      <c r="E1888" s="218"/>
      <c r="F1888" s="218"/>
      <c r="G1888" s="218" t="s">
        <v>200</v>
      </c>
      <c r="H1888" s="223">
        <v>0.0</v>
      </c>
      <c r="J1888" s="223"/>
      <c r="K1888" s="317">
        <v>1899.0</v>
      </c>
    </row>
    <row r="1889">
      <c r="A1889" s="223"/>
      <c r="B1889" s="223" t="s">
        <v>200</v>
      </c>
      <c r="C1889" s="223"/>
      <c r="D1889" s="316"/>
      <c r="E1889" s="218"/>
      <c r="F1889" s="218"/>
      <c r="G1889" s="218" t="s">
        <v>200</v>
      </c>
      <c r="H1889" s="223">
        <v>0.0</v>
      </c>
      <c r="J1889" s="223"/>
      <c r="K1889" s="317">
        <v>1899.0</v>
      </c>
    </row>
    <row r="1890">
      <c r="A1890" s="223"/>
      <c r="B1890" s="223" t="s">
        <v>200</v>
      </c>
      <c r="C1890" s="223"/>
      <c r="D1890" s="316"/>
      <c r="E1890" s="218"/>
      <c r="F1890" s="218"/>
      <c r="G1890" s="218" t="s">
        <v>200</v>
      </c>
      <c r="H1890" s="223">
        <v>0.0</v>
      </c>
      <c r="J1890" s="223"/>
      <c r="K1890" s="317">
        <v>1899.0</v>
      </c>
    </row>
    <row r="1891">
      <c r="A1891" s="223"/>
      <c r="B1891" s="223" t="s">
        <v>200</v>
      </c>
      <c r="C1891" s="223"/>
      <c r="D1891" s="316"/>
      <c r="E1891" s="218"/>
      <c r="F1891" s="218"/>
      <c r="G1891" s="218" t="s">
        <v>200</v>
      </c>
      <c r="H1891" s="223">
        <v>0.0</v>
      </c>
      <c r="J1891" s="223"/>
      <c r="K1891" s="317">
        <v>1899.0</v>
      </c>
    </row>
    <row r="1892">
      <c r="A1892" s="223"/>
      <c r="B1892" s="223" t="s">
        <v>200</v>
      </c>
      <c r="C1892" s="223"/>
      <c r="D1892" s="316"/>
      <c r="E1892" s="218"/>
      <c r="F1892" s="218"/>
      <c r="G1892" s="218" t="s">
        <v>200</v>
      </c>
      <c r="H1892" s="223">
        <v>0.0</v>
      </c>
      <c r="J1892" s="223"/>
      <c r="K1892" s="317">
        <v>1899.0</v>
      </c>
    </row>
    <row r="1893">
      <c r="A1893" s="223"/>
      <c r="B1893" s="223" t="s">
        <v>200</v>
      </c>
      <c r="C1893" s="223"/>
      <c r="D1893" s="316"/>
      <c r="E1893" s="218"/>
      <c r="F1893" s="218"/>
      <c r="G1893" s="218" t="s">
        <v>200</v>
      </c>
      <c r="H1893" s="223">
        <v>0.0</v>
      </c>
      <c r="J1893" s="223"/>
      <c r="K1893" s="317">
        <v>1899.0</v>
      </c>
    </row>
    <row r="1894">
      <c r="A1894" s="223"/>
      <c r="B1894" s="223" t="s">
        <v>200</v>
      </c>
      <c r="C1894" s="223"/>
      <c r="D1894" s="316"/>
      <c r="E1894" s="218"/>
      <c r="F1894" s="218"/>
      <c r="G1894" s="218" t="s">
        <v>200</v>
      </c>
      <c r="H1894" s="223">
        <v>0.0</v>
      </c>
      <c r="J1894" s="223"/>
      <c r="K1894" s="317">
        <v>1899.0</v>
      </c>
    </row>
    <row r="1895">
      <c r="A1895" s="223"/>
      <c r="B1895" s="223" t="s">
        <v>200</v>
      </c>
      <c r="C1895" s="223"/>
      <c r="D1895" s="316"/>
      <c r="E1895" s="218"/>
      <c r="F1895" s="218"/>
      <c r="G1895" s="218" t="s">
        <v>200</v>
      </c>
      <c r="H1895" s="223">
        <v>0.0</v>
      </c>
      <c r="J1895" s="223"/>
      <c r="K1895" s="317">
        <v>1899.0</v>
      </c>
    </row>
    <row r="1896">
      <c r="A1896" s="223"/>
      <c r="B1896" s="223" t="s">
        <v>200</v>
      </c>
      <c r="C1896" s="223"/>
      <c r="D1896" s="316"/>
      <c r="E1896" s="218"/>
      <c r="F1896" s="218"/>
      <c r="G1896" s="218" t="s">
        <v>200</v>
      </c>
      <c r="H1896" s="223">
        <v>0.0</v>
      </c>
      <c r="J1896" s="223"/>
      <c r="K1896" s="317">
        <v>1899.0</v>
      </c>
    </row>
    <row r="1897">
      <c r="A1897" s="223"/>
      <c r="B1897" s="223" t="s">
        <v>200</v>
      </c>
      <c r="C1897" s="223"/>
      <c r="D1897" s="316"/>
      <c r="E1897" s="218"/>
      <c r="F1897" s="218"/>
      <c r="G1897" s="218" t="s">
        <v>200</v>
      </c>
      <c r="H1897" s="223">
        <v>0.0</v>
      </c>
      <c r="J1897" s="223"/>
      <c r="K1897" s="317">
        <v>1899.0</v>
      </c>
    </row>
    <row r="1898">
      <c r="A1898" s="223"/>
      <c r="B1898" s="223" t="s">
        <v>200</v>
      </c>
      <c r="C1898" s="223"/>
      <c r="D1898" s="316"/>
      <c r="E1898" s="218"/>
      <c r="F1898" s="218"/>
      <c r="G1898" s="218" t="s">
        <v>200</v>
      </c>
      <c r="H1898" s="223">
        <v>0.0</v>
      </c>
      <c r="J1898" s="223"/>
      <c r="K1898" s="317">
        <v>1899.0</v>
      </c>
    </row>
    <row r="1899">
      <c r="A1899" s="223"/>
      <c r="B1899" s="223" t="s">
        <v>200</v>
      </c>
      <c r="C1899" s="223"/>
      <c r="D1899" s="316"/>
      <c r="E1899" s="218"/>
      <c r="F1899" s="218"/>
      <c r="G1899" s="218" t="s">
        <v>200</v>
      </c>
      <c r="H1899" s="223">
        <v>0.0</v>
      </c>
      <c r="J1899" s="223"/>
      <c r="K1899" s="317">
        <v>1899.0</v>
      </c>
    </row>
    <row r="1900">
      <c r="A1900" s="223"/>
      <c r="B1900" s="223" t="s">
        <v>200</v>
      </c>
      <c r="C1900" s="223"/>
      <c r="D1900" s="316"/>
      <c r="E1900" s="218"/>
      <c r="F1900" s="218"/>
      <c r="G1900" s="218" t="s">
        <v>200</v>
      </c>
      <c r="H1900" s="223">
        <v>0.0</v>
      </c>
      <c r="J1900" s="223"/>
      <c r="K1900" s="317">
        <v>1899.0</v>
      </c>
    </row>
    <row r="1901">
      <c r="A1901" s="223"/>
      <c r="B1901" s="223" t="s">
        <v>200</v>
      </c>
      <c r="C1901" s="223"/>
      <c r="D1901" s="316"/>
      <c r="E1901" s="218"/>
      <c r="F1901" s="218"/>
      <c r="G1901" s="218" t="s">
        <v>200</v>
      </c>
      <c r="H1901" s="223">
        <v>0.0</v>
      </c>
      <c r="J1901" s="223"/>
      <c r="K1901" s="317">
        <v>1899.0</v>
      </c>
    </row>
    <row r="1902">
      <c r="A1902" s="223"/>
      <c r="B1902" s="223" t="s">
        <v>200</v>
      </c>
      <c r="C1902" s="223"/>
      <c r="D1902" s="316"/>
      <c r="E1902" s="218"/>
      <c r="F1902" s="218"/>
      <c r="G1902" s="218" t="s">
        <v>200</v>
      </c>
      <c r="H1902" s="223">
        <v>0.0</v>
      </c>
      <c r="J1902" s="223"/>
      <c r="K1902" s="317">
        <v>1899.0</v>
      </c>
    </row>
    <row r="1903">
      <c r="A1903" s="223"/>
      <c r="B1903" s="223" t="s">
        <v>200</v>
      </c>
      <c r="C1903" s="223"/>
      <c r="D1903" s="316"/>
      <c r="E1903" s="218"/>
      <c r="F1903" s="218"/>
      <c r="G1903" s="218" t="s">
        <v>200</v>
      </c>
      <c r="H1903" s="223">
        <v>0.0</v>
      </c>
      <c r="J1903" s="223"/>
      <c r="K1903" s="317">
        <v>1899.0</v>
      </c>
    </row>
    <row r="1904">
      <c r="A1904" s="223"/>
      <c r="B1904" s="223" t="s">
        <v>200</v>
      </c>
      <c r="C1904" s="223"/>
      <c r="D1904" s="316"/>
      <c r="E1904" s="218"/>
      <c r="F1904" s="218"/>
      <c r="G1904" s="218" t="s">
        <v>200</v>
      </c>
      <c r="H1904" s="223">
        <v>0.0</v>
      </c>
      <c r="J1904" s="223"/>
      <c r="K1904" s="317">
        <v>1899.0</v>
      </c>
    </row>
    <row r="1905">
      <c r="A1905" s="223"/>
      <c r="B1905" s="223" t="s">
        <v>200</v>
      </c>
      <c r="C1905" s="223"/>
      <c r="D1905" s="316"/>
      <c r="E1905" s="218"/>
      <c r="F1905" s="218"/>
      <c r="G1905" s="218" t="s">
        <v>200</v>
      </c>
      <c r="H1905" s="223">
        <v>0.0</v>
      </c>
      <c r="J1905" s="223"/>
      <c r="K1905" s="317">
        <v>1899.0</v>
      </c>
    </row>
    <row r="1906">
      <c r="A1906" s="223"/>
      <c r="B1906" s="223" t="s">
        <v>200</v>
      </c>
      <c r="C1906" s="223"/>
      <c r="D1906" s="316"/>
      <c r="E1906" s="218"/>
      <c r="F1906" s="218"/>
      <c r="G1906" s="218" t="s">
        <v>200</v>
      </c>
      <c r="H1906" s="223">
        <v>0.0</v>
      </c>
      <c r="J1906" s="223"/>
      <c r="K1906" s="317">
        <v>1899.0</v>
      </c>
    </row>
    <row r="1907">
      <c r="A1907" s="223"/>
      <c r="B1907" s="223" t="s">
        <v>200</v>
      </c>
      <c r="C1907" s="223"/>
      <c r="D1907" s="316"/>
      <c r="E1907" s="218"/>
      <c r="F1907" s="218"/>
      <c r="G1907" s="218" t="s">
        <v>200</v>
      </c>
      <c r="H1907" s="223">
        <v>0.0</v>
      </c>
      <c r="J1907" s="223"/>
      <c r="K1907" s="317">
        <v>1899.0</v>
      </c>
    </row>
    <row r="1908">
      <c r="A1908" s="223"/>
      <c r="B1908" s="223" t="s">
        <v>200</v>
      </c>
      <c r="C1908" s="223"/>
      <c r="D1908" s="316"/>
      <c r="E1908" s="218"/>
      <c r="F1908" s="218"/>
      <c r="G1908" s="218" t="s">
        <v>200</v>
      </c>
      <c r="H1908" s="223">
        <v>0.0</v>
      </c>
      <c r="J1908" s="223"/>
      <c r="K1908" s="317">
        <v>1899.0</v>
      </c>
    </row>
    <row r="1909">
      <c r="A1909" s="223"/>
      <c r="B1909" s="223" t="s">
        <v>200</v>
      </c>
      <c r="C1909" s="223"/>
      <c r="D1909" s="316"/>
      <c r="E1909" s="218"/>
      <c r="F1909" s="218"/>
      <c r="G1909" s="218" t="s">
        <v>200</v>
      </c>
      <c r="H1909" s="223">
        <v>0.0</v>
      </c>
      <c r="J1909" s="223"/>
      <c r="K1909" s="317">
        <v>1899.0</v>
      </c>
    </row>
    <row r="1910">
      <c r="A1910" s="223"/>
      <c r="B1910" s="223" t="s">
        <v>200</v>
      </c>
      <c r="C1910" s="223"/>
      <c r="D1910" s="316"/>
      <c r="E1910" s="218"/>
      <c r="F1910" s="218"/>
      <c r="G1910" s="218" t="s">
        <v>200</v>
      </c>
      <c r="H1910" s="223">
        <v>0.0</v>
      </c>
      <c r="J1910" s="223"/>
      <c r="K1910" s="317">
        <v>1899.0</v>
      </c>
    </row>
    <row r="1911">
      <c r="A1911" s="223"/>
      <c r="B1911" s="223" t="s">
        <v>200</v>
      </c>
      <c r="C1911" s="223"/>
      <c r="D1911" s="316"/>
      <c r="E1911" s="218"/>
      <c r="F1911" s="218"/>
      <c r="G1911" s="218" t="s">
        <v>200</v>
      </c>
      <c r="H1911" s="223">
        <v>0.0</v>
      </c>
      <c r="J1911" s="223"/>
      <c r="K1911" s="317">
        <v>1899.0</v>
      </c>
    </row>
    <row r="1912">
      <c r="A1912" s="223"/>
      <c r="B1912" s="223" t="s">
        <v>200</v>
      </c>
      <c r="C1912" s="223"/>
      <c r="D1912" s="316"/>
      <c r="E1912" s="218"/>
      <c r="F1912" s="218"/>
      <c r="G1912" s="218" t="s">
        <v>200</v>
      </c>
      <c r="H1912" s="223">
        <v>0.0</v>
      </c>
      <c r="J1912" s="223"/>
      <c r="K1912" s="317">
        <v>1899.0</v>
      </c>
    </row>
    <row r="1913">
      <c r="A1913" s="223"/>
      <c r="B1913" s="223" t="s">
        <v>200</v>
      </c>
      <c r="C1913" s="223"/>
      <c r="D1913" s="316"/>
      <c r="E1913" s="218"/>
      <c r="F1913" s="218"/>
      <c r="G1913" s="218" t="s">
        <v>200</v>
      </c>
      <c r="H1913" s="223">
        <v>0.0</v>
      </c>
      <c r="J1913" s="223"/>
      <c r="K1913" s="317">
        <v>1899.0</v>
      </c>
    </row>
    <row r="1914">
      <c r="A1914" s="223"/>
      <c r="B1914" s="223" t="s">
        <v>200</v>
      </c>
      <c r="C1914" s="223"/>
      <c r="D1914" s="316"/>
      <c r="E1914" s="218"/>
      <c r="F1914" s="218"/>
      <c r="G1914" s="218" t="s">
        <v>200</v>
      </c>
      <c r="H1914" s="223">
        <v>0.0</v>
      </c>
      <c r="J1914" s="223"/>
      <c r="K1914" s="317">
        <v>1899.0</v>
      </c>
    </row>
    <row r="1915">
      <c r="A1915" s="223"/>
      <c r="B1915" s="223" t="s">
        <v>200</v>
      </c>
      <c r="C1915" s="223"/>
      <c r="D1915" s="316"/>
      <c r="E1915" s="218"/>
      <c r="F1915" s="218"/>
      <c r="G1915" s="218" t="s">
        <v>200</v>
      </c>
      <c r="H1915" s="223">
        <v>0.0</v>
      </c>
      <c r="J1915" s="223"/>
      <c r="K1915" s="317">
        <v>1899.0</v>
      </c>
    </row>
    <row r="1916">
      <c r="A1916" s="223"/>
      <c r="B1916" s="223" t="s">
        <v>200</v>
      </c>
      <c r="C1916" s="223"/>
      <c r="D1916" s="316"/>
      <c r="E1916" s="218"/>
      <c r="F1916" s="218"/>
      <c r="G1916" s="218" t="s">
        <v>200</v>
      </c>
      <c r="H1916" s="223">
        <v>0.0</v>
      </c>
      <c r="J1916" s="223"/>
      <c r="K1916" s="317">
        <v>1899.0</v>
      </c>
    </row>
    <row r="1917">
      <c r="A1917" s="223"/>
      <c r="B1917" s="223" t="s">
        <v>200</v>
      </c>
      <c r="C1917" s="223"/>
      <c r="D1917" s="316"/>
      <c r="E1917" s="218"/>
      <c r="F1917" s="218"/>
      <c r="G1917" s="218" t="s">
        <v>200</v>
      </c>
      <c r="H1917" s="223">
        <v>0.0</v>
      </c>
      <c r="J1917" s="223"/>
      <c r="K1917" s="317">
        <v>1899.0</v>
      </c>
    </row>
    <row r="1918">
      <c r="A1918" s="223"/>
      <c r="B1918" s="223" t="s">
        <v>200</v>
      </c>
      <c r="C1918" s="223"/>
      <c r="D1918" s="316"/>
      <c r="E1918" s="218"/>
      <c r="F1918" s="218"/>
      <c r="G1918" s="218" t="s">
        <v>200</v>
      </c>
      <c r="H1918" s="223">
        <v>0.0</v>
      </c>
      <c r="J1918" s="223"/>
      <c r="K1918" s="317">
        <v>1899.0</v>
      </c>
    </row>
    <row r="1919">
      <c r="A1919" s="223"/>
      <c r="B1919" s="223" t="s">
        <v>200</v>
      </c>
      <c r="C1919" s="223"/>
      <c r="D1919" s="316"/>
      <c r="E1919" s="218"/>
      <c r="F1919" s="218"/>
      <c r="G1919" s="218" t="s">
        <v>200</v>
      </c>
      <c r="H1919" s="223">
        <v>0.0</v>
      </c>
      <c r="J1919" s="223"/>
      <c r="K1919" s="317">
        <v>1899.0</v>
      </c>
    </row>
    <row r="1920">
      <c r="A1920" s="223"/>
      <c r="B1920" s="223" t="s">
        <v>200</v>
      </c>
      <c r="C1920" s="223"/>
      <c r="D1920" s="316"/>
      <c r="E1920" s="218"/>
      <c r="F1920" s="218"/>
      <c r="G1920" s="218" t="s">
        <v>200</v>
      </c>
      <c r="H1920" s="223">
        <v>0.0</v>
      </c>
      <c r="J1920" s="223"/>
      <c r="K1920" s="317">
        <v>1899.0</v>
      </c>
    </row>
    <row r="1921">
      <c r="A1921" s="223"/>
      <c r="B1921" s="223" t="s">
        <v>200</v>
      </c>
      <c r="C1921" s="223"/>
      <c r="D1921" s="316"/>
      <c r="E1921" s="218"/>
      <c r="F1921" s="218"/>
      <c r="G1921" s="218" t="s">
        <v>200</v>
      </c>
      <c r="H1921" s="223">
        <v>0.0</v>
      </c>
      <c r="J1921" s="223"/>
      <c r="K1921" s="317">
        <v>1899.0</v>
      </c>
    </row>
    <row r="1922">
      <c r="A1922" s="223"/>
      <c r="B1922" s="223" t="s">
        <v>200</v>
      </c>
      <c r="C1922" s="223"/>
      <c r="D1922" s="316"/>
      <c r="E1922" s="218"/>
      <c r="F1922" s="218"/>
      <c r="G1922" s="218" t="s">
        <v>200</v>
      </c>
      <c r="H1922" s="223">
        <v>0.0</v>
      </c>
      <c r="J1922" s="223"/>
      <c r="K1922" s="317">
        <v>1899.0</v>
      </c>
    </row>
    <row r="1923">
      <c r="A1923" s="223"/>
      <c r="B1923" s="223" t="s">
        <v>200</v>
      </c>
      <c r="C1923" s="223"/>
      <c r="D1923" s="316"/>
      <c r="E1923" s="218"/>
      <c r="F1923" s="218"/>
      <c r="G1923" s="218" t="s">
        <v>200</v>
      </c>
      <c r="H1923" s="223">
        <v>0.0</v>
      </c>
      <c r="J1923" s="223"/>
      <c r="K1923" s="317">
        <v>1899.0</v>
      </c>
    </row>
    <row r="1924">
      <c r="A1924" s="223"/>
      <c r="B1924" s="223" t="s">
        <v>200</v>
      </c>
      <c r="C1924" s="223"/>
      <c r="D1924" s="316"/>
      <c r="E1924" s="218"/>
      <c r="F1924" s="218"/>
      <c r="G1924" s="218" t="s">
        <v>200</v>
      </c>
      <c r="H1924" s="223">
        <v>0.0</v>
      </c>
      <c r="J1924" s="223"/>
      <c r="K1924" s="317">
        <v>1899.0</v>
      </c>
    </row>
    <row r="1925">
      <c r="A1925" s="223"/>
      <c r="B1925" s="223" t="s">
        <v>200</v>
      </c>
      <c r="C1925" s="223"/>
      <c r="D1925" s="316"/>
      <c r="E1925" s="218"/>
      <c r="F1925" s="218"/>
      <c r="G1925" s="218" t="s">
        <v>200</v>
      </c>
      <c r="H1925" s="223">
        <v>0.0</v>
      </c>
      <c r="J1925" s="223"/>
      <c r="K1925" s="317">
        <v>1899.0</v>
      </c>
    </row>
    <row r="1926">
      <c r="A1926" s="223"/>
      <c r="B1926" s="223" t="s">
        <v>200</v>
      </c>
      <c r="C1926" s="223"/>
      <c r="D1926" s="316"/>
      <c r="E1926" s="218"/>
      <c r="F1926" s="218"/>
      <c r="G1926" s="218" t="s">
        <v>200</v>
      </c>
      <c r="H1926" s="223">
        <v>0.0</v>
      </c>
      <c r="J1926" s="223"/>
      <c r="K1926" s="317">
        <v>1899.0</v>
      </c>
    </row>
    <row r="1927">
      <c r="A1927" s="223"/>
      <c r="B1927" s="223" t="s">
        <v>200</v>
      </c>
      <c r="C1927" s="223"/>
      <c r="D1927" s="316"/>
      <c r="E1927" s="218"/>
      <c r="F1927" s="218"/>
      <c r="G1927" s="218" t="s">
        <v>200</v>
      </c>
      <c r="H1927" s="223">
        <v>0.0</v>
      </c>
      <c r="J1927" s="223"/>
      <c r="K1927" s="317">
        <v>1899.0</v>
      </c>
    </row>
    <row r="1928">
      <c r="A1928" s="223"/>
      <c r="B1928" s="223" t="s">
        <v>200</v>
      </c>
      <c r="C1928" s="223"/>
      <c r="D1928" s="316"/>
      <c r="E1928" s="218"/>
      <c r="F1928" s="218"/>
      <c r="G1928" s="218" t="s">
        <v>200</v>
      </c>
      <c r="H1928" s="223">
        <v>0.0</v>
      </c>
      <c r="J1928" s="223"/>
      <c r="K1928" s="317">
        <v>1899.0</v>
      </c>
    </row>
    <row r="1929">
      <c r="A1929" s="223"/>
      <c r="B1929" s="223" t="s">
        <v>200</v>
      </c>
      <c r="C1929" s="223"/>
      <c r="D1929" s="316"/>
      <c r="E1929" s="218"/>
      <c r="F1929" s="218"/>
      <c r="G1929" s="218" t="s">
        <v>200</v>
      </c>
      <c r="H1929" s="223">
        <v>0.0</v>
      </c>
      <c r="J1929" s="223"/>
      <c r="K1929" s="317">
        <v>1899.0</v>
      </c>
    </row>
    <row r="1930">
      <c r="A1930" s="223"/>
      <c r="B1930" s="223" t="s">
        <v>200</v>
      </c>
      <c r="C1930" s="223"/>
      <c r="D1930" s="316"/>
      <c r="E1930" s="218"/>
      <c r="F1930" s="218"/>
      <c r="G1930" s="218" t="s">
        <v>200</v>
      </c>
      <c r="H1930" s="223">
        <v>0.0</v>
      </c>
      <c r="J1930" s="223"/>
      <c r="K1930" s="317">
        <v>1899.0</v>
      </c>
    </row>
    <row r="1931">
      <c r="A1931" s="223"/>
      <c r="B1931" s="223" t="s">
        <v>200</v>
      </c>
      <c r="C1931" s="223"/>
      <c r="D1931" s="316"/>
      <c r="E1931" s="218"/>
      <c r="F1931" s="218"/>
      <c r="G1931" s="218" t="s">
        <v>200</v>
      </c>
      <c r="H1931" s="223">
        <v>0.0</v>
      </c>
      <c r="J1931" s="223"/>
      <c r="K1931" s="317">
        <v>1899.0</v>
      </c>
    </row>
    <row r="1932">
      <c r="A1932" s="223"/>
      <c r="B1932" s="223" t="s">
        <v>200</v>
      </c>
      <c r="C1932" s="223"/>
      <c r="D1932" s="316"/>
      <c r="E1932" s="218"/>
      <c r="F1932" s="218"/>
      <c r="G1932" s="218" t="s">
        <v>200</v>
      </c>
      <c r="H1932" s="223">
        <v>0.0</v>
      </c>
      <c r="J1932" s="223"/>
      <c r="K1932" s="317">
        <v>1899.0</v>
      </c>
    </row>
    <row r="1933">
      <c r="A1933" s="223"/>
      <c r="B1933" s="223" t="s">
        <v>200</v>
      </c>
      <c r="C1933" s="223"/>
      <c r="D1933" s="316"/>
      <c r="E1933" s="218"/>
      <c r="F1933" s="218"/>
      <c r="G1933" s="218" t="s">
        <v>200</v>
      </c>
      <c r="H1933" s="223">
        <v>0.0</v>
      </c>
      <c r="J1933" s="223"/>
      <c r="K1933" s="317">
        <v>1899.0</v>
      </c>
    </row>
    <row r="1934">
      <c r="A1934" s="223"/>
      <c r="B1934" s="223" t="s">
        <v>200</v>
      </c>
      <c r="C1934" s="223"/>
      <c r="D1934" s="316"/>
      <c r="E1934" s="218"/>
      <c r="F1934" s="218"/>
      <c r="G1934" s="218" t="s">
        <v>200</v>
      </c>
      <c r="H1934" s="223">
        <v>0.0</v>
      </c>
      <c r="J1934" s="223"/>
      <c r="K1934" s="317">
        <v>1899.0</v>
      </c>
    </row>
    <row r="1935">
      <c r="A1935" s="223"/>
      <c r="B1935" s="223" t="s">
        <v>200</v>
      </c>
      <c r="C1935" s="223"/>
      <c r="D1935" s="316"/>
      <c r="E1935" s="218"/>
      <c r="F1935" s="218"/>
      <c r="G1935" s="218" t="s">
        <v>200</v>
      </c>
      <c r="H1935" s="223">
        <v>0.0</v>
      </c>
      <c r="J1935" s="223"/>
      <c r="K1935" s="317">
        <v>1899.0</v>
      </c>
    </row>
    <row r="1936">
      <c r="A1936" s="223"/>
      <c r="B1936" s="223" t="s">
        <v>200</v>
      </c>
      <c r="C1936" s="223"/>
      <c r="D1936" s="316"/>
      <c r="E1936" s="218"/>
      <c r="F1936" s="218"/>
      <c r="G1936" s="218" t="s">
        <v>200</v>
      </c>
      <c r="H1936" s="223">
        <v>0.0</v>
      </c>
      <c r="J1936" s="223"/>
      <c r="K1936" s="317">
        <v>1899.0</v>
      </c>
    </row>
    <row r="1937">
      <c r="A1937" s="223"/>
      <c r="B1937" s="223" t="s">
        <v>200</v>
      </c>
      <c r="C1937" s="223"/>
      <c r="D1937" s="316"/>
      <c r="E1937" s="218"/>
      <c r="F1937" s="218"/>
      <c r="G1937" s="218" t="s">
        <v>200</v>
      </c>
      <c r="H1937" s="223">
        <v>0.0</v>
      </c>
      <c r="J1937" s="223"/>
      <c r="K1937" s="317">
        <v>1899.0</v>
      </c>
    </row>
    <row r="1938">
      <c r="A1938" s="223"/>
      <c r="B1938" s="223" t="s">
        <v>200</v>
      </c>
      <c r="C1938" s="223"/>
      <c r="D1938" s="316"/>
      <c r="E1938" s="218"/>
      <c r="F1938" s="218"/>
      <c r="G1938" s="218" t="s">
        <v>200</v>
      </c>
      <c r="H1938" s="223">
        <v>0.0</v>
      </c>
      <c r="J1938" s="223"/>
      <c r="K1938" s="317">
        <v>1899.0</v>
      </c>
    </row>
    <row r="1939">
      <c r="A1939" s="223"/>
      <c r="B1939" s="223" t="s">
        <v>200</v>
      </c>
      <c r="C1939" s="223"/>
      <c r="D1939" s="316"/>
      <c r="E1939" s="218"/>
      <c r="F1939" s="218"/>
      <c r="G1939" s="218" t="s">
        <v>200</v>
      </c>
      <c r="H1939" s="223">
        <v>0.0</v>
      </c>
      <c r="J1939" s="223"/>
      <c r="K1939" s="317">
        <v>1899.0</v>
      </c>
    </row>
    <row r="1940">
      <c r="A1940" s="223"/>
      <c r="B1940" s="223" t="s">
        <v>200</v>
      </c>
      <c r="C1940" s="223"/>
      <c r="D1940" s="316"/>
      <c r="E1940" s="218"/>
      <c r="F1940" s="218"/>
      <c r="G1940" s="218" t="s">
        <v>200</v>
      </c>
      <c r="H1940" s="223">
        <v>0.0</v>
      </c>
      <c r="J1940" s="223"/>
      <c r="K1940" s="317">
        <v>1899.0</v>
      </c>
    </row>
    <row r="1941">
      <c r="A1941" s="223"/>
      <c r="B1941" s="223" t="s">
        <v>200</v>
      </c>
      <c r="C1941" s="223"/>
      <c r="D1941" s="316"/>
      <c r="E1941" s="218"/>
      <c r="F1941" s="218"/>
      <c r="G1941" s="218" t="s">
        <v>200</v>
      </c>
      <c r="H1941" s="223">
        <v>0.0</v>
      </c>
      <c r="J1941" s="223"/>
      <c r="K1941" s="317">
        <v>1899.0</v>
      </c>
    </row>
    <row r="1942">
      <c r="A1942" s="223"/>
      <c r="B1942" s="223" t="s">
        <v>200</v>
      </c>
      <c r="C1942" s="223"/>
      <c r="D1942" s="316"/>
      <c r="E1942" s="218"/>
      <c r="F1942" s="218"/>
      <c r="G1942" s="218" t="s">
        <v>200</v>
      </c>
      <c r="H1942" s="223">
        <v>0.0</v>
      </c>
      <c r="J1942" s="223"/>
      <c r="K1942" s="317">
        <v>1899.0</v>
      </c>
    </row>
    <row r="1943">
      <c r="A1943" s="223"/>
      <c r="B1943" s="223" t="s">
        <v>200</v>
      </c>
      <c r="C1943" s="223"/>
      <c r="D1943" s="316"/>
      <c r="E1943" s="218"/>
      <c r="F1943" s="218"/>
      <c r="G1943" s="218" t="s">
        <v>200</v>
      </c>
      <c r="H1943" s="223">
        <v>0.0</v>
      </c>
      <c r="J1943" s="223"/>
      <c r="K1943" s="317">
        <v>1899.0</v>
      </c>
    </row>
    <row r="1944">
      <c r="A1944" s="223"/>
      <c r="B1944" s="223" t="s">
        <v>200</v>
      </c>
      <c r="C1944" s="223"/>
      <c r="D1944" s="316"/>
      <c r="E1944" s="218"/>
      <c r="F1944" s="218"/>
      <c r="G1944" s="218" t="s">
        <v>200</v>
      </c>
      <c r="H1944" s="223">
        <v>0.0</v>
      </c>
      <c r="J1944" s="223"/>
      <c r="K1944" s="317">
        <v>1899.0</v>
      </c>
    </row>
    <row r="1945">
      <c r="A1945" s="223"/>
      <c r="B1945" s="223" t="s">
        <v>200</v>
      </c>
      <c r="C1945" s="223"/>
      <c r="D1945" s="316"/>
      <c r="E1945" s="218"/>
      <c r="F1945" s="218"/>
      <c r="G1945" s="218" t="s">
        <v>200</v>
      </c>
      <c r="H1945" s="223">
        <v>0.0</v>
      </c>
      <c r="J1945" s="223"/>
      <c r="K1945" s="317">
        <v>1899.0</v>
      </c>
    </row>
    <row r="1946">
      <c r="A1946" s="223"/>
      <c r="B1946" s="223" t="s">
        <v>200</v>
      </c>
      <c r="C1946" s="223"/>
      <c r="D1946" s="316"/>
      <c r="E1946" s="218"/>
      <c r="F1946" s="218"/>
      <c r="G1946" s="218" t="s">
        <v>200</v>
      </c>
      <c r="H1946" s="223">
        <v>0.0</v>
      </c>
      <c r="J1946" s="223"/>
      <c r="K1946" s="317">
        <v>1899.0</v>
      </c>
    </row>
    <row r="1947">
      <c r="A1947" s="223"/>
      <c r="B1947" s="223" t="s">
        <v>200</v>
      </c>
      <c r="C1947" s="223"/>
      <c r="D1947" s="316"/>
      <c r="E1947" s="218"/>
      <c r="F1947" s="218"/>
      <c r="G1947" s="218" t="s">
        <v>200</v>
      </c>
      <c r="H1947" s="223">
        <v>0.0</v>
      </c>
      <c r="J1947" s="223"/>
      <c r="K1947" s="317">
        <v>1899.0</v>
      </c>
    </row>
    <row r="1948">
      <c r="A1948" s="223"/>
      <c r="B1948" s="223" t="s">
        <v>200</v>
      </c>
      <c r="C1948" s="223"/>
      <c r="D1948" s="316"/>
      <c r="E1948" s="218"/>
      <c r="F1948" s="218"/>
      <c r="G1948" s="218" t="s">
        <v>200</v>
      </c>
      <c r="H1948" s="223">
        <v>0.0</v>
      </c>
      <c r="J1948" s="223"/>
      <c r="K1948" s="317">
        <v>1899.0</v>
      </c>
    </row>
    <row r="1949">
      <c r="A1949" s="223"/>
      <c r="B1949" s="223" t="s">
        <v>200</v>
      </c>
      <c r="C1949" s="223"/>
      <c r="D1949" s="316"/>
      <c r="E1949" s="218"/>
      <c r="F1949" s="218"/>
      <c r="G1949" s="218" t="s">
        <v>200</v>
      </c>
      <c r="H1949" s="223">
        <v>0.0</v>
      </c>
      <c r="J1949" s="223"/>
      <c r="K1949" s="317">
        <v>1899.0</v>
      </c>
    </row>
    <row r="1950">
      <c r="A1950" s="223"/>
      <c r="B1950" s="223" t="s">
        <v>200</v>
      </c>
      <c r="C1950" s="223"/>
      <c r="D1950" s="316"/>
      <c r="E1950" s="218"/>
      <c r="F1950" s="218"/>
      <c r="G1950" s="218" t="s">
        <v>200</v>
      </c>
      <c r="H1950" s="223">
        <v>0.0</v>
      </c>
      <c r="J1950" s="223"/>
      <c r="K1950" s="317">
        <v>1899.0</v>
      </c>
    </row>
    <row r="1951">
      <c r="A1951" s="223"/>
      <c r="B1951" s="223" t="s">
        <v>200</v>
      </c>
      <c r="C1951" s="223"/>
      <c r="D1951" s="316"/>
      <c r="E1951" s="218"/>
      <c r="F1951" s="218"/>
      <c r="G1951" s="218" t="s">
        <v>200</v>
      </c>
      <c r="H1951" s="223">
        <v>0.0</v>
      </c>
      <c r="J1951" s="223"/>
      <c r="K1951" s="317">
        <v>1899.0</v>
      </c>
    </row>
    <row r="1952">
      <c r="A1952" s="223"/>
      <c r="B1952" s="223" t="s">
        <v>200</v>
      </c>
      <c r="C1952" s="223"/>
      <c r="D1952" s="316"/>
      <c r="E1952" s="218"/>
      <c r="F1952" s="218"/>
      <c r="G1952" s="218" t="s">
        <v>200</v>
      </c>
      <c r="H1952" s="223">
        <v>0.0</v>
      </c>
      <c r="J1952" s="223"/>
      <c r="K1952" s="317">
        <v>1899.0</v>
      </c>
    </row>
    <row r="1953">
      <c r="A1953" s="223"/>
      <c r="B1953" s="223" t="s">
        <v>200</v>
      </c>
      <c r="C1953" s="223"/>
      <c r="D1953" s="316"/>
      <c r="E1953" s="218"/>
      <c r="F1953" s="218"/>
      <c r="G1953" s="218" t="s">
        <v>200</v>
      </c>
      <c r="H1953" s="223">
        <v>0.0</v>
      </c>
      <c r="J1953" s="223"/>
      <c r="K1953" s="317">
        <v>1899.0</v>
      </c>
    </row>
    <row r="1954">
      <c r="A1954" s="223"/>
      <c r="B1954" s="223" t="s">
        <v>200</v>
      </c>
      <c r="C1954" s="223"/>
      <c r="D1954" s="316"/>
      <c r="E1954" s="218"/>
      <c r="F1954" s="218"/>
      <c r="G1954" s="218" t="s">
        <v>200</v>
      </c>
      <c r="H1954" s="223">
        <v>0.0</v>
      </c>
      <c r="J1954" s="223"/>
      <c r="K1954" s="317">
        <v>1899.0</v>
      </c>
    </row>
    <row r="1955">
      <c r="A1955" s="223"/>
      <c r="B1955" s="223" t="s">
        <v>200</v>
      </c>
      <c r="C1955" s="223"/>
      <c r="D1955" s="316"/>
      <c r="E1955" s="223"/>
      <c r="F1955" s="223"/>
      <c r="G1955" s="223" t="s">
        <v>200</v>
      </c>
      <c r="H1955" s="223">
        <v>0.0</v>
      </c>
      <c r="J1955" s="223"/>
      <c r="K1955" s="317">
        <v>1899.0</v>
      </c>
    </row>
    <row r="1956">
      <c r="A1956" s="223"/>
      <c r="B1956" s="223" t="s">
        <v>200</v>
      </c>
      <c r="C1956" s="223"/>
      <c r="D1956" s="316"/>
      <c r="E1956" s="218"/>
      <c r="F1956" s="218"/>
      <c r="G1956" s="218" t="s">
        <v>200</v>
      </c>
      <c r="H1956" s="223">
        <v>0.0</v>
      </c>
      <c r="J1956" s="223"/>
      <c r="K1956" s="317">
        <v>1899.0</v>
      </c>
    </row>
    <row r="1957">
      <c r="A1957" s="223"/>
      <c r="B1957" s="223" t="s">
        <v>200</v>
      </c>
      <c r="C1957" s="223"/>
      <c r="D1957" s="316"/>
      <c r="E1957" s="218"/>
      <c r="F1957" s="218"/>
      <c r="G1957" s="218" t="s">
        <v>200</v>
      </c>
      <c r="H1957" s="223">
        <v>0.0</v>
      </c>
      <c r="J1957" s="223"/>
      <c r="K1957" s="317">
        <v>1899.0</v>
      </c>
    </row>
    <row r="1958">
      <c r="A1958" s="223"/>
      <c r="B1958" s="223" t="s">
        <v>200</v>
      </c>
      <c r="C1958" s="223"/>
      <c r="D1958" s="316"/>
      <c r="E1958" s="218"/>
      <c r="F1958" s="218"/>
      <c r="G1958" s="218" t="s">
        <v>200</v>
      </c>
      <c r="H1958" s="223">
        <v>0.0</v>
      </c>
      <c r="J1958" s="223"/>
      <c r="K1958" s="317">
        <v>1899.0</v>
      </c>
    </row>
    <row r="1959">
      <c r="A1959" s="223"/>
      <c r="B1959" s="223" t="s">
        <v>200</v>
      </c>
      <c r="C1959" s="223"/>
      <c r="D1959" s="316"/>
      <c r="E1959" s="218"/>
      <c r="F1959" s="218"/>
      <c r="G1959" s="218" t="s">
        <v>200</v>
      </c>
      <c r="H1959" s="223">
        <v>0.0</v>
      </c>
      <c r="J1959" s="223"/>
      <c r="K1959" s="317">
        <v>1899.0</v>
      </c>
    </row>
    <row r="1960">
      <c r="A1960" s="223"/>
      <c r="B1960" s="223" t="s">
        <v>200</v>
      </c>
      <c r="C1960" s="223"/>
      <c r="D1960" s="316"/>
      <c r="E1960" s="218"/>
      <c r="F1960" s="218"/>
      <c r="G1960" s="218" t="s">
        <v>200</v>
      </c>
      <c r="H1960" s="223">
        <v>0.0</v>
      </c>
      <c r="J1960" s="223"/>
      <c r="K1960" s="317">
        <v>1899.0</v>
      </c>
    </row>
    <row r="1961">
      <c r="A1961" s="223"/>
      <c r="B1961" s="223" t="s">
        <v>200</v>
      </c>
      <c r="C1961" s="223"/>
      <c r="D1961" s="316"/>
      <c r="E1961" s="218"/>
      <c r="F1961" s="218"/>
      <c r="G1961" s="218" t="s">
        <v>200</v>
      </c>
      <c r="H1961" s="223">
        <v>0.0</v>
      </c>
      <c r="J1961" s="223"/>
      <c r="K1961" s="317">
        <v>1899.0</v>
      </c>
    </row>
    <row r="1962">
      <c r="A1962" s="223"/>
      <c r="B1962" s="223" t="s">
        <v>200</v>
      </c>
      <c r="C1962" s="223"/>
      <c r="D1962" s="316"/>
      <c r="E1962" s="218"/>
      <c r="F1962" s="218"/>
      <c r="G1962" s="218" t="s">
        <v>200</v>
      </c>
      <c r="H1962" s="223">
        <v>0.0</v>
      </c>
      <c r="J1962" s="223"/>
      <c r="K1962" s="317">
        <v>1899.0</v>
      </c>
    </row>
    <row r="1963">
      <c r="A1963" s="223"/>
      <c r="B1963" s="223" t="s">
        <v>200</v>
      </c>
      <c r="C1963" s="223"/>
      <c r="D1963" s="316"/>
      <c r="E1963" s="218"/>
      <c r="F1963" s="218"/>
      <c r="G1963" s="218" t="s">
        <v>200</v>
      </c>
      <c r="H1963" s="223">
        <v>0.0</v>
      </c>
      <c r="J1963" s="223"/>
      <c r="K1963" s="317">
        <v>1899.0</v>
      </c>
    </row>
    <row r="1964">
      <c r="A1964" s="223"/>
      <c r="B1964" s="223" t="s">
        <v>200</v>
      </c>
      <c r="C1964" s="223"/>
      <c r="D1964" s="316"/>
      <c r="E1964" s="218"/>
      <c r="F1964" s="218"/>
      <c r="G1964" s="218" t="s">
        <v>200</v>
      </c>
      <c r="H1964" s="223">
        <v>0.0</v>
      </c>
      <c r="J1964" s="223"/>
      <c r="K1964" s="317">
        <v>1899.0</v>
      </c>
    </row>
    <row r="1965">
      <c r="A1965" s="223"/>
      <c r="B1965" s="223" t="s">
        <v>200</v>
      </c>
      <c r="C1965" s="223"/>
      <c r="D1965" s="316"/>
      <c r="E1965" s="218"/>
      <c r="F1965" s="218"/>
      <c r="G1965" s="218" t="s">
        <v>200</v>
      </c>
      <c r="H1965" s="223">
        <v>0.0</v>
      </c>
      <c r="J1965" s="223"/>
      <c r="K1965" s="317">
        <v>1899.0</v>
      </c>
    </row>
    <row r="1966">
      <c r="A1966" s="223"/>
      <c r="B1966" s="223" t="s">
        <v>200</v>
      </c>
      <c r="C1966" s="223"/>
      <c r="D1966" s="316"/>
      <c r="E1966" s="218"/>
      <c r="F1966" s="218"/>
      <c r="G1966" s="218" t="s">
        <v>200</v>
      </c>
      <c r="H1966" s="223">
        <v>0.0</v>
      </c>
      <c r="J1966" s="223"/>
      <c r="K1966" s="317">
        <v>1899.0</v>
      </c>
    </row>
    <row r="1967">
      <c r="A1967" s="223"/>
      <c r="B1967" s="223" t="s">
        <v>200</v>
      </c>
      <c r="C1967" s="223"/>
      <c r="D1967" s="316"/>
      <c r="E1967" s="218"/>
      <c r="F1967" s="218"/>
      <c r="G1967" s="218" t="s">
        <v>200</v>
      </c>
      <c r="H1967" s="223">
        <v>0.0</v>
      </c>
      <c r="J1967" s="223"/>
      <c r="K1967" s="317">
        <v>1899.0</v>
      </c>
    </row>
    <row r="1968">
      <c r="A1968" s="223"/>
      <c r="B1968" s="223" t="s">
        <v>200</v>
      </c>
      <c r="C1968" s="223"/>
      <c r="D1968" s="316"/>
      <c r="E1968" s="218"/>
      <c r="F1968" s="218"/>
      <c r="G1968" s="218" t="s">
        <v>200</v>
      </c>
      <c r="H1968" s="223">
        <v>0.0</v>
      </c>
      <c r="J1968" s="223"/>
      <c r="K1968" s="317">
        <v>1899.0</v>
      </c>
    </row>
    <row r="1969">
      <c r="A1969" s="223"/>
      <c r="B1969" s="223" t="s">
        <v>200</v>
      </c>
      <c r="C1969" s="223"/>
      <c r="D1969" s="316"/>
      <c r="E1969" s="218"/>
      <c r="F1969" s="218"/>
      <c r="G1969" s="218" t="s">
        <v>200</v>
      </c>
      <c r="H1969" s="223">
        <v>0.0</v>
      </c>
      <c r="J1969" s="223"/>
      <c r="K1969" s="317">
        <v>1899.0</v>
      </c>
    </row>
    <row r="1970">
      <c r="A1970" s="223"/>
      <c r="B1970" s="223" t="s">
        <v>200</v>
      </c>
      <c r="C1970" s="223"/>
      <c r="D1970" s="316"/>
      <c r="E1970" s="218"/>
      <c r="F1970" s="218"/>
      <c r="G1970" s="218" t="s">
        <v>200</v>
      </c>
      <c r="H1970" s="223">
        <v>0.0</v>
      </c>
      <c r="J1970" s="223"/>
      <c r="K1970" s="317">
        <v>1899.0</v>
      </c>
    </row>
    <row r="1971">
      <c r="A1971" s="223"/>
      <c r="B1971" s="223" t="s">
        <v>200</v>
      </c>
      <c r="C1971" s="223"/>
      <c r="D1971" s="316"/>
      <c r="E1971" s="218"/>
      <c r="F1971" s="218"/>
      <c r="G1971" s="218" t="s">
        <v>200</v>
      </c>
      <c r="H1971" s="223">
        <v>0.0</v>
      </c>
      <c r="J1971" s="223"/>
      <c r="K1971" s="317">
        <v>1899.0</v>
      </c>
    </row>
    <row r="1972">
      <c r="A1972" s="223"/>
      <c r="B1972" s="223" t="s">
        <v>200</v>
      </c>
      <c r="C1972" s="223"/>
      <c r="D1972" s="316"/>
      <c r="E1972" s="218"/>
      <c r="F1972" s="218"/>
      <c r="G1972" s="218" t="s">
        <v>200</v>
      </c>
      <c r="H1972" s="223">
        <v>0.0</v>
      </c>
      <c r="J1972" s="223"/>
      <c r="K1972" s="317">
        <v>1899.0</v>
      </c>
    </row>
    <row r="1973">
      <c r="A1973" s="223"/>
      <c r="B1973" s="223" t="s">
        <v>200</v>
      </c>
      <c r="C1973" s="223"/>
      <c r="D1973" s="316"/>
      <c r="E1973" s="218"/>
      <c r="F1973" s="218"/>
      <c r="G1973" s="218" t="s">
        <v>200</v>
      </c>
      <c r="H1973" s="223">
        <v>0.0</v>
      </c>
      <c r="J1973" s="223"/>
      <c r="K1973" s="317">
        <v>1899.0</v>
      </c>
    </row>
    <row r="1974">
      <c r="A1974" s="223"/>
      <c r="B1974" s="223" t="s">
        <v>200</v>
      </c>
      <c r="C1974" s="223"/>
      <c r="D1974" s="316"/>
      <c r="E1974" s="218"/>
      <c r="F1974" s="218"/>
      <c r="G1974" s="218" t="s">
        <v>200</v>
      </c>
      <c r="H1974" s="223">
        <v>0.0</v>
      </c>
      <c r="J1974" s="223"/>
      <c r="K1974" s="317">
        <v>1899.0</v>
      </c>
    </row>
    <row r="1975">
      <c r="A1975" s="223"/>
      <c r="B1975" s="223" t="s">
        <v>200</v>
      </c>
      <c r="C1975" s="223"/>
      <c r="D1975" s="316"/>
      <c r="E1975" s="218"/>
      <c r="F1975" s="218"/>
      <c r="G1975" s="218" t="s">
        <v>200</v>
      </c>
      <c r="H1975" s="223">
        <v>0.0</v>
      </c>
      <c r="J1975" s="223"/>
      <c r="K1975" s="317">
        <v>1899.0</v>
      </c>
    </row>
    <row r="1976">
      <c r="A1976" s="223"/>
      <c r="B1976" s="223" t="s">
        <v>200</v>
      </c>
      <c r="C1976" s="223"/>
      <c r="D1976" s="316"/>
      <c r="E1976" s="218"/>
      <c r="F1976" s="218"/>
      <c r="G1976" s="218" t="s">
        <v>200</v>
      </c>
      <c r="H1976" s="223">
        <v>0.0</v>
      </c>
      <c r="J1976" s="223"/>
      <c r="K1976" s="317">
        <v>1899.0</v>
      </c>
    </row>
    <row r="1977">
      <c r="A1977" s="223"/>
      <c r="B1977" s="223" t="s">
        <v>200</v>
      </c>
      <c r="C1977" s="223"/>
      <c r="D1977" s="316"/>
      <c r="E1977" s="218"/>
      <c r="F1977" s="218"/>
      <c r="G1977" s="218" t="s">
        <v>200</v>
      </c>
      <c r="H1977" s="223">
        <v>0.0</v>
      </c>
      <c r="J1977" s="223"/>
      <c r="K1977" s="317">
        <v>1899.0</v>
      </c>
    </row>
    <row r="1978">
      <c r="A1978" s="223"/>
      <c r="B1978" s="223" t="s">
        <v>200</v>
      </c>
      <c r="C1978" s="223"/>
      <c r="D1978" s="316"/>
      <c r="E1978" s="218"/>
      <c r="F1978" s="218"/>
      <c r="G1978" s="218" t="s">
        <v>200</v>
      </c>
      <c r="H1978" s="223">
        <v>0.0</v>
      </c>
      <c r="J1978" s="223"/>
      <c r="K1978" s="317">
        <v>1899.0</v>
      </c>
    </row>
    <row r="1979">
      <c r="A1979" s="223"/>
      <c r="B1979" s="223" t="s">
        <v>200</v>
      </c>
      <c r="C1979" s="223"/>
      <c r="D1979" s="316"/>
      <c r="E1979" s="218"/>
      <c r="F1979" s="218"/>
      <c r="G1979" s="218" t="s">
        <v>200</v>
      </c>
      <c r="H1979" s="223">
        <v>0.0</v>
      </c>
      <c r="J1979" s="223"/>
      <c r="K1979" s="317">
        <v>1899.0</v>
      </c>
    </row>
    <row r="1980">
      <c r="A1980" s="223"/>
      <c r="B1980" s="223" t="s">
        <v>200</v>
      </c>
      <c r="C1980" s="223"/>
      <c r="D1980" s="316"/>
      <c r="E1980" s="218"/>
      <c r="F1980" s="218"/>
      <c r="G1980" s="218" t="s">
        <v>200</v>
      </c>
      <c r="H1980" s="223">
        <v>0.0</v>
      </c>
      <c r="J1980" s="223"/>
      <c r="K1980" s="317">
        <v>1899.0</v>
      </c>
    </row>
    <row r="1981">
      <c r="A1981" s="223"/>
      <c r="B1981" s="223" t="s">
        <v>200</v>
      </c>
      <c r="C1981" s="223"/>
      <c r="D1981" s="316"/>
      <c r="E1981" s="218"/>
      <c r="F1981" s="218"/>
      <c r="G1981" s="218" t="s">
        <v>200</v>
      </c>
      <c r="H1981" s="223">
        <v>0.0</v>
      </c>
      <c r="J1981" s="223"/>
      <c r="K1981" s="317">
        <v>1899.0</v>
      </c>
    </row>
    <row r="1982">
      <c r="A1982" s="223"/>
      <c r="B1982" s="223" t="s">
        <v>200</v>
      </c>
      <c r="C1982" s="223"/>
      <c r="D1982" s="316"/>
      <c r="E1982" s="218"/>
      <c r="F1982" s="218"/>
      <c r="G1982" s="218" t="s">
        <v>200</v>
      </c>
      <c r="H1982" s="223">
        <v>0.0</v>
      </c>
      <c r="J1982" s="223"/>
      <c r="K1982" s="317">
        <v>1899.0</v>
      </c>
    </row>
    <row r="1983">
      <c r="A1983" s="223"/>
      <c r="B1983" s="223" t="s">
        <v>200</v>
      </c>
      <c r="C1983" s="223"/>
      <c r="D1983" s="316"/>
      <c r="E1983" s="218"/>
      <c r="F1983" s="218"/>
      <c r="G1983" s="218" t="s">
        <v>200</v>
      </c>
      <c r="H1983" s="223">
        <v>0.0</v>
      </c>
      <c r="J1983" s="223"/>
      <c r="K1983" s="317">
        <v>1899.0</v>
      </c>
    </row>
    <row r="1984">
      <c r="A1984" s="223"/>
      <c r="B1984" s="223" t="s">
        <v>200</v>
      </c>
      <c r="C1984" s="223"/>
      <c r="D1984" s="316"/>
      <c r="E1984" s="218"/>
      <c r="F1984" s="218"/>
      <c r="G1984" s="218" t="s">
        <v>200</v>
      </c>
      <c r="H1984" s="223">
        <v>0.0</v>
      </c>
      <c r="J1984" s="223"/>
      <c r="K1984" s="317">
        <v>1899.0</v>
      </c>
    </row>
    <row r="1985">
      <c r="A1985" s="223"/>
      <c r="B1985" s="223" t="s">
        <v>200</v>
      </c>
      <c r="C1985" s="223"/>
      <c r="D1985" s="316"/>
      <c r="E1985" s="218"/>
      <c r="F1985" s="218"/>
      <c r="G1985" s="218" t="s">
        <v>200</v>
      </c>
      <c r="H1985" s="223">
        <v>0.0</v>
      </c>
      <c r="J1985" s="223"/>
      <c r="K1985" s="317">
        <v>1899.0</v>
      </c>
    </row>
    <row r="1986">
      <c r="A1986" s="223"/>
      <c r="B1986" s="223" t="s">
        <v>200</v>
      </c>
      <c r="C1986" s="223"/>
      <c r="D1986" s="316"/>
      <c r="E1986" s="218"/>
      <c r="F1986" s="218"/>
      <c r="G1986" s="218" t="s">
        <v>200</v>
      </c>
      <c r="H1986" s="223">
        <v>0.0</v>
      </c>
      <c r="J1986" s="223"/>
      <c r="K1986" s="317">
        <v>1899.0</v>
      </c>
    </row>
    <row r="1987">
      <c r="A1987" s="223"/>
      <c r="B1987" s="223" t="s">
        <v>200</v>
      </c>
      <c r="C1987" s="223"/>
      <c r="D1987" s="316"/>
      <c r="E1987" s="218"/>
      <c r="F1987" s="218"/>
      <c r="G1987" s="218" t="s">
        <v>200</v>
      </c>
      <c r="H1987" s="223">
        <v>0.0</v>
      </c>
      <c r="J1987" s="223"/>
      <c r="K1987" s="317">
        <v>1899.0</v>
      </c>
    </row>
    <row r="1988">
      <c r="A1988" s="223"/>
      <c r="B1988" s="223" t="s">
        <v>200</v>
      </c>
      <c r="C1988" s="223"/>
      <c r="D1988" s="316"/>
      <c r="E1988" s="218"/>
      <c r="F1988" s="218"/>
      <c r="G1988" s="218" t="s">
        <v>200</v>
      </c>
      <c r="H1988" s="223">
        <v>0.0</v>
      </c>
      <c r="J1988" s="223"/>
      <c r="K1988" s="317">
        <v>1899.0</v>
      </c>
    </row>
    <row r="1989">
      <c r="A1989" s="223"/>
      <c r="B1989" s="223" t="s">
        <v>200</v>
      </c>
      <c r="C1989" s="223"/>
      <c r="D1989" s="316"/>
      <c r="E1989" s="218"/>
      <c r="F1989" s="218"/>
      <c r="G1989" s="218" t="s">
        <v>200</v>
      </c>
      <c r="H1989" s="223">
        <v>0.0</v>
      </c>
      <c r="J1989" s="223"/>
      <c r="K1989" s="317">
        <v>1899.0</v>
      </c>
    </row>
    <row r="1990">
      <c r="A1990" s="223"/>
      <c r="B1990" s="223" t="s">
        <v>200</v>
      </c>
      <c r="C1990" s="223"/>
      <c r="D1990" s="316"/>
      <c r="E1990" s="218"/>
      <c r="F1990" s="218"/>
      <c r="G1990" s="218" t="s">
        <v>200</v>
      </c>
      <c r="H1990" s="223">
        <v>0.0</v>
      </c>
      <c r="J1990" s="223"/>
      <c r="K1990" s="317">
        <v>1899.0</v>
      </c>
    </row>
    <row r="1991">
      <c r="A1991" s="223"/>
      <c r="B1991" s="223" t="s">
        <v>200</v>
      </c>
      <c r="C1991" s="223"/>
      <c r="D1991" s="316"/>
      <c r="E1991" s="218"/>
      <c r="F1991" s="218"/>
      <c r="G1991" s="218" t="s">
        <v>200</v>
      </c>
      <c r="H1991" s="223">
        <v>0.0</v>
      </c>
      <c r="J1991" s="223"/>
      <c r="K1991" s="317">
        <v>1899.0</v>
      </c>
    </row>
    <row r="1992">
      <c r="A1992" s="223"/>
      <c r="B1992" s="223" t="s">
        <v>200</v>
      </c>
      <c r="C1992" s="223"/>
      <c r="D1992" s="316"/>
      <c r="E1992" s="218"/>
      <c r="F1992" s="218"/>
      <c r="G1992" s="218" t="s">
        <v>200</v>
      </c>
      <c r="H1992" s="223">
        <v>0.0</v>
      </c>
      <c r="J1992" s="223"/>
      <c r="K1992" s="317">
        <v>1899.0</v>
      </c>
    </row>
    <row r="1993">
      <c r="A1993" s="223"/>
      <c r="B1993" s="223" t="s">
        <v>200</v>
      </c>
      <c r="C1993" s="223"/>
      <c r="D1993" s="316"/>
      <c r="E1993" s="218"/>
      <c r="F1993" s="218"/>
      <c r="G1993" s="218" t="s">
        <v>200</v>
      </c>
      <c r="H1993" s="223">
        <v>0.0</v>
      </c>
      <c r="J1993" s="223"/>
      <c r="K1993" s="317">
        <v>1899.0</v>
      </c>
    </row>
    <row r="1994">
      <c r="A1994" s="223"/>
      <c r="B1994" s="223" t="s">
        <v>200</v>
      </c>
      <c r="C1994" s="223"/>
      <c r="D1994" s="316"/>
      <c r="E1994" s="218"/>
      <c r="F1994" s="218"/>
      <c r="G1994" s="218" t="s">
        <v>200</v>
      </c>
      <c r="H1994" s="223">
        <v>0.0</v>
      </c>
      <c r="J1994" s="223"/>
      <c r="K1994" s="317">
        <v>1899.0</v>
      </c>
    </row>
    <row r="1995">
      <c r="A1995" s="223"/>
      <c r="B1995" s="223" t="s">
        <v>200</v>
      </c>
      <c r="C1995" s="223"/>
      <c r="D1995" s="316"/>
      <c r="E1995" s="218"/>
      <c r="F1995" s="218"/>
      <c r="G1995" s="218" t="s">
        <v>200</v>
      </c>
      <c r="H1995" s="223">
        <v>0.0</v>
      </c>
      <c r="J1995" s="223"/>
      <c r="K1995" s="317">
        <v>1899.0</v>
      </c>
    </row>
    <row r="1996">
      <c r="A1996" s="223"/>
      <c r="B1996" s="223" t="s">
        <v>200</v>
      </c>
      <c r="C1996" s="223"/>
      <c r="D1996" s="316"/>
      <c r="E1996" s="218"/>
      <c r="F1996" s="218"/>
      <c r="G1996" s="218" t="s">
        <v>200</v>
      </c>
      <c r="H1996" s="223">
        <v>0.0</v>
      </c>
      <c r="J1996" s="223"/>
      <c r="K1996" s="317">
        <v>1899.0</v>
      </c>
    </row>
    <row r="1997">
      <c r="A1997" s="223"/>
      <c r="B1997" s="223" t="s">
        <v>200</v>
      </c>
      <c r="C1997" s="223"/>
      <c r="D1997" s="316"/>
      <c r="E1997" s="218"/>
      <c r="F1997" s="218"/>
      <c r="G1997" s="218" t="s">
        <v>200</v>
      </c>
      <c r="H1997" s="223">
        <v>0.0</v>
      </c>
      <c r="J1997" s="223"/>
      <c r="K1997" s="317">
        <v>1899.0</v>
      </c>
    </row>
    <row r="1998">
      <c r="A1998" s="223"/>
      <c r="B1998" s="223" t="s">
        <v>200</v>
      </c>
      <c r="C1998" s="223"/>
      <c r="D1998" s="316"/>
      <c r="E1998" s="218"/>
      <c r="F1998" s="218"/>
      <c r="G1998" s="218" t="s">
        <v>200</v>
      </c>
      <c r="H1998" s="223">
        <v>0.0</v>
      </c>
      <c r="J1998" s="223"/>
      <c r="K1998" s="317">
        <v>1899.0</v>
      </c>
    </row>
    <row r="1999">
      <c r="A1999" s="223"/>
      <c r="B1999" s="223" t="s">
        <v>200</v>
      </c>
      <c r="C1999" s="223"/>
      <c r="D1999" s="316"/>
      <c r="E1999" s="218"/>
      <c r="F1999" s="218"/>
      <c r="G1999" s="218" t="s">
        <v>200</v>
      </c>
      <c r="H1999" s="223">
        <v>0.0</v>
      </c>
      <c r="J1999" s="223"/>
      <c r="K1999" s="317">
        <v>1899.0</v>
      </c>
    </row>
    <row r="2000">
      <c r="A2000" s="223"/>
      <c r="B2000" s="223" t="s">
        <v>200</v>
      </c>
      <c r="C2000" s="223"/>
      <c r="D2000" s="316"/>
      <c r="E2000" s="218"/>
      <c r="F2000" s="218"/>
      <c r="G2000" s="218" t="s">
        <v>200</v>
      </c>
      <c r="H2000" s="223">
        <v>0.0</v>
      </c>
      <c r="J2000" s="223"/>
      <c r="K2000" s="317">
        <v>1899.0</v>
      </c>
    </row>
    <row r="2001">
      <c r="A2001" s="223"/>
      <c r="B2001" s="223" t="s">
        <v>200</v>
      </c>
      <c r="C2001" s="223"/>
      <c r="D2001" s="316"/>
      <c r="E2001" s="218"/>
      <c r="F2001" s="218"/>
      <c r="G2001" s="218" t="s">
        <v>200</v>
      </c>
      <c r="H2001" s="223">
        <v>0.0</v>
      </c>
      <c r="J2001" s="223"/>
      <c r="K2001" s="317">
        <v>1899.0</v>
      </c>
    </row>
    <row r="2002">
      <c r="A2002" s="223"/>
      <c r="B2002" s="223" t="s">
        <v>200</v>
      </c>
      <c r="C2002" s="223"/>
      <c r="D2002" s="316"/>
      <c r="E2002" s="218"/>
      <c r="F2002" s="218"/>
      <c r="G2002" s="218" t="s">
        <v>200</v>
      </c>
      <c r="H2002" s="223">
        <v>0.0</v>
      </c>
      <c r="J2002" s="223"/>
      <c r="K2002" s="317">
        <v>1899.0</v>
      </c>
    </row>
    <row r="2003">
      <c r="A2003" s="223"/>
      <c r="B2003" s="223" t="s">
        <v>200</v>
      </c>
      <c r="C2003" s="223"/>
      <c r="D2003" s="316"/>
      <c r="E2003" s="218"/>
      <c r="F2003" s="218"/>
      <c r="G2003" s="218" t="s">
        <v>200</v>
      </c>
      <c r="H2003" s="223">
        <v>0.0</v>
      </c>
      <c r="J2003" s="223"/>
      <c r="K2003" s="317">
        <v>1899.0</v>
      </c>
    </row>
    <row r="2004">
      <c r="A2004" s="223"/>
      <c r="B2004" s="223" t="s">
        <v>200</v>
      </c>
      <c r="C2004" s="223"/>
      <c r="D2004" s="316"/>
      <c r="E2004" s="218"/>
      <c r="F2004" s="218"/>
      <c r="G2004" s="218" t="s">
        <v>200</v>
      </c>
      <c r="H2004" s="223">
        <v>0.0</v>
      </c>
      <c r="J2004" s="223"/>
      <c r="K2004" s="317">
        <v>1899.0</v>
      </c>
    </row>
    <row r="2005">
      <c r="A2005" s="223"/>
      <c r="B2005" s="223" t="s">
        <v>200</v>
      </c>
      <c r="C2005" s="223"/>
      <c r="D2005" s="316"/>
      <c r="E2005" s="218"/>
      <c r="F2005" s="218"/>
      <c r="G2005" s="218" t="s">
        <v>200</v>
      </c>
      <c r="H2005" s="223">
        <v>0.0</v>
      </c>
      <c r="J2005" s="223"/>
      <c r="K2005" s="317">
        <v>1899.0</v>
      </c>
    </row>
    <row r="2006">
      <c r="A2006" s="223"/>
      <c r="B2006" s="223" t="s">
        <v>200</v>
      </c>
      <c r="C2006" s="223"/>
      <c r="D2006" s="316"/>
      <c r="E2006" s="218"/>
      <c r="F2006" s="218"/>
      <c r="G2006" s="218" t="s">
        <v>200</v>
      </c>
      <c r="H2006" s="223">
        <v>0.0</v>
      </c>
      <c r="J2006" s="223"/>
      <c r="K2006" s="317">
        <v>1899.0</v>
      </c>
    </row>
    <row r="2007">
      <c r="A2007" s="223"/>
      <c r="B2007" s="223" t="s">
        <v>200</v>
      </c>
      <c r="C2007" s="223"/>
      <c r="D2007" s="316"/>
      <c r="E2007" s="218"/>
      <c r="F2007" s="218"/>
      <c r="G2007" s="218" t="s">
        <v>200</v>
      </c>
      <c r="H2007" s="223">
        <v>0.0</v>
      </c>
      <c r="J2007" s="223"/>
      <c r="K2007" s="317">
        <v>1899.0</v>
      </c>
    </row>
    <row r="2008">
      <c r="A2008" s="223"/>
      <c r="B2008" s="223" t="s">
        <v>200</v>
      </c>
      <c r="C2008" s="223"/>
      <c r="D2008" s="316"/>
      <c r="E2008" s="218"/>
      <c r="F2008" s="218"/>
      <c r="G2008" s="218" t="s">
        <v>200</v>
      </c>
      <c r="H2008" s="223">
        <v>0.0</v>
      </c>
      <c r="J2008" s="223"/>
      <c r="K2008" s="317">
        <v>1899.0</v>
      </c>
    </row>
    <row r="2009">
      <c r="A2009" s="223"/>
      <c r="B2009" s="223" t="s">
        <v>200</v>
      </c>
      <c r="C2009" s="223"/>
      <c r="D2009" s="316"/>
      <c r="E2009" s="218"/>
      <c r="F2009" s="218"/>
      <c r="G2009" s="218" t="s">
        <v>200</v>
      </c>
      <c r="H2009" s="223">
        <v>0.0</v>
      </c>
      <c r="J2009" s="223"/>
      <c r="K2009" s="317">
        <v>1899.0</v>
      </c>
    </row>
    <row r="2010">
      <c r="A2010" s="223"/>
      <c r="B2010" s="223" t="s">
        <v>200</v>
      </c>
      <c r="C2010" s="223"/>
      <c r="D2010" s="316"/>
      <c r="E2010" s="218"/>
      <c r="F2010" s="218"/>
      <c r="G2010" s="218" t="s">
        <v>200</v>
      </c>
      <c r="H2010" s="223">
        <v>0.0</v>
      </c>
      <c r="J2010" s="223"/>
      <c r="K2010" s="317">
        <v>1899.0</v>
      </c>
    </row>
    <row r="2011">
      <c r="A2011" s="223"/>
      <c r="B2011" s="223" t="s">
        <v>200</v>
      </c>
      <c r="C2011" s="223"/>
      <c r="D2011" s="316"/>
      <c r="E2011" s="218"/>
      <c r="F2011" s="218"/>
      <c r="G2011" s="218" t="s">
        <v>200</v>
      </c>
      <c r="H2011" s="223">
        <v>0.0</v>
      </c>
      <c r="J2011" s="223"/>
      <c r="K2011" s="317">
        <v>1899.0</v>
      </c>
    </row>
    <row r="2012">
      <c r="A2012" s="223"/>
      <c r="B2012" s="223" t="s">
        <v>200</v>
      </c>
      <c r="C2012" s="223"/>
      <c r="D2012" s="316"/>
      <c r="E2012" s="218"/>
      <c r="F2012" s="218"/>
      <c r="G2012" s="218" t="s">
        <v>200</v>
      </c>
      <c r="H2012" s="223">
        <v>0.0</v>
      </c>
      <c r="J2012" s="223"/>
      <c r="K2012" s="317">
        <v>1899.0</v>
      </c>
    </row>
    <row r="2013">
      <c r="A2013" s="223"/>
      <c r="B2013" s="223" t="s">
        <v>200</v>
      </c>
      <c r="C2013" s="223"/>
      <c r="D2013" s="316"/>
      <c r="E2013" s="218"/>
      <c r="F2013" s="218"/>
      <c r="G2013" s="218" t="s">
        <v>200</v>
      </c>
      <c r="H2013" s="223">
        <v>0.0</v>
      </c>
      <c r="J2013" s="223"/>
      <c r="K2013" s="317">
        <v>1899.0</v>
      </c>
    </row>
    <row r="2014">
      <c r="A2014" s="223"/>
      <c r="B2014" s="223" t="s">
        <v>200</v>
      </c>
      <c r="C2014" s="223"/>
      <c r="D2014" s="316"/>
      <c r="E2014" s="218"/>
      <c r="F2014" s="218"/>
      <c r="G2014" s="218" t="s">
        <v>200</v>
      </c>
      <c r="H2014" s="223">
        <v>0.0</v>
      </c>
      <c r="J2014" s="223"/>
      <c r="K2014" s="317">
        <v>1899.0</v>
      </c>
    </row>
    <row r="2015">
      <c r="A2015" s="223"/>
      <c r="B2015" s="223" t="s">
        <v>200</v>
      </c>
      <c r="C2015" s="223"/>
      <c r="D2015" s="316"/>
      <c r="E2015" s="218"/>
      <c r="F2015" s="218"/>
      <c r="G2015" s="218" t="s">
        <v>200</v>
      </c>
      <c r="H2015" s="223">
        <v>0.0</v>
      </c>
      <c r="J2015" s="223"/>
      <c r="K2015" s="317">
        <v>1899.0</v>
      </c>
    </row>
    <row r="2016">
      <c r="A2016" s="223"/>
      <c r="B2016" s="223" t="s">
        <v>200</v>
      </c>
      <c r="C2016" s="223"/>
      <c r="D2016" s="316"/>
      <c r="E2016" s="218"/>
      <c r="F2016" s="218"/>
      <c r="G2016" s="218" t="s">
        <v>200</v>
      </c>
      <c r="H2016" s="223">
        <v>0.0</v>
      </c>
      <c r="J2016" s="223"/>
      <c r="K2016" s="317">
        <v>1899.0</v>
      </c>
    </row>
    <row r="2017">
      <c r="A2017" s="223"/>
      <c r="B2017" s="223" t="s">
        <v>200</v>
      </c>
      <c r="C2017" s="223"/>
      <c r="D2017" s="316"/>
      <c r="E2017" s="218"/>
      <c r="F2017" s="218"/>
      <c r="G2017" s="218" t="s">
        <v>200</v>
      </c>
      <c r="H2017" s="223">
        <v>0.0</v>
      </c>
      <c r="J2017" s="223"/>
      <c r="K2017" s="317">
        <v>1899.0</v>
      </c>
    </row>
    <row r="2018">
      <c r="A2018" s="223"/>
      <c r="B2018" s="223" t="s">
        <v>200</v>
      </c>
      <c r="C2018" s="223"/>
      <c r="D2018" s="316"/>
      <c r="E2018" s="218"/>
      <c r="F2018" s="218"/>
      <c r="G2018" s="218" t="s">
        <v>200</v>
      </c>
      <c r="H2018" s="223">
        <v>0.0</v>
      </c>
      <c r="J2018" s="223"/>
      <c r="K2018" s="317">
        <v>1899.0</v>
      </c>
    </row>
    <row r="2019">
      <c r="A2019" s="223"/>
      <c r="B2019" s="223" t="s">
        <v>200</v>
      </c>
      <c r="C2019" s="223"/>
      <c r="D2019" s="316"/>
      <c r="E2019" s="218"/>
      <c r="F2019" s="218"/>
      <c r="G2019" s="218" t="s">
        <v>200</v>
      </c>
      <c r="H2019" s="223">
        <v>0.0</v>
      </c>
      <c r="J2019" s="223"/>
      <c r="K2019" s="317">
        <v>1899.0</v>
      </c>
    </row>
    <row r="2020">
      <c r="A2020" s="223"/>
      <c r="B2020" s="223" t="s">
        <v>200</v>
      </c>
      <c r="C2020" s="223"/>
      <c r="D2020" s="316"/>
      <c r="E2020" s="218"/>
      <c r="F2020" s="218"/>
      <c r="G2020" s="218" t="s">
        <v>200</v>
      </c>
      <c r="H2020" s="223">
        <v>0.0</v>
      </c>
      <c r="J2020" s="223"/>
      <c r="K2020" s="317">
        <v>1899.0</v>
      </c>
    </row>
    <row r="2021">
      <c r="A2021" s="223"/>
      <c r="B2021" s="223" t="s">
        <v>200</v>
      </c>
      <c r="C2021" s="223"/>
      <c r="D2021" s="316"/>
      <c r="E2021" s="218"/>
      <c r="F2021" s="218"/>
      <c r="G2021" s="218" t="s">
        <v>200</v>
      </c>
      <c r="H2021" s="223">
        <v>0.0</v>
      </c>
      <c r="J2021" s="223"/>
      <c r="K2021" s="317">
        <v>1899.0</v>
      </c>
    </row>
    <row r="2022">
      <c r="A2022" s="223"/>
      <c r="B2022" s="223" t="s">
        <v>200</v>
      </c>
      <c r="C2022" s="223"/>
      <c r="D2022" s="316"/>
      <c r="E2022" s="218"/>
      <c r="F2022" s="218"/>
      <c r="G2022" s="218" t="s">
        <v>200</v>
      </c>
      <c r="H2022" s="223">
        <v>0.0</v>
      </c>
      <c r="J2022" s="223"/>
      <c r="K2022" s="317">
        <v>1899.0</v>
      </c>
    </row>
    <row r="2023">
      <c r="A2023" s="223"/>
      <c r="B2023" s="223" t="s">
        <v>200</v>
      </c>
      <c r="C2023" s="223"/>
      <c r="D2023" s="316"/>
      <c r="E2023" s="218"/>
      <c r="F2023" s="218"/>
      <c r="G2023" s="218" t="s">
        <v>200</v>
      </c>
      <c r="H2023" s="223">
        <v>0.0</v>
      </c>
      <c r="J2023" s="223"/>
      <c r="K2023" s="317">
        <v>1899.0</v>
      </c>
    </row>
    <row r="2024">
      <c r="A2024" s="223"/>
      <c r="B2024" s="223" t="s">
        <v>200</v>
      </c>
      <c r="C2024" s="223"/>
      <c r="D2024" s="316"/>
      <c r="E2024" s="218"/>
      <c r="F2024" s="218"/>
      <c r="G2024" s="218" t="s">
        <v>200</v>
      </c>
      <c r="H2024" s="223">
        <v>0.0</v>
      </c>
      <c r="J2024" s="223"/>
      <c r="K2024" s="317">
        <v>1899.0</v>
      </c>
    </row>
    <row r="2025">
      <c r="A2025" s="223"/>
      <c r="B2025" s="223" t="s">
        <v>200</v>
      </c>
      <c r="C2025" s="223"/>
      <c r="D2025" s="316"/>
      <c r="E2025" s="218"/>
      <c r="F2025" s="218"/>
      <c r="G2025" s="218" t="s">
        <v>200</v>
      </c>
      <c r="H2025" s="223">
        <v>0.0</v>
      </c>
      <c r="J2025" s="223"/>
      <c r="K2025" s="317">
        <v>1899.0</v>
      </c>
    </row>
    <row r="2026">
      <c r="A2026" s="223"/>
      <c r="B2026" s="223" t="s">
        <v>200</v>
      </c>
      <c r="C2026" s="223"/>
      <c r="D2026" s="316"/>
      <c r="E2026" s="218"/>
      <c r="F2026" s="218"/>
      <c r="G2026" s="218" t="s">
        <v>200</v>
      </c>
      <c r="H2026" s="223">
        <v>0.0</v>
      </c>
      <c r="J2026" s="223"/>
      <c r="K2026" s="317">
        <v>1899.0</v>
      </c>
    </row>
    <row r="2027">
      <c r="A2027" s="223"/>
      <c r="B2027" s="223" t="s">
        <v>200</v>
      </c>
      <c r="C2027" s="223"/>
      <c r="D2027" s="316"/>
      <c r="E2027" s="218"/>
      <c r="F2027" s="218"/>
      <c r="G2027" s="218" t="s">
        <v>200</v>
      </c>
      <c r="H2027" s="223">
        <v>0.0</v>
      </c>
      <c r="J2027" s="223"/>
      <c r="K2027" s="317">
        <v>1899.0</v>
      </c>
    </row>
    <row r="2028">
      <c r="A2028" s="223"/>
      <c r="B2028" s="223" t="s">
        <v>200</v>
      </c>
      <c r="C2028" s="223"/>
      <c r="D2028" s="316"/>
      <c r="E2028" s="218"/>
      <c r="F2028" s="218"/>
      <c r="G2028" s="218" t="s">
        <v>200</v>
      </c>
      <c r="H2028" s="223">
        <v>0.0</v>
      </c>
      <c r="J2028" s="223"/>
      <c r="K2028" s="317">
        <v>1899.0</v>
      </c>
    </row>
    <row r="2029">
      <c r="A2029" s="223"/>
      <c r="B2029" s="223" t="s">
        <v>200</v>
      </c>
      <c r="C2029" s="223"/>
      <c r="D2029" s="316"/>
      <c r="E2029" s="218"/>
      <c r="F2029" s="218"/>
      <c r="G2029" s="218" t="s">
        <v>200</v>
      </c>
      <c r="H2029" s="223">
        <v>0.0</v>
      </c>
      <c r="J2029" s="223"/>
      <c r="K2029" s="317">
        <v>1899.0</v>
      </c>
    </row>
    <row r="2030">
      <c r="A2030" s="223"/>
      <c r="B2030" s="223" t="s">
        <v>200</v>
      </c>
      <c r="C2030" s="223"/>
      <c r="D2030" s="316"/>
      <c r="E2030" s="218"/>
      <c r="F2030" s="218"/>
      <c r="G2030" s="218" t="s">
        <v>200</v>
      </c>
      <c r="H2030" s="223">
        <v>0.0</v>
      </c>
      <c r="J2030" s="223"/>
      <c r="K2030" s="317">
        <v>1899.0</v>
      </c>
    </row>
    <row r="2031">
      <c r="A2031" s="223"/>
      <c r="B2031" s="223" t="s">
        <v>200</v>
      </c>
      <c r="C2031" s="223"/>
      <c r="D2031" s="316"/>
      <c r="E2031" s="218"/>
      <c r="F2031" s="218"/>
      <c r="G2031" s="218" t="s">
        <v>200</v>
      </c>
      <c r="H2031" s="223">
        <v>0.0</v>
      </c>
      <c r="J2031" s="223"/>
      <c r="K2031" s="317">
        <v>1899.0</v>
      </c>
    </row>
    <row r="2032">
      <c r="A2032" s="223"/>
      <c r="B2032" s="223" t="s">
        <v>200</v>
      </c>
      <c r="C2032" s="223"/>
      <c r="D2032" s="316"/>
      <c r="E2032" s="218"/>
      <c r="F2032" s="218"/>
      <c r="G2032" s="218" t="s">
        <v>200</v>
      </c>
      <c r="H2032" s="223">
        <v>0.0</v>
      </c>
      <c r="J2032" s="223"/>
      <c r="K2032" s="317">
        <v>1899.0</v>
      </c>
    </row>
    <row r="2033">
      <c r="A2033" s="223"/>
      <c r="B2033" s="223" t="s">
        <v>200</v>
      </c>
      <c r="C2033" s="223"/>
      <c r="D2033" s="316"/>
      <c r="E2033" s="218"/>
      <c r="F2033" s="218"/>
      <c r="G2033" s="218" t="s">
        <v>200</v>
      </c>
      <c r="H2033" s="223">
        <v>0.0</v>
      </c>
      <c r="J2033" s="223"/>
      <c r="K2033" s="317">
        <v>1899.0</v>
      </c>
    </row>
    <row r="2034">
      <c r="A2034" s="223"/>
      <c r="B2034" s="223" t="s">
        <v>200</v>
      </c>
      <c r="C2034" s="223"/>
      <c r="D2034" s="316"/>
      <c r="E2034" s="218"/>
      <c r="F2034" s="218"/>
      <c r="G2034" s="218" t="s">
        <v>200</v>
      </c>
      <c r="H2034" s="223">
        <v>0.0</v>
      </c>
      <c r="J2034" s="223"/>
      <c r="K2034" s="317">
        <v>1899.0</v>
      </c>
    </row>
    <row r="2035">
      <c r="A2035" s="223"/>
      <c r="B2035" s="223" t="s">
        <v>200</v>
      </c>
      <c r="C2035" s="223"/>
      <c r="D2035" s="316"/>
      <c r="E2035" s="218"/>
      <c r="F2035" s="218"/>
      <c r="G2035" s="218" t="s">
        <v>200</v>
      </c>
      <c r="H2035" s="223">
        <v>0.0</v>
      </c>
      <c r="J2035" s="223"/>
      <c r="K2035" s="317">
        <v>1899.0</v>
      </c>
    </row>
    <row r="2036">
      <c r="A2036" s="223"/>
      <c r="B2036" s="223" t="s">
        <v>200</v>
      </c>
      <c r="C2036" s="223"/>
      <c r="D2036" s="316"/>
      <c r="E2036" s="218"/>
      <c r="F2036" s="218"/>
      <c r="G2036" s="218" t="s">
        <v>200</v>
      </c>
      <c r="H2036" s="223">
        <v>0.0</v>
      </c>
      <c r="J2036" s="223"/>
      <c r="K2036" s="317">
        <v>1899.0</v>
      </c>
    </row>
    <row r="2037">
      <c r="A2037" s="223"/>
      <c r="B2037" s="223" t="s">
        <v>200</v>
      </c>
      <c r="C2037" s="223"/>
      <c r="D2037" s="316"/>
      <c r="E2037" s="218"/>
      <c r="F2037" s="218"/>
      <c r="G2037" s="218" t="s">
        <v>200</v>
      </c>
      <c r="H2037" s="223">
        <v>0.0</v>
      </c>
      <c r="J2037" s="223"/>
      <c r="K2037" s="317">
        <v>1899.0</v>
      </c>
    </row>
    <row r="2038">
      <c r="A2038" s="223"/>
      <c r="B2038" s="223" t="s">
        <v>200</v>
      </c>
      <c r="C2038" s="223"/>
      <c r="D2038" s="316"/>
      <c r="E2038" s="218"/>
      <c r="F2038" s="218"/>
      <c r="G2038" s="218" t="s">
        <v>200</v>
      </c>
      <c r="H2038" s="223">
        <v>0.0</v>
      </c>
      <c r="J2038" s="223"/>
      <c r="K2038" s="317">
        <v>1899.0</v>
      </c>
    </row>
    <row r="2039">
      <c r="A2039" s="223"/>
      <c r="B2039" s="223" t="s">
        <v>200</v>
      </c>
      <c r="C2039" s="223"/>
      <c r="D2039" s="316"/>
      <c r="E2039" s="218"/>
      <c r="F2039" s="218"/>
      <c r="G2039" s="218" t="s">
        <v>200</v>
      </c>
      <c r="H2039" s="223">
        <v>0.0</v>
      </c>
      <c r="J2039" s="223"/>
      <c r="K2039" s="317">
        <v>1899.0</v>
      </c>
    </row>
    <row r="2040">
      <c r="A2040" s="223"/>
      <c r="B2040" s="223" t="s">
        <v>200</v>
      </c>
      <c r="C2040" s="223"/>
      <c r="D2040" s="316"/>
      <c r="E2040" s="218"/>
      <c r="F2040" s="218"/>
      <c r="G2040" s="218" t="s">
        <v>200</v>
      </c>
      <c r="H2040" s="223">
        <v>0.0</v>
      </c>
      <c r="J2040" s="223"/>
      <c r="K2040" s="317">
        <v>1899.0</v>
      </c>
    </row>
    <row r="2041">
      <c r="A2041" s="223"/>
      <c r="B2041" s="223" t="s">
        <v>200</v>
      </c>
      <c r="C2041" s="223"/>
      <c r="D2041" s="316"/>
      <c r="E2041" s="218"/>
      <c r="F2041" s="218"/>
      <c r="G2041" s="218" t="s">
        <v>200</v>
      </c>
      <c r="H2041" s="223">
        <v>0.0</v>
      </c>
      <c r="J2041" s="223"/>
      <c r="K2041" s="317">
        <v>1899.0</v>
      </c>
    </row>
    <row r="2042">
      <c r="A2042" s="223"/>
      <c r="B2042" s="223" t="s">
        <v>200</v>
      </c>
      <c r="C2042" s="223"/>
      <c r="D2042" s="316"/>
      <c r="E2042" s="218"/>
      <c r="F2042" s="218"/>
      <c r="G2042" s="218" t="s">
        <v>200</v>
      </c>
      <c r="H2042" s="223">
        <v>0.0</v>
      </c>
      <c r="J2042" s="223"/>
      <c r="K2042" s="317">
        <v>1899.0</v>
      </c>
    </row>
    <row r="2043">
      <c r="A2043" s="223"/>
      <c r="B2043" s="223" t="s">
        <v>200</v>
      </c>
      <c r="C2043" s="223"/>
      <c r="D2043" s="316"/>
      <c r="E2043" s="218"/>
      <c r="F2043" s="218"/>
      <c r="G2043" s="218" t="s">
        <v>200</v>
      </c>
      <c r="H2043" s="223">
        <v>0.0</v>
      </c>
      <c r="J2043" s="223"/>
      <c r="K2043" s="317">
        <v>1899.0</v>
      </c>
    </row>
    <row r="2044">
      <c r="A2044" s="223"/>
      <c r="B2044" s="223" t="s">
        <v>200</v>
      </c>
      <c r="C2044" s="223"/>
      <c r="D2044" s="316"/>
      <c r="E2044" s="218"/>
      <c r="F2044" s="218"/>
      <c r="G2044" s="218" t="s">
        <v>200</v>
      </c>
      <c r="H2044" s="223">
        <v>0.0</v>
      </c>
      <c r="J2044" s="223"/>
      <c r="K2044" s="317">
        <v>1899.0</v>
      </c>
    </row>
    <row r="2045">
      <c r="A2045" s="223"/>
      <c r="B2045" s="223" t="s">
        <v>200</v>
      </c>
      <c r="C2045" s="223"/>
      <c r="D2045" s="316"/>
      <c r="E2045" s="218"/>
      <c r="F2045" s="218"/>
      <c r="G2045" s="218" t="s">
        <v>200</v>
      </c>
      <c r="H2045" s="223">
        <v>0.0</v>
      </c>
      <c r="J2045" s="223"/>
      <c r="K2045" s="317">
        <v>1899.0</v>
      </c>
    </row>
    <row r="2046">
      <c r="A2046" s="223"/>
      <c r="B2046" s="223" t="s">
        <v>200</v>
      </c>
      <c r="C2046" s="223"/>
      <c r="D2046" s="316"/>
      <c r="E2046" s="218"/>
      <c r="F2046" s="218"/>
      <c r="G2046" s="218" t="s">
        <v>200</v>
      </c>
      <c r="H2046" s="223">
        <v>0.0</v>
      </c>
      <c r="J2046" s="223"/>
      <c r="K2046" s="317">
        <v>1899.0</v>
      </c>
    </row>
    <row r="2047">
      <c r="A2047" s="223"/>
      <c r="B2047" s="223" t="s">
        <v>200</v>
      </c>
      <c r="C2047" s="223"/>
      <c r="D2047" s="316"/>
      <c r="E2047" s="218"/>
      <c r="F2047" s="218"/>
      <c r="G2047" s="218" t="s">
        <v>200</v>
      </c>
      <c r="H2047" s="223">
        <v>0.0</v>
      </c>
      <c r="J2047" s="223"/>
      <c r="K2047" s="317">
        <v>1899.0</v>
      </c>
    </row>
    <row r="2048">
      <c r="A2048" s="223"/>
      <c r="B2048" s="223" t="s">
        <v>200</v>
      </c>
      <c r="C2048" s="223"/>
      <c r="D2048" s="316"/>
      <c r="E2048" s="218"/>
      <c r="F2048" s="218"/>
      <c r="G2048" s="218" t="s">
        <v>200</v>
      </c>
      <c r="H2048" s="223">
        <v>0.0</v>
      </c>
      <c r="J2048" s="223"/>
      <c r="K2048" s="317">
        <v>1899.0</v>
      </c>
    </row>
    <row r="2049">
      <c r="A2049" s="223"/>
      <c r="B2049" s="223" t="s">
        <v>200</v>
      </c>
      <c r="C2049" s="223"/>
      <c r="D2049" s="316"/>
      <c r="E2049" s="218"/>
      <c r="F2049" s="218"/>
      <c r="G2049" s="218" t="s">
        <v>200</v>
      </c>
      <c r="H2049" s="223">
        <v>0.0</v>
      </c>
      <c r="J2049" s="223"/>
      <c r="K2049" s="317">
        <v>1899.0</v>
      </c>
    </row>
    <row r="2050">
      <c r="A2050" s="223"/>
      <c r="B2050" s="223" t="s">
        <v>200</v>
      </c>
      <c r="C2050" s="223"/>
      <c r="D2050" s="316"/>
      <c r="E2050" s="218"/>
      <c r="F2050" s="218"/>
      <c r="G2050" s="218" t="s">
        <v>200</v>
      </c>
      <c r="H2050" s="223">
        <v>0.0</v>
      </c>
      <c r="J2050" s="223"/>
      <c r="K2050" s="317">
        <v>1899.0</v>
      </c>
    </row>
    <row r="2051">
      <c r="A2051" s="223"/>
      <c r="B2051" s="223" t="s">
        <v>200</v>
      </c>
      <c r="C2051" s="223"/>
      <c r="D2051" s="316"/>
      <c r="E2051" s="218"/>
      <c r="F2051" s="218"/>
      <c r="G2051" s="218" t="s">
        <v>200</v>
      </c>
      <c r="H2051" s="223">
        <v>0.0</v>
      </c>
      <c r="J2051" s="223"/>
      <c r="K2051" s="317">
        <v>1899.0</v>
      </c>
    </row>
    <row r="2052">
      <c r="A2052" s="223"/>
      <c r="B2052" s="223" t="s">
        <v>200</v>
      </c>
      <c r="C2052" s="223"/>
      <c r="D2052" s="316"/>
      <c r="E2052" s="218"/>
      <c r="F2052" s="218"/>
      <c r="G2052" s="218" t="s">
        <v>200</v>
      </c>
      <c r="H2052" s="223">
        <v>0.0</v>
      </c>
      <c r="J2052" s="223"/>
      <c r="K2052" s="317">
        <v>1899.0</v>
      </c>
    </row>
    <row r="2053">
      <c r="A2053" s="223"/>
      <c r="B2053" s="223" t="s">
        <v>200</v>
      </c>
      <c r="C2053" s="223"/>
      <c r="D2053" s="316"/>
      <c r="E2053" s="218"/>
      <c r="F2053" s="218"/>
      <c r="G2053" s="218" t="s">
        <v>200</v>
      </c>
      <c r="H2053" s="223">
        <v>0.0</v>
      </c>
      <c r="J2053" s="223"/>
      <c r="K2053" s="317">
        <v>1899.0</v>
      </c>
    </row>
    <row r="2054">
      <c r="A2054" s="223"/>
      <c r="B2054" s="223" t="s">
        <v>200</v>
      </c>
      <c r="C2054" s="223"/>
      <c r="D2054" s="316"/>
      <c r="E2054" s="218"/>
      <c r="F2054" s="218"/>
      <c r="G2054" s="218" t="s">
        <v>200</v>
      </c>
      <c r="H2054" s="223">
        <v>0.0</v>
      </c>
      <c r="J2054" s="223"/>
      <c r="K2054" s="317">
        <v>1899.0</v>
      </c>
    </row>
    <row r="2055">
      <c r="A2055" s="223"/>
      <c r="B2055" s="223" t="s">
        <v>200</v>
      </c>
      <c r="C2055" s="223"/>
      <c r="D2055" s="316"/>
      <c r="E2055" s="218"/>
      <c r="F2055" s="218"/>
      <c r="G2055" s="218" t="s">
        <v>200</v>
      </c>
      <c r="H2055" s="223">
        <v>0.0</v>
      </c>
      <c r="J2055" s="223"/>
      <c r="K2055" s="317">
        <v>1899.0</v>
      </c>
    </row>
    <row r="2056">
      <c r="A2056" s="223"/>
      <c r="B2056" s="223" t="s">
        <v>200</v>
      </c>
      <c r="C2056" s="223"/>
      <c r="D2056" s="316"/>
      <c r="E2056" s="218"/>
      <c r="F2056" s="218"/>
      <c r="G2056" s="218" t="s">
        <v>200</v>
      </c>
      <c r="H2056" s="223">
        <v>0.0</v>
      </c>
      <c r="J2056" s="223"/>
      <c r="K2056" s="317">
        <v>1899.0</v>
      </c>
    </row>
    <row r="2057">
      <c r="A2057" s="223"/>
      <c r="B2057" s="223" t="s">
        <v>200</v>
      </c>
      <c r="C2057" s="223"/>
      <c r="D2057" s="316"/>
      <c r="E2057" s="218"/>
      <c r="F2057" s="218"/>
      <c r="G2057" s="218" t="s">
        <v>200</v>
      </c>
      <c r="H2057" s="223">
        <v>0.0</v>
      </c>
      <c r="J2057" s="223"/>
      <c r="K2057" s="317">
        <v>1899.0</v>
      </c>
    </row>
    <row r="2058">
      <c r="A2058" s="223"/>
      <c r="B2058" s="223" t="s">
        <v>200</v>
      </c>
      <c r="C2058" s="223"/>
      <c r="D2058" s="316"/>
      <c r="E2058" s="218"/>
      <c r="F2058" s="218"/>
      <c r="G2058" s="218" t="s">
        <v>200</v>
      </c>
      <c r="H2058" s="223">
        <v>0.0</v>
      </c>
      <c r="J2058" s="223"/>
      <c r="K2058" s="317">
        <v>1899.0</v>
      </c>
    </row>
    <row r="2059">
      <c r="A2059" s="223"/>
      <c r="B2059" s="223" t="s">
        <v>200</v>
      </c>
      <c r="C2059" s="223"/>
      <c r="D2059" s="316"/>
      <c r="E2059" s="218"/>
      <c r="F2059" s="218"/>
      <c r="G2059" s="218" t="s">
        <v>200</v>
      </c>
      <c r="H2059" s="223">
        <v>0.0</v>
      </c>
      <c r="J2059" s="223"/>
      <c r="K2059" s="317">
        <v>1899.0</v>
      </c>
    </row>
    <row r="2060">
      <c r="A2060" s="223"/>
      <c r="B2060" s="223" t="s">
        <v>200</v>
      </c>
      <c r="C2060" s="223"/>
      <c r="D2060" s="316"/>
      <c r="E2060" s="218"/>
      <c r="F2060" s="218"/>
      <c r="G2060" s="218" t="s">
        <v>200</v>
      </c>
      <c r="H2060" s="223">
        <v>0.0</v>
      </c>
      <c r="J2060" s="223"/>
      <c r="K2060" s="317">
        <v>1899.0</v>
      </c>
    </row>
    <row r="2061">
      <c r="A2061" s="223"/>
      <c r="B2061" s="223" t="s">
        <v>200</v>
      </c>
      <c r="C2061" s="223"/>
      <c r="D2061" s="316"/>
      <c r="E2061" s="218"/>
      <c r="F2061" s="218"/>
      <c r="G2061" s="218" t="s">
        <v>200</v>
      </c>
      <c r="H2061" s="223">
        <v>0.0</v>
      </c>
      <c r="J2061" s="223"/>
      <c r="K2061" s="317">
        <v>1899.0</v>
      </c>
    </row>
    <row r="2062">
      <c r="A2062" s="223"/>
      <c r="B2062" s="223" t="s">
        <v>200</v>
      </c>
      <c r="C2062" s="223"/>
      <c r="D2062" s="316"/>
      <c r="E2062" s="218"/>
      <c r="F2062" s="218"/>
      <c r="G2062" s="218" t="s">
        <v>200</v>
      </c>
      <c r="H2062" s="223">
        <v>0.0</v>
      </c>
      <c r="J2062" s="223"/>
      <c r="K2062" s="317">
        <v>1899.0</v>
      </c>
    </row>
    <row r="2063">
      <c r="A2063" s="223"/>
      <c r="B2063" s="223" t="s">
        <v>200</v>
      </c>
      <c r="C2063" s="223"/>
      <c r="D2063" s="316"/>
      <c r="E2063" s="218"/>
      <c r="F2063" s="218"/>
      <c r="G2063" s="218" t="s">
        <v>200</v>
      </c>
      <c r="H2063" s="223">
        <v>0.0</v>
      </c>
      <c r="J2063" s="223"/>
      <c r="K2063" s="317">
        <v>1899.0</v>
      </c>
    </row>
    <row r="2064">
      <c r="A2064" s="223"/>
      <c r="B2064" s="223" t="s">
        <v>200</v>
      </c>
      <c r="C2064" s="223"/>
      <c r="D2064" s="316"/>
      <c r="E2064" s="218"/>
      <c r="F2064" s="218"/>
      <c r="G2064" s="218" t="s">
        <v>200</v>
      </c>
      <c r="H2064" s="223">
        <v>0.0</v>
      </c>
      <c r="J2064" s="223"/>
      <c r="K2064" s="317">
        <v>1899.0</v>
      </c>
    </row>
    <row r="2065">
      <c r="A2065" s="223"/>
      <c r="B2065" s="223" t="s">
        <v>200</v>
      </c>
      <c r="C2065" s="223"/>
      <c r="D2065" s="316"/>
      <c r="E2065" s="218"/>
      <c r="F2065" s="218"/>
      <c r="G2065" s="218" t="s">
        <v>200</v>
      </c>
      <c r="H2065" s="223">
        <v>0.0</v>
      </c>
      <c r="J2065" s="223"/>
      <c r="K2065" s="317">
        <v>1899.0</v>
      </c>
    </row>
    <row r="2066">
      <c r="A2066" s="223"/>
      <c r="B2066" s="223" t="s">
        <v>200</v>
      </c>
      <c r="C2066" s="223"/>
      <c r="D2066" s="316"/>
      <c r="E2066" s="218"/>
      <c r="F2066" s="218"/>
      <c r="G2066" s="218" t="s">
        <v>200</v>
      </c>
      <c r="H2066" s="223">
        <v>0.0</v>
      </c>
      <c r="J2066" s="223"/>
      <c r="K2066" s="317">
        <v>1899.0</v>
      </c>
    </row>
    <row r="2067">
      <c r="A2067" s="223"/>
      <c r="B2067" s="223" t="s">
        <v>200</v>
      </c>
      <c r="C2067" s="223"/>
      <c r="D2067" s="316"/>
      <c r="E2067" s="218"/>
      <c r="F2067" s="218"/>
      <c r="G2067" s="218" t="s">
        <v>200</v>
      </c>
      <c r="H2067" s="223">
        <v>0.0</v>
      </c>
      <c r="J2067" s="223"/>
      <c r="K2067" s="317">
        <v>1899.0</v>
      </c>
    </row>
    <row r="2068">
      <c r="A2068" s="223"/>
      <c r="B2068" s="223" t="s">
        <v>200</v>
      </c>
      <c r="C2068" s="223"/>
      <c r="D2068" s="316"/>
      <c r="E2068" s="218"/>
      <c r="F2068" s="218"/>
      <c r="G2068" s="218" t="s">
        <v>200</v>
      </c>
      <c r="H2068" s="223">
        <v>0.0</v>
      </c>
      <c r="J2068" s="223"/>
      <c r="K2068" s="317">
        <v>1899.0</v>
      </c>
    </row>
    <row r="2069">
      <c r="A2069" s="223"/>
      <c r="B2069" s="223" t="s">
        <v>200</v>
      </c>
      <c r="C2069" s="223"/>
      <c r="D2069" s="316"/>
      <c r="E2069" s="218"/>
      <c r="F2069" s="218"/>
      <c r="G2069" s="218" t="s">
        <v>200</v>
      </c>
      <c r="H2069" s="223">
        <v>0.0</v>
      </c>
      <c r="J2069" s="223"/>
      <c r="K2069" s="317">
        <v>1899.0</v>
      </c>
    </row>
    <row r="2070">
      <c r="A2070" s="223"/>
      <c r="B2070" s="223" t="s">
        <v>200</v>
      </c>
      <c r="C2070" s="223"/>
      <c r="D2070" s="316"/>
      <c r="E2070" s="218"/>
      <c r="F2070" s="218"/>
      <c r="G2070" s="218" t="s">
        <v>200</v>
      </c>
      <c r="H2070" s="223">
        <v>0.0</v>
      </c>
      <c r="J2070" s="223"/>
      <c r="K2070" s="317">
        <v>1899.0</v>
      </c>
    </row>
    <row r="2071">
      <c r="A2071" s="223"/>
      <c r="B2071" s="223" t="s">
        <v>200</v>
      </c>
      <c r="C2071" s="223"/>
      <c r="D2071" s="316"/>
      <c r="E2071" s="218"/>
      <c r="F2071" s="218"/>
      <c r="G2071" s="218" t="s">
        <v>200</v>
      </c>
      <c r="H2071" s="223">
        <v>0.0</v>
      </c>
      <c r="J2071" s="223"/>
      <c r="K2071" s="317">
        <v>1899.0</v>
      </c>
    </row>
    <row r="2072">
      <c r="A2072" s="223"/>
      <c r="B2072" s="223" t="s">
        <v>200</v>
      </c>
      <c r="C2072" s="223"/>
      <c r="D2072" s="316"/>
      <c r="E2072" s="218"/>
      <c r="F2072" s="218"/>
      <c r="G2072" s="218" t="s">
        <v>200</v>
      </c>
      <c r="H2072" s="223">
        <v>0.0</v>
      </c>
      <c r="J2072" s="223"/>
      <c r="K2072" s="317">
        <v>1899.0</v>
      </c>
    </row>
    <row r="2073">
      <c r="A2073" s="223"/>
      <c r="B2073" s="223" t="s">
        <v>200</v>
      </c>
      <c r="C2073" s="223"/>
      <c r="D2073" s="316"/>
      <c r="E2073" s="218"/>
      <c r="F2073" s="218"/>
      <c r="G2073" s="218" t="s">
        <v>200</v>
      </c>
      <c r="H2073" s="223">
        <v>0.0</v>
      </c>
      <c r="J2073" s="223"/>
      <c r="K2073" s="317">
        <v>1899.0</v>
      </c>
    </row>
    <row r="2074">
      <c r="A2074" s="223"/>
      <c r="B2074" s="223" t="s">
        <v>200</v>
      </c>
      <c r="C2074" s="223"/>
      <c r="D2074" s="316"/>
      <c r="E2074" s="218"/>
      <c r="F2074" s="218"/>
      <c r="G2074" s="218" t="s">
        <v>200</v>
      </c>
      <c r="H2074" s="223">
        <v>0.0</v>
      </c>
      <c r="J2074" s="223"/>
      <c r="K2074" s="317">
        <v>1899.0</v>
      </c>
    </row>
    <row r="2075">
      <c r="A2075" s="223"/>
      <c r="B2075" s="223" t="s">
        <v>200</v>
      </c>
      <c r="C2075" s="223"/>
      <c r="D2075" s="316"/>
      <c r="E2075" s="218"/>
      <c r="F2075" s="218"/>
      <c r="G2075" s="218" t="s">
        <v>200</v>
      </c>
      <c r="H2075" s="223">
        <v>0.0</v>
      </c>
      <c r="J2075" s="223"/>
      <c r="K2075" s="317">
        <v>1899.0</v>
      </c>
    </row>
    <row r="2076">
      <c r="A2076" s="223"/>
      <c r="B2076" s="223" t="s">
        <v>200</v>
      </c>
      <c r="C2076" s="223"/>
      <c r="D2076" s="316"/>
      <c r="E2076" s="218"/>
      <c r="F2076" s="218"/>
      <c r="G2076" s="218" t="s">
        <v>200</v>
      </c>
      <c r="H2076" s="223">
        <v>0.0</v>
      </c>
      <c r="J2076" s="223"/>
      <c r="K2076" s="317">
        <v>1899.0</v>
      </c>
    </row>
    <row r="2077">
      <c r="A2077" s="223"/>
      <c r="B2077" s="223" t="s">
        <v>200</v>
      </c>
      <c r="C2077" s="223"/>
      <c r="D2077" s="316"/>
      <c r="E2077" s="218"/>
      <c r="F2077" s="218"/>
      <c r="G2077" s="218" t="s">
        <v>200</v>
      </c>
      <c r="H2077" s="223">
        <v>0.0</v>
      </c>
      <c r="J2077" s="223"/>
      <c r="K2077" s="317">
        <v>1899.0</v>
      </c>
    </row>
    <row r="2078">
      <c r="A2078" s="223"/>
      <c r="B2078" s="223" t="s">
        <v>200</v>
      </c>
      <c r="C2078" s="223"/>
      <c r="D2078" s="316"/>
      <c r="E2078" s="218"/>
      <c r="F2078" s="218"/>
      <c r="G2078" s="218" t="s">
        <v>200</v>
      </c>
      <c r="H2078" s="223">
        <v>0.0</v>
      </c>
      <c r="J2078" s="223"/>
      <c r="K2078" s="317">
        <v>1899.0</v>
      </c>
    </row>
    <row r="2079">
      <c r="A2079" s="223"/>
      <c r="B2079" s="223" t="s">
        <v>200</v>
      </c>
      <c r="C2079" s="223"/>
      <c r="D2079" s="316"/>
      <c r="E2079" s="218"/>
      <c r="F2079" s="218"/>
      <c r="G2079" s="218" t="s">
        <v>200</v>
      </c>
      <c r="H2079" s="223">
        <v>0.0</v>
      </c>
      <c r="J2079" s="223"/>
      <c r="K2079" s="317">
        <v>1899.0</v>
      </c>
    </row>
    <row r="2080">
      <c r="A2080" s="223"/>
      <c r="B2080" s="223" t="s">
        <v>200</v>
      </c>
      <c r="C2080" s="223"/>
      <c r="D2080" s="316"/>
      <c r="E2080" s="218"/>
      <c r="F2080" s="218"/>
      <c r="G2080" s="218" t="s">
        <v>200</v>
      </c>
      <c r="H2080" s="223">
        <v>0.0</v>
      </c>
      <c r="J2080" s="223"/>
      <c r="K2080" s="317">
        <v>1899.0</v>
      </c>
    </row>
    <row r="2081">
      <c r="A2081" s="223"/>
      <c r="B2081" s="223" t="s">
        <v>200</v>
      </c>
      <c r="C2081" s="223"/>
      <c r="D2081" s="316"/>
      <c r="E2081" s="218"/>
      <c r="F2081" s="218"/>
      <c r="G2081" s="218" t="s">
        <v>200</v>
      </c>
      <c r="H2081" s="223">
        <v>0.0</v>
      </c>
      <c r="J2081" s="223"/>
      <c r="K2081" s="317">
        <v>1899.0</v>
      </c>
    </row>
    <row r="2082">
      <c r="A2082" s="223"/>
      <c r="B2082" s="223" t="s">
        <v>200</v>
      </c>
      <c r="C2082" s="223"/>
      <c r="D2082" s="316"/>
      <c r="E2082" s="218"/>
      <c r="F2082" s="218"/>
      <c r="G2082" s="218" t="s">
        <v>200</v>
      </c>
      <c r="H2082" s="223">
        <v>0.0</v>
      </c>
      <c r="J2082" s="223"/>
      <c r="K2082" s="317">
        <v>1899.0</v>
      </c>
    </row>
    <row r="2083">
      <c r="A2083" s="223"/>
      <c r="B2083" s="223" t="s">
        <v>200</v>
      </c>
      <c r="C2083" s="223"/>
      <c r="D2083" s="316"/>
      <c r="E2083" s="218"/>
      <c r="F2083" s="218"/>
      <c r="G2083" s="218" t="s">
        <v>200</v>
      </c>
      <c r="H2083" s="223">
        <v>0.0</v>
      </c>
      <c r="J2083" s="223"/>
      <c r="K2083" s="317">
        <v>1899.0</v>
      </c>
    </row>
    <row r="2084">
      <c r="A2084" s="223"/>
      <c r="B2084" s="223" t="s">
        <v>200</v>
      </c>
      <c r="C2084" s="223"/>
      <c r="D2084" s="316"/>
      <c r="E2084" s="218"/>
      <c r="F2084" s="218"/>
      <c r="G2084" s="218" t="s">
        <v>200</v>
      </c>
      <c r="H2084" s="223">
        <v>0.0</v>
      </c>
      <c r="J2084" s="223"/>
      <c r="K2084" s="317">
        <v>1899.0</v>
      </c>
    </row>
    <row r="2085">
      <c r="A2085" s="223"/>
      <c r="B2085" s="223" t="s">
        <v>200</v>
      </c>
      <c r="C2085" s="223"/>
      <c r="D2085" s="316"/>
      <c r="E2085" s="218"/>
      <c r="F2085" s="218"/>
      <c r="G2085" s="218" t="s">
        <v>200</v>
      </c>
      <c r="H2085" s="223">
        <v>0.0</v>
      </c>
      <c r="J2085" s="223"/>
      <c r="K2085" s="317">
        <v>1899.0</v>
      </c>
    </row>
    <row r="2086">
      <c r="A2086" s="223"/>
      <c r="B2086" s="223" t="s">
        <v>200</v>
      </c>
      <c r="C2086" s="223"/>
      <c r="D2086" s="316"/>
      <c r="E2086" s="218"/>
      <c r="F2086" s="218"/>
      <c r="G2086" s="218" t="s">
        <v>200</v>
      </c>
      <c r="H2086" s="223">
        <v>0.0</v>
      </c>
      <c r="J2086" s="223"/>
      <c r="K2086" s="317">
        <v>1899.0</v>
      </c>
    </row>
    <row r="2087">
      <c r="A2087" s="223"/>
      <c r="B2087" s="223" t="s">
        <v>200</v>
      </c>
      <c r="C2087" s="223"/>
      <c r="D2087" s="316"/>
      <c r="E2087" s="218"/>
      <c r="F2087" s="218"/>
      <c r="G2087" s="218" t="s">
        <v>200</v>
      </c>
      <c r="H2087" s="223">
        <v>0.0</v>
      </c>
      <c r="J2087" s="223"/>
      <c r="K2087" s="317">
        <v>1899.0</v>
      </c>
    </row>
    <row r="2088">
      <c r="A2088" s="223"/>
      <c r="B2088" s="223" t="s">
        <v>200</v>
      </c>
      <c r="C2088" s="223"/>
      <c r="D2088" s="316"/>
      <c r="E2088" s="218"/>
      <c r="F2088" s="218"/>
      <c r="G2088" s="218" t="s">
        <v>200</v>
      </c>
      <c r="H2088" s="223">
        <v>0.0</v>
      </c>
      <c r="J2088" s="223"/>
      <c r="K2088" s="317">
        <v>1899.0</v>
      </c>
    </row>
    <row r="2089">
      <c r="A2089" s="223"/>
      <c r="B2089" s="223" t="s">
        <v>200</v>
      </c>
      <c r="C2089" s="223"/>
      <c r="D2089" s="316"/>
      <c r="E2089" s="218"/>
      <c r="F2089" s="218"/>
      <c r="G2089" s="218" t="s">
        <v>200</v>
      </c>
      <c r="H2089" s="223">
        <v>0.0</v>
      </c>
      <c r="J2089" s="223"/>
      <c r="K2089" s="317">
        <v>1899.0</v>
      </c>
    </row>
    <row r="2090">
      <c r="A2090" s="223"/>
      <c r="B2090" s="223" t="s">
        <v>200</v>
      </c>
      <c r="C2090" s="223"/>
      <c r="D2090" s="316"/>
      <c r="E2090" s="218"/>
      <c r="F2090" s="218"/>
      <c r="G2090" s="218" t="s">
        <v>200</v>
      </c>
      <c r="H2090" s="223">
        <v>0.0</v>
      </c>
      <c r="J2090" s="223"/>
      <c r="K2090" s="317">
        <v>1899.0</v>
      </c>
    </row>
    <row r="2091">
      <c r="A2091" s="223"/>
      <c r="B2091" s="223" t="s">
        <v>200</v>
      </c>
      <c r="C2091" s="223"/>
      <c r="D2091" s="316"/>
      <c r="E2091" s="218"/>
      <c r="F2091" s="218"/>
      <c r="G2091" s="218" t="s">
        <v>200</v>
      </c>
      <c r="H2091" s="223">
        <v>0.0</v>
      </c>
      <c r="J2091" s="223"/>
      <c r="K2091" s="317">
        <v>1899.0</v>
      </c>
    </row>
    <row r="2092">
      <c r="A2092" s="223"/>
      <c r="B2092" s="223" t="s">
        <v>200</v>
      </c>
      <c r="C2092" s="223"/>
      <c r="D2092" s="316"/>
      <c r="E2092" s="218"/>
      <c r="F2092" s="218"/>
      <c r="G2092" s="218" t="s">
        <v>200</v>
      </c>
      <c r="H2092" s="223">
        <v>0.0</v>
      </c>
      <c r="J2092" s="223"/>
      <c r="K2092" s="317">
        <v>1899.0</v>
      </c>
    </row>
    <row r="2093">
      <c r="A2093" s="223"/>
      <c r="B2093" s="223" t="s">
        <v>200</v>
      </c>
      <c r="C2093" s="223"/>
      <c r="D2093" s="316"/>
      <c r="E2093" s="218"/>
      <c r="F2093" s="218"/>
      <c r="G2093" s="218" t="s">
        <v>200</v>
      </c>
      <c r="H2093" s="223">
        <v>0.0</v>
      </c>
      <c r="J2093" s="223"/>
      <c r="K2093" s="317">
        <v>1899.0</v>
      </c>
    </row>
    <row r="2094">
      <c r="A2094" s="223"/>
      <c r="B2094" s="223" t="s">
        <v>200</v>
      </c>
      <c r="C2094" s="223"/>
      <c r="D2094" s="316"/>
      <c r="E2094" s="218"/>
      <c r="F2094" s="218"/>
      <c r="G2094" s="218" t="s">
        <v>200</v>
      </c>
      <c r="H2094" s="223">
        <v>0.0</v>
      </c>
      <c r="J2094" s="223"/>
      <c r="K2094" s="317">
        <v>1899.0</v>
      </c>
    </row>
    <row r="2095">
      <c r="A2095" s="223"/>
      <c r="B2095" s="223" t="s">
        <v>200</v>
      </c>
      <c r="C2095" s="223"/>
      <c r="D2095" s="316"/>
      <c r="E2095" s="218"/>
      <c r="F2095" s="218"/>
      <c r="G2095" s="218" t="s">
        <v>200</v>
      </c>
      <c r="H2095" s="223">
        <v>0.0</v>
      </c>
      <c r="J2095" s="223"/>
      <c r="K2095" s="317">
        <v>1899.0</v>
      </c>
    </row>
    <row r="2096">
      <c r="A2096" s="223"/>
      <c r="B2096" s="223" t="s">
        <v>200</v>
      </c>
      <c r="C2096" s="223"/>
      <c r="D2096" s="316"/>
      <c r="E2096" s="218"/>
      <c r="F2096" s="218"/>
      <c r="G2096" s="218" t="s">
        <v>200</v>
      </c>
      <c r="H2096" s="223">
        <v>0.0</v>
      </c>
      <c r="J2096" s="223"/>
      <c r="K2096" s="317">
        <v>1899.0</v>
      </c>
    </row>
    <row r="2097">
      <c r="A2097" s="223"/>
      <c r="B2097" s="223" t="s">
        <v>200</v>
      </c>
      <c r="C2097" s="223"/>
      <c r="D2097" s="316"/>
      <c r="E2097" s="218"/>
      <c r="F2097" s="218"/>
      <c r="G2097" s="218" t="s">
        <v>200</v>
      </c>
      <c r="H2097" s="223">
        <v>0.0</v>
      </c>
      <c r="J2097" s="223"/>
      <c r="K2097" s="317">
        <v>1899.0</v>
      </c>
    </row>
    <row r="2098">
      <c r="A2098" s="223"/>
      <c r="B2098" s="223" t="s">
        <v>200</v>
      </c>
      <c r="C2098" s="223"/>
      <c r="D2098" s="316"/>
      <c r="E2098" s="218"/>
      <c r="F2098" s="218"/>
      <c r="G2098" s="218" t="s">
        <v>200</v>
      </c>
      <c r="H2098" s="223">
        <v>0.0</v>
      </c>
      <c r="J2098" s="223"/>
      <c r="K2098" s="317">
        <v>1899.0</v>
      </c>
    </row>
    <row r="2099">
      <c r="A2099" s="223"/>
      <c r="B2099" s="223" t="s">
        <v>200</v>
      </c>
      <c r="C2099" s="223"/>
      <c r="D2099" s="316"/>
      <c r="E2099" s="218"/>
      <c r="F2099" s="218"/>
      <c r="G2099" s="218" t="s">
        <v>200</v>
      </c>
      <c r="H2099" s="223">
        <v>0.0</v>
      </c>
      <c r="J2099" s="223"/>
      <c r="K2099" s="317">
        <v>1899.0</v>
      </c>
    </row>
    <row r="2100">
      <c r="A2100" s="223"/>
      <c r="B2100" s="223" t="s">
        <v>200</v>
      </c>
      <c r="C2100" s="223"/>
      <c r="D2100" s="316"/>
      <c r="E2100" s="218"/>
      <c r="F2100" s="218"/>
      <c r="G2100" s="218" t="s">
        <v>200</v>
      </c>
      <c r="H2100" s="223">
        <v>0.0</v>
      </c>
      <c r="J2100" s="223"/>
      <c r="K2100" s="317">
        <v>1899.0</v>
      </c>
    </row>
    <row r="2101">
      <c r="A2101" s="223"/>
      <c r="B2101" s="223" t="s">
        <v>200</v>
      </c>
      <c r="C2101" s="223"/>
      <c r="D2101" s="316"/>
      <c r="E2101" s="218"/>
      <c r="F2101" s="218"/>
      <c r="G2101" s="218" t="s">
        <v>200</v>
      </c>
      <c r="H2101" s="223">
        <v>0.0</v>
      </c>
      <c r="J2101" s="223"/>
      <c r="K2101" s="317">
        <v>1899.0</v>
      </c>
    </row>
    <row r="2102">
      <c r="A2102" s="223"/>
      <c r="B2102" s="223" t="s">
        <v>200</v>
      </c>
      <c r="C2102" s="223"/>
      <c r="D2102" s="316"/>
      <c r="E2102" s="218"/>
      <c r="F2102" s="218"/>
      <c r="G2102" s="218" t="s">
        <v>200</v>
      </c>
      <c r="H2102" s="223">
        <v>0.0</v>
      </c>
      <c r="J2102" s="223"/>
      <c r="K2102" s="317">
        <v>1899.0</v>
      </c>
    </row>
    <row r="2103">
      <c r="A2103" s="223"/>
      <c r="B2103" s="223" t="s">
        <v>200</v>
      </c>
      <c r="C2103" s="223"/>
      <c r="D2103" s="316"/>
      <c r="E2103" s="218"/>
      <c r="F2103" s="218"/>
      <c r="G2103" s="218" t="s">
        <v>200</v>
      </c>
      <c r="H2103" s="223">
        <v>0.0</v>
      </c>
      <c r="J2103" s="223"/>
      <c r="K2103" s="317">
        <v>1899.0</v>
      </c>
    </row>
    <row r="2104">
      <c r="A2104" s="223"/>
      <c r="B2104" s="223" t="s">
        <v>200</v>
      </c>
      <c r="C2104" s="223"/>
      <c r="D2104" s="316"/>
      <c r="E2104" s="218"/>
      <c r="F2104" s="218"/>
      <c r="G2104" s="218" t="s">
        <v>200</v>
      </c>
      <c r="H2104" s="223">
        <v>0.0</v>
      </c>
      <c r="J2104" s="223"/>
      <c r="K2104" s="317">
        <v>1899.0</v>
      </c>
    </row>
    <row r="2105">
      <c r="A2105" s="223"/>
      <c r="B2105" s="223" t="s">
        <v>200</v>
      </c>
      <c r="C2105" s="223"/>
      <c r="D2105" s="316"/>
      <c r="E2105" s="218"/>
      <c r="F2105" s="218"/>
      <c r="G2105" s="218" t="s">
        <v>200</v>
      </c>
      <c r="H2105" s="223">
        <v>0.0</v>
      </c>
      <c r="J2105" s="223"/>
      <c r="K2105" s="317">
        <v>1899.0</v>
      </c>
    </row>
    <row r="2106">
      <c r="A2106" s="223"/>
      <c r="B2106" s="223" t="s">
        <v>200</v>
      </c>
      <c r="C2106" s="223"/>
      <c r="D2106" s="316"/>
      <c r="E2106" s="218"/>
      <c r="F2106" s="218"/>
      <c r="G2106" s="218" t="s">
        <v>200</v>
      </c>
      <c r="H2106" s="223">
        <v>0.0</v>
      </c>
      <c r="J2106" s="223"/>
      <c r="K2106" s="317">
        <v>1899.0</v>
      </c>
    </row>
    <row r="2107">
      <c r="A2107" s="223"/>
      <c r="B2107" s="223" t="s">
        <v>200</v>
      </c>
      <c r="C2107" s="223"/>
      <c r="D2107" s="316"/>
      <c r="E2107" s="218"/>
      <c r="F2107" s="218"/>
      <c r="G2107" s="218" t="s">
        <v>200</v>
      </c>
      <c r="H2107" s="223">
        <v>0.0</v>
      </c>
      <c r="J2107" s="223"/>
      <c r="K2107" s="317">
        <v>1899.0</v>
      </c>
    </row>
    <row r="2108">
      <c r="A2108" s="223"/>
      <c r="B2108" s="223" t="s">
        <v>200</v>
      </c>
      <c r="C2108" s="223"/>
      <c r="D2108" s="316"/>
      <c r="E2108" s="218"/>
      <c r="F2108" s="218"/>
      <c r="G2108" s="218" t="s">
        <v>200</v>
      </c>
      <c r="H2108" s="223">
        <v>0.0</v>
      </c>
      <c r="J2108" s="223"/>
      <c r="K2108" s="317">
        <v>1899.0</v>
      </c>
    </row>
    <row r="2109">
      <c r="A2109" s="223"/>
      <c r="B2109" s="223" t="s">
        <v>200</v>
      </c>
      <c r="C2109" s="223"/>
      <c r="D2109" s="316"/>
      <c r="E2109" s="218"/>
      <c r="F2109" s="218"/>
      <c r="G2109" s="218" t="s">
        <v>200</v>
      </c>
      <c r="H2109" s="223">
        <v>0.0</v>
      </c>
      <c r="J2109" s="223"/>
      <c r="K2109" s="317">
        <v>1899.0</v>
      </c>
    </row>
    <row r="2110">
      <c r="A2110" s="223"/>
      <c r="B2110" s="223" t="s">
        <v>200</v>
      </c>
      <c r="C2110" s="223"/>
      <c r="D2110" s="316"/>
      <c r="E2110" s="218"/>
      <c r="F2110" s="218"/>
      <c r="G2110" s="218" t="s">
        <v>200</v>
      </c>
      <c r="H2110" s="223">
        <v>0.0</v>
      </c>
      <c r="J2110" s="223"/>
      <c r="K2110" s="317">
        <v>1899.0</v>
      </c>
    </row>
    <row r="2111">
      <c r="A2111" s="223"/>
      <c r="B2111" s="223" t="s">
        <v>200</v>
      </c>
      <c r="C2111" s="223"/>
      <c r="D2111" s="316"/>
      <c r="E2111" s="218"/>
      <c r="F2111" s="218"/>
      <c r="G2111" s="218" t="s">
        <v>200</v>
      </c>
      <c r="H2111" s="223">
        <v>0.0</v>
      </c>
      <c r="J2111" s="223"/>
      <c r="K2111" s="317">
        <v>1899.0</v>
      </c>
    </row>
    <row r="2112">
      <c r="A2112" s="223"/>
      <c r="B2112" s="223" t="s">
        <v>200</v>
      </c>
      <c r="C2112" s="223"/>
      <c r="D2112" s="316"/>
      <c r="E2112" s="218"/>
      <c r="F2112" s="218"/>
      <c r="G2112" s="218" t="s">
        <v>200</v>
      </c>
      <c r="H2112" s="223">
        <v>0.0</v>
      </c>
      <c r="J2112" s="223"/>
      <c r="K2112" s="317">
        <v>1899.0</v>
      </c>
    </row>
    <row r="2113">
      <c r="A2113" s="223"/>
      <c r="B2113" s="223" t="s">
        <v>200</v>
      </c>
      <c r="C2113" s="223"/>
      <c r="D2113" s="316"/>
      <c r="E2113" s="218"/>
      <c r="F2113" s="218"/>
      <c r="G2113" s="218" t="s">
        <v>200</v>
      </c>
      <c r="H2113" s="223">
        <v>0.0</v>
      </c>
      <c r="J2113" s="223"/>
      <c r="K2113" s="317">
        <v>1899.0</v>
      </c>
    </row>
    <row r="2114">
      <c r="A2114" s="223"/>
      <c r="B2114" s="223" t="s">
        <v>200</v>
      </c>
      <c r="C2114" s="223"/>
      <c r="D2114" s="316"/>
      <c r="E2114" s="218"/>
      <c r="F2114" s="218"/>
      <c r="G2114" s="218" t="s">
        <v>200</v>
      </c>
      <c r="H2114" s="223">
        <v>0.0</v>
      </c>
      <c r="J2114" s="223"/>
      <c r="K2114" s="317">
        <v>1899.0</v>
      </c>
    </row>
    <row r="2115">
      <c r="A2115" s="223"/>
      <c r="B2115" s="223" t="s">
        <v>200</v>
      </c>
      <c r="C2115" s="223"/>
      <c r="D2115" s="316"/>
      <c r="E2115" s="218"/>
      <c r="F2115" s="218"/>
      <c r="G2115" s="218" t="s">
        <v>200</v>
      </c>
      <c r="H2115" s="223">
        <v>0.0</v>
      </c>
      <c r="J2115" s="223"/>
      <c r="K2115" s="317">
        <v>1899.0</v>
      </c>
    </row>
    <row r="2116">
      <c r="A2116" s="223"/>
      <c r="B2116" s="223" t="s">
        <v>200</v>
      </c>
      <c r="C2116" s="223"/>
      <c r="D2116" s="316"/>
      <c r="E2116" s="218"/>
      <c r="F2116" s="218"/>
      <c r="G2116" s="218" t="s">
        <v>200</v>
      </c>
      <c r="H2116" s="223">
        <v>0.0</v>
      </c>
      <c r="J2116" s="223"/>
      <c r="K2116" s="317">
        <v>1899.0</v>
      </c>
    </row>
    <row r="2117">
      <c r="A2117" s="223"/>
      <c r="B2117" s="223" t="s">
        <v>200</v>
      </c>
      <c r="C2117" s="223"/>
      <c r="D2117" s="316"/>
      <c r="E2117" s="218"/>
      <c r="F2117" s="218"/>
      <c r="G2117" s="218" t="s">
        <v>200</v>
      </c>
      <c r="H2117" s="223">
        <v>0.0</v>
      </c>
      <c r="J2117" s="223"/>
      <c r="K2117" s="317">
        <v>1899.0</v>
      </c>
    </row>
    <row r="2118">
      <c r="A2118" s="223"/>
      <c r="B2118" s="223" t="s">
        <v>200</v>
      </c>
      <c r="C2118" s="223"/>
      <c r="D2118" s="316"/>
      <c r="E2118" s="218"/>
      <c r="F2118" s="218"/>
      <c r="G2118" s="218" t="s">
        <v>200</v>
      </c>
      <c r="H2118" s="223">
        <v>0.0</v>
      </c>
      <c r="J2118" s="223"/>
      <c r="K2118" s="317">
        <v>1899.0</v>
      </c>
    </row>
    <row r="2119">
      <c r="A2119" s="223"/>
      <c r="B2119" s="223" t="s">
        <v>200</v>
      </c>
      <c r="C2119" s="223"/>
      <c r="D2119" s="316"/>
      <c r="E2119" s="218"/>
      <c r="F2119" s="218"/>
      <c r="G2119" s="218" t="s">
        <v>200</v>
      </c>
      <c r="H2119" s="223">
        <v>0.0</v>
      </c>
      <c r="J2119" s="223"/>
      <c r="K2119" s="317">
        <v>1899.0</v>
      </c>
    </row>
    <row r="2120">
      <c r="A2120" s="223"/>
      <c r="B2120" s="223" t="s">
        <v>200</v>
      </c>
      <c r="C2120" s="223"/>
      <c r="D2120" s="316"/>
      <c r="E2120" s="218"/>
      <c r="F2120" s="218"/>
      <c r="G2120" s="218" t="s">
        <v>200</v>
      </c>
      <c r="H2120" s="223">
        <v>0.0</v>
      </c>
      <c r="J2120" s="223"/>
      <c r="K2120" s="317">
        <v>1899.0</v>
      </c>
    </row>
    <row r="2121">
      <c r="A2121" s="223"/>
      <c r="B2121" s="223" t="s">
        <v>200</v>
      </c>
      <c r="C2121" s="223"/>
      <c r="D2121" s="316"/>
      <c r="E2121" s="218"/>
      <c r="F2121" s="218"/>
      <c r="G2121" s="218" t="s">
        <v>200</v>
      </c>
      <c r="H2121" s="223">
        <v>0.0</v>
      </c>
      <c r="J2121" s="223"/>
      <c r="K2121" s="317">
        <v>1899.0</v>
      </c>
    </row>
    <row r="2122">
      <c r="A2122" s="223"/>
      <c r="B2122" s="223" t="s">
        <v>200</v>
      </c>
      <c r="C2122" s="223"/>
      <c r="D2122" s="316"/>
      <c r="E2122" s="218"/>
      <c r="F2122" s="218"/>
      <c r="G2122" s="218" t="s">
        <v>200</v>
      </c>
      <c r="H2122" s="223">
        <v>0.0</v>
      </c>
      <c r="J2122" s="223"/>
      <c r="K2122" s="317">
        <v>1899.0</v>
      </c>
    </row>
    <row r="2123">
      <c r="A2123" s="223"/>
      <c r="B2123" s="223" t="s">
        <v>200</v>
      </c>
      <c r="C2123" s="223"/>
      <c r="D2123" s="316"/>
      <c r="E2123" s="218"/>
      <c r="F2123" s="218"/>
      <c r="G2123" s="218" t="s">
        <v>200</v>
      </c>
      <c r="H2123" s="223">
        <v>0.0</v>
      </c>
      <c r="J2123" s="223"/>
      <c r="K2123" s="317">
        <v>1899.0</v>
      </c>
    </row>
    <row r="2124">
      <c r="A2124" s="223"/>
      <c r="B2124" s="223" t="s">
        <v>200</v>
      </c>
      <c r="C2124" s="223"/>
      <c r="D2124" s="316"/>
      <c r="E2124" s="218"/>
      <c r="F2124" s="218"/>
      <c r="G2124" s="218" t="s">
        <v>200</v>
      </c>
      <c r="H2124" s="223">
        <v>0.0</v>
      </c>
      <c r="J2124" s="223"/>
      <c r="K2124" s="317">
        <v>1899.0</v>
      </c>
    </row>
    <row r="2125">
      <c r="A2125" s="223"/>
      <c r="B2125" s="223" t="s">
        <v>200</v>
      </c>
      <c r="C2125" s="223"/>
      <c r="D2125" s="316"/>
      <c r="E2125" s="218"/>
      <c r="F2125" s="218"/>
      <c r="G2125" s="218" t="s">
        <v>200</v>
      </c>
      <c r="H2125" s="223">
        <v>0.0</v>
      </c>
      <c r="J2125" s="223"/>
      <c r="K2125" s="317">
        <v>1899.0</v>
      </c>
    </row>
    <row r="2126">
      <c r="A2126" s="223"/>
      <c r="B2126" s="223" t="s">
        <v>200</v>
      </c>
      <c r="C2126" s="223"/>
      <c r="D2126" s="316"/>
      <c r="E2126" s="218"/>
      <c r="F2126" s="218"/>
      <c r="G2126" s="218" t="s">
        <v>200</v>
      </c>
      <c r="H2126" s="223">
        <v>0.0</v>
      </c>
      <c r="J2126" s="223"/>
      <c r="K2126" s="317">
        <v>1899.0</v>
      </c>
    </row>
    <row r="2127">
      <c r="A2127" s="223"/>
      <c r="B2127" s="223" t="s">
        <v>200</v>
      </c>
      <c r="C2127" s="223"/>
      <c r="D2127" s="316"/>
      <c r="E2127" s="218"/>
      <c r="F2127" s="218"/>
      <c r="G2127" s="218" t="s">
        <v>200</v>
      </c>
      <c r="H2127" s="223">
        <v>0.0</v>
      </c>
      <c r="J2127" s="223"/>
      <c r="K2127" s="317">
        <v>1899.0</v>
      </c>
    </row>
    <row r="2128">
      <c r="A2128" s="223"/>
      <c r="B2128" s="223" t="s">
        <v>200</v>
      </c>
      <c r="C2128" s="223"/>
      <c r="D2128" s="316"/>
      <c r="E2128" s="218"/>
      <c r="F2128" s="218"/>
      <c r="G2128" s="218" t="s">
        <v>200</v>
      </c>
      <c r="H2128" s="223">
        <v>0.0</v>
      </c>
      <c r="J2128" s="223"/>
      <c r="K2128" s="317">
        <v>1899.0</v>
      </c>
    </row>
    <row r="2129">
      <c r="A2129" s="223"/>
      <c r="B2129" s="223" t="s">
        <v>200</v>
      </c>
      <c r="C2129" s="223"/>
      <c r="D2129" s="316"/>
      <c r="E2129" s="218"/>
      <c r="F2129" s="218"/>
      <c r="G2129" s="218" t="s">
        <v>200</v>
      </c>
      <c r="H2129" s="223">
        <v>0.0</v>
      </c>
      <c r="J2129" s="223"/>
      <c r="K2129" s="317">
        <v>1899.0</v>
      </c>
    </row>
    <row r="2130">
      <c r="A2130" s="223"/>
      <c r="B2130" s="223" t="s">
        <v>200</v>
      </c>
      <c r="C2130" s="223"/>
      <c r="D2130" s="316"/>
      <c r="E2130" s="218"/>
      <c r="F2130" s="218"/>
      <c r="G2130" s="218" t="s">
        <v>200</v>
      </c>
      <c r="H2130" s="223">
        <v>0.0</v>
      </c>
      <c r="J2130" s="223"/>
      <c r="K2130" s="317">
        <v>1899.0</v>
      </c>
    </row>
    <row r="2131">
      <c r="A2131" s="223"/>
      <c r="B2131" s="223" t="s">
        <v>200</v>
      </c>
      <c r="C2131" s="223"/>
      <c r="D2131" s="316"/>
      <c r="E2131" s="218"/>
      <c r="F2131" s="218"/>
      <c r="G2131" s="218" t="s">
        <v>200</v>
      </c>
      <c r="H2131" s="223">
        <v>0.0</v>
      </c>
      <c r="J2131" s="223"/>
      <c r="K2131" s="317">
        <v>1899.0</v>
      </c>
    </row>
    <row r="2132">
      <c r="A2132" s="223"/>
      <c r="B2132" s="223" t="s">
        <v>200</v>
      </c>
      <c r="C2132" s="223"/>
      <c r="D2132" s="316"/>
      <c r="E2132" s="218"/>
      <c r="F2132" s="218"/>
      <c r="G2132" s="218" t="s">
        <v>200</v>
      </c>
      <c r="H2132" s="223">
        <v>0.0</v>
      </c>
      <c r="J2132" s="223"/>
      <c r="K2132" s="317">
        <v>1899.0</v>
      </c>
    </row>
    <row r="2133">
      <c r="A2133" s="223"/>
      <c r="B2133" s="223" t="s">
        <v>200</v>
      </c>
      <c r="C2133" s="223"/>
      <c r="D2133" s="316"/>
      <c r="E2133" s="218"/>
      <c r="F2133" s="218"/>
      <c r="G2133" s="218" t="s">
        <v>200</v>
      </c>
      <c r="H2133" s="223">
        <v>0.0</v>
      </c>
      <c r="J2133" s="223"/>
      <c r="K2133" s="317">
        <v>1899.0</v>
      </c>
    </row>
    <row r="2134">
      <c r="A2134" s="223"/>
      <c r="B2134" s="223" t="s">
        <v>200</v>
      </c>
      <c r="C2134" s="223"/>
      <c r="D2134" s="316"/>
      <c r="E2134" s="218"/>
      <c r="F2134" s="218"/>
      <c r="G2134" s="218" t="s">
        <v>200</v>
      </c>
      <c r="H2134" s="223">
        <v>0.0</v>
      </c>
      <c r="J2134" s="223"/>
      <c r="K2134" s="317">
        <v>1899.0</v>
      </c>
    </row>
    <row r="2135">
      <c r="A2135" s="223"/>
      <c r="B2135" s="223" t="s">
        <v>200</v>
      </c>
      <c r="C2135" s="223"/>
      <c r="D2135" s="316"/>
      <c r="E2135" s="218"/>
      <c r="F2135" s="218"/>
      <c r="G2135" s="218" t="s">
        <v>200</v>
      </c>
      <c r="H2135" s="223">
        <v>0.0</v>
      </c>
      <c r="J2135" s="223"/>
      <c r="K2135" s="317">
        <v>1899.0</v>
      </c>
    </row>
    <row r="2136">
      <c r="A2136" s="223"/>
      <c r="B2136" s="223" t="s">
        <v>200</v>
      </c>
      <c r="C2136" s="223"/>
      <c r="D2136" s="316"/>
      <c r="E2136" s="218"/>
      <c r="F2136" s="218"/>
      <c r="G2136" s="218" t="s">
        <v>200</v>
      </c>
      <c r="H2136" s="223">
        <v>0.0</v>
      </c>
      <c r="J2136" s="223"/>
      <c r="K2136" s="317">
        <v>1899.0</v>
      </c>
    </row>
    <row r="2137">
      <c r="A2137" s="223"/>
      <c r="B2137" s="223" t="s">
        <v>200</v>
      </c>
      <c r="C2137" s="223"/>
      <c r="D2137" s="316"/>
      <c r="E2137" s="218"/>
      <c r="F2137" s="218"/>
      <c r="G2137" s="218" t="s">
        <v>200</v>
      </c>
      <c r="H2137" s="223">
        <v>0.0</v>
      </c>
      <c r="J2137" s="223"/>
      <c r="K2137" s="317">
        <v>1899.0</v>
      </c>
    </row>
    <row r="2138">
      <c r="A2138" s="223"/>
      <c r="B2138" s="223" t="s">
        <v>200</v>
      </c>
      <c r="C2138" s="223"/>
      <c r="D2138" s="316"/>
      <c r="E2138" s="218"/>
      <c r="F2138" s="218"/>
      <c r="G2138" s="218" t="s">
        <v>200</v>
      </c>
      <c r="H2138" s="223">
        <v>0.0</v>
      </c>
      <c r="J2138" s="223"/>
      <c r="K2138" s="317">
        <v>1899.0</v>
      </c>
    </row>
    <row r="2139">
      <c r="A2139" s="223"/>
      <c r="B2139" s="223" t="s">
        <v>200</v>
      </c>
      <c r="C2139" s="223"/>
      <c r="D2139" s="316"/>
      <c r="E2139" s="218"/>
      <c r="F2139" s="218"/>
      <c r="G2139" s="218" t="s">
        <v>200</v>
      </c>
      <c r="H2139" s="223">
        <v>0.0</v>
      </c>
      <c r="J2139" s="223"/>
      <c r="K2139" s="317">
        <v>1899.0</v>
      </c>
    </row>
    <row r="2140">
      <c r="A2140" s="223"/>
      <c r="B2140" s="223" t="s">
        <v>200</v>
      </c>
      <c r="C2140" s="223"/>
      <c r="D2140" s="316"/>
      <c r="E2140" s="218"/>
      <c r="F2140" s="218"/>
      <c r="G2140" s="218" t="s">
        <v>200</v>
      </c>
      <c r="H2140" s="223">
        <v>0.0</v>
      </c>
      <c r="J2140" s="223"/>
      <c r="K2140" s="317">
        <v>1899.0</v>
      </c>
    </row>
    <row r="2141">
      <c r="A2141" s="223"/>
      <c r="B2141" s="223" t="s">
        <v>200</v>
      </c>
      <c r="C2141" s="223"/>
      <c r="D2141" s="316"/>
      <c r="E2141" s="218"/>
      <c r="F2141" s="218"/>
      <c r="G2141" s="218" t="s">
        <v>200</v>
      </c>
      <c r="H2141" s="223">
        <v>0.0</v>
      </c>
      <c r="J2141" s="223"/>
      <c r="K2141" s="317">
        <v>1899.0</v>
      </c>
    </row>
    <row r="2142">
      <c r="A2142" s="223"/>
      <c r="B2142" s="223" t="s">
        <v>200</v>
      </c>
      <c r="C2142" s="223"/>
      <c r="D2142" s="316"/>
      <c r="E2142" s="218"/>
      <c r="F2142" s="218"/>
      <c r="G2142" s="218" t="s">
        <v>200</v>
      </c>
      <c r="H2142" s="223">
        <v>0.0</v>
      </c>
      <c r="J2142" s="223"/>
      <c r="K2142" s="317">
        <v>1899.0</v>
      </c>
    </row>
    <row r="2143">
      <c r="A2143" s="223"/>
      <c r="B2143" s="223" t="s">
        <v>200</v>
      </c>
      <c r="C2143" s="223"/>
      <c r="D2143" s="316"/>
      <c r="E2143" s="218"/>
      <c r="F2143" s="218"/>
      <c r="G2143" s="218" t="s">
        <v>200</v>
      </c>
      <c r="H2143" s="223">
        <v>0.0</v>
      </c>
      <c r="J2143" s="223"/>
      <c r="K2143" s="317">
        <v>1899.0</v>
      </c>
    </row>
    <row r="2144">
      <c r="A2144" s="223"/>
      <c r="B2144" s="223" t="s">
        <v>200</v>
      </c>
      <c r="C2144" s="223"/>
      <c r="D2144" s="316"/>
      <c r="E2144" s="218"/>
      <c r="F2144" s="218"/>
      <c r="G2144" s="218" t="s">
        <v>200</v>
      </c>
      <c r="H2144" s="223">
        <v>0.0</v>
      </c>
      <c r="J2144" s="223"/>
      <c r="K2144" s="317">
        <v>1899.0</v>
      </c>
    </row>
    <row r="2145">
      <c r="A2145" s="223"/>
      <c r="B2145" s="223" t="s">
        <v>200</v>
      </c>
      <c r="C2145" s="223"/>
      <c r="D2145" s="316"/>
      <c r="E2145" s="218"/>
      <c r="F2145" s="218"/>
      <c r="G2145" s="218" t="s">
        <v>200</v>
      </c>
      <c r="H2145" s="223">
        <v>0.0</v>
      </c>
      <c r="J2145" s="223"/>
      <c r="K2145" s="317">
        <v>1899.0</v>
      </c>
    </row>
    <row r="2146">
      <c r="A2146" s="223"/>
      <c r="B2146" s="223" t="s">
        <v>200</v>
      </c>
      <c r="C2146" s="223"/>
      <c r="D2146" s="316"/>
      <c r="E2146" s="218"/>
      <c r="F2146" s="218"/>
      <c r="G2146" s="218" t="s">
        <v>200</v>
      </c>
      <c r="H2146" s="223">
        <v>0.0</v>
      </c>
      <c r="J2146" s="223"/>
      <c r="K2146" s="317">
        <v>1899.0</v>
      </c>
    </row>
    <row r="2147">
      <c r="A2147" s="223"/>
      <c r="B2147" s="223" t="s">
        <v>200</v>
      </c>
      <c r="C2147" s="223"/>
      <c r="D2147" s="316"/>
      <c r="E2147" s="218"/>
      <c r="F2147" s="218"/>
      <c r="G2147" s="218" t="s">
        <v>200</v>
      </c>
      <c r="H2147" s="223">
        <v>0.0</v>
      </c>
      <c r="J2147" s="223"/>
      <c r="K2147" s="317">
        <v>1899.0</v>
      </c>
    </row>
    <row r="2148">
      <c r="A2148" s="223"/>
      <c r="B2148" s="223" t="s">
        <v>200</v>
      </c>
      <c r="C2148" s="223"/>
      <c r="D2148" s="316"/>
      <c r="E2148" s="218"/>
      <c r="F2148" s="218"/>
      <c r="G2148" s="218" t="s">
        <v>200</v>
      </c>
      <c r="H2148" s="223">
        <v>0.0</v>
      </c>
      <c r="J2148" s="223"/>
      <c r="K2148" s="317">
        <v>1899.0</v>
      </c>
    </row>
    <row r="2149">
      <c r="A2149" s="223"/>
      <c r="B2149" s="223" t="s">
        <v>200</v>
      </c>
      <c r="C2149" s="223"/>
      <c r="D2149" s="316"/>
      <c r="E2149" s="218"/>
      <c r="F2149" s="218"/>
      <c r="G2149" s="218" t="s">
        <v>200</v>
      </c>
      <c r="H2149" s="223">
        <v>0.0</v>
      </c>
      <c r="J2149" s="223"/>
      <c r="K2149" s="317">
        <v>1899.0</v>
      </c>
    </row>
    <row r="2150">
      <c r="A2150" s="223"/>
      <c r="B2150" s="223" t="s">
        <v>200</v>
      </c>
      <c r="C2150" s="223"/>
      <c r="D2150" s="316"/>
      <c r="E2150" s="218"/>
      <c r="F2150" s="218"/>
      <c r="G2150" s="218" t="s">
        <v>200</v>
      </c>
      <c r="H2150" s="223">
        <v>0.0</v>
      </c>
      <c r="J2150" s="223"/>
      <c r="K2150" s="317">
        <v>1899.0</v>
      </c>
    </row>
    <row r="2151">
      <c r="A2151" s="223"/>
      <c r="B2151" s="223" t="s">
        <v>200</v>
      </c>
      <c r="C2151" s="223"/>
      <c r="D2151" s="316"/>
      <c r="E2151" s="218"/>
      <c r="F2151" s="218"/>
      <c r="G2151" s="218" t="s">
        <v>200</v>
      </c>
      <c r="H2151" s="223">
        <v>0.0</v>
      </c>
      <c r="J2151" s="223"/>
      <c r="K2151" s="317">
        <v>1899.0</v>
      </c>
    </row>
    <row r="2152">
      <c r="A2152" s="223"/>
      <c r="B2152" s="223" t="s">
        <v>200</v>
      </c>
      <c r="C2152" s="223"/>
      <c r="D2152" s="316"/>
      <c r="E2152" s="218"/>
      <c r="F2152" s="218"/>
      <c r="G2152" s="218" t="s">
        <v>200</v>
      </c>
      <c r="H2152" s="223">
        <v>0.0</v>
      </c>
      <c r="J2152" s="223"/>
      <c r="K2152" s="317">
        <v>1899.0</v>
      </c>
    </row>
    <row r="2153">
      <c r="A2153" s="223"/>
      <c r="B2153" s="223" t="s">
        <v>200</v>
      </c>
      <c r="C2153" s="223"/>
      <c r="D2153" s="316"/>
      <c r="E2153" s="218"/>
      <c r="F2153" s="218"/>
      <c r="G2153" s="218" t="s">
        <v>200</v>
      </c>
      <c r="H2153" s="223">
        <v>0.0</v>
      </c>
      <c r="J2153" s="223"/>
      <c r="K2153" s="317">
        <v>1899.0</v>
      </c>
    </row>
    <row r="2154">
      <c r="A2154" s="223"/>
      <c r="B2154" s="223" t="s">
        <v>200</v>
      </c>
      <c r="C2154" s="223"/>
      <c r="D2154" s="316"/>
      <c r="E2154" s="218"/>
      <c r="F2154" s="218"/>
      <c r="G2154" s="218" t="s">
        <v>200</v>
      </c>
      <c r="H2154" s="223">
        <v>0.0</v>
      </c>
      <c r="J2154" s="223"/>
      <c r="K2154" s="317">
        <v>1899.0</v>
      </c>
    </row>
    <row r="2155">
      <c r="A2155" s="223"/>
      <c r="B2155" s="223" t="s">
        <v>200</v>
      </c>
      <c r="C2155" s="223"/>
      <c r="D2155" s="316"/>
      <c r="E2155" s="218"/>
      <c r="F2155" s="218"/>
      <c r="G2155" s="218" t="s">
        <v>200</v>
      </c>
      <c r="H2155" s="223">
        <v>0.0</v>
      </c>
      <c r="J2155" s="223"/>
      <c r="K2155" s="317">
        <v>1899.0</v>
      </c>
    </row>
    <row r="2156">
      <c r="A2156" s="223"/>
      <c r="B2156" s="223" t="s">
        <v>200</v>
      </c>
      <c r="C2156" s="223"/>
      <c r="D2156" s="316"/>
      <c r="E2156" s="218"/>
      <c r="F2156" s="218"/>
      <c r="G2156" s="218" t="s">
        <v>200</v>
      </c>
      <c r="H2156" s="223">
        <v>0.0</v>
      </c>
      <c r="J2156" s="223"/>
      <c r="K2156" s="317">
        <v>1899.0</v>
      </c>
    </row>
    <row r="2157">
      <c r="A2157" s="223"/>
      <c r="B2157" s="223" t="s">
        <v>200</v>
      </c>
      <c r="C2157" s="223"/>
      <c r="D2157" s="316"/>
      <c r="E2157" s="218"/>
      <c r="F2157" s="218"/>
      <c r="G2157" s="218" t="s">
        <v>200</v>
      </c>
      <c r="H2157" s="223">
        <v>0.0</v>
      </c>
      <c r="J2157" s="223"/>
      <c r="K2157" s="317">
        <v>1899.0</v>
      </c>
    </row>
    <row r="2158">
      <c r="A2158" s="223"/>
      <c r="B2158" s="223" t="s">
        <v>200</v>
      </c>
      <c r="C2158" s="223"/>
      <c r="D2158" s="316"/>
      <c r="E2158" s="218"/>
      <c r="F2158" s="218"/>
      <c r="G2158" s="218" t="s">
        <v>200</v>
      </c>
      <c r="H2158" s="223">
        <v>0.0</v>
      </c>
      <c r="J2158" s="223"/>
      <c r="K2158" s="317">
        <v>1899.0</v>
      </c>
    </row>
    <row r="2159">
      <c r="A2159" s="223"/>
      <c r="B2159" s="223" t="s">
        <v>200</v>
      </c>
      <c r="C2159" s="223"/>
      <c r="D2159" s="316"/>
      <c r="E2159" s="218"/>
      <c r="F2159" s="218"/>
      <c r="G2159" s="218" t="s">
        <v>200</v>
      </c>
      <c r="H2159" s="223">
        <v>0.0</v>
      </c>
      <c r="J2159" s="223"/>
      <c r="K2159" s="317">
        <v>1899.0</v>
      </c>
    </row>
    <row r="2160">
      <c r="A2160" s="223"/>
      <c r="B2160" s="223" t="s">
        <v>200</v>
      </c>
      <c r="C2160" s="223"/>
      <c r="D2160" s="316"/>
      <c r="E2160" s="218"/>
      <c r="F2160" s="218"/>
      <c r="G2160" s="218" t="s">
        <v>200</v>
      </c>
      <c r="H2160" s="223">
        <v>0.0</v>
      </c>
      <c r="J2160" s="223"/>
      <c r="K2160" s="317">
        <v>1899.0</v>
      </c>
    </row>
    <row r="2161">
      <c r="A2161" s="223"/>
      <c r="B2161" s="223" t="s">
        <v>200</v>
      </c>
      <c r="C2161" s="223"/>
      <c r="D2161" s="316"/>
      <c r="E2161" s="218"/>
      <c r="F2161" s="218"/>
      <c r="G2161" s="218" t="s">
        <v>200</v>
      </c>
      <c r="H2161" s="223">
        <v>0.0</v>
      </c>
      <c r="J2161" s="223"/>
      <c r="K2161" s="317">
        <v>1899.0</v>
      </c>
    </row>
    <row r="2162">
      <c r="A2162" s="223"/>
      <c r="B2162" s="223" t="s">
        <v>200</v>
      </c>
      <c r="C2162" s="223"/>
      <c r="D2162" s="316"/>
      <c r="E2162" s="218"/>
      <c r="F2162" s="218"/>
      <c r="G2162" s="218" t="s">
        <v>200</v>
      </c>
      <c r="H2162" s="223">
        <v>0.0</v>
      </c>
      <c r="J2162" s="223"/>
      <c r="K2162" s="317">
        <v>1899.0</v>
      </c>
    </row>
    <row r="2163">
      <c r="A2163" s="223"/>
      <c r="B2163" s="223" t="s">
        <v>200</v>
      </c>
      <c r="C2163" s="223"/>
      <c r="D2163" s="316"/>
      <c r="E2163" s="218"/>
      <c r="F2163" s="218"/>
      <c r="G2163" s="218" t="s">
        <v>200</v>
      </c>
      <c r="H2163" s="223">
        <v>0.0</v>
      </c>
      <c r="J2163" s="223"/>
      <c r="K2163" s="317">
        <v>1899.0</v>
      </c>
    </row>
    <row r="2164">
      <c r="A2164" s="223"/>
      <c r="B2164" s="223" t="s">
        <v>200</v>
      </c>
      <c r="C2164" s="223"/>
      <c r="D2164" s="316"/>
      <c r="E2164" s="218"/>
      <c r="F2164" s="218"/>
      <c r="G2164" s="218" t="s">
        <v>200</v>
      </c>
      <c r="H2164" s="223">
        <v>0.0</v>
      </c>
      <c r="J2164" s="223"/>
      <c r="K2164" s="317">
        <v>1899.0</v>
      </c>
    </row>
    <row r="2165">
      <c r="A2165" s="223"/>
      <c r="B2165" s="223" t="s">
        <v>200</v>
      </c>
      <c r="C2165" s="223"/>
      <c r="D2165" s="316"/>
      <c r="E2165" s="218"/>
      <c r="F2165" s="218"/>
      <c r="G2165" s="218" t="s">
        <v>200</v>
      </c>
      <c r="H2165" s="223">
        <v>0.0</v>
      </c>
      <c r="J2165" s="223"/>
      <c r="K2165" s="317">
        <v>1899.0</v>
      </c>
    </row>
    <row r="2166">
      <c r="A2166" s="223"/>
      <c r="B2166" s="223" t="s">
        <v>200</v>
      </c>
      <c r="C2166" s="223"/>
      <c r="D2166" s="316"/>
      <c r="E2166" s="218"/>
      <c r="F2166" s="218"/>
      <c r="G2166" s="218" t="s">
        <v>200</v>
      </c>
      <c r="H2166" s="223">
        <v>0.0</v>
      </c>
      <c r="J2166" s="223"/>
      <c r="K2166" s="317">
        <v>1899.0</v>
      </c>
    </row>
    <row r="2167">
      <c r="A2167" s="223"/>
      <c r="B2167" s="223" t="s">
        <v>200</v>
      </c>
      <c r="C2167" s="223"/>
      <c r="D2167" s="316"/>
      <c r="E2167" s="218"/>
      <c r="F2167" s="218"/>
      <c r="G2167" s="218" t="s">
        <v>200</v>
      </c>
      <c r="H2167" s="223">
        <v>0.0</v>
      </c>
      <c r="J2167" s="223"/>
      <c r="K2167" s="317">
        <v>1899.0</v>
      </c>
    </row>
    <row r="2168">
      <c r="A2168" s="223"/>
      <c r="B2168" s="223" t="s">
        <v>200</v>
      </c>
      <c r="C2168" s="223"/>
      <c r="D2168" s="316"/>
      <c r="E2168" s="218"/>
      <c r="F2168" s="218"/>
      <c r="G2168" s="218" t="s">
        <v>200</v>
      </c>
      <c r="H2168" s="223">
        <v>0.0</v>
      </c>
      <c r="J2168" s="223"/>
      <c r="K2168" s="317">
        <v>1899.0</v>
      </c>
    </row>
    <row r="2169">
      <c r="A2169" s="223"/>
      <c r="B2169" s="223" t="s">
        <v>200</v>
      </c>
      <c r="C2169" s="223"/>
      <c r="D2169" s="316"/>
      <c r="E2169" s="218"/>
      <c r="F2169" s="218"/>
      <c r="G2169" s="218" t="s">
        <v>200</v>
      </c>
      <c r="H2169" s="223">
        <v>0.0</v>
      </c>
      <c r="J2169" s="223"/>
      <c r="K2169" s="317">
        <v>1899.0</v>
      </c>
    </row>
    <row r="2170">
      <c r="A2170" s="223"/>
      <c r="B2170" s="223" t="s">
        <v>200</v>
      </c>
      <c r="C2170" s="223"/>
      <c r="D2170" s="316"/>
      <c r="E2170" s="218"/>
      <c r="F2170" s="218"/>
      <c r="G2170" s="218" t="s">
        <v>200</v>
      </c>
      <c r="H2170" s="223">
        <v>0.0</v>
      </c>
      <c r="J2170" s="223"/>
      <c r="K2170" s="317">
        <v>1899.0</v>
      </c>
    </row>
    <row r="2171">
      <c r="A2171" s="223"/>
      <c r="B2171" s="223" t="s">
        <v>200</v>
      </c>
      <c r="C2171" s="223"/>
      <c r="D2171" s="316"/>
      <c r="E2171" s="218"/>
      <c r="F2171" s="218"/>
      <c r="G2171" s="218" t="s">
        <v>200</v>
      </c>
      <c r="H2171" s="223">
        <v>0.0</v>
      </c>
      <c r="J2171" s="223"/>
      <c r="K2171" s="317">
        <v>1899.0</v>
      </c>
    </row>
    <row r="2172">
      <c r="A2172" s="223"/>
      <c r="B2172" s="223" t="s">
        <v>200</v>
      </c>
      <c r="C2172" s="223"/>
      <c r="D2172" s="316"/>
      <c r="E2172" s="218"/>
      <c r="F2172" s="218"/>
      <c r="G2172" s="218" t="s">
        <v>200</v>
      </c>
      <c r="H2172" s="223">
        <v>0.0</v>
      </c>
      <c r="J2172" s="223"/>
      <c r="K2172" s="317">
        <v>1899.0</v>
      </c>
    </row>
    <row r="2173">
      <c r="A2173" s="223"/>
      <c r="B2173" s="223" t="s">
        <v>200</v>
      </c>
      <c r="C2173" s="223"/>
      <c r="D2173" s="316"/>
      <c r="E2173" s="218"/>
      <c r="F2173" s="218"/>
      <c r="G2173" s="218" t="s">
        <v>200</v>
      </c>
      <c r="H2173" s="223">
        <v>0.0</v>
      </c>
      <c r="J2173" s="223"/>
      <c r="K2173" s="317">
        <v>1899.0</v>
      </c>
    </row>
    <row r="2174">
      <c r="A2174" s="223"/>
      <c r="B2174" s="223" t="s">
        <v>200</v>
      </c>
      <c r="C2174" s="223"/>
      <c r="D2174" s="316"/>
      <c r="E2174" s="218"/>
      <c r="F2174" s="218"/>
      <c r="G2174" s="218" t="s">
        <v>200</v>
      </c>
      <c r="H2174" s="223">
        <v>0.0</v>
      </c>
      <c r="J2174" s="223"/>
      <c r="K2174" s="317">
        <v>1899.0</v>
      </c>
    </row>
    <row r="2175">
      <c r="A2175" s="223"/>
      <c r="B2175" s="223" t="s">
        <v>200</v>
      </c>
      <c r="C2175" s="223"/>
      <c r="D2175" s="316"/>
      <c r="E2175" s="218"/>
      <c r="F2175" s="218"/>
      <c r="G2175" s="218" t="s">
        <v>200</v>
      </c>
      <c r="H2175" s="223">
        <v>0.0</v>
      </c>
      <c r="J2175" s="223"/>
      <c r="K2175" s="317">
        <v>1899.0</v>
      </c>
    </row>
    <row r="2176">
      <c r="A2176" s="223"/>
      <c r="B2176" s="223" t="s">
        <v>200</v>
      </c>
      <c r="C2176" s="223"/>
      <c r="D2176" s="316"/>
      <c r="E2176" s="218"/>
      <c r="F2176" s="218"/>
      <c r="G2176" s="218" t="s">
        <v>200</v>
      </c>
      <c r="H2176" s="223">
        <v>0.0</v>
      </c>
      <c r="J2176" s="223"/>
      <c r="K2176" s="317">
        <v>1899.0</v>
      </c>
    </row>
    <row r="2177">
      <c r="A2177" s="223"/>
      <c r="B2177" s="223" t="s">
        <v>200</v>
      </c>
      <c r="C2177" s="223"/>
      <c r="D2177" s="316"/>
      <c r="E2177" s="218"/>
      <c r="F2177" s="218"/>
      <c r="G2177" s="218" t="s">
        <v>200</v>
      </c>
      <c r="H2177" s="223">
        <v>0.0</v>
      </c>
      <c r="J2177" s="223"/>
      <c r="K2177" s="317">
        <v>1899.0</v>
      </c>
    </row>
    <row r="2178">
      <c r="A2178" s="223"/>
      <c r="B2178" s="223" t="s">
        <v>200</v>
      </c>
      <c r="C2178" s="223"/>
      <c r="D2178" s="316"/>
      <c r="E2178" s="218"/>
      <c r="F2178" s="218"/>
      <c r="G2178" s="218" t="s">
        <v>200</v>
      </c>
      <c r="H2178" s="223">
        <v>0.0</v>
      </c>
      <c r="J2178" s="223"/>
      <c r="K2178" s="317">
        <v>1899.0</v>
      </c>
    </row>
    <row r="2179">
      <c r="A2179" s="223"/>
      <c r="B2179" s="223" t="s">
        <v>200</v>
      </c>
      <c r="C2179" s="223"/>
      <c r="D2179" s="316"/>
      <c r="E2179" s="218"/>
      <c r="F2179" s="218"/>
      <c r="G2179" s="218" t="s">
        <v>200</v>
      </c>
      <c r="H2179" s="223">
        <v>0.0</v>
      </c>
      <c r="J2179" s="223"/>
      <c r="K2179" s="317">
        <v>1899.0</v>
      </c>
    </row>
    <row r="2180">
      <c r="A2180" s="223"/>
      <c r="B2180" s="223" t="s">
        <v>200</v>
      </c>
      <c r="C2180" s="223"/>
      <c r="D2180" s="316"/>
      <c r="E2180" s="218"/>
      <c r="F2180" s="218"/>
      <c r="G2180" s="218" t="s">
        <v>200</v>
      </c>
      <c r="H2180" s="223">
        <v>0.0</v>
      </c>
      <c r="J2180" s="223"/>
      <c r="K2180" s="317">
        <v>1899.0</v>
      </c>
    </row>
    <row r="2181">
      <c r="A2181" s="223"/>
      <c r="B2181" s="223" t="s">
        <v>200</v>
      </c>
      <c r="C2181" s="223"/>
      <c r="D2181" s="316"/>
      <c r="E2181" s="218"/>
      <c r="F2181" s="218"/>
      <c r="G2181" s="218" t="s">
        <v>200</v>
      </c>
      <c r="H2181" s="223">
        <v>0.0</v>
      </c>
      <c r="J2181" s="223"/>
      <c r="K2181" s="317">
        <v>1899.0</v>
      </c>
    </row>
    <row r="2182">
      <c r="A2182" s="223"/>
      <c r="B2182" s="223" t="s">
        <v>200</v>
      </c>
      <c r="C2182" s="223"/>
      <c r="D2182" s="316"/>
      <c r="E2182" s="218"/>
      <c r="F2182" s="218"/>
      <c r="G2182" s="218" t="s">
        <v>200</v>
      </c>
      <c r="H2182" s="223">
        <v>0.0</v>
      </c>
      <c r="J2182" s="223"/>
      <c r="K2182" s="317">
        <v>1899.0</v>
      </c>
    </row>
    <row r="2183">
      <c r="A2183" s="223"/>
      <c r="B2183" s="223" t="s">
        <v>200</v>
      </c>
      <c r="C2183" s="223"/>
      <c r="D2183" s="316"/>
      <c r="E2183" s="218"/>
      <c r="F2183" s="218"/>
      <c r="G2183" s="218" t="s">
        <v>200</v>
      </c>
      <c r="H2183" s="223">
        <v>0.0</v>
      </c>
      <c r="J2183" s="223"/>
      <c r="K2183" s="317">
        <v>1899.0</v>
      </c>
    </row>
    <row r="2184">
      <c r="A2184" s="223"/>
      <c r="B2184" s="223" t="s">
        <v>200</v>
      </c>
      <c r="C2184" s="223"/>
      <c r="D2184" s="316"/>
      <c r="E2184" s="218"/>
      <c r="F2184" s="218"/>
      <c r="G2184" s="218" t="s">
        <v>200</v>
      </c>
      <c r="H2184" s="223">
        <v>0.0</v>
      </c>
      <c r="J2184" s="223"/>
      <c r="K2184" s="317">
        <v>1899.0</v>
      </c>
    </row>
    <row r="2185">
      <c r="A2185" s="223"/>
      <c r="B2185" s="223" t="s">
        <v>200</v>
      </c>
      <c r="C2185" s="223"/>
      <c r="D2185" s="316"/>
      <c r="E2185" s="218"/>
      <c r="F2185" s="218"/>
      <c r="G2185" s="218" t="s">
        <v>200</v>
      </c>
      <c r="H2185" s="223">
        <v>0.0</v>
      </c>
      <c r="J2185" s="223"/>
      <c r="K2185" s="317">
        <v>1899.0</v>
      </c>
    </row>
    <row r="2186">
      <c r="A2186" s="223"/>
      <c r="B2186" s="223" t="s">
        <v>200</v>
      </c>
      <c r="C2186" s="223"/>
      <c r="D2186" s="316"/>
      <c r="E2186" s="218"/>
      <c r="F2186" s="218"/>
      <c r="G2186" s="218" t="s">
        <v>200</v>
      </c>
      <c r="H2186" s="223">
        <v>0.0</v>
      </c>
      <c r="J2186" s="223"/>
      <c r="K2186" s="317">
        <v>1899.0</v>
      </c>
    </row>
    <row r="2187">
      <c r="A2187" s="223"/>
      <c r="B2187" s="223" t="s">
        <v>200</v>
      </c>
      <c r="C2187" s="223"/>
      <c r="D2187" s="316"/>
      <c r="E2187" s="218"/>
      <c r="F2187" s="218"/>
      <c r="G2187" s="218" t="s">
        <v>200</v>
      </c>
      <c r="H2187" s="223">
        <v>0.0</v>
      </c>
      <c r="J2187" s="223"/>
      <c r="K2187" s="317">
        <v>1899.0</v>
      </c>
    </row>
    <row r="2188">
      <c r="A2188" s="223"/>
      <c r="B2188" s="223" t="s">
        <v>200</v>
      </c>
      <c r="C2188" s="223"/>
      <c r="D2188" s="316"/>
      <c r="E2188" s="218"/>
      <c r="F2188" s="218"/>
      <c r="G2188" s="218" t="s">
        <v>200</v>
      </c>
      <c r="H2188" s="223">
        <v>0.0</v>
      </c>
      <c r="J2188" s="223"/>
      <c r="K2188" s="317">
        <v>1899.0</v>
      </c>
    </row>
    <row r="2189">
      <c r="A2189" s="223"/>
      <c r="B2189" s="223" t="s">
        <v>200</v>
      </c>
      <c r="C2189" s="223"/>
      <c r="D2189" s="316"/>
      <c r="E2189" s="218"/>
      <c r="F2189" s="218"/>
      <c r="G2189" s="218" t="s">
        <v>200</v>
      </c>
      <c r="H2189" s="223">
        <v>0.0</v>
      </c>
      <c r="J2189" s="223"/>
      <c r="K2189" s="317">
        <v>1899.0</v>
      </c>
    </row>
    <row r="2190">
      <c r="A2190" s="223"/>
      <c r="B2190" s="223" t="s">
        <v>200</v>
      </c>
      <c r="C2190" s="223"/>
      <c r="D2190" s="316"/>
      <c r="E2190" s="218"/>
      <c r="F2190" s="218"/>
      <c r="G2190" s="218" t="s">
        <v>200</v>
      </c>
      <c r="H2190" s="223">
        <v>0.0</v>
      </c>
      <c r="J2190" s="223"/>
      <c r="K2190" s="317">
        <v>1899.0</v>
      </c>
    </row>
    <row r="2191">
      <c r="A2191" s="223"/>
      <c r="B2191" s="223" t="s">
        <v>200</v>
      </c>
      <c r="C2191" s="223"/>
      <c r="D2191" s="316"/>
      <c r="E2191" s="218"/>
      <c r="F2191" s="218"/>
      <c r="G2191" s="218" t="s">
        <v>200</v>
      </c>
      <c r="H2191" s="223">
        <v>0.0</v>
      </c>
      <c r="J2191" s="223"/>
      <c r="K2191" s="317">
        <v>1899.0</v>
      </c>
    </row>
    <row r="2192">
      <c r="A2192" s="223"/>
      <c r="B2192" s="223" t="s">
        <v>200</v>
      </c>
      <c r="C2192" s="223"/>
      <c r="D2192" s="316"/>
      <c r="E2192" s="218"/>
      <c r="F2192" s="218"/>
      <c r="G2192" s="218" t="s">
        <v>200</v>
      </c>
      <c r="H2192" s="223">
        <v>0.0</v>
      </c>
      <c r="J2192" s="223"/>
      <c r="K2192" s="317">
        <v>1899.0</v>
      </c>
    </row>
    <row r="2193">
      <c r="A2193" s="223"/>
      <c r="B2193" s="223" t="s">
        <v>200</v>
      </c>
      <c r="C2193" s="223"/>
      <c r="D2193" s="316"/>
      <c r="E2193" s="218"/>
      <c r="F2193" s="218"/>
      <c r="G2193" s="218" t="s">
        <v>200</v>
      </c>
      <c r="H2193" s="223">
        <v>0.0</v>
      </c>
      <c r="J2193" s="223"/>
      <c r="K2193" s="317">
        <v>1899.0</v>
      </c>
    </row>
    <row r="2194">
      <c r="A2194" s="223"/>
      <c r="B2194" s="223" t="s">
        <v>200</v>
      </c>
      <c r="C2194" s="223"/>
      <c r="D2194" s="316"/>
      <c r="E2194" s="218"/>
      <c r="F2194" s="218"/>
      <c r="G2194" s="218" t="s">
        <v>200</v>
      </c>
      <c r="H2194" s="223">
        <v>0.0</v>
      </c>
      <c r="J2194" s="223"/>
      <c r="K2194" s="317">
        <v>1899.0</v>
      </c>
    </row>
    <row r="2195">
      <c r="A2195" s="223"/>
      <c r="B2195" s="223" t="s">
        <v>200</v>
      </c>
      <c r="C2195" s="223"/>
      <c r="D2195" s="316"/>
      <c r="E2195" s="218"/>
      <c r="F2195" s="218"/>
      <c r="G2195" s="218" t="s">
        <v>200</v>
      </c>
      <c r="H2195" s="223">
        <v>0.0</v>
      </c>
      <c r="J2195" s="223"/>
      <c r="K2195" s="317">
        <v>1899.0</v>
      </c>
    </row>
    <row r="2196">
      <c r="A2196" s="223"/>
      <c r="B2196" s="223" t="s">
        <v>200</v>
      </c>
      <c r="C2196" s="223"/>
      <c r="D2196" s="316"/>
      <c r="E2196" s="218"/>
      <c r="F2196" s="218"/>
      <c r="G2196" s="218" t="s">
        <v>200</v>
      </c>
      <c r="H2196" s="223">
        <v>0.0</v>
      </c>
      <c r="J2196" s="223"/>
      <c r="K2196" s="317">
        <v>1899.0</v>
      </c>
    </row>
    <row r="2197">
      <c r="A2197" s="223"/>
      <c r="B2197" s="223" t="s">
        <v>200</v>
      </c>
      <c r="C2197" s="223"/>
      <c r="D2197" s="316"/>
      <c r="E2197" s="218"/>
      <c r="F2197" s="218"/>
      <c r="G2197" s="218" t="s">
        <v>200</v>
      </c>
      <c r="H2197" s="223">
        <v>0.0</v>
      </c>
      <c r="J2197" s="223"/>
      <c r="K2197" s="317">
        <v>1899.0</v>
      </c>
    </row>
    <row r="2198">
      <c r="A2198" s="223"/>
      <c r="B2198" s="223" t="s">
        <v>200</v>
      </c>
      <c r="C2198" s="223"/>
      <c r="D2198" s="316"/>
      <c r="E2198" s="218"/>
      <c r="F2198" s="218"/>
      <c r="G2198" s="218" t="s">
        <v>200</v>
      </c>
      <c r="H2198" s="223">
        <v>0.0</v>
      </c>
      <c r="J2198" s="223"/>
      <c r="K2198" s="317">
        <v>1899.0</v>
      </c>
    </row>
    <row r="2199">
      <c r="A2199" s="223"/>
      <c r="B2199" s="223" t="s">
        <v>200</v>
      </c>
      <c r="C2199" s="223"/>
      <c r="D2199" s="316"/>
      <c r="E2199" s="218"/>
      <c r="F2199" s="218"/>
      <c r="G2199" s="218" t="s">
        <v>200</v>
      </c>
      <c r="H2199" s="223">
        <v>0.0</v>
      </c>
      <c r="J2199" s="223"/>
      <c r="K2199" s="317">
        <v>1899.0</v>
      </c>
    </row>
    <row r="2200">
      <c r="A2200" s="223"/>
      <c r="B2200" s="223" t="s">
        <v>200</v>
      </c>
      <c r="C2200" s="223"/>
      <c r="D2200" s="316"/>
      <c r="E2200" s="218"/>
      <c r="F2200" s="218"/>
      <c r="G2200" s="218" t="s">
        <v>200</v>
      </c>
      <c r="H2200" s="223">
        <v>0.0</v>
      </c>
      <c r="J2200" s="223"/>
      <c r="K2200" s="317">
        <v>1899.0</v>
      </c>
    </row>
    <row r="2201">
      <c r="A2201" s="223"/>
      <c r="B2201" s="223" t="s">
        <v>200</v>
      </c>
      <c r="C2201" s="223"/>
      <c r="D2201" s="316"/>
      <c r="E2201" s="218"/>
      <c r="F2201" s="218"/>
      <c r="G2201" s="218" t="s">
        <v>200</v>
      </c>
      <c r="H2201" s="223">
        <v>0.0</v>
      </c>
      <c r="J2201" s="223"/>
      <c r="K2201" s="317">
        <v>1899.0</v>
      </c>
    </row>
    <row r="2202">
      <c r="A2202" s="223"/>
      <c r="B2202" s="223" t="s">
        <v>200</v>
      </c>
      <c r="C2202" s="223"/>
      <c r="D2202" s="316"/>
      <c r="E2202" s="218"/>
      <c r="F2202" s="218"/>
      <c r="G2202" s="218" t="s">
        <v>200</v>
      </c>
      <c r="H2202" s="223">
        <v>0.0</v>
      </c>
      <c r="J2202" s="223"/>
      <c r="K2202" s="317">
        <v>1899.0</v>
      </c>
    </row>
    <row r="2203">
      <c r="A2203" s="223"/>
      <c r="B2203" s="223" t="s">
        <v>200</v>
      </c>
      <c r="C2203" s="223"/>
      <c r="D2203" s="316"/>
      <c r="E2203" s="218"/>
      <c r="F2203" s="218"/>
      <c r="G2203" s="218" t="s">
        <v>200</v>
      </c>
      <c r="H2203" s="223">
        <v>0.0</v>
      </c>
      <c r="J2203" s="223"/>
      <c r="K2203" s="317">
        <v>1899.0</v>
      </c>
    </row>
    <row r="2204">
      <c r="A2204" s="223"/>
      <c r="B2204" s="223" t="s">
        <v>200</v>
      </c>
      <c r="C2204" s="223"/>
      <c r="D2204" s="316"/>
      <c r="E2204" s="218"/>
      <c r="F2204" s="218"/>
      <c r="G2204" s="218" t="s">
        <v>200</v>
      </c>
      <c r="H2204" s="223">
        <v>0.0</v>
      </c>
      <c r="J2204" s="223"/>
      <c r="K2204" s="317">
        <v>1899.0</v>
      </c>
    </row>
    <row r="2205">
      <c r="A2205" s="223"/>
      <c r="B2205" s="223" t="s">
        <v>200</v>
      </c>
      <c r="C2205" s="223"/>
      <c r="D2205" s="316"/>
      <c r="E2205" s="218"/>
      <c r="F2205" s="218"/>
      <c r="G2205" s="218" t="s">
        <v>200</v>
      </c>
      <c r="H2205" s="223">
        <v>0.0</v>
      </c>
      <c r="J2205" s="223"/>
      <c r="K2205" s="317">
        <v>1899.0</v>
      </c>
    </row>
    <row r="2206">
      <c r="A2206" s="223"/>
      <c r="B2206" s="223" t="s">
        <v>200</v>
      </c>
      <c r="C2206" s="223"/>
      <c r="D2206" s="316"/>
      <c r="E2206" s="218"/>
      <c r="F2206" s="218"/>
      <c r="G2206" s="218" t="s">
        <v>200</v>
      </c>
      <c r="H2206" s="223">
        <v>0.0</v>
      </c>
      <c r="J2206" s="223"/>
      <c r="K2206" s="317">
        <v>1899.0</v>
      </c>
    </row>
    <row r="2207">
      <c r="A2207" s="223"/>
      <c r="B2207" s="223" t="s">
        <v>200</v>
      </c>
      <c r="C2207" s="223"/>
      <c r="D2207" s="316"/>
      <c r="E2207" s="218"/>
      <c r="F2207" s="218"/>
      <c r="G2207" s="218" t="s">
        <v>200</v>
      </c>
      <c r="H2207" s="223">
        <v>0.0</v>
      </c>
      <c r="J2207" s="223"/>
      <c r="K2207" s="317">
        <v>1899.0</v>
      </c>
    </row>
    <row r="2208">
      <c r="A2208" s="223"/>
      <c r="B2208" s="223" t="s">
        <v>200</v>
      </c>
      <c r="C2208" s="223"/>
      <c r="D2208" s="316"/>
      <c r="E2208" s="218"/>
      <c r="F2208" s="218"/>
      <c r="G2208" s="218" t="s">
        <v>200</v>
      </c>
      <c r="H2208" s="223">
        <v>0.0</v>
      </c>
      <c r="J2208" s="223"/>
      <c r="K2208" s="317">
        <v>1899.0</v>
      </c>
    </row>
    <row r="2209">
      <c r="A2209" s="223"/>
      <c r="B2209" s="223" t="s">
        <v>200</v>
      </c>
      <c r="C2209" s="223"/>
      <c r="D2209" s="316"/>
      <c r="E2209" s="218"/>
      <c r="F2209" s="218"/>
      <c r="G2209" s="218" t="s">
        <v>200</v>
      </c>
      <c r="H2209" s="223">
        <v>0.0</v>
      </c>
      <c r="J2209" s="223"/>
      <c r="K2209" s="317">
        <v>1899.0</v>
      </c>
    </row>
    <row r="2210">
      <c r="A2210" s="223"/>
      <c r="B2210" s="223" t="s">
        <v>200</v>
      </c>
      <c r="C2210" s="223"/>
      <c r="D2210" s="316"/>
      <c r="E2210" s="218"/>
      <c r="F2210" s="218"/>
      <c r="G2210" s="218" t="s">
        <v>200</v>
      </c>
      <c r="H2210" s="223">
        <v>0.0</v>
      </c>
      <c r="J2210" s="223"/>
      <c r="K2210" s="317">
        <v>1899.0</v>
      </c>
    </row>
    <row r="2211">
      <c r="A2211" s="223"/>
      <c r="B2211" s="223" t="s">
        <v>200</v>
      </c>
      <c r="C2211" s="223"/>
      <c r="D2211" s="316"/>
      <c r="E2211" s="218"/>
      <c r="F2211" s="218"/>
      <c r="G2211" s="218" t="s">
        <v>200</v>
      </c>
      <c r="H2211" s="223">
        <v>0.0</v>
      </c>
      <c r="J2211" s="223"/>
      <c r="K2211" s="317">
        <v>1899.0</v>
      </c>
    </row>
    <row r="2212">
      <c r="A2212" s="223"/>
      <c r="B2212" s="223" t="s">
        <v>200</v>
      </c>
      <c r="C2212" s="223"/>
      <c r="D2212" s="316"/>
      <c r="E2212" s="218"/>
      <c r="F2212" s="218"/>
      <c r="G2212" s="218" t="s">
        <v>200</v>
      </c>
      <c r="H2212" s="223">
        <v>0.0</v>
      </c>
      <c r="J2212" s="223"/>
      <c r="K2212" s="317">
        <v>1899.0</v>
      </c>
    </row>
    <row r="2213">
      <c r="A2213" s="223"/>
      <c r="B2213" s="223" t="s">
        <v>200</v>
      </c>
      <c r="C2213" s="223"/>
      <c r="D2213" s="316"/>
      <c r="E2213" s="218"/>
      <c r="F2213" s="218"/>
      <c r="G2213" s="218" t="s">
        <v>200</v>
      </c>
      <c r="H2213" s="223">
        <v>0.0</v>
      </c>
      <c r="J2213" s="223"/>
      <c r="K2213" s="317">
        <v>1899.0</v>
      </c>
    </row>
    <row r="2214">
      <c r="A2214" s="223"/>
      <c r="B2214" s="223" t="s">
        <v>200</v>
      </c>
      <c r="C2214" s="223"/>
      <c r="D2214" s="316"/>
      <c r="E2214" s="218"/>
      <c r="F2214" s="218"/>
      <c r="G2214" s="218" t="s">
        <v>200</v>
      </c>
      <c r="H2214" s="223">
        <v>0.0</v>
      </c>
      <c r="J2214" s="223"/>
      <c r="K2214" s="317">
        <v>1899.0</v>
      </c>
    </row>
    <row r="2215">
      <c r="A2215" s="223"/>
      <c r="B2215" s="223" t="s">
        <v>200</v>
      </c>
      <c r="C2215" s="223"/>
      <c r="D2215" s="316"/>
      <c r="E2215" s="218"/>
      <c r="F2215" s="218"/>
      <c r="G2215" s="218" t="s">
        <v>200</v>
      </c>
      <c r="H2215" s="223">
        <v>0.0</v>
      </c>
      <c r="J2215" s="223"/>
      <c r="K2215" s="317">
        <v>1899.0</v>
      </c>
    </row>
    <row r="2216">
      <c r="A2216" s="223"/>
      <c r="B2216" s="223" t="s">
        <v>200</v>
      </c>
      <c r="C2216" s="223"/>
      <c r="D2216" s="316"/>
      <c r="E2216" s="218"/>
      <c r="F2216" s="218"/>
      <c r="G2216" s="218" t="s">
        <v>200</v>
      </c>
      <c r="H2216" s="223">
        <v>0.0</v>
      </c>
      <c r="J2216" s="223"/>
      <c r="K2216" s="317">
        <v>1899.0</v>
      </c>
    </row>
    <row r="2217">
      <c r="A2217" s="223"/>
      <c r="B2217" s="223" t="s">
        <v>200</v>
      </c>
      <c r="C2217" s="223"/>
      <c r="D2217" s="316"/>
      <c r="E2217" s="218"/>
      <c r="F2217" s="218"/>
      <c r="G2217" s="218" t="s">
        <v>200</v>
      </c>
      <c r="H2217" s="223">
        <v>0.0</v>
      </c>
      <c r="J2217" s="223"/>
      <c r="K2217" s="317">
        <v>1899.0</v>
      </c>
    </row>
    <row r="2218">
      <c r="A2218" s="223"/>
      <c r="B2218" s="223" t="s">
        <v>200</v>
      </c>
      <c r="C2218" s="223"/>
      <c r="D2218" s="316"/>
      <c r="E2218" s="218"/>
      <c r="F2218" s="218"/>
      <c r="G2218" s="218" t="s">
        <v>200</v>
      </c>
      <c r="H2218" s="223">
        <v>0.0</v>
      </c>
      <c r="J2218" s="223"/>
      <c r="K2218" s="317">
        <v>1899.0</v>
      </c>
    </row>
    <row r="2219">
      <c r="A2219" s="223"/>
      <c r="B2219" s="223" t="s">
        <v>200</v>
      </c>
      <c r="C2219" s="223"/>
      <c r="D2219" s="316"/>
      <c r="E2219" s="218"/>
      <c r="F2219" s="218"/>
      <c r="G2219" s="218" t="s">
        <v>200</v>
      </c>
      <c r="H2219" s="223">
        <v>0.0</v>
      </c>
      <c r="J2219" s="223"/>
      <c r="K2219" s="317">
        <v>1899.0</v>
      </c>
    </row>
    <row r="2220">
      <c r="A2220" s="223"/>
      <c r="B2220" s="223" t="s">
        <v>200</v>
      </c>
      <c r="C2220" s="223"/>
      <c r="D2220" s="316"/>
      <c r="E2220" s="218"/>
      <c r="F2220" s="218"/>
      <c r="G2220" s="218" t="s">
        <v>200</v>
      </c>
      <c r="H2220" s="223">
        <v>0.0</v>
      </c>
      <c r="J2220" s="223"/>
      <c r="K2220" s="317">
        <v>1899.0</v>
      </c>
    </row>
    <row r="2221">
      <c r="A2221" s="223"/>
      <c r="B2221" s="223" t="s">
        <v>200</v>
      </c>
      <c r="C2221" s="223"/>
      <c r="D2221" s="316"/>
      <c r="E2221" s="218"/>
      <c r="F2221" s="218"/>
      <c r="G2221" s="218" t="s">
        <v>200</v>
      </c>
      <c r="H2221" s="223">
        <v>0.0</v>
      </c>
      <c r="J2221" s="223"/>
      <c r="K2221" s="317">
        <v>1899.0</v>
      </c>
    </row>
    <row r="2222">
      <c r="A2222" s="223"/>
      <c r="B2222" s="223" t="s">
        <v>200</v>
      </c>
      <c r="C2222" s="223"/>
      <c r="D2222" s="316"/>
      <c r="E2222" s="218"/>
      <c r="F2222" s="218"/>
      <c r="G2222" s="218" t="s">
        <v>200</v>
      </c>
      <c r="H2222" s="223">
        <v>0.0</v>
      </c>
      <c r="J2222" s="223"/>
      <c r="K2222" s="317">
        <v>1899.0</v>
      </c>
    </row>
    <row r="2223">
      <c r="A2223" s="223"/>
      <c r="B2223" s="223" t="s">
        <v>200</v>
      </c>
      <c r="C2223" s="223"/>
      <c r="D2223" s="316"/>
      <c r="E2223" s="218"/>
      <c r="F2223" s="218"/>
      <c r="G2223" s="218" t="s">
        <v>200</v>
      </c>
      <c r="H2223" s="223">
        <v>0.0</v>
      </c>
      <c r="J2223" s="223"/>
      <c r="K2223" s="317">
        <v>1899.0</v>
      </c>
    </row>
    <row r="2224">
      <c r="A2224" s="223"/>
      <c r="B2224" s="223" t="s">
        <v>200</v>
      </c>
      <c r="C2224" s="223"/>
      <c r="D2224" s="316"/>
      <c r="E2224" s="218"/>
      <c r="F2224" s="218"/>
      <c r="G2224" s="218" t="s">
        <v>200</v>
      </c>
      <c r="H2224" s="223">
        <v>0.0</v>
      </c>
      <c r="J2224" s="223"/>
      <c r="K2224" s="317">
        <v>1899.0</v>
      </c>
    </row>
    <row r="2225">
      <c r="A2225" s="223"/>
      <c r="B2225" s="223" t="s">
        <v>200</v>
      </c>
      <c r="C2225" s="223"/>
      <c r="D2225" s="316"/>
      <c r="E2225" s="218"/>
      <c r="F2225" s="218"/>
      <c r="G2225" s="218" t="s">
        <v>200</v>
      </c>
      <c r="H2225" s="223">
        <v>0.0</v>
      </c>
      <c r="J2225" s="223"/>
      <c r="K2225" s="317">
        <v>1899.0</v>
      </c>
    </row>
    <row r="2226">
      <c r="A2226" s="223"/>
      <c r="B2226" s="223" t="s">
        <v>200</v>
      </c>
      <c r="C2226" s="223"/>
      <c r="D2226" s="316"/>
      <c r="E2226" s="218"/>
      <c r="F2226" s="218"/>
      <c r="G2226" s="218" t="s">
        <v>200</v>
      </c>
      <c r="H2226" s="223">
        <v>0.0</v>
      </c>
      <c r="J2226" s="223"/>
      <c r="K2226" s="317">
        <v>1899.0</v>
      </c>
    </row>
    <row r="2227">
      <c r="A2227" s="223"/>
      <c r="B2227" s="223" t="s">
        <v>200</v>
      </c>
      <c r="C2227" s="223"/>
      <c r="D2227" s="316"/>
      <c r="E2227" s="218"/>
      <c r="F2227" s="218"/>
      <c r="G2227" s="218" t="s">
        <v>200</v>
      </c>
      <c r="H2227" s="223">
        <v>0.0</v>
      </c>
      <c r="J2227" s="223"/>
      <c r="K2227" s="317">
        <v>1899.0</v>
      </c>
    </row>
    <row r="2228">
      <c r="A2228" s="223"/>
      <c r="B2228" s="223" t="s">
        <v>200</v>
      </c>
      <c r="C2228" s="223"/>
      <c r="D2228" s="316"/>
      <c r="E2228" s="218"/>
      <c r="F2228" s="218"/>
      <c r="G2228" s="218" t="s">
        <v>200</v>
      </c>
      <c r="H2228" s="223">
        <v>0.0</v>
      </c>
      <c r="J2228" s="223"/>
      <c r="K2228" s="317">
        <v>1899.0</v>
      </c>
    </row>
    <row r="2229">
      <c r="A2229" s="223"/>
      <c r="B2229" s="223" t="s">
        <v>200</v>
      </c>
      <c r="C2229" s="223"/>
      <c r="D2229" s="316"/>
      <c r="E2229" s="218"/>
      <c r="F2229" s="218"/>
      <c r="G2229" s="218" t="s">
        <v>200</v>
      </c>
      <c r="H2229" s="223">
        <v>0.0</v>
      </c>
      <c r="J2229" s="223"/>
      <c r="K2229" s="317">
        <v>1899.0</v>
      </c>
    </row>
    <row r="2230">
      <c r="A2230" s="223"/>
      <c r="B2230" s="223" t="s">
        <v>200</v>
      </c>
      <c r="C2230" s="223"/>
      <c r="D2230" s="316"/>
      <c r="E2230" s="218"/>
      <c r="F2230" s="218"/>
      <c r="G2230" s="218" t="s">
        <v>200</v>
      </c>
      <c r="H2230" s="223">
        <v>0.0</v>
      </c>
      <c r="J2230" s="223"/>
      <c r="K2230" s="317">
        <v>1899.0</v>
      </c>
    </row>
    <row r="2231">
      <c r="A2231" s="223"/>
      <c r="B2231" s="223" t="s">
        <v>200</v>
      </c>
      <c r="C2231" s="223"/>
      <c r="D2231" s="316"/>
      <c r="E2231" s="218"/>
      <c r="F2231" s="218"/>
      <c r="G2231" s="218" t="s">
        <v>200</v>
      </c>
      <c r="H2231" s="223">
        <v>0.0</v>
      </c>
      <c r="J2231" s="223"/>
      <c r="K2231" s="317">
        <v>1899.0</v>
      </c>
    </row>
    <row r="2232">
      <c r="A2232" s="223"/>
      <c r="B2232" s="223" t="s">
        <v>200</v>
      </c>
      <c r="C2232" s="223"/>
      <c r="D2232" s="316"/>
      <c r="E2232" s="218"/>
      <c r="F2232" s="218"/>
      <c r="G2232" s="218" t="s">
        <v>200</v>
      </c>
      <c r="H2232" s="223">
        <v>0.0</v>
      </c>
      <c r="J2232" s="223"/>
      <c r="K2232" s="317">
        <v>1899.0</v>
      </c>
    </row>
    <row r="2233">
      <c r="A2233" s="223"/>
      <c r="B2233" s="223" t="s">
        <v>200</v>
      </c>
      <c r="C2233" s="223"/>
      <c r="D2233" s="316"/>
      <c r="E2233" s="218"/>
      <c r="F2233" s="218"/>
      <c r="G2233" s="218" t="s">
        <v>200</v>
      </c>
      <c r="H2233" s="223">
        <v>0.0</v>
      </c>
      <c r="J2233" s="223"/>
      <c r="K2233" s="317">
        <v>1899.0</v>
      </c>
    </row>
    <row r="2234">
      <c r="A2234" s="223"/>
      <c r="B2234" s="223" t="s">
        <v>200</v>
      </c>
      <c r="C2234" s="223"/>
      <c r="D2234" s="316"/>
      <c r="E2234" s="218"/>
      <c r="F2234" s="218"/>
      <c r="G2234" s="218" t="s">
        <v>200</v>
      </c>
      <c r="H2234" s="223">
        <v>0.0</v>
      </c>
      <c r="J2234" s="223"/>
      <c r="K2234" s="317">
        <v>1899.0</v>
      </c>
    </row>
    <row r="2235">
      <c r="A2235" s="223"/>
      <c r="B2235" s="223" t="s">
        <v>200</v>
      </c>
      <c r="C2235" s="223"/>
      <c r="D2235" s="316"/>
      <c r="E2235" s="218"/>
      <c r="F2235" s="218"/>
      <c r="G2235" s="218" t="s">
        <v>200</v>
      </c>
      <c r="H2235" s="223">
        <v>0.0</v>
      </c>
      <c r="J2235" s="223"/>
      <c r="K2235" s="317">
        <v>1899.0</v>
      </c>
    </row>
    <row r="2236">
      <c r="A2236" s="223"/>
      <c r="B2236" s="223" t="s">
        <v>200</v>
      </c>
      <c r="C2236" s="223"/>
      <c r="D2236" s="316"/>
      <c r="E2236" s="218"/>
      <c r="F2236" s="218"/>
      <c r="G2236" s="218" t="s">
        <v>200</v>
      </c>
      <c r="H2236" s="223">
        <v>0.0</v>
      </c>
      <c r="J2236" s="223"/>
      <c r="K2236" s="317">
        <v>1899.0</v>
      </c>
    </row>
    <row r="2237">
      <c r="A2237" s="223"/>
      <c r="B2237" s="223" t="s">
        <v>200</v>
      </c>
      <c r="C2237" s="223"/>
      <c r="D2237" s="316"/>
      <c r="E2237" s="218"/>
      <c r="F2237" s="218"/>
      <c r="G2237" s="218" t="s">
        <v>200</v>
      </c>
      <c r="H2237" s="223">
        <v>0.0</v>
      </c>
      <c r="J2237" s="223"/>
      <c r="K2237" s="317">
        <v>1899.0</v>
      </c>
    </row>
    <row r="2238">
      <c r="A2238" s="223"/>
      <c r="B2238" s="223" t="s">
        <v>200</v>
      </c>
      <c r="C2238" s="223"/>
      <c r="D2238" s="316"/>
      <c r="E2238" s="218"/>
      <c r="F2238" s="218"/>
      <c r="G2238" s="218" t="s">
        <v>200</v>
      </c>
      <c r="H2238" s="223">
        <v>0.0</v>
      </c>
      <c r="J2238" s="223"/>
      <c r="K2238" s="317">
        <v>1899.0</v>
      </c>
    </row>
    <row r="2239">
      <c r="A2239" s="223"/>
      <c r="B2239" s="223" t="s">
        <v>200</v>
      </c>
      <c r="C2239" s="223"/>
      <c r="D2239" s="316"/>
      <c r="E2239" s="218"/>
      <c r="F2239" s="218"/>
      <c r="G2239" s="218" t="s">
        <v>200</v>
      </c>
      <c r="H2239" s="223">
        <v>0.0</v>
      </c>
      <c r="J2239" s="223"/>
      <c r="K2239" s="317">
        <v>1899.0</v>
      </c>
    </row>
    <row r="2240">
      <c r="A2240" s="223"/>
      <c r="B2240" s="223" t="s">
        <v>200</v>
      </c>
      <c r="C2240" s="223"/>
      <c r="D2240" s="316"/>
      <c r="E2240" s="218"/>
      <c r="F2240" s="218"/>
      <c r="G2240" s="218" t="s">
        <v>200</v>
      </c>
      <c r="H2240" s="223">
        <v>0.0</v>
      </c>
      <c r="J2240" s="223"/>
      <c r="K2240" s="317">
        <v>1899.0</v>
      </c>
    </row>
    <row r="2241">
      <c r="A2241" s="223"/>
      <c r="B2241" s="223" t="s">
        <v>200</v>
      </c>
      <c r="C2241" s="223"/>
      <c r="D2241" s="316"/>
      <c r="E2241" s="218"/>
      <c r="F2241" s="218"/>
      <c r="G2241" s="218" t="s">
        <v>200</v>
      </c>
      <c r="H2241" s="223">
        <v>0.0</v>
      </c>
      <c r="J2241" s="223"/>
      <c r="K2241" s="317">
        <v>1899.0</v>
      </c>
    </row>
    <row r="2242">
      <c r="A2242" s="223"/>
      <c r="B2242" s="223" t="s">
        <v>200</v>
      </c>
      <c r="C2242" s="223"/>
      <c r="D2242" s="316"/>
      <c r="E2242" s="218"/>
      <c r="F2242" s="218"/>
      <c r="G2242" s="218" t="s">
        <v>200</v>
      </c>
      <c r="H2242" s="223">
        <v>0.0</v>
      </c>
      <c r="J2242" s="223"/>
      <c r="K2242" s="317">
        <v>1899.0</v>
      </c>
    </row>
    <row r="2243">
      <c r="A2243" s="223"/>
      <c r="B2243" s="223" t="s">
        <v>200</v>
      </c>
      <c r="C2243" s="223"/>
      <c r="D2243" s="316"/>
      <c r="E2243" s="218"/>
      <c r="F2243" s="218"/>
      <c r="G2243" s="218" t="s">
        <v>200</v>
      </c>
      <c r="H2243" s="223">
        <v>0.0</v>
      </c>
      <c r="J2243" s="223"/>
      <c r="K2243" s="317">
        <v>1899.0</v>
      </c>
    </row>
    <row r="2244">
      <c r="A2244" s="223"/>
      <c r="B2244" s="223" t="s">
        <v>200</v>
      </c>
      <c r="C2244" s="223"/>
      <c r="D2244" s="316"/>
      <c r="E2244" s="218"/>
      <c r="F2244" s="218"/>
      <c r="G2244" s="218" t="s">
        <v>200</v>
      </c>
      <c r="H2244" s="223">
        <v>0.0</v>
      </c>
      <c r="J2244" s="223"/>
      <c r="K2244" s="317">
        <v>1899.0</v>
      </c>
    </row>
    <row r="2245">
      <c r="A2245" s="223"/>
      <c r="B2245" s="223" t="s">
        <v>200</v>
      </c>
      <c r="C2245" s="223"/>
      <c r="D2245" s="316"/>
      <c r="E2245" s="218"/>
      <c r="F2245" s="218"/>
      <c r="G2245" s="218" t="s">
        <v>200</v>
      </c>
      <c r="H2245" s="223">
        <v>0.0</v>
      </c>
      <c r="J2245" s="223"/>
      <c r="K2245" s="317">
        <v>1899.0</v>
      </c>
    </row>
    <row r="2246">
      <c r="A2246" s="223"/>
      <c r="B2246" s="223" t="s">
        <v>200</v>
      </c>
      <c r="C2246" s="223"/>
      <c r="D2246" s="316"/>
      <c r="E2246" s="218"/>
      <c r="F2246" s="218"/>
      <c r="G2246" s="218" t="s">
        <v>200</v>
      </c>
      <c r="H2246" s="223">
        <v>0.0</v>
      </c>
      <c r="J2246" s="223"/>
      <c r="K2246" s="317">
        <v>1899.0</v>
      </c>
    </row>
    <row r="2247">
      <c r="A2247" s="223"/>
      <c r="B2247" s="223" t="s">
        <v>200</v>
      </c>
      <c r="C2247" s="223"/>
      <c r="D2247" s="316"/>
      <c r="E2247" s="218"/>
      <c r="F2247" s="218"/>
      <c r="G2247" s="218" t="s">
        <v>200</v>
      </c>
      <c r="H2247" s="223">
        <v>0.0</v>
      </c>
      <c r="J2247" s="223"/>
      <c r="K2247" s="317">
        <v>1899.0</v>
      </c>
    </row>
    <row r="2248">
      <c r="A2248" s="223"/>
      <c r="B2248" s="223" t="s">
        <v>200</v>
      </c>
      <c r="C2248" s="223"/>
      <c r="D2248" s="316"/>
      <c r="E2248" s="218"/>
      <c r="F2248" s="218"/>
      <c r="G2248" s="218" t="s">
        <v>200</v>
      </c>
      <c r="H2248" s="223">
        <v>0.0</v>
      </c>
      <c r="J2248" s="223"/>
      <c r="K2248" s="317">
        <v>1899.0</v>
      </c>
    </row>
    <row r="2249">
      <c r="A2249" s="223"/>
      <c r="B2249" s="223" t="s">
        <v>200</v>
      </c>
      <c r="C2249" s="223"/>
      <c r="D2249" s="316"/>
      <c r="E2249" s="218"/>
      <c r="F2249" s="218"/>
      <c r="G2249" s="218" t="s">
        <v>200</v>
      </c>
      <c r="H2249" s="223">
        <v>0.0</v>
      </c>
      <c r="J2249" s="223"/>
      <c r="K2249" s="317">
        <v>1899.0</v>
      </c>
    </row>
    <row r="2250">
      <c r="A2250" s="223"/>
      <c r="B2250" s="223" t="s">
        <v>200</v>
      </c>
      <c r="C2250" s="223"/>
      <c r="D2250" s="316"/>
      <c r="E2250" s="218"/>
      <c r="F2250" s="218"/>
      <c r="G2250" s="218" t="s">
        <v>200</v>
      </c>
      <c r="H2250" s="223">
        <v>0.0</v>
      </c>
      <c r="J2250" s="223"/>
      <c r="K2250" s="317">
        <v>1899.0</v>
      </c>
    </row>
    <row r="2251">
      <c r="A2251" s="223"/>
      <c r="B2251" s="223" t="s">
        <v>200</v>
      </c>
      <c r="C2251" s="223"/>
      <c r="D2251" s="316"/>
      <c r="E2251" s="218"/>
      <c r="F2251" s="218"/>
      <c r="G2251" s="218" t="s">
        <v>200</v>
      </c>
      <c r="H2251" s="223">
        <v>0.0</v>
      </c>
      <c r="J2251" s="223"/>
      <c r="K2251" s="317">
        <v>1899.0</v>
      </c>
    </row>
    <row r="2252">
      <c r="A2252" s="223"/>
      <c r="B2252" s="223" t="s">
        <v>200</v>
      </c>
      <c r="C2252" s="223"/>
      <c r="D2252" s="316"/>
      <c r="E2252" s="218"/>
      <c r="F2252" s="218"/>
      <c r="G2252" s="218" t="s">
        <v>200</v>
      </c>
      <c r="H2252" s="223">
        <v>0.0</v>
      </c>
      <c r="J2252" s="223"/>
      <c r="K2252" s="317">
        <v>1899.0</v>
      </c>
    </row>
    <row r="2253">
      <c r="A2253" s="223"/>
      <c r="B2253" s="223" t="s">
        <v>200</v>
      </c>
      <c r="C2253" s="223"/>
      <c r="D2253" s="316"/>
      <c r="E2253" s="218"/>
      <c r="F2253" s="218"/>
      <c r="G2253" s="218" t="s">
        <v>200</v>
      </c>
      <c r="H2253" s="223">
        <v>0.0</v>
      </c>
      <c r="J2253" s="223"/>
      <c r="K2253" s="317">
        <v>1899.0</v>
      </c>
    </row>
    <row r="2254">
      <c r="A2254" s="223"/>
      <c r="B2254" s="223" t="s">
        <v>200</v>
      </c>
      <c r="C2254" s="223"/>
      <c r="D2254" s="316"/>
      <c r="E2254" s="218"/>
      <c r="F2254" s="218"/>
      <c r="G2254" s="218" t="s">
        <v>200</v>
      </c>
      <c r="H2254" s="223">
        <v>0.0</v>
      </c>
      <c r="J2254" s="223"/>
      <c r="K2254" s="317">
        <v>1899.0</v>
      </c>
    </row>
    <row r="2255">
      <c r="A2255" s="223"/>
      <c r="B2255" s="223" t="s">
        <v>200</v>
      </c>
      <c r="C2255" s="223"/>
      <c r="D2255" s="316"/>
      <c r="E2255" s="218"/>
      <c r="F2255" s="218"/>
      <c r="G2255" s="218" t="s">
        <v>200</v>
      </c>
      <c r="H2255" s="223">
        <v>0.0</v>
      </c>
      <c r="J2255" s="223"/>
      <c r="K2255" s="317">
        <v>1899.0</v>
      </c>
    </row>
    <row r="2256">
      <c r="A2256" s="223"/>
      <c r="B2256" s="223" t="s">
        <v>200</v>
      </c>
      <c r="C2256" s="223"/>
      <c r="D2256" s="316"/>
      <c r="E2256" s="218"/>
      <c r="F2256" s="218"/>
      <c r="G2256" s="218" t="s">
        <v>200</v>
      </c>
      <c r="H2256" s="223">
        <v>0.0</v>
      </c>
      <c r="J2256" s="223"/>
      <c r="K2256" s="317">
        <v>1899.0</v>
      </c>
    </row>
    <row r="2257">
      <c r="A2257" s="223"/>
      <c r="B2257" s="223" t="s">
        <v>200</v>
      </c>
      <c r="C2257" s="223"/>
      <c r="D2257" s="316"/>
      <c r="E2257" s="218"/>
      <c r="F2257" s="218"/>
      <c r="G2257" s="218" t="s">
        <v>200</v>
      </c>
      <c r="H2257" s="223">
        <v>0.0</v>
      </c>
      <c r="J2257" s="223"/>
      <c r="K2257" s="317">
        <v>1899.0</v>
      </c>
    </row>
    <row r="2258">
      <c r="A2258" s="223"/>
      <c r="B2258" s="223" t="s">
        <v>200</v>
      </c>
      <c r="C2258" s="223"/>
      <c r="D2258" s="316"/>
      <c r="E2258" s="218"/>
      <c r="F2258" s="218"/>
      <c r="G2258" s="218" t="s">
        <v>200</v>
      </c>
      <c r="H2258" s="223">
        <v>0.0</v>
      </c>
      <c r="J2258" s="223"/>
      <c r="K2258" s="317">
        <v>1899.0</v>
      </c>
    </row>
    <row r="2259">
      <c r="A2259" s="223"/>
      <c r="B2259" s="223" t="s">
        <v>200</v>
      </c>
      <c r="C2259" s="223"/>
      <c r="D2259" s="316"/>
      <c r="E2259" s="218"/>
      <c r="F2259" s="218"/>
      <c r="G2259" s="218" t="s">
        <v>200</v>
      </c>
      <c r="H2259" s="223">
        <v>0.0</v>
      </c>
      <c r="J2259" s="223"/>
      <c r="K2259" s="317">
        <v>1899.0</v>
      </c>
    </row>
    <row r="2260">
      <c r="A2260" s="223"/>
      <c r="B2260" s="223" t="s">
        <v>200</v>
      </c>
      <c r="C2260" s="223"/>
      <c r="D2260" s="316"/>
      <c r="E2260" s="218"/>
      <c r="F2260" s="218"/>
      <c r="G2260" s="218" t="s">
        <v>200</v>
      </c>
      <c r="H2260" s="223">
        <v>0.0</v>
      </c>
      <c r="J2260" s="223"/>
      <c r="K2260" s="317">
        <v>1899.0</v>
      </c>
    </row>
    <row r="2261">
      <c r="A2261" s="223"/>
      <c r="B2261" s="223" t="s">
        <v>200</v>
      </c>
      <c r="C2261" s="223"/>
      <c r="D2261" s="316"/>
      <c r="E2261" s="218"/>
      <c r="F2261" s="218"/>
      <c r="G2261" s="218" t="s">
        <v>200</v>
      </c>
      <c r="H2261" s="223">
        <v>0.0</v>
      </c>
      <c r="J2261" s="223"/>
      <c r="K2261" s="317">
        <v>1899.0</v>
      </c>
    </row>
    <row r="2262">
      <c r="A2262" s="223"/>
      <c r="B2262" s="223" t="s">
        <v>200</v>
      </c>
      <c r="C2262" s="223"/>
      <c r="D2262" s="316"/>
      <c r="E2262" s="218"/>
      <c r="F2262" s="218"/>
      <c r="G2262" s="218" t="s">
        <v>200</v>
      </c>
      <c r="H2262" s="223">
        <v>0.0</v>
      </c>
      <c r="J2262" s="223"/>
      <c r="K2262" s="317">
        <v>1899.0</v>
      </c>
    </row>
    <row r="2263">
      <c r="A2263" s="223"/>
      <c r="B2263" s="223" t="s">
        <v>200</v>
      </c>
      <c r="C2263" s="223"/>
      <c r="D2263" s="316"/>
      <c r="E2263" s="218"/>
      <c r="F2263" s="218"/>
      <c r="G2263" s="218" t="s">
        <v>200</v>
      </c>
      <c r="H2263" s="223">
        <v>0.0</v>
      </c>
      <c r="J2263" s="223"/>
      <c r="K2263" s="317">
        <v>1899.0</v>
      </c>
    </row>
    <row r="2264">
      <c r="A2264" s="223"/>
      <c r="B2264" s="223" t="s">
        <v>200</v>
      </c>
      <c r="C2264" s="223"/>
      <c r="D2264" s="316"/>
      <c r="E2264" s="218"/>
      <c r="F2264" s="218"/>
      <c r="G2264" s="218" t="s">
        <v>200</v>
      </c>
      <c r="H2264" s="223">
        <v>0.0</v>
      </c>
      <c r="J2264" s="223"/>
      <c r="K2264" s="317">
        <v>1899.0</v>
      </c>
    </row>
    <row r="2265">
      <c r="A2265" s="223"/>
      <c r="B2265" s="223" t="s">
        <v>200</v>
      </c>
      <c r="C2265" s="223"/>
      <c r="D2265" s="316"/>
      <c r="E2265" s="218"/>
      <c r="F2265" s="218"/>
      <c r="G2265" s="218" t="s">
        <v>200</v>
      </c>
      <c r="H2265" s="223">
        <v>0.0</v>
      </c>
      <c r="J2265" s="223"/>
      <c r="K2265" s="317">
        <v>1899.0</v>
      </c>
    </row>
    <row r="2266">
      <c r="A2266" s="223"/>
      <c r="B2266" s="223" t="s">
        <v>200</v>
      </c>
      <c r="C2266" s="223"/>
      <c r="D2266" s="316"/>
      <c r="E2266" s="218"/>
      <c r="F2266" s="218"/>
      <c r="G2266" s="218" t="s">
        <v>200</v>
      </c>
      <c r="H2266" s="223">
        <v>0.0</v>
      </c>
      <c r="J2266" s="223"/>
      <c r="K2266" s="317">
        <v>1899.0</v>
      </c>
    </row>
    <row r="2267">
      <c r="A2267" s="223"/>
      <c r="B2267" s="223" t="s">
        <v>200</v>
      </c>
      <c r="C2267" s="223"/>
      <c r="D2267" s="316"/>
      <c r="E2267" s="218"/>
      <c r="F2267" s="218"/>
      <c r="G2267" s="218" t="s">
        <v>200</v>
      </c>
      <c r="H2267" s="223">
        <v>0.0</v>
      </c>
      <c r="J2267" s="223"/>
      <c r="K2267" s="317">
        <v>1899.0</v>
      </c>
    </row>
    <row r="2268">
      <c r="A2268" s="223"/>
      <c r="B2268" s="223" t="s">
        <v>200</v>
      </c>
      <c r="C2268" s="223"/>
      <c r="D2268" s="316"/>
      <c r="E2268" s="218"/>
      <c r="F2268" s="218"/>
      <c r="G2268" s="218" t="s">
        <v>200</v>
      </c>
      <c r="H2268" s="223">
        <v>0.0</v>
      </c>
      <c r="J2268" s="223"/>
      <c r="K2268" s="317">
        <v>1899.0</v>
      </c>
    </row>
    <row r="2269">
      <c r="A2269" s="223"/>
      <c r="B2269" s="223" t="s">
        <v>200</v>
      </c>
      <c r="C2269" s="223"/>
      <c r="D2269" s="316"/>
      <c r="E2269" s="218"/>
      <c r="F2269" s="218"/>
      <c r="G2269" s="218" t="s">
        <v>200</v>
      </c>
      <c r="H2269" s="223">
        <v>0.0</v>
      </c>
      <c r="J2269" s="223"/>
      <c r="K2269" s="317">
        <v>1899.0</v>
      </c>
    </row>
    <row r="2270">
      <c r="A2270" s="223"/>
      <c r="B2270" s="223" t="s">
        <v>200</v>
      </c>
      <c r="C2270" s="223"/>
      <c r="D2270" s="316"/>
      <c r="E2270" s="218"/>
      <c r="F2270" s="218"/>
      <c r="G2270" s="218" t="s">
        <v>200</v>
      </c>
      <c r="H2270" s="223">
        <v>0.0</v>
      </c>
      <c r="J2270" s="223"/>
      <c r="K2270" s="317">
        <v>1899.0</v>
      </c>
    </row>
    <row r="2271">
      <c r="A2271" s="223"/>
      <c r="B2271" s="223" t="s">
        <v>200</v>
      </c>
      <c r="C2271" s="223"/>
      <c r="D2271" s="316"/>
      <c r="E2271" s="218"/>
      <c r="F2271" s="218"/>
      <c r="G2271" s="218" t="s">
        <v>200</v>
      </c>
      <c r="H2271" s="223">
        <v>0.0</v>
      </c>
      <c r="J2271" s="223"/>
      <c r="K2271" s="317">
        <v>1899.0</v>
      </c>
    </row>
    <row r="2272">
      <c r="A2272" s="223"/>
      <c r="B2272" s="223" t="s">
        <v>200</v>
      </c>
      <c r="C2272" s="223"/>
      <c r="D2272" s="316"/>
      <c r="E2272" s="218"/>
      <c r="F2272" s="218"/>
      <c r="G2272" s="218" t="s">
        <v>200</v>
      </c>
      <c r="H2272" s="223">
        <v>0.0</v>
      </c>
      <c r="J2272" s="223"/>
      <c r="K2272" s="317">
        <v>1899.0</v>
      </c>
    </row>
    <row r="2273">
      <c r="A2273" s="223"/>
      <c r="B2273" s="223" t="s">
        <v>200</v>
      </c>
      <c r="C2273" s="223"/>
      <c r="D2273" s="316"/>
      <c r="E2273" s="218"/>
      <c r="F2273" s="218"/>
      <c r="G2273" s="218" t="s">
        <v>200</v>
      </c>
      <c r="H2273" s="223">
        <v>0.0</v>
      </c>
      <c r="J2273" s="223"/>
      <c r="K2273" s="317">
        <v>1899.0</v>
      </c>
    </row>
    <row r="2274">
      <c r="A2274" s="223"/>
      <c r="B2274" s="223" t="s">
        <v>200</v>
      </c>
      <c r="C2274" s="223"/>
      <c r="D2274" s="316"/>
      <c r="E2274" s="218"/>
      <c r="F2274" s="218"/>
      <c r="G2274" s="218" t="s">
        <v>200</v>
      </c>
      <c r="H2274" s="223">
        <v>0.0</v>
      </c>
      <c r="J2274" s="223"/>
      <c r="K2274" s="317">
        <v>1899.0</v>
      </c>
    </row>
    <row r="2275">
      <c r="A2275" s="223"/>
      <c r="B2275" s="223" t="s">
        <v>200</v>
      </c>
      <c r="C2275" s="223"/>
      <c r="D2275" s="316"/>
      <c r="E2275" s="218"/>
      <c r="F2275" s="218"/>
      <c r="G2275" s="218" t="s">
        <v>200</v>
      </c>
      <c r="H2275" s="223">
        <v>0.0</v>
      </c>
      <c r="J2275" s="223"/>
      <c r="K2275" s="317">
        <v>1899.0</v>
      </c>
    </row>
    <row r="2276">
      <c r="A2276" s="223"/>
      <c r="B2276" s="223" t="s">
        <v>200</v>
      </c>
      <c r="C2276" s="223"/>
      <c r="D2276" s="316"/>
      <c r="E2276" s="218"/>
      <c r="F2276" s="218"/>
      <c r="G2276" s="218" t="s">
        <v>200</v>
      </c>
      <c r="H2276" s="223">
        <v>0.0</v>
      </c>
      <c r="J2276" s="223"/>
      <c r="K2276" s="317">
        <v>1899.0</v>
      </c>
    </row>
    <row r="2277">
      <c r="A2277" s="223"/>
      <c r="B2277" s="223" t="s">
        <v>200</v>
      </c>
      <c r="C2277" s="223"/>
      <c r="D2277" s="316"/>
      <c r="E2277" s="218"/>
      <c r="F2277" s="218"/>
      <c r="G2277" s="218" t="s">
        <v>200</v>
      </c>
      <c r="H2277" s="223">
        <v>0.0</v>
      </c>
      <c r="J2277" s="223"/>
      <c r="K2277" s="317">
        <v>1899.0</v>
      </c>
    </row>
    <row r="2278">
      <c r="A2278" s="223"/>
      <c r="B2278" s="223" t="s">
        <v>200</v>
      </c>
      <c r="C2278" s="223"/>
      <c r="D2278" s="316"/>
      <c r="E2278" s="218"/>
      <c r="F2278" s="218"/>
      <c r="G2278" s="218" t="s">
        <v>200</v>
      </c>
      <c r="H2278" s="223">
        <v>0.0</v>
      </c>
      <c r="J2278" s="223"/>
      <c r="K2278" s="317">
        <v>1899.0</v>
      </c>
    </row>
    <row r="2279">
      <c r="A2279" s="223"/>
      <c r="B2279" s="223" t="s">
        <v>200</v>
      </c>
      <c r="C2279" s="223"/>
      <c r="D2279" s="316"/>
      <c r="E2279" s="218"/>
      <c r="F2279" s="218"/>
      <c r="G2279" s="218" t="s">
        <v>200</v>
      </c>
      <c r="H2279" s="223">
        <v>0.0</v>
      </c>
      <c r="J2279" s="223"/>
      <c r="K2279" s="317">
        <v>1899.0</v>
      </c>
    </row>
    <row r="2280">
      <c r="A2280" s="223"/>
      <c r="B2280" s="223" t="s">
        <v>200</v>
      </c>
      <c r="C2280" s="223"/>
      <c r="D2280" s="316"/>
      <c r="E2280" s="218"/>
      <c r="F2280" s="218"/>
      <c r="G2280" s="218" t="s">
        <v>200</v>
      </c>
      <c r="H2280" s="223">
        <v>0.0</v>
      </c>
      <c r="J2280" s="223"/>
      <c r="K2280" s="317">
        <v>1899.0</v>
      </c>
    </row>
    <row r="2281">
      <c r="A2281" s="223"/>
      <c r="B2281" s="223" t="s">
        <v>200</v>
      </c>
      <c r="C2281" s="223"/>
      <c r="D2281" s="316"/>
      <c r="E2281" s="218"/>
      <c r="F2281" s="218"/>
      <c r="G2281" s="218" t="s">
        <v>200</v>
      </c>
      <c r="H2281" s="223">
        <v>0.0</v>
      </c>
      <c r="J2281" s="223"/>
      <c r="K2281" s="317">
        <v>1899.0</v>
      </c>
    </row>
    <row r="2282">
      <c r="A2282" s="223"/>
      <c r="B2282" s="223" t="s">
        <v>200</v>
      </c>
      <c r="C2282" s="223"/>
      <c r="D2282" s="316"/>
      <c r="E2282" s="218"/>
      <c r="F2282" s="218"/>
      <c r="G2282" s="218" t="s">
        <v>200</v>
      </c>
      <c r="H2282" s="223">
        <v>0.0</v>
      </c>
      <c r="J2282" s="223"/>
      <c r="K2282" s="317">
        <v>1899.0</v>
      </c>
    </row>
    <row r="2283">
      <c r="A2283" s="223"/>
      <c r="B2283" s="223" t="s">
        <v>200</v>
      </c>
      <c r="C2283" s="223"/>
      <c r="D2283" s="316"/>
      <c r="E2283" s="218"/>
      <c r="F2283" s="218"/>
      <c r="G2283" s="218" t="s">
        <v>200</v>
      </c>
      <c r="H2283" s="223">
        <v>0.0</v>
      </c>
      <c r="J2283" s="223"/>
      <c r="K2283" s="317">
        <v>1899.0</v>
      </c>
    </row>
    <row r="2284">
      <c r="A2284" s="223"/>
      <c r="B2284" s="223" t="s">
        <v>200</v>
      </c>
      <c r="C2284" s="223"/>
      <c r="D2284" s="316"/>
      <c r="E2284" s="218"/>
      <c r="F2284" s="218"/>
      <c r="G2284" s="218" t="s">
        <v>200</v>
      </c>
      <c r="H2284" s="223">
        <v>0.0</v>
      </c>
      <c r="J2284" s="223"/>
      <c r="K2284" s="317">
        <v>1899.0</v>
      </c>
    </row>
    <row r="2285">
      <c r="A2285" s="223"/>
      <c r="B2285" s="223" t="s">
        <v>200</v>
      </c>
      <c r="C2285" s="223"/>
      <c r="D2285" s="316"/>
      <c r="E2285" s="218"/>
      <c r="F2285" s="218"/>
      <c r="G2285" s="218" t="s">
        <v>200</v>
      </c>
      <c r="H2285" s="223">
        <v>0.0</v>
      </c>
      <c r="J2285" s="223"/>
      <c r="K2285" s="317">
        <v>1899.0</v>
      </c>
    </row>
    <row r="2286">
      <c r="A2286" s="223"/>
      <c r="B2286" s="223" t="s">
        <v>200</v>
      </c>
      <c r="C2286" s="223"/>
      <c r="D2286" s="316"/>
      <c r="E2286" s="218"/>
      <c r="F2286" s="218"/>
      <c r="G2286" s="218" t="s">
        <v>200</v>
      </c>
      <c r="H2286" s="223">
        <v>0.0</v>
      </c>
      <c r="J2286" s="223"/>
      <c r="K2286" s="317">
        <v>1899.0</v>
      </c>
    </row>
    <row r="2287">
      <c r="A2287" s="223"/>
      <c r="B2287" s="223" t="s">
        <v>200</v>
      </c>
      <c r="C2287" s="223"/>
      <c r="D2287" s="316"/>
      <c r="E2287" s="218"/>
      <c r="F2287" s="218"/>
      <c r="G2287" s="218" t="s">
        <v>200</v>
      </c>
      <c r="H2287" s="223">
        <v>0.0</v>
      </c>
      <c r="J2287" s="223"/>
      <c r="K2287" s="317">
        <v>1899.0</v>
      </c>
    </row>
    <row r="2288">
      <c r="A2288" s="223"/>
      <c r="B2288" s="223" t="s">
        <v>200</v>
      </c>
      <c r="C2288" s="223"/>
      <c r="D2288" s="316"/>
      <c r="E2288" s="218"/>
      <c r="F2288" s="218"/>
      <c r="G2288" s="218" t="s">
        <v>200</v>
      </c>
      <c r="H2288" s="223">
        <v>0.0</v>
      </c>
      <c r="J2288" s="223"/>
      <c r="K2288" s="317">
        <v>1899.0</v>
      </c>
    </row>
    <row r="2289">
      <c r="A2289" s="223"/>
      <c r="B2289" s="223" t="s">
        <v>200</v>
      </c>
      <c r="C2289" s="223"/>
      <c r="D2289" s="316"/>
      <c r="E2289" s="218"/>
      <c r="F2289" s="218"/>
      <c r="G2289" s="218" t="s">
        <v>200</v>
      </c>
      <c r="H2289" s="223">
        <v>0.0</v>
      </c>
      <c r="J2289" s="223"/>
      <c r="K2289" s="317">
        <v>1899.0</v>
      </c>
    </row>
    <row r="2290">
      <c r="A2290" s="223"/>
      <c r="B2290" s="223" t="s">
        <v>200</v>
      </c>
      <c r="C2290" s="223"/>
      <c r="D2290" s="316"/>
      <c r="E2290" s="218"/>
      <c r="F2290" s="218"/>
      <c r="G2290" s="218" t="s">
        <v>200</v>
      </c>
      <c r="H2290" s="223">
        <v>0.0</v>
      </c>
      <c r="J2290" s="223"/>
      <c r="K2290" s="317">
        <v>1899.0</v>
      </c>
    </row>
    <row r="2291">
      <c r="A2291" s="223"/>
      <c r="B2291" s="223" t="s">
        <v>200</v>
      </c>
      <c r="C2291" s="223"/>
      <c r="D2291" s="316"/>
      <c r="E2291" s="218"/>
      <c r="F2291" s="218"/>
      <c r="G2291" s="218" t="s">
        <v>200</v>
      </c>
      <c r="H2291" s="223">
        <v>0.0</v>
      </c>
      <c r="J2291" s="223"/>
      <c r="K2291" s="317">
        <v>1899.0</v>
      </c>
    </row>
    <row r="2292">
      <c r="A2292" s="223"/>
      <c r="B2292" s="223" t="s">
        <v>200</v>
      </c>
      <c r="C2292" s="223"/>
      <c r="D2292" s="316"/>
      <c r="E2292" s="218"/>
      <c r="F2292" s="218"/>
      <c r="G2292" s="218" t="s">
        <v>200</v>
      </c>
      <c r="H2292" s="223">
        <v>0.0</v>
      </c>
      <c r="J2292" s="223"/>
      <c r="K2292" s="317">
        <v>1899.0</v>
      </c>
    </row>
    <row r="2293">
      <c r="A2293" s="223"/>
      <c r="B2293" s="223" t="s">
        <v>200</v>
      </c>
      <c r="C2293" s="223"/>
      <c r="D2293" s="316"/>
      <c r="E2293" s="218"/>
      <c r="F2293" s="218"/>
      <c r="G2293" s="218" t="s">
        <v>200</v>
      </c>
      <c r="H2293" s="223">
        <v>0.0</v>
      </c>
      <c r="J2293" s="223"/>
      <c r="K2293" s="317">
        <v>1899.0</v>
      </c>
    </row>
    <row r="2294">
      <c r="A2294" s="223"/>
      <c r="B2294" s="223" t="s">
        <v>200</v>
      </c>
      <c r="C2294" s="223"/>
      <c r="D2294" s="316"/>
      <c r="E2294" s="218"/>
      <c r="F2294" s="218"/>
      <c r="G2294" s="218" t="s">
        <v>200</v>
      </c>
      <c r="H2294" s="223">
        <v>0.0</v>
      </c>
      <c r="J2294" s="223"/>
      <c r="K2294" s="317">
        <v>1899.0</v>
      </c>
    </row>
    <row r="2295">
      <c r="A2295" s="223"/>
      <c r="B2295" s="223" t="s">
        <v>200</v>
      </c>
      <c r="C2295" s="223"/>
      <c r="D2295" s="316"/>
      <c r="E2295" s="218"/>
      <c r="F2295" s="218"/>
      <c r="G2295" s="218" t="s">
        <v>200</v>
      </c>
      <c r="H2295" s="223">
        <v>0.0</v>
      </c>
      <c r="J2295" s="223"/>
      <c r="K2295" s="317">
        <v>1899.0</v>
      </c>
    </row>
    <row r="2296">
      <c r="A2296" s="223"/>
      <c r="B2296" s="223" t="s">
        <v>200</v>
      </c>
      <c r="C2296" s="223"/>
      <c r="D2296" s="316"/>
      <c r="E2296" s="218"/>
      <c r="F2296" s="218"/>
      <c r="G2296" s="218" t="s">
        <v>200</v>
      </c>
      <c r="H2296" s="223">
        <v>0.0</v>
      </c>
      <c r="J2296" s="223"/>
      <c r="K2296" s="317">
        <v>1899.0</v>
      </c>
    </row>
    <row r="2297">
      <c r="A2297" s="223"/>
      <c r="B2297" s="223" t="s">
        <v>200</v>
      </c>
      <c r="C2297" s="223"/>
      <c r="D2297" s="316"/>
      <c r="E2297" s="218"/>
      <c r="F2297" s="218"/>
      <c r="G2297" s="218" t="s">
        <v>200</v>
      </c>
      <c r="H2297" s="223">
        <v>0.0</v>
      </c>
      <c r="J2297" s="223"/>
      <c r="K2297" s="317">
        <v>1899.0</v>
      </c>
    </row>
    <row r="2298">
      <c r="A2298" s="223"/>
      <c r="B2298" s="223" t="s">
        <v>200</v>
      </c>
      <c r="C2298" s="223"/>
      <c r="D2298" s="316"/>
      <c r="E2298" s="218"/>
      <c r="F2298" s="218"/>
      <c r="G2298" s="218" t="s">
        <v>200</v>
      </c>
      <c r="H2298" s="223">
        <v>0.0</v>
      </c>
      <c r="J2298" s="223"/>
      <c r="K2298" s="317">
        <v>1899.0</v>
      </c>
    </row>
    <row r="2299">
      <c r="A2299" s="223"/>
      <c r="B2299" s="223" t="s">
        <v>200</v>
      </c>
      <c r="C2299" s="223"/>
      <c r="D2299" s="316"/>
      <c r="E2299" s="218"/>
      <c r="F2299" s="218"/>
      <c r="G2299" s="218" t="s">
        <v>200</v>
      </c>
      <c r="H2299" s="223">
        <v>0.0</v>
      </c>
      <c r="J2299" s="223"/>
      <c r="K2299" s="317">
        <v>1899.0</v>
      </c>
    </row>
    <row r="2300">
      <c r="A2300" s="223"/>
      <c r="B2300" s="223" t="s">
        <v>200</v>
      </c>
      <c r="C2300" s="223"/>
      <c r="D2300" s="316"/>
      <c r="E2300" s="218"/>
      <c r="F2300" s="218"/>
      <c r="G2300" s="218" t="s">
        <v>200</v>
      </c>
      <c r="H2300" s="223">
        <v>0.0</v>
      </c>
      <c r="J2300" s="223"/>
      <c r="K2300" s="317">
        <v>1899.0</v>
      </c>
    </row>
    <row r="2301">
      <c r="A2301" s="223"/>
      <c r="B2301" s="223" t="s">
        <v>200</v>
      </c>
      <c r="C2301" s="223"/>
      <c r="D2301" s="316"/>
      <c r="E2301" s="218"/>
      <c r="F2301" s="218"/>
      <c r="G2301" s="218" t="s">
        <v>200</v>
      </c>
      <c r="H2301" s="223">
        <v>0.0</v>
      </c>
      <c r="J2301" s="223"/>
      <c r="K2301" s="317">
        <v>1899.0</v>
      </c>
    </row>
    <row r="2302">
      <c r="A2302" s="223"/>
      <c r="B2302" s="223" t="s">
        <v>200</v>
      </c>
      <c r="C2302" s="223"/>
      <c r="D2302" s="316"/>
      <c r="E2302" s="218"/>
      <c r="F2302" s="218"/>
      <c r="G2302" s="218" t="s">
        <v>200</v>
      </c>
      <c r="H2302" s="223">
        <v>0.0</v>
      </c>
      <c r="J2302" s="223"/>
      <c r="K2302" s="317">
        <v>1899.0</v>
      </c>
    </row>
    <row r="2303">
      <c r="A2303" s="223"/>
      <c r="B2303" s="223" t="s">
        <v>200</v>
      </c>
      <c r="C2303" s="223"/>
      <c r="D2303" s="316"/>
      <c r="E2303" s="218"/>
      <c r="F2303" s="218"/>
      <c r="G2303" s="218" t="s">
        <v>200</v>
      </c>
      <c r="H2303" s="223">
        <v>0.0</v>
      </c>
      <c r="J2303" s="223"/>
      <c r="K2303" s="317">
        <v>1899.0</v>
      </c>
    </row>
    <row r="2304">
      <c r="A2304" s="223"/>
      <c r="B2304" s="223" t="s">
        <v>200</v>
      </c>
      <c r="C2304" s="223"/>
      <c r="D2304" s="316"/>
      <c r="E2304" s="218"/>
      <c r="F2304" s="218"/>
      <c r="G2304" s="218" t="s">
        <v>200</v>
      </c>
      <c r="H2304" s="223">
        <v>0.0</v>
      </c>
      <c r="J2304" s="223"/>
      <c r="K2304" s="317">
        <v>1899.0</v>
      </c>
    </row>
    <row r="2305">
      <c r="A2305" s="223"/>
      <c r="B2305" s="223" t="s">
        <v>200</v>
      </c>
      <c r="C2305" s="223"/>
      <c r="D2305" s="316"/>
      <c r="E2305" s="218"/>
      <c r="F2305" s="218"/>
      <c r="G2305" s="218" t="s">
        <v>200</v>
      </c>
      <c r="H2305" s="223">
        <v>0.0</v>
      </c>
      <c r="J2305" s="223"/>
      <c r="K2305" s="317">
        <v>1899.0</v>
      </c>
    </row>
    <row r="2306">
      <c r="A2306" s="223"/>
      <c r="B2306" s="223" t="s">
        <v>200</v>
      </c>
      <c r="C2306" s="223"/>
      <c r="D2306" s="316"/>
      <c r="E2306" s="218"/>
      <c r="F2306" s="218"/>
      <c r="G2306" s="218" t="s">
        <v>200</v>
      </c>
      <c r="H2306" s="223">
        <v>0.0</v>
      </c>
      <c r="J2306" s="223"/>
      <c r="K2306" s="317">
        <v>1899.0</v>
      </c>
    </row>
    <row r="2307">
      <c r="A2307" s="223"/>
      <c r="B2307" s="223" t="s">
        <v>200</v>
      </c>
      <c r="C2307" s="223"/>
      <c r="D2307" s="316"/>
      <c r="E2307" s="218"/>
      <c r="F2307" s="218"/>
      <c r="G2307" s="218" t="s">
        <v>200</v>
      </c>
      <c r="H2307" s="223">
        <v>0.0</v>
      </c>
      <c r="J2307" s="223"/>
      <c r="K2307" s="317">
        <v>1899.0</v>
      </c>
    </row>
    <row r="2308">
      <c r="A2308" s="223"/>
      <c r="B2308" s="223" t="s">
        <v>200</v>
      </c>
      <c r="C2308" s="223"/>
      <c r="D2308" s="316"/>
      <c r="E2308" s="218"/>
      <c r="F2308" s="218"/>
      <c r="G2308" s="218" t="s">
        <v>200</v>
      </c>
      <c r="H2308" s="223">
        <v>0.0</v>
      </c>
      <c r="J2308" s="223"/>
      <c r="K2308" s="317">
        <v>1899.0</v>
      </c>
    </row>
    <row r="2309">
      <c r="A2309" s="223"/>
      <c r="B2309" s="223" t="s">
        <v>200</v>
      </c>
      <c r="C2309" s="223"/>
      <c r="D2309" s="316"/>
      <c r="E2309" s="218"/>
      <c r="F2309" s="218"/>
      <c r="G2309" s="218" t="s">
        <v>200</v>
      </c>
      <c r="H2309" s="223">
        <v>0.0</v>
      </c>
      <c r="J2309" s="223"/>
      <c r="K2309" s="317">
        <v>1899.0</v>
      </c>
    </row>
    <row r="2310">
      <c r="A2310" s="223"/>
      <c r="B2310" s="223" t="s">
        <v>200</v>
      </c>
      <c r="C2310" s="223"/>
      <c r="D2310" s="316"/>
      <c r="E2310" s="218"/>
      <c r="F2310" s="218"/>
      <c r="G2310" s="218" t="s">
        <v>200</v>
      </c>
      <c r="H2310" s="223">
        <v>0.0</v>
      </c>
      <c r="J2310" s="223"/>
      <c r="K2310" s="317">
        <v>1899.0</v>
      </c>
    </row>
    <row r="2311">
      <c r="A2311" s="223"/>
      <c r="B2311" s="223" t="s">
        <v>200</v>
      </c>
      <c r="C2311" s="223"/>
      <c r="D2311" s="316"/>
      <c r="E2311" s="218"/>
      <c r="F2311" s="218"/>
      <c r="G2311" s="218" t="s">
        <v>200</v>
      </c>
      <c r="H2311" s="223">
        <v>0.0</v>
      </c>
      <c r="J2311" s="223"/>
      <c r="K2311" s="317">
        <v>1899.0</v>
      </c>
    </row>
    <row r="2312">
      <c r="A2312" s="223"/>
      <c r="B2312" s="223" t="s">
        <v>200</v>
      </c>
      <c r="C2312" s="223"/>
      <c r="D2312" s="316"/>
      <c r="E2312" s="218"/>
      <c r="F2312" s="218"/>
      <c r="G2312" s="218" t="s">
        <v>200</v>
      </c>
      <c r="H2312" s="223">
        <v>0.0</v>
      </c>
      <c r="J2312" s="223"/>
      <c r="K2312" s="317">
        <v>1899.0</v>
      </c>
    </row>
    <row r="2313">
      <c r="A2313" s="223"/>
      <c r="B2313" s="223" t="s">
        <v>200</v>
      </c>
      <c r="C2313" s="223"/>
      <c r="D2313" s="316"/>
      <c r="E2313" s="218"/>
      <c r="F2313" s="218"/>
      <c r="G2313" s="218" t="s">
        <v>200</v>
      </c>
      <c r="H2313" s="223">
        <v>0.0</v>
      </c>
      <c r="J2313" s="223"/>
      <c r="K2313" s="317">
        <v>1899.0</v>
      </c>
    </row>
    <row r="2314">
      <c r="A2314" s="223"/>
      <c r="B2314" s="223" t="s">
        <v>200</v>
      </c>
      <c r="C2314" s="223"/>
      <c r="D2314" s="316"/>
      <c r="E2314" s="218"/>
      <c r="F2314" s="218"/>
      <c r="G2314" s="218" t="s">
        <v>200</v>
      </c>
      <c r="H2314" s="223">
        <v>0.0</v>
      </c>
      <c r="J2314" s="223"/>
      <c r="K2314" s="317">
        <v>1899.0</v>
      </c>
    </row>
    <row r="2315">
      <c r="A2315" s="223"/>
      <c r="B2315" s="223" t="s">
        <v>200</v>
      </c>
      <c r="C2315" s="223"/>
      <c r="D2315" s="316"/>
      <c r="E2315" s="218"/>
      <c r="F2315" s="218"/>
      <c r="G2315" s="218" t="s">
        <v>200</v>
      </c>
      <c r="H2315" s="223">
        <v>0.0</v>
      </c>
      <c r="J2315" s="223"/>
      <c r="K2315" s="317">
        <v>1899.0</v>
      </c>
    </row>
    <row r="2316">
      <c r="A2316" s="223"/>
      <c r="B2316" s="223" t="s">
        <v>200</v>
      </c>
      <c r="C2316" s="223"/>
      <c r="D2316" s="316"/>
      <c r="E2316" s="218"/>
      <c r="F2316" s="218"/>
      <c r="G2316" s="218" t="s">
        <v>200</v>
      </c>
      <c r="H2316" s="223">
        <v>0.0</v>
      </c>
      <c r="J2316" s="223"/>
      <c r="K2316" s="317">
        <v>1899.0</v>
      </c>
    </row>
    <row r="2317">
      <c r="A2317" s="223"/>
      <c r="B2317" s="223" t="s">
        <v>200</v>
      </c>
      <c r="C2317" s="223"/>
      <c r="D2317" s="316"/>
      <c r="E2317" s="218"/>
      <c r="F2317" s="218"/>
      <c r="G2317" s="218" t="s">
        <v>200</v>
      </c>
      <c r="H2317" s="223">
        <v>0.0</v>
      </c>
      <c r="J2317" s="223"/>
      <c r="K2317" s="317">
        <v>1899.0</v>
      </c>
    </row>
    <row r="2318">
      <c r="A2318" s="223"/>
      <c r="B2318" s="223" t="s">
        <v>200</v>
      </c>
      <c r="C2318" s="223"/>
      <c r="D2318" s="316"/>
      <c r="E2318" s="218"/>
      <c r="F2318" s="218"/>
      <c r="G2318" s="218" t="s">
        <v>200</v>
      </c>
      <c r="H2318" s="223">
        <v>0.0</v>
      </c>
      <c r="J2318" s="223"/>
      <c r="K2318" s="317">
        <v>1899.0</v>
      </c>
    </row>
    <row r="2319">
      <c r="A2319" s="223"/>
      <c r="B2319" s="223" t="s">
        <v>200</v>
      </c>
      <c r="C2319" s="223"/>
      <c r="D2319" s="316"/>
      <c r="E2319" s="218"/>
      <c r="F2319" s="218"/>
      <c r="G2319" s="218" t="s">
        <v>200</v>
      </c>
      <c r="H2319" s="223">
        <v>0.0</v>
      </c>
      <c r="J2319" s="223"/>
      <c r="K2319" s="317">
        <v>1899.0</v>
      </c>
    </row>
    <row r="2320">
      <c r="A2320" s="223"/>
      <c r="B2320" s="223" t="s">
        <v>200</v>
      </c>
      <c r="C2320" s="223"/>
      <c r="D2320" s="316"/>
      <c r="E2320" s="218"/>
      <c r="F2320" s="218"/>
      <c r="G2320" s="218" t="s">
        <v>200</v>
      </c>
      <c r="H2320" s="223">
        <v>0.0</v>
      </c>
      <c r="J2320" s="223"/>
      <c r="K2320" s="317">
        <v>1899.0</v>
      </c>
    </row>
    <row r="2321">
      <c r="A2321" s="223"/>
      <c r="B2321" s="223" t="s">
        <v>200</v>
      </c>
      <c r="C2321" s="223"/>
      <c r="D2321" s="316"/>
      <c r="E2321" s="218"/>
      <c r="F2321" s="218"/>
      <c r="G2321" s="218" t="s">
        <v>200</v>
      </c>
      <c r="H2321" s="223">
        <v>0.0</v>
      </c>
      <c r="J2321" s="223"/>
      <c r="K2321" s="317">
        <v>1899.0</v>
      </c>
    </row>
    <row r="2322">
      <c r="A2322" s="223"/>
      <c r="B2322" s="223" t="s">
        <v>200</v>
      </c>
      <c r="C2322" s="223"/>
      <c r="D2322" s="316"/>
      <c r="E2322" s="218"/>
      <c r="F2322" s="218"/>
      <c r="G2322" s="218" t="s">
        <v>200</v>
      </c>
      <c r="H2322" s="223">
        <v>0.0</v>
      </c>
      <c r="J2322" s="223"/>
      <c r="K2322" s="317">
        <v>1899.0</v>
      </c>
    </row>
    <row r="2323">
      <c r="A2323" s="223"/>
      <c r="B2323" s="223" t="s">
        <v>200</v>
      </c>
      <c r="C2323" s="223"/>
      <c r="D2323" s="316"/>
      <c r="E2323" s="218"/>
      <c r="F2323" s="218"/>
      <c r="G2323" s="218" t="s">
        <v>200</v>
      </c>
      <c r="H2323" s="223">
        <v>0.0</v>
      </c>
      <c r="J2323" s="223"/>
      <c r="K2323" s="317">
        <v>1899.0</v>
      </c>
    </row>
    <row r="2324">
      <c r="A2324" s="223"/>
      <c r="B2324" s="223" t="s">
        <v>200</v>
      </c>
      <c r="C2324" s="223"/>
      <c r="D2324" s="316"/>
      <c r="E2324" s="218"/>
      <c r="F2324" s="218"/>
      <c r="G2324" s="218" t="s">
        <v>200</v>
      </c>
      <c r="H2324" s="223">
        <v>0.0</v>
      </c>
      <c r="J2324" s="223"/>
      <c r="K2324" s="317">
        <v>1899.0</v>
      </c>
    </row>
    <row r="2325">
      <c r="A2325" s="223"/>
      <c r="B2325" s="223" t="s">
        <v>200</v>
      </c>
      <c r="C2325" s="223"/>
      <c r="D2325" s="316"/>
      <c r="E2325" s="218"/>
      <c r="F2325" s="218"/>
      <c r="G2325" s="218" t="s">
        <v>200</v>
      </c>
      <c r="H2325" s="223">
        <v>0.0</v>
      </c>
      <c r="J2325" s="223"/>
      <c r="K2325" s="317">
        <v>1899.0</v>
      </c>
    </row>
    <row r="2326">
      <c r="A2326" s="223"/>
      <c r="B2326" s="223" t="s">
        <v>200</v>
      </c>
      <c r="C2326" s="223"/>
      <c r="D2326" s="316"/>
      <c r="E2326" s="218"/>
      <c r="F2326" s="218"/>
      <c r="G2326" s="218" t="s">
        <v>200</v>
      </c>
      <c r="H2326" s="223">
        <v>0.0</v>
      </c>
      <c r="J2326" s="223"/>
      <c r="K2326" s="317">
        <v>1899.0</v>
      </c>
    </row>
    <row r="2327">
      <c r="A2327" s="223"/>
      <c r="B2327" s="223" t="s">
        <v>200</v>
      </c>
      <c r="C2327" s="223"/>
      <c r="D2327" s="316"/>
      <c r="E2327" s="218"/>
      <c r="F2327" s="218"/>
      <c r="G2327" s="218" t="s">
        <v>200</v>
      </c>
      <c r="H2327" s="223">
        <v>0.0</v>
      </c>
      <c r="J2327" s="223"/>
      <c r="K2327" s="317">
        <v>1899.0</v>
      </c>
    </row>
    <row r="2328">
      <c r="A2328" s="223"/>
      <c r="B2328" s="223" t="s">
        <v>200</v>
      </c>
      <c r="C2328" s="223"/>
      <c r="D2328" s="316"/>
      <c r="E2328" s="218"/>
      <c r="F2328" s="218"/>
      <c r="G2328" s="218" t="s">
        <v>200</v>
      </c>
      <c r="H2328" s="223">
        <v>0.0</v>
      </c>
      <c r="J2328" s="223"/>
      <c r="K2328" s="317">
        <v>1899.0</v>
      </c>
    </row>
    <row r="2329">
      <c r="A2329" s="223"/>
      <c r="B2329" s="223" t="s">
        <v>200</v>
      </c>
      <c r="C2329" s="223"/>
      <c r="D2329" s="316"/>
      <c r="E2329" s="218"/>
      <c r="F2329" s="218"/>
      <c r="G2329" s="218" t="s">
        <v>200</v>
      </c>
      <c r="H2329" s="223">
        <v>0.0</v>
      </c>
      <c r="J2329" s="223"/>
      <c r="K2329" s="317">
        <v>1899.0</v>
      </c>
    </row>
    <row r="2330">
      <c r="A2330" s="223"/>
      <c r="B2330" s="223" t="s">
        <v>200</v>
      </c>
      <c r="C2330" s="223"/>
      <c r="D2330" s="316"/>
      <c r="E2330" s="218"/>
      <c r="F2330" s="218"/>
      <c r="G2330" s="218" t="s">
        <v>200</v>
      </c>
      <c r="H2330" s="223">
        <v>0.0</v>
      </c>
      <c r="J2330" s="223"/>
      <c r="K2330" s="317">
        <v>1899.0</v>
      </c>
    </row>
    <row r="2331">
      <c r="A2331" s="223"/>
      <c r="B2331" s="223" t="s">
        <v>200</v>
      </c>
      <c r="C2331" s="223"/>
      <c r="D2331" s="316"/>
      <c r="E2331" s="218"/>
      <c r="F2331" s="218"/>
      <c r="G2331" s="218" t="s">
        <v>200</v>
      </c>
      <c r="H2331" s="223">
        <v>0.0</v>
      </c>
      <c r="J2331" s="223"/>
      <c r="K2331" s="317">
        <v>1899.0</v>
      </c>
    </row>
    <row r="2332">
      <c r="A2332" s="223"/>
      <c r="B2332" s="223" t="s">
        <v>200</v>
      </c>
      <c r="C2332" s="223"/>
      <c r="D2332" s="316"/>
      <c r="E2332" s="218"/>
      <c r="F2332" s="218"/>
      <c r="G2332" s="218" t="s">
        <v>200</v>
      </c>
      <c r="H2332" s="223">
        <v>0.0</v>
      </c>
      <c r="J2332" s="223"/>
      <c r="K2332" s="317">
        <v>1899.0</v>
      </c>
    </row>
    <row r="2333">
      <c r="A2333" s="223"/>
      <c r="B2333" s="223" t="s">
        <v>200</v>
      </c>
      <c r="C2333" s="223"/>
      <c r="D2333" s="316"/>
      <c r="E2333" s="218"/>
      <c r="F2333" s="218"/>
      <c r="G2333" s="218" t="s">
        <v>200</v>
      </c>
      <c r="H2333" s="223">
        <v>0.0</v>
      </c>
      <c r="J2333" s="223"/>
      <c r="K2333" s="317">
        <v>1899.0</v>
      </c>
    </row>
    <row r="2334">
      <c r="A2334" s="223"/>
      <c r="B2334" s="223" t="s">
        <v>200</v>
      </c>
      <c r="C2334" s="223"/>
      <c r="D2334" s="316"/>
      <c r="E2334" s="218"/>
      <c r="F2334" s="218"/>
      <c r="G2334" s="218" t="s">
        <v>200</v>
      </c>
      <c r="H2334" s="223">
        <v>0.0</v>
      </c>
      <c r="J2334" s="223"/>
      <c r="K2334" s="317">
        <v>1899.0</v>
      </c>
    </row>
    <row r="2335">
      <c r="A2335" s="223"/>
      <c r="B2335" s="223" t="s">
        <v>200</v>
      </c>
      <c r="C2335" s="223"/>
      <c r="D2335" s="316"/>
      <c r="E2335" s="218"/>
      <c r="F2335" s="218"/>
      <c r="G2335" s="218" t="s">
        <v>200</v>
      </c>
      <c r="H2335" s="223">
        <v>0.0</v>
      </c>
      <c r="J2335" s="223"/>
      <c r="K2335" s="317">
        <v>1899.0</v>
      </c>
    </row>
    <row r="2336">
      <c r="A2336" s="223"/>
      <c r="B2336" s="223" t="s">
        <v>200</v>
      </c>
      <c r="C2336" s="223"/>
      <c r="D2336" s="316"/>
      <c r="E2336" s="218"/>
      <c r="F2336" s="218"/>
      <c r="G2336" s="218" t="s">
        <v>200</v>
      </c>
      <c r="H2336" s="223">
        <v>0.0</v>
      </c>
      <c r="J2336" s="223"/>
      <c r="K2336" s="317">
        <v>1899.0</v>
      </c>
    </row>
    <row r="2337">
      <c r="A2337" s="223"/>
      <c r="B2337" s="223" t="s">
        <v>200</v>
      </c>
      <c r="C2337" s="223"/>
      <c r="D2337" s="316"/>
      <c r="E2337" s="218"/>
      <c r="F2337" s="218"/>
      <c r="G2337" s="218" t="s">
        <v>200</v>
      </c>
      <c r="H2337" s="223">
        <v>0.0</v>
      </c>
      <c r="J2337" s="223"/>
      <c r="K2337" s="317">
        <v>1899.0</v>
      </c>
    </row>
    <row r="2338">
      <c r="A2338" s="223"/>
      <c r="B2338" s="223" t="s">
        <v>200</v>
      </c>
      <c r="C2338" s="223"/>
      <c r="D2338" s="316"/>
      <c r="E2338" s="218"/>
      <c r="F2338" s="218"/>
      <c r="G2338" s="218" t="s">
        <v>200</v>
      </c>
      <c r="H2338" s="223">
        <v>0.0</v>
      </c>
      <c r="J2338" s="223"/>
      <c r="K2338" s="317">
        <v>1899.0</v>
      </c>
    </row>
    <row r="2339">
      <c r="A2339" s="223"/>
      <c r="B2339" s="223" t="s">
        <v>200</v>
      </c>
      <c r="C2339" s="223"/>
      <c r="D2339" s="316"/>
      <c r="E2339" s="218"/>
      <c r="F2339" s="218"/>
      <c r="G2339" s="218" t="s">
        <v>200</v>
      </c>
      <c r="H2339" s="223">
        <v>0.0</v>
      </c>
      <c r="J2339" s="223"/>
      <c r="K2339" s="317">
        <v>1899.0</v>
      </c>
    </row>
    <row r="2340">
      <c r="A2340" s="223"/>
      <c r="B2340" s="223" t="s">
        <v>200</v>
      </c>
      <c r="C2340" s="223"/>
      <c r="D2340" s="316"/>
      <c r="E2340" s="218"/>
      <c r="F2340" s="218"/>
      <c r="G2340" s="218" t="s">
        <v>200</v>
      </c>
      <c r="H2340" s="223">
        <v>0.0</v>
      </c>
      <c r="J2340" s="223"/>
      <c r="K2340" s="317">
        <v>1899.0</v>
      </c>
    </row>
    <row r="2341">
      <c r="A2341" s="223"/>
      <c r="B2341" s="223" t="s">
        <v>200</v>
      </c>
      <c r="C2341" s="223"/>
      <c r="D2341" s="316"/>
      <c r="E2341" s="218"/>
      <c r="F2341" s="218"/>
      <c r="G2341" s="218" t="s">
        <v>200</v>
      </c>
      <c r="H2341" s="223">
        <v>0.0</v>
      </c>
      <c r="J2341" s="223"/>
      <c r="K2341" s="317">
        <v>1899.0</v>
      </c>
    </row>
    <row r="2342">
      <c r="A2342" s="223"/>
      <c r="B2342" s="223" t="s">
        <v>200</v>
      </c>
      <c r="C2342" s="223"/>
      <c r="D2342" s="316"/>
      <c r="E2342" s="218"/>
      <c r="F2342" s="218"/>
      <c r="G2342" s="218" t="s">
        <v>200</v>
      </c>
      <c r="H2342" s="223">
        <v>0.0</v>
      </c>
      <c r="J2342" s="223"/>
      <c r="K2342" s="317">
        <v>1899.0</v>
      </c>
    </row>
    <row r="2343">
      <c r="A2343" s="223"/>
      <c r="B2343" s="223" t="s">
        <v>200</v>
      </c>
      <c r="C2343" s="223"/>
      <c r="D2343" s="316"/>
      <c r="E2343" s="218"/>
      <c r="F2343" s="218"/>
      <c r="G2343" s="218" t="s">
        <v>200</v>
      </c>
      <c r="H2343" s="223">
        <v>0.0</v>
      </c>
      <c r="J2343" s="223"/>
      <c r="K2343" s="317">
        <v>1899.0</v>
      </c>
    </row>
    <row r="2344">
      <c r="A2344" s="223"/>
      <c r="B2344" s="223" t="s">
        <v>200</v>
      </c>
      <c r="C2344" s="223"/>
      <c r="D2344" s="316"/>
      <c r="E2344" s="218"/>
      <c r="F2344" s="218"/>
      <c r="G2344" s="218" t="s">
        <v>200</v>
      </c>
      <c r="H2344" s="223">
        <v>0.0</v>
      </c>
      <c r="J2344" s="223"/>
      <c r="K2344" s="317">
        <v>1899.0</v>
      </c>
    </row>
    <row r="2345">
      <c r="A2345" s="223"/>
      <c r="B2345" s="223" t="s">
        <v>200</v>
      </c>
      <c r="C2345" s="223"/>
      <c r="D2345" s="316"/>
      <c r="E2345" s="218"/>
      <c r="F2345" s="218"/>
      <c r="G2345" s="218" t="s">
        <v>200</v>
      </c>
      <c r="H2345" s="223">
        <v>0.0</v>
      </c>
      <c r="J2345" s="223"/>
      <c r="K2345" s="317">
        <v>1899.0</v>
      </c>
    </row>
    <row r="2346">
      <c r="A2346" s="223"/>
      <c r="B2346" s="223" t="s">
        <v>200</v>
      </c>
      <c r="C2346" s="223"/>
      <c r="D2346" s="316"/>
      <c r="E2346" s="218"/>
      <c r="F2346" s="218"/>
      <c r="G2346" s="218" t="s">
        <v>200</v>
      </c>
      <c r="H2346" s="223">
        <v>0.0</v>
      </c>
      <c r="J2346" s="223"/>
      <c r="K2346" s="317">
        <v>1899.0</v>
      </c>
    </row>
    <row r="2347">
      <c r="A2347" s="223"/>
      <c r="B2347" s="223" t="s">
        <v>200</v>
      </c>
      <c r="C2347" s="223"/>
      <c r="D2347" s="316"/>
      <c r="E2347" s="218"/>
      <c r="F2347" s="218"/>
      <c r="G2347" s="218" t="s">
        <v>200</v>
      </c>
      <c r="H2347" s="223">
        <v>0.0</v>
      </c>
      <c r="J2347" s="223"/>
      <c r="K2347" s="317">
        <v>1899.0</v>
      </c>
    </row>
    <row r="2348">
      <c r="A2348" s="223"/>
      <c r="B2348" s="223" t="s">
        <v>200</v>
      </c>
      <c r="C2348" s="223"/>
      <c r="D2348" s="316"/>
      <c r="E2348" s="218"/>
      <c r="F2348" s="218"/>
      <c r="G2348" s="218" t="s">
        <v>200</v>
      </c>
      <c r="H2348" s="223">
        <v>0.0</v>
      </c>
      <c r="J2348" s="223"/>
      <c r="K2348" s="317">
        <v>1899.0</v>
      </c>
    </row>
    <row r="2349">
      <c r="A2349" s="223"/>
      <c r="B2349" s="223" t="s">
        <v>200</v>
      </c>
      <c r="C2349" s="223"/>
      <c r="D2349" s="316"/>
      <c r="E2349" s="218"/>
      <c r="F2349" s="218"/>
      <c r="G2349" s="218" t="s">
        <v>200</v>
      </c>
      <c r="H2349" s="223">
        <v>0.0</v>
      </c>
      <c r="J2349" s="223"/>
      <c r="K2349" s="317">
        <v>1899.0</v>
      </c>
    </row>
    <row r="2350">
      <c r="A2350" s="223"/>
      <c r="B2350" s="223" t="s">
        <v>200</v>
      </c>
      <c r="C2350" s="223"/>
      <c r="D2350" s="316"/>
      <c r="E2350" s="218"/>
      <c r="F2350" s="218"/>
      <c r="G2350" s="218" t="s">
        <v>200</v>
      </c>
      <c r="H2350" s="223">
        <v>0.0</v>
      </c>
      <c r="J2350" s="223"/>
      <c r="K2350" s="317">
        <v>1899.0</v>
      </c>
    </row>
    <row r="2351">
      <c r="A2351" s="223"/>
      <c r="B2351" s="223" t="s">
        <v>200</v>
      </c>
      <c r="C2351" s="223"/>
      <c r="D2351" s="316"/>
      <c r="E2351" s="218"/>
      <c r="F2351" s="218"/>
      <c r="G2351" s="218" t="s">
        <v>200</v>
      </c>
      <c r="H2351" s="223">
        <v>0.0</v>
      </c>
      <c r="J2351" s="223"/>
      <c r="K2351" s="317">
        <v>1899.0</v>
      </c>
    </row>
    <row r="2352">
      <c r="A2352" s="223"/>
      <c r="B2352" s="223" t="s">
        <v>200</v>
      </c>
      <c r="C2352" s="223"/>
      <c r="D2352" s="316"/>
      <c r="E2352" s="218"/>
      <c r="F2352" s="218"/>
      <c r="G2352" s="218" t="s">
        <v>200</v>
      </c>
      <c r="H2352" s="223">
        <v>0.0</v>
      </c>
      <c r="J2352" s="223"/>
      <c r="K2352" s="317">
        <v>1899.0</v>
      </c>
    </row>
    <row r="2353">
      <c r="A2353" s="223"/>
      <c r="B2353" s="223" t="s">
        <v>200</v>
      </c>
      <c r="C2353" s="223"/>
      <c r="D2353" s="316"/>
      <c r="E2353" s="218"/>
      <c r="F2353" s="218"/>
      <c r="G2353" s="218" t="s">
        <v>200</v>
      </c>
      <c r="H2353" s="223">
        <v>0.0</v>
      </c>
      <c r="J2353" s="223"/>
      <c r="K2353" s="317">
        <v>1899.0</v>
      </c>
    </row>
    <row r="2354">
      <c r="A2354" s="223"/>
      <c r="B2354" s="223" t="s">
        <v>200</v>
      </c>
      <c r="C2354" s="223"/>
      <c r="D2354" s="316"/>
      <c r="E2354" s="218"/>
      <c r="F2354" s="218"/>
      <c r="G2354" s="218" t="s">
        <v>200</v>
      </c>
      <c r="H2354" s="223">
        <v>0.0</v>
      </c>
      <c r="J2354" s="223"/>
      <c r="K2354" s="317">
        <v>1899.0</v>
      </c>
    </row>
    <row r="2355">
      <c r="A2355" s="223"/>
      <c r="B2355" s="223" t="s">
        <v>200</v>
      </c>
      <c r="C2355" s="223"/>
      <c r="D2355" s="316"/>
      <c r="E2355" s="218"/>
      <c r="F2355" s="218"/>
      <c r="G2355" s="218" t="s">
        <v>200</v>
      </c>
      <c r="H2355" s="223">
        <v>0.0</v>
      </c>
      <c r="J2355" s="223"/>
      <c r="K2355" s="317">
        <v>1899.0</v>
      </c>
    </row>
    <row r="2356">
      <c r="A2356" s="223"/>
      <c r="B2356" s="223" t="s">
        <v>200</v>
      </c>
      <c r="C2356" s="223"/>
      <c r="D2356" s="316"/>
      <c r="E2356" s="218"/>
      <c r="F2356" s="218"/>
      <c r="G2356" s="218" t="s">
        <v>200</v>
      </c>
      <c r="H2356" s="223">
        <v>0.0</v>
      </c>
      <c r="J2356" s="223"/>
      <c r="K2356" s="317">
        <v>1899.0</v>
      </c>
    </row>
    <row r="2357">
      <c r="A2357" s="223"/>
      <c r="B2357" s="223" t="s">
        <v>200</v>
      </c>
      <c r="C2357" s="223"/>
      <c r="D2357" s="316"/>
      <c r="E2357" s="218"/>
      <c r="F2357" s="218"/>
      <c r="G2357" s="218" t="s">
        <v>200</v>
      </c>
      <c r="H2357" s="223">
        <v>0.0</v>
      </c>
      <c r="J2357" s="223"/>
      <c r="K2357" s="317">
        <v>1899.0</v>
      </c>
    </row>
    <row r="2358">
      <c r="A2358" s="223"/>
      <c r="B2358" s="223" t="s">
        <v>200</v>
      </c>
      <c r="C2358" s="223"/>
      <c r="D2358" s="316"/>
      <c r="E2358" s="218"/>
      <c r="F2358" s="218"/>
      <c r="G2358" s="218" t="s">
        <v>200</v>
      </c>
      <c r="H2358" s="223">
        <v>0.0</v>
      </c>
      <c r="J2358" s="223"/>
      <c r="K2358" s="317">
        <v>1899.0</v>
      </c>
    </row>
    <row r="2359">
      <c r="A2359" s="223"/>
      <c r="B2359" s="223" t="s">
        <v>200</v>
      </c>
      <c r="C2359" s="223"/>
      <c r="D2359" s="316"/>
      <c r="E2359" s="218"/>
      <c r="F2359" s="218"/>
      <c r="G2359" s="218" t="s">
        <v>200</v>
      </c>
      <c r="H2359" s="223">
        <v>0.0</v>
      </c>
      <c r="J2359" s="223"/>
      <c r="K2359" s="317">
        <v>1899.0</v>
      </c>
    </row>
    <row r="2360">
      <c r="A2360" s="223"/>
      <c r="B2360" s="223" t="s">
        <v>200</v>
      </c>
      <c r="C2360" s="223"/>
      <c r="D2360" s="316"/>
      <c r="E2360" s="218"/>
      <c r="F2360" s="218"/>
      <c r="G2360" s="218" t="s">
        <v>200</v>
      </c>
      <c r="H2360" s="223">
        <v>0.0</v>
      </c>
      <c r="J2360" s="223"/>
      <c r="K2360" s="317">
        <v>1899.0</v>
      </c>
    </row>
    <row r="2361">
      <c r="A2361" s="223"/>
      <c r="B2361" s="223" t="s">
        <v>200</v>
      </c>
      <c r="C2361" s="223"/>
      <c r="D2361" s="316"/>
      <c r="E2361" s="218"/>
      <c r="F2361" s="218"/>
      <c r="G2361" s="218" t="s">
        <v>200</v>
      </c>
      <c r="H2361" s="223">
        <v>0.0</v>
      </c>
      <c r="J2361" s="223"/>
      <c r="K2361" s="317">
        <v>1899.0</v>
      </c>
    </row>
    <row r="2362">
      <c r="A2362" s="223"/>
      <c r="B2362" s="223" t="s">
        <v>200</v>
      </c>
      <c r="C2362" s="223"/>
      <c r="D2362" s="316"/>
      <c r="E2362" s="218"/>
      <c r="F2362" s="218"/>
      <c r="G2362" s="218" t="s">
        <v>200</v>
      </c>
      <c r="H2362" s="223">
        <v>0.0</v>
      </c>
      <c r="J2362" s="223"/>
      <c r="K2362" s="317">
        <v>1899.0</v>
      </c>
    </row>
    <row r="2363">
      <c r="A2363" s="223"/>
      <c r="B2363" s="223" t="s">
        <v>200</v>
      </c>
      <c r="C2363" s="223"/>
      <c r="D2363" s="316"/>
      <c r="E2363" s="218"/>
      <c r="F2363" s="218"/>
      <c r="G2363" s="218" t="s">
        <v>200</v>
      </c>
      <c r="H2363" s="223">
        <v>0.0</v>
      </c>
      <c r="J2363" s="223"/>
      <c r="K2363" s="317">
        <v>1899.0</v>
      </c>
    </row>
    <row r="2364">
      <c r="A2364" s="223"/>
      <c r="B2364" s="223" t="s">
        <v>200</v>
      </c>
      <c r="C2364" s="223"/>
      <c r="D2364" s="316"/>
      <c r="E2364" s="218"/>
      <c r="F2364" s="218"/>
      <c r="G2364" s="218" t="s">
        <v>200</v>
      </c>
      <c r="H2364" s="223">
        <v>0.0</v>
      </c>
      <c r="J2364" s="223"/>
      <c r="K2364" s="317">
        <v>1899.0</v>
      </c>
    </row>
    <row r="2365">
      <c r="A2365" s="223"/>
      <c r="B2365" s="223" t="s">
        <v>200</v>
      </c>
      <c r="C2365" s="223"/>
      <c r="D2365" s="316"/>
      <c r="E2365" s="218"/>
      <c r="F2365" s="218"/>
      <c r="G2365" s="218" t="s">
        <v>200</v>
      </c>
      <c r="H2365" s="223">
        <v>0.0</v>
      </c>
      <c r="J2365" s="223"/>
      <c r="K2365" s="317">
        <v>1899.0</v>
      </c>
    </row>
    <row r="2366">
      <c r="A2366" s="223"/>
      <c r="B2366" s="223" t="s">
        <v>200</v>
      </c>
      <c r="C2366" s="223"/>
      <c r="D2366" s="316"/>
      <c r="E2366" s="218"/>
      <c r="F2366" s="218"/>
      <c r="G2366" s="218" t="s">
        <v>200</v>
      </c>
      <c r="H2366" s="223">
        <v>0.0</v>
      </c>
      <c r="J2366" s="223"/>
      <c r="K2366" s="317">
        <v>1899.0</v>
      </c>
    </row>
    <row r="2367">
      <c r="A2367" s="223"/>
      <c r="B2367" s="223" t="s">
        <v>200</v>
      </c>
      <c r="C2367" s="223"/>
      <c r="D2367" s="316"/>
      <c r="E2367" s="218"/>
      <c r="F2367" s="218"/>
      <c r="G2367" s="218" t="s">
        <v>200</v>
      </c>
      <c r="H2367" s="223">
        <v>0.0</v>
      </c>
      <c r="J2367" s="223"/>
      <c r="K2367" s="317">
        <v>1899.0</v>
      </c>
    </row>
    <row r="2368">
      <c r="A2368" s="223"/>
      <c r="B2368" s="223" t="s">
        <v>200</v>
      </c>
      <c r="C2368" s="223"/>
      <c r="D2368" s="316"/>
      <c r="E2368" s="218"/>
      <c r="F2368" s="218"/>
      <c r="G2368" s="218" t="s">
        <v>200</v>
      </c>
      <c r="H2368" s="223">
        <v>0.0</v>
      </c>
      <c r="J2368" s="223"/>
      <c r="K2368" s="317">
        <v>1899.0</v>
      </c>
    </row>
    <row r="2369">
      <c r="A2369" s="223"/>
      <c r="B2369" s="223" t="s">
        <v>200</v>
      </c>
      <c r="C2369" s="223"/>
      <c r="D2369" s="316"/>
      <c r="E2369" s="218"/>
      <c r="F2369" s="218"/>
      <c r="G2369" s="218" t="s">
        <v>200</v>
      </c>
      <c r="H2369" s="223">
        <v>0.0</v>
      </c>
      <c r="J2369" s="223"/>
      <c r="K2369" s="317">
        <v>1899.0</v>
      </c>
    </row>
    <row r="2370">
      <c r="A2370" s="223"/>
      <c r="B2370" s="223" t="s">
        <v>200</v>
      </c>
      <c r="C2370" s="223"/>
      <c r="D2370" s="316"/>
      <c r="E2370" s="218"/>
      <c r="F2370" s="218"/>
      <c r="G2370" s="218" t="s">
        <v>200</v>
      </c>
      <c r="H2370" s="223">
        <v>0.0</v>
      </c>
      <c r="J2370" s="223"/>
      <c r="K2370" s="317">
        <v>1899.0</v>
      </c>
    </row>
    <row r="2371">
      <c r="A2371" s="223"/>
      <c r="B2371" s="223" t="s">
        <v>200</v>
      </c>
      <c r="C2371" s="223"/>
      <c r="D2371" s="316"/>
      <c r="E2371" s="218"/>
      <c r="F2371" s="218"/>
      <c r="G2371" s="218" t="s">
        <v>200</v>
      </c>
      <c r="H2371" s="223">
        <v>0.0</v>
      </c>
      <c r="J2371" s="223"/>
      <c r="K2371" s="317">
        <v>1899.0</v>
      </c>
    </row>
    <row r="2372">
      <c r="A2372" s="223"/>
      <c r="B2372" s="223" t="s">
        <v>200</v>
      </c>
      <c r="C2372" s="223"/>
      <c r="D2372" s="316"/>
      <c r="E2372" s="218"/>
      <c r="F2372" s="218"/>
      <c r="G2372" s="218" t="s">
        <v>200</v>
      </c>
      <c r="H2372" s="223">
        <v>0.0</v>
      </c>
      <c r="J2372" s="223"/>
      <c r="K2372" s="317">
        <v>1899.0</v>
      </c>
    </row>
    <row r="2373">
      <c r="A2373" s="223"/>
      <c r="B2373" s="223" t="s">
        <v>200</v>
      </c>
      <c r="C2373" s="223"/>
      <c r="D2373" s="316"/>
      <c r="E2373" s="218"/>
      <c r="F2373" s="218"/>
      <c r="G2373" s="218" t="s">
        <v>200</v>
      </c>
      <c r="H2373" s="223">
        <v>0.0</v>
      </c>
      <c r="J2373" s="223"/>
      <c r="K2373" s="317">
        <v>1899.0</v>
      </c>
    </row>
    <row r="2374">
      <c r="A2374" s="223"/>
      <c r="B2374" s="223" t="s">
        <v>200</v>
      </c>
      <c r="C2374" s="223"/>
      <c r="D2374" s="316"/>
      <c r="E2374" s="218"/>
      <c r="F2374" s="218"/>
      <c r="G2374" s="218" t="s">
        <v>200</v>
      </c>
      <c r="H2374" s="223">
        <v>0.0</v>
      </c>
      <c r="J2374" s="223"/>
      <c r="K2374" s="317">
        <v>1899.0</v>
      </c>
    </row>
    <row r="2375">
      <c r="A2375" s="223"/>
      <c r="B2375" s="223" t="s">
        <v>200</v>
      </c>
      <c r="C2375" s="223"/>
      <c r="D2375" s="316"/>
      <c r="E2375" s="218"/>
      <c r="F2375" s="218"/>
      <c r="G2375" s="218" t="s">
        <v>200</v>
      </c>
      <c r="H2375" s="223">
        <v>0.0</v>
      </c>
      <c r="J2375" s="223"/>
      <c r="K2375" s="317">
        <v>1899.0</v>
      </c>
    </row>
    <row r="2376">
      <c r="A2376" s="223"/>
      <c r="B2376" s="223" t="s">
        <v>200</v>
      </c>
      <c r="C2376" s="223"/>
      <c r="D2376" s="316"/>
      <c r="E2376" s="218"/>
      <c r="F2376" s="218"/>
      <c r="G2376" s="218" t="s">
        <v>200</v>
      </c>
      <c r="H2376" s="223">
        <v>0.0</v>
      </c>
      <c r="J2376" s="223"/>
      <c r="K2376" s="317">
        <v>1899.0</v>
      </c>
    </row>
    <row r="2377">
      <c r="A2377" s="223"/>
      <c r="B2377" s="223" t="s">
        <v>200</v>
      </c>
      <c r="C2377" s="223"/>
      <c r="D2377" s="316"/>
      <c r="E2377" s="218"/>
      <c r="F2377" s="218"/>
      <c r="G2377" s="218" t="s">
        <v>200</v>
      </c>
      <c r="H2377" s="223">
        <v>0.0</v>
      </c>
      <c r="J2377" s="223"/>
      <c r="K2377" s="317">
        <v>1899.0</v>
      </c>
    </row>
    <row r="2378">
      <c r="A2378" s="223"/>
      <c r="B2378" s="223" t="s">
        <v>200</v>
      </c>
      <c r="C2378" s="223"/>
      <c r="D2378" s="316"/>
      <c r="E2378" s="218"/>
      <c r="F2378" s="218"/>
      <c r="G2378" s="218" t="s">
        <v>200</v>
      </c>
      <c r="H2378" s="223">
        <v>0.0</v>
      </c>
      <c r="J2378" s="223"/>
      <c r="K2378" s="317">
        <v>1899.0</v>
      </c>
    </row>
    <row r="2379">
      <c r="A2379" s="223"/>
      <c r="B2379" s="223" t="s">
        <v>200</v>
      </c>
      <c r="C2379" s="223"/>
      <c r="D2379" s="316"/>
      <c r="E2379" s="218"/>
      <c r="F2379" s="218"/>
      <c r="G2379" s="218" t="s">
        <v>200</v>
      </c>
      <c r="H2379" s="223">
        <v>0.0</v>
      </c>
      <c r="J2379" s="223"/>
      <c r="K2379" s="317">
        <v>1899.0</v>
      </c>
    </row>
    <row r="2380">
      <c r="A2380" s="223"/>
      <c r="B2380" s="223" t="s">
        <v>200</v>
      </c>
      <c r="C2380" s="223"/>
      <c r="D2380" s="316"/>
      <c r="E2380" s="218"/>
      <c r="F2380" s="218"/>
      <c r="G2380" s="218" t="s">
        <v>200</v>
      </c>
      <c r="H2380" s="223">
        <v>0.0</v>
      </c>
      <c r="J2380" s="223"/>
      <c r="K2380" s="317">
        <v>1899.0</v>
      </c>
    </row>
    <row r="2381">
      <c r="A2381" s="223"/>
      <c r="B2381" s="223" t="s">
        <v>200</v>
      </c>
      <c r="C2381" s="223"/>
      <c r="D2381" s="316"/>
      <c r="E2381" s="218"/>
      <c r="F2381" s="218"/>
      <c r="G2381" s="218" t="s">
        <v>200</v>
      </c>
      <c r="H2381" s="223">
        <v>0.0</v>
      </c>
      <c r="J2381" s="223"/>
      <c r="K2381" s="317">
        <v>1899.0</v>
      </c>
    </row>
    <row r="2382">
      <c r="A2382" s="223"/>
      <c r="B2382" s="223" t="s">
        <v>200</v>
      </c>
      <c r="C2382" s="223"/>
      <c r="D2382" s="316"/>
      <c r="E2382" s="218"/>
      <c r="F2382" s="218"/>
      <c r="G2382" s="218" t="s">
        <v>200</v>
      </c>
      <c r="H2382" s="223">
        <v>0.0</v>
      </c>
      <c r="J2382" s="223"/>
      <c r="K2382" s="317">
        <v>1899.0</v>
      </c>
    </row>
    <row r="2383">
      <c r="A2383" s="223"/>
      <c r="B2383" s="223" t="s">
        <v>200</v>
      </c>
      <c r="C2383" s="223"/>
      <c r="D2383" s="316"/>
      <c r="E2383" s="218"/>
      <c r="F2383" s="218"/>
      <c r="G2383" s="218" t="s">
        <v>200</v>
      </c>
      <c r="H2383" s="223">
        <v>0.0</v>
      </c>
      <c r="J2383" s="223"/>
      <c r="K2383" s="317">
        <v>1899.0</v>
      </c>
    </row>
    <row r="2384">
      <c r="A2384" s="223"/>
      <c r="B2384" s="223" t="s">
        <v>200</v>
      </c>
      <c r="C2384" s="223"/>
      <c r="D2384" s="316"/>
      <c r="E2384" s="218"/>
      <c r="F2384" s="218"/>
      <c r="G2384" s="218" t="s">
        <v>200</v>
      </c>
      <c r="H2384" s="223">
        <v>0.0</v>
      </c>
      <c r="J2384" s="223"/>
      <c r="K2384" s="317">
        <v>1899.0</v>
      </c>
    </row>
    <row r="2385">
      <c r="A2385" s="223"/>
      <c r="B2385" s="223" t="s">
        <v>200</v>
      </c>
      <c r="C2385" s="223"/>
      <c r="D2385" s="316"/>
      <c r="E2385" s="218"/>
      <c r="F2385" s="218"/>
      <c r="G2385" s="218" t="s">
        <v>200</v>
      </c>
      <c r="H2385" s="223">
        <v>0.0</v>
      </c>
      <c r="J2385" s="223"/>
      <c r="K2385" s="317">
        <v>1899.0</v>
      </c>
    </row>
    <row r="2386">
      <c r="A2386" s="223"/>
      <c r="B2386" s="223" t="s">
        <v>200</v>
      </c>
      <c r="C2386" s="223"/>
      <c r="D2386" s="316"/>
      <c r="E2386" s="218"/>
      <c r="F2386" s="218"/>
      <c r="G2386" s="218" t="s">
        <v>200</v>
      </c>
      <c r="H2386" s="223">
        <v>0.0</v>
      </c>
      <c r="J2386" s="223"/>
      <c r="K2386" s="317">
        <v>1899.0</v>
      </c>
    </row>
    <row r="2387">
      <c r="A2387" s="223"/>
      <c r="B2387" s="223" t="s">
        <v>200</v>
      </c>
      <c r="C2387" s="223"/>
      <c r="D2387" s="316"/>
      <c r="E2387" s="218"/>
      <c r="F2387" s="218"/>
      <c r="G2387" s="218" t="s">
        <v>200</v>
      </c>
      <c r="H2387" s="223">
        <v>0.0</v>
      </c>
      <c r="J2387" s="223"/>
      <c r="K2387" s="317">
        <v>1899.0</v>
      </c>
    </row>
    <row r="2388">
      <c r="A2388" s="223"/>
      <c r="B2388" s="223" t="s">
        <v>200</v>
      </c>
      <c r="C2388" s="223"/>
      <c r="D2388" s="316"/>
      <c r="E2388" s="218"/>
      <c r="F2388" s="218"/>
      <c r="G2388" s="218" t="s">
        <v>200</v>
      </c>
      <c r="H2388" s="223">
        <v>0.0</v>
      </c>
      <c r="J2388" s="223"/>
      <c r="K2388" s="317">
        <v>1899.0</v>
      </c>
    </row>
    <row r="2389">
      <c r="A2389" s="223"/>
      <c r="B2389" s="223" t="s">
        <v>200</v>
      </c>
      <c r="C2389" s="223"/>
      <c r="D2389" s="316"/>
      <c r="E2389" s="218"/>
      <c r="F2389" s="218"/>
      <c r="G2389" s="218" t="s">
        <v>200</v>
      </c>
      <c r="H2389" s="223">
        <v>0.0</v>
      </c>
      <c r="J2389" s="223"/>
      <c r="K2389" s="317">
        <v>1899.0</v>
      </c>
    </row>
    <row r="2390">
      <c r="A2390" s="223"/>
      <c r="B2390" s="223" t="s">
        <v>200</v>
      </c>
      <c r="C2390" s="223"/>
      <c r="D2390" s="316"/>
      <c r="E2390" s="218"/>
      <c r="F2390" s="218"/>
      <c r="G2390" s="218" t="s">
        <v>200</v>
      </c>
      <c r="H2390" s="223">
        <v>0.0</v>
      </c>
      <c r="J2390" s="223"/>
      <c r="K2390" s="317">
        <v>1899.0</v>
      </c>
    </row>
    <row r="2391">
      <c r="A2391" s="223"/>
      <c r="B2391" s="223" t="s">
        <v>200</v>
      </c>
      <c r="C2391" s="223"/>
      <c r="D2391" s="316"/>
      <c r="E2391" s="218"/>
      <c r="F2391" s="218"/>
      <c r="G2391" s="218" t="s">
        <v>200</v>
      </c>
      <c r="H2391" s="223">
        <v>0.0</v>
      </c>
      <c r="J2391" s="223"/>
      <c r="K2391" s="317">
        <v>1899.0</v>
      </c>
    </row>
    <row r="2392">
      <c r="A2392" s="223"/>
      <c r="B2392" s="223" t="s">
        <v>200</v>
      </c>
      <c r="C2392" s="223"/>
      <c r="D2392" s="316"/>
      <c r="E2392" s="218"/>
      <c r="F2392" s="218"/>
      <c r="G2392" s="218" t="s">
        <v>200</v>
      </c>
      <c r="H2392" s="223">
        <v>0.0</v>
      </c>
      <c r="J2392" s="223"/>
      <c r="K2392" s="317">
        <v>1899.0</v>
      </c>
    </row>
    <row r="2393">
      <c r="A2393" s="223"/>
      <c r="B2393" s="223" t="s">
        <v>200</v>
      </c>
      <c r="C2393" s="223"/>
      <c r="D2393" s="316"/>
      <c r="E2393" s="218"/>
      <c r="F2393" s="218"/>
      <c r="G2393" s="218" t="s">
        <v>200</v>
      </c>
      <c r="H2393" s="223">
        <v>0.0</v>
      </c>
      <c r="J2393" s="223"/>
      <c r="K2393" s="317">
        <v>1899.0</v>
      </c>
    </row>
    <row r="2394">
      <c r="A2394" s="223"/>
      <c r="B2394" s="223" t="s">
        <v>200</v>
      </c>
      <c r="C2394" s="223"/>
      <c r="D2394" s="316"/>
      <c r="E2394" s="218"/>
      <c r="F2394" s="218"/>
      <c r="G2394" s="218" t="s">
        <v>200</v>
      </c>
      <c r="H2394" s="223">
        <v>0.0</v>
      </c>
      <c r="J2394" s="223"/>
      <c r="K2394" s="317">
        <v>1899.0</v>
      </c>
    </row>
    <row r="2395">
      <c r="A2395" s="223"/>
      <c r="B2395" s="223" t="s">
        <v>200</v>
      </c>
      <c r="C2395" s="223"/>
      <c r="D2395" s="316"/>
      <c r="E2395" s="218"/>
      <c r="F2395" s="218"/>
      <c r="G2395" s="218" t="s">
        <v>200</v>
      </c>
      <c r="H2395" s="223">
        <v>0.0</v>
      </c>
      <c r="J2395" s="223"/>
      <c r="K2395" s="317">
        <v>1899.0</v>
      </c>
    </row>
    <row r="2396">
      <c r="A2396" s="223"/>
      <c r="B2396" s="223" t="s">
        <v>200</v>
      </c>
      <c r="C2396" s="223"/>
      <c r="D2396" s="316"/>
      <c r="E2396" s="218"/>
      <c r="F2396" s="218"/>
      <c r="G2396" s="218" t="s">
        <v>200</v>
      </c>
      <c r="H2396" s="223">
        <v>0.0</v>
      </c>
      <c r="J2396" s="223"/>
      <c r="K2396" s="317">
        <v>1899.0</v>
      </c>
    </row>
    <row r="2397">
      <c r="A2397" s="223"/>
      <c r="B2397" s="223" t="s">
        <v>200</v>
      </c>
      <c r="C2397" s="223"/>
      <c r="D2397" s="316"/>
      <c r="E2397" s="218"/>
      <c r="F2397" s="218"/>
      <c r="G2397" s="218" t="s">
        <v>200</v>
      </c>
      <c r="H2397" s="223">
        <v>0.0</v>
      </c>
      <c r="J2397" s="223"/>
      <c r="K2397" s="317">
        <v>1899.0</v>
      </c>
    </row>
    <row r="2398">
      <c r="A2398" s="223"/>
      <c r="B2398" s="223" t="s">
        <v>200</v>
      </c>
      <c r="C2398" s="223"/>
      <c r="D2398" s="316"/>
      <c r="E2398" s="218"/>
      <c r="F2398" s="218"/>
      <c r="G2398" s="218" t="s">
        <v>200</v>
      </c>
      <c r="H2398" s="223">
        <v>0.0</v>
      </c>
      <c r="J2398" s="223"/>
      <c r="K2398" s="317">
        <v>1899.0</v>
      </c>
    </row>
    <row r="2399">
      <c r="A2399" s="223"/>
      <c r="B2399" s="223" t="s">
        <v>200</v>
      </c>
      <c r="C2399" s="223"/>
      <c r="D2399" s="316"/>
      <c r="E2399" s="218"/>
      <c r="F2399" s="218"/>
      <c r="G2399" s="218" t="s">
        <v>200</v>
      </c>
      <c r="H2399" s="223">
        <v>0.0</v>
      </c>
      <c r="J2399" s="223"/>
      <c r="K2399" s="317">
        <v>1899.0</v>
      </c>
    </row>
    <row r="2400">
      <c r="A2400" s="223"/>
      <c r="B2400" s="223" t="s">
        <v>200</v>
      </c>
      <c r="C2400" s="223"/>
      <c r="D2400" s="316"/>
      <c r="E2400" s="218"/>
      <c r="F2400" s="218"/>
      <c r="G2400" s="218" t="s">
        <v>200</v>
      </c>
      <c r="H2400" s="223">
        <v>0.0</v>
      </c>
      <c r="J2400" s="223"/>
      <c r="K2400" s="317">
        <v>1899.0</v>
      </c>
    </row>
    <row r="2401">
      <c r="A2401" s="223"/>
      <c r="B2401" s="223" t="s">
        <v>200</v>
      </c>
      <c r="C2401" s="223"/>
      <c r="D2401" s="316"/>
      <c r="E2401" s="218"/>
      <c r="F2401" s="218"/>
      <c r="G2401" s="218" t="s">
        <v>200</v>
      </c>
      <c r="H2401" s="223">
        <v>0.0</v>
      </c>
      <c r="J2401" s="223"/>
      <c r="K2401" s="317">
        <v>1899.0</v>
      </c>
    </row>
    <row r="2402">
      <c r="A2402" s="223"/>
      <c r="B2402" s="223" t="s">
        <v>200</v>
      </c>
      <c r="C2402" s="223"/>
      <c r="D2402" s="316"/>
      <c r="E2402" s="218"/>
      <c r="F2402" s="218"/>
      <c r="G2402" s="218" t="s">
        <v>200</v>
      </c>
      <c r="H2402" s="223">
        <v>0.0</v>
      </c>
      <c r="J2402" s="223"/>
      <c r="K2402" s="317">
        <v>1899.0</v>
      </c>
    </row>
    <row r="2403">
      <c r="A2403" s="223"/>
      <c r="B2403" s="223" t="s">
        <v>200</v>
      </c>
      <c r="C2403" s="223"/>
      <c r="D2403" s="316"/>
      <c r="E2403" s="218"/>
      <c r="F2403" s="218"/>
      <c r="G2403" s="218" t="s">
        <v>200</v>
      </c>
      <c r="H2403" s="223">
        <v>0.0</v>
      </c>
      <c r="J2403" s="223"/>
      <c r="K2403" s="317">
        <v>1899.0</v>
      </c>
    </row>
    <row r="2404">
      <c r="A2404" s="223"/>
      <c r="B2404" s="223" t="s">
        <v>200</v>
      </c>
      <c r="C2404" s="223"/>
      <c r="D2404" s="316"/>
      <c r="E2404" s="218"/>
      <c r="F2404" s="218"/>
      <c r="G2404" s="218" t="s">
        <v>200</v>
      </c>
      <c r="H2404" s="223">
        <v>0.0</v>
      </c>
      <c r="J2404" s="223"/>
      <c r="K2404" s="317">
        <v>1899.0</v>
      </c>
    </row>
    <row r="2405">
      <c r="A2405" s="223"/>
      <c r="B2405" s="223" t="s">
        <v>200</v>
      </c>
      <c r="C2405" s="223"/>
      <c r="D2405" s="316"/>
      <c r="E2405" s="218"/>
      <c r="F2405" s="218"/>
      <c r="G2405" s="218" t="s">
        <v>200</v>
      </c>
      <c r="H2405" s="223">
        <v>0.0</v>
      </c>
      <c r="J2405" s="223"/>
      <c r="K2405" s="317">
        <v>1899.0</v>
      </c>
    </row>
    <row r="2406">
      <c r="A2406" s="223"/>
      <c r="B2406" s="223" t="s">
        <v>200</v>
      </c>
      <c r="C2406" s="223"/>
      <c r="D2406" s="316"/>
      <c r="E2406" s="218"/>
      <c r="F2406" s="218"/>
      <c r="G2406" s="218" t="s">
        <v>200</v>
      </c>
      <c r="H2406" s="223">
        <v>0.0</v>
      </c>
      <c r="J2406" s="223"/>
      <c r="K2406" s="317">
        <v>1899.0</v>
      </c>
    </row>
    <row r="2407">
      <c r="A2407" s="223"/>
      <c r="B2407" s="223" t="s">
        <v>200</v>
      </c>
      <c r="C2407" s="223"/>
      <c r="D2407" s="316"/>
      <c r="E2407" s="218"/>
      <c r="F2407" s="218"/>
      <c r="G2407" s="218" t="s">
        <v>200</v>
      </c>
      <c r="H2407" s="223">
        <v>0.0</v>
      </c>
      <c r="J2407" s="223"/>
      <c r="K2407" s="317">
        <v>1899.0</v>
      </c>
    </row>
    <row r="2408">
      <c r="A2408" s="223"/>
      <c r="B2408" s="223" t="s">
        <v>200</v>
      </c>
      <c r="C2408" s="223"/>
      <c r="D2408" s="316"/>
      <c r="E2408" s="218"/>
      <c r="F2408" s="218"/>
      <c r="G2408" s="218" t="s">
        <v>200</v>
      </c>
      <c r="H2408" s="223">
        <v>0.0</v>
      </c>
      <c r="J2408" s="223"/>
      <c r="K2408" s="317">
        <v>1899.0</v>
      </c>
    </row>
    <row r="2409">
      <c r="A2409" s="223"/>
      <c r="B2409" s="223" t="s">
        <v>200</v>
      </c>
      <c r="C2409" s="223"/>
      <c r="D2409" s="316"/>
      <c r="E2409" s="218"/>
      <c r="F2409" s="218"/>
      <c r="G2409" s="218" t="s">
        <v>200</v>
      </c>
      <c r="H2409" s="223">
        <v>0.0</v>
      </c>
      <c r="J2409" s="223"/>
      <c r="K2409" s="317">
        <v>1899.0</v>
      </c>
    </row>
    <row r="2410">
      <c r="A2410" s="223"/>
      <c r="B2410" s="223" t="s">
        <v>200</v>
      </c>
      <c r="C2410" s="223"/>
      <c r="D2410" s="316"/>
      <c r="E2410" s="218"/>
      <c r="F2410" s="218"/>
      <c r="G2410" s="218" t="s">
        <v>200</v>
      </c>
      <c r="H2410" s="223">
        <v>0.0</v>
      </c>
      <c r="J2410" s="223"/>
      <c r="K2410" s="317">
        <v>1899.0</v>
      </c>
    </row>
    <row r="2411">
      <c r="A2411" s="223"/>
      <c r="B2411" s="223" t="s">
        <v>200</v>
      </c>
      <c r="C2411" s="223"/>
      <c r="D2411" s="316"/>
      <c r="E2411" s="218"/>
      <c r="F2411" s="218"/>
      <c r="G2411" s="218" t="s">
        <v>200</v>
      </c>
      <c r="H2411" s="223">
        <v>0.0</v>
      </c>
      <c r="J2411" s="223"/>
      <c r="K2411" s="317">
        <v>1899.0</v>
      </c>
    </row>
    <row r="2412">
      <c r="A2412" s="223"/>
      <c r="B2412" s="223" t="s">
        <v>200</v>
      </c>
      <c r="C2412" s="223"/>
      <c r="D2412" s="316"/>
      <c r="E2412" s="218"/>
      <c r="F2412" s="218"/>
      <c r="G2412" s="218" t="s">
        <v>200</v>
      </c>
      <c r="H2412" s="223">
        <v>0.0</v>
      </c>
      <c r="J2412" s="223"/>
      <c r="K2412" s="317">
        <v>1899.0</v>
      </c>
    </row>
    <row r="2413">
      <c r="A2413" s="223"/>
      <c r="B2413" s="223" t="s">
        <v>200</v>
      </c>
      <c r="C2413" s="223"/>
      <c r="D2413" s="316"/>
      <c r="E2413" s="218"/>
      <c r="F2413" s="218"/>
      <c r="G2413" s="218" t="s">
        <v>200</v>
      </c>
      <c r="H2413" s="223">
        <v>0.0</v>
      </c>
      <c r="J2413" s="223"/>
      <c r="K2413" s="317">
        <v>1899.0</v>
      </c>
    </row>
    <row r="2414">
      <c r="A2414" s="223"/>
      <c r="B2414" s="223" t="s">
        <v>200</v>
      </c>
      <c r="C2414" s="223"/>
      <c r="D2414" s="316"/>
      <c r="E2414" s="218"/>
      <c r="F2414" s="218"/>
      <c r="G2414" s="218" t="s">
        <v>200</v>
      </c>
      <c r="H2414" s="223">
        <v>0.0</v>
      </c>
      <c r="J2414" s="223"/>
      <c r="K2414" s="317">
        <v>1899.0</v>
      </c>
    </row>
    <row r="2415">
      <c r="A2415" s="223"/>
      <c r="B2415" s="223" t="s">
        <v>200</v>
      </c>
      <c r="C2415" s="223"/>
      <c r="D2415" s="316"/>
      <c r="E2415" s="218"/>
      <c r="F2415" s="218"/>
      <c r="G2415" s="218" t="s">
        <v>200</v>
      </c>
      <c r="H2415" s="223">
        <v>0.0</v>
      </c>
      <c r="J2415" s="223"/>
      <c r="K2415" s="317">
        <v>1899.0</v>
      </c>
    </row>
    <row r="2416">
      <c r="A2416" s="223"/>
      <c r="B2416" s="223" t="s">
        <v>200</v>
      </c>
      <c r="C2416" s="223"/>
      <c r="D2416" s="316"/>
      <c r="E2416" s="218"/>
      <c r="F2416" s="218"/>
      <c r="G2416" s="218" t="s">
        <v>200</v>
      </c>
      <c r="H2416" s="223">
        <v>0.0</v>
      </c>
      <c r="J2416" s="223"/>
      <c r="K2416" s="317">
        <v>1899.0</v>
      </c>
    </row>
    <row r="2417">
      <c r="A2417" s="223"/>
      <c r="B2417" s="223" t="s">
        <v>200</v>
      </c>
      <c r="C2417" s="223"/>
      <c r="D2417" s="316"/>
      <c r="E2417" s="218"/>
      <c r="F2417" s="218"/>
      <c r="G2417" s="218" t="s">
        <v>200</v>
      </c>
      <c r="H2417" s="223">
        <v>0.0</v>
      </c>
      <c r="J2417" s="223"/>
      <c r="K2417" s="317">
        <v>1899.0</v>
      </c>
    </row>
    <row r="2418">
      <c r="A2418" s="223"/>
      <c r="B2418" s="223" t="s">
        <v>200</v>
      </c>
      <c r="C2418" s="223"/>
      <c r="D2418" s="316"/>
      <c r="E2418" s="218"/>
      <c r="F2418" s="218"/>
      <c r="G2418" s="218" t="s">
        <v>200</v>
      </c>
      <c r="H2418" s="223">
        <v>0.0</v>
      </c>
      <c r="J2418" s="223"/>
      <c r="K2418" s="317">
        <v>1899.0</v>
      </c>
    </row>
    <row r="2419">
      <c r="A2419" s="223"/>
      <c r="B2419" s="223" t="s">
        <v>200</v>
      </c>
      <c r="C2419" s="223"/>
      <c r="D2419" s="316"/>
      <c r="E2419" s="218"/>
      <c r="F2419" s="218"/>
      <c r="G2419" s="218" t="s">
        <v>200</v>
      </c>
      <c r="H2419" s="223">
        <v>0.0</v>
      </c>
      <c r="J2419" s="223"/>
      <c r="K2419" s="317">
        <v>1899.0</v>
      </c>
    </row>
    <row r="2420">
      <c r="A2420" s="223"/>
      <c r="B2420" s="223" t="s">
        <v>200</v>
      </c>
      <c r="C2420" s="223"/>
      <c r="D2420" s="316"/>
      <c r="E2420" s="218"/>
      <c r="F2420" s="218"/>
      <c r="G2420" s="218" t="s">
        <v>200</v>
      </c>
      <c r="H2420" s="223">
        <v>0.0</v>
      </c>
      <c r="J2420" s="223"/>
      <c r="K2420" s="317">
        <v>1899.0</v>
      </c>
    </row>
    <row r="2421">
      <c r="A2421" s="223"/>
      <c r="B2421" s="223" t="s">
        <v>200</v>
      </c>
      <c r="C2421" s="223"/>
      <c r="D2421" s="316"/>
      <c r="E2421" s="218"/>
      <c r="F2421" s="218"/>
      <c r="G2421" s="218" t="s">
        <v>200</v>
      </c>
      <c r="H2421" s="223">
        <v>0.0</v>
      </c>
      <c r="J2421" s="223"/>
      <c r="K2421" s="317">
        <v>1899.0</v>
      </c>
    </row>
    <row r="2422">
      <c r="A2422" s="223"/>
      <c r="B2422" s="223" t="s">
        <v>200</v>
      </c>
      <c r="C2422" s="223"/>
      <c r="D2422" s="316"/>
      <c r="E2422" s="218"/>
      <c r="F2422" s="218"/>
      <c r="G2422" s="218" t="s">
        <v>200</v>
      </c>
      <c r="H2422" s="223">
        <v>0.0</v>
      </c>
      <c r="J2422" s="223"/>
      <c r="K2422" s="317">
        <v>1899.0</v>
      </c>
    </row>
    <row r="2423">
      <c r="A2423" s="223"/>
      <c r="B2423" s="223" t="s">
        <v>200</v>
      </c>
      <c r="C2423" s="223"/>
      <c r="D2423" s="316"/>
      <c r="E2423" s="218"/>
      <c r="F2423" s="218"/>
      <c r="G2423" s="218" t="s">
        <v>200</v>
      </c>
      <c r="H2423" s="223">
        <v>0.0</v>
      </c>
      <c r="J2423" s="223"/>
      <c r="K2423" s="317">
        <v>1899.0</v>
      </c>
    </row>
    <row r="2424">
      <c r="A2424" s="223"/>
      <c r="B2424" s="223" t="s">
        <v>200</v>
      </c>
      <c r="C2424" s="223"/>
      <c r="D2424" s="316"/>
      <c r="E2424" s="218"/>
      <c r="F2424" s="218"/>
      <c r="G2424" s="218" t="s">
        <v>200</v>
      </c>
      <c r="H2424" s="223">
        <v>0.0</v>
      </c>
      <c r="J2424" s="223"/>
      <c r="K2424" s="317">
        <v>1899.0</v>
      </c>
    </row>
    <row r="2425">
      <c r="A2425" s="223"/>
      <c r="B2425" s="223" t="s">
        <v>200</v>
      </c>
      <c r="C2425" s="223"/>
      <c r="D2425" s="316"/>
      <c r="E2425" s="218"/>
      <c r="F2425" s="218"/>
      <c r="G2425" s="218" t="s">
        <v>200</v>
      </c>
      <c r="H2425" s="223">
        <v>0.0</v>
      </c>
      <c r="J2425" s="223"/>
      <c r="K2425" s="317">
        <v>1899.0</v>
      </c>
    </row>
    <row r="2426">
      <c r="A2426" s="223"/>
      <c r="B2426" s="223" t="s">
        <v>200</v>
      </c>
      <c r="C2426" s="223"/>
      <c r="D2426" s="316"/>
      <c r="E2426" s="218"/>
      <c r="F2426" s="218"/>
      <c r="G2426" s="218" t="s">
        <v>200</v>
      </c>
      <c r="H2426" s="223">
        <v>0.0</v>
      </c>
      <c r="J2426" s="223"/>
      <c r="K2426" s="317">
        <v>1899.0</v>
      </c>
    </row>
    <row r="2427">
      <c r="A2427" s="223"/>
      <c r="B2427" s="223" t="s">
        <v>200</v>
      </c>
      <c r="C2427" s="223"/>
      <c r="D2427" s="316"/>
      <c r="E2427" s="218"/>
      <c r="F2427" s="218"/>
      <c r="G2427" s="218" t="s">
        <v>200</v>
      </c>
      <c r="H2427" s="223">
        <v>0.0</v>
      </c>
      <c r="J2427" s="223"/>
      <c r="K2427" s="317">
        <v>1899.0</v>
      </c>
    </row>
    <row r="2428">
      <c r="A2428" s="223"/>
      <c r="B2428" s="223" t="s">
        <v>200</v>
      </c>
      <c r="C2428" s="223"/>
      <c r="D2428" s="316"/>
      <c r="E2428" s="218"/>
      <c r="F2428" s="218"/>
      <c r="G2428" s="218" t="s">
        <v>200</v>
      </c>
      <c r="H2428" s="223">
        <v>0.0</v>
      </c>
      <c r="J2428" s="223"/>
      <c r="K2428" s="317">
        <v>1899.0</v>
      </c>
    </row>
    <row r="2429">
      <c r="A2429" s="223"/>
      <c r="B2429" s="223" t="s">
        <v>200</v>
      </c>
      <c r="C2429" s="223"/>
      <c r="D2429" s="316"/>
      <c r="E2429" s="218"/>
      <c r="F2429" s="218"/>
      <c r="G2429" s="218" t="s">
        <v>200</v>
      </c>
      <c r="H2429" s="223">
        <v>0.0</v>
      </c>
      <c r="J2429" s="223"/>
      <c r="K2429" s="317">
        <v>1899.0</v>
      </c>
    </row>
    <row r="2430">
      <c r="A2430" s="223"/>
      <c r="B2430" s="223" t="s">
        <v>200</v>
      </c>
      <c r="C2430" s="223"/>
      <c r="D2430" s="316"/>
      <c r="E2430" s="218"/>
      <c r="F2430" s="218"/>
      <c r="G2430" s="218" t="s">
        <v>200</v>
      </c>
      <c r="H2430" s="223">
        <v>0.0</v>
      </c>
      <c r="J2430" s="223"/>
      <c r="K2430" s="317">
        <v>1899.0</v>
      </c>
    </row>
    <row r="2431">
      <c r="A2431" s="223"/>
      <c r="B2431" s="223" t="s">
        <v>200</v>
      </c>
      <c r="C2431" s="223"/>
      <c r="D2431" s="316"/>
      <c r="E2431" s="218"/>
      <c r="F2431" s="218"/>
      <c r="G2431" s="218" t="s">
        <v>200</v>
      </c>
      <c r="H2431" s="223">
        <v>0.0</v>
      </c>
      <c r="J2431" s="223"/>
      <c r="K2431" s="317">
        <v>1899.0</v>
      </c>
    </row>
    <row r="2432">
      <c r="A2432" s="223"/>
      <c r="B2432" s="223" t="s">
        <v>200</v>
      </c>
      <c r="C2432" s="223"/>
      <c r="D2432" s="316"/>
      <c r="E2432" s="218"/>
      <c r="F2432" s="218"/>
      <c r="G2432" s="218" t="s">
        <v>200</v>
      </c>
      <c r="H2432" s="223">
        <v>0.0</v>
      </c>
      <c r="J2432" s="223"/>
      <c r="K2432" s="317">
        <v>1899.0</v>
      </c>
    </row>
    <row r="2433">
      <c r="A2433" s="223"/>
      <c r="B2433" s="223" t="s">
        <v>200</v>
      </c>
      <c r="C2433" s="223"/>
      <c r="D2433" s="316"/>
      <c r="E2433" s="218"/>
      <c r="F2433" s="218"/>
      <c r="G2433" s="218" t="s">
        <v>200</v>
      </c>
      <c r="H2433" s="223">
        <v>0.0</v>
      </c>
      <c r="J2433" s="223"/>
      <c r="K2433" s="317">
        <v>1899.0</v>
      </c>
    </row>
    <row r="2434">
      <c r="A2434" s="223"/>
      <c r="B2434" s="223" t="s">
        <v>200</v>
      </c>
      <c r="C2434" s="223"/>
      <c r="D2434" s="316"/>
      <c r="E2434" s="218"/>
      <c r="F2434" s="218"/>
      <c r="G2434" s="218" t="s">
        <v>200</v>
      </c>
      <c r="H2434" s="223">
        <v>0.0</v>
      </c>
      <c r="J2434" s="223"/>
      <c r="K2434" s="317">
        <v>1899.0</v>
      </c>
    </row>
    <row r="2435">
      <c r="A2435" s="223"/>
      <c r="B2435" s="223" t="s">
        <v>200</v>
      </c>
      <c r="C2435" s="223"/>
      <c r="D2435" s="316"/>
      <c r="E2435" s="218"/>
      <c r="F2435" s="218"/>
      <c r="G2435" s="218" t="s">
        <v>200</v>
      </c>
      <c r="H2435" s="223">
        <v>0.0</v>
      </c>
      <c r="J2435" s="223"/>
      <c r="K2435" s="317">
        <v>1899.0</v>
      </c>
    </row>
    <row r="2436">
      <c r="A2436" s="223"/>
      <c r="B2436" s="223" t="s">
        <v>200</v>
      </c>
      <c r="C2436" s="223"/>
      <c r="D2436" s="316"/>
      <c r="E2436" s="218"/>
      <c r="F2436" s="218"/>
      <c r="G2436" s="218" t="s">
        <v>200</v>
      </c>
      <c r="H2436" s="223">
        <v>0.0</v>
      </c>
      <c r="J2436" s="223"/>
      <c r="K2436" s="317">
        <v>1899.0</v>
      </c>
    </row>
    <row r="2437">
      <c r="A2437" s="223"/>
      <c r="B2437" s="223" t="s">
        <v>200</v>
      </c>
      <c r="C2437" s="223"/>
      <c r="D2437" s="316"/>
      <c r="E2437" s="218"/>
      <c r="F2437" s="218"/>
      <c r="G2437" s="218" t="s">
        <v>200</v>
      </c>
      <c r="H2437" s="223">
        <v>0.0</v>
      </c>
      <c r="J2437" s="223"/>
      <c r="K2437" s="317">
        <v>1899.0</v>
      </c>
    </row>
    <row r="2438">
      <c r="A2438" s="223"/>
      <c r="B2438" s="223" t="s">
        <v>200</v>
      </c>
      <c r="C2438" s="223"/>
      <c r="D2438" s="316"/>
      <c r="E2438" s="218"/>
      <c r="F2438" s="218"/>
      <c r="G2438" s="218" t="s">
        <v>200</v>
      </c>
      <c r="H2438" s="223">
        <v>0.0</v>
      </c>
      <c r="J2438" s="223"/>
      <c r="K2438" s="317">
        <v>1899.0</v>
      </c>
    </row>
    <row r="2439">
      <c r="A2439" s="223"/>
      <c r="B2439" s="223" t="s">
        <v>200</v>
      </c>
      <c r="C2439" s="223"/>
      <c r="D2439" s="316"/>
      <c r="E2439" s="218"/>
      <c r="F2439" s="218"/>
      <c r="G2439" s="218" t="s">
        <v>200</v>
      </c>
      <c r="H2439" s="223">
        <v>0.0</v>
      </c>
      <c r="J2439" s="223"/>
      <c r="K2439" s="317">
        <v>1899.0</v>
      </c>
    </row>
    <row r="2440">
      <c r="A2440" s="223"/>
      <c r="B2440" s="223" t="s">
        <v>200</v>
      </c>
      <c r="C2440" s="223"/>
      <c r="D2440" s="316"/>
      <c r="E2440" s="218"/>
      <c r="F2440" s="218"/>
      <c r="G2440" s="218" t="s">
        <v>200</v>
      </c>
      <c r="H2440" s="223">
        <v>0.0</v>
      </c>
      <c r="J2440" s="223"/>
      <c r="K2440" s="317">
        <v>1899.0</v>
      </c>
    </row>
    <row r="2441">
      <c r="A2441" s="223"/>
      <c r="B2441" s="223" t="s">
        <v>200</v>
      </c>
      <c r="C2441" s="223"/>
      <c r="D2441" s="316"/>
      <c r="E2441" s="218"/>
      <c r="F2441" s="218"/>
      <c r="G2441" s="218" t="s">
        <v>200</v>
      </c>
      <c r="H2441" s="223">
        <v>0.0</v>
      </c>
      <c r="J2441" s="223"/>
      <c r="K2441" s="317">
        <v>1899.0</v>
      </c>
    </row>
    <row r="2442">
      <c r="A2442" s="223"/>
      <c r="B2442" s="223" t="s">
        <v>200</v>
      </c>
      <c r="C2442" s="223"/>
      <c r="D2442" s="316"/>
      <c r="E2442" s="218"/>
      <c r="F2442" s="218"/>
      <c r="G2442" s="218" t="s">
        <v>200</v>
      </c>
      <c r="H2442" s="223">
        <v>0.0</v>
      </c>
      <c r="J2442" s="223"/>
      <c r="K2442" s="317">
        <v>1899.0</v>
      </c>
    </row>
    <row r="2443">
      <c r="A2443" s="223"/>
      <c r="B2443" s="223" t="s">
        <v>200</v>
      </c>
      <c r="C2443" s="223"/>
      <c r="D2443" s="316"/>
      <c r="E2443" s="218"/>
      <c r="F2443" s="218"/>
      <c r="G2443" s="218" t="s">
        <v>200</v>
      </c>
      <c r="H2443" s="223">
        <v>0.0</v>
      </c>
      <c r="J2443" s="223"/>
      <c r="K2443" s="317">
        <v>1899.0</v>
      </c>
    </row>
    <row r="2444">
      <c r="A2444" s="223"/>
      <c r="B2444" s="223" t="s">
        <v>200</v>
      </c>
      <c r="C2444" s="223"/>
      <c r="D2444" s="316"/>
      <c r="E2444" s="218"/>
      <c r="F2444" s="218"/>
      <c r="G2444" s="218" t="s">
        <v>200</v>
      </c>
      <c r="H2444" s="223">
        <v>0.0</v>
      </c>
      <c r="J2444" s="223"/>
      <c r="K2444" s="317">
        <v>1899.0</v>
      </c>
    </row>
    <row r="2445">
      <c r="A2445" s="223"/>
      <c r="B2445" s="223" t="s">
        <v>200</v>
      </c>
      <c r="C2445" s="223"/>
      <c r="D2445" s="316"/>
      <c r="E2445" s="218"/>
      <c r="F2445" s="218"/>
      <c r="G2445" s="218" t="s">
        <v>200</v>
      </c>
      <c r="H2445" s="223">
        <v>0.0</v>
      </c>
      <c r="J2445" s="223"/>
      <c r="K2445" s="317">
        <v>1899.0</v>
      </c>
    </row>
    <row r="2446">
      <c r="A2446" s="223"/>
      <c r="B2446" s="223" t="s">
        <v>200</v>
      </c>
      <c r="C2446" s="223"/>
      <c r="D2446" s="316"/>
      <c r="E2446" s="218"/>
      <c r="F2446" s="218"/>
      <c r="G2446" s="218" t="s">
        <v>200</v>
      </c>
      <c r="H2446" s="223">
        <v>0.0</v>
      </c>
      <c r="J2446" s="223"/>
      <c r="K2446" s="317">
        <v>1899.0</v>
      </c>
    </row>
    <row r="2447">
      <c r="A2447" s="223"/>
      <c r="B2447" s="223" t="s">
        <v>200</v>
      </c>
      <c r="C2447" s="223"/>
      <c r="D2447" s="316"/>
      <c r="E2447" s="218"/>
      <c r="F2447" s="218"/>
      <c r="G2447" s="218" t="s">
        <v>200</v>
      </c>
      <c r="H2447" s="223">
        <v>0.0</v>
      </c>
      <c r="J2447" s="223"/>
      <c r="K2447" s="317">
        <v>1899.0</v>
      </c>
    </row>
    <row r="2448">
      <c r="A2448" s="223"/>
      <c r="B2448" s="223" t="s">
        <v>200</v>
      </c>
      <c r="C2448" s="223"/>
      <c r="D2448" s="316"/>
      <c r="E2448" s="218"/>
      <c r="F2448" s="218"/>
      <c r="G2448" s="218" t="s">
        <v>200</v>
      </c>
      <c r="H2448" s="223">
        <v>0.0</v>
      </c>
      <c r="J2448" s="223"/>
      <c r="K2448" s="317">
        <v>1899.0</v>
      </c>
    </row>
    <row r="2449">
      <c r="A2449" s="223"/>
      <c r="B2449" s="223" t="s">
        <v>200</v>
      </c>
      <c r="C2449" s="223"/>
      <c r="D2449" s="316"/>
      <c r="E2449" s="218"/>
      <c r="F2449" s="218"/>
      <c r="G2449" s="218" t="s">
        <v>200</v>
      </c>
      <c r="H2449" s="223">
        <v>0.0</v>
      </c>
      <c r="J2449" s="223"/>
      <c r="K2449" s="317">
        <v>1899.0</v>
      </c>
    </row>
    <row r="2450">
      <c r="A2450" s="223"/>
      <c r="B2450" s="223" t="s">
        <v>200</v>
      </c>
      <c r="C2450" s="223"/>
      <c r="D2450" s="316"/>
      <c r="E2450" s="218"/>
      <c r="F2450" s="218"/>
      <c r="G2450" s="218" t="s">
        <v>200</v>
      </c>
      <c r="H2450" s="223">
        <v>0.0</v>
      </c>
      <c r="J2450" s="223"/>
      <c r="K2450" s="317">
        <v>1899.0</v>
      </c>
    </row>
    <row r="2451">
      <c r="A2451" s="223"/>
      <c r="B2451" s="223" t="s">
        <v>200</v>
      </c>
      <c r="C2451" s="223"/>
      <c r="D2451" s="316"/>
      <c r="E2451" s="218"/>
      <c r="F2451" s="218"/>
      <c r="G2451" s="218" t="s">
        <v>200</v>
      </c>
      <c r="H2451" s="223">
        <v>0.0</v>
      </c>
      <c r="J2451" s="223"/>
      <c r="K2451" s="317">
        <v>1899.0</v>
      </c>
    </row>
    <row r="2452">
      <c r="A2452" s="223"/>
      <c r="B2452" s="223" t="s">
        <v>200</v>
      </c>
      <c r="C2452" s="223"/>
      <c r="D2452" s="316"/>
      <c r="E2452" s="218"/>
      <c r="F2452" s="218"/>
      <c r="G2452" s="218" t="s">
        <v>200</v>
      </c>
      <c r="H2452" s="223">
        <v>0.0</v>
      </c>
      <c r="J2452" s="223"/>
      <c r="K2452" s="317">
        <v>1899.0</v>
      </c>
    </row>
    <row r="2453">
      <c r="A2453" s="223"/>
      <c r="B2453" s="223" t="s">
        <v>200</v>
      </c>
      <c r="C2453" s="223"/>
      <c r="D2453" s="316"/>
      <c r="E2453" s="218"/>
      <c r="F2453" s="218"/>
      <c r="G2453" s="218" t="s">
        <v>200</v>
      </c>
      <c r="H2453" s="223">
        <v>0.0</v>
      </c>
      <c r="J2453" s="223"/>
      <c r="K2453" s="317">
        <v>1899.0</v>
      </c>
    </row>
    <row r="2454">
      <c r="A2454" s="223"/>
      <c r="B2454" s="223" t="s">
        <v>200</v>
      </c>
      <c r="C2454" s="223"/>
      <c r="D2454" s="316"/>
      <c r="E2454" s="218"/>
      <c r="F2454" s="218"/>
      <c r="G2454" s="218" t="s">
        <v>200</v>
      </c>
      <c r="H2454" s="223">
        <v>0.0</v>
      </c>
      <c r="J2454" s="223"/>
      <c r="K2454" s="317">
        <v>1899.0</v>
      </c>
    </row>
    <row r="2455">
      <c r="A2455" s="223"/>
      <c r="B2455" s="223" t="s">
        <v>200</v>
      </c>
      <c r="C2455" s="223"/>
      <c r="D2455" s="316"/>
      <c r="E2455" s="218"/>
      <c r="F2455" s="218"/>
      <c r="G2455" s="218" t="s">
        <v>200</v>
      </c>
      <c r="H2455" s="223">
        <v>0.0</v>
      </c>
      <c r="J2455" s="223"/>
      <c r="K2455" s="317">
        <v>1899.0</v>
      </c>
    </row>
    <row r="2456">
      <c r="A2456" s="223"/>
      <c r="B2456" s="223" t="s">
        <v>200</v>
      </c>
      <c r="C2456" s="223"/>
      <c r="D2456" s="316"/>
      <c r="E2456" s="218"/>
      <c r="F2456" s="218"/>
      <c r="G2456" s="218" t="s">
        <v>200</v>
      </c>
      <c r="H2456" s="223">
        <v>0.0</v>
      </c>
      <c r="J2456" s="223"/>
      <c r="K2456" s="317">
        <v>1899.0</v>
      </c>
    </row>
    <row r="2457">
      <c r="A2457" s="223"/>
      <c r="B2457" s="223" t="s">
        <v>200</v>
      </c>
      <c r="C2457" s="223"/>
      <c r="D2457" s="316"/>
      <c r="E2457" s="218"/>
      <c r="F2457" s="218"/>
      <c r="G2457" s="218" t="s">
        <v>200</v>
      </c>
      <c r="H2457" s="223">
        <v>0.0</v>
      </c>
      <c r="J2457" s="223"/>
      <c r="K2457" s="317">
        <v>1899.0</v>
      </c>
    </row>
    <row r="2458">
      <c r="A2458" s="223"/>
      <c r="B2458" s="223" t="s">
        <v>200</v>
      </c>
      <c r="C2458" s="223"/>
      <c r="D2458" s="316"/>
      <c r="E2458" s="218"/>
      <c r="F2458" s="218"/>
      <c r="G2458" s="218" t="s">
        <v>200</v>
      </c>
      <c r="H2458" s="223">
        <v>0.0</v>
      </c>
      <c r="J2458" s="223"/>
      <c r="K2458" s="317">
        <v>1899.0</v>
      </c>
    </row>
    <row r="2459">
      <c r="A2459" s="223"/>
      <c r="B2459" s="223" t="s">
        <v>200</v>
      </c>
      <c r="C2459" s="223"/>
      <c r="D2459" s="316"/>
      <c r="E2459" s="218"/>
      <c r="F2459" s="218"/>
      <c r="G2459" s="218" t="s">
        <v>200</v>
      </c>
      <c r="H2459" s="223">
        <v>0.0</v>
      </c>
      <c r="J2459" s="223"/>
      <c r="K2459" s="317">
        <v>1899.0</v>
      </c>
    </row>
    <row r="2460">
      <c r="A2460" s="223"/>
      <c r="B2460" s="223" t="s">
        <v>200</v>
      </c>
      <c r="C2460" s="223"/>
      <c r="D2460" s="316"/>
      <c r="E2460" s="218"/>
      <c r="F2460" s="218"/>
      <c r="G2460" s="218" t="s">
        <v>200</v>
      </c>
      <c r="H2460" s="223">
        <v>0.0</v>
      </c>
      <c r="J2460" s="223"/>
      <c r="K2460" s="317">
        <v>1899.0</v>
      </c>
    </row>
    <row r="2461">
      <c r="A2461" s="223"/>
      <c r="B2461" s="223" t="s">
        <v>200</v>
      </c>
      <c r="C2461" s="223"/>
      <c r="D2461" s="316"/>
      <c r="E2461" s="218"/>
      <c r="F2461" s="218"/>
      <c r="G2461" s="218" t="s">
        <v>200</v>
      </c>
      <c r="H2461" s="223">
        <v>0.0</v>
      </c>
      <c r="J2461" s="223"/>
      <c r="K2461" s="317">
        <v>1899.0</v>
      </c>
    </row>
    <row r="2462">
      <c r="A2462" s="223"/>
      <c r="B2462" s="223" t="s">
        <v>200</v>
      </c>
      <c r="C2462" s="223"/>
      <c r="D2462" s="316"/>
      <c r="E2462" s="218"/>
      <c r="F2462" s="218"/>
      <c r="G2462" s="218" t="s">
        <v>200</v>
      </c>
      <c r="H2462" s="223">
        <v>0.0</v>
      </c>
      <c r="J2462" s="223"/>
      <c r="K2462" s="317">
        <v>1899.0</v>
      </c>
    </row>
    <row r="2463">
      <c r="A2463" s="223"/>
      <c r="B2463" s="223" t="s">
        <v>200</v>
      </c>
      <c r="C2463" s="223"/>
      <c r="D2463" s="316"/>
      <c r="E2463" s="218"/>
      <c r="F2463" s="218"/>
      <c r="G2463" s="218" t="s">
        <v>200</v>
      </c>
      <c r="H2463" s="223">
        <v>0.0</v>
      </c>
      <c r="J2463" s="223"/>
      <c r="K2463" s="317">
        <v>1899.0</v>
      </c>
    </row>
    <row r="2464">
      <c r="A2464" s="223"/>
      <c r="B2464" s="223" t="s">
        <v>200</v>
      </c>
      <c r="C2464" s="223"/>
      <c r="D2464" s="316"/>
      <c r="E2464" s="218"/>
      <c r="F2464" s="218"/>
      <c r="G2464" s="218" t="s">
        <v>200</v>
      </c>
      <c r="H2464" s="223">
        <v>0.0</v>
      </c>
      <c r="J2464" s="223"/>
      <c r="K2464" s="317">
        <v>1899.0</v>
      </c>
    </row>
    <row r="2465">
      <c r="A2465" s="223"/>
      <c r="B2465" s="223" t="s">
        <v>200</v>
      </c>
      <c r="C2465" s="223"/>
      <c r="D2465" s="316"/>
      <c r="E2465" s="218"/>
      <c r="F2465" s="218"/>
      <c r="G2465" s="218" t="s">
        <v>200</v>
      </c>
      <c r="H2465" s="223">
        <v>0.0</v>
      </c>
      <c r="J2465" s="223"/>
      <c r="K2465" s="317">
        <v>1899.0</v>
      </c>
    </row>
    <row r="2466">
      <c r="A2466" s="223"/>
      <c r="B2466" s="223" t="s">
        <v>200</v>
      </c>
      <c r="C2466" s="223"/>
      <c r="D2466" s="316"/>
      <c r="E2466" s="218"/>
      <c r="F2466" s="218"/>
      <c r="G2466" s="218" t="s">
        <v>200</v>
      </c>
      <c r="H2466" s="223">
        <v>0.0</v>
      </c>
      <c r="J2466" s="223"/>
      <c r="K2466" s="317">
        <v>1899.0</v>
      </c>
    </row>
    <row r="2467">
      <c r="A2467" s="223"/>
      <c r="B2467" s="223" t="s">
        <v>200</v>
      </c>
      <c r="C2467" s="223"/>
      <c r="D2467" s="316"/>
      <c r="E2467" s="218"/>
      <c r="F2467" s="218"/>
      <c r="G2467" s="218" t="s">
        <v>200</v>
      </c>
      <c r="H2467" s="223">
        <v>0.0</v>
      </c>
      <c r="J2467" s="223"/>
      <c r="K2467" s="317">
        <v>1899.0</v>
      </c>
    </row>
    <row r="2468">
      <c r="A2468" s="223"/>
      <c r="B2468" s="223" t="s">
        <v>200</v>
      </c>
      <c r="C2468" s="223"/>
      <c r="D2468" s="316"/>
      <c r="E2468" s="218"/>
      <c r="F2468" s="218"/>
      <c r="G2468" s="218" t="s">
        <v>200</v>
      </c>
      <c r="H2468" s="223">
        <v>0.0</v>
      </c>
      <c r="J2468" s="223"/>
      <c r="K2468" s="317">
        <v>1899.0</v>
      </c>
    </row>
    <row r="2469">
      <c r="A2469" s="223"/>
      <c r="B2469" s="223" t="s">
        <v>200</v>
      </c>
      <c r="C2469" s="223"/>
      <c r="D2469" s="316"/>
      <c r="E2469" s="218"/>
      <c r="F2469" s="218"/>
      <c r="G2469" s="218" t="s">
        <v>200</v>
      </c>
      <c r="H2469" s="223">
        <v>0.0</v>
      </c>
      <c r="J2469" s="223"/>
      <c r="K2469" s="317">
        <v>1899.0</v>
      </c>
    </row>
    <row r="2470">
      <c r="A2470" s="223"/>
      <c r="B2470" s="223" t="s">
        <v>200</v>
      </c>
      <c r="C2470" s="223"/>
      <c r="D2470" s="316"/>
      <c r="E2470" s="218"/>
      <c r="F2470" s="218"/>
      <c r="G2470" s="218" t="s">
        <v>200</v>
      </c>
      <c r="H2470" s="223">
        <v>0.0</v>
      </c>
      <c r="J2470" s="223"/>
      <c r="K2470" s="317">
        <v>1899.0</v>
      </c>
    </row>
    <row r="2471">
      <c r="A2471" s="223"/>
      <c r="B2471" s="223" t="s">
        <v>200</v>
      </c>
      <c r="C2471" s="223"/>
      <c r="D2471" s="316"/>
      <c r="E2471" s="218"/>
      <c r="F2471" s="218"/>
      <c r="G2471" s="218" t="s">
        <v>200</v>
      </c>
      <c r="H2471" s="223">
        <v>0.0</v>
      </c>
      <c r="J2471" s="223"/>
      <c r="K2471" s="317">
        <v>1899.0</v>
      </c>
    </row>
    <row r="2472">
      <c r="A2472" s="223"/>
      <c r="B2472" s="223" t="s">
        <v>200</v>
      </c>
      <c r="C2472" s="223"/>
      <c r="D2472" s="316"/>
      <c r="E2472" s="218"/>
      <c r="F2472" s="218"/>
      <c r="G2472" s="218" t="s">
        <v>200</v>
      </c>
      <c r="H2472" s="223">
        <v>0.0</v>
      </c>
      <c r="J2472" s="223"/>
      <c r="K2472" s="317">
        <v>1899.0</v>
      </c>
    </row>
    <row r="2473">
      <c r="A2473" s="223"/>
      <c r="B2473" s="223" t="s">
        <v>200</v>
      </c>
      <c r="C2473" s="223"/>
      <c r="D2473" s="316"/>
      <c r="E2473" s="218"/>
      <c r="F2473" s="218"/>
      <c r="G2473" s="218" t="s">
        <v>200</v>
      </c>
      <c r="H2473" s="223">
        <v>0.0</v>
      </c>
      <c r="J2473" s="223"/>
      <c r="K2473" s="317">
        <v>1899.0</v>
      </c>
    </row>
    <row r="2474">
      <c r="A2474" s="223"/>
      <c r="B2474" s="223" t="s">
        <v>200</v>
      </c>
      <c r="C2474" s="223"/>
      <c r="D2474" s="316"/>
      <c r="E2474" s="218"/>
      <c r="F2474" s="218"/>
      <c r="G2474" s="218" t="s">
        <v>200</v>
      </c>
      <c r="H2474" s="223">
        <v>0.0</v>
      </c>
      <c r="J2474" s="223"/>
      <c r="K2474" s="317">
        <v>1899.0</v>
      </c>
    </row>
    <row r="2475">
      <c r="A2475" s="223"/>
      <c r="B2475" s="223" t="s">
        <v>200</v>
      </c>
      <c r="C2475" s="223"/>
      <c r="D2475" s="316"/>
      <c r="E2475" s="218"/>
      <c r="F2475" s="218"/>
      <c r="G2475" s="218" t="s">
        <v>200</v>
      </c>
      <c r="H2475" s="223">
        <v>0.0</v>
      </c>
      <c r="J2475" s="223"/>
      <c r="K2475" s="317">
        <v>1899.0</v>
      </c>
    </row>
    <row r="2476">
      <c r="A2476" s="223"/>
      <c r="B2476" s="223" t="s">
        <v>200</v>
      </c>
      <c r="C2476" s="223"/>
      <c r="D2476" s="316"/>
      <c r="E2476" s="218"/>
      <c r="F2476" s="218"/>
      <c r="G2476" s="218" t="s">
        <v>200</v>
      </c>
      <c r="H2476" s="223">
        <v>0.0</v>
      </c>
      <c r="J2476" s="223"/>
      <c r="K2476" s="317">
        <v>1899.0</v>
      </c>
    </row>
    <row r="2477">
      <c r="A2477" s="223"/>
      <c r="B2477" s="223" t="s">
        <v>200</v>
      </c>
      <c r="C2477" s="223"/>
      <c r="D2477" s="316"/>
      <c r="E2477" s="218"/>
      <c r="F2477" s="218"/>
      <c r="G2477" s="218" t="s">
        <v>200</v>
      </c>
      <c r="H2477" s="223">
        <v>0.0</v>
      </c>
      <c r="J2477" s="223"/>
      <c r="K2477" s="317">
        <v>1899.0</v>
      </c>
    </row>
    <row r="2478">
      <c r="A2478" s="223"/>
      <c r="B2478" s="223" t="s">
        <v>200</v>
      </c>
      <c r="C2478" s="223"/>
      <c r="D2478" s="316"/>
      <c r="E2478" s="218"/>
      <c r="F2478" s="218"/>
      <c r="G2478" s="218" t="s">
        <v>200</v>
      </c>
      <c r="H2478" s="223">
        <v>0.0</v>
      </c>
      <c r="J2478" s="223"/>
      <c r="K2478" s="317">
        <v>1899.0</v>
      </c>
    </row>
    <row r="2479">
      <c r="A2479" s="223"/>
      <c r="B2479" s="223" t="s">
        <v>200</v>
      </c>
      <c r="C2479" s="223"/>
      <c r="D2479" s="316"/>
      <c r="E2479" s="218"/>
      <c r="F2479" s="218"/>
      <c r="G2479" s="218" t="s">
        <v>200</v>
      </c>
      <c r="H2479" s="223">
        <v>0.0</v>
      </c>
      <c r="J2479" s="223"/>
      <c r="K2479" s="317">
        <v>1899.0</v>
      </c>
    </row>
    <row r="2480">
      <c r="A2480" s="223"/>
      <c r="B2480" s="223" t="s">
        <v>200</v>
      </c>
      <c r="C2480" s="223"/>
      <c r="D2480" s="316"/>
      <c r="E2480" s="218"/>
      <c r="F2480" s="218"/>
      <c r="G2480" s="218" t="s">
        <v>200</v>
      </c>
      <c r="H2480" s="223">
        <v>0.0</v>
      </c>
      <c r="J2480" s="223"/>
      <c r="K2480" s="317">
        <v>1899.0</v>
      </c>
    </row>
    <row r="2481">
      <c r="A2481" s="223"/>
      <c r="B2481" s="223" t="s">
        <v>200</v>
      </c>
      <c r="C2481" s="223"/>
      <c r="D2481" s="316"/>
      <c r="E2481" s="218"/>
      <c r="F2481" s="218"/>
      <c r="G2481" s="218" t="s">
        <v>200</v>
      </c>
      <c r="H2481" s="223">
        <v>0.0</v>
      </c>
      <c r="J2481" s="223"/>
      <c r="K2481" s="317">
        <v>1899.0</v>
      </c>
    </row>
    <row r="2482">
      <c r="A2482" s="223"/>
      <c r="B2482" s="223" t="s">
        <v>200</v>
      </c>
      <c r="C2482" s="223"/>
      <c r="D2482" s="316"/>
      <c r="E2482" s="218"/>
      <c r="F2482" s="218"/>
      <c r="G2482" s="218" t="s">
        <v>200</v>
      </c>
      <c r="H2482" s="223">
        <v>0.0</v>
      </c>
      <c r="J2482" s="223"/>
      <c r="K2482" s="317">
        <v>1899.0</v>
      </c>
    </row>
    <row r="2483">
      <c r="A2483" s="223"/>
      <c r="B2483" s="223" t="s">
        <v>200</v>
      </c>
      <c r="C2483" s="223"/>
      <c r="D2483" s="316"/>
      <c r="E2483" s="218"/>
      <c r="F2483" s="218"/>
      <c r="G2483" s="218" t="s">
        <v>200</v>
      </c>
      <c r="H2483" s="223">
        <v>0.0</v>
      </c>
      <c r="J2483" s="223"/>
      <c r="K2483" s="317">
        <v>1899.0</v>
      </c>
    </row>
    <row r="2484">
      <c r="A2484" s="223"/>
      <c r="B2484" s="223" t="s">
        <v>200</v>
      </c>
      <c r="C2484" s="223"/>
      <c r="D2484" s="316"/>
      <c r="E2484" s="218"/>
      <c r="F2484" s="218"/>
      <c r="G2484" s="218" t="s">
        <v>200</v>
      </c>
      <c r="H2484" s="223">
        <v>0.0</v>
      </c>
      <c r="J2484" s="223"/>
      <c r="K2484" s="317">
        <v>1899.0</v>
      </c>
    </row>
    <row r="2485">
      <c r="A2485" s="223"/>
      <c r="B2485" s="223" t="s">
        <v>200</v>
      </c>
      <c r="C2485" s="223"/>
      <c r="D2485" s="316"/>
      <c r="E2485" s="218"/>
      <c r="F2485" s="218"/>
      <c r="G2485" s="218" t="s">
        <v>200</v>
      </c>
      <c r="H2485" s="223">
        <v>0.0</v>
      </c>
      <c r="J2485" s="223"/>
      <c r="K2485" s="317">
        <v>1899.0</v>
      </c>
    </row>
    <row r="2486">
      <c r="A2486" s="223"/>
      <c r="B2486" s="223" t="s">
        <v>200</v>
      </c>
      <c r="C2486" s="223"/>
      <c r="D2486" s="316"/>
      <c r="E2486" s="218"/>
      <c r="F2486" s="218"/>
      <c r="G2486" s="218" t="s">
        <v>200</v>
      </c>
      <c r="H2486" s="223">
        <v>0.0</v>
      </c>
      <c r="J2486" s="223"/>
      <c r="K2486" s="317">
        <v>1899.0</v>
      </c>
    </row>
    <row r="2487">
      <c r="A2487" s="223"/>
      <c r="B2487" s="223" t="s">
        <v>200</v>
      </c>
      <c r="C2487" s="223"/>
      <c r="D2487" s="316"/>
      <c r="E2487" s="218"/>
      <c r="F2487" s="218"/>
      <c r="G2487" s="218" t="s">
        <v>200</v>
      </c>
      <c r="H2487" s="223">
        <v>0.0</v>
      </c>
      <c r="J2487" s="223"/>
      <c r="K2487" s="317">
        <v>1899.0</v>
      </c>
    </row>
    <row r="2488">
      <c r="A2488" s="223"/>
      <c r="B2488" s="223" t="s">
        <v>200</v>
      </c>
      <c r="C2488" s="223"/>
      <c r="D2488" s="316"/>
      <c r="E2488" s="218"/>
      <c r="F2488" s="218"/>
      <c r="G2488" s="218" t="s">
        <v>200</v>
      </c>
      <c r="H2488" s="223">
        <v>0.0</v>
      </c>
      <c r="J2488" s="223"/>
      <c r="K2488" s="317">
        <v>1899.0</v>
      </c>
    </row>
    <row r="2489">
      <c r="A2489" s="223"/>
      <c r="B2489" s="223" t="s">
        <v>200</v>
      </c>
      <c r="C2489" s="223"/>
      <c r="D2489" s="316"/>
      <c r="E2489" s="218"/>
      <c r="F2489" s="218"/>
      <c r="G2489" s="218" t="s">
        <v>200</v>
      </c>
      <c r="H2489" s="223">
        <v>0.0</v>
      </c>
      <c r="J2489" s="223"/>
      <c r="K2489" s="317">
        <v>1899.0</v>
      </c>
    </row>
    <row r="2490">
      <c r="A2490" s="223"/>
      <c r="B2490" s="223" t="s">
        <v>200</v>
      </c>
      <c r="C2490" s="223"/>
      <c r="D2490" s="316"/>
      <c r="E2490" s="218"/>
      <c r="F2490" s="218"/>
      <c r="G2490" s="218" t="s">
        <v>200</v>
      </c>
      <c r="H2490" s="223">
        <v>0.0</v>
      </c>
      <c r="J2490" s="223"/>
      <c r="K2490" s="317">
        <v>1899.0</v>
      </c>
    </row>
    <row r="2491">
      <c r="A2491" s="223"/>
      <c r="B2491" s="223" t="s">
        <v>200</v>
      </c>
      <c r="C2491" s="223"/>
      <c r="D2491" s="316"/>
      <c r="E2491" s="218"/>
      <c r="F2491" s="218"/>
      <c r="G2491" s="218" t="s">
        <v>200</v>
      </c>
      <c r="H2491" s="223">
        <v>0.0</v>
      </c>
      <c r="J2491" s="223"/>
      <c r="K2491" s="317">
        <v>1899.0</v>
      </c>
    </row>
    <row r="2492">
      <c r="A2492" s="223"/>
      <c r="B2492" s="223" t="s">
        <v>200</v>
      </c>
      <c r="C2492" s="223"/>
      <c r="D2492" s="316"/>
      <c r="E2492" s="218"/>
      <c r="F2492" s="218"/>
      <c r="G2492" s="218" t="s">
        <v>200</v>
      </c>
      <c r="H2492" s="223">
        <v>0.0</v>
      </c>
      <c r="J2492" s="223"/>
      <c r="K2492" s="317">
        <v>1899.0</v>
      </c>
    </row>
    <row r="2493">
      <c r="A2493" s="223"/>
      <c r="B2493" s="223" t="s">
        <v>200</v>
      </c>
      <c r="C2493" s="223"/>
      <c r="D2493" s="316"/>
      <c r="E2493" s="218"/>
      <c r="F2493" s="218"/>
      <c r="G2493" s="218" t="s">
        <v>200</v>
      </c>
      <c r="H2493" s="223">
        <v>0.0</v>
      </c>
      <c r="J2493" s="223"/>
      <c r="K2493" s="317">
        <v>1899.0</v>
      </c>
    </row>
    <row r="2494">
      <c r="A2494" s="223"/>
      <c r="B2494" s="223" t="s">
        <v>200</v>
      </c>
      <c r="C2494" s="223"/>
      <c r="D2494" s="316"/>
      <c r="E2494" s="218"/>
      <c r="F2494" s="218"/>
      <c r="G2494" s="218" t="s">
        <v>200</v>
      </c>
      <c r="H2494" s="223">
        <v>0.0</v>
      </c>
      <c r="J2494" s="223"/>
      <c r="K2494" s="317">
        <v>1899.0</v>
      </c>
    </row>
    <row r="2495">
      <c r="A2495" s="223"/>
      <c r="B2495" s="223" t="s">
        <v>200</v>
      </c>
      <c r="C2495" s="223"/>
      <c r="D2495" s="316"/>
      <c r="E2495" s="218"/>
      <c r="F2495" s="218"/>
      <c r="G2495" s="218" t="s">
        <v>200</v>
      </c>
      <c r="H2495" s="223">
        <v>0.0</v>
      </c>
      <c r="J2495" s="223"/>
      <c r="K2495" s="317">
        <v>1899.0</v>
      </c>
    </row>
    <row r="2496">
      <c r="A2496" s="223"/>
      <c r="B2496" s="223" t="s">
        <v>200</v>
      </c>
      <c r="C2496" s="223"/>
      <c r="D2496" s="316"/>
      <c r="E2496" s="218"/>
      <c r="F2496" s="218"/>
      <c r="G2496" s="218" t="s">
        <v>200</v>
      </c>
      <c r="H2496" s="223">
        <v>0.0</v>
      </c>
      <c r="J2496" s="223"/>
      <c r="K2496" s="317">
        <v>1899.0</v>
      </c>
    </row>
    <row r="2497">
      <c r="A2497" s="223"/>
      <c r="B2497" s="223" t="s">
        <v>200</v>
      </c>
      <c r="C2497" s="223"/>
      <c r="D2497" s="316"/>
      <c r="E2497" s="218"/>
      <c r="F2497" s="218"/>
      <c r="G2497" s="218" t="s">
        <v>200</v>
      </c>
      <c r="H2497" s="223">
        <v>0.0</v>
      </c>
      <c r="J2497" s="223"/>
      <c r="K2497" s="317">
        <v>1899.0</v>
      </c>
    </row>
    <row r="2498">
      <c r="A2498" s="223"/>
      <c r="B2498" s="223" t="s">
        <v>200</v>
      </c>
      <c r="C2498" s="223"/>
      <c r="D2498" s="316"/>
      <c r="E2498" s="218"/>
      <c r="F2498" s="218"/>
      <c r="G2498" s="218" t="s">
        <v>200</v>
      </c>
      <c r="H2498" s="223">
        <v>0.0</v>
      </c>
      <c r="J2498" s="223"/>
      <c r="K2498" s="317">
        <v>1899.0</v>
      </c>
    </row>
    <row r="2499">
      <c r="A2499" s="223"/>
      <c r="B2499" s="223" t="s">
        <v>200</v>
      </c>
      <c r="C2499" s="223"/>
      <c r="D2499" s="316"/>
      <c r="E2499" s="218"/>
      <c r="F2499" s="218"/>
      <c r="G2499" s="218" t="s">
        <v>200</v>
      </c>
      <c r="H2499" s="223">
        <v>0.0</v>
      </c>
      <c r="J2499" s="223"/>
      <c r="K2499" s="317">
        <v>1899.0</v>
      </c>
    </row>
    <row r="2500">
      <c r="A2500" s="223"/>
      <c r="B2500" s="223" t="s">
        <v>200</v>
      </c>
      <c r="C2500" s="223"/>
      <c r="D2500" s="316"/>
      <c r="E2500" s="218"/>
      <c r="F2500" s="218"/>
      <c r="G2500" s="218" t="s">
        <v>200</v>
      </c>
      <c r="H2500" s="223">
        <v>0.0</v>
      </c>
      <c r="J2500" s="223"/>
      <c r="K2500" s="317">
        <v>1899.0</v>
      </c>
    </row>
    <row r="2501">
      <c r="A2501" s="223"/>
      <c r="B2501" s="223" t="s">
        <v>200</v>
      </c>
      <c r="C2501" s="223"/>
      <c r="D2501" s="316"/>
      <c r="E2501" s="218"/>
      <c r="F2501" s="218"/>
      <c r="G2501" s="218" t="s">
        <v>200</v>
      </c>
      <c r="H2501" s="223">
        <v>0.0</v>
      </c>
      <c r="J2501" s="223"/>
      <c r="K2501" s="317">
        <v>1899.0</v>
      </c>
    </row>
    <row r="2502">
      <c r="A2502" s="223"/>
      <c r="B2502" s="223" t="s">
        <v>200</v>
      </c>
      <c r="C2502" s="223"/>
      <c r="D2502" s="316"/>
      <c r="E2502" s="218"/>
      <c r="F2502" s="218"/>
      <c r="G2502" s="218" t="s">
        <v>200</v>
      </c>
      <c r="H2502" s="223">
        <v>0.0</v>
      </c>
      <c r="J2502" s="223"/>
      <c r="K2502" s="317">
        <v>1899.0</v>
      </c>
    </row>
    <row r="2503">
      <c r="A2503" s="223"/>
      <c r="B2503" s="223" t="s">
        <v>200</v>
      </c>
      <c r="C2503" s="223"/>
      <c r="D2503" s="316"/>
      <c r="E2503" s="218"/>
      <c r="F2503" s="218"/>
      <c r="G2503" s="218" t="s">
        <v>200</v>
      </c>
      <c r="H2503" s="223">
        <v>0.0</v>
      </c>
      <c r="J2503" s="223"/>
      <c r="K2503" s="317">
        <v>1899.0</v>
      </c>
    </row>
    <row r="2504">
      <c r="A2504" s="223"/>
      <c r="B2504" s="223" t="s">
        <v>200</v>
      </c>
      <c r="C2504" s="223"/>
      <c r="D2504" s="316"/>
      <c r="E2504" s="218"/>
      <c r="F2504" s="218"/>
      <c r="G2504" s="218" t="s">
        <v>200</v>
      </c>
      <c r="H2504" s="223">
        <v>0.0</v>
      </c>
      <c r="J2504" s="223"/>
      <c r="K2504" s="317">
        <v>1899.0</v>
      </c>
    </row>
    <row r="2505">
      <c r="A2505" s="223"/>
      <c r="B2505" s="223" t="s">
        <v>200</v>
      </c>
      <c r="C2505" s="223"/>
      <c r="D2505" s="316"/>
      <c r="E2505" s="218"/>
      <c r="F2505" s="218"/>
      <c r="G2505" s="218" t="s">
        <v>200</v>
      </c>
      <c r="H2505" s="223">
        <v>0.0</v>
      </c>
      <c r="J2505" s="223"/>
      <c r="K2505" s="317">
        <v>1899.0</v>
      </c>
    </row>
    <row r="2506">
      <c r="A2506" s="223"/>
      <c r="B2506" s="223" t="s">
        <v>200</v>
      </c>
      <c r="C2506" s="223"/>
      <c r="D2506" s="316"/>
      <c r="E2506" s="218"/>
      <c r="F2506" s="218"/>
      <c r="G2506" s="218" t="s">
        <v>200</v>
      </c>
      <c r="H2506" s="223">
        <v>0.0</v>
      </c>
      <c r="J2506" s="223"/>
      <c r="K2506" s="317">
        <v>1899.0</v>
      </c>
    </row>
    <row r="2507">
      <c r="A2507" s="223"/>
      <c r="B2507" s="223" t="s">
        <v>200</v>
      </c>
      <c r="C2507" s="223"/>
      <c r="D2507" s="316"/>
      <c r="E2507" s="218"/>
      <c r="F2507" s="218"/>
      <c r="G2507" s="218" t="s">
        <v>200</v>
      </c>
      <c r="H2507" s="223">
        <v>0.0</v>
      </c>
      <c r="J2507" s="223"/>
      <c r="K2507" s="317">
        <v>1899.0</v>
      </c>
    </row>
    <row r="2508">
      <c r="A2508" s="223"/>
      <c r="B2508" s="223" t="s">
        <v>200</v>
      </c>
      <c r="C2508" s="223"/>
      <c r="D2508" s="316"/>
      <c r="E2508" s="218"/>
      <c r="F2508" s="218"/>
      <c r="G2508" s="218" t="s">
        <v>200</v>
      </c>
      <c r="H2508" s="223">
        <v>0.0</v>
      </c>
      <c r="J2508" s="223"/>
      <c r="K2508" s="317">
        <v>1899.0</v>
      </c>
    </row>
    <row r="2509">
      <c r="A2509" s="223"/>
      <c r="B2509" s="223" t="s">
        <v>200</v>
      </c>
      <c r="C2509" s="223"/>
      <c r="D2509" s="316"/>
      <c r="E2509" s="218"/>
      <c r="F2509" s="218"/>
      <c r="G2509" s="218" t="s">
        <v>200</v>
      </c>
      <c r="H2509" s="223">
        <v>0.0</v>
      </c>
      <c r="J2509" s="223"/>
      <c r="K2509" s="317">
        <v>1899.0</v>
      </c>
    </row>
    <row r="2510">
      <c r="A2510" s="223"/>
      <c r="B2510" s="223" t="s">
        <v>200</v>
      </c>
      <c r="C2510" s="223"/>
      <c r="D2510" s="316"/>
      <c r="E2510" s="218"/>
      <c r="F2510" s="218"/>
      <c r="G2510" s="218" t="s">
        <v>200</v>
      </c>
      <c r="H2510" s="223">
        <v>0.0</v>
      </c>
      <c r="J2510" s="223"/>
      <c r="K2510" s="317">
        <v>1899.0</v>
      </c>
    </row>
    <row r="2511">
      <c r="A2511" s="223"/>
      <c r="B2511" s="223" t="s">
        <v>200</v>
      </c>
      <c r="C2511" s="223"/>
      <c r="D2511" s="316"/>
      <c r="E2511" s="218"/>
      <c r="F2511" s="218"/>
      <c r="G2511" s="218" t="s">
        <v>200</v>
      </c>
      <c r="H2511" s="223">
        <v>0.0</v>
      </c>
      <c r="J2511" s="223"/>
      <c r="K2511" s="317">
        <v>1899.0</v>
      </c>
    </row>
    <row r="2512">
      <c r="A2512" s="223"/>
      <c r="B2512" s="223" t="s">
        <v>200</v>
      </c>
      <c r="C2512" s="223"/>
      <c r="D2512" s="316"/>
      <c r="E2512" s="218"/>
      <c r="F2512" s="218"/>
      <c r="G2512" s="218" t="s">
        <v>200</v>
      </c>
      <c r="H2512" s="223">
        <v>0.0</v>
      </c>
      <c r="J2512" s="223"/>
      <c r="K2512" s="317">
        <v>1899.0</v>
      </c>
    </row>
    <row r="2513">
      <c r="A2513" s="223"/>
      <c r="B2513" s="223" t="s">
        <v>200</v>
      </c>
      <c r="C2513" s="223"/>
      <c r="D2513" s="316"/>
      <c r="E2513" s="218"/>
      <c r="F2513" s="218"/>
      <c r="G2513" s="218" t="s">
        <v>200</v>
      </c>
      <c r="H2513" s="223">
        <v>0.0</v>
      </c>
      <c r="J2513" s="223"/>
      <c r="K2513" s="317">
        <v>1899.0</v>
      </c>
    </row>
    <row r="2514">
      <c r="A2514" s="223"/>
      <c r="B2514" s="223" t="s">
        <v>200</v>
      </c>
      <c r="C2514" s="223"/>
      <c r="D2514" s="316"/>
      <c r="E2514" s="218"/>
      <c r="F2514" s="218"/>
      <c r="G2514" s="218" t="s">
        <v>200</v>
      </c>
      <c r="H2514" s="223">
        <v>0.0</v>
      </c>
      <c r="J2514" s="223"/>
      <c r="K2514" s="317">
        <v>1899.0</v>
      </c>
    </row>
    <row r="2515">
      <c r="A2515" s="223"/>
      <c r="B2515" s="223" t="s">
        <v>200</v>
      </c>
      <c r="C2515" s="223"/>
      <c r="D2515" s="316"/>
      <c r="E2515" s="218"/>
      <c r="F2515" s="218"/>
      <c r="G2515" s="218" t="s">
        <v>200</v>
      </c>
      <c r="H2515" s="223">
        <v>0.0</v>
      </c>
      <c r="J2515" s="223"/>
      <c r="K2515" s="317">
        <v>1899.0</v>
      </c>
    </row>
    <row r="2516">
      <c r="A2516" s="223"/>
      <c r="B2516" s="223" t="s">
        <v>200</v>
      </c>
      <c r="C2516" s="223"/>
      <c r="D2516" s="316"/>
      <c r="E2516" s="218"/>
      <c r="F2516" s="218"/>
      <c r="G2516" s="218" t="s">
        <v>200</v>
      </c>
      <c r="H2516" s="223">
        <v>0.0</v>
      </c>
      <c r="J2516" s="223"/>
      <c r="K2516" s="317">
        <v>1899.0</v>
      </c>
    </row>
    <row r="2517">
      <c r="A2517" s="223"/>
      <c r="B2517" s="223" t="s">
        <v>200</v>
      </c>
      <c r="C2517" s="223"/>
      <c r="D2517" s="316"/>
      <c r="E2517" s="218"/>
      <c r="F2517" s="218"/>
      <c r="G2517" s="218" t="s">
        <v>200</v>
      </c>
      <c r="H2517" s="223">
        <v>0.0</v>
      </c>
      <c r="J2517" s="223"/>
      <c r="K2517" s="317">
        <v>1899.0</v>
      </c>
    </row>
    <row r="2518">
      <c r="A2518" s="223"/>
      <c r="B2518" s="223" t="s">
        <v>200</v>
      </c>
      <c r="C2518" s="223"/>
      <c r="D2518" s="316"/>
      <c r="E2518" s="218"/>
      <c r="F2518" s="218"/>
      <c r="G2518" s="218" t="s">
        <v>200</v>
      </c>
      <c r="H2518" s="223">
        <v>0.0</v>
      </c>
      <c r="J2518" s="223"/>
      <c r="K2518" s="317">
        <v>1899.0</v>
      </c>
    </row>
    <row r="2519">
      <c r="A2519" s="223"/>
      <c r="B2519" s="223" t="s">
        <v>200</v>
      </c>
      <c r="C2519" s="223"/>
      <c r="D2519" s="316"/>
      <c r="E2519" s="218"/>
      <c r="F2519" s="218"/>
      <c r="G2519" s="218" t="s">
        <v>200</v>
      </c>
      <c r="H2519" s="223">
        <v>0.0</v>
      </c>
      <c r="J2519" s="223"/>
      <c r="K2519" s="317">
        <v>1899.0</v>
      </c>
    </row>
    <row r="2520">
      <c r="A2520" s="223"/>
      <c r="B2520" s="223" t="s">
        <v>200</v>
      </c>
      <c r="C2520" s="223"/>
      <c r="D2520" s="316"/>
      <c r="E2520" s="218"/>
      <c r="F2520" s="218"/>
      <c r="G2520" s="218" t="s">
        <v>200</v>
      </c>
      <c r="H2520" s="223">
        <v>0.0</v>
      </c>
      <c r="J2520" s="223"/>
      <c r="K2520" s="317">
        <v>1899.0</v>
      </c>
    </row>
    <row r="2521">
      <c r="A2521" s="223"/>
      <c r="B2521" s="223" t="s">
        <v>200</v>
      </c>
      <c r="C2521" s="223"/>
      <c r="D2521" s="316"/>
      <c r="E2521" s="218"/>
      <c r="F2521" s="218"/>
      <c r="G2521" s="218" t="s">
        <v>200</v>
      </c>
      <c r="H2521" s="223">
        <v>0.0</v>
      </c>
      <c r="J2521" s="223"/>
      <c r="K2521" s="317">
        <v>1899.0</v>
      </c>
    </row>
    <row r="2522">
      <c r="A2522" s="223"/>
      <c r="B2522" s="223" t="s">
        <v>200</v>
      </c>
      <c r="C2522" s="223"/>
      <c r="D2522" s="316"/>
      <c r="E2522" s="218"/>
      <c r="F2522" s="218"/>
      <c r="G2522" s="218" t="s">
        <v>200</v>
      </c>
      <c r="H2522" s="223">
        <v>0.0</v>
      </c>
      <c r="J2522" s="223"/>
      <c r="K2522" s="317">
        <v>1899.0</v>
      </c>
    </row>
    <row r="2523">
      <c r="A2523" s="223"/>
      <c r="B2523" s="223" t="s">
        <v>200</v>
      </c>
      <c r="C2523" s="223"/>
      <c r="D2523" s="316"/>
      <c r="E2523" s="218"/>
      <c r="F2523" s="218"/>
      <c r="G2523" s="218" t="s">
        <v>200</v>
      </c>
      <c r="H2523" s="223">
        <v>0.0</v>
      </c>
      <c r="J2523" s="223"/>
      <c r="K2523" s="317">
        <v>1899.0</v>
      </c>
    </row>
    <row r="2524">
      <c r="A2524" s="223"/>
      <c r="B2524" s="223" t="s">
        <v>200</v>
      </c>
      <c r="C2524" s="223"/>
      <c r="D2524" s="316"/>
      <c r="E2524" s="218"/>
      <c r="F2524" s="218"/>
      <c r="G2524" s="218" t="s">
        <v>200</v>
      </c>
      <c r="H2524" s="223">
        <v>0.0</v>
      </c>
      <c r="J2524" s="223"/>
      <c r="K2524" s="317">
        <v>1899.0</v>
      </c>
    </row>
    <row r="2525">
      <c r="A2525" s="223"/>
      <c r="B2525" s="223" t="s">
        <v>200</v>
      </c>
      <c r="C2525" s="223"/>
      <c r="D2525" s="316"/>
      <c r="E2525" s="218"/>
      <c r="F2525" s="218"/>
      <c r="G2525" s="218" t="s">
        <v>200</v>
      </c>
      <c r="H2525" s="223">
        <v>0.0</v>
      </c>
      <c r="J2525" s="223"/>
      <c r="K2525" s="317">
        <v>1899.0</v>
      </c>
    </row>
    <row r="2526">
      <c r="A2526" s="223"/>
      <c r="B2526" s="223" t="s">
        <v>200</v>
      </c>
      <c r="C2526" s="223"/>
      <c r="D2526" s="316"/>
      <c r="E2526" s="218"/>
      <c r="F2526" s="218"/>
      <c r="G2526" s="218" t="s">
        <v>200</v>
      </c>
      <c r="H2526" s="223">
        <v>0.0</v>
      </c>
      <c r="J2526" s="223"/>
      <c r="K2526" s="317">
        <v>1899.0</v>
      </c>
    </row>
    <row r="2527">
      <c r="A2527" s="223"/>
      <c r="B2527" s="223" t="s">
        <v>200</v>
      </c>
      <c r="C2527" s="223"/>
      <c r="D2527" s="316"/>
      <c r="E2527" s="218"/>
      <c r="F2527" s="218"/>
      <c r="G2527" s="218" t="s">
        <v>200</v>
      </c>
      <c r="H2527" s="223">
        <v>0.0</v>
      </c>
      <c r="J2527" s="223"/>
      <c r="K2527" s="317">
        <v>1899.0</v>
      </c>
    </row>
    <row r="2528">
      <c r="A2528" s="223"/>
      <c r="B2528" s="223" t="s">
        <v>200</v>
      </c>
      <c r="C2528" s="223"/>
      <c r="D2528" s="316"/>
      <c r="E2528" s="218"/>
      <c r="F2528" s="218"/>
      <c r="G2528" s="218" t="s">
        <v>200</v>
      </c>
      <c r="H2528" s="223">
        <v>0.0</v>
      </c>
      <c r="J2528" s="223"/>
      <c r="K2528" s="317">
        <v>1899.0</v>
      </c>
    </row>
    <row r="2529">
      <c r="A2529" s="223"/>
      <c r="B2529" s="223" t="s">
        <v>200</v>
      </c>
      <c r="C2529" s="223"/>
      <c r="D2529" s="316"/>
      <c r="E2529" s="218"/>
      <c r="F2529" s="218"/>
      <c r="G2529" s="218" t="s">
        <v>200</v>
      </c>
      <c r="H2529" s="223">
        <v>0.0</v>
      </c>
      <c r="J2529" s="223"/>
      <c r="K2529" s="317">
        <v>1899.0</v>
      </c>
    </row>
    <row r="2530">
      <c r="A2530" s="223"/>
      <c r="B2530" s="223" t="s">
        <v>200</v>
      </c>
      <c r="C2530" s="223"/>
      <c r="D2530" s="316"/>
      <c r="E2530" s="218"/>
      <c r="F2530" s="218"/>
      <c r="G2530" s="218" t="s">
        <v>200</v>
      </c>
      <c r="H2530" s="223">
        <v>0.0</v>
      </c>
      <c r="J2530" s="223"/>
      <c r="K2530" s="317">
        <v>1899.0</v>
      </c>
    </row>
    <row r="2531">
      <c r="A2531" s="223"/>
      <c r="B2531" s="223" t="s">
        <v>200</v>
      </c>
      <c r="C2531" s="223"/>
      <c r="D2531" s="316"/>
      <c r="E2531" s="218"/>
      <c r="F2531" s="218"/>
      <c r="G2531" s="218" t="s">
        <v>200</v>
      </c>
      <c r="H2531" s="223">
        <v>0.0</v>
      </c>
      <c r="J2531" s="223"/>
      <c r="K2531" s="317">
        <v>1899.0</v>
      </c>
    </row>
    <row r="2532">
      <c r="A2532" s="223"/>
      <c r="B2532" s="223" t="s">
        <v>200</v>
      </c>
      <c r="C2532" s="223"/>
      <c r="D2532" s="316"/>
      <c r="E2532" s="218"/>
      <c r="F2532" s="218"/>
      <c r="G2532" s="218" t="s">
        <v>200</v>
      </c>
      <c r="H2532" s="223">
        <v>0.0</v>
      </c>
      <c r="J2532" s="223"/>
      <c r="K2532" s="317">
        <v>1899.0</v>
      </c>
    </row>
    <row r="2533">
      <c r="A2533" s="223"/>
      <c r="B2533" s="223" t="s">
        <v>200</v>
      </c>
      <c r="C2533" s="223"/>
      <c r="D2533" s="316"/>
      <c r="E2533" s="218"/>
      <c r="F2533" s="218"/>
      <c r="G2533" s="218" t="s">
        <v>200</v>
      </c>
      <c r="H2533" s="223">
        <v>0.0</v>
      </c>
      <c r="J2533" s="223"/>
      <c r="K2533" s="317">
        <v>1899.0</v>
      </c>
    </row>
    <row r="2534">
      <c r="A2534" s="223"/>
      <c r="B2534" s="223" t="s">
        <v>200</v>
      </c>
      <c r="C2534" s="223"/>
      <c r="D2534" s="316"/>
      <c r="E2534" s="218"/>
      <c r="F2534" s="218"/>
      <c r="G2534" s="218" t="s">
        <v>200</v>
      </c>
      <c r="H2534" s="223">
        <v>0.0</v>
      </c>
      <c r="J2534" s="223"/>
      <c r="K2534" s="317">
        <v>1899.0</v>
      </c>
    </row>
    <row r="2535">
      <c r="A2535" s="223"/>
      <c r="B2535" s="223" t="s">
        <v>200</v>
      </c>
      <c r="C2535" s="223"/>
      <c r="D2535" s="316"/>
      <c r="E2535" s="218"/>
      <c r="F2535" s="218"/>
      <c r="G2535" s="218" t="s">
        <v>200</v>
      </c>
      <c r="H2535" s="223">
        <v>0.0</v>
      </c>
      <c r="J2535" s="223"/>
      <c r="K2535" s="317">
        <v>1899.0</v>
      </c>
    </row>
    <row r="2536">
      <c r="A2536" s="223"/>
      <c r="B2536" s="223" t="s">
        <v>200</v>
      </c>
      <c r="C2536" s="223"/>
      <c r="D2536" s="316"/>
      <c r="E2536" s="218"/>
      <c r="F2536" s="218"/>
      <c r="G2536" s="218" t="s">
        <v>200</v>
      </c>
      <c r="H2536" s="223">
        <v>0.0</v>
      </c>
      <c r="J2536" s="223"/>
      <c r="K2536" s="317">
        <v>1899.0</v>
      </c>
    </row>
    <row r="2537">
      <c r="A2537" s="223"/>
      <c r="B2537" s="223" t="s">
        <v>200</v>
      </c>
      <c r="C2537" s="223"/>
      <c r="D2537" s="316"/>
      <c r="E2537" s="218"/>
      <c r="F2537" s="218"/>
      <c r="G2537" s="218" t="s">
        <v>200</v>
      </c>
      <c r="H2537" s="223">
        <v>0.0</v>
      </c>
      <c r="J2537" s="223"/>
      <c r="K2537" s="317">
        <v>1899.0</v>
      </c>
    </row>
    <row r="2538">
      <c r="A2538" s="223"/>
      <c r="B2538" s="223" t="s">
        <v>200</v>
      </c>
      <c r="C2538" s="223"/>
      <c r="D2538" s="316"/>
      <c r="E2538" s="218"/>
      <c r="F2538" s="218"/>
      <c r="G2538" s="218" t="s">
        <v>200</v>
      </c>
      <c r="H2538" s="223">
        <v>0.0</v>
      </c>
      <c r="J2538" s="223"/>
      <c r="K2538" s="317">
        <v>1899.0</v>
      </c>
    </row>
    <row r="2539">
      <c r="A2539" s="223"/>
      <c r="B2539" s="223" t="s">
        <v>200</v>
      </c>
      <c r="C2539" s="223"/>
      <c r="D2539" s="316"/>
      <c r="E2539" s="218"/>
      <c r="F2539" s="218"/>
      <c r="G2539" s="218" t="s">
        <v>200</v>
      </c>
      <c r="H2539" s="223">
        <v>0.0</v>
      </c>
      <c r="J2539" s="223"/>
      <c r="K2539" s="317">
        <v>1899.0</v>
      </c>
    </row>
    <row r="2540">
      <c r="A2540" s="223"/>
      <c r="B2540" s="223" t="s">
        <v>200</v>
      </c>
      <c r="C2540" s="223"/>
      <c r="D2540" s="316"/>
      <c r="E2540" s="218"/>
      <c r="F2540" s="218"/>
      <c r="G2540" s="218" t="s">
        <v>200</v>
      </c>
      <c r="H2540" s="223">
        <v>0.0</v>
      </c>
      <c r="J2540" s="223"/>
      <c r="K2540" s="317">
        <v>1899.0</v>
      </c>
    </row>
    <row r="2541">
      <c r="A2541" s="223"/>
      <c r="B2541" s="223" t="s">
        <v>200</v>
      </c>
      <c r="C2541" s="223"/>
      <c r="D2541" s="316"/>
      <c r="E2541" s="218"/>
      <c r="F2541" s="218"/>
      <c r="G2541" s="218" t="s">
        <v>200</v>
      </c>
      <c r="H2541" s="223">
        <v>0.0</v>
      </c>
      <c r="J2541" s="223"/>
      <c r="K2541" s="317">
        <v>1899.0</v>
      </c>
    </row>
    <row r="2542">
      <c r="A2542" s="223"/>
      <c r="B2542" s="223" t="s">
        <v>200</v>
      </c>
      <c r="C2542" s="223"/>
      <c r="D2542" s="316"/>
      <c r="E2542" s="218"/>
      <c r="F2542" s="218"/>
      <c r="G2542" s="218" t="s">
        <v>200</v>
      </c>
      <c r="H2542" s="223">
        <v>0.0</v>
      </c>
      <c r="J2542" s="223"/>
      <c r="K2542" s="317">
        <v>1899.0</v>
      </c>
    </row>
    <row r="2543">
      <c r="A2543" s="223"/>
      <c r="B2543" s="223" t="s">
        <v>200</v>
      </c>
      <c r="C2543" s="223"/>
      <c r="D2543" s="316"/>
      <c r="E2543" s="218"/>
      <c r="F2543" s="218"/>
      <c r="G2543" s="218" t="s">
        <v>200</v>
      </c>
      <c r="H2543" s="223">
        <v>0.0</v>
      </c>
      <c r="J2543" s="223"/>
      <c r="K2543" s="317">
        <v>1899.0</v>
      </c>
    </row>
    <row r="2544">
      <c r="A2544" s="223"/>
      <c r="B2544" s="223" t="s">
        <v>200</v>
      </c>
      <c r="C2544" s="223"/>
      <c r="D2544" s="316"/>
      <c r="E2544" s="218"/>
      <c r="F2544" s="218"/>
      <c r="G2544" s="218" t="s">
        <v>200</v>
      </c>
      <c r="H2544" s="223">
        <v>0.0</v>
      </c>
      <c r="J2544" s="223"/>
      <c r="K2544" s="317">
        <v>1899.0</v>
      </c>
    </row>
    <row r="2545">
      <c r="A2545" s="223"/>
      <c r="B2545" s="223" t="s">
        <v>200</v>
      </c>
      <c r="C2545" s="223"/>
      <c r="D2545" s="316"/>
      <c r="E2545" s="218"/>
      <c r="F2545" s="218"/>
      <c r="G2545" s="218" t="s">
        <v>200</v>
      </c>
      <c r="H2545" s="223">
        <v>0.0</v>
      </c>
      <c r="J2545" s="223"/>
      <c r="K2545" s="317">
        <v>1899.0</v>
      </c>
    </row>
    <row r="2546">
      <c r="A2546" s="223"/>
      <c r="B2546" s="223" t="s">
        <v>200</v>
      </c>
      <c r="C2546" s="223"/>
      <c r="D2546" s="316"/>
      <c r="E2546" s="218"/>
      <c r="F2546" s="218"/>
      <c r="G2546" s="218" t="s">
        <v>200</v>
      </c>
      <c r="H2546" s="223">
        <v>0.0</v>
      </c>
      <c r="J2546" s="223"/>
      <c r="K2546" s="317">
        <v>1899.0</v>
      </c>
    </row>
    <row r="2547">
      <c r="A2547" s="223"/>
      <c r="B2547" s="223" t="s">
        <v>200</v>
      </c>
      <c r="C2547" s="223"/>
      <c r="D2547" s="316"/>
      <c r="E2547" s="218"/>
      <c r="F2547" s="218"/>
      <c r="G2547" s="218" t="s">
        <v>200</v>
      </c>
      <c r="H2547" s="223">
        <v>0.0</v>
      </c>
      <c r="J2547" s="223"/>
      <c r="K2547" s="317">
        <v>1899.0</v>
      </c>
    </row>
    <row r="2548">
      <c r="A2548" s="223"/>
      <c r="B2548" s="223" t="s">
        <v>200</v>
      </c>
      <c r="C2548" s="223"/>
      <c r="D2548" s="316"/>
      <c r="E2548" s="218"/>
      <c r="F2548" s="218"/>
      <c r="G2548" s="218" t="s">
        <v>200</v>
      </c>
      <c r="H2548" s="223">
        <v>0.0</v>
      </c>
      <c r="J2548" s="223"/>
      <c r="K2548" s="317">
        <v>1899.0</v>
      </c>
    </row>
    <row r="2549">
      <c r="A2549" s="223"/>
      <c r="B2549" s="223" t="s">
        <v>200</v>
      </c>
      <c r="C2549" s="223"/>
      <c r="D2549" s="316"/>
      <c r="E2549" s="218"/>
      <c r="F2549" s="218"/>
      <c r="G2549" s="218" t="s">
        <v>200</v>
      </c>
      <c r="H2549" s="223">
        <v>0.0</v>
      </c>
      <c r="J2549" s="223"/>
      <c r="K2549" s="317">
        <v>1899.0</v>
      </c>
    </row>
    <row r="2550">
      <c r="A2550" s="223"/>
      <c r="B2550" s="223" t="s">
        <v>200</v>
      </c>
      <c r="C2550" s="223"/>
      <c r="D2550" s="316"/>
      <c r="E2550" s="218"/>
      <c r="F2550" s="218"/>
      <c r="G2550" s="218" t="s">
        <v>200</v>
      </c>
      <c r="H2550" s="223">
        <v>0.0</v>
      </c>
      <c r="J2550" s="223"/>
      <c r="K2550" s="317">
        <v>1899.0</v>
      </c>
    </row>
    <row r="2551">
      <c r="A2551" s="223"/>
      <c r="B2551" s="223" t="s">
        <v>200</v>
      </c>
      <c r="C2551" s="223"/>
      <c r="D2551" s="316"/>
      <c r="E2551" s="218"/>
      <c r="F2551" s="218"/>
      <c r="G2551" s="218" t="s">
        <v>200</v>
      </c>
      <c r="H2551" s="223">
        <v>0.0</v>
      </c>
      <c r="J2551" s="223"/>
      <c r="K2551" s="317">
        <v>1899.0</v>
      </c>
    </row>
    <row r="2552">
      <c r="A2552" s="223"/>
      <c r="B2552" s="223" t="s">
        <v>200</v>
      </c>
      <c r="C2552" s="223"/>
      <c r="D2552" s="316"/>
      <c r="E2552" s="218"/>
      <c r="F2552" s="218"/>
      <c r="G2552" s="218" t="s">
        <v>200</v>
      </c>
      <c r="H2552" s="223">
        <v>0.0</v>
      </c>
      <c r="J2552" s="223"/>
      <c r="K2552" s="317">
        <v>1899.0</v>
      </c>
    </row>
    <row r="2553">
      <c r="A2553" s="223"/>
      <c r="B2553" s="223" t="s">
        <v>200</v>
      </c>
      <c r="C2553" s="223"/>
      <c r="D2553" s="316"/>
      <c r="E2553" s="218"/>
      <c r="F2553" s="218"/>
      <c r="G2553" s="218" t="s">
        <v>200</v>
      </c>
      <c r="H2553" s="223">
        <v>0.0</v>
      </c>
      <c r="J2553" s="223"/>
      <c r="K2553" s="317">
        <v>1899.0</v>
      </c>
    </row>
    <row r="2554">
      <c r="A2554" s="223"/>
      <c r="B2554" s="223" t="s">
        <v>200</v>
      </c>
      <c r="C2554" s="223"/>
      <c r="D2554" s="316"/>
      <c r="E2554" s="218"/>
      <c r="F2554" s="218"/>
      <c r="G2554" s="218" t="s">
        <v>200</v>
      </c>
      <c r="H2554" s="223">
        <v>0.0</v>
      </c>
      <c r="J2554" s="223"/>
      <c r="K2554" s="317">
        <v>1899.0</v>
      </c>
    </row>
    <row r="2555">
      <c r="A2555" s="223"/>
      <c r="B2555" s="223" t="s">
        <v>200</v>
      </c>
      <c r="C2555" s="223"/>
      <c r="D2555" s="316"/>
      <c r="E2555" s="218"/>
      <c r="F2555" s="218"/>
      <c r="G2555" s="218" t="s">
        <v>200</v>
      </c>
      <c r="H2555" s="223">
        <v>0.0</v>
      </c>
      <c r="J2555" s="223"/>
      <c r="K2555" s="317">
        <v>1899.0</v>
      </c>
    </row>
    <row r="2556">
      <c r="A2556" s="223"/>
      <c r="B2556" s="223" t="s">
        <v>200</v>
      </c>
      <c r="C2556" s="223"/>
      <c r="D2556" s="316"/>
      <c r="E2556" s="218"/>
      <c r="F2556" s="218"/>
      <c r="G2556" s="218" t="s">
        <v>200</v>
      </c>
      <c r="H2556" s="223">
        <v>0.0</v>
      </c>
      <c r="J2556" s="223"/>
      <c r="K2556" s="317">
        <v>1899.0</v>
      </c>
    </row>
    <row r="2557">
      <c r="A2557" s="223"/>
      <c r="B2557" s="223" t="s">
        <v>200</v>
      </c>
      <c r="C2557" s="223"/>
      <c r="D2557" s="316"/>
      <c r="E2557" s="218"/>
      <c r="F2557" s="218"/>
      <c r="G2557" s="218" t="s">
        <v>200</v>
      </c>
      <c r="H2557" s="223">
        <v>0.0</v>
      </c>
      <c r="J2557" s="223"/>
      <c r="K2557" s="317">
        <v>1899.0</v>
      </c>
    </row>
    <row r="2558">
      <c r="A2558" s="223"/>
      <c r="B2558" s="223" t="s">
        <v>200</v>
      </c>
      <c r="C2558" s="223"/>
      <c r="D2558" s="316"/>
      <c r="E2558" s="218"/>
      <c r="F2558" s="218"/>
      <c r="G2558" s="218" t="s">
        <v>200</v>
      </c>
      <c r="H2558" s="223">
        <v>0.0</v>
      </c>
      <c r="J2558" s="223"/>
      <c r="K2558" s="317">
        <v>1899.0</v>
      </c>
    </row>
    <row r="2559">
      <c r="A2559" s="223"/>
      <c r="B2559" s="223" t="s">
        <v>200</v>
      </c>
      <c r="C2559" s="223"/>
      <c r="D2559" s="316"/>
      <c r="E2559" s="218"/>
      <c r="F2559" s="218"/>
      <c r="G2559" s="218" t="s">
        <v>200</v>
      </c>
      <c r="H2559" s="223">
        <v>0.0</v>
      </c>
      <c r="J2559" s="223"/>
      <c r="K2559" s="317">
        <v>1899.0</v>
      </c>
    </row>
    <row r="2560">
      <c r="A2560" s="223"/>
      <c r="B2560" s="223" t="s">
        <v>200</v>
      </c>
      <c r="C2560" s="223"/>
      <c r="D2560" s="316"/>
      <c r="E2560" s="218"/>
      <c r="F2560" s="218"/>
      <c r="G2560" s="218" t="s">
        <v>200</v>
      </c>
      <c r="H2560" s="223">
        <v>0.0</v>
      </c>
      <c r="J2560" s="223"/>
      <c r="K2560" s="317">
        <v>1899.0</v>
      </c>
    </row>
    <row r="2561">
      <c r="A2561" s="223"/>
      <c r="B2561" s="223" t="s">
        <v>200</v>
      </c>
      <c r="C2561" s="223"/>
      <c r="D2561" s="316"/>
      <c r="E2561" s="218"/>
      <c r="F2561" s="218"/>
      <c r="G2561" s="218" t="s">
        <v>200</v>
      </c>
      <c r="H2561" s="223">
        <v>0.0</v>
      </c>
      <c r="J2561" s="223"/>
      <c r="K2561" s="317">
        <v>1899.0</v>
      </c>
    </row>
    <row r="2562">
      <c r="A2562" s="223"/>
      <c r="B2562" s="223" t="s">
        <v>200</v>
      </c>
      <c r="C2562" s="223"/>
      <c r="D2562" s="316"/>
      <c r="E2562" s="218"/>
      <c r="F2562" s="218"/>
      <c r="G2562" s="218" t="s">
        <v>200</v>
      </c>
      <c r="H2562" s="223">
        <v>0.0</v>
      </c>
      <c r="J2562" s="223"/>
      <c r="K2562" s="317">
        <v>1899.0</v>
      </c>
    </row>
    <row r="2563">
      <c r="A2563" s="223"/>
      <c r="B2563" s="223" t="s">
        <v>200</v>
      </c>
      <c r="C2563" s="223"/>
      <c r="D2563" s="316"/>
      <c r="E2563" s="218"/>
      <c r="F2563" s="218"/>
      <c r="G2563" s="218" t="s">
        <v>200</v>
      </c>
      <c r="H2563" s="223">
        <v>0.0</v>
      </c>
      <c r="J2563" s="223"/>
      <c r="K2563" s="317">
        <v>1899.0</v>
      </c>
    </row>
    <row r="2564">
      <c r="A2564" s="223"/>
      <c r="B2564" s="223" t="s">
        <v>200</v>
      </c>
      <c r="C2564" s="223"/>
      <c r="D2564" s="316"/>
      <c r="E2564" s="218"/>
      <c r="F2564" s="218"/>
      <c r="G2564" s="218" t="s">
        <v>200</v>
      </c>
      <c r="H2564" s="223">
        <v>0.0</v>
      </c>
      <c r="J2564" s="223"/>
      <c r="K2564" s="317">
        <v>1899.0</v>
      </c>
    </row>
    <row r="2565">
      <c r="A2565" s="223"/>
      <c r="B2565" s="223" t="s">
        <v>200</v>
      </c>
      <c r="C2565" s="223"/>
      <c r="D2565" s="316"/>
      <c r="E2565" s="218"/>
      <c r="F2565" s="218"/>
      <c r="G2565" s="218" t="s">
        <v>200</v>
      </c>
      <c r="H2565" s="223">
        <v>0.0</v>
      </c>
      <c r="J2565" s="223"/>
      <c r="K2565" s="317">
        <v>1899.0</v>
      </c>
    </row>
    <row r="2566">
      <c r="A2566" s="223"/>
      <c r="B2566" s="223" t="s">
        <v>200</v>
      </c>
      <c r="C2566" s="223"/>
      <c r="D2566" s="316"/>
      <c r="E2566" s="218"/>
      <c r="F2566" s="218"/>
      <c r="G2566" s="218" t="s">
        <v>200</v>
      </c>
      <c r="H2566" s="223">
        <v>0.0</v>
      </c>
      <c r="J2566" s="223"/>
      <c r="K2566" s="317">
        <v>1899.0</v>
      </c>
    </row>
    <row r="2567">
      <c r="A2567" s="223"/>
      <c r="B2567" s="223" t="s">
        <v>200</v>
      </c>
      <c r="C2567" s="223"/>
      <c r="D2567" s="316"/>
      <c r="E2567" s="218"/>
      <c r="F2567" s="218"/>
      <c r="G2567" s="218" t="s">
        <v>200</v>
      </c>
      <c r="H2567" s="223">
        <v>0.0</v>
      </c>
      <c r="J2567" s="223"/>
      <c r="K2567" s="317">
        <v>1899.0</v>
      </c>
    </row>
    <row r="2568">
      <c r="A2568" s="223"/>
      <c r="B2568" s="223" t="s">
        <v>200</v>
      </c>
      <c r="C2568" s="223"/>
      <c r="D2568" s="316"/>
      <c r="E2568" s="218"/>
      <c r="F2568" s="218"/>
      <c r="G2568" s="218" t="s">
        <v>200</v>
      </c>
      <c r="H2568" s="223">
        <v>0.0</v>
      </c>
      <c r="J2568" s="223"/>
      <c r="K2568" s="317">
        <v>1899.0</v>
      </c>
    </row>
    <row r="2569">
      <c r="A2569" s="223"/>
      <c r="B2569" s="223" t="s">
        <v>200</v>
      </c>
      <c r="C2569" s="223"/>
      <c r="D2569" s="316"/>
      <c r="E2569" s="218"/>
      <c r="F2569" s="218"/>
      <c r="G2569" s="218" t="s">
        <v>200</v>
      </c>
      <c r="H2569" s="223">
        <v>0.0</v>
      </c>
      <c r="J2569" s="223"/>
      <c r="K2569" s="317">
        <v>1899.0</v>
      </c>
    </row>
    <row r="2570">
      <c r="A2570" s="223"/>
      <c r="B2570" s="223" t="s">
        <v>200</v>
      </c>
      <c r="C2570" s="223"/>
      <c r="D2570" s="316"/>
      <c r="E2570" s="218"/>
      <c r="F2570" s="218"/>
      <c r="G2570" s="218" t="s">
        <v>200</v>
      </c>
      <c r="H2570" s="223">
        <v>0.0</v>
      </c>
      <c r="J2570" s="223"/>
      <c r="K2570" s="317">
        <v>1899.0</v>
      </c>
    </row>
    <row r="2571">
      <c r="A2571" s="223"/>
      <c r="B2571" s="223" t="s">
        <v>200</v>
      </c>
      <c r="C2571" s="223"/>
      <c r="D2571" s="316"/>
      <c r="E2571" s="218"/>
      <c r="F2571" s="218"/>
      <c r="G2571" s="218" t="s">
        <v>200</v>
      </c>
      <c r="H2571" s="223">
        <v>0.0</v>
      </c>
      <c r="J2571" s="223"/>
      <c r="K2571" s="317">
        <v>1899.0</v>
      </c>
    </row>
    <row r="2572">
      <c r="A2572" s="223"/>
      <c r="B2572" s="223" t="s">
        <v>200</v>
      </c>
      <c r="C2572" s="223"/>
      <c r="D2572" s="316"/>
      <c r="E2572" s="218"/>
      <c r="F2572" s="218"/>
      <c r="G2572" s="218" t="s">
        <v>200</v>
      </c>
      <c r="H2572" s="223">
        <v>0.0</v>
      </c>
      <c r="J2572" s="223"/>
      <c r="K2572" s="317">
        <v>1899.0</v>
      </c>
    </row>
    <row r="2573">
      <c r="A2573" s="223"/>
      <c r="B2573" s="223" t="s">
        <v>200</v>
      </c>
      <c r="C2573" s="223"/>
      <c r="D2573" s="316"/>
      <c r="E2573" s="218"/>
      <c r="F2573" s="218"/>
      <c r="G2573" s="218" t="s">
        <v>200</v>
      </c>
      <c r="H2573" s="223">
        <v>0.0</v>
      </c>
      <c r="J2573" s="223"/>
      <c r="K2573" s="317">
        <v>1899.0</v>
      </c>
    </row>
    <row r="2574">
      <c r="A2574" s="223"/>
      <c r="B2574" s="223" t="s">
        <v>200</v>
      </c>
      <c r="C2574" s="223"/>
      <c r="D2574" s="316"/>
      <c r="E2574" s="218"/>
      <c r="F2574" s="218"/>
      <c r="G2574" s="218" t="s">
        <v>200</v>
      </c>
      <c r="H2574" s="223">
        <v>0.0</v>
      </c>
      <c r="J2574" s="223"/>
      <c r="K2574" s="317">
        <v>1899.0</v>
      </c>
    </row>
    <row r="2575">
      <c r="A2575" s="223"/>
      <c r="B2575" s="223" t="s">
        <v>200</v>
      </c>
      <c r="C2575" s="223"/>
      <c r="D2575" s="316"/>
      <c r="E2575" s="218"/>
      <c r="F2575" s="218"/>
      <c r="G2575" s="218" t="s">
        <v>200</v>
      </c>
      <c r="H2575" s="223">
        <v>0.0</v>
      </c>
      <c r="J2575" s="223"/>
      <c r="K2575" s="317">
        <v>1899.0</v>
      </c>
    </row>
    <row r="2576">
      <c r="A2576" s="223"/>
      <c r="B2576" s="223" t="s">
        <v>200</v>
      </c>
      <c r="C2576" s="223"/>
      <c r="D2576" s="316"/>
      <c r="E2576" s="218"/>
      <c r="F2576" s="218"/>
      <c r="G2576" s="218" t="s">
        <v>200</v>
      </c>
      <c r="H2576" s="223">
        <v>0.0</v>
      </c>
      <c r="J2576" s="223"/>
      <c r="K2576" s="317">
        <v>1899.0</v>
      </c>
    </row>
    <row r="2577">
      <c r="A2577" s="223"/>
      <c r="B2577" s="223" t="s">
        <v>200</v>
      </c>
      <c r="C2577" s="223"/>
      <c r="D2577" s="316"/>
      <c r="E2577" s="218"/>
      <c r="F2577" s="218"/>
      <c r="G2577" s="218" t="s">
        <v>200</v>
      </c>
      <c r="H2577" s="223">
        <v>0.0</v>
      </c>
      <c r="J2577" s="223"/>
      <c r="K2577" s="317">
        <v>1899.0</v>
      </c>
    </row>
    <row r="2578">
      <c r="A2578" s="223"/>
      <c r="B2578" s="223" t="s">
        <v>200</v>
      </c>
      <c r="C2578" s="223"/>
      <c r="D2578" s="316"/>
      <c r="E2578" s="218"/>
      <c r="F2578" s="218"/>
      <c r="G2578" s="218" t="s">
        <v>200</v>
      </c>
      <c r="H2578" s="223">
        <v>0.0</v>
      </c>
      <c r="J2578" s="223"/>
      <c r="K2578" s="317">
        <v>1899.0</v>
      </c>
    </row>
    <row r="2579">
      <c r="A2579" s="223"/>
      <c r="B2579" s="223" t="s">
        <v>200</v>
      </c>
      <c r="C2579" s="223"/>
      <c r="D2579" s="316"/>
      <c r="E2579" s="218"/>
      <c r="F2579" s="218"/>
      <c r="G2579" s="218" t="s">
        <v>200</v>
      </c>
      <c r="H2579" s="223">
        <v>0.0</v>
      </c>
      <c r="J2579" s="223"/>
      <c r="K2579" s="317">
        <v>1899.0</v>
      </c>
    </row>
    <row r="2580">
      <c r="A2580" s="223"/>
      <c r="B2580" s="223" t="s">
        <v>200</v>
      </c>
      <c r="C2580" s="223"/>
      <c r="D2580" s="316"/>
      <c r="E2580" s="218"/>
      <c r="F2580" s="218"/>
      <c r="G2580" s="218" t="s">
        <v>200</v>
      </c>
      <c r="H2580" s="223">
        <v>0.0</v>
      </c>
      <c r="J2580" s="223"/>
      <c r="K2580" s="317">
        <v>1899.0</v>
      </c>
    </row>
    <row r="2581">
      <c r="A2581" s="223"/>
      <c r="B2581" s="223" t="s">
        <v>200</v>
      </c>
      <c r="C2581" s="223"/>
      <c r="D2581" s="316"/>
      <c r="E2581" s="218"/>
      <c r="F2581" s="218"/>
      <c r="G2581" s="218" t="s">
        <v>200</v>
      </c>
      <c r="H2581" s="223">
        <v>0.0</v>
      </c>
      <c r="J2581" s="223"/>
      <c r="K2581" s="317">
        <v>1899.0</v>
      </c>
    </row>
    <row r="2582">
      <c r="A2582" s="223"/>
      <c r="B2582" s="223" t="s">
        <v>200</v>
      </c>
      <c r="C2582" s="223"/>
      <c r="D2582" s="316"/>
      <c r="E2582" s="218"/>
      <c r="F2582" s="218"/>
      <c r="G2582" s="218" t="s">
        <v>200</v>
      </c>
      <c r="H2582" s="223">
        <v>0.0</v>
      </c>
      <c r="J2582" s="223"/>
      <c r="K2582" s="317">
        <v>1899.0</v>
      </c>
    </row>
    <row r="2583">
      <c r="A2583" s="223"/>
      <c r="B2583" s="223" t="s">
        <v>200</v>
      </c>
      <c r="C2583" s="223"/>
      <c r="D2583" s="316"/>
      <c r="E2583" s="218"/>
      <c r="F2583" s="218"/>
      <c r="G2583" s="218" t="s">
        <v>200</v>
      </c>
      <c r="H2583" s="223">
        <v>0.0</v>
      </c>
      <c r="J2583" s="223"/>
      <c r="K2583" s="317">
        <v>1899.0</v>
      </c>
    </row>
    <row r="2584">
      <c r="A2584" s="223"/>
      <c r="B2584" s="223" t="s">
        <v>200</v>
      </c>
      <c r="C2584" s="223"/>
      <c r="D2584" s="316"/>
      <c r="E2584" s="218"/>
      <c r="F2584" s="218"/>
      <c r="G2584" s="218" t="s">
        <v>200</v>
      </c>
      <c r="H2584" s="223">
        <v>0.0</v>
      </c>
      <c r="J2584" s="223"/>
      <c r="K2584" s="317">
        <v>1899.0</v>
      </c>
    </row>
    <row r="2585">
      <c r="A2585" s="223"/>
      <c r="B2585" s="223" t="s">
        <v>200</v>
      </c>
      <c r="C2585" s="223"/>
      <c r="D2585" s="316"/>
      <c r="E2585" s="218"/>
      <c r="F2585" s="218"/>
      <c r="G2585" s="218" t="s">
        <v>200</v>
      </c>
      <c r="H2585" s="223">
        <v>0.0</v>
      </c>
      <c r="J2585" s="223"/>
      <c r="K2585" s="317">
        <v>1899.0</v>
      </c>
    </row>
    <row r="2586">
      <c r="A2586" s="223"/>
      <c r="B2586" s="223" t="s">
        <v>200</v>
      </c>
      <c r="C2586" s="223"/>
      <c r="D2586" s="316"/>
      <c r="E2586" s="218"/>
      <c r="F2586" s="218"/>
      <c r="G2586" s="218" t="s">
        <v>200</v>
      </c>
      <c r="H2586" s="223">
        <v>0.0</v>
      </c>
      <c r="J2586" s="223"/>
      <c r="K2586" s="317">
        <v>1899.0</v>
      </c>
    </row>
    <row r="2587">
      <c r="A2587" s="223"/>
      <c r="B2587" s="223" t="s">
        <v>200</v>
      </c>
      <c r="C2587" s="223"/>
      <c r="D2587" s="316"/>
      <c r="E2587" s="218"/>
      <c r="F2587" s="218"/>
      <c r="G2587" s="218" t="s">
        <v>200</v>
      </c>
      <c r="H2587" s="223">
        <v>0.0</v>
      </c>
      <c r="J2587" s="223"/>
      <c r="K2587" s="317">
        <v>1899.0</v>
      </c>
    </row>
    <row r="2588">
      <c r="A2588" s="223"/>
      <c r="B2588" s="223" t="s">
        <v>200</v>
      </c>
      <c r="C2588" s="223"/>
      <c r="D2588" s="316"/>
      <c r="E2588" s="218"/>
      <c r="F2588" s="218"/>
      <c r="G2588" s="218" t="s">
        <v>200</v>
      </c>
      <c r="H2588" s="223">
        <v>0.0</v>
      </c>
      <c r="J2588" s="223"/>
      <c r="K2588" s="317">
        <v>1899.0</v>
      </c>
    </row>
    <row r="2589">
      <c r="A2589" s="223"/>
      <c r="B2589" s="223" t="s">
        <v>200</v>
      </c>
      <c r="C2589" s="223"/>
      <c r="D2589" s="316"/>
      <c r="E2589" s="218"/>
      <c r="F2589" s="218"/>
      <c r="G2589" s="218" t="s">
        <v>200</v>
      </c>
      <c r="H2589" s="223">
        <v>0.0</v>
      </c>
      <c r="J2589" s="223"/>
      <c r="K2589" s="317">
        <v>1899.0</v>
      </c>
    </row>
    <row r="2590">
      <c r="A2590" s="223"/>
      <c r="B2590" s="223" t="s">
        <v>200</v>
      </c>
      <c r="C2590" s="223"/>
      <c r="D2590" s="316"/>
      <c r="E2590" s="218"/>
      <c r="F2590" s="218"/>
      <c r="G2590" s="218" t="s">
        <v>200</v>
      </c>
      <c r="H2590" s="223">
        <v>0.0</v>
      </c>
      <c r="J2590" s="223"/>
      <c r="K2590" s="317">
        <v>1899.0</v>
      </c>
    </row>
    <row r="2591">
      <c r="A2591" s="223"/>
      <c r="B2591" s="223" t="s">
        <v>200</v>
      </c>
      <c r="C2591" s="223"/>
      <c r="D2591" s="316"/>
      <c r="E2591" s="218"/>
      <c r="F2591" s="218"/>
      <c r="G2591" s="218" t="s">
        <v>200</v>
      </c>
      <c r="H2591" s="223">
        <v>0.0</v>
      </c>
      <c r="J2591" s="223"/>
      <c r="K2591" s="317">
        <v>1899.0</v>
      </c>
    </row>
    <row r="2592">
      <c r="A2592" s="223"/>
      <c r="B2592" s="223" t="s">
        <v>200</v>
      </c>
      <c r="C2592" s="223"/>
      <c r="D2592" s="316"/>
      <c r="E2592" s="218"/>
      <c r="F2592" s="218"/>
      <c r="G2592" s="218" t="s">
        <v>200</v>
      </c>
      <c r="H2592" s="223">
        <v>0.0</v>
      </c>
      <c r="J2592" s="223"/>
      <c r="K2592" s="317">
        <v>1899.0</v>
      </c>
    </row>
    <row r="2593">
      <c r="A2593" s="223"/>
      <c r="B2593" s="223" t="s">
        <v>200</v>
      </c>
      <c r="C2593" s="223"/>
      <c r="D2593" s="316"/>
      <c r="E2593" s="218"/>
      <c r="F2593" s="218"/>
      <c r="G2593" s="218" t="s">
        <v>200</v>
      </c>
      <c r="H2593" s="223">
        <v>0.0</v>
      </c>
      <c r="J2593" s="223"/>
      <c r="K2593" s="317">
        <v>1899.0</v>
      </c>
    </row>
    <row r="2594">
      <c r="A2594" s="223"/>
      <c r="B2594" s="223" t="s">
        <v>200</v>
      </c>
      <c r="C2594" s="223"/>
      <c r="D2594" s="316"/>
      <c r="E2594" s="218"/>
      <c r="F2594" s="218"/>
      <c r="G2594" s="218" t="s">
        <v>200</v>
      </c>
      <c r="H2594" s="223">
        <v>0.0</v>
      </c>
      <c r="J2594" s="223"/>
      <c r="K2594" s="317">
        <v>1899.0</v>
      </c>
    </row>
    <row r="2595">
      <c r="A2595" s="223"/>
      <c r="B2595" s="223" t="s">
        <v>200</v>
      </c>
      <c r="C2595" s="223"/>
      <c r="D2595" s="316"/>
      <c r="E2595" s="218"/>
      <c r="F2595" s="218"/>
      <c r="G2595" s="218" t="s">
        <v>200</v>
      </c>
      <c r="H2595" s="223">
        <v>0.0</v>
      </c>
      <c r="J2595" s="223"/>
      <c r="K2595" s="317">
        <v>1899.0</v>
      </c>
    </row>
    <row r="2596">
      <c r="A2596" s="223"/>
      <c r="B2596" s="223" t="s">
        <v>200</v>
      </c>
      <c r="C2596" s="223"/>
      <c r="D2596" s="316"/>
      <c r="E2596" s="218"/>
      <c r="F2596" s="218"/>
      <c r="G2596" s="218" t="s">
        <v>200</v>
      </c>
      <c r="H2596" s="223">
        <v>0.0</v>
      </c>
      <c r="J2596" s="223"/>
      <c r="K2596" s="317">
        <v>1899.0</v>
      </c>
    </row>
    <row r="2597">
      <c r="A2597" s="223"/>
      <c r="B2597" s="223" t="s">
        <v>200</v>
      </c>
      <c r="C2597" s="223"/>
      <c r="D2597" s="316"/>
      <c r="E2597" s="218"/>
      <c r="F2597" s="218"/>
      <c r="G2597" s="218" t="s">
        <v>200</v>
      </c>
      <c r="H2597" s="223">
        <v>0.0</v>
      </c>
      <c r="J2597" s="223"/>
      <c r="K2597" s="317">
        <v>1899.0</v>
      </c>
    </row>
    <row r="2598">
      <c r="A2598" s="223"/>
      <c r="B2598" s="223" t="s">
        <v>200</v>
      </c>
      <c r="C2598" s="223"/>
      <c r="D2598" s="316"/>
      <c r="E2598" s="218"/>
      <c r="F2598" s="218"/>
      <c r="G2598" s="218" t="s">
        <v>200</v>
      </c>
      <c r="H2598" s="223">
        <v>0.0</v>
      </c>
      <c r="J2598" s="223"/>
      <c r="K2598" s="317">
        <v>1899.0</v>
      </c>
    </row>
    <row r="2599">
      <c r="A2599" s="223"/>
      <c r="B2599" s="223" t="s">
        <v>200</v>
      </c>
      <c r="C2599" s="223"/>
      <c r="D2599" s="316"/>
      <c r="E2599" s="218"/>
      <c r="F2599" s="218"/>
      <c r="G2599" s="218" t="s">
        <v>200</v>
      </c>
      <c r="H2599" s="223">
        <v>0.0</v>
      </c>
      <c r="J2599" s="223"/>
      <c r="K2599" s="317">
        <v>1899.0</v>
      </c>
    </row>
    <row r="2600">
      <c r="A2600" s="223"/>
      <c r="B2600" s="223" t="s">
        <v>200</v>
      </c>
      <c r="C2600" s="223"/>
      <c r="D2600" s="316"/>
      <c r="E2600" s="218"/>
      <c r="F2600" s="218"/>
      <c r="G2600" s="218" t="s">
        <v>200</v>
      </c>
      <c r="H2600" s="223">
        <v>0.0</v>
      </c>
      <c r="J2600" s="223"/>
      <c r="K2600" s="317">
        <v>1899.0</v>
      </c>
    </row>
    <row r="2601">
      <c r="A2601" s="223"/>
      <c r="B2601" s="223" t="s">
        <v>200</v>
      </c>
      <c r="C2601" s="223"/>
      <c r="D2601" s="316"/>
      <c r="E2601" s="218"/>
      <c r="F2601" s="218"/>
      <c r="G2601" s="218" t="s">
        <v>200</v>
      </c>
      <c r="H2601" s="223">
        <v>0.0</v>
      </c>
      <c r="J2601" s="223"/>
      <c r="K2601" s="317">
        <v>1899.0</v>
      </c>
    </row>
    <row r="2602">
      <c r="A2602" s="223"/>
      <c r="B2602" s="223" t="s">
        <v>200</v>
      </c>
      <c r="C2602" s="223"/>
      <c r="D2602" s="316"/>
      <c r="E2602" s="218"/>
      <c r="F2602" s="218"/>
      <c r="G2602" s="218" t="s">
        <v>200</v>
      </c>
      <c r="H2602" s="223">
        <v>0.0</v>
      </c>
      <c r="J2602" s="223"/>
      <c r="K2602" s="317">
        <v>1899.0</v>
      </c>
    </row>
    <row r="2603">
      <c r="A2603" s="223"/>
      <c r="B2603" s="223" t="s">
        <v>200</v>
      </c>
      <c r="C2603" s="223"/>
      <c r="D2603" s="316"/>
      <c r="E2603" s="218"/>
      <c r="F2603" s="218"/>
      <c r="G2603" s="218" t="s">
        <v>200</v>
      </c>
      <c r="H2603" s="223">
        <v>0.0</v>
      </c>
      <c r="J2603" s="223"/>
      <c r="K2603" s="317">
        <v>1899.0</v>
      </c>
    </row>
    <row r="2604">
      <c r="A2604" s="223"/>
      <c r="B2604" s="223" t="s">
        <v>200</v>
      </c>
      <c r="C2604" s="223"/>
      <c r="D2604" s="316"/>
      <c r="E2604" s="218"/>
      <c r="F2604" s="218"/>
      <c r="G2604" s="218" t="s">
        <v>200</v>
      </c>
      <c r="H2604" s="223">
        <v>0.0</v>
      </c>
      <c r="J2604" s="223"/>
      <c r="K2604" s="317">
        <v>1899.0</v>
      </c>
    </row>
    <row r="2605">
      <c r="A2605" s="223"/>
      <c r="B2605" s="223" t="s">
        <v>200</v>
      </c>
      <c r="C2605" s="223"/>
      <c r="D2605" s="316"/>
      <c r="E2605" s="218"/>
      <c r="F2605" s="218"/>
      <c r="G2605" s="218" t="s">
        <v>200</v>
      </c>
      <c r="H2605" s="223">
        <v>0.0</v>
      </c>
      <c r="J2605" s="223"/>
      <c r="K2605" s="317">
        <v>1899.0</v>
      </c>
    </row>
    <row r="2606">
      <c r="A2606" s="223"/>
      <c r="B2606" s="223" t="s">
        <v>200</v>
      </c>
      <c r="C2606" s="223"/>
      <c r="D2606" s="316"/>
      <c r="E2606" s="218"/>
      <c r="F2606" s="218"/>
      <c r="G2606" s="218" t="s">
        <v>200</v>
      </c>
      <c r="H2606" s="223">
        <v>0.0</v>
      </c>
      <c r="J2606" s="223"/>
      <c r="K2606" s="317">
        <v>1899.0</v>
      </c>
    </row>
    <row r="2607">
      <c r="A2607" s="223"/>
      <c r="B2607" s="223" t="s">
        <v>200</v>
      </c>
      <c r="C2607" s="223"/>
      <c r="D2607" s="316"/>
      <c r="E2607" s="218"/>
      <c r="F2607" s="218"/>
      <c r="G2607" s="218" t="s">
        <v>200</v>
      </c>
      <c r="H2607" s="223">
        <v>0.0</v>
      </c>
      <c r="J2607" s="223"/>
      <c r="K2607" s="317">
        <v>1899.0</v>
      </c>
    </row>
    <row r="2608">
      <c r="A2608" s="223"/>
      <c r="B2608" s="223" t="s">
        <v>200</v>
      </c>
      <c r="C2608" s="223"/>
      <c r="D2608" s="316"/>
      <c r="E2608" s="218"/>
      <c r="F2608" s="218"/>
      <c r="G2608" s="218" t="s">
        <v>200</v>
      </c>
      <c r="H2608" s="223">
        <v>0.0</v>
      </c>
      <c r="J2608" s="223"/>
      <c r="K2608" s="317">
        <v>1899.0</v>
      </c>
    </row>
    <row r="2609">
      <c r="A2609" s="223"/>
      <c r="B2609" s="223" t="s">
        <v>200</v>
      </c>
      <c r="C2609" s="223"/>
      <c r="D2609" s="316"/>
      <c r="E2609" s="218"/>
      <c r="F2609" s="218"/>
      <c r="G2609" s="218" t="s">
        <v>200</v>
      </c>
      <c r="H2609" s="223">
        <v>0.0</v>
      </c>
      <c r="J2609" s="223"/>
      <c r="K2609" s="317">
        <v>1899.0</v>
      </c>
    </row>
    <row r="2610">
      <c r="A2610" s="223"/>
      <c r="B2610" s="223" t="s">
        <v>200</v>
      </c>
      <c r="C2610" s="223"/>
      <c r="D2610" s="316"/>
      <c r="E2610" s="218"/>
      <c r="F2610" s="218"/>
      <c r="G2610" s="218" t="s">
        <v>200</v>
      </c>
      <c r="H2610" s="223">
        <v>0.0</v>
      </c>
      <c r="J2610" s="223"/>
      <c r="K2610" s="317">
        <v>1899.0</v>
      </c>
    </row>
    <row r="2611">
      <c r="A2611" s="223"/>
      <c r="B2611" s="223" t="s">
        <v>200</v>
      </c>
      <c r="C2611" s="223"/>
      <c r="D2611" s="316"/>
      <c r="E2611" s="218"/>
      <c r="F2611" s="218"/>
      <c r="G2611" s="218" t="s">
        <v>200</v>
      </c>
      <c r="H2611" s="223">
        <v>0.0</v>
      </c>
      <c r="J2611" s="223"/>
      <c r="K2611" s="317">
        <v>1899.0</v>
      </c>
    </row>
    <row r="2612">
      <c r="A2612" s="223"/>
      <c r="B2612" s="223" t="s">
        <v>200</v>
      </c>
      <c r="C2612" s="223"/>
      <c r="D2612" s="316"/>
      <c r="E2612" s="218"/>
      <c r="F2612" s="218"/>
      <c r="G2612" s="218" t="s">
        <v>200</v>
      </c>
      <c r="H2612" s="223">
        <v>0.0</v>
      </c>
      <c r="J2612" s="223"/>
      <c r="K2612" s="317">
        <v>1899.0</v>
      </c>
    </row>
    <row r="2613">
      <c r="A2613" s="223"/>
      <c r="B2613" s="223" t="s">
        <v>200</v>
      </c>
      <c r="C2613" s="223"/>
      <c r="D2613" s="316"/>
      <c r="E2613" s="218"/>
      <c r="F2613" s="218"/>
      <c r="G2613" s="218" t="s">
        <v>200</v>
      </c>
      <c r="H2613" s="223">
        <v>0.0</v>
      </c>
      <c r="J2613" s="223"/>
      <c r="K2613" s="317">
        <v>1899.0</v>
      </c>
    </row>
    <row r="2614">
      <c r="A2614" s="223"/>
      <c r="B2614" s="223" t="s">
        <v>200</v>
      </c>
      <c r="C2614" s="223"/>
      <c r="D2614" s="316"/>
      <c r="E2614" s="218"/>
      <c r="F2614" s="218"/>
      <c r="G2614" s="218" t="s">
        <v>200</v>
      </c>
      <c r="H2614" s="223">
        <v>0.0</v>
      </c>
      <c r="J2614" s="223"/>
      <c r="K2614" s="317">
        <v>1899.0</v>
      </c>
    </row>
    <row r="2615">
      <c r="A2615" s="223"/>
      <c r="B2615" s="223" t="s">
        <v>200</v>
      </c>
      <c r="C2615" s="223"/>
      <c r="D2615" s="316"/>
      <c r="E2615" s="218"/>
      <c r="F2615" s="218"/>
      <c r="G2615" s="218" t="s">
        <v>200</v>
      </c>
      <c r="H2615" s="223">
        <v>0.0</v>
      </c>
      <c r="J2615" s="223"/>
      <c r="K2615" s="317">
        <v>1899.0</v>
      </c>
    </row>
    <row r="2616">
      <c r="A2616" s="223"/>
      <c r="B2616" s="223" t="s">
        <v>200</v>
      </c>
      <c r="C2616" s="223"/>
      <c r="D2616" s="316"/>
      <c r="E2616" s="218"/>
      <c r="F2616" s="218"/>
      <c r="G2616" s="218" t="s">
        <v>200</v>
      </c>
      <c r="H2616" s="223">
        <v>0.0</v>
      </c>
      <c r="J2616" s="223"/>
      <c r="K2616" s="317">
        <v>1899.0</v>
      </c>
    </row>
    <row r="2617">
      <c r="A2617" s="223"/>
      <c r="B2617" s="223" t="s">
        <v>200</v>
      </c>
      <c r="C2617" s="223"/>
      <c r="D2617" s="316"/>
      <c r="E2617" s="218"/>
      <c r="F2617" s="218"/>
      <c r="G2617" s="218" t="s">
        <v>200</v>
      </c>
      <c r="H2617" s="223">
        <v>0.0</v>
      </c>
      <c r="J2617" s="223"/>
      <c r="K2617" s="317">
        <v>1899.0</v>
      </c>
    </row>
    <row r="2618">
      <c r="A2618" s="223"/>
      <c r="B2618" s="223" t="s">
        <v>200</v>
      </c>
      <c r="C2618" s="223"/>
      <c r="D2618" s="316"/>
      <c r="E2618" s="218"/>
      <c r="F2618" s="218"/>
      <c r="G2618" s="218" t="s">
        <v>200</v>
      </c>
      <c r="H2618" s="223">
        <v>0.0</v>
      </c>
      <c r="J2618" s="223"/>
      <c r="K2618" s="317">
        <v>1899.0</v>
      </c>
    </row>
    <row r="2619">
      <c r="A2619" s="223"/>
      <c r="B2619" s="223" t="s">
        <v>200</v>
      </c>
      <c r="C2619" s="223"/>
      <c r="D2619" s="316"/>
      <c r="E2619" s="218"/>
      <c r="F2619" s="218"/>
      <c r="G2619" s="218" t="s">
        <v>200</v>
      </c>
      <c r="H2619" s="223">
        <v>0.0</v>
      </c>
      <c r="J2619" s="223"/>
      <c r="K2619" s="317">
        <v>1899.0</v>
      </c>
    </row>
    <row r="2620">
      <c r="A2620" s="223"/>
      <c r="B2620" s="223" t="s">
        <v>200</v>
      </c>
      <c r="C2620" s="223"/>
      <c r="D2620" s="316"/>
      <c r="E2620" s="218"/>
      <c r="F2620" s="218"/>
      <c r="G2620" s="218" t="s">
        <v>200</v>
      </c>
      <c r="H2620" s="223">
        <v>0.0</v>
      </c>
      <c r="J2620" s="223"/>
      <c r="K2620" s="317">
        <v>1899.0</v>
      </c>
    </row>
    <row r="2621">
      <c r="A2621" s="223"/>
      <c r="B2621" s="223" t="s">
        <v>200</v>
      </c>
      <c r="C2621" s="223"/>
      <c r="D2621" s="316"/>
      <c r="E2621" s="218"/>
      <c r="F2621" s="218"/>
      <c r="G2621" s="218" t="s">
        <v>200</v>
      </c>
      <c r="H2621" s="223">
        <v>0.0</v>
      </c>
      <c r="J2621" s="223"/>
      <c r="K2621" s="317">
        <v>1899.0</v>
      </c>
    </row>
    <row r="2622">
      <c r="A2622" s="223"/>
      <c r="B2622" s="223" t="s">
        <v>200</v>
      </c>
      <c r="C2622" s="223"/>
      <c r="D2622" s="316"/>
      <c r="E2622" s="218"/>
      <c r="F2622" s="218"/>
      <c r="G2622" s="218" t="s">
        <v>200</v>
      </c>
      <c r="H2622" s="223">
        <v>0.0</v>
      </c>
      <c r="J2622" s="223"/>
      <c r="K2622" s="317">
        <v>1899.0</v>
      </c>
    </row>
    <row r="2623">
      <c r="A2623" s="223"/>
      <c r="B2623" s="223" t="s">
        <v>200</v>
      </c>
      <c r="C2623" s="223"/>
      <c r="D2623" s="316"/>
      <c r="E2623" s="218"/>
      <c r="F2623" s="218"/>
      <c r="G2623" s="218" t="s">
        <v>200</v>
      </c>
      <c r="H2623" s="223">
        <v>0.0</v>
      </c>
      <c r="J2623" s="223"/>
      <c r="K2623" s="317">
        <v>1899.0</v>
      </c>
    </row>
    <row r="2624">
      <c r="A2624" s="223"/>
      <c r="B2624" s="223" t="s">
        <v>200</v>
      </c>
      <c r="C2624" s="223"/>
      <c r="D2624" s="316"/>
      <c r="E2624" s="218"/>
      <c r="F2624" s="218"/>
      <c r="G2624" s="218" t="s">
        <v>200</v>
      </c>
      <c r="H2624" s="223">
        <v>0.0</v>
      </c>
      <c r="J2624" s="223"/>
      <c r="K2624" s="317">
        <v>1899.0</v>
      </c>
    </row>
    <row r="2625">
      <c r="A2625" s="223"/>
      <c r="B2625" s="223" t="s">
        <v>200</v>
      </c>
      <c r="C2625" s="223"/>
      <c r="D2625" s="316"/>
      <c r="E2625" s="218"/>
      <c r="F2625" s="218"/>
      <c r="G2625" s="218" t="s">
        <v>200</v>
      </c>
      <c r="H2625" s="223">
        <v>0.0</v>
      </c>
      <c r="J2625" s="223"/>
      <c r="K2625" s="317">
        <v>1899.0</v>
      </c>
    </row>
    <row r="2626">
      <c r="A2626" s="223"/>
      <c r="B2626" s="223" t="s">
        <v>200</v>
      </c>
      <c r="C2626" s="223"/>
      <c r="D2626" s="316"/>
      <c r="E2626" s="218"/>
      <c r="F2626" s="218"/>
      <c r="G2626" s="218" t="s">
        <v>200</v>
      </c>
      <c r="H2626" s="223">
        <v>0.0</v>
      </c>
      <c r="J2626" s="223"/>
      <c r="K2626" s="317">
        <v>1899.0</v>
      </c>
    </row>
    <row r="2627">
      <c r="A2627" s="223"/>
      <c r="B2627" s="223" t="s">
        <v>200</v>
      </c>
      <c r="C2627" s="223"/>
      <c r="D2627" s="316"/>
      <c r="E2627" s="218"/>
      <c r="F2627" s="218"/>
      <c r="G2627" s="218" t="s">
        <v>200</v>
      </c>
      <c r="H2627" s="223">
        <v>0.0</v>
      </c>
      <c r="J2627" s="223"/>
      <c r="K2627" s="317">
        <v>1899.0</v>
      </c>
    </row>
    <row r="2628">
      <c r="A2628" s="223"/>
      <c r="B2628" s="223" t="s">
        <v>200</v>
      </c>
      <c r="C2628" s="223"/>
      <c r="D2628" s="316"/>
      <c r="E2628" s="218"/>
      <c r="F2628" s="218"/>
      <c r="G2628" s="218" t="s">
        <v>200</v>
      </c>
      <c r="H2628" s="223">
        <v>0.0</v>
      </c>
      <c r="J2628" s="223"/>
      <c r="K2628" s="317">
        <v>1899.0</v>
      </c>
    </row>
    <row r="2629">
      <c r="A2629" s="223"/>
      <c r="B2629" s="223" t="s">
        <v>200</v>
      </c>
      <c r="C2629" s="223"/>
      <c r="D2629" s="316"/>
      <c r="E2629" s="218"/>
      <c r="F2629" s="218"/>
      <c r="G2629" s="218" t="s">
        <v>200</v>
      </c>
      <c r="H2629" s="223">
        <v>0.0</v>
      </c>
      <c r="J2629" s="223"/>
      <c r="K2629" s="317">
        <v>1899.0</v>
      </c>
    </row>
    <row r="2630">
      <c r="A2630" s="223"/>
      <c r="B2630" s="223" t="s">
        <v>200</v>
      </c>
      <c r="C2630" s="223"/>
      <c r="D2630" s="316"/>
      <c r="E2630" s="218"/>
      <c r="F2630" s="218"/>
      <c r="G2630" s="218" t="s">
        <v>200</v>
      </c>
      <c r="H2630" s="223">
        <v>0.0</v>
      </c>
      <c r="J2630" s="223"/>
      <c r="K2630" s="317">
        <v>1899.0</v>
      </c>
    </row>
    <row r="2631">
      <c r="A2631" s="223"/>
      <c r="B2631" s="223" t="s">
        <v>200</v>
      </c>
      <c r="C2631" s="223"/>
      <c r="D2631" s="316"/>
      <c r="E2631" s="218"/>
      <c r="F2631" s="218"/>
      <c r="G2631" s="218" t="s">
        <v>200</v>
      </c>
      <c r="H2631" s="223">
        <v>0.0</v>
      </c>
      <c r="J2631" s="223"/>
      <c r="K2631" s="317">
        <v>1899.0</v>
      </c>
    </row>
    <row r="2632">
      <c r="A2632" s="223"/>
      <c r="B2632" s="223" t="s">
        <v>200</v>
      </c>
      <c r="C2632" s="223"/>
      <c r="D2632" s="316"/>
      <c r="E2632" s="218"/>
      <c r="F2632" s="218"/>
      <c r="G2632" s="218" t="s">
        <v>200</v>
      </c>
      <c r="H2632" s="223">
        <v>0.0</v>
      </c>
      <c r="J2632" s="223"/>
      <c r="K2632" s="317">
        <v>1899.0</v>
      </c>
    </row>
    <row r="2633">
      <c r="A2633" s="223"/>
      <c r="B2633" s="223" t="s">
        <v>200</v>
      </c>
      <c r="C2633" s="223"/>
      <c r="D2633" s="316"/>
      <c r="E2633" s="218"/>
      <c r="F2633" s="218"/>
      <c r="G2633" s="218" t="s">
        <v>200</v>
      </c>
      <c r="H2633" s="223">
        <v>0.0</v>
      </c>
      <c r="J2633" s="223"/>
      <c r="K2633" s="317">
        <v>1899.0</v>
      </c>
    </row>
    <row r="2634">
      <c r="A2634" s="223"/>
      <c r="B2634" s="223" t="s">
        <v>200</v>
      </c>
      <c r="C2634" s="223"/>
      <c r="D2634" s="316"/>
      <c r="E2634" s="218"/>
      <c r="F2634" s="218"/>
      <c r="G2634" s="218" t="s">
        <v>200</v>
      </c>
      <c r="H2634" s="223">
        <v>0.0</v>
      </c>
      <c r="J2634" s="223"/>
      <c r="K2634" s="317">
        <v>1899.0</v>
      </c>
    </row>
    <row r="2635">
      <c r="A2635" s="223"/>
      <c r="B2635" s="223" t="s">
        <v>200</v>
      </c>
      <c r="C2635" s="223"/>
      <c r="D2635" s="316"/>
      <c r="E2635" s="218"/>
      <c r="F2635" s="218"/>
      <c r="G2635" s="218" t="s">
        <v>200</v>
      </c>
      <c r="H2635" s="223">
        <v>0.0</v>
      </c>
      <c r="J2635" s="223"/>
      <c r="K2635" s="317">
        <v>1899.0</v>
      </c>
    </row>
    <row r="2636">
      <c r="A2636" s="223"/>
      <c r="B2636" s="223" t="s">
        <v>200</v>
      </c>
      <c r="C2636" s="223"/>
      <c r="D2636" s="316"/>
      <c r="E2636" s="218"/>
      <c r="F2636" s="218"/>
      <c r="G2636" s="218" t="s">
        <v>200</v>
      </c>
      <c r="H2636" s="223">
        <v>0.0</v>
      </c>
      <c r="J2636" s="223"/>
      <c r="K2636" s="317">
        <v>1899.0</v>
      </c>
    </row>
    <row r="2637">
      <c r="A2637" s="223"/>
      <c r="B2637" s="223" t="s">
        <v>200</v>
      </c>
      <c r="C2637" s="223"/>
      <c r="D2637" s="316"/>
      <c r="E2637" s="218"/>
      <c r="F2637" s="218"/>
      <c r="G2637" s="218" t="s">
        <v>200</v>
      </c>
      <c r="H2637" s="223">
        <v>0.0</v>
      </c>
      <c r="J2637" s="223"/>
      <c r="K2637" s="317">
        <v>1899.0</v>
      </c>
    </row>
    <row r="2638">
      <c r="A2638" s="223"/>
      <c r="B2638" s="223" t="s">
        <v>200</v>
      </c>
      <c r="C2638" s="223"/>
      <c r="D2638" s="316"/>
      <c r="E2638" s="218"/>
      <c r="F2638" s="218"/>
      <c r="G2638" s="218" t="s">
        <v>200</v>
      </c>
      <c r="H2638" s="223">
        <v>0.0</v>
      </c>
      <c r="J2638" s="223"/>
      <c r="K2638" s="317">
        <v>1899.0</v>
      </c>
    </row>
    <row r="2639">
      <c r="A2639" s="223"/>
      <c r="B2639" s="223" t="s">
        <v>200</v>
      </c>
      <c r="C2639" s="223"/>
      <c r="D2639" s="316"/>
      <c r="E2639" s="218"/>
      <c r="F2639" s="218"/>
      <c r="G2639" s="218" t="s">
        <v>200</v>
      </c>
      <c r="H2639" s="223">
        <v>0.0</v>
      </c>
      <c r="J2639" s="223"/>
      <c r="K2639" s="317">
        <v>1899.0</v>
      </c>
    </row>
    <row r="2640">
      <c r="A2640" s="223"/>
      <c r="B2640" s="223" t="s">
        <v>200</v>
      </c>
      <c r="C2640" s="223"/>
      <c r="D2640" s="316"/>
      <c r="E2640" s="218"/>
      <c r="F2640" s="218"/>
      <c r="G2640" s="218" t="s">
        <v>200</v>
      </c>
      <c r="H2640" s="223">
        <v>0.0</v>
      </c>
      <c r="J2640" s="223"/>
      <c r="K2640" s="317">
        <v>1899.0</v>
      </c>
    </row>
    <row r="2641">
      <c r="A2641" s="223"/>
      <c r="B2641" s="223" t="s">
        <v>200</v>
      </c>
      <c r="C2641" s="223"/>
      <c r="D2641" s="316"/>
      <c r="E2641" s="218"/>
      <c r="F2641" s="218"/>
      <c r="G2641" s="218" t="s">
        <v>200</v>
      </c>
      <c r="H2641" s="223">
        <v>0.0</v>
      </c>
      <c r="J2641" s="223"/>
      <c r="K2641" s="317">
        <v>1899.0</v>
      </c>
    </row>
    <row r="2642">
      <c r="A2642" s="223"/>
      <c r="B2642" s="223" t="s">
        <v>200</v>
      </c>
      <c r="C2642" s="223"/>
      <c r="D2642" s="316"/>
      <c r="E2642" s="218"/>
      <c r="F2642" s="218"/>
      <c r="G2642" s="218" t="s">
        <v>200</v>
      </c>
      <c r="H2642" s="223">
        <v>0.0</v>
      </c>
      <c r="J2642" s="223"/>
      <c r="K2642" s="317">
        <v>1899.0</v>
      </c>
    </row>
    <row r="2643">
      <c r="A2643" s="223"/>
      <c r="B2643" s="223" t="s">
        <v>200</v>
      </c>
      <c r="C2643" s="223"/>
      <c r="D2643" s="316"/>
      <c r="E2643" s="218"/>
      <c r="F2643" s="218"/>
      <c r="G2643" s="218" t="s">
        <v>200</v>
      </c>
      <c r="H2643" s="223">
        <v>0.0</v>
      </c>
      <c r="J2643" s="223"/>
      <c r="K2643" s="317">
        <v>1899.0</v>
      </c>
    </row>
    <row r="2644">
      <c r="A2644" s="223"/>
      <c r="B2644" s="223" t="s">
        <v>200</v>
      </c>
      <c r="C2644" s="223"/>
      <c r="D2644" s="316"/>
      <c r="E2644" s="218"/>
      <c r="F2644" s="218"/>
      <c r="G2644" s="218" t="s">
        <v>200</v>
      </c>
      <c r="H2644" s="223">
        <v>0.0</v>
      </c>
      <c r="J2644" s="223"/>
      <c r="K2644" s="317">
        <v>1899.0</v>
      </c>
    </row>
    <row r="2645">
      <c r="A2645" s="223"/>
      <c r="B2645" s="223" t="s">
        <v>200</v>
      </c>
      <c r="C2645" s="223"/>
      <c r="D2645" s="316"/>
      <c r="E2645" s="218"/>
      <c r="F2645" s="218"/>
      <c r="G2645" s="218" t="s">
        <v>200</v>
      </c>
      <c r="H2645" s="223">
        <v>0.0</v>
      </c>
      <c r="J2645" s="223"/>
      <c r="K2645" s="317">
        <v>1899.0</v>
      </c>
    </row>
    <row r="2646">
      <c r="A2646" s="223"/>
      <c r="B2646" s="223" t="s">
        <v>200</v>
      </c>
      <c r="C2646" s="223"/>
      <c r="D2646" s="316"/>
      <c r="E2646" s="218"/>
      <c r="F2646" s="218"/>
      <c r="G2646" s="218" t="s">
        <v>200</v>
      </c>
      <c r="H2646" s="223">
        <v>0.0</v>
      </c>
      <c r="J2646" s="223"/>
      <c r="K2646" s="317">
        <v>1899.0</v>
      </c>
    </row>
    <row r="2647">
      <c r="A2647" s="223"/>
      <c r="B2647" s="223" t="s">
        <v>200</v>
      </c>
      <c r="C2647" s="223"/>
      <c r="D2647" s="316"/>
      <c r="E2647" s="218"/>
      <c r="F2647" s="218"/>
      <c r="G2647" s="218" t="s">
        <v>200</v>
      </c>
      <c r="H2647" s="223">
        <v>0.0</v>
      </c>
      <c r="J2647" s="223"/>
      <c r="K2647" s="317">
        <v>1899.0</v>
      </c>
    </row>
    <row r="2648">
      <c r="A2648" s="223"/>
      <c r="B2648" s="223" t="s">
        <v>200</v>
      </c>
      <c r="C2648" s="223"/>
      <c r="D2648" s="316"/>
      <c r="E2648" s="218"/>
      <c r="F2648" s="218"/>
      <c r="G2648" s="218" t="s">
        <v>200</v>
      </c>
      <c r="H2648" s="223">
        <v>0.0</v>
      </c>
      <c r="J2648" s="223"/>
      <c r="K2648" s="317">
        <v>1899.0</v>
      </c>
    </row>
    <row r="2649">
      <c r="A2649" s="223"/>
      <c r="B2649" s="223" t="s">
        <v>200</v>
      </c>
      <c r="C2649" s="223"/>
      <c r="D2649" s="316"/>
      <c r="E2649" s="218"/>
      <c r="F2649" s="218"/>
      <c r="G2649" s="218" t="s">
        <v>200</v>
      </c>
      <c r="H2649" s="223">
        <v>0.0</v>
      </c>
      <c r="J2649" s="223"/>
      <c r="K2649" s="317">
        <v>1899.0</v>
      </c>
    </row>
    <row r="2650">
      <c r="A2650" s="223"/>
      <c r="B2650" s="223" t="s">
        <v>200</v>
      </c>
      <c r="C2650" s="223"/>
      <c r="D2650" s="316"/>
      <c r="E2650" s="218"/>
      <c r="F2650" s="218"/>
      <c r="G2650" s="218" t="s">
        <v>200</v>
      </c>
      <c r="H2650" s="223">
        <v>0.0</v>
      </c>
      <c r="J2650" s="223"/>
      <c r="K2650" s="317">
        <v>1899.0</v>
      </c>
    </row>
    <row r="2651">
      <c r="A2651" s="223"/>
      <c r="B2651" s="223" t="s">
        <v>200</v>
      </c>
      <c r="C2651" s="223"/>
      <c r="D2651" s="316"/>
      <c r="E2651" s="218"/>
      <c r="F2651" s="218"/>
      <c r="G2651" s="218" t="s">
        <v>200</v>
      </c>
      <c r="H2651" s="223">
        <v>0.0</v>
      </c>
      <c r="J2651" s="223"/>
      <c r="K2651" s="317">
        <v>1899.0</v>
      </c>
    </row>
    <row r="2652">
      <c r="A2652" s="223"/>
      <c r="B2652" s="223" t="s">
        <v>200</v>
      </c>
      <c r="C2652" s="223"/>
      <c r="D2652" s="316"/>
      <c r="E2652" s="218"/>
      <c r="F2652" s="218"/>
      <c r="G2652" s="218" t="s">
        <v>200</v>
      </c>
      <c r="H2652" s="223">
        <v>0.0</v>
      </c>
      <c r="J2652" s="223"/>
      <c r="K2652" s="317">
        <v>1899.0</v>
      </c>
    </row>
    <row r="2653">
      <c r="A2653" s="223"/>
      <c r="B2653" s="223" t="s">
        <v>200</v>
      </c>
      <c r="C2653" s="223"/>
      <c r="D2653" s="316"/>
      <c r="E2653" s="218"/>
      <c r="F2653" s="218"/>
      <c r="G2653" s="218" t="s">
        <v>200</v>
      </c>
      <c r="H2653" s="223">
        <v>0.0</v>
      </c>
      <c r="J2653" s="223"/>
      <c r="K2653" s="317">
        <v>1899.0</v>
      </c>
    </row>
    <row r="2654">
      <c r="A2654" s="223"/>
      <c r="B2654" s="223" t="s">
        <v>200</v>
      </c>
      <c r="C2654" s="223"/>
      <c r="D2654" s="316"/>
      <c r="E2654" s="218"/>
      <c r="F2654" s="218"/>
      <c r="G2654" s="218" t="s">
        <v>200</v>
      </c>
      <c r="H2654" s="223">
        <v>0.0</v>
      </c>
      <c r="J2654" s="223"/>
      <c r="K2654" s="317">
        <v>1899.0</v>
      </c>
    </row>
    <row r="2655">
      <c r="A2655" s="223"/>
      <c r="B2655" s="223" t="s">
        <v>200</v>
      </c>
      <c r="C2655" s="223"/>
      <c r="D2655" s="316"/>
      <c r="E2655" s="218"/>
      <c r="F2655" s="218"/>
      <c r="G2655" s="218" t="s">
        <v>200</v>
      </c>
      <c r="H2655" s="223">
        <v>0.0</v>
      </c>
      <c r="J2655" s="223"/>
      <c r="K2655" s="317">
        <v>1899.0</v>
      </c>
    </row>
    <row r="2656">
      <c r="A2656" s="223"/>
      <c r="B2656" s="223" t="s">
        <v>200</v>
      </c>
      <c r="C2656" s="223"/>
      <c r="D2656" s="316"/>
      <c r="E2656" s="218"/>
      <c r="F2656" s="218"/>
      <c r="G2656" s="218" t="s">
        <v>200</v>
      </c>
      <c r="H2656" s="223">
        <v>0.0</v>
      </c>
      <c r="J2656" s="223"/>
      <c r="K2656" s="317">
        <v>1899.0</v>
      </c>
    </row>
    <row r="2657">
      <c r="A2657" s="223"/>
      <c r="B2657" s="223" t="s">
        <v>200</v>
      </c>
      <c r="C2657" s="223"/>
      <c r="D2657" s="316"/>
      <c r="E2657" s="218"/>
      <c r="F2657" s="218"/>
      <c r="G2657" s="218" t="s">
        <v>200</v>
      </c>
      <c r="H2657" s="223">
        <v>0.0</v>
      </c>
      <c r="J2657" s="223"/>
      <c r="K2657" s="317">
        <v>1899.0</v>
      </c>
    </row>
    <row r="2658">
      <c r="A2658" s="223"/>
      <c r="B2658" s="223" t="s">
        <v>200</v>
      </c>
      <c r="C2658" s="223"/>
      <c r="D2658" s="316"/>
      <c r="E2658" s="218"/>
      <c r="F2658" s="218"/>
      <c r="G2658" s="218" t="s">
        <v>200</v>
      </c>
      <c r="H2658" s="223">
        <v>0.0</v>
      </c>
      <c r="J2658" s="223"/>
      <c r="K2658" s="317">
        <v>1899.0</v>
      </c>
    </row>
    <row r="2659">
      <c r="A2659" s="223"/>
      <c r="B2659" s="223" t="s">
        <v>200</v>
      </c>
      <c r="C2659" s="223"/>
      <c r="D2659" s="316"/>
      <c r="E2659" s="218"/>
      <c r="F2659" s="218"/>
      <c r="G2659" s="218" t="s">
        <v>200</v>
      </c>
      <c r="H2659" s="223">
        <v>0.0</v>
      </c>
      <c r="J2659" s="223"/>
      <c r="K2659" s="317">
        <v>1899.0</v>
      </c>
    </row>
    <row r="2660">
      <c r="A2660" s="223"/>
      <c r="B2660" s="223" t="s">
        <v>200</v>
      </c>
      <c r="C2660" s="223"/>
      <c r="D2660" s="316"/>
      <c r="E2660" s="218"/>
      <c r="F2660" s="218"/>
      <c r="G2660" s="218" t="s">
        <v>200</v>
      </c>
      <c r="H2660" s="223">
        <v>0.0</v>
      </c>
      <c r="J2660" s="223"/>
      <c r="K2660" s="317">
        <v>1899.0</v>
      </c>
    </row>
    <row r="2661">
      <c r="A2661" s="223"/>
      <c r="B2661" s="223" t="s">
        <v>200</v>
      </c>
      <c r="C2661" s="223"/>
      <c r="D2661" s="316"/>
      <c r="E2661" s="218"/>
      <c r="F2661" s="218"/>
      <c r="G2661" s="218" t="s">
        <v>200</v>
      </c>
      <c r="H2661" s="223">
        <v>0.0</v>
      </c>
      <c r="J2661" s="223"/>
      <c r="K2661" s="317">
        <v>1899.0</v>
      </c>
    </row>
    <row r="2662">
      <c r="A2662" s="223"/>
      <c r="B2662" s="223" t="s">
        <v>200</v>
      </c>
      <c r="C2662" s="223"/>
      <c r="D2662" s="316"/>
      <c r="E2662" s="218"/>
      <c r="F2662" s="218"/>
      <c r="G2662" s="218" t="s">
        <v>200</v>
      </c>
      <c r="H2662" s="223">
        <v>0.0</v>
      </c>
      <c r="J2662" s="223"/>
      <c r="K2662" s="317">
        <v>1899.0</v>
      </c>
    </row>
    <row r="2663">
      <c r="A2663" s="223"/>
      <c r="B2663" s="223" t="s">
        <v>200</v>
      </c>
      <c r="C2663" s="223"/>
      <c r="D2663" s="316"/>
      <c r="E2663" s="218"/>
      <c r="F2663" s="218"/>
      <c r="G2663" s="218" t="s">
        <v>200</v>
      </c>
      <c r="H2663" s="223">
        <v>0.0</v>
      </c>
      <c r="J2663" s="223"/>
      <c r="K2663" s="317">
        <v>1899.0</v>
      </c>
    </row>
    <row r="2664">
      <c r="A2664" s="223"/>
      <c r="B2664" s="223" t="s">
        <v>200</v>
      </c>
      <c r="C2664" s="223"/>
      <c r="D2664" s="316"/>
      <c r="E2664" s="218"/>
      <c r="F2664" s="218"/>
      <c r="G2664" s="218" t="s">
        <v>200</v>
      </c>
      <c r="H2664" s="223">
        <v>0.0</v>
      </c>
      <c r="J2664" s="223"/>
      <c r="K2664" s="317">
        <v>1899.0</v>
      </c>
    </row>
    <row r="2665">
      <c r="A2665" s="223"/>
      <c r="B2665" s="223" t="s">
        <v>200</v>
      </c>
      <c r="C2665" s="223"/>
      <c r="D2665" s="316"/>
      <c r="E2665" s="218"/>
      <c r="F2665" s="218"/>
      <c r="G2665" s="218" t="s">
        <v>200</v>
      </c>
      <c r="H2665" s="223">
        <v>0.0</v>
      </c>
      <c r="J2665" s="223"/>
      <c r="K2665" s="317">
        <v>1899.0</v>
      </c>
    </row>
    <row r="2666">
      <c r="A2666" s="223"/>
      <c r="B2666" s="223" t="s">
        <v>200</v>
      </c>
      <c r="C2666" s="223"/>
      <c r="D2666" s="316"/>
      <c r="E2666" s="218"/>
      <c r="F2666" s="218"/>
      <c r="G2666" s="218" t="s">
        <v>200</v>
      </c>
      <c r="H2666" s="223">
        <v>0.0</v>
      </c>
      <c r="J2666" s="223"/>
      <c r="K2666" s="317">
        <v>1899.0</v>
      </c>
    </row>
    <row r="2667">
      <c r="A2667" s="223"/>
      <c r="B2667" s="223" t="s">
        <v>200</v>
      </c>
      <c r="C2667" s="223"/>
      <c r="D2667" s="316"/>
      <c r="E2667" s="218"/>
      <c r="F2667" s="218"/>
      <c r="G2667" s="218" t="s">
        <v>200</v>
      </c>
      <c r="H2667" s="223">
        <v>0.0</v>
      </c>
      <c r="J2667" s="223"/>
      <c r="K2667" s="317">
        <v>1899.0</v>
      </c>
    </row>
    <row r="2668">
      <c r="A2668" s="223"/>
      <c r="B2668" s="223" t="s">
        <v>200</v>
      </c>
      <c r="C2668" s="223"/>
      <c r="D2668" s="316"/>
      <c r="E2668" s="218"/>
      <c r="F2668" s="218"/>
      <c r="G2668" s="218" t="s">
        <v>200</v>
      </c>
      <c r="H2668" s="223">
        <v>0.0</v>
      </c>
      <c r="J2668" s="223"/>
      <c r="K2668" s="317">
        <v>1899.0</v>
      </c>
    </row>
    <row r="2669">
      <c r="A2669" s="223"/>
      <c r="B2669" s="223" t="s">
        <v>200</v>
      </c>
      <c r="C2669" s="223"/>
      <c r="D2669" s="316"/>
      <c r="E2669" s="218"/>
      <c r="F2669" s="218"/>
      <c r="G2669" s="218" t="s">
        <v>200</v>
      </c>
      <c r="H2669" s="223">
        <v>0.0</v>
      </c>
      <c r="J2669" s="223"/>
      <c r="K2669" s="317">
        <v>1899.0</v>
      </c>
    </row>
    <row r="2670">
      <c r="A2670" s="223"/>
      <c r="B2670" s="223" t="s">
        <v>200</v>
      </c>
      <c r="C2670" s="223"/>
      <c r="D2670" s="316"/>
      <c r="E2670" s="218"/>
      <c r="F2670" s="218"/>
      <c r="G2670" s="218" t="s">
        <v>200</v>
      </c>
      <c r="H2670" s="223">
        <v>0.0</v>
      </c>
      <c r="J2670" s="223"/>
      <c r="K2670" s="317">
        <v>1899.0</v>
      </c>
    </row>
    <row r="2671">
      <c r="A2671" s="223"/>
      <c r="B2671" s="223" t="s">
        <v>200</v>
      </c>
      <c r="C2671" s="223"/>
      <c r="D2671" s="316"/>
      <c r="E2671" s="218"/>
      <c r="F2671" s="218"/>
      <c r="G2671" s="218" t="s">
        <v>200</v>
      </c>
      <c r="H2671" s="223">
        <v>0.0</v>
      </c>
      <c r="J2671" s="223"/>
      <c r="K2671" s="317">
        <v>1899.0</v>
      </c>
    </row>
    <row r="2672">
      <c r="A2672" s="223"/>
      <c r="B2672" s="223" t="s">
        <v>200</v>
      </c>
      <c r="C2672" s="223"/>
      <c r="D2672" s="316"/>
      <c r="E2672" s="218"/>
      <c r="F2672" s="218"/>
      <c r="G2672" s="218" t="s">
        <v>200</v>
      </c>
      <c r="H2672" s="223">
        <v>0.0</v>
      </c>
      <c r="J2672" s="223"/>
      <c r="K2672" s="317">
        <v>1899.0</v>
      </c>
    </row>
    <row r="2673">
      <c r="A2673" s="223"/>
      <c r="B2673" s="223" t="s">
        <v>200</v>
      </c>
      <c r="C2673" s="223"/>
      <c r="D2673" s="316"/>
      <c r="E2673" s="218"/>
      <c r="F2673" s="218"/>
      <c r="G2673" s="218" t="s">
        <v>200</v>
      </c>
      <c r="H2673" s="223">
        <v>0.0</v>
      </c>
      <c r="J2673" s="223"/>
      <c r="K2673" s="317">
        <v>1899.0</v>
      </c>
    </row>
    <row r="2674">
      <c r="A2674" s="223"/>
      <c r="B2674" s="223" t="s">
        <v>200</v>
      </c>
      <c r="C2674" s="223"/>
      <c r="D2674" s="316"/>
      <c r="E2674" s="218"/>
      <c r="F2674" s="218"/>
      <c r="G2674" s="218" t="s">
        <v>200</v>
      </c>
      <c r="H2674" s="223">
        <v>0.0</v>
      </c>
      <c r="J2674" s="223"/>
      <c r="K2674" s="317">
        <v>1899.0</v>
      </c>
    </row>
    <row r="2675">
      <c r="A2675" s="223"/>
      <c r="B2675" s="223" t="s">
        <v>200</v>
      </c>
      <c r="C2675" s="223"/>
      <c r="D2675" s="316"/>
      <c r="E2675" s="218"/>
      <c r="F2675" s="218"/>
      <c r="G2675" s="218" t="s">
        <v>200</v>
      </c>
      <c r="H2675" s="223">
        <v>0.0</v>
      </c>
      <c r="J2675" s="223"/>
      <c r="K2675" s="317">
        <v>1899.0</v>
      </c>
    </row>
    <row r="2676">
      <c r="A2676" s="223"/>
      <c r="B2676" s="223" t="s">
        <v>200</v>
      </c>
      <c r="C2676" s="223"/>
      <c r="D2676" s="316"/>
      <c r="E2676" s="218"/>
      <c r="F2676" s="218"/>
      <c r="G2676" s="218" t="s">
        <v>200</v>
      </c>
      <c r="H2676" s="223">
        <v>0.0</v>
      </c>
      <c r="J2676" s="223"/>
      <c r="K2676" s="317">
        <v>1899.0</v>
      </c>
    </row>
    <row r="2677">
      <c r="A2677" s="223"/>
      <c r="B2677" s="223" t="s">
        <v>200</v>
      </c>
      <c r="C2677" s="223"/>
      <c r="D2677" s="316"/>
      <c r="E2677" s="218"/>
      <c r="F2677" s="218"/>
      <c r="G2677" s="218" t="s">
        <v>200</v>
      </c>
      <c r="H2677" s="223">
        <v>0.0</v>
      </c>
      <c r="J2677" s="223"/>
      <c r="K2677" s="317">
        <v>1899.0</v>
      </c>
    </row>
    <row r="2678">
      <c r="A2678" s="223"/>
      <c r="B2678" s="223" t="s">
        <v>200</v>
      </c>
      <c r="C2678" s="223"/>
      <c r="D2678" s="316"/>
      <c r="E2678" s="218"/>
      <c r="F2678" s="218"/>
      <c r="G2678" s="218" t="s">
        <v>200</v>
      </c>
      <c r="H2678" s="223">
        <v>0.0</v>
      </c>
      <c r="J2678" s="223"/>
      <c r="K2678" s="317">
        <v>1899.0</v>
      </c>
    </row>
    <row r="2679">
      <c r="A2679" s="223"/>
      <c r="B2679" s="223" t="s">
        <v>200</v>
      </c>
      <c r="C2679" s="223"/>
      <c r="D2679" s="316"/>
      <c r="E2679" s="218"/>
      <c r="F2679" s="218"/>
      <c r="G2679" s="218" t="s">
        <v>200</v>
      </c>
      <c r="H2679" s="223">
        <v>0.0</v>
      </c>
      <c r="J2679" s="223"/>
      <c r="K2679" s="317">
        <v>1899.0</v>
      </c>
    </row>
    <row r="2680">
      <c r="A2680" s="223"/>
      <c r="B2680" s="223" t="s">
        <v>200</v>
      </c>
      <c r="C2680" s="223"/>
      <c r="D2680" s="316"/>
      <c r="E2680" s="218"/>
      <c r="F2680" s="218"/>
      <c r="G2680" s="218" t="s">
        <v>200</v>
      </c>
      <c r="H2680" s="223">
        <v>0.0</v>
      </c>
      <c r="J2680" s="223"/>
      <c r="K2680" s="317">
        <v>1899.0</v>
      </c>
    </row>
    <row r="2681">
      <c r="A2681" s="223"/>
      <c r="B2681" s="223" t="s">
        <v>200</v>
      </c>
      <c r="C2681" s="223"/>
      <c r="D2681" s="316"/>
      <c r="E2681" s="218"/>
      <c r="F2681" s="218"/>
      <c r="G2681" s="218" t="s">
        <v>200</v>
      </c>
      <c r="H2681" s="223">
        <v>0.0</v>
      </c>
      <c r="J2681" s="223"/>
      <c r="K2681" s="317">
        <v>1899.0</v>
      </c>
    </row>
    <row r="2682">
      <c r="A2682" s="223"/>
      <c r="B2682" s="223" t="s">
        <v>200</v>
      </c>
      <c r="C2682" s="223"/>
      <c r="D2682" s="316"/>
      <c r="E2682" s="218"/>
      <c r="F2682" s="218"/>
      <c r="G2682" s="218" t="s">
        <v>200</v>
      </c>
      <c r="H2682" s="223">
        <v>0.0</v>
      </c>
      <c r="J2682" s="223"/>
      <c r="K2682" s="317">
        <v>1899.0</v>
      </c>
    </row>
    <row r="2683">
      <c r="A2683" s="223"/>
      <c r="B2683" s="223" t="s">
        <v>200</v>
      </c>
      <c r="C2683" s="223"/>
      <c r="D2683" s="316"/>
      <c r="E2683" s="218"/>
      <c r="F2683" s="218"/>
      <c r="G2683" s="218" t="s">
        <v>200</v>
      </c>
      <c r="H2683" s="223">
        <v>0.0</v>
      </c>
      <c r="J2683" s="223"/>
      <c r="K2683" s="317">
        <v>1899.0</v>
      </c>
    </row>
    <row r="2684">
      <c r="A2684" s="223"/>
      <c r="B2684" s="223" t="s">
        <v>200</v>
      </c>
      <c r="C2684" s="223"/>
      <c r="D2684" s="316"/>
      <c r="E2684" s="218"/>
      <c r="F2684" s="218"/>
      <c r="G2684" s="218" t="s">
        <v>200</v>
      </c>
      <c r="H2684" s="223">
        <v>0.0</v>
      </c>
      <c r="J2684" s="223"/>
      <c r="K2684" s="317">
        <v>1899.0</v>
      </c>
    </row>
    <row r="2685">
      <c r="A2685" s="223"/>
      <c r="B2685" s="223" t="s">
        <v>200</v>
      </c>
      <c r="C2685" s="223"/>
      <c r="D2685" s="316"/>
      <c r="E2685" s="218"/>
      <c r="F2685" s="218"/>
      <c r="G2685" s="218" t="s">
        <v>200</v>
      </c>
      <c r="H2685" s="223">
        <v>0.0</v>
      </c>
      <c r="J2685" s="223"/>
      <c r="K2685" s="317">
        <v>1899.0</v>
      </c>
    </row>
    <row r="2686">
      <c r="A2686" s="223"/>
      <c r="B2686" s="223" t="s">
        <v>200</v>
      </c>
      <c r="C2686" s="223"/>
      <c r="D2686" s="316"/>
      <c r="E2686" s="218"/>
      <c r="F2686" s="218"/>
      <c r="G2686" s="218" t="s">
        <v>200</v>
      </c>
      <c r="H2686" s="223">
        <v>0.0</v>
      </c>
      <c r="J2686" s="223"/>
      <c r="K2686" s="317">
        <v>1899.0</v>
      </c>
    </row>
    <row r="2687">
      <c r="A2687" s="223"/>
      <c r="B2687" s="223" t="s">
        <v>200</v>
      </c>
      <c r="C2687" s="223"/>
      <c r="D2687" s="316"/>
      <c r="E2687" s="218"/>
      <c r="F2687" s="218"/>
      <c r="G2687" s="218" t="s">
        <v>200</v>
      </c>
      <c r="H2687" s="223">
        <v>0.0</v>
      </c>
      <c r="J2687" s="223"/>
      <c r="K2687" s="317">
        <v>1899.0</v>
      </c>
    </row>
    <row r="2688">
      <c r="A2688" s="223"/>
      <c r="B2688" s="223" t="s">
        <v>200</v>
      </c>
      <c r="C2688" s="223"/>
      <c r="D2688" s="316"/>
      <c r="E2688" s="218"/>
      <c r="F2688" s="218"/>
      <c r="G2688" s="218" t="s">
        <v>200</v>
      </c>
      <c r="H2688" s="223">
        <v>0.0</v>
      </c>
      <c r="J2688" s="223"/>
      <c r="K2688" s="317">
        <v>1899.0</v>
      </c>
    </row>
    <row r="2689">
      <c r="A2689" s="223"/>
      <c r="B2689" s="223" t="s">
        <v>200</v>
      </c>
      <c r="C2689" s="223"/>
      <c r="D2689" s="316"/>
      <c r="E2689" s="218"/>
      <c r="F2689" s="218"/>
      <c r="G2689" s="218" t="s">
        <v>200</v>
      </c>
      <c r="H2689" s="223">
        <v>0.0</v>
      </c>
      <c r="J2689" s="223"/>
      <c r="K2689" s="317">
        <v>1899.0</v>
      </c>
    </row>
    <row r="2690">
      <c r="A2690" s="223"/>
      <c r="B2690" s="223" t="s">
        <v>200</v>
      </c>
      <c r="C2690" s="223"/>
      <c r="D2690" s="316"/>
      <c r="E2690" s="218"/>
      <c r="F2690" s="218"/>
      <c r="G2690" s="218" t="s">
        <v>200</v>
      </c>
      <c r="H2690" s="223">
        <v>0.0</v>
      </c>
      <c r="J2690" s="223"/>
      <c r="K2690" s="317">
        <v>1899.0</v>
      </c>
    </row>
    <row r="2691">
      <c r="A2691" s="223"/>
      <c r="B2691" s="223" t="s">
        <v>200</v>
      </c>
      <c r="C2691" s="223"/>
      <c r="D2691" s="316"/>
      <c r="E2691" s="218"/>
      <c r="F2691" s="218"/>
      <c r="G2691" s="218" t="s">
        <v>200</v>
      </c>
      <c r="H2691" s="223">
        <v>0.0</v>
      </c>
      <c r="J2691" s="223"/>
      <c r="K2691" s="317">
        <v>1899.0</v>
      </c>
    </row>
    <row r="2692">
      <c r="A2692" s="223"/>
      <c r="B2692" s="223" t="s">
        <v>200</v>
      </c>
      <c r="C2692" s="223"/>
      <c r="D2692" s="316"/>
      <c r="E2692" s="218"/>
      <c r="F2692" s="218"/>
      <c r="G2692" s="218" t="s">
        <v>200</v>
      </c>
      <c r="H2692" s="223">
        <v>0.0</v>
      </c>
      <c r="J2692" s="223"/>
      <c r="K2692" s="317">
        <v>1899.0</v>
      </c>
    </row>
    <row r="2693">
      <c r="A2693" s="223"/>
      <c r="B2693" s="223" t="s">
        <v>200</v>
      </c>
      <c r="C2693" s="223"/>
      <c r="D2693" s="316"/>
      <c r="E2693" s="218"/>
      <c r="F2693" s="218"/>
      <c r="G2693" s="218" t="s">
        <v>200</v>
      </c>
      <c r="H2693" s="223">
        <v>0.0</v>
      </c>
      <c r="J2693" s="223"/>
      <c r="K2693" s="317">
        <v>1899.0</v>
      </c>
    </row>
    <row r="2694">
      <c r="A2694" s="223"/>
      <c r="B2694" s="223" t="s">
        <v>200</v>
      </c>
      <c r="C2694" s="223"/>
      <c r="D2694" s="316"/>
      <c r="E2694" s="218"/>
      <c r="F2694" s="218"/>
      <c r="G2694" s="218" t="s">
        <v>200</v>
      </c>
      <c r="H2694" s="223">
        <v>0.0</v>
      </c>
      <c r="J2694" s="223"/>
      <c r="K2694" s="317">
        <v>1899.0</v>
      </c>
    </row>
    <row r="2695">
      <c r="A2695" s="223"/>
      <c r="B2695" s="223" t="s">
        <v>200</v>
      </c>
      <c r="C2695" s="223"/>
      <c r="D2695" s="316"/>
      <c r="E2695" s="218"/>
      <c r="F2695" s="218"/>
      <c r="G2695" s="218" t="s">
        <v>200</v>
      </c>
      <c r="H2695" s="223">
        <v>0.0</v>
      </c>
      <c r="J2695" s="223"/>
      <c r="K2695" s="317">
        <v>1899.0</v>
      </c>
    </row>
    <row r="2696">
      <c r="A2696" s="223"/>
      <c r="B2696" s="223" t="s">
        <v>200</v>
      </c>
      <c r="C2696" s="223"/>
      <c r="D2696" s="316"/>
      <c r="E2696" s="218"/>
      <c r="F2696" s="218"/>
      <c r="G2696" s="218" t="s">
        <v>200</v>
      </c>
      <c r="H2696" s="223">
        <v>0.0</v>
      </c>
      <c r="J2696" s="223"/>
      <c r="K2696" s="317">
        <v>1899.0</v>
      </c>
    </row>
    <row r="2697">
      <c r="A2697" s="223"/>
      <c r="B2697" s="223" t="s">
        <v>200</v>
      </c>
      <c r="C2697" s="223"/>
      <c r="D2697" s="316"/>
      <c r="E2697" s="218"/>
      <c r="F2697" s="218"/>
      <c r="G2697" s="218" t="s">
        <v>200</v>
      </c>
      <c r="H2697" s="223">
        <v>0.0</v>
      </c>
      <c r="J2697" s="223"/>
      <c r="K2697" s="317">
        <v>1899.0</v>
      </c>
    </row>
    <row r="2698">
      <c r="A2698" s="223"/>
      <c r="B2698" s="223" t="s">
        <v>200</v>
      </c>
      <c r="C2698" s="223"/>
      <c r="D2698" s="316"/>
      <c r="E2698" s="218"/>
      <c r="F2698" s="218"/>
      <c r="G2698" s="218" t="s">
        <v>200</v>
      </c>
      <c r="H2698" s="223">
        <v>0.0</v>
      </c>
      <c r="J2698" s="223"/>
      <c r="K2698" s="317">
        <v>1899.0</v>
      </c>
    </row>
    <row r="2699">
      <c r="A2699" s="223"/>
      <c r="B2699" s="223" t="s">
        <v>200</v>
      </c>
      <c r="C2699" s="223"/>
      <c r="D2699" s="316"/>
      <c r="E2699" s="218"/>
      <c r="F2699" s="218"/>
      <c r="G2699" s="218" t="s">
        <v>200</v>
      </c>
      <c r="H2699" s="223">
        <v>0.0</v>
      </c>
      <c r="J2699" s="223"/>
      <c r="K2699" s="317">
        <v>1899.0</v>
      </c>
    </row>
    <row r="2700">
      <c r="A2700" s="223"/>
      <c r="B2700" s="223" t="s">
        <v>200</v>
      </c>
      <c r="C2700" s="223"/>
      <c r="D2700" s="316"/>
      <c r="E2700" s="218"/>
      <c r="F2700" s="218"/>
      <c r="G2700" s="218" t="s">
        <v>200</v>
      </c>
      <c r="H2700" s="223">
        <v>0.0</v>
      </c>
      <c r="J2700" s="223"/>
      <c r="K2700" s="317">
        <v>1899.0</v>
      </c>
    </row>
    <row r="2701">
      <c r="A2701" s="223"/>
      <c r="B2701" s="223" t="s">
        <v>200</v>
      </c>
      <c r="C2701" s="223"/>
      <c r="D2701" s="316"/>
      <c r="E2701" s="218"/>
      <c r="F2701" s="218"/>
      <c r="G2701" s="218" t="s">
        <v>200</v>
      </c>
      <c r="H2701" s="223">
        <v>0.0</v>
      </c>
      <c r="J2701" s="223"/>
      <c r="K2701" s="317">
        <v>1899.0</v>
      </c>
    </row>
    <row r="2702">
      <c r="A2702" s="223"/>
      <c r="B2702" s="223" t="s">
        <v>200</v>
      </c>
      <c r="C2702" s="223"/>
      <c r="D2702" s="316"/>
      <c r="E2702" s="218"/>
      <c r="F2702" s="218"/>
      <c r="G2702" s="218" t="s">
        <v>200</v>
      </c>
      <c r="H2702" s="223">
        <v>0.0</v>
      </c>
      <c r="J2702" s="223"/>
      <c r="K2702" s="317">
        <v>1899.0</v>
      </c>
    </row>
    <row r="2703">
      <c r="A2703" s="223"/>
      <c r="B2703" s="223" t="s">
        <v>200</v>
      </c>
      <c r="C2703" s="223"/>
      <c r="D2703" s="316"/>
      <c r="E2703" s="218"/>
      <c r="F2703" s="218"/>
      <c r="G2703" s="218" t="s">
        <v>200</v>
      </c>
      <c r="H2703" s="223">
        <v>0.0</v>
      </c>
      <c r="J2703" s="223"/>
      <c r="K2703" s="317">
        <v>1899.0</v>
      </c>
    </row>
    <row r="2704">
      <c r="A2704" s="223"/>
      <c r="B2704" s="223" t="s">
        <v>200</v>
      </c>
      <c r="C2704" s="223"/>
      <c r="D2704" s="316"/>
      <c r="E2704" s="218"/>
      <c r="F2704" s="218"/>
      <c r="G2704" s="218" t="s">
        <v>200</v>
      </c>
      <c r="H2704" s="223">
        <v>0.0</v>
      </c>
      <c r="J2704" s="223"/>
      <c r="K2704" s="317">
        <v>1899.0</v>
      </c>
    </row>
    <row r="2705">
      <c r="A2705" s="223"/>
      <c r="B2705" s="223" t="s">
        <v>200</v>
      </c>
      <c r="C2705" s="223"/>
      <c r="D2705" s="316"/>
      <c r="E2705" s="218"/>
      <c r="F2705" s="218"/>
      <c r="G2705" s="218" t="s">
        <v>200</v>
      </c>
      <c r="H2705" s="223">
        <v>0.0</v>
      </c>
      <c r="J2705" s="223"/>
      <c r="K2705" s="317">
        <v>1899.0</v>
      </c>
    </row>
    <row r="2706">
      <c r="A2706" s="223"/>
      <c r="B2706" s="223" t="s">
        <v>200</v>
      </c>
      <c r="C2706" s="223"/>
      <c r="D2706" s="316"/>
      <c r="E2706" s="218"/>
      <c r="F2706" s="218"/>
      <c r="G2706" s="218" t="s">
        <v>200</v>
      </c>
      <c r="H2706" s="223">
        <v>0.0</v>
      </c>
      <c r="J2706" s="223"/>
      <c r="K2706" s="317">
        <v>1899.0</v>
      </c>
    </row>
    <row r="2707">
      <c r="A2707" s="223"/>
      <c r="B2707" s="223" t="s">
        <v>200</v>
      </c>
      <c r="C2707" s="223"/>
      <c r="D2707" s="316"/>
      <c r="E2707" s="218"/>
      <c r="F2707" s="218"/>
      <c r="G2707" s="218" t="s">
        <v>200</v>
      </c>
      <c r="H2707" s="223">
        <v>0.0</v>
      </c>
      <c r="J2707" s="223"/>
      <c r="K2707" s="317">
        <v>1899.0</v>
      </c>
    </row>
    <row r="2708">
      <c r="A2708" s="223"/>
      <c r="B2708" s="223" t="s">
        <v>200</v>
      </c>
      <c r="C2708" s="223"/>
      <c r="D2708" s="316"/>
      <c r="E2708" s="218"/>
      <c r="F2708" s="218"/>
      <c r="G2708" s="218" t="s">
        <v>200</v>
      </c>
      <c r="H2708" s="223">
        <v>0.0</v>
      </c>
      <c r="J2708" s="223"/>
      <c r="K2708" s="317">
        <v>1899.0</v>
      </c>
    </row>
    <row r="2709">
      <c r="A2709" s="223"/>
      <c r="B2709" s="223" t="s">
        <v>200</v>
      </c>
      <c r="C2709" s="223"/>
      <c r="D2709" s="316"/>
      <c r="E2709" s="218"/>
      <c r="F2709" s="218"/>
      <c r="G2709" s="218" t="s">
        <v>200</v>
      </c>
      <c r="H2709" s="223">
        <v>0.0</v>
      </c>
      <c r="J2709" s="223"/>
      <c r="K2709" s="317">
        <v>1899.0</v>
      </c>
    </row>
    <row r="2710">
      <c r="A2710" s="223"/>
      <c r="B2710" s="223" t="s">
        <v>200</v>
      </c>
      <c r="C2710" s="223"/>
      <c r="D2710" s="316"/>
      <c r="E2710" s="218"/>
      <c r="F2710" s="218"/>
      <c r="G2710" s="218" t="s">
        <v>200</v>
      </c>
      <c r="H2710" s="223">
        <v>0.0</v>
      </c>
      <c r="J2710" s="223"/>
      <c r="K2710" s="317">
        <v>1899.0</v>
      </c>
    </row>
    <row r="2711">
      <c r="A2711" s="223"/>
      <c r="B2711" s="223" t="s">
        <v>200</v>
      </c>
      <c r="C2711" s="223"/>
      <c r="D2711" s="316"/>
      <c r="E2711" s="218"/>
      <c r="F2711" s="218"/>
      <c r="G2711" s="218" t="s">
        <v>200</v>
      </c>
      <c r="H2711" s="223">
        <v>0.0</v>
      </c>
      <c r="J2711" s="223"/>
      <c r="K2711" s="317">
        <v>1899.0</v>
      </c>
    </row>
    <row r="2712">
      <c r="A2712" s="223"/>
      <c r="B2712" s="223" t="s">
        <v>200</v>
      </c>
      <c r="C2712" s="223"/>
      <c r="D2712" s="316"/>
      <c r="E2712" s="218"/>
      <c r="F2712" s="218"/>
      <c r="G2712" s="218" t="s">
        <v>200</v>
      </c>
      <c r="H2712" s="223">
        <v>0.0</v>
      </c>
      <c r="J2712" s="223"/>
      <c r="K2712" s="317">
        <v>1899.0</v>
      </c>
    </row>
    <row r="2713">
      <c r="A2713" s="223"/>
      <c r="B2713" s="223" t="s">
        <v>200</v>
      </c>
      <c r="C2713" s="223"/>
      <c r="D2713" s="316"/>
      <c r="E2713" s="218"/>
      <c r="F2713" s="218"/>
      <c r="G2713" s="218" t="s">
        <v>200</v>
      </c>
      <c r="H2713" s="223">
        <v>0.0</v>
      </c>
      <c r="J2713" s="223"/>
      <c r="K2713" s="317">
        <v>1899.0</v>
      </c>
    </row>
    <row r="2714">
      <c r="A2714" s="223"/>
      <c r="B2714" s="223" t="s">
        <v>200</v>
      </c>
      <c r="C2714" s="223"/>
      <c r="D2714" s="316"/>
      <c r="E2714" s="218"/>
      <c r="F2714" s="218"/>
      <c r="G2714" s="218" t="s">
        <v>200</v>
      </c>
      <c r="H2714" s="223">
        <v>0.0</v>
      </c>
      <c r="J2714" s="223"/>
      <c r="K2714" s="317">
        <v>1899.0</v>
      </c>
    </row>
    <row r="2715">
      <c r="A2715" s="223"/>
      <c r="B2715" s="223" t="s">
        <v>200</v>
      </c>
      <c r="C2715" s="223"/>
      <c r="D2715" s="316"/>
      <c r="E2715" s="218"/>
      <c r="F2715" s="218"/>
      <c r="G2715" s="218" t="s">
        <v>200</v>
      </c>
      <c r="H2715" s="223">
        <v>0.0</v>
      </c>
      <c r="J2715" s="223"/>
      <c r="K2715" s="317">
        <v>1899.0</v>
      </c>
    </row>
    <row r="2716">
      <c r="A2716" s="223"/>
      <c r="B2716" s="223" t="s">
        <v>200</v>
      </c>
      <c r="C2716" s="223"/>
      <c r="D2716" s="316"/>
      <c r="E2716" s="218"/>
      <c r="F2716" s="218"/>
      <c r="G2716" s="218" t="s">
        <v>200</v>
      </c>
      <c r="H2716" s="223">
        <v>0.0</v>
      </c>
      <c r="J2716" s="223"/>
      <c r="K2716" s="317">
        <v>1899.0</v>
      </c>
    </row>
    <row r="2717">
      <c r="A2717" s="223"/>
      <c r="B2717" s="223" t="s">
        <v>200</v>
      </c>
      <c r="C2717" s="223"/>
      <c r="D2717" s="316"/>
      <c r="E2717" s="218"/>
      <c r="F2717" s="218"/>
      <c r="G2717" s="218" t="s">
        <v>200</v>
      </c>
      <c r="H2717" s="223">
        <v>0.0</v>
      </c>
      <c r="J2717" s="223"/>
      <c r="K2717" s="317">
        <v>1899.0</v>
      </c>
    </row>
    <row r="2718">
      <c r="A2718" s="223"/>
      <c r="B2718" s="223" t="s">
        <v>200</v>
      </c>
      <c r="C2718" s="223"/>
      <c r="D2718" s="316"/>
      <c r="E2718" s="218"/>
      <c r="F2718" s="218"/>
      <c r="G2718" s="218" t="s">
        <v>200</v>
      </c>
      <c r="H2718" s="223">
        <v>0.0</v>
      </c>
      <c r="J2718" s="223"/>
      <c r="K2718" s="317">
        <v>1899.0</v>
      </c>
    </row>
    <row r="2719">
      <c r="A2719" s="223"/>
      <c r="B2719" s="223" t="s">
        <v>200</v>
      </c>
      <c r="C2719" s="223"/>
      <c r="D2719" s="316"/>
      <c r="E2719" s="218"/>
      <c r="F2719" s="218"/>
      <c r="G2719" s="218" t="s">
        <v>200</v>
      </c>
      <c r="H2719" s="223">
        <v>0.0</v>
      </c>
      <c r="J2719" s="223"/>
      <c r="K2719" s="317">
        <v>1899.0</v>
      </c>
    </row>
    <row r="2720">
      <c r="A2720" s="223"/>
      <c r="B2720" s="223" t="s">
        <v>200</v>
      </c>
      <c r="C2720" s="223"/>
      <c r="D2720" s="316"/>
      <c r="E2720" s="218"/>
      <c r="F2720" s="218"/>
      <c r="G2720" s="218" t="s">
        <v>200</v>
      </c>
      <c r="H2720" s="223">
        <v>0.0</v>
      </c>
      <c r="J2720" s="223"/>
      <c r="K2720" s="317">
        <v>1899.0</v>
      </c>
    </row>
    <row r="2721">
      <c r="A2721" s="223"/>
      <c r="B2721" s="223" t="s">
        <v>200</v>
      </c>
      <c r="C2721" s="223"/>
      <c r="D2721" s="316"/>
      <c r="E2721" s="218"/>
      <c r="F2721" s="218"/>
      <c r="G2721" s="218" t="s">
        <v>200</v>
      </c>
      <c r="H2721" s="223">
        <v>0.0</v>
      </c>
      <c r="J2721" s="223"/>
      <c r="K2721" s="317">
        <v>1899.0</v>
      </c>
    </row>
    <row r="2722">
      <c r="A2722" s="223"/>
      <c r="B2722" s="223" t="s">
        <v>200</v>
      </c>
      <c r="C2722" s="223"/>
      <c r="D2722" s="316"/>
      <c r="E2722" s="218"/>
      <c r="F2722" s="218"/>
      <c r="G2722" s="218" t="s">
        <v>200</v>
      </c>
      <c r="H2722" s="223">
        <v>0.0</v>
      </c>
      <c r="J2722" s="223"/>
      <c r="K2722" s="317">
        <v>1899.0</v>
      </c>
    </row>
    <row r="2723">
      <c r="A2723" s="223"/>
      <c r="B2723" s="223" t="s">
        <v>200</v>
      </c>
      <c r="C2723" s="223"/>
      <c r="D2723" s="316"/>
      <c r="E2723" s="218"/>
      <c r="F2723" s="218"/>
      <c r="G2723" s="218" t="s">
        <v>200</v>
      </c>
      <c r="H2723" s="223">
        <v>0.0</v>
      </c>
      <c r="J2723" s="223"/>
      <c r="K2723" s="317">
        <v>1899.0</v>
      </c>
    </row>
    <row r="2724">
      <c r="A2724" s="223"/>
      <c r="B2724" s="223" t="s">
        <v>200</v>
      </c>
      <c r="C2724" s="223"/>
      <c r="D2724" s="316"/>
      <c r="E2724" s="218"/>
      <c r="F2724" s="218"/>
      <c r="G2724" s="218" t="s">
        <v>200</v>
      </c>
      <c r="H2724" s="223">
        <v>0.0</v>
      </c>
      <c r="J2724" s="223"/>
      <c r="K2724" s="317">
        <v>1899.0</v>
      </c>
    </row>
    <row r="2725">
      <c r="A2725" s="223"/>
      <c r="B2725" s="223" t="s">
        <v>200</v>
      </c>
      <c r="C2725" s="223"/>
      <c r="D2725" s="316"/>
      <c r="E2725" s="218"/>
      <c r="F2725" s="218"/>
      <c r="G2725" s="218" t="s">
        <v>200</v>
      </c>
      <c r="H2725" s="223">
        <v>0.0</v>
      </c>
      <c r="J2725" s="223"/>
      <c r="K2725" s="317">
        <v>1899.0</v>
      </c>
    </row>
    <row r="2726">
      <c r="A2726" s="223"/>
      <c r="B2726" s="223" t="s">
        <v>200</v>
      </c>
      <c r="C2726" s="223"/>
      <c r="D2726" s="316"/>
      <c r="E2726" s="218"/>
      <c r="F2726" s="218"/>
      <c r="G2726" s="218" t="s">
        <v>200</v>
      </c>
      <c r="H2726" s="223">
        <v>0.0</v>
      </c>
      <c r="J2726" s="223"/>
      <c r="K2726" s="317">
        <v>1899.0</v>
      </c>
    </row>
    <row r="2727">
      <c r="A2727" s="223"/>
      <c r="B2727" s="223" t="s">
        <v>200</v>
      </c>
      <c r="C2727" s="223"/>
      <c r="D2727" s="316"/>
      <c r="E2727" s="218"/>
      <c r="F2727" s="218"/>
      <c r="G2727" s="218" t="s">
        <v>200</v>
      </c>
      <c r="H2727" s="223">
        <v>0.0</v>
      </c>
      <c r="J2727" s="223"/>
      <c r="K2727" s="317">
        <v>1899.0</v>
      </c>
    </row>
    <row r="2728">
      <c r="A2728" s="223"/>
      <c r="B2728" s="223" t="s">
        <v>200</v>
      </c>
      <c r="C2728" s="223"/>
      <c r="D2728" s="316"/>
      <c r="E2728" s="218"/>
      <c r="F2728" s="218"/>
      <c r="G2728" s="218" t="s">
        <v>200</v>
      </c>
      <c r="H2728" s="223">
        <v>0.0</v>
      </c>
      <c r="J2728" s="223"/>
      <c r="K2728" s="317">
        <v>1899.0</v>
      </c>
    </row>
    <row r="2729">
      <c r="A2729" s="223"/>
      <c r="B2729" s="223" t="s">
        <v>200</v>
      </c>
      <c r="C2729" s="223"/>
      <c r="D2729" s="316"/>
      <c r="E2729" s="218"/>
      <c r="F2729" s="218"/>
      <c r="G2729" s="218" t="s">
        <v>200</v>
      </c>
      <c r="H2729" s="223">
        <v>0.0</v>
      </c>
      <c r="J2729" s="223"/>
      <c r="K2729" s="317">
        <v>1899.0</v>
      </c>
    </row>
    <row r="2730">
      <c r="A2730" s="223"/>
      <c r="B2730" s="223" t="s">
        <v>200</v>
      </c>
      <c r="C2730" s="223"/>
      <c r="D2730" s="316"/>
      <c r="E2730" s="218"/>
      <c r="F2730" s="218"/>
      <c r="G2730" s="218" t="s">
        <v>200</v>
      </c>
      <c r="H2730" s="223">
        <v>0.0</v>
      </c>
      <c r="J2730" s="223"/>
      <c r="K2730" s="317">
        <v>1899.0</v>
      </c>
    </row>
    <row r="2731">
      <c r="A2731" s="223"/>
      <c r="B2731" s="223" t="s">
        <v>200</v>
      </c>
      <c r="C2731" s="223"/>
      <c r="D2731" s="316"/>
      <c r="E2731" s="218"/>
      <c r="F2731" s="218"/>
      <c r="G2731" s="218" t="s">
        <v>200</v>
      </c>
      <c r="H2731" s="223">
        <v>0.0</v>
      </c>
      <c r="J2731" s="223"/>
      <c r="K2731" s="317">
        <v>1899.0</v>
      </c>
    </row>
    <row r="2732">
      <c r="A2732" s="223"/>
      <c r="B2732" s="223" t="s">
        <v>200</v>
      </c>
      <c r="C2732" s="223"/>
      <c r="D2732" s="316"/>
      <c r="E2732" s="218"/>
      <c r="F2732" s="218"/>
      <c r="G2732" s="218" t="s">
        <v>200</v>
      </c>
      <c r="H2732" s="223">
        <v>0.0</v>
      </c>
      <c r="J2732" s="223"/>
      <c r="K2732" s="317">
        <v>1899.0</v>
      </c>
    </row>
    <row r="2733">
      <c r="A2733" s="223"/>
      <c r="B2733" s="223" t="s">
        <v>200</v>
      </c>
      <c r="C2733" s="223"/>
      <c r="D2733" s="316"/>
      <c r="E2733" s="218"/>
      <c r="F2733" s="218"/>
      <c r="G2733" s="218" t="s">
        <v>200</v>
      </c>
      <c r="H2733" s="223">
        <v>0.0</v>
      </c>
      <c r="J2733" s="223"/>
      <c r="K2733" s="317">
        <v>1899.0</v>
      </c>
    </row>
    <row r="2734">
      <c r="A2734" s="223"/>
      <c r="B2734" s="223" t="s">
        <v>200</v>
      </c>
      <c r="C2734" s="223"/>
      <c r="D2734" s="316"/>
      <c r="E2734" s="218"/>
      <c r="F2734" s="218"/>
      <c r="G2734" s="218" t="s">
        <v>200</v>
      </c>
      <c r="H2734" s="223">
        <v>0.0</v>
      </c>
      <c r="J2734" s="223"/>
      <c r="K2734" s="317">
        <v>1899.0</v>
      </c>
    </row>
    <row r="2735">
      <c r="A2735" s="223"/>
      <c r="B2735" s="223" t="s">
        <v>200</v>
      </c>
      <c r="C2735" s="223"/>
      <c r="D2735" s="316"/>
      <c r="E2735" s="218"/>
      <c r="F2735" s="218"/>
      <c r="G2735" s="218" t="s">
        <v>200</v>
      </c>
      <c r="H2735" s="223">
        <v>0.0</v>
      </c>
      <c r="J2735" s="223"/>
      <c r="K2735" s="317">
        <v>1899.0</v>
      </c>
    </row>
    <row r="2736">
      <c r="A2736" s="223"/>
      <c r="B2736" s="223" t="s">
        <v>200</v>
      </c>
      <c r="C2736" s="223"/>
      <c r="D2736" s="316"/>
      <c r="E2736" s="218"/>
      <c r="F2736" s="218"/>
      <c r="G2736" s="218" t="s">
        <v>200</v>
      </c>
      <c r="H2736" s="223">
        <v>0.0</v>
      </c>
      <c r="J2736" s="223"/>
      <c r="K2736" s="317">
        <v>1899.0</v>
      </c>
    </row>
    <row r="2737">
      <c r="A2737" s="223"/>
      <c r="B2737" s="223" t="s">
        <v>200</v>
      </c>
      <c r="C2737" s="223"/>
      <c r="D2737" s="316"/>
      <c r="E2737" s="218"/>
      <c r="F2737" s="218"/>
      <c r="G2737" s="218" t="s">
        <v>200</v>
      </c>
      <c r="H2737" s="223">
        <v>0.0</v>
      </c>
      <c r="J2737" s="223"/>
      <c r="K2737" s="317">
        <v>1899.0</v>
      </c>
    </row>
    <row r="2738">
      <c r="A2738" s="223"/>
      <c r="B2738" s="223" t="s">
        <v>200</v>
      </c>
      <c r="C2738" s="223"/>
      <c r="D2738" s="316"/>
      <c r="E2738" s="218"/>
      <c r="F2738" s="218"/>
      <c r="G2738" s="218" t="s">
        <v>200</v>
      </c>
      <c r="H2738" s="223">
        <v>0.0</v>
      </c>
      <c r="J2738" s="223"/>
      <c r="K2738" s="317">
        <v>1899.0</v>
      </c>
    </row>
    <row r="2739">
      <c r="A2739" s="223"/>
      <c r="B2739" s="223" t="s">
        <v>200</v>
      </c>
      <c r="C2739" s="223"/>
      <c r="D2739" s="316"/>
      <c r="E2739" s="218"/>
      <c r="F2739" s="218"/>
      <c r="G2739" s="218" t="s">
        <v>200</v>
      </c>
      <c r="H2739" s="223">
        <v>0.0</v>
      </c>
      <c r="J2739" s="223"/>
      <c r="K2739" s="317">
        <v>1899.0</v>
      </c>
    </row>
    <row r="2740">
      <c r="A2740" s="223"/>
      <c r="B2740" s="223" t="s">
        <v>200</v>
      </c>
      <c r="C2740" s="223"/>
      <c r="D2740" s="316"/>
      <c r="E2740" s="218"/>
      <c r="F2740" s="218"/>
      <c r="G2740" s="218" t="s">
        <v>200</v>
      </c>
      <c r="H2740" s="223">
        <v>0.0</v>
      </c>
      <c r="J2740" s="223"/>
      <c r="K2740" s="317">
        <v>1899.0</v>
      </c>
    </row>
    <row r="2741">
      <c r="A2741" s="223"/>
      <c r="B2741" s="223" t="s">
        <v>200</v>
      </c>
      <c r="C2741" s="223"/>
      <c r="D2741" s="316"/>
      <c r="E2741" s="218"/>
      <c r="F2741" s="218"/>
      <c r="G2741" s="218" t="s">
        <v>200</v>
      </c>
      <c r="H2741" s="223">
        <v>0.0</v>
      </c>
      <c r="J2741" s="223"/>
      <c r="K2741" s="317">
        <v>1899.0</v>
      </c>
    </row>
    <row r="2742">
      <c r="A2742" s="223"/>
      <c r="B2742" s="223" t="s">
        <v>200</v>
      </c>
      <c r="C2742" s="223"/>
      <c r="D2742" s="316"/>
      <c r="E2742" s="218"/>
      <c r="F2742" s="218"/>
      <c r="G2742" s="218" t="s">
        <v>200</v>
      </c>
      <c r="H2742" s="223">
        <v>0.0</v>
      </c>
      <c r="J2742" s="223"/>
      <c r="K2742" s="317">
        <v>1899.0</v>
      </c>
    </row>
    <row r="2743">
      <c r="A2743" s="223"/>
      <c r="B2743" s="223" t="s">
        <v>200</v>
      </c>
      <c r="C2743" s="223"/>
      <c r="D2743" s="316"/>
      <c r="E2743" s="218"/>
      <c r="F2743" s="218"/>
      <c r="G2743" s="218" t="s">
        <v>200</v>
      </c>
      <c r="H2743" s="223">
        <v>0.0</v>
      </c>
      <c r="J2743" s="223"/>
      <c r="K2743" s="317">
        <v>1899.0</v>
      </c>
    </row>
    <row r="2744">
      <c r="A2744" s="223"/>
      <c r="B2744" s="223" t="s">
        <v>200</v>
      </c>
      <c r="C2744" s="223"/>
      <c r="D2744" s="316"/>
      <c r="E2744" s="218"/>
      <c r="F2744" s="218"/>
      <c r="G2744" s="218" t="s">
        <v>200</v>
      </c>
      <c r="H2744" s="223">
        <v>0.0</v>
      </c>
      <c r="J2744" s="223"/>
      <c r="K2744" s="317">
        <v>1899.0</v>
      </c>
    </row>
    <row r="2745">
      <c r="A2745" s="223"/>
      <c r="B2745" s="223" t="s">
        <v>200</v>
      </c>
      <c r="C2745" s="223"/>
      <c r="D2745" s="316"/>
      <c r="E2745" s="218"/>
      <c r="F2745" s="218"/>
      <c r="G2745" s="218" t="s">
        <v>200</v>
      </c>
      <c r="H2745" s="223">
        <v>0.0</v>
      </c>
      <c r="J2745" s="223"/>
      <c r="K2745" s="317">
        <v>1899.0</v>
      </c>
    </row>
    <row r="2746">
      <c r="A2746" s="223"/>
      <c r="B2746" s="223" t="s">
        <v>200</v>
      </c>
      <c r="C2746" s="223"/>
      <c r="D2746" s="316"/>
      <c r="E2746" s="218"/>
      <c r="F2746" s="218"/>
      <c r="G2746" s="218" t="s">
        <v>200</v>
      </c>
      <c r="H2746" s="223">
        <v>0.0</v>
      </c>
      <c r="J2746" s="223"/>
      <c r="K2746" s="317">
        <v>1899.0</v>
      </c>
    </row>
    <row r="2747">
      <c r="A2747" s="223"/>
      <c r="B2747" s="223" t="s">
        <v>200</v>
      </c>
      <c r="C2747" s="223"/>
      <c r="D2747" s="316"/>
      <c r="E2747" s="218"/>
      <c r="F2747" s="218"/>
      <c r="G2747" s="218" t="s">
        <v>200</v>
      </c>
      <c r="H2747" s="223">
        <v>0.0</v>
      </c>
      <c r="J2747" s="223"/>
      <c r="K2747" s="317">
        <v>1899.0</v>
      </c>
    </row>
    <row r="2748">
      <c r="A2748" s="223"/>
      <c r="B2748" s="223" t="s">
        <v>200</v>
      </c>
      <c r="C2748" s="223"/>
      <c r="D2748" s="316"/>
      <c r="E2748" s="218"/>
      <c r="F2748" s="218"/>
      <c r="G2748" s="218" t="s">
        <v>200</v>
      </c>
      <c r="H2748" s="223">
        <v>0.0</v>
      </c>
      <c r="J2748" s="223"/>
      <c r="K2748" s="317">
        <v>1899.0</v>
      </c>
    </row>
    <row r="2749">
      <c r="A2749" s="223"/>
      <c r="B2749" s="223" t="s">
        <v>200</v>
      </c>
      <c r="C2749" s="223"/>
      <c r="D2749" s="316"/>
      <c r="E2749" s="218"/>
      <c r="F2749" s="218"/>
      <c r="G2749" s="218" t="s">
        <v>200</v>
      </c>
      <c r="H2749" s="223">
        <v>0.0</v>
      </c>
      <c r="J2749" s="223"/>
      <c r="K2749" s="317">
        <v>1899.0</v>
      </c>
    </row>
    <row r="2750">
      <c r="A2750" s="223"/>
      <c r="B2750" s="223" t="s">
        <v>200</v>
      </c>
      <c r="C2750" s="223"/>
      <c r="D2750" s="316"/>
      <c r="E2750" s="218"/>
      <c r="F2750" s="218"/>
      <c r="G2750" s="218" t="s">
        <v>200</v>
      </c>
      <c r="H2750" s="223">
        <v>0.0</v>
      </c>
      <c r="J2750" s="223"/>
      <c r="K2750" s="317">
        <v>1899.0</v>
      </c>
    </row>
    <row r="2751">
      <c r="A2751" s="223"/>
      <c r="B2751" s="223" t="s">
        <v>200</v>
      </c>
      <c r="C2751" s="223"/>
      <c r="D2751" s="316"/>
      <c r="E2751" s="218"/>
      <c r="F2751" s="218"/>
      <c r="G2751" s="218" t="s">
        <v>200</v>
      </c>
      <c r="H2751" s="223">
        <v>0.0</v>
      </c>
      <c r="J2751" s="223"/>
      <c r="K2751" s="317">
        <v>1899.0</v>
      </c>
    </row>
    <row r="2752">
      <c r="A2752" s="223"/>
      <c r="B2752" s="223" t="s">
        <v>200</v>
      </c>
      <c r="C2752" s="223"/>
      <c r="D2752" s="316"/>
      <c r="E2752" s="218"/>
      <c r="F2752" s="218"/>
      <c r="G2752" s="218" t="s">
        <v>200</v>
      </c>
      <c r="H2752" s="223">
        <v>0.0</v>
      </c>
      <c r="J2752" s="223"/>
      <c r="K2752" s="317">
        <v>1899.0</v>
      </c>
    </row>
    <row r="2753">
      <c r="A2753" s="223"/>
      <c r="B2753" s="223" t="s">
        <v>200</v>
      </c>
      <c r="C2753" s="223"/>
      <c r="D2753" s="316"/>
      <c r="E2753" s="218"/>
      <c r="F2753" s="218"/>
      <c r="G2753" s="218" t="s">
        <v>200</v>
      </c>
      <c r="H2753" s="223">
        <v>0.0</v>
      </c>
      <c r="J2753" s="223"/>
      <c r="K2753" s="317">
        <v>1899.0</v>
      </c>
    </row>
    <row r="2754">
      <c r="A2754" s="223"/>
      <c r="B2754" s="223" t="s">
        <v>200</v>
      </c>
      <c r="C2754" s="223"/>
      <c r="D2754" s="316"/>
      <c r="E2754" s="218"/>
      <c r="F2754" s="218"/>
      <c r="G2754" s="218" t="s">
        <v>200</v>
      </c>
      <c r="H2754" s="223">
        <v>0.0</v>
      </c>
      <c r="J2754" s="223"/>
      <c r="K2754" s="317">
        <v>1899.0</v>
      </c>
    </row>
    <row r="2755">
      <c r="A2755" s="223"/>
      <c r="B2755" s="223" t="s">
        <v>200</v>
      </c>
      <c r="C2755" s="223"/>
      <c r="D2755" s="316"/>
      <c r="E2755" s="218"/>
      <c r="F2755" s="218"/>
      <c r="G2755" s="218" t="s">
        <v>200</v>
      </c>
      <c r="H2755" s="223">
        <v>0.0</v>
      </c>
      <c r="J2755" s="223"/>
      <c r="K2755" s="317">
        <v>1899.0</v>
      </c>
    </row>
    <row r="2756">
      <c r="A2756" s="223"/>
      <c r="B2756" s="223" t="s">
        <v>200</v>
      </c>
      <c r="C2756" s="223"/>
      <c r="D2756" s="316"/>
      <c r="E2756" s="218"/>
      <c r="F2756" s="218"/>
      <c r="G2756" s="218" t="s">
        <v>200</v>
      </c>
      <c r="H2756" s="223">
        <v>0.0</v>
      </c>
      <c r="J2756" s="223"/>
      <c r="K2756" s="317">
        <v>1899.0</v>
      </c>
    </row>
    <row r="2757">
      <c r="A2757" s="223"/>
      <c r="B2757" s="223" t="s">
        <v>200</v>
      </c>
      <c r="C2757" s="223"/>
      <c r="D2757" s="316"/>
      <c r="E2757" s="218"/>
      <c r="F2757" s="218"/>
      <c r="G2757" s="218" t="s">
        <v>200</v>
      </c>
      <c r="H2757" s="223">
        <v>0.0</v>
      </c>
      <c r="J2757" s="223"/>
      <c r="K2757" s="317">
        <v>1899.0</v>
      </c>
    </row>
    <row r="2758">
      <c r="A2758" s="223"/>
      <c r="B2758" s="223" t="s">
        <v>200</v>
      </c>
      <c r="C2758" s="223"/>
      <c r="D2758" s="316"/>
      <c r="E2758" s="218"/>
      <c r="F2758" s="218"/>
      <c r="G2758" s="218" t="s">
        <v>200</v>
      </c>
      <c r="H2758" s="223">
        <v>0.0</v>
      </c>
      <c r="J2758" s="223"/>
      <c r="K2758" s="317">
        <v>1899.0</v>
      </c>
    </row>
    <row r="2759">
      <c r="A2759" s="223"/>
      <c r="B2759" s="223" t="s">
        <v>200</v>
      </c>
      <c r="C2759" s="223"/>
      <c r="D2759" s="316"/>
      <c r="E2759" s="218"/>
      <c r="F2759" s="218"/>
      <c r="G2759" s="218" t="s">
        <v>200</v>
      </c>
      <c r="H2759" s="223">
        <v>0.0</v>
      </c>
      <c r="J2759" s="223"/>
      <c r="K2759" s="317">
        <v>1899.0</v>
      </c>
    </row>
    <row r="2760">
      <c r="A2760" s="223"/>
      <c r="B2760" s="223" t="s">
        <v>200</v>
      </c>
      <c r="C2760" s="223"/>
      <c r="D2760" s="316"/>
      <c r="E2760" s="218"/>
      <c r="F2760" s="218"/>
      <c r="G2760" s="218" t="s">
        <v>200</v>
      </c>
      <c r="H2760" s="223">
        <v>0.0</v>
      </c>
      <c r="J2760" s="223"/>
      <c r="K2760" s="317">
        <v>1899.0</v>
      </c>
    </row>
    <row r="2761">
      <c r="A2761" s="223"/>
      <c r="B2761" s="223" t="s">
        <v>200</v>
      </c>
      <c r="C2761" s="223"/>
      <c r="D2761" s="316"/>
      <c r="E2761" s="218"/>
      <c r="F2761" s="218"/>
      <c r="G2761" s="218" t="s">
        <v>200</v>
      </c>
      <c r="H2761" s="223">
        <v>0.0</v>
      </c>
      <c r="J2761" s="223"/>
      <c r="K2761" s="317">
        <v>1899.0</v>
      </c>
    </row>
    <row r="2762">
      <c r="A2762" s="223"/>
      <c r="B2762" s="223" t="s">
        <v>200</v>
      </c>
      <c r="C2762" s="223"/>
      <c r="D2762" s="316"/>
      <c r="E2762" s="218"/>
      <c r="F2762" s="218"/>
      <c r="G2762" s="218" t="s">
        <v>200</v>
      </c>
      <c r="H2762" s="223">
        <v>0.0</v>
      </c>
      <c r="J2762" s="223"/>
      <c r="K2762" s="317">
        <v>1899.0</v>
      </c>
    </row>
    <row r="2763">
      <c r="A2763" s="223"/>
      <c r="B2763" s="223" t="s">
        <v>200</v>
      </c>
      <c r="C2763" s="223"/>
      <c r="D2763" s="316"/>
      <c r="E2763" s="218"/>
      <c r="F2763" s="218"/>
      <c r="G2763" s="218" t="s">
        <v>200</v>
      </c>
      <c r="H2763" s="223">
        <v>0.0</v>
      </c>
      <c r="J2763" s="223"/>
      <c r="K2763" s="317">
        <v>1899.0</v>
      </c>
    </row>
    <row r="2764">
      <c r="A2764" s="223"/>
      <c r="B2764" s="223" t="s">
        <v>200</v>
      </c>
      <c r="C2764" s="223"/>
      <c r="D2764" s="316"/>
      <c r="E2764" s="218"/>
      <c r="F2764" s="218"/>
      <c r="G2764" s="218" t="s">
        <v>200</v>
      </c>
      <c r="H2764" s="223">
        <v>0.0</v>
      </c>
      <c r="J2764" s="223"/>
      <c r="K2764" s="317">
        <v>1899.0</v>
      </c>
    </row>
    <row r="2765">
      <c r="A2765" s="223"/>
      <c r="B2765" s="223" t="s">
        <v>200</v>
      </c>
      <c r="C2765" s="223"/>
      <c r="D2765" s="316"/>
      <c r="E2765" s="218"/>
      <c r="F2765" s="218"/>
      <c r="G2765" s="218" t="s">
        <v>200</v>
      </c>
      <c r="H2765" s="223">
        <v>0.0</v>
      </c>
      <c r="J2765" s="223"/>
      <c r="K2765" s="317">
        <v>1899.0</v>
      </c>
    </row>
    <row r="2766">
      <c r="A2766" s="223"/>
      <c r="B2766" s="223" t="s">
        <v>200</v>
      </c>
      <c r="C2766" s="223"/>
      <c r="D2766" s="316"/>
      <c r="E2766" s="218"/>
      <c r="F2766" s="218"/>
      <c r="G2766" s="218" t="s">
        <v>200</v>
      </c>
      <c r="H2766" s="223">
        <v>0.0</v>
      </c>
      <c r="J2766" s="223"/>
      <c r="K2766" s="317">
        <v>1899.0</v>
      </c>
    </row>
    <row r="2767">
      <c r="A2767" s="223"/>
      <c r="B2767" s="223" t="s">
        <v>200</v>
      </c>
      <c r="C2767" s="223"/>
      <c r="D2767" s="316"/>
      <c r="E2767" s="218"/>
      <c r="F2767" s="218"/>
      <c r="G2767" s="218" t="s">
        <v>200</v>
      </c>
      <c r="H2767" s="223">
        <v>0.0</v>
      </c>
      <c r="J2767" s="223"/>
      <c r="K2767" s="317">
        <v>1899.0</v>
      </c>
    </row>
    <row r="2768">
      <c r="A2768" s="223"/>
      <c r="B2768" s="223" t="s">
        <v>200</v>
      </c>
      <c r="C2768" s="223"/>
      <c r="D2768" s="316"/>
      <c r="E2768" s="218"/>
      <c r="F2768" s="218"/>
      <c r="G2768" s="218" t="s">
        <v>200</v>
      </c>
      <c r="H2768" s="223">
        <v>0.0</v>
      </c>
      <c r="J2768" s="223"/>
      <c r="K2768" s="317">
        <v>1899.0</v>
      </c>
    </row>
    <row r="2769">
      <c r="A2769" s="223"/>
      <c r="B2769" s="223" t="s">
        <v>200</v>
      </c>
      <c r="C2769" s="223"/>
      <c r="D2769" s="316"/>
      <c r="E2769" s="218"/>
      <c r="F2769" s="218"/>
      <c r="G2769" s="218" t="s">
        <v>200</v>
      </c>
      <c r="H2769" s="223">
        <v>0.0</v>
      </c>
      <c r="J2769" s="223"/>
      <c r="K2769" s="317">
        <v>1899.0</v>
      </c>
    </row>
    <row r="2770">
      <c r="A2770" s="223"/>
      <c r="B2770" s="223" t="s">
        <v>200</v>
      </c>
      <c r="C2770" s="223"/>
      <c r="D2770" s="316"/>
      <c r="E2770" s="218"/>
      <c r="F2770" s="218"/>
      <c r="G2770" s="218" t="s">
        <v>200</v>
      </c>
      <c r="H2770" s="223">
        <v>0.0</v>
      </c>
      <c r="J2770" s="223"/>
      <c r="K2770" s="317">
        <v>1899.0</v>
      </c>
    </row>
    <row r="2771">
      <c r="A2771" s="223"/>
      <c r="B2771" s="223" t="s">
        <v>200</v>
      </c>
      <c r="C2771" s="223"/>
      <c r="D2771" s="316"/>
      <c r="E2771" s="218"/>
      <c r="F2771" s="218"/>
      <c r="G2771" s="218" t="s">
        <v>200</v>
      </c>
      <c r="H2771" s="223">
        <v>0.0</v>
      </c>
      <c r="J2771" s="223"/>
      <c r="K2771" s="317">
        <v>1899.0</v>
      </c>
    </row>
    <row r="2772">
      <c r="A2772" s="223"/>
      <c r="B2772" s="223" t="s">
        <v>200</v>
      </c>
      <c r="C2772" s="223"/>
      <c r="D2772" s="316"/>
      <c r="E2772" s="218"/>
      <c r="F2772" s="218"/>
      <c r="G2772" s="218" t="s">
        <v>200</v>
      </c>
      <c r="H2772" s="223">
        <v>0.0</v>
      </c>
      <c r="J2772" s="223"/>
      <c r="K2772" s="317">
        <v>1899.0</v>
      </c>
    </row>
    <row r="2773">
      <c r="A2773" s="223"/>
      <c r="B2773" s="223" t="s">
        <v>200</v>
      </c>
      <c r="C2773" s="223"/>
      <c r="D2773" s="316"/>
      <c r="E2773" s="218"/>
      <c r="F2773" s="218"/>
      <c r="G2773" s="218" t="s">
        <v>200</v>
      </c>
      <c r="H2773" s="223">
        <v>0.0</v>
      </c>
      <c r="J2773" s="223"/>
      <c r="K2773" s="317">
        <v>1899.0</v>
      </c>
    </row>
    <row r="2774">
      <c r="A2774" s="223"/>
      <c r="B2774" s="223" t="s">
        <v>200</v>
      </c>
      <c r="C2774" s="223"/>
      <c r="D2774" s="316"/>
      <c r="E2774" s="218"/>
      <c r="F2774" s="218"/>
      <c r="G2774" s="218" t="s">
        <v>200</v>
      </c>
      <c r="H2774" s="223">
        <v>0.0</v>
      </c>
      <c r="J2774" s="223"/>
      <c r="K2774" s="317">
        <v>1899.0</v>
      </c>
    </row>
    <row r="2775">
      <c r="A2775" s="223"/>
      <c r="B2775" s="223" t="s">
        <v>200</v>
      </c>
      <c r="C2775" s="223"/>
      <c r="D2775" s="316"/>
      <c r="E2775" s="218"/>
      <c r="F2775" s="218"/>
      <c r="G2775" s="218" t="s">
        <v>200</v>
      </c>
      <c r="H2775" s="223">
        <v>0.0</v>
      </c>
      <c r="J2775" s="223"/>
      <c r="K2775" s="317">
        <v>1899.0</v>
      </c>
    </row>
    <row r="2776">
      <c r="A2776" s="223"/>
      <c r="B2776" s="223" t="s">
        <v>200</v>
      </c>
      <c r="C2776" s="223"/>
      <c r="D2776" s="316"/>
      <c r="E2776" s="218"/>
      <c r="F2776" s="218"/>
      <c r="G2776" s="218" t="s">
        <v>200</v>
      </c>
      <c r="H2776" s="223">
        <v>0.0</v>
      </c>
      <c r="J2776" s="223"/>
      <c r="K2776" s="317">
        <v>1899.0</v>
      </c>
    </row>
    <row r="2777">
      <c r="A2777" s="223"/>
      <c r="B2777" s="223" t="s">
        <v>200</v>
      </c>
      <c r="C2777" s="223"/>
      <c r="D2777" s="316"/>
      <c r="E2777" s="218"/>
      <c r="F2777" s="218"/>
      <c r="G2777" s="218" t="s">
        <v>200</v>
      </c>
      <c r="H2777" s="223">
        <v>0.0</v>
      </c>
      <c r="J2777" s="223"/>
      <c r="K2777" s="317">
        <v>1899.0</v>
      </c>
    </row>
    <row r="2778">
      <c r="A2778" s="223"/>
      <c r="B2778" s="223" t="s">
        <v>200</v>
      </c>
      <c r="C2778" s="223"/>
      <c r="D2778" s="316"/>
      <c r="E2778" s="218"/>
      <c r="F2778" s="218"/>
      <c r="G2778" s="218" t="s">
        <v>200</v>
      </c>
      <c r="H2778" s="223">
        <v>0.0</v>
      </c>
      <c r="J2778" s="223"/>
      <c r="K2778" s="317">
        <v>1899.0</v>
      </c>
    </row>
    <row r="2779">
      <c r="A2779" s="223"/>
      <c r="B2779" s="223" t="s">
        <v>200</v>
      </c>
      <c r="C2779" s="223"/>
      <c r="D2779" s="316"/>
      <c r="E2779" s="218"/>
      <c r="F2779" s="218"/>
      <c r="G2779" s="218" t="s">
        <v>200</v>
      </c>
      <c r="H2779" s="223">
        <v>0.0</v>
      </c>
      <c r="J2779" s="223"/>
      <c r="K2779" s="317">
        <v>1899.0</v>
      </c>
    </row>
    <row r="2780">
      <c r="A2780" s="223"/>
      <c r="B2780" s="223" t="s">
        <v>200</v>
      </c>
      <c r="C2780" s="223"/>
      <c r="D2780" s="316"/>
      <c r="E2780" s="218"/>
      <c r="F2780" s="218"/>
      <c r="G2780" s="218" t="s">
        <v>200</v>
      </c>
      <c r="H2780" s="223">
        <v>0.0</v>
      </c>
      <c r="J2780" s="223"/>
      <c r="K2780" s="317">
        <v>1899.0</v>
      </c>
    </row>
    <row r="2781">
      <c r="A2781" s="223"/>
      <c r="B2781" s="223" t="s">
        <v>200</v>
      </c>
      <c r="C2781" s="223"/>
      <c r="D2781" s="316"/>
      <c r="E2781" s="218"/>
      <c r="F2781" s="218"/>
      <c r="G2781" s="218" t="s">
        <v>200</v>
      </c>
      <c r="H2781" s="223">
        <v>0.0</v>
      </c>
      <c r="J2781" s="223"/>
      <c r="K2781" s="317">
        <v>1899.0</v>
      </c>
    </row>
    <row r="2782">
      <c r="A2782" s="223"/>
      <c r="B2782" s="223" t="s">
        <v>200</v>
      </c>
      <c r="C2782" s="223"/>
      <c r="D2782" s="316"/>
      <c r="E2782" s="218"/>
      <c r="F2782" s="218"/>
      <c r="G2782" s="218" t="s">
        <v>200</v>
      </c>
      <c r="H2782" s="223">
        <v>0.0</v>
      </c>
      <c r="J2782" s="223"/>
      <c r="K2782" s="317">
        <v>1899.0</v>
      </c>
    </row>
    <row r="2783">
      <c r="A2783" s="223"/>
      <c r="B2783" s="223" t="s">
        <v>200</v>
      </c>
      <c r="C2783" s="223"/>
      <c r="D2783" s="316"/>
      <c r="E2783" s="218"/>
      <c r="F2783" s="218"/>
      <c r="G2783" s="218" t="s">
        <v>200</v>
      </c>
      <c r="H2783" s="223">
        <v>0.0</v>
      </c>
      <c r="J2783" s="223"/>
      <c r="K2783" s="317">
        <v>1899.0</v>
      </c>
    </row>
    <row r="2784">
      <c r="A2784" s="223"/>
      <c r="B2784" s="223" t="s">
        <v>200</v>
      </c>
      <c r="C2784" s="223"/>
      <c r="D2784" s="316"/>
      <c r="E2784" s="218"/>
      <c r="F2784" s="218"/>
      <c r="G2784" s="218" t="s">
        <v>200</v>
      </c>
      <c r="H2784" s="223">
        <v>0.0</v>
      </c>
      <c r="J2784" s="223"/>
      <c r="K2784" s="317">
        <v>1899.0</v>
      </c>
    </row>
    <row r="2785">
      <c r="A2785" s="223"/>
      <c r="B2785" s="223" t="s">
        <v>200</v>
      </c>
      <c r="C2785" s="223"/>
      <c r="D2785" s="316"/>
      <c r="E2785" s="218"/>
      <c r="F2785" s="218"/>
      <c r="G2785" s="218" t="s">
        <v>200</v>
      </c>
      <c r="H2785" s="223">
        <v>0.0</v>
      </c>
      <c r="J2785" s="223"/>
      <c r="K2785" s="317">
        <v>1899.0</v>
      </c>
    </row>
    <row r="2786">
      <c r="A2786" s="223"/>
      <c r="B2786" s="223" t="s">
        <v>200</v>
      </c>
      <c r="C2786" s="223"/>
      <c r="D2786" s="316"/>
      <c r="E2786" s="218"/>
      <c r="F2786" s="218"/>
      <c r="G2786" s="218" t="s">
        <v>200</v>
      </c>
      <c r="H2786" s="223">
        <v>0.0</v>
      </c>
      <c r="J2786" s="223"/>
      <c r="K2786" s="317">
        <v>1899.0</v>
      </c>
    </row>
    <row r="2787">
      <c r="A2787" s="223"/>
      <c r="B2787" s="223" t="s">
        <v>200</v>
      </c>
      <c r="C2787" s="223"/>
      <c r="D2787" s="316"/>
      <c r="E2787" s="218"/>
      <c r="F2787" s="218"/>
      <c r="G2787" s="218" t="s">
        <v>200</v>
      </c>
      <c r="H2787" s="223">
        <v>0.0</v>
      </c>
      <c r="J2787" s="223"/>
      <c r="K2787" s="317">
        <v>1899.0</v>
      </c>
    </row>
    <row r="2788">
      <c r="A2788" s="223"/>
      <c r="B2788" s="223" t="s">
        <v>200</v>
      </c>
      <c r="C2788" s="223"/>
      <c r="D2788" s="316"/>
      <c r="E2788" s="218"/>
      <c r="F2788" s="218"/>
      <c r="G2788" s="218" t="s">
        <v>200</v>
      </c>
      <c r="H2788" s="223">
        <v>0.0</v>
      </c>
      <c r="J2788" s="223"/>
      <c r="K2788" s="317">
        <v>1899.0</v>
      </c>
    </row>
    <row r="2789">
      <c r="A2789" s="223"/>
      <c r="B2789" s="223" t="s">
        <v>200</v>
      </c>
      <c r="C2789" s="223"/>
      <c r="D2789" s="316"/>
      <c r="E2789" s="218"/>
      <c r="F2789" s="218"/>
      <c r="G2789" s="218" t="s">
        <v>200</v>
      </c>
      <c r="H2789" s="223">
        <v>0.0</v>
      </c>
      <c r="J2789" s="223"/>
      <c r="K2789" s="317">
        <v>1899.0</v>
      </c>
    </row>
    <row r="2790">
      <c r="A2790" s="223"/>
      <c r="B2790" s="223" t="s">
        <v>200</v>
      </c>
      <c r="C2790" s="223"/>
      <c r="D2790" s="316"/>
      <c r="E2790" s="218"/>
      <c r="F2790" s="218"/>
      <c r="G2790" s="218" t="s">
        <v>200</v>
      </c>
      <c r="H2790" s="223">
        <v>0.0</v>
      </c>
      <c r="J2790" s="223"/>
      <c r="K2790" s="317">
        <v>1899.0</v>
      </c>
    </row>
    <row r="2791">
      <c r="A2791" s="223"/>
      <c r="B2791" s="223" t="s">
        <v>200</v>
      </c>
      <c r="C2791" s="223"/>
      <c r="D2791" s="316"/>
      <c r="E2791" s="218"/>
      <c r="F2791" s="218"/>
      <c r="G2791" s="218" t="s">
        <v>200</v>
      </c>
      <c r="H2791" s="223">
        <v>0.0</v>
      </c>
      <c r="J2791" s="223"/>
      <c r="K2791" s="317">
        <v>1899.0</v>
      </c>
    </row>
    <row r="2792">
      <c r="A2792" s="223"/>
      <c r="B2792" s="223" t="s">
        <v>200</v>
      </c>
      <c r="C2792" s="223"/>
      <c r="D2792" s="316"/>
      <c r="E2792" s="218"/>
      <c r="F2792" s="218"/>
      <c r="G2792" s="218" t="s">
        <v>200</v>
      </c>
      <c r="H2792" s="223">
        <v>0.0</v>
      </c>
      <c r="J2792" s="223"/>
      <c r="K2792" s="317">
        <v>1899.0</v>
      </c>
    </row>
    <row r="2793">
      <c r="A2793" s="223"/>
      <c r="B2793" s="223" t="s">
        <v>200</v>
      </c>
      <c r="C2793" s="223"/>
      <c r="D2793" s="316"/>
      <c r="E2793" s="218"/>
      <c r="F2793" s="218"/>
      <c r="G2793" s="218" t="s">
        <v>200</v>
      </c>
      <c r="H2793" s="223">
        <v>0.0</v>
      </c>
      <c r="J2793" s="223"/>
      <c r="K2793" s="317">
        <v>1899.0</v>
      </c>
    </row>
    <row r="2794">
      <c r="A2794" s="223"/>
      <c r="B2794" s="223" t="s">
        <v>200</v>
      </c>
      <c r="C2794" s="223"/>
      <c r="D2794" s="316"/>
      <c r="E2794" s="218"/>
      <c r="F2794" s="218"/>
      <c r="G2794" s="218" t="s">
        <v>200</v>
      </c>
      <c r="H2794" s="223">
        <v>0.0</v>
      </c>
      <c r="J2794" s="223"/>
      <c r="K2794" s="317">
        <v>1899.0</v>
      </c>
    </row>
    <row r="2795">
      <c r="A2795" s="223"/>
      <c r="B2795" s="223" t="s">
        <v>200</v>
      </c>
      <c r="C2795" s="223"/>
      <c r="D2795" s="316"/>
      <c r="E2795" s="218"/>
      <c r="F2795" s="218"/>
      <c r="G2795" s="218" t="s">
        <v>200</v>
      </c>
      <c r="H2795" s="223">
        <v>0.0</v>
      </c>
      <c r="J2795" s="223"/>
      <c r="K2795" s="317">
        <v>1899.0</v>
      </c>
    </row>
    <row r="2796">
      <c r="A2796" s="223"/>
      <c r="B2796" s="223" t="s">
        <v>200</v>
      </c>
      <c r="C2796" s="223"/>
      <c r="D2796" s="316"/>
      <c r="E2796" s="218"/>
      <c r="F2796" s="218"/>
      <c r="G2796" s="218" t="s">
        <v>200</v>
      </c>
      <c r="H2796" s="223">
        <v>0.0</v>
      </c>
      <c r="J2796" s="223"/>
      <c r="K2796" s="317">
        <v>1899.0</v>
      </c>
    </row>
    <row r="2797">
      <c r="A2797" s="223"/>
      <c r="B2797" s="223" t="s">
        <v>200</v>
      </c>
      <c r="C2797" s="223"/>
      <c r="D2797" s="316"/>
      <c r="E2797" s="218"/>
      <c r="F2797" s="218"/>
      <c r="G2797" s="218" t="s">
        <v>200</v>
      </c>
      <c r="H2797" s="223">
        <v>0.0</v>
      </c>
      <c r="J2797" s="223"/>
      <c r="K2797" s="317">
        <v>1899.0</v>
      </c>
    </row>
    <row r="2798">
      <c r="A2798" s="223"/>
      <c r="B2798" s="223" t="s">
        <v>200</v>
      </c>
      <c r="C2798" s="223"/>
      <c r="D2798" s="316"/>
      <c r="E2798" s="218"/>
      <c r="F2798" s="218"/>
      <c r="G2798" s="218" t="s">
        <v>200</v>
      </c>
      <c r="H2798" s="223">
        <v>0.0</v>
      </c>
      <c r="J2798" s="223"/>
      <c r="K2798" s="317">
        <v>1899.0</v>
      </c>
    </row>
    <row r="2799">
      <c r="A2799" s="223"/>
      <c r="B2799" s="223" t="s">
        <v>200</v>
      </c>
      <c r="C2799" s="223"/>
      <c r="D2799" s="316"/>
      <c r="E2799" s="218"/>
      <c r="F2799" s="218"/>
      <c r="G2799" s="218" t="s">
        <v>200</v>
      </c>
      <c r="H2799" s="223">
        <v>0.0</v>
      </c>
      <c r="J2799" s="223"/>
      <c r="K2799" s="317">
        <v>1899.0</v>
      </c>
    </row>
    <row r="2800">
      <c r="A2800" s="223"/>
      <c r="B2800" s="223" t="s">
        <v>200</v>
      </c>
      <c r="C2800" s="223"/>
      <c r="D2800" s="316"/>
      <c r="E2800" s="218"/>
      <c r="F2800" s="218"/>
      <c r="G2800" s="218" t="s">
        <v>200</v>
      </c>
      <c r="H2800" s="223">
        <v>0.0</v>
      </c>
      <c r="J2800" s="223"/>
      <c r="K2800" s="317">
        <v>1899.0</v>
      </c>
    </row>
    <row r="2801">
      <c r="A2801" s="223"/>
      <c r="B2801" s="223" t="s">
        <v>200</v>
      </c>
      <c r="C2801" s="223"/>
      <c r="D2801" s="316"/>
      <c r="E2801" s="218"/>
      <c r="F2801" s="218"/>
      <c r="G2801" s="218" t="s">
        <v>200</v>
      </c>
      <c r="H2801" s="223">
        <v>0.0</v>
      </c>
      <c r="J2801" s="223"/>
      <c r="K2801" s="317">
        <v>1899.0</v>
      </c>
    </row>
    <row r="2802">
      <c r="A2802" s="223"/>
      <c r="B2802" s="223" t="s">
        <v>200</v>
      </c>
      <c r="C2802" s="223"/>
      <c r="D2802" s="316"/>
      <c r="E2802" s="218"/>
      <c r="F2802" s="218"/>
      <c r="G2802" s="218" t="s">
        <v>200</v>
      </c>
      <c r="H2802" s="223">
        <v>0.0</v>
      </c>
      <c r="J2802" s="223"/>
      <c r="K2802" s="317">
        <v>1899.0</v>
      </c>
    </row>
    <row r="2803">
      <c r="A2803" s="223"/>
      <c r="B2803" s="223" t="s">
        <v>200</v>
      </c>
      <c r="C2803" s="223"/>
      <c r="D2803" s="316"/>
      <c r="E2803" s="218"/>
      <c r="F2803" s="218"/>
      <c r="G2803" s="218" t="s">
        <v>200</v>
      </c>
      <c r="H2803" s="223">
        <v>0.0</v>
      </c>
      <c r="J2803" s="223"/>
      <c r="K2803" s="317">
        <v>1899.0</v>
      </c>
    </row>
    <row r="2804">
      <c r="A2804" s="223"/>
      <c r="B2804" s="223" t="s">
        <v>200</v>
      </c>
      <c r="C2804" s="223"/>
      <c r="D2804" s="316"/>
      <c r="E2804" s="218"/>
      <c r="F2804" s="218"/>
      <c r="G2804" s="218" t="s">
        <v>200</v>
      </c>
      <c r="H2804" s="223">
        <v>0.0</v>
      </c>
      <c r="J2804" s="223"/>
      <c r="K2804" s="317">
        <v>1899.0</v>
      </c>
    </row>
    <row r="2805">
      <c r="A2805" s="223"/>
      <c r="B2805" s="223" t="s">
        <v>200</v>
      </c>
      <c r="C2805" s="223"/>
      <c r="D2805" s="316"/>
      <c r="E2805" s="218"/>
      <c r="F2805" s="218"/>
      <c r="G2805" s="218" t="s">
        <v>200</v>
      </c>
      <c r="H2805" s="223">
        <v>0.0</v>
      </c>
      <c r="J2805" s="223"/>
      <c r="K2805" s="317">
        <v>1899.0</v>
      </c>
    </row>
    <row r="2806">
      <c r="A2806" s="223"/>
      <c r="B2806" s="223" t="s">
        <v>200</v>
      </c>
      <c r="C2806" s="223"/>
      <c r="D2806" s="316"/>
      <c r="E2806" s="218"/>
      <c r="F2806" s="218"/>
      <c r="G2806" s="218" t="s">
        <v>200</v>
      </c>
      <c r="H2806" s="223">
        <v>0.0</v>
      </c>
      <c r="J2806" s="223"/>
      <c r="K2806" s="317">
        <v>1899.0</v>
      </c>
    </row>
    <row r="2807">
      <c r="A2807" s="223"/>
      <c r="B2807" s="223" t="s">
        <v>200</v>
      </c>
      <c r="C2807" s="223"/>
      <c r="D2807" s="316"/>
      <c r="E2807" s="218"/>
      <c r="F2807" s="218"/>
      <c r="G2807" s="218" t="s">
        <v>200</v>
      </c>
      <c r="H2807" s="223">
        <v>0.0</v>
      </c>
      <c r="J2807" s="223"/>
      <c r="K2807" s="317">
        <v>1899.0</v>
      </c>
    </row>
    <row r="2808">
      <c r="A2808" s="223"/>
      <c r="B2808" s="223" t="s">
        <v>200</v>
      </c>
      <c r="C2808" s="223"/>
      <c r="D2808" s="316"/>
      <c r="E2808" s="218"/>
      <c r="F2808" s="218"/>
      <c r="G2808" s="218" t="s">
        <v>200</v>
      </c>
      <c r="H2808" s="223">
        <v>0.0</v>
      </c>
      <c r="J2808" s="223"/>
      <c r="K2808" s="317">
        <v>1899.0</v>
      </c>
    </row>
    <row r="2809">
      <c r="A2809" s="223"/>
      <c r="B2809" s="223" t="s">
        <v>200</v>
      </c>
      <c r="C2809" s="223"/>
      <c r="D2809" s="316"/>
      <c r="E2809" s="218"/>
      <c r="F2809" s="218"/>
      <c r="G2809" s="218" t="s">
        <v>200</v>
      </c>
      <c r="H2809" s="223">
        <v>0.0</v>
      </c>
      <c r="J2809" s="223"/>
      <c r="K2809" s="317">
        <v>1899.0</v>
      </c>
    </row>
    <row r="2810">
      <c r="A2810" s="223"/>
      <c r="B2810" s="223" t="s">
        <v>200</v>
      </c>
      <c r="C2810" s="223"/>
      <c r="D2810" s="316"/>
      <c r="E2810" s="218"/>
      <c r="F2810" s="218"/>
      <c r="G2810" s="218" t="s">
        <v>200</v>
      </c>
      <c r="H2810" s="223">
        <v>0.0</v>
      </c>
      <c r="J2810" s="223"/>
      <c r="K2810" s="317">
        <v>1899.0</v>
      </c>
    </row>
    <row r="2811">
      <c r="A2811" s="223"/>
      <c r="B2811" s="223" t="s">
        <v>200</v>
      </c>
      <c r="C2811" s="223"/>
      <c r="D2811" s="316"/>
      <c r="E2811" s="218"/>
      <c r="F2811" s="218"/>
      <c r="G2811" s="218" t="s">
        <v>200</v>
      </c>
      <c r="H2811" s="223">
        <v>0.0</v>
      </c>
      <c r="J2811" s="223"/>
      <c r="K2811" s="317">
        <v>1899.0</v>
      </c>
    </row>
    <row r="2812">
      <c r="A2812" s="223"/>
      <c r="B2812" s="223" t="s">
        <v>200</v>
      </c>
      <c r="C2812" s="223"/>
      <c r="D2812" s="316"/>
      <c r="E2812" s="218"/>
      <c r="F2812" s="218"/>
      <c r="G2812" s="218" t="s">
        <v>200</v>
      </c>
      <c r="H2812" s="223">
        <v>0.0</v>
      </c>
      <c r="J2812" s="223"/>
      <c r="K2812" s="317">
        <v>1899.0</v>
      </c>
    </row>
    <row r="2813">
      <c r="A2813" s="223"/>
      <c r="B2813" s="223" t="s">
        <v>200</v>
      </c>
      <c r="C2813" s="223"/>
      <c r="D2813" s="316"/>
      <c r="E2813" s="218"/>
      <c r="F2813" s="218"/>
      <c r="G2813" s="218" t="s">
        <v>200</v>
      </c>
      <c r="H2813" s="223">
        <v>0.0</v>
      </c>
      <c r="J2813" s="223"/>
      <c r="K2813" s="317">
        <v>1899.0</v>
      </c>
    </row>
    <row r="2814">
      <c r="A2814" s="223"/>
      <c r="B2814" s="223" t="s">
        <v>200</v>
      </c>
      <c r="C2814" s="223"/>
      <c r="D2814" s="316"/>
      <c r="E2814" s="218"/>
      <c r="F2814" s="218"/>
      <c r="G2814" s="218" t="s">
        <v>200</v>
      </c>
      <c r="H2814" s="223">
        <v>0.0</v>
      </c>
      <c r="J2814" s="223"/>
      <c r="K2814" s="317">
        <v>1899.0</v>
      </c>
    </row>
    <row r="2815">
      <c r="A2815" s="223"/>
      <c r="B2815" s="223" t="s">
        <v>200</v>
      </c>
      <c r="C2815" s="223"/>
      <c r="D2815" s="316"/>
      <c r="E2815" s="218"/>
      <c r="F2815" s="218"/>
      <c r="G2815" s="218" t="s">
        <v>200</v>
      </c>
      <c r="H2815" s="223">
        <v>0.0</v>
      </c>
      <c r="J2815" s="223"/>
      <c r="K2815" s="317">
        <v>1899.0</v>
      </c>
    </row>
    <row r="2816">
      <c r="A2816" s="223"/>
      <c r="B2816" s="223" t="s">
        <v>200</v>
      </c>
      <c r="C2816" s="223"/>
      <c r="D2816" s="316"/>
      <c r="E2816" s="218"/>
      <c r="F2816" s="218"/>
      <c r="G2816" s="218" t="s">
        <v>200</v>
      </c>
      <c r="H2816" s="223">
        <v>0.0</v>
      </c>
      <c r="J2816" s="223"/>
      <c r="K2816" s="317">
        <v>1899.0</v>
      </c>
    </row>
    <row r="2817">
      <c r="A2817" s="223"/>
      <c r="B2817" s="223" t="s">
        <v>200</v>
      </c>
      <c r="C2817" s="223"/>
      <c r="D2817" s="316"/>
      <c r="E2817" s="218"/>
      <c r="F2817" s="218"/>
      <c r="G2817" s="218" t="s">
        <v>200</v>
      </c>
      <c r="H2817" s="223">
        <v>0.0</v>
      </c>
      <c r="J2817" s="223"/>
      <c r="K2817" s="317">
        <v>1899.0</v>
      </c>
    </row>
    <row r="2818">
      <c r="A2818" s="223"/>
      <c r="B2818" s="223" t="s">
        <v>200</v>
      </c>
      <c r="C2818" s="223"/>
      <c r="D2818" s="316"/>
      <c r="E2818" s="218"/>
      <c r="F2818" s="218"/>
      <c r="G2818" s="218" t="s">
        <v>200</v>
      </c>
      <c r="H2818" s="223">
        <v>0.0</v>
      </c>
      <c r="J2818" s="223"/>
      <c r="K2818" s="317">
        <v>1899.0</v>
      </c>
    </row>
    <row r="2819">
      <c r="A2819" s="223"/>
      <c r="B2819" s="223" t="s">
        <v>200</v>
      </c>
      <c r="C2819" s="223"/>
      <c r="D2819" s="316"/>
      <c r="E2819" s="218"/>
      <c r="F2819" s="218"/>
      <c r="G2819" s="218" t="s">
        <v>200</v>
      </c>
      <c r="H2819" s="223">
        <v>0.0</v>
      </c>
      <c r="J2819" s="223"/>
      <c r="K2819" s="317">
        <v>1899.0</v>
      </c>
    </row>
    <row r="2820">
      <c r="A2820" s="223"/>
      <c r="B2820" s="223" t="s">
        <v>200</v>
      </c>
      <c r="C2820" s="223"/>
      <c r="D2820" s="316"/>
      <c r="E2820" s="218"/>
      <c r="F2820" s="218"/>
      <c r="G2820" s="218" t="s">
        <v>200</v>
      </c>
      <c r="H2820" s="223">
        <v>0.0</v>
      </c>
      <c r="J2820" s="223"/>
      <c r="K2820" s="317">
        <v>1899.0</v>
      </c>
    </row>
    <row r="2821">
      <c r="A2821" s="223"/>
      <c r="B2821" s="223" t="s">
        <v>200</v>
      </c>
      <c r="C2821" s="223"/>
      <c r="D2821" s="316"/>
      <c r="E2821" s="218"/>
      <c r="F2821" s="218"/>
      <c r="G2821" s="218" t="s">
        <v>200</v>
      </c>
      <c r="H2821" s="223">
        <v>0.0</v>
      </c>
      <c r="J2821" s="223"/>
      <c r="K2821" s="317">
        <v>1899.0</v>
      </c>
    </row>
    <row r="2822">
      <c r="A2822" s="223"/>
      <c r="B2822" s="223" t="s">
        <v>200</v>
      </c>
      <c r="C2822" s="223"/>
      <c r="D2822" s="316"/>
      <c r="E2822" s="218"/>
      <c r="F2822" s="218"/>
      <c r="G2822" s="218" t="s">
        <v>200</v>
      </c>
      <c r="H2822" s="223">
        <v>0.0</v>
      </c>
      <c r="J2822" s="223"/>
      <c r="K2822" s="317">
        <v>1899.0</v>
      </c>
    </row>
    <row r="2823">
      <c r="A2823" s="223"/>
      <c r="B2823" s="223" t="s">
        <v>200</v>
      </c>
      <c r="C2823" s="223"/>
      <c r="D2823" s="316"/>
      <c r="E2823" s="218"/>
      <c r="F2823" s="218"/>
      <c r="G2823" s="218" t="s">
        <v>200</v>
      </c>
      <c r="H2823" s="223">
        <v>0.0</v>
      </c>
      <c r="J2823" s="223"/>
      <c r="K2823" s="317">
        <v>1899.0</v>
      </c>
    </row>
    <row r="2824">
      <c r="A2824" s="223"/>
      <c r="B2824" s="223" t="s">
        <v>200</v>
      </c>
      <c r="C2824" s="223"/>
      <c r="D2824" s="316"/>
      <c r="E2824" s="218"/>
      <c r="F2824" s="218"/>
      <c r="G2824" s="218" t="s">
        <v>200</v>
      </c>
      <c r="H2824" s="223">
        <v>0.0</v>
      </c>
      <c r="J2824" s="223"/>
      <c r="K2824" s="317">
        <v>1899.0</v>
      </c>
    </row>
    <row r="2825">
      <c r="A2825" s="223"/>
      <c r="B2825" s="223" t="s">
        <v>200</v>
      </c>
      <c r="C2825" s="223"/>
      <c r="D2825" s="316"/>
      <c r="E2825" s="218"/>
      <c r="F2825" s="218"/>
      <c r="G2825" s="218" t="s">
        <v>200</v>
      </c>
      <c r="H2825" s="223">
        <v>0.0</v>
      </c>
      <c r="J2825" s="223"/>
      <c r="K2825" s="317">
        <v>1899.0</v>
      </c>
    </row>
    <row r="2826">
      <c r="A2826" s="223"/>
      <c r="B2826" s="223" t="s">
        <v>200</v>
      </c>
      <c r="C2826" s="223"/>
      <c r="D2826" s="316"/>
      <c r="E2826" s="218"/>
      <c r="F2826" s="218"/>
      <c r="G2826" s="218" t="s">
        <v>200</v>
      </c>
      <c r="H2826" s="223">
        <v>0.0</v>
      </c>
      <c r="J2826" s="223"/>
      <c r="K2826" s="317">
        <v>1899.0</v>
      </c>
    </row>
    <row r="2827">
      <c r="A2827" s="223"/>
      <c r="B2827" s="223" t="s">
        <v>200</v>
      </c>
      <c r="C2827" s="223"/>
      <c r="D2827" s="316"/>
      <c r="E2827" s="218"/>
      <c r="F2827" s="218"/>
      <c r="G2827" s="218" t="s">
        <v>200</v>
      </c>
      <c r="H2827" s="223">
        <v>0.0</v>
      </c>
      <c r="J2827" s="223"/>
      <c r="K2827" s="317">
        <v>1899.0</v>
      </c>
    </row>
    <row r="2828">
      <c r="A2828" s="223"/>
      <c r="B2828" s="223" t="s">
        <v>200</v>
      </c>
      <c r="C2828" s="223"/>
      <c r="D2828" s="316"/>
      <c r="E2828" s="218"/>
      <c r="F2828" s="218"/>
      <c r="G2828" s="218" t="s">
        <v>200</v>
      </c>
      <c r="H2828" s="223">
        <v>0.0</v>
      </c>
      <c r="J2828" s="223"/>
      <c r="K2828" s="317">
        <v>1899.0</v>
      </c>
    </row>
    <row r="2829">
      <c r="A2829" s="223"/>
      <c r="B2829" s="223" t="s">
        <v>200</v>
      </c>
      <c r="C2829" s="223"/>
      <c r="D2829" s="316"/>
      <c r="E2829" s="218"/>
      <c r="F2829" s="218"/>
      <c r="G2829" s="218" t="s">
        <v>200</v>
      </c>
      <c r="H2829" s="223">
        <v>0.0</v>
      </c>
      <c r="J2829" s="223"/>
      <c r="K2829" s="317">
        <v>1899.0</v>
      </c>
    </row>
    <row r="2830">
      <c r="A2830" s="223"/>
      <c r="B2830" s="223" t="s">
        <v>200</v>
      </c>
      <c r="C2830" s="223"/>
      <c r="D2830" s="316"/>
      <c r="E2830" s="218"/>
      <c r="F2830" s="218"/>
      <c r="G2830" s="218" t="s">
        <v>200</v>
      </c>
      <c r="H2830" s="223">
        <v>0.0</v>
      </c>
      <c r="J2830" s="223"/>
      <c r="K2830" s="317">
        <v>1899.0</v>
      </c>
    </row>
    <row r="2831">
      <c r="A2831" s="223"/>
      <c r="B2831" s="223" t="s">
        <v>200</v>
      </c>
      <c r="C2831" s="223"/>
      <c r="D2831" s="316"/>
      <c r="E2831" s="218"/>
      <c r="F2831" s="218"/>
      <c r="G2831" s="218" t="s">
        <v>200</v>
      </c>
      <c r="H2831" s="223">
        <v>0.0</v>
      </c>
      <c r="J2831" s="223"/>
      <c r="K2831" s="317">
        <v>1899.0</v>
      </c>
    </row>
    <row r="2832">
      <c r="A2832" s="223"/>
      <c r="B2832" s="223" t="s">
        <v>200</v>
      </c>
      <c r="C2832" s="223"/>
      <c r="D2832" s="316"/>
      <c r="E2832" s="218"/>
      <c r="F2832" s="218"/>
      <c r="G2832" s="218" t="s">
        <v>200</v>
      </c>
      <c r="H2832" s="223">
        <v>0.0</v>
      </c>
      <c r="J2832" s="223"/>
      <c r="K2832" s="317">
        <v>1899.0</v>
      </c>
    </row>
    <row r="2833">
      <c r="A2833" s="223"/>
      <c r="B2833" s="223" t="s">
        <v>200</v>
      </c>
      <c r="C2833" s="223"/>
      <c r="D2833" s="316"/>
      <c r="E2833" s="218"/>
      <c r="F2833" s="218"/>
      <c r="G2833" s="218" t="s">
        <v>200</v>
      </c>
      <c r="H2833" s="223">
        <v>0.0</v>
      </c>
      <c r="J2833" s="223"/>
      <c r="K2833" s="317">
        <v>1899.0</v>
      </c>
    </row>
    <row r="2834">
      <c r="A2834" s="223"/>
      <c r="B2834" s="223" t="s">
        <v>200</v>
      </c>
      <c r="C2834" s="223"/>
      <c r="D2834" s="316"/>
      <c r="E2834" s="218"/>
      <c r="F2834" s="218"/>
      <c r="G2834" s="218" t="s">
        <v>200</v>
      </c>
      <c r="H2834" s="223">
        <v>0.0</v>
      </c>
      <c r="J2834" s="223"/>
      <c r="K2834" s="317">
        <v>1899.0</v>
      </c>
    </row>
    <row r="2835">
      <c r="A2835" s="223"/>
      <c r="B2835" s="223" t="s">
        <v>200</v>
      </c>
      <c r="C2835" s="223"/>
      <c r="D2835" s="316"/>
      <c r="E2835" s="218"/>
      <c r="F2835" s="218"/>
      <c r="G2835" s="218" t="s">
        <v>200</v>
      </c>
      <c r="H2835" s="223">
        <v>0.0</v>
      </c>
      <c r="J2835" s="223"/>
      <c r="K2835" s="317">
        <v>1899.0</v>
      </c>
    </row>
    <row r="2836">
      <c r="A2836" s="223"/>
      <c r="B2836" s="223" t="s">
        <v>200</v>
      </c>
      <c r="C2836" s="223"/>
      <c r="D2836" s="316"/>
      <c r="E2836" s="218"/>
      <c r="F2836" s="218"/>
      <c r="G2836" s="218" t="s">
        <v>200</v>
      </c>
      <c r="H2836" s="223">
        <v>0.0</v>
      </c>
      <c r="J2836" s="223"/>
      <c r="K2836" s="317">
        <v>1899.0</v>
      </c>
    </row>
    <row r="2837">
      <c r="A2837" s="223"/>
      <c r="B2837" s="223" t="s">
        <v>200</v>
      </c>
      <c r="C2837" s="223"/>
      <c r="D2837" s="316"/>
      <c r="E2837" s="218"/>
      <c r="F2837" s="218"/>
      <c r="G2837" s="218" t="s">
        <v>200</v>
      </c>
      <c r="H2837" s="223">
        <v>0.0</v>
      </c>
      <c r="J2837" s="223"/>
      <c r="K2837" s="317">
        <v>1899.0</v>
      </c>
    </row>
    <row r="2838">
      <c r="A2838" s="223"/>
      <c r="B2838" s="223" t="s">
        <v>200</v>
      </c>
      <c r="C2838" s="223"/>
      <c r="D2838" s="316"/>
      <c r="E2838" s="218"/>
      <c r="F2838" s="218"/>
      <c r="G2838" s="218" t="s">
        <v>200</v>
      </c>
      <c r="H2838" s="223">
        <v>0.0</v>
      </c>
      <c r="J2838" s="223"/>
      <c r="K2838" s="317">
        <v>1899.0</v>
      </c>
    </row>
    <row r="2839">
      <c r="A2839" s="223"/>
      <c r="B2839" s="223" t="s">
        <v>200</v>
      </c>
      <c r="C2839" s="223"/>
      <c r="D2839" s="316"/>
      <c r="E2839" s="218"/>
      <c r="F2839" s="218"/>
      <c r="G2839" s="218" t="s">
        <v>200</v>
      </c>
      <c r="H2839" s="223">
        <v>0.0</v>
      </c>
      <c r="J2839" s="223"/>
      <c r="K2839" s="317">
        <v>1899.0</v>
      </c>
    </row>
    <row r="2840">
      <c r="A2840" s="223"/>
      <c r="B2840" s="223" t="s">
        <v>200</v>
      </c>
      <c r="C2840" s="223"/>
      <c r="D2840" s="316"/>
      <c r="E2840" s="218"/>
      <c r="F2840" s="218"/>
      <c r="G2840" s="218" t="s">
        <v>200</v>
      </c>
      <c r="H2840" s="223">
        <v>0.0</v>
      </c>
      <c r="J2840" s="223"/>
      <c r="K2840" s="317">
        <v>1899.0</v>
      </c>
    </row>
    <row r="2841">
      <c r="A2841" s="223"/>
      <c r="B2841" s="223" t="s">
        <v>200</v>
      </c>
      <c r="C2841" s="223"/>
      <c r="D2841" s="316"/>
      <c r="E2841" s="218"/>
      <c r="F2841" s="218"/>
      <c r="G2841" s="218" t="s">
        <v>200</v>
      </c>
      <c r="H2841" s="223">
        <v>0.0</v>
      </c>
      <c r="J2841" s="223"/>
      <c r="K2841" s="317">
        <v>1899.0</v>
      </c>
    </row>
    <row r="2842">
      <c r="A2842" s="223"/>
      <c r="B2842" s="223" t="s">
        <v>200</v>
      </c>
      <c r="C2842" s="223"/>
      <c r="D2842" s="316"/>
      <c r="E2842" s="218"/>
      <c r="F2842" s="218"/>
      <c r="G2842" s="218" t="s">
        <v>200</v>
      </c>
      <c r="H2842" s="223">
        <v>0.0</v>
      </c>
      <c r="J2842" s="223"/>
      <c r="K2842" s="317">
        <v>1899.0</v>
      </c>
    </row>
    <row r="2843">
      <c r="A2843" s="223"/>
      <c r="B2843" s="223" t="s">
        <v>200</v>
      </c>
      <c r="C2843" s="223"/>
      <c r="D2843" s="316"/>
      <c r="E2843" s="218"/>
      <c r="F2843" s="218"/>
      <c r="G2843" s="218" t="s">
        <v>200</v>
      </c>
      <c r="H2843" s="223">
        <v>0.0</v>
      </c>
      <c r="J2843" s="223"/>
      <c r="K2843" s="317">
        <v>1899.0</v>
      </c>
    </row>
    <row r="2844">
      <c r="A2844" s="223"/>
      <c r="B2844" s="223" t="s">
        <v>200</v>
      </c>
      <c r="C2844" s="223"/>
      <c r="D2844" s="316"/>
      <c r="E2844" s="218"/>
      <c r="F2844" s="218"/>
      <c r="G2844" s="218" t="s">
        <v>200</v>
      </c>
      <c r="H2844" s="223">
        <v>0.0</v>
      </c>
      <c r="J2844" s="223"/>
      <c r="K2844" s="317">
        <v>1899.0</v>
      </c>
    </row>
    <row r="2845">
      <c r="A2845" s="223"/>
      <c r="B2845" s="223" t="s">
        <v>200</v>
      </c>
      <c r="C2845" s="223"/>
      <c r="D2845" s="316"/>
      <c r="E2845" s="218"/>
      <c r="F2845" s="218"/>
      <c r="G2845" s="218" t="s">
        <v>200</v>
      </c>
      <c r="H2845" s="223">
        <v>0.0</v>
      </c>
      <c r="J2845" s="223"/>
      <c r="K2845" s="317">
        <v>1899.0</v>
      </c>
    </row>
    <row r="2846">
      <c r="A2846" s="223"/>
      <c r="B2846" s="223" t="s">
        <v>200</v>
      </c>
      <c r="C2846" s="223"/>
      <c r="D2846" s="316"/>
      <c r="E2846" s="218"/>
      <c r="F2846" s="218"/>
      <c r="G2846" s="218" t="s">
        <v>200</v>
      </c>
      <c r="H2846" s="223">
        <v>0.0</v>
      </c>
      <c r="J2846" s="223"/>
      <c r="K2846" s="317">
        <v>1899.0</v>
      </c>
    </row>
    <row r="2847">
      <c r="A2847" s="223"/>
      <c r="B2847" s="223" t="s">
        <v>200</v>
      </c>
      <c r="C2847" s="223"/>
      <c r="D2847" s="316"/>
      <c r="E2847" s="218"/>
      <c r="F2847" s="218"/>
      <c r="G2847" s="218" t="s">
        <v>200</v>
      </c>
      <c r="H2847" s="223">
        <v>0.0</v>
      </c>
      <c r="J2847" s="223"/>
      <c r="K2847" s="317">
        <v>1899.0</v>
      </c>
    </row>
    <row r="2848">
      <c r="A2848" s="223"/>
      <c r="B2848" s="223" t="s">
        <v>200</v>
      </c>
      <c r="C2848" s="223"/>
      <c r="D2848" s="316"/>
      <c r="E2848" s="218"/>
      <c r="F2848" s="218"/>
      <c r="G2848" s="218" t="s">
        <v>200</v>
      </c>
      <c r="H2848" s="223">
        <v>0.0</v>
      </c>
      <c r="J2848" s="223"/>
      <c r="K2848" s="317">
        <v>1899.0</v>
      </c>
    </row>
    <row r="2849">
      <c r="A2849" s="223"/>
      <c r="B2849" s="223" t="s">
        <v>200</v>
      </c>
      <c r="C2849" s="223"/>
      <c r="D2849" s="316"/>
      <c r="E2849" s="218"/>
      <c r="F2849" s="218"/>
      <c r="G2849" s="218" t="s">
        <v>200</v>
      </c>
      <c r="H2849" s="223">
        <v>0.0</v>
      </c>
      <c r="J2849" s="223"/>
      <c r="K2849" s="317">
        <v>1899.0</v>
      </c>
    </row>
    <row r="2850">
      <c r="A2850" s="223"/>
      <c r="B2850" s="223" t="s">
        <v>200</v>
      </c>
      <c r="C2850" s="223"/>
      <c r="D2850" s="316"/>
      <c r="E2850" s="218"/>
      <c r="F2850" s="218"/>
      <c r="G2850" s="218" t="s">
        <v>200</v>
      </c>
      <c r="H2850" s="223">
        <v>0.0</v>
      </c>
      <c r="J2850" s="223"/>
      <c r="K2850" s="317">
        <v>1899.0</v>
      </c>
    </row>
    <row r="2851">
      <c r="A2851" s="223"/>
      <c r="B2851" s="223" t="s">
        <v>200</v>
      </c>
      <c r="C2851" s="223"/>
      <c r="D2851" s="316"/>
      <c r="E2851" s="218"/>
      <c r="F2851" s="218"/>
      <c r="G2851" s="218" t="s">
        <v>200</v>
      </c>
      <c r="H2851" s="223">
        <v>0.0</v>
      </c>
      <c r="J2851" s="223"/>
      <c r="K2851" s="317">
        <v>1899.0</v>
      </c>
    </row>
    <row r="2852">
      <c r="A2852" s="223"/>
      <c r="B2852" s="223" t="s">
        <v>200</v>
      </c>
      <c r="C2852" s="223"/>
      <c r="D2852" s="316"/>
      <c r="E2852" s="218"/>
      <c r="F2852" s="218"/>
      <c r="G2852" s="218" t="s">
        <v>200</v>
      </c>
      <c r="H2852" s="223">
        <v>0.0</v>
      </c>
      <c r="J2852" s="223"/>
      <c r="K2852" s="317">
        <v>1899.0</v>
      </c>
    </row>
    <row r="2853">
      <c r="A2853" s="223"/>
      <c r="B2853" s="223" t="s">
        <v>200</v>
      </c>
      <c r="C2853" s="223"/>
      <c r="D2853" s="316"/>
      <c r="E2853" s="218"/>
      <c r="F2853" s="218"/>
      <c r="G2853" s="218" t="s">
        <v>200</v>
      </c>
      <c r="H2853" s="223">
        <v>0.0</v>
      </c>
      <c r="J2853" s="223"/>
      <c r="K2853" s="317">
        <v>1899.0</v>
      </c>
    </row>
    <row r="2854">
      <c r="A2854" s="223"/>
      <c r="B2854" s="223" t="s">
        <v>200</v>
      </c>
      <c r="C2854" s="223"/>
      <c r="D2854" s="316"/>
      <c r="E2854" s="218"/>
      <c r="F2854" s="218"/>
      <c r="G2854" s="218" t="s">
        <v>200</v>
      </c>
      <c r="H2854" s="223">
        <v>0.0</v>
      </c>
      <c r="J2854" s="223"/>
      <c r="K2854" s="317">
        <v>1899.0</v>
      </c>
    </row>
    <row r="2855">
      <c r="A2855" s="223"/>
      <c r="B2855" s="223" t="s">
        <v>200</v>
      </c>
      <c r="C2855" s="223"/>
      <c r="D2855" s="316"/>
      <c r="E2855" s="218"/>
      <c r="F2855" s="218"/>
      <c r="G2855" s="218" t="s">
        <v>200</v>
      </c>
      <c r="H2855" s="223">
        <v>0.0</v>
      </c>
      <c r="J2855" s="223"/>
      <c r="K2855" s="317">
        <v>1899.0</v>
      </c>
    </row>
    <row r="2856">
      <c r="A2856" s="223"/>
      <c r="B2856" s="223" t="s">
        <v>200</v>
      </c>
      <c r="C2856" s="223"/>
      <c r="D2856" s="316"/>
      <c r="E2856" s="218"/>
      <c r="F2856" s="218"/>
      <c r="G2856" s="218" t="s">
        <v>200</v>
      </c>
      <c r="H2856" s="223">
        <v>0.0</v>
      </c>
      <c r="J2856" s="223"/>
      <c r="K2856" s="317">
        <v>1899.0</v>
      </c>
    </row>
    <row r="2857">
      <c r="A2857" s="223"/>
      <c r="B2857" s="223" t="s">
        <v>200</v>
      </c>
      <c r="C2857" s="223"/>
      <c r="D2857" s="316"/>
      <c r="E2857" s="218"/>
      <c r="F2857" s="218"/>
      <c r="G2857" s="218" t="s">
        <v>200</v>
      </c>
      <c r="H2857" s="223">
        <v>0.0</v>
      </c>
      <c r="J2857" s="223"/>
      <c r="K2857" s="317">
        <v>1899.0</v>
      </c>
    </row>
    <row r="2858">
      <c r="A2858" s="223"/>
      <c r="B2858" s="223" t="s">
        <v>200</v>
      </c>
      <c r="C2858" s="223"/>
      <c r="D2858" s="316"/>
      <c r="E2858" s="218"/>
      <c r="F2858" s="218"/>
      <c r="G2858" s="218" t="s">
        <v>200</v>
      </c>
      <c r="H2858" s="223">
        <v>0.0</v>
      </c>
      <c r="J2858" s="223"/>
      <c r="K2858" s="317">
        <v>1899.0</v>
      </c>
    </row>
    <row r="2859">
      <c r="A2859" s="223"/>
      <c r="B2859" s="223" t="s">
        <v>200</v>
      </c>
      <c r="C2859" s="223"/>
      <c r="D2859" s="316"/>
      <c r="E2859" s="218"/>
      <c r="F2859" s="218"/>
      <c r="G2859" s="218" t="s">
        <v>200</v>
      </c>
      <c r="H2859" s="223">
        <v>0.0</v>
      </c>
      <c r="J2859" s="223"/>
      <c r="K2859" s="317">
        <v>1899.0</v>
      </c>
    </row>
    <row r="2860">
      <c r="A2860" s="223"/>
      <c r="B2860" s="223" t="s">
        <v>200</v>
      </c>
      <c r="C2860" s="223"/>
      <c r="D2860" s="316"/>
      <c r="E2860" s="218"/>
      <c r="F2860" s="218"/>
      <c r="G2860" s="218" t="s">
        <v>200</v>
      </c>
      <c r="H2860" s="223">
        <v>0.0</v>
      </c>
      <c r="J2860" s="223"/>
      <c r="K2860" s="317">
        <v>1899.0</v>
      </c>
    </row>
    <row r="2861">
      <c r="A2861" s="223"/>
      <c r="B2861" s="223" t="s">
        <v>200</v>
      </c>
      <c r="C2861" s="223"/>
      <c r="D2861" s="316"/>
      <c r="E2861" s="218"/>
      <c r="F2861" s="218"/>
      <c r="G2861" s="218" t="s">
        <v>200</v>
      </c>
      <c r="H2861" s="223">
        <v>0.0</v>
      </c>
      <c r="J2861" s="223"/>
      <c r="K2861" s="317">
        <v>1899.0</v>
      </c>
    </row>
    <row r="2862">
      <c r="A2862" s="223"/>
      <c r="B2862" s="223" t="s">
        <v>200</v>
      </c>
      <c r="C2862" s="223"/>
      <c r="D2862" s="316"/>
      <c r="E2862" s="218"/>
      <c r="F2862" s="218"/>
      <c r="G2862" s="218" t="s">
        <v>200</v>
      </c>
      <c r="H2862" s="223">
        <v>0.0</v>
      </c>
      <c r="J2862" s="223"/>
      <c r="K2862" s="317">
        <v>1899.0</v>
      </c>
    </row>
    <row r="2863">
      <c r="A2863" s="223"/>
      <c r="B2863" s="223" t="s">
        <v>200</v>
      </c>
      <c r="C2863" s="223"/>
      <c r="D2863" s="316"/>
      <c r="E2863" s="218"/>
      <c r="F2863" s="218"/>
      <c r="G2863" s="218" t="s">
        <v>200</v>
      </c>
      <c r="H2863" s="223">
        <v>0.0</v>
      </c>
      <c r="J2863" s="223"/>
      <c r="K2863" s="317">
        <v>1899.0</v>
      </c>
    </row>
    <row r="2864">
      <c r="A2864" s="223"/>
      <c r="B2864" s="223" t="s">
        <v>200</v>
      </c>
      <c r="C2864" s="223"/>
      <c r="D2864" s="316"/>
      <c r="E2864" s="218"/>
      <c r="F2864" s="218"/>
      <c r="G2864" s="218" t="s">
        <v>200</v>
      </c>
      <c r="H2864" s="223">
        <v>0.0</v>
      </c>
      <c r="J2864" s="223"/>
      <c r="K2864" s="317">
        <v>1899.0</v>
      </c>
    </row>
    <row r="2865">
      <c r="A2865" s="223"/>
      <c r="B2865" s="223" t="s">
        <v>200</v>
      </c>
      <c r="C2865" s="223"/>
      <c r="D2865" s="316"/>
      <c r="E2865" s="218"/>
      <c r="F2865" s="218"/>
      <c r="G2865" s="218" t="s">
        <v>200</v>
      </c>
      <c r="H2865" s="223">
        <v>0.0</v>
      </c>
      <c r="J2865" s="223"/>
      <c r="K2865" s="317">
        <v>1899.0</v>
      </c>
    </row>
    <row r="2866">
      <c r="A2866" s="223"/>
      <c r="B2866" s="223" t="s">
        <v>200</v>
      </c>
      <c r="C2866" s="223"/>
      <c r="D2866" s="316"/>
      <c r="E2866" s="218"/>
      <c r="F2866" s="218"/>
      <c r="G2866" s="218" t="s">
        <v>200</v>
      </c>
      <c r="H2866" s="223">
        <v>0.0</v>
      </c>
      <c r="J2866" s="223"/>
      <c r="K2866" s="317">
        <v>1899.0</v>
      </c>
    </row>
    <row r="2867">
      <c r="A2867" s="223"/>
      <c r="B2867" s="223" t="s">
        <v>200</v>
      </c>
      <c r="C2867" s="223"/>
      <c r="D2867" s="316"/>
      <c r="E2867" s="218"/>
      <c r="F2867" s="218"/>
      <c r="G2867" s="218" t="s">
        <v>200</v>
      </c>
      <c r="H2867" s="223">
        <v>0.0</v>
      </c>
      <c r="J2867" s="223"/>
      <c r="K2867" s="317">
        <v>1899.0</v>
      </c>
    </row>
    <row r="2868">
      <c r="A2868" s="223"/>
      <c r="B2868" s="223" t="s">
        <v>200</v>
      </c>
      <c r="C2868" s="223"/>
      <c r="D2868" s="316"/>
      <c r="E2868" s="218"/>
      <c r="F2868" s="218"/>
      <c r="G2868" s="218" t="s">
        <v>200</v>
      </c>
      <c r="H2868" s="223">
        <v>0.0</v>
      </c>
      <c r="J2868" s="223"/>
      <c r="K2868" s="317">
        <v>1899.0</v>
      </c>
    </row>
    <row r="2869">
      <c r="A2869" s="223"/>
      <c r="B2869" s="223" t="s">
        <v>200</v>
      </c>
      <c r="C2869" s="223"/>
      <c r="D2869" s="316"/>
      <c r="E2869" s="218"/>
      <c r="F2869" s="218"/>
      <c r="G2869" s="218" t="s">
        <v>200</v>
      </c>
      <c r="H2869" s="223">
        <v>0.0</v>
      </c>
      <c r="J2869" s="223"/>
      <c r="K2869" s="317">
        <v>1899.0</v>
      </c>
    </row>
    <row r="2870">
      <c r="A2870" s="223"/>
      <c r="B2870" s="223" t="s">
        <v>200</v>
      </c>
      <c r="C2870" s="223"/>
      <c r="D2870" s="316"/>
      <c r="E2870" s="218"/>
      <c r="F2870" s="218"/>
      <c r="G2870" s="218" t="s">
        <v>200</v>
      </c>
      <c r="H2870" s="223">
        <v>0.0</v>
      </c>
      <c r="J2870" s="223"/>
      <c r="K2870" s="317">
        <v>1899.0</v>
      </c>
    </row>
    <row r="2871">
      <c r="A2871" s="223"/>
      <c r="B2871" s="223" t="s">
        <v>200</v>
      </c>
      <c r="C2871" s="223"/>
      <c r="D2871" s="316"/>
      <c r="E2871" s="218"/>
      <c r="F2871" s="218"/>
      <c r="G2871" s="218" t="s">
        <v>200</v>
      </c>
      <c r="H2871" s="223">
        <v>0.0</v>
      </c>
      <c r="J2871" s="223"/>
      <c r="K2871" s="317">
        <v>1899.0</v>
      </c>
    </row>
    <row r="2872">
      <c r="A2872" s="223"/>
      <c r="B2872" s="223" t="s">
        <v>200</v>
      </c>
      <c r="C2872" s="223"/>
      <c r="D2872" s="316"/>
      <c r="E2872" s="218"/>
      <c r="F2872" s="218"/>
      <c r="G2872" s="218" t="s">
        <v>200</v>
      </c>
      <c r="H2872" s="223">
        <v>0.0</v>
      </c>
      <c r="J2872" s="223"/>
      <c r="K2872" s="317">
        <v>1899.0</v>
      </c>
    </row>
    <row r="2873">
      <c r="A2873" s="223"/>
      <c r="B2873" s="223" t="s">
        <v>200</v>
      </c>
      <c r="C2873" s="223"/>
      <c r="D2873" s="316"/>
      <c r="E2873" s="218"/>
      <c r="F2873" s="218"/>
      <c r="G2873" s="218" t="s">
        <v>200</v>
      </c>
      <c r="H2873" s="223">
        <v>0.0</v>
      </c>
      <c r="J2873" s="223"/>
      <c r="K2873" s="317">
        <v>1899.0</v>
      </c>
    </row>
    <row r="2874">
      <c r="A2874" s="223"/>
      <c r="B2874" s="223" t="s">
        <v>200</v>
      </c>
      <c r="C2874" s="223"/>
      <c r="D2874" s="316"/>
      <c r="E2874" s="218"/>
      <c r="F2874" s="218"/>
      <c r="G2874" s="218" t="s">
        <v>200</v>
      </c>
      <c r="H2874" s="223">
        <v>0.0</v>
      </c>
      <c r="J2874" s="223"/>
      <c r="K2874" s="317">
        <v>1899.0</v>
      </c>
    </row>
    <row r="2875">
      <c r="A2875" s="223"/>
      <c r="B2875" s="223" t="s">
        <v>200</v>
      </c>
      <c r="C2875" s="223"/>
      <c r="D2875" s="316"/>
      <c r="E2875" s="218"/>
      <c r="F2875" s="218"/>
      <c r="G2875" s="218" t="s">
        <v>200</v>
      </c>
      <c r="H2875" s="223">
        <v>0.0</v>
      </c>
      <c r="J2875" s="223"/>
      <c r="K2875" s="317">
        <v>1899.0</v>
      </c>
    </row>
    <row r="2876">
      <c r="A2876" s="223"/>
      <c r="B2876" s="223" t="s">
        <v>200</v>
      </c>
      <c r="C2876" s="223"/>
      <c r="D2876" s="316"/>
      <c r="E2876" s="218"/>
      <c r="F2876" s="218"/>
      <c r="G2876" s="218" t="s">
        <v>200</v>
      </c>
      <c r="H2876" s="223">
        <v>0.0</v>
      </c>
      <c r="J2876" s="223"/>
      <c r="K2876" s="317">
        <v>1899.0</v>
      </c>
    </row>
    <row r="2877">
      <c r="A2877" s="223"/>
      <c r="B2877" s="223" t="s">
        <v>200</v>
      </c>
      <c r="C2877" s="223"/>
      <c r="D2877" s="316"/>
      <c r="E2877" s="218"/>
      <c r="F2877" s="218"/>
      <c r="G2877" s="218" t="s">
        <v>200</v>
      </c>
      <c r="H2877" s="223">
        <v>0.0</v>
      </c>
      <c r="J2877" s="223"/>
      <c r="K2877" s="317">
        <v>1899.0</v>
      </c>
    </row>
    <row r="2878">
      <c r="A2878" s="223"/>
      <c r="B2878" s="223" t="s">
        <v>200</v>
      </c>
      <c r="C2878" s="223"/>
      <c r="D2878" s="316"/>
      <c r="E2878" s="218"/>
      <c r="F2878" s="218"/>
      <c r="G2878" s="218" t="s">
        <v>200</v>
      </c>
      <c r="H2878" s="223">
        <v>0.0</v>
      </c>
      <c r="J2878" s="223"/>
      <c r="K2878" s="317">
        <v>1899.0</v>
      </c>
    </row>
    <row r="2879">
      <c r="A2879" s="223"/>
      <c r="B2879" s="223" t="s">
        <v>200</v>
      </c>
      <c r="C2879" s="223"/>
      <c r="D2879" s="316"/>
      <c r="E2879" s="218"/>
      <c r="F2879" s="218"/>
      <c r="G2879" s="218" t="s">
        <v>200</v>
      </c>
      <c r="H2879" s="223">
        <v>0.0</v>
      </c>
      <c r="J2879" s="223"/>
      <c r="K2879" s="317">
        <v>1899.0</v>
      </c>
    </row>
    <row r="2880">
      <c r="A2880" s="223"/>
      <c r="B2880" s="223" t="s">
        <v>200</v>
      </c>
      <c r="C2880" s="223"/>
      <c r="D2880" s="316"/>
      <c r="E2880" s="218"/>
      <c r="F2880" s="218"/>
      <c r="G2880" s="218" t="s">
        <v>200</v>
      </c>
      <c r="H2880" s="223">
        <v>0.0</v>
      </c>
      <c r="J2880" s="223"/>
      <c r="K2880" s="317">
        <v>1899.0</v>
      </c>
    </row>
    <row r="2881">
      <c r="A2881" s="223"/>
      <c r="B2881" s="223" t="s">
        <v>200</v>
      </c>
      <c r="C2881" s="223"/>
      <c r="D2881" s="316"/>
      <c r="E2881" s="218"/>
      <c r="F2881" s="218"/>
      <c r="G2881" s="218" t="s">
        <v>200</v>
      </c>
      <c r="H2881" s="223">
        <v>0.0</v>
      </c>
      <c r="J2881" s="223"/>
      <c r="K2881" s="317">
        <v>1899.0</v>
      </c>
    </row>
    <row r="2882">
      <c r="A2882" s="223"/>
      <c r="B2882" s="223" t="s">
        <v>200</v>
      </c>
      <c r="C2882" s="223"/>
      <c r="D2882" s="316"/>
      <c r="E2882" s="218"/>
      <c r="F2882" s="218"/>
      <c r="G2882" s="218" t="s">
        <v>200</v>
      </c>
      <c r="H2882" s="223">
        <v>0.0</v>
      </c>
      <c r="J2882" s="223"/>
      <c r="K2882" s="317">
        <v>1899.0</v>
      </c>
    </row>
    <row r="2883">
      <c r="A2883" s="223"/>
      <c r="B2883" s="223" t="s">
        <v>200</v>
      </c>
      <c r="C2883" s="223"/>
      <c r="D2883" s="316"/>
      <c r="E2883" s="218"/>
      <c r="F2883" s="218"/>
      <c r="G2883" s="218" t="s">
        <v>200</v>
      </c>
      <c r="H2883" s="223">
        <v>0.0</v>
      </c>
      <c r="J2883" s="223"/>
      <c r="K2883" s="317">
        <v>1899.0</v>
      </c>
    </row>
    <row r="2884">
      <c r="A2884" s="223"/>
      <c r="B2884" s="223" t="s">
        <v>200</v>
      </c>
      <c r="C2884" s="223"/>
      <c r="D2884" s="316"/>
      <c r="E2884" s="218"/>
      <c r="F2884" s="218"/>
      <c r="G2884" s="218" t="s">
        <v>200</v>
      </c>
      <c r="H2884" s="223">
        <v>0.0</v>
      </c>
      <c r="J2884" s="223"/>
      <c r="K2884" s="317">
        <v>1899.0</v>
      </c>
    </row>
    <row r="2885">
      <c r="A2885" s="223"/>
      <c r="B2885" s="223" t="s">
        <v>200</v>
      </c>
      <c r="C2885" s="223"/>
      <c r="D2885" s="316"/>
      <c r="E2885" s="218"/>
      <c r="F2885" s="218"/>
      <c r="G2885" s="218" t="s">
        <v>200</v>
      </c>
      <c r="H2885" s="223">
        <v>0.0</v>
      </c>
      <c r="J2885" s="223"/>
      <c r="K2885" s="317">
        <v>1899.0</v>
      </c>
    </row>
    <row r="2886">
      <c r="A2886" s="223"/>
      <c r="B2886" s="223" t="s">
        <v>200</v>
      </c>
      <c r="C2886" s="223"/>
      <c r="D2886" s="316"/>
      <c r="E2886" s="218"/>
      <c r="F2886" s="218"/>
      <c r="G2886" s="218" t="s">
        <v>200</v>
      </c>
      <c r="H2886" s="223">
        <v>0.0</v>
      </c>
      <c r="J2886" s="223"/>
      <c r="K2886" s="317">
        <v>1899.0</v>
      </c>
    </row>
    <row r="2887">
      <c r="A2887" s="223"/>
      <c r="B2887" s="223" t="s">
        <v>200</v>
      </c>
      <c r="C2887" s="223"/>
      <c r="D2887" s="316"/>
      <c r="E2887" s="218"/>
      <c r="F2887" s="218"/>
      <c r="G2887" s="218" t="s">
        <v>200</v>
      </c>
      <c r="H2887" s="223">
        <v>0.0</v>
      </c>
      <c r="J2887" s="223"/>
      <c r="K2887" s="317">
        <v>1899.0</v>
      </c>
    </row>
    <row r="2888">
      <c r="A2888" s="223"/>
      <c r="B2888" s="223" t="s">
        <v>200</v>
      </c>
      <c r="C2888" s="223"/>
      <c r="D2888" s="316"/>
      <c r="E2888" s="218"/>
      <c r="F2888" s="218"/>
      <c r="G2888" s="218" t="s">
        <v>200</v>
      </c>
      <c r="H2888" s="223">
        <v>0.0</v>
      </c>
      <c r="J2888" s="223"/>
      <c r="K2888" s="317">
        <v>1899.0</v>
      </c>
    </row>
    <row r="2889">
      <c r="A2889" s="223"/>
      <c r="B2889" s="223" t="s">
        <v>200</v>
      </c>
      <c r="C2889" s="223"/>
      <c r="D2889" s="316"/>
      <c r="E2889" s="218"/>
      <c r="F2889" s="218"/>
      <c r="G2889" s="218" t="s">
        <v>200</v>
      </c>
      <c r="H2889" s="223">
        <v>0.0</v>
      </c>
      <c r="J2889" s="223"/>
      <c r="K2889" s="317">
        <v>1899.0</v>
      </c>
    </row>
    <row r="2890">
      <c r="A2890" s="223"/>
      <c r="B2890" s="223" t="s">
        <v>200</v>
      </c>
      <c r="C2890" s="223"/>
      <c r="D2890" s="316"/>
      <c r="E2890" s="218"/>
      <c r="F2890" s="218"/>
      <c r="G2890" s="218" t="s">
        <v>200</v>
      </c>
      <c r="H2890" s="223">
        <v>0.0</v>
      </c>
      <c r="J2890" s="223"/>
      <c r="K2890" s="317">
        <v>1899.0</v>
      </c>
    </row>
    <row r="2891">
      <c r="A2891" s="223"/>
      <c r="B2891" s="223" t="s">
        <v>200</v>
      </c>
      <c r="C2891" s="223"/>
      <c r="D2891" s="316"/>
      <c r="E2891" s="218"/>
      <c r="F2891" s="218"/>
      <c r="G2891" s="218" t="s">
        <v>200</v>
      </c>
      <c r="H2891" s="223">
        <v>0.0</v>
      </c>
      <c r="J2891" s="223"/>
      <c r="K2891" s="317">
        <v>1899.0</v>
      </c>
    </row>
    <row r="2892">
      <c r="A2892" s="223"/>
      <c r="B2892" s="223" t="s">
        <v>200</v>
      </c>
      <c r="C2892" s="223"/>
      <c r="D2892" s="316"/>
      <c r="E2892" s="218"/>
      <c r="F2892" s="218"/>
      <c r="G2892" s="218" t="s">
        <v>200</v>
      </c>
      <c r="H2892" s="223">
        <v>0.0</v>
      </c>
      <c r="J2892" s="223"/>
      <c r="K2892" s="317">
        <v>1899.0</v>
      </c>
    </row>
    <row r="2893">
      <c r="A2893" s="223"/>
      <c r="B2893" s="223" t="s">
        <v>200</v>
      </c>
      <c r="C2893" s="223"/>
      <c r="D2893" s="316"/>
      <c r="E2893" s="218"/>
      <c r="F2893" s="218"/>
      <c r="G2893" s="218" t="s">
        <v>200</v>
      </c>
      <c r="H2893" s="223">
        <v>0.0</v>
      </c>
      <c r="J2893" s="223"/>
      <c r="K2893" s="317">
        <v>1899.0</v>
      </c>
    </row>
    <row r="2894">
      <c r="A2894" s="223"/>
      <c r="B2894" s="223" t="s">
        <v>200</v>
      </c>
      <c r="C2894" s="223"/>
      <c r="D2894" s="316"/>
      <c r="E2894" s="218"/>
      <c r="F2894" s="218"/>
      <c r="G2894" s="218" t="s">
        <v>200</v>
      </c>
      <c r="H2894" s="223">
        <v>0.0</v>
      </c>
      <c r="J2894" s="223"/>
      <c r="K2894" s="317">
        <v>1899.0</v>
      </c>
    </row>
    <row r="2895">
      <c r="A2895" s="223"/>
      <c r="B2895" s="223" t="s">
        <v>200</v>
      </c>
      <c r="C2895" s="223"/>
      <c r="D2895" s="316"/>
      <c r="E2895" s="218"/>
      <c r="F2895" s="218"/>
      <c r="G2895" s="218" t="s">
        <v>200</v>
      </c>
      <c r="H2895" s="223">
        <v>0.0</v>
      </c>
      <c r="J2895" s="223"/>
      <c r="K2895" s="317">
        <v>1899.0</v>
      </c>
    </row>
    <row r="2896">
      <c r="A2896" s="223"/>
      <c r="B2896" s="223" t="s">
        <v>200</v>
      </c>
      <c r="C2896" s="223"/>
      <c r="D2896" s="316"/>
      <c r="E2896" s="218"/>
      <c r="F2896" s="218"/>
      <c r="G2896" s="218" t="s">
        <v>200</v>
      </c>
      <c r="H2896" s="223">
        <v>0.0</v>
      </c>
      <c r="J2896" s="223"/>
      <c r="K2896" s="317">
        <v>1899.0</v>
      </c>
    </row>
    <row r="2897">
      <c r="A2897" s="223"/>
      <c r="B2897" s="223" t="s">
        <v>200</v>
      </c>
      <c r="C2897" s="223"/>
      <c r="D2897" s="316"/>
      <c r="E2897" s="218"/>
      <c r="F2897" s="218"/>
      <c r="G2897" s="218" t="s">
        <v>200</v>
      </c>
      <c r="H2897" s="223">
        <v>0.0</v>
      </c>
      <c r="J2897" s="223"/>
      <c r="K2897" s="317">
        <v>1899.0</v>
      </c>
    </row>
    <row r="2898">
      <c r="A2898" s="223"/>
      <c r="B2898" s="223" t="s">
        <v>200</v>
      </c>
      <c r="C2898" s="223"/>
      <c r="D2898" s="316"/>
      <c r="E2898" s="218"/>
      <c r="F2898" s="218"/>
      <c r="G2898" s="218" t="s">
        <v>200</v>
      </c>
      <c r="H2898" s="223">
        <v>0.0</v>
      </c>
      <c r="J2898" s="223"/>
      <c r="K2898" s="317">
        <v>1899.0</v>
      </c>
    </row>
    <row r="2899">
      <c r="A2899" s="223"/>
      <c r="B2899" s="223" t="s">
        <v>200</v>
      </c>
      <c r="C2899" s="223"/>
      <c r="D2899" s="316"/>
      <c r="E2899" s="218"/>
      <c r="F2899" s="218"/>
      <c r="G2899" s="218" t="s">
        <v>200</v>
      </c>
      <c r="H2899" s="223">
        <v>0.0</v>
      </c>
      <c r="J2899" s="223"/>
      <c r="K2899" s="317">
        <v>1899.0</v>
      </c>
    </row>
    <row r="2900">
      <c r="A2900" s="223"/>
      <c r="B2900" s="223" t="s">
        <v>200</v>
      </c>
      <c r="C2900" s="223"/>
      <c r="D2900" s="316"/>
      <c r="E2900" s="218"/>
      <c r="F2900" s="218"/>
      <c r="G2900" s="218" t="s">
        <v>200</v>
      </c>
      <c r="H2900" s="223">
        <v>0.0</v>
      </c>
      <c r="J2900" s="223"/>
      <c r="K2900" s="317">
        <v>1899.0</v>
      </c>
    </row>
    <row r="2901">
      <c r="A2901" s="223"/>
      <c r="B2901" s="223" t="s">
        <v>200</v>
      </c>
      <c r="C2901" s="223"/>
      <c r="D2901" s="316"/>
      <c r="E2901" s="218"/>
      <c r="F2901" s="218"/>
      <c r="G2901" s="218" t="s">
        <v>200</v>
      </c>
      <c r="H2901" s="223">
        <v>0.0</v>
      </c>
      <c r="J2901" s="223"/>
      <c r="K2901" s="317">
        <v>1899.0</v>
      </c>
    </row>
    <row r="2902">
      <c r="A2902" s="223"/>
      <c r="B2902" s="223" t="s">
        <v>200</v>
      </c>
      <c r="C2902" s="223"/>
      <c r="D2902" s="316"/>
      <c r="E2902" s="218"/>
      <c r="F2902" s="218"/>
      <c r="G2902" s="218" t="s">
        <v>200</v>
      </c>
      <c r="H2902" s="223">
        <v>0.0</v>
      </c>
      <c r="J2902" s="223"/>
      <c r="K2902" s="317">
        <v>1899.0</v>
      </c>
    </row>
    <row r="2903">
      <c r="A2903" s="223"/>
      <c r="B2903" s="223" t="s">
        <v>200</v>
      </c>
      <c r="C2903" s="223"/>
      <c r="D2903" s="316"/>
      <c r="E2903" s="218"/>
      <c r="F2903" s="218"/>
      <c r="G2903" s="218" t="s">
        <v>200</v>
      </c>
      <c r="H2903" s="223">
        <v>0.0</v>
      </c>
      <c r="J2903" s="223"/>
      <c r="K2903" s="317">
        <v>1899.0</v>
      </c>
    </row>
    <row r="2904">
      <c r="A2904" s="223"/>
      <c r="B2904" s="223" t="s">
        <v>200</v>
      </c>
      <c r="C2904" s="223"/>
      <c r="D2904" s="316"/>
      <c r="E2904" s="218"/>
      <c r="F2904" s="218"/>
      <c r="G2904" s="218" t="s">
        <v>200</v>
      </c>
      <c r="H2904" s="223">
        <v>0.0</v>
      </c>
      <c r="J2904" s="223"/>
      <c r="K2904" s="317">
        <v>1899.0</v>
      </c>
    </row>
    <row r="2905">
      <c r="A2905" s="223"/>
      <c r="B2905" s="223" t="s">
        <v>200</v>
      </c>
      <c r="C2905" s="223"/>
      <c r="D2905" s="316"/>
      <c r="E2905" s="218"/>
      <c r="F2905" s="218"/>
      <c r="G2905" s="218" t="s">
        <v>200</v>
      </c>
      <c r="H2905" s="223">
        <v>0.0</v>
      </c>
      <c r="J2905" s="223"/>
      <c r="K2905" s="317">
        <v>1899.0</v>
      </c>
    </row>
    <row r="2906">
      <c r="A2906" s="223"/>
      <c r="B2906" s="223" t="s">
        <v>200</v>
      </c>
      <c r="C2906" s="223"/>
      <c r="D2906" s="316"/>
      <c r="E2906" s="218"/>
      <c r="F2906" s="218"/>
      <c r="G2906" s="218" t="s">
        <v>200</v>
      </c>
      <c r="H2906" s="223">
        <v>0.0</v>
      </c>
      <c r="J2906" s="223"/>
      <c r="K2906" s="317">
        <v>1899.0</v>
      </c>
    </row>
    <row r="2907">
      <c r="A2907" s="223"/>
      <c r="B2907" s="223" t="s">
        <v>200</v>
      </c>
      <c r="C2907" s="223"/>
      <c r="D2907" s="316"/>
      <c r="E2907" s="218"/>
      <c r="F2907" s="218"/>
      <c r="G2907" s="218" t="s">
        <v>200</v>
      </c>
      <c r="H2907" s="223">
        <v>0.0</v>
      </c>
      <c r="J2907" s="223"/>
      <c r="K2907" s="317">
        <v>1899.0</v>
      </c>
    </row>
    <row r="2908">
      <c r="A2908" s="223"/>
      <c r="B2908" s="223" t="s">
        <v>200</v>
      </c>
      <c r="C2908" s="223"/>
      <c r="D2908" s="316"/>
      <c r="E2908" s="218"/>
      <c r="F2908" s="218"/>
      <c r="G2908" s="218" t="s">
        <v>200</v>
      </c>
      <c r="H2908" s="223">
        <v>0.0</v>
      </c>
      <c r="J2908" s="223"/>
      <c r="K2908" s="317">
        <v>1899.0</v>
      </c>
    </row>
    <row r="2909">
      <c r="A2909" s="223"/>
      <c r="B2909" s="223" t="s">
        <v>200</v>
      </c>
      <c r="C2909" s="223"/>
      <c r="D2909" s="316"/>
      <c r="E2909" s="218"/>
      <c r="F2909" s="218"/>
      <c r="G2909" s="218" t="s">
        <v>200</v>
      </c>
      <c r="H2909" s="223">
        <v>0.0</v>
      </c>
      <c r="J2909" s="223"/>
      <c r="K2909" s="317">
        <v>1899.0</v>
      </c>
    </row>
    <row r="2910">
      <c r="A2910" s="223"/>
      <c r="B2910" s="223" t="s">
        <v>200</v>
      </c>
      <c r="C2910" s="223"/>
      <c r="D2910" s="316"/>
      <c r="E2910" s="218"/>
      <c r="F2910" s="218"/>
      <c r="G2910" s="218" t="s">
        <v>200</v>
      </c>
      <c r="H2910" s="223">
        <v>0.0</v>
      </c>
      <c r="J2910" s="223"/>
      <c r="K2910" s="317">
        <v>1899.0</v>
      </c>
    </row>
    <row r="2911">
      <c r="A2911" s="223"/>
      <c r="B2911" s="223" t="s">
        <v>200</v>
      </c>
      <c r="C2911" s="223"/>
      <c r="D2911" s="316"/>
      <c r="E2911" s="218"/>
      <c r="F2911" s="218"/>
      <c r="G2911" s="218" t="s">
        <v>200</v>
      </c>
      <c r="H2911" s="223">
        <v>0.0</v>
      </c>
      <c r="J2911" s="223"/>
      <c r="K2911" s="317">
        <v>1899.0</v>
      </c>
    </row>
    <row r="2912">
      <c r="A2912" s="223"/>
      <c r="B2912" s="223" t="s">
        <v>200</v>
      </c>
      <c r="C2912" s="223"/>
      <c r="D2912" s="316"/>
      <c r="E2912" s="218"/>
      <c r="F2912" s="218"/>
      <c r="G2912" s="218" t="s">
        <v>200</v>
      </c>
      <c r="H2912" s="223">
        <v>0.0</v>
      </c>
      <c r="J2912" s="223"/>
      <c r="K2912" s="317">
        <v>1899.0</v>
      </c>
    </row>
    <row r="2913">
      <c r="A2913" s="223"/>
      <c r="B2913" s="223" t="s">
        <v>200</v>
      </c>
      <c r="C2913" s="223"/>
      <c r="D2913" s="316"/>
      <c r="E2913" s="218"/>
      <c r="F2913" s="218"/>
      <c r="G2913" s="218" t="s">
        <v>200</v>
      </c>
      <c r="H2913" s="223">
        <v>0.0</v>
      </c>
      <c r="J2913" s="223"/>
      <c r="K2913" s="317">
        <v>1899.0</v>
      </c>
    </row>
    <row r="2914">
      <c r="A2914" s="223"/>
      <c r="B2914" s="223" t="s">
        <v>200</v>
      </c>
      <c r="C2914" s="223"/>
      <c r="D2914" s="316"/>
      <c r="E2914" s="218"/>
      <c r="F2914" s="218"/>
      <c r="G2914" s="218" t="s">
        <v>200</v>
      </c>
      <c r="H2914" s="223">
        <v>0.0</v>
      </c>
      <c r="J2914" s="223"/>
      <c r="K2914" s="317">
        <v>1899.0</v>
      </c>
    </row>
    <row r="2915">
      <c r="A2915" s="223"/>
      <c r="B2915" s="223" t="s">
        <v>200</v>
      </c>
      <c r="C2915" s="223"/>
      <c r="D2915" s="316"/>
      <c r="E2915" s="218"/>
      <c r="F2915" s="218"/>
      <c r="G2915" s="218" t="s">
        <v>200</v>
      </c>
      <c r="H2915" s="223">
        <v>0.0</v>
      </c>
      <c r="J2915" s="223"/>
      <c r="K2915" s="317">
        <v>1899.0</v>
      </c>
    </row>
    <row r="2916">
      <c r="A2916" s="223"/>
      <c r="B2916" s="223" t="s">
        <v>200</v>
      </c>
      <c r="C2916" s="223"/>
      <c r="D2916" s="316"/>
      <c r="E2916" s="218"/>
      <c r="F2916" s="218"/>
      <c r="G2916" s="218" t="s">
        <v>200</v>
      </c>
      <c r="H2916" s="223">
        <v>0.0</v>
      </c>
      <c r="J2916" s="223"/>
      <c r="K2916" s="317">
        <v>1899.0</v>
      </c>
    </row>
    <row r="2917">
      <c r="A2917" s="223"/>
      <c r="B2917" s="223" t="s">
        <v>200</v>
      </c>
      <c r="C2917" s="223"/>
      <c r="D2917" s="316"/>
      <c r="E2917" s="218"/>
      <c r="F2917" s="218"/>
      <c r="G2917" s="218" t="s">
        <v>200</v>
      </c>
      <c r="H2917" s="223">
        <v>0.0</v>
      </c>
      <c r="J2917" s="223"/>
      <c r="K2917" s="317">
        <v>1899.0</v>
      </c>
    </row>
    <row r="2918">
      <c r="A2918" s="223"/>
      <c r="B2918" s="223" t="s">
        <v>200</v>
      </c>
      <c r="C2918" s="223"/>
      <c r="D2918" s="316"/>
      <c r="E2918" s="218"/>
      <c r="F2918" s="218"/>
      <c r="G2918" s="218" t="s">
        <v>200</v>
      </c>
      <c r="H2918" s="223">
        <v>0.0</v>
      </c>
      <c r="J2918" s="223"/>
      <c r="K2918" s="317">
        <v>1899.0</v>
      </c>
    </row>
    <row r="2919">
      <c r="A2919" s="223"/>
      <c r="B2919" s="223" t="s">
        <v>200</v>
      </c>
      <c r="C2919" s="223"/>
      <c r="D2919" s="316"/>
      <c r="E2919" s="218"/>
      <c r="F2919" s="218"/>
      <c r="G2919" s="218" t="s">
        <v>200</v>
      </c>
      <c r="H2919" s="223">
        <v>0.0</v>
      </c>
      <c r="J2919" s="223"/>
      <c r="K2919" s="317">
        <v>1899.0</v>
      </c>
    </row>
    <row r="2920">
      <c r="A2920" s="223"/>
      <c r="B2920" s="223" t="s">
        <v>200</v>
      </c>
      <c r="C2920" s="223"/>
      <c r="D2920" s="316"/>
      <c r="E2920" s="218"/>
      <c r="F2920" s="218"/>
      <c r="G2920" s="218" t="s">
        <v>200</v>
      </c>
      <c r="H2920" s="223">
        <v>0.0</v>
      </c>
      <c r="J2920" s="223"/>
      <c r="K2920" s="317">
        <v>1899.0</v>
      </c>
    </row>
    <row r="2921">
      <c r="A2921" s="223"/>
      <c r="B2921" s="223" t="s">
        <v>200</v>
      </c>
      <c r="C2921" s="223"/>
      <c r="D2921" s="316"/>
      <c r="E2921" s="218"/>
      <c r="F2921" s="218"/>
      <c r="G2921" s="218" t="s">
        <v>200</v>
      </c>
      <c r="H2921" s="223">
        <v>0.0</v>
      </c>
      <c r="J2921" s="223"/>
      <c r="K2921" s="317">
        <v>1899.0</v>
      </c>
    </row>
    <row r="2922">
      <c r="A2922" s="223"/>
      <c r="B2922" s="223" t="s">
        <v>200</v>
      </c>
      <c r="C2922" s="223"/>
      <c r="D2922" s="316"/>
      <c r="E2922" s="218"/>
      <c r="F2922" s="218"/>
      <c r="G2922" s="218" t="s">
        <v>200</v>
      </c>
      <c r="H2922" s="223">
        <v>0.0</v>
      </c>
      <c r="J2922" s="223"/>
      <c r="K2922" s="317">
        <v>1899.0</v>
      </c>
    </row>
    <row r="2923">
      <c r="A2923" s="223"/>
      <c r="B2923" s="223" t="s">
        <v>200</v>
      </c>
      <c r="C2923" s="223"/>
      <c r="D2923" s="316"/>
      <c r="E2923" s="218"/>
      <c r="F2923" s="218"/>
      <c r="G2923" s="218" t="s">
        <v>200</v>
      </c>
      <c r="H2923" s="223">
        <v>0.0</v>
      </c>
      <c r="J2923" s="223"/>
      <c r="K2923" s="317">
        <v>1899.0</v>
      </c>
    </row>
    <row r="2924">
      <c r="A2924" s="223"/>
      <c r="B2924" s="223" t="s">
        <v>200</v>
      </c>
      <c r="C2924" s="223"/>
      <c r="D2924" s="316"/>
      <c r="E2924" s="218"/>
      <c r="F2924" s="218"/>
      <c r="G2924" s="218" t="s">
        <v>200</v>
      </c>
      <c r="H2924" s="223">
        <v>0.0</v>
      </c>
      <c r="J2924" s="223"/>
      <c r="K2924" s="317">
        <v>1899.0</v>
      </c>
    </row>
    <row r="2925">
      <c r="A2925" s="223"/>
      <c r="B2925" s="223" t="s">
        <v>200</v>
      </c>
      <c r="C2925" s="223"/>
      <c r="D2925" s="316"/>
      <c r="E2925" s="218"/>
      <c r="F2925" s="218"/>
      <c r="G2925" s="218" t="s">
        <v>200</v>
      </c>
      <c r="H2925" s="223">
        <v>0.0</v>
      </c>
      <c r="J2925" s="223"/>
      <c r="K2925" s="317">
        <v>1899.0</v>
      </c>
    </row>
    <row r="2926">
      <c r="A2926" s="223"/>
      <c r="B2926" s="223" t="s">
        <v>200</v>
      </c>
      <c r="C2926" s="223"/>
      <c r="D2926" s="316"/>
      <c r="E2926" s="218"/>
      <c r="F2926" s="218"/>
      <c r="G2926" s="218" t="s">
        <v>200</v>
      </c>
      <c r="H2926" s="223">
        <v>0.0</v>
      </c>
      <c r="J2926" s="223"/>
      <c r="K2926" s="317">
        <v>1899.0</v>
      </c>
    </row>
    <row r="2927">
      <c r="A2927" s="223"/>
      <c r="B2927" s="223" t="s">
        <v>200</v>
      </c>
      <c r="C2927" s="223"/>
      <c r="D2927" s="316"/>
      <c r="E2927" s="218"/>
      <c r="F2927" s="218"/>
      <c r="G2927" s="218" t="s">
        <v>200</v>
      </c>
      <c r="H2927" s="223">
        <v>0.0</v>
      </c>
      <c r="J2927" s="223"/>
      <c r="K2927" s="317">
        <v>1899.0</v>
      </c>
    </row>
    <row r="2928">
      <c r="A2928" s="223"/>
      <c r="B2928" s="223" t="s">
        <v>200</v>
      </c>
      <c r="C2928" s="223"/>
      <c r="D2928" s="316"/>
      <c r="E2928" s="218"/>
      <c r="F2928" s="218"/>
      <c r="G2928" s="218" t="s">
        <v>200</v>
      </c>
      <c r="H2928" s="223">
        <v>0.0</v>
      </c>
      <c r="J2928" s="223"/>
      <c r="K2928" s="317">
        <v>1899.0</v>
      </c>
    </row>
    <row r="2929">
      <c r="A2929" s="223"/>
      <c r="B2929" s="223" t="s">
        <v>200</v>
      </c>
      <c r="C2929" s="223"/>
      <c r="D2929" s="316"/>
      <c r="E2929" s="218"/>
      <c r="F2929" s="218"/>
      <c r="G2929" s="218" t="s">
        <v>200</v>
      </c>
      <c r="H2929" s="223">
        <v>0.0</v>
      </c>
      <c r="J2929" s="223"/>
      <c r="K2929" s="317">
        <v>1899.0</v>
      </c>
    </row>
    <row r="2930">
      <c r="A2930" s="223"/>
      <c r="B2930" s="223" t="s">
        <v>200</v>
      </c>
      <c r="C2930" s="223"/>
      <c r="D2930" s="316"/>
      <c r="E2930" s="218"/>
      <c r="F2930" s="218"/>
      <c r="G2930" s="218" t="s">
        <v>200</v>
      </c>
      <c r="H2930" s="223">
        <v>0.0</v>
      </c>
      <c r="J2930" s="223"/>
      <c r="K2930" s="317">
        <v>1899.0</v>
      </c>
    </row>
    <row r="2931">
      <c r="A2931" s="223"/>
      <c r="B2931" s="223" t="s">
        <v>200</v>
      </c>
      <c r="C2931" s="223"/>
      <c r="D2931" s="316"/>
      <c r="E2931" s="218"/>
      <c r="F2931" s="218"/>
      <c r="G2931" s="218" t="s">
        <v>200</v>
      </c>
      <c r="H2931" s="223">
        <v>0.0</v>
      </c>
      <c r="J2931" s="223"/>
      <c r="K2931" s="317">
        <v>1899.0</v>
      </c>
    </row>
    <row r="2932">
      <c r="A2932" s="223"/>
      <c r="B2932" s="223" t="s">
        <v>200</v>
      </c>
      <c r="C2932" s="223"/>
      <c r="D2932" s="316"/>
      <c r="E2932" s="218"/>
      <c r="F2932" s="218"/>
      <c r="G2932" s="218" t="s">
        <v>200</v>
      </c>
      <c r="H2932" s="223">
        <v>0.0</v>
      </c>
      <c r="J2932" s="223"/>
      <c r="K2932" s="317">
        <v>1899.0</v>
      </c>
    </row>
    <row r="2933">
      <c r="A2933" s="223"/>
      <c r="B2933" s="223" t="s">
        <v>200</v>
      </c>
      <c r="C2933" s="223"/>
      <c r="D2933" s="316"/>
      <c r="E2933" s="218"/>
      <c r="F2933" s="218"/>
      <c r="G2933" s="218" t="s">
        <v>200</v>
      </c>
      <c r="H2933" s="223">
        <v>0.0</v>
      </c>
      <c r="J2933" s="223"/>
      <c r="K2933" s="317">
        <v>1899.0</v>
      </c>
    </row>
    <row r="2934">
      <c r="A2934" s="223"/>
      <c r="B2934" s="223" t="s">
        <v>200</v>
      </c>
      <c r="C2934" s="223"/>
      <c r="D2934" s="316"/>
      <c r="E2934" s="218"/>
      <c r="F2934" s="218"/>
      <c r="G2934" s="218" t="s">
        <v>200</v>
      </c>
      <c r="H2934" s="223">
        <v>0.0</v>
      </c>
      <c r="J2934" s="223"/>
      <c r="K2934" s="317">
        <v>1899.0</v>
      </c>
    </row>
    <row r="2935">
      <c r="A2935" s="223"/>
      <c r="B2935" s="223" t="s">
        <v>200</v>
      </c>
      <c r="C2935" s="223"/>
      <c r="D2935" s="316"/>
      <c r="E2935" s="218"/>
      <c r="F2935" s="218"/>
      <c r="G2935" s="218" t="s">
        <v>200</v>
      </c>
      <c r="H2935" s="223">
        <v>0.0</v>
      </c>
      <c r="J2935" s="223"/>
      <c r="K2935" s="317">
        <v>1899.0</v>
      </c>
    </row>
    <row r="2936">
      <c r="A2936" s="223"/>
      <c r="B2936" s="223" t="s">
        <v>200</v>
      </c>
      <c r="C2936" s="223"/>
      <c r="D2936" s="316"/>
      <c r="E2936" s="218"/>
      <c r="F2936" s="218"/>
      <c r="G2936" s="218" t="s">
        <v>200</v>
      </c>
      <c r="H2936" s="223">
        <v>0.0</v>
      </c>
      <c r="J2936" s="223"/>
      <c r="K2936" s="317">
        <v>1899.0</v>
      </c>
    </row>
    <row r="2937">
      <c r="A2937" s="223"/>
      <c r="B2937" s="223" t="s">
        <v>200</v>
      </c>
      <c r="C2937" s="223"/>
      <c r="D2937" s="316"/>
      <c r="E2937" s="218"/>
      <c r="F2937" s="218"/>
      <c r="G2937" s="218" t="s">
        <v>200</v>
      </c>
      <c r="H2937" s="223">
        <v>0.0</v>
      </c>
      <c r="J2937" s="223"/>
      <c r="K2937" s="317">
        <v>1899.0</v>
      </c>
    </row>
    <row r="2938">
      <c r="A2938" s="223"/>
      <c r="B2938" s="223" t="s">
        <v>200</v>
      </c>
      <c r="C2938" s="223"/>
      <c r="D2938" s="316"/>
      <c r="E2938" s="218"/>
      <c r="F2938" s="218"/>
      <c r="G2938" s="218" t="s">
        <v>200</v>
      </c>
      <c r="H2938" s="223">
        <v>0.0</v>
      </c>
      <c r="J2938" s="223"/>
      <c r="K2938" s="317">
        <v>1899.0</v>
      </c>
    </row>
    <row r="2939">
      <c r="A2939" s="223"/>
      <c r="B2939" s="223" t="s">
        <v>200</v>
      </c>
      <c r="C2939" s="223"/>
      <c r="D2939" s="316"/>
      <c r="E2939" s="218"/>
      <c r="F2939" s="218"/>
      <c r="G2939" s="218" t="s">
        <v>200</v>
      </c>
      <c r="H2939" s="223">
        <v>0.0</v>
      </c>
      <c r="J2939" s="223"/>
      <c r="K2939" s="317">
        <v>1899.0</v>
      </c>
    </row>
    <row r="2940">
      <c r="A2940" s="223"/>
      <c r="B2940" s="223" t="s">
        <v>200</v>
      </c>
      <c r="C2940" s="223"/>
      <c r="D2940" s="316"/>
      <c r="E2940" s="218"/>
      <c r="F2940" s="218"/>
      <c r="G2940" s="218" t="s">
        <v>200</v>
      </c>
      <c r="H2940" s="223">
        <v>0.0</v>
      </c>
      <c r="J2940" s="223"/>
      <c r="K2940" s="317">
        <v>1899.0</v>
      </c>
    </row>
    <row r="2941">
      <c r="A2941" s="223"/>
      <c r="B2941" s="223" t="s">
        <v>200</v>
      </c>
      <c r="C2941" s="223"/>
      <c r="D2941" s="316"/>
      <c r="E2941" s="218"/>
      <c r="F2941" s="218"/>
      <c r="G2941" s="218" t="s">
        <v>200</v>
      </c>
      <c r="H2941" s="223">
        <v>0.0</v>
      </c>
      <c r="J2941" s="223"/>
      <c r="K2941" s="317">
        <v>1899.0</v>
      </c>
    </row>
    <row r="2942">
      <c r="A2942" s="223"/>
      <c r="B2942" s="223" t="s">
        <v>200</v>
      </c>
      <c r="C2942" s="223"/>
      <c r="D2942" s="316"/>
      <c r="E2942" s="218"/>
      <c r="F2942" s="218"/>
      <c r="G2942" s="218" t="s">
        <v>200</v>
      </c>
      <c r="H2942" s="223">
        <v>0.0</v>
      </c>
      <c r="J2942" s="223"/>
      <c r="K2942" s="317">
        <v>1899.0</v>
      </c>
    </row>
    <row r="2943">
      <c r="A2943" s="223"/>
      <c r="B2943" s="223" t="s">
        <v>200</v>
      </c>
      <c r="C2943" s="223"/>
      <c r="D2943" s="316"/>
      <c r="E2943" s="218"/>
      <c r="F2943" s="218"/>
      <c r="G2943" s="218" t="s">
        <v>200</v>
      </c>
      <c r="H2943" s="223">
        <v>0.0</v>
      </c>
      <c r="J2943" s="223"/>
      <c r="K2943" s="317">
        <v>1899.0</v>
      </c>
    </row>
    <row r="2944">
      <c r="A2944" s="223"/>
      <c r="B2944" s="223" t="s">
        <v>200</v>
      </c>
      <c r="C2944" s="223"/>
      <c r="D2944" s="316"/>
      <c r="E2944" s="218"/>
      <c r="F2944" s="218"/>
      <c r="G2944" s="218" t="s">
        <v>200</v>
      </c>
      <c r="H2944" s="223">
        <v>0.0</v>
      </c>
      <c r="J2944" s="223"/>
      <c r="K2944" s="317">
        <v>1899.0</v>
      </c>
    </row>
    <row r="2945">
      <c r="A2945" s="223"/>
      <c r="B2945" s="223" t="s">
        <v>200</v>
      </c>
      <c r="C2945" s="223"/>
      <c r="D2945" s="316"/>
      <c r="E2945" s="218"/>
      <c r="F2945" s="218"/>
      <c r="G2945" s="218" t="s">
        <v>200</v>
      </c>
      <c r="H2945" s="223">
        <v>0.0</v>
      </c>
      <c r="J2945" s="223"/>
      <c r="K2945" s="317">
        <v>1899.0</v>
      </c>
    </row>
    <row r="2946">
      <c r="A2946" s="223"/>
      <c r="B2946" s="223" t="s">
        <v>200</v>
      </c>
      <c r="C2946" s="223"/>
      <c r="D2946" s="316"/>
      <c r="E2946" s="218"/>
      <c r="F2946" s="218"/>
      <c r="G2946" s="218" t="s">
        <v>200</v>
      </c>
      <c r="H2946" s="223">
        <v>0.0</v>
      </c>
      <c r="J2946" s="223"/>
      <c r="K2946" s="317">
        <v>1899.0</v>
      </c>
    </row>
    <row r="2947">
      <c r="A2947" s="223"/>
      <c r="B2947" s="223" t="s">
        <v>200</v>
      </c>
      <c r="C2947" s="223"/>
      <c r="D2947" s="316"/>
      <c r="E2947" s="218"/>
      <c r="F2947" s="218"/>
      <c r="G2947" s="218" t="s">
        <v>200</v>
      </c>
      <c r="H2947" s="223">
        <v>0.0</v>
      </c>
      <c r="J2947" s="223"/>
      <c r="K2947" s="317">
        <v>1899.0</v>
      </c>
    </row>
    <row r="2948">
      <c r="A2948" s="223"/>
      <c r="B2948" s="223" t="s">
        <v>200</v>
      </c>
      <c r="C2948" s="223"/>
      <c r="D2948" s="316"/>
      <c r="E2948" s="218"/>
      <c r="F2948" s="218"/>
      <c r="G2948" s="218" t="s">
        <v>200</v>
      </c>
      <c r="H2948" s="223">
        <v>0.0</v>
      </c>
      <c r="J2948" s="223"/>
      <c r="K2948" s="317">
        <v>1899.0</v>
      </c>
    </row>
    <row r="2949">
      <c r="A2949" s="223"/>
      <c r="B2949" s="223" t="s">
        <v>200</v>
      </c>
      <c r="C2949" s="223"/>
      <c r="D2949" s="316"/>
      <c r="E2949" s="218"/>
      <c r="F2949" s="218"/>
      <c r="G2949" s="218" t="s">
        <v>200</v>
      </c>
      <c r="H2949" s="223">
        <v>0.0</v>
      </c>
      <c r="J2949" s="223"/>
      <c r="K2949" s="317">
        <v>1899.0</v>
      </c>
    </row>
    <row r="2950">
      <c r="A2950" s="223"/>
      <c r="B2950" s="223" t="s">
        <v>200</v>
      </c>
      <c r="C2950" s="223"/>
      <c r="D2950" s="316"/>
      <c r="E2950" s="218"/>
      <c r="F2950" s="218"/>
      <c r="G2950" s="218" t="s">
        <v>200</v>
      </c>
      <c r="H2950" s="223">
        <v>0.0</v>
      </c>
      <c r="J2950" s="223"/>
      <c r="K2950" s="317">
        <v>1899.0</v>
      </c>
    </row>
    <row r="2951">
      <c r="A2951" s="223"/>
      <c r="B2951" s="223" t="s">
        <v>200</v>
      </c>
      <c r="C2951" s="223"/>
      <c r="D2951" s="316"/>
      <c r="E2951" s="218"/>
      <c r="F2951" s="218"/>
      <c r="G2951" s="218" t="s">
        <v>200</v>
      </c>
      <c r="H2951" s="223">
        <v>0.0</v>
      </c>
      <c r="J2951" s="223"/>
      <c r="K2951" s="317">
        <v>1899.0</v>
      </c>
    </row>
    <row r="2952">
      <c r="A2952" s="223"/>
      <c r="B2952" s="223" t="s">
        <v>200</v>
      </c>
      <c r="C2952" s="223"/>
      <c r="D2952" s="316"/>
      <c r="E2952" s="218"/>
      <c r="F2952" s="218"/>
      <c r="G2952" s="218" t="s">
        <v>200</v>
      </c>
      <c r="H2952" s="223">
        <v>0.0</v>
      </c>
      <c r="J2952" s="223"/>
      <c r="K2952" s="317">
        <v>1899.0</v>
      </c>
    </row>
    <row r="2953">
      <c r="A2953" s="223"/>
      <c r="B2953" s="223" t="s">
        <v>200</v>
      </c>
      <c r="C2953" s="223"/>
      <c r="D2953" s="316"/>
      <c r="E2953" s="218"/>
      <c r="F2953" s="218"/>
      <c r="G2953" s="218" t="s">
        <v>200</v>
      </c>
      <c r="H2953" s="223">
        <v>0.0</v>
      </c>
      <c r="J2953" s="223"/>
      <c r="K2953" s="317">
        <v>1899.0</v>
      </c>
    </row>
    <row r="2954">
      <c r="A2954" s="223"/>
      <c r="B2954" s="223" t="s">
        <v>200</v>
      </c>
      <c r="C2954" s="223"/>
      <c r="D2954" s="316"/>
      <c r="E2954" s="218"/>
      <c r="F2954" s="218"/>
      <c r="G2954" s="218" t="s">
        <v>200</v>
      </c>
      <c r="H2954" s="223">
        <v>0.0</v>
      </c>
      <c r="J2954" s="223"/>
      <c r="K2954" s="317">
        <v>1899.0</v>
      </c>
    </row>
    <row r="2955">
      <c r="B2955" s="223" t="s">
        <v>200</v>
      </c>
      <c r="C2955" s="223"/>
      <c r="D2955" s="316"/>
      <c r="H2955" s="223">
        <v>0.0</v>
      </c>
      <c r="K2955" s="317"/>
    </row>
    <row r="2956">
      <c r="B2956" s="223" t="s">
        <v>200</v>
      </c>
      <c r="C2956" s="223"/>
      <c r="D2956" s="316"/>
      <c r="H2956" s="223">
        <v>0.0</v>
      </c>
      <c r="K2956" s="317"/>
    </row>
    <row r="2957">
      <c r="B2957" s="223" t="s">
        <v>200</v>
      </c>
      <c r="C2957" s="223"/>
      <c r="D2957" s="316"/>
      <c r="H2957" s="223">
        <v>0.0</v>
      </c>
      <c r="K2957" s="317"/>
    </row>
    <row r="2958">
      <c r="B2958" s="223" t="s">
        <v>200</v>
      </c>
      <c r="C2958" s="223"/>
      <c r="D2958" s="316"/>
      <c r="H2958" s="223">
        <v>0.0</v>
      </c>
      <c r="K2958" s="317"/>
    </row>
    <row r="2959">
      <c r="B2959" s="223" t="s">
        <v>200</v>
      </c>
      <c r="C2959" s="223"/>
      <c r="D2959" s="316"/>
      <c r="H2959" s="223">
        <v>0.0</v>
      </c>
      <c r="K2959" s="317"/>
    </row>
    <row r="2960">
      <c r="B2960" s="223" t="s">
        <v>200</v>
      </c>
      <c r="C2960" s="223"/>
      <c r="D2960" s="316"/>
      <c r="H2960" s="223">
        <v>0.0</v>
      </c>
      <c r="K2960" s="317"/>
    </row>
    <row r="2961">
      <c r="B2961" s="223" t="s">
        <v>200</v>
      </c>
      <c r="C2961" s="223"/>
      <c r="D2961" s="316"/>
      <c r="H2961" s="223">
        <v>0.0</v>
      </c>
      <c r="K2961" s="317"/>
    </row>
    <row r="2962">
      <c r="B2962" s="223" t="s">
        <v>200</v>
      </c>
      <c r="C2962" s="223"/>
      <c r="D2962" s="316"/>
      <c r="H2962" s="223">
        <v>0.0</v>
      </c>
      <c r="K2962" s="317"/>
    </row>
    <row r="2963">
      <c r="B2963" s="223" t="s">
        <v>200</v>
      </c>
      <c r="C2963" s="223"/>
      <c r="D2963" s="316"/>
      <c r="H2963" s="223">
        <v>0.0</v>
      </c>
      <c r="K2963" s="317"/>
    </row>
    <row r="2964">
      <c r="B2964" s="223" t="s">
        <v>200</v>
      </c>
      <c r="C2964" s="223"/>
      <c r="D2964" s="316"/>
      <c r="H2964" s="223">
        <v>0.0</v>
      </c>
      <c r="K2964" s="317"/>
    </row>
    <row r="2965">
      <c r="B2965" s="223" t="s">
        <v>200</v>
      </c>
      <c r="C2965" s="223"/>
      <c r="D2965" s="316"/>
      <c r="H2965" s="223">
        <v>0.0</v>
      </c>
      <c r="K2965" s="317"/>
    </row>
    <row r="2966">
      <c r="B2966" s="223" t="s">
        <v>200</v>
      </c>
      <c r="C2966" s="223"/>
      <c r="D2966" s="316"/>
      <c r="H2966" s="223">
        <v>0.0</v>
      </c>
      <c r="K2966" s="317"/>
    </row>
    <row r="2967">
      <c r="B2967" s="223" t="s">
        <v>200</v>
      </c>
      <c r="C2967" s="223"/>
      <c r="D2967" s="316"/>
      <c r="H2967" s="223">
        <v>0.0</v>
      </c>
      <c r="K2967" s="317"/>
    </row>
    <row r="2968">
      <c r="B2968" s="223" t="s">
        <v>200</v>
      </c>
      <c r="C2968" s="223"/>
      <c r="D2968" s="316"/>
      <c r="H2968" s="223">
        <v>0.0</v>
      </c>
      <c r="K2968" s="317"/>
    </row>
    <row r="2969">
      <c r="B2969" s="223" t="s">
        <v>200</v>
      </c>
      <c r="C2969" s="223"/>
      <c r="D2969" s="316"/>
      <c r="H2969" s="223">
        <v>0.0</v>
      </c>
      <c r="K2969" s="317"/>
    </row>
    <row r="2970">
      <c r="B2970" s="223" t="s">
        <v>200</v>
      </c>
      <c r="C2970" s="223"/>
      <c r="D2970" s="316"/>
      <c r="H2970" s="223">
        <v>0.0</v>
      </c>
      <c r="K2970" s="317"/>
    </row>
    <row r="2971">
      <c r="B2971" s="223" t="s">
        <v>200</v>
      </c>
      <c r="C2971" s="223"/>
      <c r="D2971" s="316"/>
      <c r="H2971" s="223">
        <v>0.0</v>
      </c>
      <c r="K2971" s="317"/>
    </row>
    <row r="2972">
      <c r="B2972" s="223" t="s">
        <v>200</v>
      </c>
      <c r="C2972" s="223"/>
      <c r="D2972" s="316"/>
      <c r="H2972" s="223">
        <v>0.0</v>
      </c>
      <c r="K2972" s="317"/>
    </row>
    <row r="2973">
      <c r="B2973" s="223" t="s">
        <v>200</v>
      </c>
      <c r="C2973" s="223"/>
      <c r="D2973" s="316"/>
      <c r="H2973" s="223">
        <v>0.0</v>
      </c>
      <c r="K2973" s="317"/>
    </row>
    <row r="2974">
      <c r="B2974" s="223" t="s">
        <v>200</v>
      </c>
      <c r="C2974" s="223"/>
      <c r="D2974" s="316"/>
      <c r="H2974" s="223">
        <v>0.0</v>
      </c>
      <c r="K2974" s="317"/>
    </row>
    <row r="2975">
      <c r="B2975" s="223" t="s">
        <v>200</v>
      </c>
      <c r="C2975" s="223"/>
      <c r="D2975" s="316"/>
      <c r="H2975" s="223">
        <v>0.0</v>
      </c>
      <c r="K2975" s="317"/>
    </row>
    <row r="2976">
      <c r="B2976" s="223" t="s">
        <v>200</v>
      </c>
      <c r="C2976" s="223"/>
      <c r="D2976" s="316"/>
      <c r="H2976" s="223">
        <v>0.0</v>
      </c>
      <c r="K2976" s="317"/>
    </row>
    <row r="2977">
      <c r="B2977" s="223" t="s">
        <v>200</v>
      </c>
      <c r="C2977" s="223"/>
      <c r="D2977" s="316"/>
      <c r="H2977" s="223">
        <v>0.0</v>
      </c>
      <c r="K2977" s="317"/>
    </row>
    <row r="2978">
      <c r="B2978" s="223" t="s">
        <v>200</v>
      </c>
      <c r="C2978" s="223"/>
      <c r="D2978" s="316"/>
      <c r="H2978" s="223">
        <v>0.0</v>
      </c>
      <c r="K2978" s="317"/>
    </row>
    <row r="2979">
      <c r="B2979" s="223" t="s">
        <v>200</v>
      </c>
      <c r="C2979" s="223"/>
      <c r="D2979" s="316"/>
      <c r="H2979" s="223">
        <v>0.0</v>
      </c>
      <c r="K2979" s="317"/>
    </row>
    <row r="2980">
      <c r="B2980" s="223" t="s">
        <v>200</v>
      </c>
      <c r="C2980" s="223"/>
      <c r="D2980" s="316"/>
      <c r="H2980" s="223">
        <v>0.0</v>
      </c>
      <c r="K2980" s="317"/>
    </row>
    <row r="2981">
      <c r="B2981" s="223" t="s">
        <v>200</v>
      </c>
      <c r="C2981" s="223"/>
      <c r="D2981" s="316"/>
      <c r="H2981" s="223">
        <v>0.0</v>
      </c>
      <c r="K2981" s="317"/>
    </row>
    <row r="2982">
      <c r="B2982" s="223" t="s">
        <v>200</v>
      </c>
      <c r="C2982" s="223"/>
      <c r="D2982" s="316"/>
      <c r="H2982" s="223">
        <v>0.0</v>
      </c>
      <c r="K2982" s="317"/>
    </row>
    <row r="2983">
      <c r="B2983" s="223" t="s">
        <v>200</v>
      </c>
      <c r="C2983" s="223"/>
      <c r="D2983" s="316"/>
      <c r="H2983" s="223">
        <v>0.0</v>
      </c>
      <c r="K2983" s="317"/>
    </row>
    <row r="2984">
      <c r="B2984" s="223" t="s">
        <v>200</v>
      </c>
      <c r="C2984" s="223"/>
      <c r="D2984" s="316"/>
      <c r="H2984" s="223">
        <v>0.0</v>
      </c>
      <c r="K2984" s="317"/>
    </row>
    <row r="2985">
      <c r="B2985" s="223" t="s">
        <v>200</v>
      </c>
      <c r="C2985" s="223"/>
      <c r="D2985" s="316"/>
      <c r="H2985" s="223">
        <v>0.0</v>
      </c>
      <c r="K2985" s="317"/>
    </row>
    <row r="2986">
      <c r="B2986" s="223" t="s">
        <v>200</v>
      </c>
      <c r="C2986" s="223"/>
      <c r="D2986" s="316"/>
      <c r="H2986" s="223">
        <v>0.0</v>
      </c>
      <c r="K2986" s="317"/>
    </row>
    <row r="2987">
      <c r="B2987" s="223" t="s">
        <v>200</v>
      </c>
      <c r="C2987" s="223"/>
      <c r="D2987" s="316"/>
      <c r="H2987" s="223">
        <v>0.0</v>
      </c>
      <c r="K2987" s="317"/>
    </row>
    <row r="2988">
      <c r="B2988" s="223" t="s">
        <v>200</v>
      </c>
      <c r="C2988" s="223"/>
      <c r="D2988" s="316"/>
      <c r="H2988" s="223">
        <v>0.0</v>
      </c>
      <c r="K2988" s="317"/>
    </row>
    <row r="2989">
      <c r="B2989" s="223" t="s">
        <v>200</v>
      </c>
      <c r="C2989" s="223"/>
      <c r="D2989" s="316"/>
      <c r="H2989" s="223">
        <v>0.0</v>
      </c>
      <c r="K2989" s="317"/>
    </row>
    <row r="2990">
      <c r="B2990" s="223" t="s">
        <v>200</v>
      </c>
      <c r="C2990" s="223"/>
      <c r="D2990" s="316"/>
      <c r="H2990" s="223">
        <v>0.0</v>
      </c>
      <c r="K2990" s="317"/>
    </row>
    <row r="2991">
      <c r="B2991" s="223" t="s">
        <v>200</v>
      </c>
      <c r="C2991" s="223"/>
      <c r="D2991" s="316"/>
      <c r="H2991" s="223">
        <v>0.0</v>
      </c>
      <c r="K2991" s="317"/>
    </row>
    <row r="2992">
      <c r="B2992" s="223" t="s">
        <v>200</v>
      </c>
      <c r="C2992" s="223"/>
      <c r="D2992" s="316"/>
      <c r="H2992" s="223">
        <v>0.0</v>
      </c>
      <c r="K2992" s="317"/>
    </row>
    <row r="2993">
      <c r="B2993" s="223" t="s">
        <v>200</v>
      </c>
      <c r="C2993" s="223"/>
      <c r="D2993" s="316"/>
      <c r="H2993" s="223">
        <v>0.0</v>
      </c>
      <c r="K2993" s="317"/>
    </row>
    <row r="2994">
      <c r="B2994" s="223" t="s">
        <v>200</v>
      </c>
      <c r="C2994" s="223"/>
      <c r="D2994" s="316"/>
      <c r="H2994" s="223">
        <v>0.0</v>
      </c>
      <c r="K2994" s="317"/>
    </row>
    <row r="2995">
      <c r="B2995" s="223" t="s">
        <v>200</v>
      </c>
      <c r="C2995" s="223"/>
      <c r="D2995" s="316"/>
      <c r="H2995" s="223">
        <v>0.0</v>
      </c>
      <c r="K2995" s="317"/>
    </row>
    <row r="2996">
      <c r="B2996" s="223" t="s">
        <v>200</v>
      </c>
      <c r="C2996" s="223"/>
      <c r="D2996" s="316"/>
      <c r="H2996" s="223">
        <v>0.0</v>
      </c>
      <c r="K2996" s="317"/>
    </row>
    <row r="2997">
      <c r="B2997" s="223" t="s">
        <v>200</v>
      </c>
      <c r="C2997" s="223"/>
      <c r="D2997" s="316"/>
      <c r="H2997" s="223">
        <v>0.0</v>
      </c>
      <c r="K2997" s="317"/>
    </row>
    <row r="2998">
      <c r="B2998" s="223" t="s">
        <v>200</v>
      </c>
      <c r="C2998" s="223"/>
      <c r="D2998" s="316"/>
      <c r="H2998" s="223">
        <v>0.0</v>
      </c>
      <c r="K2998" s="317"/>
    </row>
    <row r="2999">
      <c r="B2999" s="223" t="s">
        <v>200</v>
      </c>
      <c r="C2999" s="223"/>
      <c r="D2999" s="316"/>
      <c r="H2999" s="223">
        <v>0.0</v>
      </c>
      <c r="K2999" s="317"/>
    </row>
    <row r="3000">
      <c r="B3000" s="223" t="s">
        <v>200</v>
      </c>
      <c r="C3000" s="223"/>
      <c r="D3000" s="316"/>
      <c r="H3000" s="223">
        <v>0.0</v>
      </c>
      <c r="K3000" s="317"/>
    </row>
    <row r="3001">
      <c r="B3001" s="223" t="s">
        <v>200</v>
      </c>
      <c r="C3001" s="223"/>
      <c r="D3001" s="316"/>
      <c r="H3001" s="223">
        <v>0.0</v>
      </c>
      <c r="K3001" s="317"/>
    </row>
    <row r="3002">
      <c r="B3002" s="223" t="s">
        <v>200</v>
      </c>
      <c r="C3002" s="223"/>
      <c r="D3002" s="316"/>
      <c r="H3002" s="223">
        <v>0.0</v>
      </c>
      <c r="K3002" s="317"/>
    </row>
    <row r="3003">
      <c r="B3003" s="223" t="s">
        <v>200</v>
      </c>
      <c r="C3003" s="223"/>
      <c r="D3003" s="316"/>
      <c r="H3003" s="223">
        <v>0.0</v>
      </c>
      <c r="K3003" s="317"/>
    </row>
    <row r="3004">
      <c r="B3004" s="223" t="s">
        <v>200</v>
      </c>
      <c r="C3004" s="223"/>
      <c r="D3004" s="316"/>
      <c r="H3004" s="223">
        <v>0.0</v>
      </c>
      <c r="K3004" s="317"/>
    </row>
    <row r="3005">
      <c r="B3005" s="223" t="s">
        <v>200</v>
      </c>
      <c r="C3005" s="223"/>
      <c r="D3005" s="316"/>
      <c r="H3005" s="223">
        <v>0.0</v>
      </c>
      <c r="K3005" s="317"/>
    </row>
    <row r="3006">
      <c r="B3006" s="223" t="s">
        <v>200</v>
      </c>
      <c r="C3006" s="223"/>
      <c r="D3006" s="316"/>
      <c r="H3006" s="223">
        <v>0.0</v>
      </c>
      <c r="K3006" s="317"/>
    </row>
    <row r="3007">
      <c r="B3007" s="223" t="s">
        <v>200</v>
      </c>
      <c r="C3007" s="223"/>
      <c r="D3007" s="316"/>
      <c r="H3007" s="223">
        <v>0.0</v>
      </c>
      <c r="K3007" s="317"/>
    </row>
    <row r="3008">
      <c r="B3008" s="223" t="s">
        <v>200</v>
      </c>
      <c r="C3008" s="223"/>
      <c r="D3008" s="316"/>
      <c r="H3008" s="223">
        <v>0.0</v>
      </c>
      <c r="K3008" s="317"/>
    </row>
    <row r="3009">
      <c r="B3009" s="223" t="s">
        <v>200</v>
      </c>
      <c r="C3009" s="223"/>
      <c r="D3009" s="316"/>
      <c r="H3009" s="223">
        <v>0.0</v>
      </c>
      <c r="K3009" s="317"/>
    </row>
    <row r="3010">
      <c r="B3010" s="223" t="s">
        <v>200</v>
      </c>
      <c r="C3010" s="223"/>
      <c r="D3010" s="316"/>
      <c r="H3010" s="223">
        <v>0.0</v>
      </c>
      <c r="K3010" s="317"/>
    </row>
    <row r="3011">
      <c r="B3011" s="223" t="s">
        <v>200</v>
      </c>
      <c r="C3011" s="223"/>
      <c r="D3011" s="316"/>
      <c r="H3011" s="223">
        <v>0.0</v>
      </c>
      <c r="K3011" s="317"/>
    </row>
    <row r="3012">
      <c r="B3012" s="223" t="s">
        <v>200</v>
      </c>
      <c r="C3012" s="223"/>
      <c r="D3012" s="316"/>
      <c r="H3012" s="223">
        <v>0.0</v>
      </c>
      <c r="K3012" s="317"/>
    </row>
    <row r="3013">
      <c r="B3013" s="223" t="s">
        <v>200</v>
      </c>
      <c r="C3013" s="223"/>
      <c r="D3013" s="316"/>
      <c r="H3013" s="223">
        <v>0.0</v>
      </c>
      <c r="K3013" s="317"/>
    </row>
    <row r="3014">
      <c r="B3014" s="223" t="s">
        <v>200</v>
      </c>
      <c r="C3014" s="223"/>
      <c r="D3014" s="316"/>
      <c r="H3014" s="223">
        <v>0.0</v>
      </c>
      <c r="K3014" s="317"/>
    </row>
    <row r="3015">
      <c r="B3015" s="223" t="s">
        <v>200</v>
      </c>
      <c r="C3015" s="223"/>
      <c r="D3015" s="316"/>
      <c r="H3015" s="223">
        <v>0.0</v>
      </c>
      <c r="K3015" s="317"/>
    </row>
    <row r="3016">
      <c r="B3016" s="223" t="s">
        <v>200</v>
      </c>
      <c r="C3016" s="223"/>
      <c r="D3016" s="316"/>
      <c r="H3016" s="223">
        <v>0.0</v>
      </c>
      <c r="K3016" s="317"/>
    </row>
    <row r="3017">
      <c r="B3017" s="223" t="s">
        <v>200</v>
      </c>
      <c r="C3017" s="223"/>
      <c r="D3017" s="316"/>
      <c r="H3017" s="223">
        <v>0.0</v>
      </c>
      <c r="K3017" s="317"/>
    </row>
    <row r="3018">
      <c r="B3018" s="223" t="s">
        <v>200</v>
      </c>
      <c r="C3018" s="223"/>
      <c r="D3018" s="316"/>
      <c r="H3018" s="223">
        <v>0.0</v>
      </c>
      <c r="K3018" s="317"/>
    </row>
    <row r="3019">
      <c r="B3019" s="223" t="s">
        <v>200</v>
      </c>
      <c r="C3019" s="223"/>
      <c r="D3019" s="316"/>
      <c r="H3019" s="223">
        <v>0.0</v>
      </c>
      <c r="K3019" s="317"/>
    </row>
    <row r="3020">
      <c r="B3020" s="223" t="s">
        <v>200</v>
      </c>
      <c r="C3020" s="223"/>
      <c r="D3020" s="316"/>
      <c r="H3020" s="223">
        <v>0.0</v>
      </c>
      <c r="K3020" s="317"/>
    </row>
    <row r="3021">
      <c r="B3021" s="223" t="s">
        <v>200</v>
      </c>
      <c r="C3021" s="223"/>
      <c r="D3021" s="316"/>
      <c r="H3021" s="223">
        <v>0.0</v>
      </c>
      <c r="K3021" s="317"/>
    </row>
    <row r="3022">
      <c r="B3022" s="223" t="s">
        <v>200</v>
      </c>
      <c r="C3022" s="223"/>
      <c r="D3022" s="316"/>
      <c r="H3022" s="223">
        <v>0.0</v>
      </c>
      <c r="K3022" s="317"/>
    </row>
    <row r="3023">
      <c r="B3023" s="223" t="s">
        <v>200</v>
      </c>
      <c r="C3023" s="223"/>
      <c r="D3023" s="316"/>
      <c r="H3023" s="223">
        <v>0.0</v>
      </c>
      <c r="K3023" s="317"/>
    </row>
    <row r="3024">
      <c r="B3024" s="223" t="s">
        <v>200</v>
      </c>
      <c r="C3024" s="223"/>
      <c r="D3024" s="316"/>
      <c r="H3024" s="223">
        <v>0.0</v>
      </c>
      <c r="K3024" s="317"/>
    </row>
    <row r="3025">
      <c r="B3025" s="223" t="s">
        <v>200</v>
      </c>
      <c r="C3025" s="223"/>
      <c r="D3025" s="316"/>
      <c r="H3025" s="223">
        <v>0.0</v>
      </c>
      <c r="K3025" s="317"/>
    </row>
    <row r="3026">
      <c r="B3026" s="223" t="s">
        <v>200</v>
      </c>
      <c r="C3026" s="223"/>
      <c r="D3026" s="316"/>
      <c r="H3026" s="223">
        <v>0.0</v>
      </c>
      <c r="K3026" s="317"/>
    </row>
    <row r="3027">
      <c r="B3027" s="223" t="s">
        <v>200</v>
      </c>
      <c r="C3027" s="223"/>
      <c r="D3027" s="316"/>
      <c r="H3027" s="223">
        <v>0.0</v>
      </c>
      <c r="K3027" s="317"/>
    </row>
    <row r="3028">
      <c r="B3028" s="223" t="s">
        <v>200</v>
      </c>
      <c r="C3028" s="223"/>
      <c r="D3028" s="316"/>
      <c r="H3028" s="223">
        <v>0.0</v>
      </c>
      <c r="K3028" s="317"/>
    </row>
    <row r="3029">
      <c r="B3029" s="223" t="s">
        <v>200</v>
      </c>
      <c r="C3029" s="223"/>
      <c r="D3029" s="316"/>
      <c r="H3029" s="223">
        <v>0.0</v>
      </c>
      <c r="K3029" s="317"/>
    </row>
    <row r="3030">
      <c r="B3030" s="223" t="s">
        <v>200</v>
      </c>
      <c r="C3030" s="223"/>
      <c r="D3030" s="316"/>
      <c r="H3030" s="223">
        <v>0.0</v>
      </c>
      <c r="K3030" s="317"/>
    </row>
    <row r="3031">
      <c r="B3031" s="223" t="s">
        <v>200</v>
      </c>
      <c r="C3031" s="223"/>
      <c r="D3031" s="316"/>
      <c r="H3031" s="223">
        <v>0.0</v>
      </c>
      <c r="K3031" s="317"/>
    </row>
    <row r="3032">
      <c r="B3032" s="223" t="s">
        <v>200</v>
      </c>
      <c r="C3032" s="223"/>
      <c r="D3032" s="316"/>
      <c r="H3032" s="223">
        <v>0.0</v>
      </c>
      <c r="K3032" s="317"/>
    </row>
    <row r="3033">
      <c r="B3033" s="223" t="s">
        <v>200</v>
      </c>
      <c r="C3033" s="223"/>
      <c r="D3033" s="316"/>
      <c r="H3033" s="223">
        <v>0.0</v>
      </c>
      <c r="K3033" s="317"/>
    </row>
    <row r="3034">
      <c r="B3034" s="223" t="s">
        <v>200</v>
      </c>
      <c r="C3034" s="223"/>
      <c r="D3034" s="316"/>
      <c r="H3034" s="223">
        <v>0.0</v>
      </c>
      <c r="K3034" s="317"/>
    </row>
    <row r="3035">
      <c r="B3035" s="223" t="s">
        <v>200</v>
      </c>
      <c r="C3035" s="223"/>
      <c r="D3035" s="316"/>
      <c r="H3035" s="223">
        <v>0.0</v>
      </c>
      <c r="K3035" s="317"/>
    </row>
    <row r="3036">
      <c r="B3036" s="223" t="s">
        <v>200</v>
      </c>
      <c r="C3036" s="223"/>
      <c r="D3036" s="316"/>
      <c r="H3036" s="223">
        <v>0.0</v>
      </c>
      <c r="K3036" s="317"/>
    </row>
    <row r="3037">
      <c r="B3037" s="223" t="s">
        <v>200</v>
      </c>
      <c r="C3037" s="223"/>
      <c r="D3037" s="316"/>
      <c r="H3037" s="223">
        <v>0.0</v>
      </c>
      <c r="K3037" s="317"/>
    </row>
    <row r="3038">
      <c r="B3038" s="223" t="s">
        <v>200</v>
      </c>
      <c r="C3038" s="223"/>
      <c r="D3038" s="316"/>
      <c r="H3038" s="223">
        <v>0.0</v>
      </c>
      <c r="K3038" s="317"/>
    </row>
    <row r="3039">
      <c r="B3039" s="223" t="s">
        <v>200</v>
      </c>
      <c r="C3039" s="223"/>
      <c r="D3039" s="316"/>
      <c r="H3039" s="223">
        <v>0.0</v>
      </c>
      <c r="K3039" s="317"/>
    </row>
    <row r="3040">
      <c r="B3040" s="223" t="s">
        <v>200</v>
      </c>
      <c r="C3040" s="223"/>
      <c r="D3040" s="316"/>
      <c r="H3040" s="223">
        <v>0.0</v>
      </c>
      <c r="K3040" s="317"/>
    </row>
    <row r="3041">
      <c r="B3041" s="223" t="s">
        <v>200</v>
      </c>
      <c r="C3041" s="223"/>
      <c r="D3041" s="316"/>
      <c r="H3041" s="223">
        <v>0.0</v>
      </c>
      <c r="K3041" s="317"/>
    </row>
    <row r="3042">
      <c r="B3042" s="223" t="s">
        <v>200</v>
      </c>
      <c r="C3042" s="223"/>
      <c r="D3042" s="316"/>
      <c r="H3042" s="223">
        <v>0.0</v>
      </c>
      <c r="K3042" s="317"/>
    </row>
    <row r="3043">
      <c r="B3043" s="223" t="s">
        <v>200</v>
      </c>
      <c r="C3043" s="223"/>
      <c r="D3043" s="316"/>
      <c r="H3043" s="223">
        <v>0.0</v>
      </c>
      <c r="K3043" s="317"/>
    </row>
    <row r="3044">
      <c r="B3044" s="223" t="s">
        <v>200</v>
      </c>
      <c r="C3044" s="223"/>
      <c r="D3044" s="316"/>
      <c r="H3044" s="223">
        <v>0.0</v>
      </c>
      <c r="K3044" s="317"/>
    </row>
    <row r="3045">
      <c r="B3045" s="223" t="s">
        <v>200</v>
      </c>
      <c r="C3045" s="223"/>
      <c r="D3045" s="316"/>
      <c r="H3045" s="223">
        <v>0.0</v>
      </c>
      <c r="K3045" s="317"/>
    </row>
    <row r="3046">
      <c r="B3046" s="223" t="s">
        <v>200</v>
      </c>
      <c r="C3046" s="223"/>
      <c r="D3046" s="316"/>
      <c r="H3046" s="223">
        <v>0.0</v>
      </c>
      <c r="K3046" s="317"/>
    </row>
    <row r="3047">
      <c r="B3047" s="223" t="s">
        <v>200</v>
      </c>
      <c r="C3047" s="223"/>
      <c r="D3047" s="316"/>
      <c r="H3047" s="223">
        <v>0.0</v>
      </c>
      <c r="K3047" s="317"/>
    </row>
    <row r="3048">
      <c r="B3048" s="223" t="s">
        <v>200</v>
      </c>
      <c r="C3048" s="223"/>
      <c r="D3048" s="316"/>
      <c r="H3048" s="223">
        <v>0.0</v>
      </c>
      <c r="K3048" s="317"/>
    </row>
    <row r="3049">
      <c r="B3049" s="223" t="s">
        <v>200</v>
      </c>
      <c r="C3049" s="223"/>
      <c r="D3049" s="316"/>
      <c r="H3049" s="223">
        <v>0.0</v>
      </c>
      <c r="K3049" s="317"/>
    </row>
    <row r="3050">
      <c r="B3050" s="223" t="s">
        <v>200</v>
      </c>
      <c r="C3050" s="223"/>
      <c r="D3050" s="316"/>
      <c r="H3050" s="223">
        <v>0.0</v>
      </c>
      <c r="K3050" s="317"/>
    </row>
    <row r="3051">
      <c r="B3051" s="223" t="s">
        <v>200</v>
      </c>
      <c r="C3051" s="223"/>
      <c r="D3051" s="316"/>
      <c r="H3051" s="223">
        <v>0.0</v>
      </c>
      <c r="K3051" s="317"/>
    </row>
    <row r="3052">
      <c r="B3052" s="223" t="s">
        <v>200</v>
      </c>
      <c r="C3052" s="223"/>
      <c r="D3052" s="316"/>
      <c r="H3052" s="223">
        <v>0.0</v>
      </c>
      <c r="K3052" s="317"/>
    </row>
    <row r="3053">
      <c r="B3053" s="223" t="s">
        <v>200</v>
      </c>
      <c r="C3053" s="223"/>
      <c r="D3053" s="316"/>
      <c r="H3053" s="223">
        <v>0.0</v>
      </c>
      <c r="K3053" s="317"/>
    </row>
    <row r="3054">
      <c r="B3054" s="223" t="s">
        <v>200</v>
      </c>
      <c r="C3054" s="223"/>
      <c r="D3054" s="316"/>
      <c r="H3054" s="223">
        <v>0.0</v>
      </c>
      <c r="K3054" s="317"/>
    </row>
    <row r="3055">
      <c r="B3055" s="223" t="s">
        <v>200</v>
      </c>
      <c r="C3055" s="223"/>
      <c r="D3055" s="316"/>
      <c r="H3055" s="223">
        <v>0.0</v>
      </c>
      <c r="K3055" s="317"/>
    </row>
    <row r="3056">
      <c r="B3056" s="223" t="s">
        <v>200</v>
      </c>
      <c r="C3056" s="223"/>
      <c r="D3056" s="316"/>
      <c r="H3056" s="223">
        <v>0.0</v>
      </c>
      <c r="K3056" s="317"/>
    </row>
    <row r="3057">
      <c r="B3057" s="223" t="s">
        <v>200</v>
      </c>
      <c r="C3057" s="223"/>
      <c r="D3057" s="316"/>
      <c r="H3057" s="223">
        <v>0.0</v>
      </c>
      <c r="K3057" s="317"/>
    </row>
    <row r="3058">
      <c r="B3058" s="223" t="s">
        <v>200</v>
      </c>
      <c r="C3058" s="223"/>
      <c r="D3058" s="316"/>
      <c r="H3058" s="223">
        <v>0.0</v>
      </c>
      <c r="K3058" s="317"/>
    </row>
    <row r="3059">
      <c r="B3059" s="223" t="s">
        <v>200</v>
      </c>
      <c r="C3059" s="223"/>
      <c r="D3059" s="316"/>
      <c r="H3059" s="223">
        <v>0.0</v>
      </c>
      <c r="K3059" s="317"/>
    </row>
    <row r="3060">
      <c r="B3060" s="223" t="s">
        <v>200</v>
      </c>
      <c r="C3060" s="223"/>
      <c r="D3060" s="316"/>
      <c r="H3060" s="223">
        <v>0.0</v>
      </c>
      <c r="K3060" s="317"/>
    </row>
    <row r="3061">
      <c r="B3061" s="223" t="s">
        <v>200</v>
      </c>
      <c r="C3061" s="223"/>
      <c r="D3061" s="316"/>
      <c r="H3061" s="223">
        <v>0.0</v>
      </c>
      <c r="K3061" s="317"/>
    </row>
    <row r="3062">
      <c r="B3062" s="223" t="s">
        <v>200</v>
      </c>
      <c r="C3062" s="223"/>
      <c r="D3062" s="316"/>
      <c r="H3062" s="223">
        <v>0.0</v>
      </c>
      <c r="K3062" s="317"/>
    </row>
    <row r="3063">
      <c r="B3063" s="223" t="s">
        <v>200</v>
      </c>
      <c r="C3063" s="223"/>
      <c r="D3063" s="316"/>
      <c r="H3063" s="223">
        <v>0.0</v>
      </c>
      <c r="K3063" s="317"/>
    </row>
    <row r="3064">
      <c r="B3064" s="223" t="s">
        <v>200</v>
      </c>
      <c r="C3064" s="223"/>
      <c r="D3064" s="316"/>
      <c r="H3064" s="223">
        <v>0.0</v>
      </c>
      <c r="K3064" s="317"/>
    </row>
    <row r="3065">
      <c r="B3065" s="223" t="s">
        <v>200</v>
      </c>
      <c r="C3065" s="223"/>
      <c r="D3065" s="316"/>
      <c r="H3065" s="223">
        <v>0.0</v>
      </c>
      <c r="K3065" s="317"/>
    </row>
    <row r="3066">
      <c r="B3066" s="223" t="s">
        <v>200</v>
      </c>
      <c r="C3066" s="223"/>
      <c r="D3066" s="316"/>
      <c r="H3066" s="223">
        <v>0.0</v>
      </c>
      <c r="K3066" s="317"/>
    </row>
    <row r="3067">
      <c r="B3067" s="223" t="s">
        <v>200</v>
      </c>
      <c r="C3067" s="223"/>
      <c r="D3067" s="316"/>
      <c r="H3067" s="223">
        <v>0.0</v>
      </c>
      <c r="K3067" s="317"/>
    </row>
    <row r="3068">
      <c r="B3068" s="223" t="s">
        <v>200</v>
      </c>
      <c r="C3068" s="223"/>
      <c r="D3068" s="316"/>
      <c r="H3068" s="223">
        <v>0.0</v>
      </c>
      <c r="K3068" s="317"/>
    </row>
    <row r="3069">
      <c r="B3069" s="223" t="s">
        <v>200</v>
      </c>
      <c r="C3069" s="223"/>
      <c r="D3069" s="316"/>
      <c r="H3069" s="223">
        <v>0.0</v>
      </c>
      <c r="K3069" s="317"/>
    </row>
    <row r="3070">
      <c r="B3070" s="223" t="s">
        <v>200</v>
      </c>
      <c r="C3070" s="223"/>
      <c r="D3070" s="316"/>
      <c r="H3070" s="223">
        <v>0.0</v>
      </c>
      <c r="K3070" s="317"/>
    </row>
    <row r="3071">
      <c r="B3071" s="223" t="s">
        <v>200</v>
      </c>
      <c r="C3071" s="223"/>
      <c r="D3071" s="316"/>
      <c r="H3071" s="223">
        <v>0.0</v>
      </c>
      <c r="K3071" s="317"/>
    </row>
    <row r="3072">
      <c r="B3072" s="223" t="s">
        <v>200</v>
      </c>
      <c r="C3072" s="223"/>
      <c r="D3072" s="316"/>
      <c r="H3072" s="223">
        <v>0.0</v>
      </c>
      <c r="K3072" s="317"/>
    </row>
    <row r="3073">
      <c r="B3073" s="223" t="s">
        <v>200</v>
      </c>
      <c r="C3073" s="223"/>
      <c r="D3073" s="316"/>
      <c r="H3073" s="223">
        <v>0.0</v>
      </c>
      <c r="K3073" s="317"/>
    </row>
    <row r="3074">
      <c r="B3074" s="223" t="s">
        <v>200</v>
      </c>
      <c r="C3074" s="223"/>
      <c r="D3074" s="316"/>
      <c r="H3074" s="223">
        <v>0.0</v>
      </c>
      <c r="K3074" s="317"/>
    </row>
    <row r="3075">
      <c r="B3075" s="223" t="s">
        <v>200</v>
      </c>
      <c r="C3075" s="223"/>
      <c r="D3075" s="316"/>
      <c r="H3075" s="223">
        <v>0.0</v>
      </c>
      <c r="K3075" s="317"/>
    </row>
    <row r="3076">
      <c r="B3076" s="223" t="s">
        <v>200</v>
      </c>
      <c r="C3076" s="223"/>
      <c r="D3076" s="316"/>
      <c r="H3076" s="223">
        <v>0.0</v>
      </c>
      <c r="K3076" s="317"/>
    </row>
    <row r="3077">
      <c r="B3077" s="223" t="s">
        <v>200</v>
      </c>
      <c r="C3077" s="223"/>
      <c r="D3077" s="316"/>
      <c r="H3077" s="223">
        <v>0.0</v>
      </c>
      <c r="K3077" s="317"/>
    </row>
    <row r="3078">
      <c r="B3078" s="223" t="s">
        <v>200</v>
      </c>
      <c r="C3078" s="223"/>
      <c r="D3078" s="316"/>
      <c r="H3078" s="223">
        <v>0.0</v>
      </c>
      <c r="K3078" s="317"/>
    </row>
    <row r="3079">
      <c r="B3079" s="223" t="s">
        <v>200</v>
      </c>
      <c r="C3079" s="223"/>
      <c r="D3079" s="316"/>
      <c r="H3079" s="223">
        <v>0.0</v>
      </c>
      <c r="K3079" s="317"/>
    </row>
    <row r="3080">
      <c r="B3080" s="223" t="s">
        <v>200</v>
      </c>
      <c r="C3080" s="223"/>
      <c r="D3080" s="316"/>
      <c r="H3080" s="223">
        <v>0.0</v>
      </c>
      <c r="K3080" s="317"/>
    </row>
    <row r="3081">
      <c r="B3081" s="223" t="s">
        <v>200</v>
      </c>
      <c r="C3081" s="223"/>
      <c r="D3081" s="316"/>
      <c r="H3081" s="223">
        <v>0.0</v>
      </c>
      <c r="K3081" s="317"/>
    </row>
    <row r="3082">
      <c r="B3082" s="223" t="s">
        <v>200</v>
      </c>
      <c r="C3082" s="223"/>
      <c r="D3082" s="316"/>
      <c r="H3082" s="223">
        <v>0.0</v>
      </c>
      <c r="K3082" s="317"/>
    </row>
    <row r="3083">
      <c r="B3083" s="223" t="s">
        <v>200</v>
      </c>
      <c r="C3083" s="223"/>
      <c r="D3083" s="316"/>
      <c r="H3083" s="223">
        <v>0.0</v>
      </c>
      <c r="K3083" s="317"/>
    </row>
    <row r="3084">
      <c r="B3084" s="223" t="s">
        <v>200</v>
      </c>
      <c r="C3084" s="223"/>
      <c r="D3084" s="316"/>
      <c r="H3084" s="223">
        <v>0.0</v>
      </c>
      <c r="K3084" s="317"/>
    </row>
    <row r="3085">
      <c r="B3085" s="223" t="s">
        <v>200</v>
      </c>
      <c r="C3085" s="223"/>
      <c r="D3085" s="316"/>
      <c r="H3085" s="223">
        <v>0.0</v>
      </c>
      <c r="K3085" s="317"/>
    </row>
    <row r="3086">
      <c r="B3086" s="223" t="s">
        <v>200</v>
      </c>
      <c r="C3086" s="223"/>
      <c r="D3086" s="316"/>
      <c r="H3086" s="223">
        <v>0.0</v>
      </c>
      <c r="K3086" s="317"/>
    </row>
    <row r="3087">
      <c r="B3087" s="223" t="s">
        <v>200</v>
      </c>
      <c r="C3087" s="223"/>
      <c r="D3087" s="316"/>
      <c r="H3087" s="223">
        <v>0.0</v>
      </c>
      <c r="K3087" s="317"/>
    </row>
    <row r="3088">
      <c r="B3088" s="223" t="s">
        <v>200</v>
      </c>
      <c r="C3088" s="223"/>
      <c r="D3088" s="316"/>
      <c r="H3088" s="223">
        <v>0.0</v>
      </c>
      <c r="K3088" s="317"/>
    </row>
    <row r="3089">
      <c r="B3089" s="223" t="s">
        <v>200</v>
      </c>
      <c r="C3089" s="223"/>
      <c r="D3089" s="316"/>
      <c r="H3089" s="223">
        <v>0.0</v>
      </c>
      <c r="K3089" s="317"/>
    </row>
    <row r="3090">
      <c r="B3090" s="223" t="s">
        <v>200</v>
      </c>
      <c r="C3090" s="223"/>
      <c r="D3090" s="316"/>
      <c r="H3090" s="223">
        <v>0.0</v>
      </c>
      <c r="K3090" s="317"/>
    </row>
    <row r="3091">
      <c r="B3091" s="223" t="s">
        <v>200</v>
      </c>
      <c r="C3091" s="223"/>
      <c r="D3091" s="316"/>
      <c r="H3091" s="223">
        <v>0.0</v>
      </c>
      <c r="K3091" s="317"/>
    </row>
    <row r="3092">
      <c r="B3092" s="223" t="s">
        <v>200</v>
      </c>
      <c r="C3092" s="223"/>
      <c r="D3092" s="316"/>
      <c r="H3092" s="223">
        <v>0.0</v>
      </c>
      <c r="K3092" s="317"/>
    </row>
    <row r="3093">
      <c r="B3093" s="223" t="s">
        <v>200</v>
      </c>
      <c r="C3093" s="223"/>
      <c r="D3093" s="316"/>
      <c r="H3093" s="223">
        <v>0.0</v>
      </c>
      <c r="K3093" s="317"/>
    </row>
    <row r="3094">
      <c r="B3094" s="223" t="s">
        <v>200</v>
      </c>
      <c r="C3094" s="223"/>
      <c r="D3094" s="316"/>
      <c r="H3094" s="223">
        <v>0.0</v>
      </c>
      <c r="K3094" s="317"/>
    </row>
    <row r="3095">
      <c r="B3095" s="223" t="s">
        <v>200</v>
      </c>
      <c r="C3095" s="223"/>
      <c r="D3095" s="316"/>
      <c r="H3095" s="223">
        <v>0.0</v>
      </c>
      <c r="K3095" s="317"/>
    </row>
    <row r="3096">
      <c r="B3096" s="223" t="s">
        <v>200</v>
      </c>
      <c r="C3096" s="223"/>
      <c r="D3096" s="316"/>
      <c r="H3096" s="223">
        <v>0.0</v>
      </c>
      <c r="K3096" s="317"/>
    </row>
    <row r="3097">
      <c r="B3097" s="223" t="s">
        <v>200</v>
      </c>
      <c r="C3097" s="223"/>
      <c r="D3097" s="316"/>
      <c r="H3097" s="223">
        <v>0.0</v>
      </c>
      <c r="K3097" s="317"/>
    </row>
    <row r="3098">
      <c r="B3098" s="223" t="s">
        <v>200</v>
      </c>
      <c r="C3098" s="223"/>
      <c r="D3098" s="316"/>
      <c r="H3098" s="223">
        <v>0.0</v>
      </c>
      <c r="K3098" s="317"/>
    </row>
    <row r="3099">
      <c r="B3099" s="223" t="s">
        <v>200</v>
      </c>
      <c r="C3099" s="223"/>
      <c r="D3099" s="316"/>
      <c r="H3099" s="223">
        <v>0.0</v>
      </c>
      <c r="K3099" s="317"/>
    </row>
    <row r="3100">
      <c r="B3100" s="223" t="s">
        <v>200</v>
      </c>
      <c r="C3100" s="223"/>
      <c r="D3100" s="316"/>
      <c r="H3100" s="223">
        <v>0.0</v>
      </c>
      <c r="K3100" s="317"/>
    </row>
    <row r="3101">
      <c r="B3101" s="223" t="s">
        <v>200</v>
      </c>
      <c r="C3101" s="223"/>
      <c r="D3101" s="316"/>
      <c r="H3101" s="223">
        <v>0.0</v>
      </c>
      <c r="K3101" s="317"/>
    </row>
    <row r="3102">
      <c r="B3102" s="223" t="s">
        <v>200</v>
      </c>
      <c r="C3102" s="223"/>
      <c r="D3102" s="316"/>
      <c r="H3102" s="223">
        <v>0.0</v>
      </c>
      <c r="K3102" s="317"/>
    </row>
    <row r="3103">
      <c r="B3103" s="223" t="s">
        <v>200</v>
      </c>
      <c r="C3103" s="223"/>
      <c r="D3103" s="316"/>
      <c r="H3103" s="223">
        <v>0.0</v>
      </c>
      <c r="K3103" s="317"/>
    </row>
    <row r="3104">
      <c r="B3104" s="223" t="s">
        <v>200</v>
      </c>
      <c r="C3104" s="223"/>
      <c r="D3104" s="316"/>
      <c r="H3104" s="223">
        <v>0.0</v>
      </c>
      <c r="K3104" s="317"/>
    </row>
    <row r="3105">
      <c r="B3105" s="223" t="s">
        <v>200</v>
      </c>
      <c r="C3105" s="223"/>
      <c r="D3105" s="316"/>
      <c r="H3105" s="223">
        <v>0.0</v>
      </c>
      <c r="K3105" s="317"/>
    </row>
    <row r="3106">
      <c r="B3106" s="223" t="s">
        <v>200</v>
      </c>
      <c r="C3106" s="223"/>
      <c r="D3106" s="316"/>
      <c r="H3106" s="223">
        <v>0.0</v>
      </c>
      <c r="K3106" s="317"/>
    </row>
    <row r="3107">
      <c r="B3107" s="223" t="s">
        <v>200</v>
      </c>
      <c r="C3107" s="223"/>
      <c r="D3107" s="316"/>
      <c r="H3107" s="223">
        <v>0.0</v>
      </c>
      <c r="K3107" s="317"/>
    </row>
    <row r="3108">
      <c r="B3108" s="223" t="s">
        <v>200</v>
      </c>
      <c r="C3108" s="223"/>
      <c r="D3108" s="316"/>
      <c r="H3108" s="223">
        <v>0.0</v>
      </c>
      <c r="K3108" s="317"/>
    </row>
    <row r="3109">
      <c r="B3109" s="223" t="s">
        <v>200</v>
      </c>
      <c r="C3109" s="223"/>
      <c r="D3109" s="316"/>
      <c r="H3109" s="223">
        <v>0.0</v>
      </c>
      <c r="K3109" s="317"/>
    </row>
    <row r="3110">
      <c r="B3110" s="223" t="s">
        <v>200</v>
      </c>
      <c r="C3110" s="223"/>
      <c r="D3110" s="316"/>
      <c r="H3110" s="223">
        <v>0.0</v>
      </c>
      <c r="K3110" s="317"/>
    </row>
    <row r="3111">
      <c r="B3111" s="223" t="s">
        <v>200</v>
      </c>
      <c r="C3111" s="223"/>
      <c r="D3111" s="316"/>
      <c r="H3111" s="223">
        <v>0.0</v>
      </c>
      <c r="K3111" s="317"/>
    </row>
    <row r="3112">
      <c r="B3112" s="223" t="s">
        <v>200</v>
      </c>
      <c r="C3112" s="223"/>
      <c r="D3112" s="316"/>
      <c r="H3112" s="223">
        <v>0.0</v>
      </c>
      <c r="K3112" s="317"/>
    </row>
    <row r="3113">
      <c r="B3113" s="223" t="s">
        <v>200</v>
      </c>
      <c r="C3113" s="223"/>
      <c r="D3113" s="316"/>
      <c r="H3113" s="223">
        <v>0.0</v>
      </c>
      <c r="K3113" s="317"/>
    </row>
    <row r="3114">
      <c r="B3114" s="223" t="s">
        <v>200</v>
      </c>
      <c r="C3114" s="223"/>
      <c r="D3114" s="316"/>
      <c r="H3114" s="223">
        <v>0.0</v>
      </c>
      <c r="K3114" s="317"/>
    </row>
    <row r="3115">
      <c r="B3115" s="223" t="s">
        <v>200</v>
      </c>
      <c r="C3115" s="223"/>
      <c r="D3115" s="316"/>
      <c r="H3115" s="223">
        <v>0.0</v>
      </c>
      <c r="K3115" s="317"/>
    </row>
    <row r="3116">
      <c r="B3116" s="223" t="s">
        <v>200</v>
      </c>
      <c r="C3116" s="223"/>
      <c r="D3116" s="316"/>
      <c r="H3116" s="223">
        <v>0.0</v>
      </c>
      <c r="K3116" s="317"/>
    </row>
    <row r="3117">
      <c r="B3117" s="223" t="s">
        <v>200</v>
      </c>
      <c r="C3117" s="223"/>
      <c r="D3117" s="316"/>
      <c r="H3117" s="223">
        <v>0.0</v>
      </c>
      <c r="K3117" s="317"/>
    </row>
    <row r="3118">
      <c r="B3118" s="223" t="s">
        <v>200</v>
      </c>
      <c r="C3118" s="223"/>
      <c r="D3118" s="316"/>
      <c r="H3118" s="223">
        <v>0.0</v>
      </c>
      <c r="K3118" s="317"/>
    </row>
    <row r="3119">
      <c r="B3119" s="223" t="s">
        <v>200</v>
      </c>
      <c r="C3119" s="223"/>
      <c r="D3119" s="316"/>
      <c r="H3119" s="223">
        <v>0.0</v>
      </c>
      <c r="K3119" s="317"/>
    </row>
    <row r="3120">
      <c r="B3120" s="223" t="s">
        <v>200</v>
      </c>
      <c r="C3120" s="223"/>
      <c r="D3120" s="316"/>
      <c r="H3120" s="223">
        <v>0.0</v>
      </c>
      <c r="K3120" s="317"/>
    </row>
    <row r="3121">
      <c r="B3121" s="223" t="s">
        <v>200</v>
      </c>
      <c r="C3121" s="223"/>
      <c r="D3121" s="316"/>
      <c r="H3121" s="223">
        <v>0.0</v>
      </c>
      <c r="K3121" s="317"/>
    </row>
    <row r="3122">
      <c r="B3122" s="223" t="s">
        <v>200</v>
      </c>
      <c r="C3122" s="223"/>
      <c r="D3122" s="316"/>
      <c r="H3122" s="223">
        <v>0.0</v>
      </c>
      <c r="K3122" s="317"/>
    </row>
    <row r="3123">
      <c r="B3123" s="223" t="s">
        <v>200</v>
      </c>
      <c r="C3123" s="223"/>
      <c r="D3123" s="316"/>
      <c r="H3123" s="223">
        <v>0.0</v>
      </c>
      <c r="K3123" s="317"/>
    </row>
    <row r="3124">
      <c r="B3124" s="223" t="s">
        <v>200</v>
      </c>
      <c r="C3124" s="223"/>
      <c r="D3124" s="316"/>
      <c r="H3124" s="223">
        <v>0.0</v>
      </c>
      <c r="K3124" s="317"/>
    </row>
    <row r="3125">
      <c r="B3125" s="223" t="s">
        <v>200</v>
      </c>
      <c r="C3125" s="223"/>
      <c r="D3125" s="316"/>
      <c r="H3125" s="223">
        <v>0.0</v>
      </c>
      <c r="K3125" s="317"/>
    </row>
    <row r="3126">
      <c r="B3126" s="223" t="s">
        <v>200</v>
      </c>
      <c r="C3126" s="223"/>
      <c r="D3126" s="316"/>
      <c r="H3126" s="223">
        <v>0.0</v>
      </c>
      <c r="K3126" s="317"/>
    </row>
    <row r="3127">
      <c r="B3127" s="223" t="s">
        <v>200</v>
      </c>
      <c r="C3127" s="223"/>
      <c r="D3127" s="316"/>
      <c r="H3127" s="223">
        <v>0.0</v>
      </c>
      <c r="K3127" s="317"/>
    </row>
    <row r="3128">
      <c r="B3128" s="223" t="s">
        <v>200</v>
      </c>
      <c r="C3128" s="223"/>
      <c r="D3128" s="316"/>
      <c r="H3128" s="223">
        <v>0.0</v>
      </c>
      <c r="K3128" s="317"/>
    </row>
    <row r="3129">
      <c r="B3129" s="223" t="s">
        <v>200</v>
      </c>
      <c r="C3129" s="223"/>
      <c r="D3129" s="316"/>
      <c r="H3129" s="223">
        <v>0.0</v>
      </c>
      <c r="K3129" s="317"/>
    </row>
    <row r="3130">
      <c r="B3130" s="223" t="s">
        <v>200</v>
      </c>
      <c r="C3130" s="223"/>
      <c r="D3130" s="316"/>
      <c r="H3130" s="223">
        <v>0.0</v>
      </c>
      <c r="K3130" s="317"/>
    </row>
    <row r="3131">
      <c r="B3131" s="223" t="s">
        <v>200</v>
      </c>
      <c r="C3131" s="223"/>
      <c r="D3131" s="316"/>
      <c r="H3131" s="223">
        <v>0.0</v>
      </c>
      <c r="K3131" s="317"/>
    </row>
    <row r="3132">
      <c r="B3132" s="223" t="s">
        <v>200</v>
      </c>
      <c r="C3132" s="223"/>
      <c r="D3132" s="316"/>
      <c r="H3132" s="223">
        <v>0.0</v>
      </c>
      <c r="K3132" s="317"/>
    </row>
    <row r="3133">
      <c r="B3133" s="223" t="s">
        <v>200</v>
      </c>
      <c r="C3133" s="223"/>
      <c r="D3133" s="316"/>
      <c r="H3133" s="223">
        <v>0.0</v>
      </c>
      <c r="K3133" s="317"/>
    </row>
    <row r="3134">
      <c r="B3134" s="223" t="s">
        <v>200</v>
      </c>
      <c r="C3134" s="223"/>
      <c r="D3134" s="316"/>
      <c r="H3134" s="223">
        <v>0.0</v>
      </c>
      <c r="K3134" s="317"/>
    </row>
    <row r="3135">
      <c r="B3135" s="223" t="s">
        <v>200</v>
      </c>
      <c r="C3135" s="223"/>
      <c r="D3135" s="316"/>
      <c r="H3135" s="223">
        <v>0.0</v>
      </c>
      <c r="K3135" s="317"/>
    </row>
    <row r="3136">
      <c r="B3136" s="223" t="s">
        <v>200</v>
      </c>
      <c r="C3136" s="223"/>
      <c r="D3136" s="316"/>
      <c r="H3136" s="223">
        <v>0.0</v>
      </c>
      <c r="K3136" s="317"/>
    </row>
    <row r="3137">
      <c r="B3137" s="223" t="s">
        <v>200</v>
      </c>
      <c r="C3137" s="223"/>
      <c r="D3137" s="316"/>
      <c r="H3137" s="223">
        <v>0.0</v>
      </c>
      <c r="K3137" s="317"/>
    </row>
    <row r="3138">
      <c r="B3138" s="223" t="s">
        <v>200</v>
      </c>
      <c r="C3138" s="223"/>
      <c r="D3138" s="316"/>
      <c r="H3138" s="223">
        <v>0.0</v>
      </c>
      <c r="K3138" s="317"/>
    </row>
    <row r="3139">
      <c r="B3139" s="223" t="s">
        <v>200</v>
      </c>
      <c r="C3139" s="223"/>
      <c r="D3139" s="316"/>
      <c r="H3139" s="223">
        <v>0.0</v>
      </c>
      <c r="K3139" s="317"/>
    </row>
    <row r="3140">
      <c r="B3140" s="223" t="s">
        <v>200</v>
      </c>
      <c r="C3140" s="223"/>
      <c r="D3140" s="316"/>
      <c r="H3140" s="223">
        <v>0.0</v>
      </c>
      <c r="K3140" s="317"/>
    </row>
    <row r="3141">
      <c r="B3141" s="223" t="s">
        <v>200</v>
      </c>
      <c r="C3141" s="223"/>
      <c r="D3141" s="316"/>
      <c r="H3141" s="223">
        <v>0.0</v>
      </c>
      <c r="K3141" s="317"/>
    </row>
    <row r="3142">
      <c r="B3142" s="223" t="s">
        <v>200</v>
      </c>
      <c r="C3142" s="223"/>
      <c r="D3142" s="316"/>
      <c r="H3142" s="223">
        <v>0.0</v>
      </c>
      <c r="K3142" s="317"/>
    </row>
    <row r="3143">
      <c r="B3143" s="223" t="s">
        <v>200</v>
      </c>
      <c r="C3143" s="223"/>
      <c r="D3143" s="316"/>
      <c r="H3143" s="223">
        <v>0.0</v>
      </c>
      <c r="K3143" s="317"/>
    </row>
    <row r="3144">
      <c r="B3144" s="223" t="s">
        <v>200</v>
      </c>
      <c r="C3144" s="223"/>
      <c r="D3144" s="316"/>
      <c r="H3144" s="223">
        <v>0.0</v>
      </c>
      <c r="K3144" s="317"/>
    </row>
    <row r="3145">
      <c r="B3145" s="223" t="s">
        <v>200</v>
      </c>
      <c r="C3145" s="223"/>
      <c r="D3145" s="316"/>
      <c r="H3145" s="223">
        <v>0.0</v>
      </c>
      <c r="K3145" s="317"/>
    </row>
    <row r="3146">
      <c r="B3146" s="223" t="s">
        <v>200</v>
      </c>
      <c r="C3146" s="223"/>
      <c r="D3146" s="316"/>
      <c r="H3146" s="223">
        <v>0.0</v>
      </c>
      <c r="K3146" s="317"/>
    </row>
    <row r="3147">
      <c r="B3147" s="223" t="s">
        <v>200</v>
      </c>
      <c r="C3147" s="223"/>
      <c r="D3147" s="316"/>
      <c r="H3147" s="223">
        <v>0.0</v>
      </c>
      <c r="K3147" s="317"/>
    </row>
    <row r="3148">
      <c r="B3148" s="223" t="s">
        <v>200</v>
      </c>
      <c r="C3148" s="223"/>
      <c r="D3148" s="316"/>
      <c r="H3148" s="223">
        <v>0.0</v>
      </c>
      <c r="K3148" s="317"/>
    </row>
    <row r="3149">
      <c r="B3149" s="223" t="s">
        <v>200</v>
      </c>
      <c r="C3149" s="223"/>
      <c r="D3149" s="316"/>
      <c r="H3149" s="223">
        <v>0.0</v>
      </c>
      <c r="K3149" s="317"/>
    </row>
    <row r="3150">
      <c r="B3150" s="223" t="s">
        <v>200</v>
      </c>
      <c r="C3150" s="223"/>
      <c r="D3150" s="316"/>
      <c r="H3150" s="223">
        <v>0.0</v>
      </c>
      <c r="K3150" s="317"/>
    </row>
    <row r="3151">
      <c r="B3151" s="223" t="s">
        <v>200</v>
      </c>
      <c r="C3151" s="223"/>
      <c r="D3151" s="316"/>
      <c r="H3151" s="223">
        <v>0.0</v>
      </c>
      <c r="K3151" s="317"/>
    </row>
    <row r="3152">
      <c r="B3152" s="223" t="s">
        <v>200</v>
      </c>
      <c r="C3152" s="223"/>
      <c r="D3152" s="316"/>
      <c r="H3152" s="223">
        <v>0.0</v>
      </c>
      <c r="K3152" s="317"/>
    </row>
    <row r="3153">
      <c r="B3153" s="223" t="s">
        <v>200</v>
      </c>
      <c r="C3153" s="223"/>
      <c r="D3153" s="316"/>
      <c r="H3153" s="223">
        <v>0.0</v>
      </c>
      <c r="K3153" s="317"/>
    </row>
    <row r="3154">
      <c r="B3154" s="223" t="s">
        <v>200</v>
      </c>
      <c r="C3154" s="223"/>
      <c r="D3154" s="316"/>
      <c r="H3154" s="223">
        <v>0.0</v>
      </c>
      <c r="K3154" s="317"/>
    </row>
    <row r="3155">
      <c r="B3155" s="223" t="s">
        <v>200</v>
      </c>
      <c r="C3155" s="223"/>
      <c r="D3155" s="316"/>
      <c r="H3155" s="223">
        <v>0.0</v>
      </c>
      <c r="K3155" s="317"/>
    </row>
    <row r="3156">
      <c r="B3156" s="223" t="s">
        <v>200</v>
      </c>
      <c r="C3156" s="223"/>
      <c r="D3156" s="316"/>
      <c r="H3156" s="223">
        <v>0.0</v>
      </c>
      <c r="K3156" s="317"/>
    </row>
    <row r="3157">
      <c r="B3157" s="223" t="s">
        <v>200</v>
      </c>
      <c r="C3157" s="223"/>
      <c r="D3157" s="316"/>
      <c r="H3157" s="223">
        <v>0.0</v>
      </c>
      <c r="K3157" s="317"/>
    </row>
    <row r="3158">
      <c r="B3158" s="223" t="s">
        <v>200</v>
      </c>
      <c r="C3158" s="223"/>
      <c r="D3158" s="316"/>
      <c r="H3158" s="223">
        <v>0.0</v>
      </c>
      <c r="K3158" s="317"/>
    </row>
    <row r="3159">
      <c r="B3159" s="223" t="s">
        <v>200</v>
      </c>
      <c r="C3159" s="223"/>
      <c r="D3159" s="316"/>
      <c r="H3159" s="223">
        <v>0.0</v>
      </c>
      <c r="K3159" s="317"/>
    </row>
    <row r="3160">
      <c r="B3160" s="223" t="s">
        <v>200</v>
      </c>
      <c r="C3160" s="223"/>
      <c r="D3160" s="316"/>
      <c r="H3160" s="223">
        <v>0.0</v>
      </c>
      <c r="K3160" s="317"/>
    </row>
    <row r="3161">
      <c r="B3161" s="223" t="s">
        <v>200</v>
      </c>
      <c r="C3161" s="223"/>
      <c r="D3161" s="316"/>
      <c r="H3161" s="223">
        <v>0.0</v>
      </c>
      <c r="K3161" s="317"/>
    </row>
    <row r="3162">
      <c r="B3162" s="223" t="s">
        <v>200</v>
      </c>
      <c r="C3162" s="223"/>
      <c r="D3162" s="316"/>
      <c r="H3162" s="223">
        <v>0.0</v>
      </c>
      <c r="K3162" s="317"/>
    </row>
    <row r="3163">
      <c r="B3163" s="223" t="s">
        <v>200</v>
      </c>
      <c r="C3163" s="223"/>
      <c r="D3163" s="316"/>
      <c r="H3163" s="223">
        <v>0.0</v>
      </c>
      <c r="K3163" s="317"/>
    </row>
    <row r="3164">
      <c r="B3164" s="223" t="s">
        <v>200</v>
      </c>
      <c r="C3164" s="223"/>
      <c r="D3164" s="316"/>
      <c r="H3164" s="223">
        <v>0.0</v>
      </c>
      <c r="K3164" s="317"/>
    </row>
    <row r="3165">
      <c r="B3165" s="223" t="s">
        <v>200</v>
      </c>
      <c r="C3165" s="223"/>
      <c r="D3165" s="316"/>
      <c r="H3165" s="223">
        <v>0.0</v>
      </c>
      <c r="K3165" s="317"/>
    </row>
    <row r="3166">
      <c r="B3166" s="223" t="s">
        <v>200</v>
      </c>
      <c r="C3166" s="223"/>
      <c r="D3166" s="316"/>
      <c r="H3166" s="223">
        <v>0.0</v>
      </c>
      <c r="K3166" s="317"/>
    </row>
    <row r="3167">
      <c r="B3167" s="223" t="s">
        <v>200</v>
      </c>
      <c r="C3167" s="223"/>
      <c r="D3167" s="316"/>
      <c r="H3167" s="223">
        <v>0.0</v>
      </c>
      <c r="K3167" s="317"/>
    </row>
    <row r="3168">
      <c r="B3168" s="223" t="s">
        <v>200</v>
      </c>
      <c r="C3168" s="223"/>
      <c r="D3168" s="316"/>
      <c r="H3168" s="223">
        <v>0.0</v>
      </c>
      <c r="K3168" s="317"/>
    </row>
    <row r="3169">
      <c r="B3169" s="223" t="s">
        <v>200</v>
      </c>
      <c r="C3169" s="223"/>
      <c r="D3169" s="316"/>
      <c r="H3169" s="223">
        <v>0.0</v>
      </c>
      <c r="K3169" s="317"/>
    </row>
    <row r="3170">
      <c r="B3170" s="223" t="s">
        <v>200</v>
      </c>
      <c r="C3170" s="223"/>
      <c r="D3170" s="316"/>
      <c r="H3170" s="223">
        <v>0.0</v>
      </c>
      <c r="K3170" s="317"/>
    </row>
    <row r="3171">
      <c r="B3171" s="223" t="s">
        <v>200</v>
      </c>
      <c r="C3171" s="223"/>
      <c r="D3171" s="316"/>
      <c r="H3171" s="223">
        <v>0.0</v>
      </c>
      <c r="K3171" s="317"/>
    </row>
    <row r="3172">
      <c r="B3172" s="223" t="s">
        <v>200</v>
      </c>
      <c r="C3172" s="223"/>
      <c r="D3172" s="316"/>
      <c r="H3172" s="223">
        <v>0.0</v>
      </c>
      <c r="K3172" s="317"/>
    </row>
    <row r="3173">
      <c r="B3173" s="223" t="s">
        <v>200</v>
      </c>
      <c r="C3173" s="223"/>
      <c r="D3173" s="316"/>
      <c r="H3173" s="223">
        <v>0.0</v>
      </c>
      <c r="K3173" s="317"/>
    </row>
    <row r="3174">
      <c r="B3174" s="223" t="s">
        <v>200</v>
      </c>
      <c r="C3174" s="223"/>
      <c r="D3174" s="316"/>
      <c r="H3174" s="223">
        <v>0.0</v>
      </c>
      <c r="K3174" s="317"/>
    </row>
    <row r="3175">
      <c r="B3175" s="223" t="s">
        <v>200</v>
      </c>
      <c r="C3175" s="223"/>
      <c r="D3175" s="316"/>
      <c r="H3175" s="223">
        <v>0.0</v>
      </c>
      <c r="K3175" s="317"/>
    </row>
    <row r="3176">
      <c r="B3176" s="223" t="s">
        <v>200</v>
      </c>
      <c r="C3176" s="223"/>
      <c r="D3176" s="316"/>
      <c r="H3176" s="223">
        <v>0.0</v>
      </c>
      <c r="K3176" s="317"/>
    </row>
    <row r="3177">
      <c r="B3177" s="223" t="s">
        <v>200</v>
      </c>
      <c r="C3177" s="223"/>
      <c r="D3177" s="316"/>
      <c r="H3177" s="223">
        <v>0.0</v>
      </c>
      <c r="K3177" s="317"/>
    </row>
    <row r="3178">
      <c r="B3178" s="223" t="s">
        <v>200</v>
      </c>
      <c r="C3178" s="223"/>
      <c r="D3178" s="316"/>
      <c r="H3178" s="223">
        <v>0.0</v>
      </c>
      <c r="K3178" s="317"/>
    </row>
    <row r="3179">
      <c r="B3179" s="223" t="s">
        <v>200</v>
      </c>
      <c r="C3179" s="223"/>
      <c r="D3179" s="316"/>
      <c r="H3179" s="223">
        <v>0.0</v>
      </c>
      <c r="K3179" s="317"/>
    </row>
    <row r="3180">
      <c r="B3180" s="223" t="s">
        <v>200</v>
      </c>
      <c r="C3180" s="223"/>
      <c r="D3180" s="316"/>
      <c r="H3180" s="223">
        <v>0.0</v>
      </c>
      <c r="K3180" s="317"/>
    </row>
    <row r="3181">
      <c r="B3181" s="223" t="s">
        <v>200</v>
      </c>
      <c r="C3181" s="223"/>
      <c r="D3181" s="316"/>
      <c r="H3181" s="223">
        <v>0.0</v>
      </c>
      <c r="K3181" s="317"/>
    </row>
    <row r="3182">
      <c r="B3182" s="223" t="s">
        <v>200</v>
      </c>
      <c r="C3182" s="223"/>
      <c r="D3182" s="316"/>
      <c r="H3182" s="223">
        <v>0.0</v>
      </c>
      <c r="K3182" s="317"/>
    </row>
    <row r="3183">
      <c r="B3183" s="223" t="s">
        <v>200</v>
      </c>
      <c r="C3183" s="223"/>
      <c r="D3183" s="316"/>
      <c r="H3183" s="223">
        <v>0.0</v>
      </c>
      <c r="K3183" s="317"/>
    </row>
    <row r="3184">
      <c r="B3184" s="223" t="s">
        <v>200</v>
      </c>
      <c r="C3184" s="223"/>
      <c r="D3184" s="316"/>
      <c r="H3184" s="223">
        <v>0.0</v>
      </c>
      <c r="K3184" s="317"/>
    </row>
    <row r="3185">
      <c r="B3185" s="223" t="s">
        <v>200</v>
      </c>
      <c r="C3185" s="223"/>
      <c r="D3185" s="316"/>
      <c r="H3185" s="223">
        <v>0.0</v>
      </c>
      <c r="K3185" s="317"/>
    </row>
    <row r="3186">
      <c r="B3186" s="223" t="s">
        <v>200</v>
      </c>
      <c r="C3186" s="223"/>
      <c r="D3186" s="316"/>
      <c r="H3186" s="223">
        <v>0.0</v>
      </c>
      <c r="K3186" s="317"/>
    </row>
    <row r="3187">
      <c r="B3187" s="223" t="s">
        <v>200</v>
      </c>
      <c r="C3187" s="223"/>
      <c r="D3187" s="316"/>
      <c r="H3187" s="223">
        <v>0.0</v>
      </c>
      <c r="K3187" s="317"/>
    </row>
    <row r="3188">
      <c r="B3188" s="223" t="s">
        <v>200</v>
      </c>
      <c r="C3188" s="223"/>
      <c r="D3188" s="316"/>
      <c r="H3188" s="223">
        <v>0.0</v>
      </c>
      <c r="K3188" s="317"/>
    </row>
    <row r="3189">
      <c r="B3189" s="223" t="s">
        <v>200</v>
      </c>
      <c r="C3189" s="223"/>
      <c r="D3189" s="316"/>
      <c r="H3189" s="223">
        <v>0.0</v>
      </c>
      <c r="K3189" s="317"/>
    </row>
    <row r="3190">
      <c r="B3190" s="223" t="s">
        <v>200</v>
      </c>
      <c r="C3190" s="223"/>
      <c r="D3190" s="316"/>
      <c r="H3190" s="223">
        <v>0.0</v>
      </c>
      <c r="K3190" s="317"/>
    </row>
    <row r="3191">
      <c r="B3191" s="223" t="s">
        <v>200</v>
      </c>
      <c r="C3191" s="223"/>
      <c r="D3191" s="316"/>
      <c r="H3191" s="223">
        <v>0.0</v>
      </c>
      <c r="K3191" s="317"/>
    </row>
    <row r="3192">
      <c r="B3192" s="223" t="s">
        <v>200</v>
      </c>
      <c r="C3192" s="223"/>
      <c r="D3192" s="316"/>
      <c r="H3192" s="223">
        <v>0.0</v>
      </c>
      <c r="K3192" s="317"/>
    </row>
    <row r="3193">
      <c r="B3193" s="223" t="s">
        <v>200</v>
      </c>
      <c r="C3193" s="223"/>
      <c r="D3193" s="316"/>
      <c r="H3193" s="223">
        <v>0.0</v>
      </c>
      <c r="K3193" s="317"/>
    </row>
    <row r="3194">
      <c r="B3194" s="223" t="s">
        <v>200</v>
      </c>
      <c r="C3194" s="223"/>
      <c r="D3194" s="316"/>
      <c r="H3194" s="223">
        <v>0.0</v>
      </c>
      <c r="K3194" s="317"/>
    </row>
    <row r="3195">
      <c r="B3195" s="223" t="s">
        <v>200</v>
      </c>
      <c r="C3195" s="223"/>
      <c r="D3195" s="316"/>
      <c r="H3195" s="223">
        <v>0.0</v>
      </c>
      <c r="K3195" s="317"/>
    </row>
    <row r="3196">
      <c r="B3196" s="223" t="s">
        <v>200</v>
      </c>
      <c r="C3196" s="223"/>
      <c r="D3196" s="316"/>
      <c r="H3196" s="223">
        <v>0.0</v>
      </c>
      <c r="K3196" s="317"/>
    </row>
    <row r="3197">
      <c r="B3197" s="223" t="s">
        <v>200</v>
      </c>
      <c r="C3197" s="223"/>
      <c r="D3197" s="316"/>
      <c r="H3197" s="223">
        <v>0.0</v>
      </c>
      <c r="K3197" s="317"/>
    </row>
    <row r="3198">
      <c r="B3198" s="223" t="s">
        <v>200</v>
      </c>
      <c r="C3198" s="223"/>
      <c r="D3198" s="316"/>
      <c r="H3198" s="223">
        <v>0.0</v>
      </c>
      <c r="K3198" s="317"/>
    </row>
    <row r="3199">
      <c r="B3199" s="223" t="s">
        <v>200</v>
      </c>
      <c r="C3199" s="223"/>
      <c r="D3199" s="316"/>
      <c r="H3199" s="223">
        <v>0.0</v>
      </c>
      <c r="K3199" s="317"/>
    </row>
    <row r="3200">
      <c r="B3200" s="223" t="s">
        <v>200</v>
      </c>
      <c r="C3200" s="223"/>
      <c r="D3200" s="316"/>
      <c r="H3200" s="223">
        <v>0.0</v>
      </c>
      <c r="K3200" s="317"/>
    </row>
    <row r="3201">
      <c r="B3201" s="223" t="s">
        <v>200</v>
      </c>
      <c r="C3201" s="223"/>
      <c r="D3201" s="316"/>
      <c r="H3201" s="223">
        <v>0.0</v>
      </c>
      <c r="K3201" s="317"/>
    </row>
    <row r="3202">
      <c r="B3202" s="223" t="s">
        <v>200</v>
      </c>
      <c r="C3202" s="223"/>
      <c r="D3202" s="316"/>
      <c r="H3202" s="223">
        <v>0.0</v>
      </c>
      <c r="K3202" s="317"/>
    </row>
    <row r="3203">
      <c r="B3203" s="223" t="s">
        <v>200</v>
      </c>
      <c r="C3203" s="223"/>
      <c r="D3203" s="316"/>
      <c r="H3203" s="223">
        <v>0.0</v>
      </c>
      <c r="K3203" s="317"/>
    </row>
    <row r="3204">
      <c r="B3204" s="223" t="s">
        <v>200</v>
      </c>
      <c r="C3204" s="223"/>
      <c r="D3204" s="316"/>
      <c r="H3204" s="223">
        <v>0.0</v>
      </c>
      <c r="K3204" s="317"/>
    </row>
    <row r="3205">
      <c r="B3205" s="223" t="s">
        <v>200</v>
      </c>
      <c r="C3205" s="223"/>
      <c r="D3205" s="316"/>
      <c r="H3205" s="223">
        <v>0.0</v>
      </c>
      <c r="K3205" s="317"/>
    </row>
    <row r="3206">
      <c r="B3206" s="223" t="s">
        <v>200</v>
      </c>
      <c r="C3206" s="223"/>
      <c r="D3206" s="316"/>
      <c r="H3206" s="223">
        <v>0.0</v>
      </c>
      <c r="K3206" s="317"/>
    </row>
    <row r="3207">
      <c r="B3207" s="223" t="s">
        <v>200</v>
      </c>
      <c r="C3207" s="223"/>
      <c r="D3207" s="316"/>
      <c r="H3207" s="223">
        <v>0.0</v>
      </c>
      <c r="K3207" s="317"/>
    </row>
    <row r="3208">
      <c r="B3208" s="223" t="s">
        <v>200</v>
      </c>
      <c r="C3208" s="223"/>
      <c r="D3208" s="316"/>
      <c r="H3208" s="223">
        <v>0.0</v>
      </c>
      <c r="K3208" s="317"/>
    </row>
    <row r="3209">
      <c r="B3209" s="223" t="s">
        <v>200</v>
      </c>
      <c r="C3209" s="223"/>
      <c r="D3209" s="316"/>
      <c r="H3209" s="223">
        <v>0.0</v>
      </c>
      <c r="K3209" s="317"/>
    </row>
    <row r="3210">
      <c r="B3210" s="223" t="s">
        <v>200</v>
      </c>
      <c r="C3210" s="223"/>
      <c r="D3210" s="316"/>
      <c r="H3210" s="223">
        <v>0.0</v>
      </c>
      <c r="K3210" s="317"/>
    </row>
    <row r="3211">
      <c r="B3211" s="223" t="s">
        <v>200</v>
      </c>
      <c r="C3211" s="223"/>
      <c r="D3211" s="316"/>
      <c r="H3211" s="223">
        <v>0.0</v>
      </c>
      <c r="K3211" s="317"/>
    </row>
    <row r="3212">
      <c r="B3212" s="223" t="s">
        <v>200</v>
      </c>
      <c r="C3212" s="223"/>
      <c r="D3212" s="316"/>
      <c r="H3212" s="223">
        <v>0.0</v>
      </c>
      <c r="K3212" s="317"/>
    </row>
    <row r="3213">
      <c r="B3213" s="223" t="s">
        <v>200</v>
      </c>
      <c r="C3213" s="223"/>
      <c r="D3213" s="316"/>
      <c r="H3213" s="223">
        <v>0.0</v>
      </c>
      <c r="K3213" s="317"/>
    </row>
    <row r="3214">
      <c r="B3214" s="223" t="s">
        <v>200</v>
      </c>
      <c r="C3214" s="223"/>
      <c r="D3214" s="316"/>
      <c r="H3214" s="223">
        <v>0.0</v>
      </c>
      <c r="K3214" s="317"/>
    </row>
    <row r="3215">
      <c r="B3215" s="223" t="s">
        <v>200</v>
      </c>
      <c r="C3215" s="223"/>
      <c r="D3215" s="316"/>
      <c r="H3215" s="223">
        <v>0.0</v>
      </c>
      <c r="K3215" s="317"/>
    </row>
    <row r="3216">
      <c r="B3216" s="223" t="s">
        <v>200</v>
      </c>
      <c r="C3216" s="223"/>
      <c r="D3216" s="316"/>
      <c r="H3216" s="223">
        <v>0.0</v>
      </c>
      <c r="K3216" s="317"/>
    </row>
    <row r="3217">
      <c r="B3217" s="223" t="s">
        <v>200</v>
      </c>
      <c r="C3217" s="223"/>
      <c r="D3217" s="316"/>
      <c r="H3217" s="223">
        <v>0.0</v>
      </c>
      <c r="K3217" s="317"/>
    </row>
    <row r="3218">
      <c r="B3218" s="223" t="s">
        <v>200</v>
      </c>
      <c r="C3218" s="223"/>
      <c r="D3218" s="316"/>
      <c r="H3218" s="223">
        <v>0.0</v>
      </c>
      <c r="K3218" s="317"/>
    </row>
    <row r="3219">
      <c r="B3219" s="223" t="s">
        <v>200</v>
      </c>
      <c r="C3219" s="223"/>
      <c r="D3219" s="316"/>
      <c r="H3219" s="223">
        <v>0.0</v>
      </c>
      <c r="K3219" s="317"/>
    </row>
    <row r="3220">
      <c r="B3220" s="223" t="s">
        <v>200</v>
      </c>
      <c r="C3220" s="223"/>
      <c r="D3220" s="316"/>
      <c r="H3220" s="223">
        <v>0.0</v>
      </c>
      <c r="K3220" s="317"/>
    </row>
    <row r="3221">
      <c r="B3221" s="223" t="s">
        <v>200</v>
      </c>
      <c r="C3221" s="223"/>
      <c r="D3221" s="316"/>
      <c r="H3221" s="223">
        <v>0.0</v>
      </c>
      <c r="K3221" s="317"/>
    </row>
    <row r="3222">
      <c r="B3222" s="223" t="s">
        <v>200</v>
      </c>
      <c r="C3222" s="223"/>
      <c r="D3222" s="316"/>
      <c r="H3222" s="223">
        <v>0.0</v>
      </c>
      <c r="K3222" s="317"/>
    </row>
    <row r="3223">
      <c r="B3223" s="223" t="s">
        <v>200</v>
      </c>
      <c r="C3223" s="223"/>
      <c r="D3223" s="316"/>
      <c r="H3223" s="223">
        <v>0.0</v>
      </c>
      <c r="K3223" s="317"/>
    </row>
    <row r="3224">
      <c r="B3224" s="223" t="s">
        <v>200</v>
      </c>
      <c r="C3224" s="223"/>
      <c r="D3224" s="316"/>
      <c r="H3224" s="223">
        <v>0.0</v>
      </c>
      <c r="K3224" s="317"/>
    </row>
    <row r="3225">
      <c r="B3225" s="223" t="s">
        <v>200</v>
      </c>
      <c r="C3225" s="223"/>
      <c r="D3225" s="316"/>
      <c r="H3225" s="223">
        <v>0.0</v>
      </c>
      <c r="K3225" s="317"/>
    </row>
    <row r="3226">
      <c r="B3226" s="223" t="s">
        <v>200</v>
      </c>
      <c r="C3226" s="223"/>
      <c r="D3226" s="316"/>
      <c r="H3226" s="223">
        <v>0.0</v>
      </c>
      <c r="K3226" s="317"/>
    </row>
    <row r="3227">
      <c r="B3227" s="223" t="s">
        <v>200</v>
      </c>
      <c r="C3227" s="223"/>
      <c r="D3227" s="316"/>
      <c r="H3227" s="223">
        <v>0.0</v>
      </c>
      <c r="K3227" s="317"/>
    </row>
    <row r="3228">
      <c r="B3228" s="223" t="s">
        <v>200</v>
      </c>
      <c r="C3228" s="223"/>
      <c r="D3228" s="316"/>
      <c r="H3228" s="223">
        <v>0.0</v>
      </c>
      <c r="K3228" s="317"/>
    </row>
    <row r="3229">
      <c r="B3229" s="223" t="s">
        <v>200</v>
      </c>
      <c r="C3229" s="223"/>
      <c r="D3229" s="316"/>
      <c r="H3229" s="223">
        <v>0.0</v>
      </c>
      <c r="K3229" s="317"/>
    </row>
    <row r="3230">
      <c r="B3230" s="223" t="s">
        <v>200</v>
      </c>
      <c r="C3230" s="223"/>
      <c r="D3230" s="316"/>
      <c r="H3230" s="223">
        <v>0.0</v>
      </c>
      <c r="K3230" s="317"/>
    </row>
    <row r="3231">
      <c r="B3231" s="223" t="s">
        <v>200</v>
      </c>
      <c r="C3231" s="223"/>
      <c r="D3231" s="316"/>
      <c r="H3231" s="223">
        <v>0.0</v>
      </c>
      <c r="K3231" s="317"/>
    </row>
    <row r="3232">
      <c r="B3232" s="223" t="s">
        <v>200</v>
      </c>
      <c r="C3232" s="223"/>
      <c r="D3232" s="316"/>
      <c r="H3232" s="223">
        <v>0.0</v>
      </c>
      <c r="K3232" s="317"/>
    </row>
    <row r="3233">
      <c r="B3233" s="223" t="s">
        <v>200</v>
      </c>
      <c r="C3233" s="223"/>
      <c r="D3233" s="316"/>
      <c r="H3233" s="223">
        <v>0.0</v>
      </c>
      <c r="K3233" s="317"/>
    </row>
    <row r="3234">
      <c r="B3234" s="223" t="s">
        <v>200</v>
      </c>
      <c r="C3234" s="223"/>
      <c r="D3234" s="316"/>
      <c r="H3234" s="223">
        <v>0.0</v>
      </c>
      <c r="K3234" s="317"/>
    </row>
    <row r="3235">
      <c r="B3235" s="223" t="s">
        <v>200</v>
      </c>
      <c r="C3235" s="223"/>
      <c r="D3235" s="316"/>
      <c r="H3235" s="223">
        <v>0.0</v>
      </c>
      <c r="K3235" s="317"/>
    </row>
    <row r="3236">
      <c r="B3236" s="223" t="s">
        <v>200</v>
      </c>
      <c r="C3236" s="223"/>
      <c r="D3236" s="316"/>
      <c r="H3236" s="223">
        <v>0.0</v>
      </c>
      <c r="K3236" s="317"/>
    </row>
    <row r="3237">
      <c r="B3237" s="223" t="s">
        <v>200</v>
      </c>
      <c r="C3237" s="223"/>
      <c r="D3237" s="316"/>
      <c r="H3237" s="223">
        <v>0.0</v>
      </c>
      <c r="K3237" s="317"/>
    </row>
    <row r="3238">
      <c r="B3238" s="223" t="s">
        <v>200</v>
      </c>
      <c r="C3238" s="223"/>
      <c r="D3238" s="316"/>
      <c r="H3238" s="223">
        <v>0.0</v>
      </c>
      <c r="K3238" s="317"/>
    </row>
    <row r="3239">
      <c r="B3239" s="223" t="s">
        <v>200</v>
      </c>
      <c r="C3239" s="223"/>
      <c r="D3239" s="316"/>
      <c r="H3239" s="223">
        <v>0.0</v>
      </c>
      <c r="K3239" s="317"/>
    </row>
    <row r="3240">
      <c r="B3240" s="223" t="s">
        <v>200</v>
      </c>
      <c r="C3240" s="223"/>
      <c r="D3240" s="316"/>
      <c r="H3240" s="223">
        <v>0.0</v>
      </c>
      <c r="K3240" s="317"/>
    </row>
    <row r="3241">
      <c r="B3241" s="223" t="s">
        <v>200</v>
      </c>
      <c r="C3241" s="223"/>
      <c r="D3241" s="316"/>
      <c r="H3241" s="223">
        <v>0.0</v>
      </c>
      <c r="K3241" s="317"/>
    </row>
    <row r="3242">
      <c r="B3242" s="223" t="s">
        <v>200</v>
      </c>
      <c r="C3242" s="223"/>
      <c r="D3242" s="316"/>
      <c r="H3242" s="223">
        <v>0.0</v>
      </c>
      <c r="K3242" s="317"/>
    </row>
    <row r="3243">
      <c r="B3243" s="223" t="s">
        <v>200</v>
      </c>
      <c r="C3243" s="223"/>
      <c r="D3243" s="316"/>
      <c r="H3243" s="223">
        <v>0.0</v>
      </c>
      <c r="K3243" s="317"/>
    </row>
    <row r="3244">
      <c r="B3244" s="223" t="s">
        <v>200</v>
      </c>
      <c r="C3244" s="223"/>
      <c r="D3244" s="316"/>
      <c r="H3244" s="223">
        <v>0.0</v>
      </c>
      <c r="K3244" s="317"/>
    </row>
    <row r="3245">
      <c r="B3245" s="223" t="s">
        <v>200</v>
      </c>
      <c r="C3245" s="223"/>
      <c r="D3245" s="316"/>
      <c r="H3245" s="223">
        <v>0.0</v>
      </c>
      <c r="K3245" s="317"/>
    </row>
    <row r="3246">
      <c r="B3246" s="223" t="s">
        <v>200</v>
      </c>
      <c r="C3246" s="223"/>
      <c r="D3246" s="316"/>
      <c r="H3246" s="223">
        <v>0.0</v>
      </c>
      <c r="K3246" s="317"/>
    </row>
    <row r="3247">
      <c r="B3247" s="223" t="s">
        <v>200</v>
      </c>
      <c r="C3247" s="223"/>
      <c r="D3247" s="316"/>
      <c r="H3247" s="223">
        <v>0.0</v>
      </c>
      <c r="K3247" s="317"/>
    </row>
    <row r="3248">
      <c r="B3248" s="223" t="s">
        <v>200</v>
      </c>
      <c r="C3248" s="223"/>
      <c r="D3248" s="316"/>
      <c r="H3248" s="223">
        <v>0.0</v>
      </c>
      <c r="K3248" s="317"/>
    </row>
    <row r="3249">
      <c r="B3249" s="223" t="s">
        <v>200</v>
      </c>
      <c r="C3249" s="223"/>
      <c r="D3249" s="316"/>
      <c r="H3249" s="223">
        <v>0.0</v>
      </c>
      <c r="K3249" s="317"/>
    </row>
    <row r="3250">
      <c r="B3250" s="223" t="s">
        <v>200</v>
      </c>
      <c r="C3250" s="223"/>
      <c r="D3250" s="316"/>
      <c r="H3250" s="223">
        <v>0.0</v>
      </c>
      <c r="K3250" s="317"/>
    </row>
    <row r="3251">
      <c r="B3251" s="223" t="s">
        <v>200</v>
      </c>
      <c r="C3251" s="223"/>
      <c r="D3251" s="316"/>
      <c r="H3251" s="223">
        <v>0.0</v>
      </c>
      <c r="K3251" s="317"/>
    </row>
    <row r="3252">
      <c r="B3252" s="223" t="s">
        <v>200</v>
      </c>
      <c r="C3252" s="223"/>
      <c r="D3252" s="316"/>
      <c r="H3252" s="223">
        <v>0.0</v>
      </c>
      <c r="K3252" s="317"/>
    </row>
    <row r="3253">
      <c r="B3253" s="223" t="s">
        <v>200</v>
      </c>
      <c r="C3253" s="223"/>
      <c r="D3253" s="316"/>
      <c r="H3253" s="223">
        <v>0.0</v>
      </c>
      <c r="K3253" s="317"/>
    </row>
    <row r="3254">
      <c r="B3254" s="223" t="s">
        <v>200</v>
      </c>
      <c r="C3254" s="223"/>
      <c r="D3254" s="316"/>
      <c r="H3254" s="223">
        <v>0.0</v>
      </c>
      <c r="K3254" s="317"/>
    </row>
    <row r="3255">
      <c r="B3255" s="223" t="s">
        <v>200</v>
      </c>
      <c r="C3255" s="223"/>
      <c r="D3255" s="316"/>
      <c r="H3255" s="223">
        <v>0.0</v>
      </c>
      <c r="K3255" s="317"/>
    </row>
    <row r="3256">
      <c r="B3256" s="223" t="s">
        <v>200</v>
      </c>
      <c r="C3256" s="223"/>
      <c r="D3256" s="316"/>
      <c r="H3256" s="223">
        <v>0.0</v>
      </c>
      <c r="K3256" s="317"/>
    </row>
    <row r="3257">
      <c r="B3257" s="223" t="s">
        <v>200</v>
      </c>
      <c r="C3257" s="223"/>
      <c r="D3257" s="316"/>
      <c r="H3257" s="223">
        <v>0.0</v>
      </c>
      <c r="K3257" s="317"/>
    </row>
    <row r="3258">
      <c r="B3258" s="223" t="s">
        <v>200</v>
      </c>
      <c r="C3258" s="223"/>
      <c r="D3258" s="316"/>
      <c r="H3258" s="223">
        <v>0.0</v>
      </c>
      <c r="K3258" s="317"/>
    </row>
    <row r="3259">
      <c r="B3259" s="223" t="s">
        <v>200</v>
      </c>
      <c r="C3259" s="223"/>
      <c r="D3259" s="316"/>
      <c r="H3259" s="223">
        <v>0.0</v>
      </c>
      <c r="K3259" s="317"/>
    </row>
    <row r="3260">
      <c r="B3260" s="223" t="s">
        <v>200</v>
      </c>
      <c r="C3260" s="223"/>
      <c r="D3260" s="316"/>
      <c r="H3260" s="223">
        <v>0.0</v>
      </c>
      <c r="K3260" s="317"/>
    </row>
    <row r="3261">
      <c r="B3261" s="223" t="s">
        <v>200</v>
      </c>
      <c r="C3261" s="223"/>
      <c r="D3261" s="316"/>
      <c r="H3261" s="223">
        <v>0.0</v>
      </c>
      <c r="K3261" s="317"/>
    </row>
    <row r="3262">
      <c r="B3262" s="223" t="s">
        <v>200</v>
      </c>
      <c r="C3262" s="223"/>
      <c r="D3262" s="316"/>
      <c r="H3262" s="223">
        <v>0.0</v>
      </c>
      <c r="K3262" s="317"/>
    </row>
    <row r="3263">
      <c r="B3263" s="223" t="s">
        <v>200</v>
      </c>
      <c r="C3263" s="223"/>
      <c r="D3263" s="316"/>
      <c r="H3263" s="223">
        <v>0.0</v>
      </c>
      <c r="K3263" s="317"/>
    </row>
    <row r="3264">
      <c r="B3264" s="223" t="s">
        <v>200</v>
      </c>
      <c r="C3264" s="223"/>
      <c r="D3264" s="316"/>
      <c r="H3264" s="223">
        <v>0.0</v>
      </c>
      <c r="K3264" s="317"/>
    </row>
    <row r="3265">
      <c r="B3265" s="223" t="s">
        <v>200</v>
      </c>
      <c r="C3265" s="223"/>
      <c r="D3265" s="316"/>
      <c r="H3265" s="223">
        <v>0.0</v>
      </c>
      <c r="K3265" s="317"/>
    </row>
    <row r="3266">
      <c r="B3266" s="223" t="s">
        <v>200</v>
      </c>
      <c r="C3266" s="223"/>
      <c r="D3266" s="316"/>
      <c r="H3266" s="223">
        <v>0.0</v>
      </c>
      <c r="K3266" s="317"/>
    </row>
    <row r="3267">
      <c r="B3267" s="223" t="s">
        <v>200</v>
      </c>
      <c r="C3267" s="223"/>
      <c r="D3267" s="316"/>
      <c r="H3267" s="223">
        <v>0.0</v>
      </c>
      <c r="K3267" s="317"/>
    </row>
    <row r="3268">
      <c r="B3268" s="223" t="s">
        <v>200</v>
      </c>
      <c r="C3268" s="223"/>
      <c r="D3268" s="316"/>
      <c r="H3268" s="223">
        <v>0.0</v>
      </c>
      <c r="K3268" s="317"/>
    </row>
    <row r="3269">
      <c r="B3269" s="223" t="s">
        <v>200</v>
      </c>
      <c r="C3269" s="223"/>
      <c r="D3269" s="316"/>
      <c r="H3269" s="223">
        <v>0.0</v>
      </c>
      <c r="K3269" s="317"/>
    </row>
    <row r="3270">
      <c r="B3270" s="223" t="s">
        <v>200</v>
      </c>
      <c r="C3270" s="223"/>
      <c r="D3270" s="316"/>
      <c r="H3270" s="223">
        <v>0.0</v>
      </c>
      <c r="K3270" s="317"/>
    </row>
    <row r="3271">
      <c r="B3271" s="223" t="s">
        <v>200</v>
      </c>
      <c r="C3271" s="223"/>
      <c r="D3271" s="316"/>
      <c r="H3271" s="223">
        <v>0.0</v>
      </c>
      <c r="K3271" s="317"/>
    </row>
    <row r="3272">
      <c r="B3272" s="223" t="s">
        <v>200</v>
      </c>
      <c r="C3272" s="223"/>
      <c r="D3272" s="316"/>
      <c r="H3272" s="223">
        <v>0.0</v>
      </c>
      <c r="K3272" s="317"/>
    </row>
    <row r="3273">
      <c r="B3273" s="223" t="s">
        <v>200</v>
      </c>
      <c r="C3273" s="223"/>
      <c r="D3273" s="316"/>
      <c r="H3273" s="223">
        <v>0.0</v>
      </c>
      <c r="K3273" s="317"/>
    </row>
    <row r="3274">
      <c r="B3274" s="223" t="s">
        <v>200</v>
      </c>
      <c r="C3274" s="223"/>
      <c r="D3274" s="316"/>
      <c r="H3274" s="223">
        <v>0.0</v>
      </c>
      <c r="K3274" s="317"/>
    </row>
    <row r="3275">
      <c r="B3275" s="223" t="s">
        <v>200</v>
      </c>
      <c r="C3275" s="223"/>
      <c r="D3275" s="316"/>
      <c r="H3275" s="223">
        <v>0.0</v>
      </c>
      <c r="K3275" s="317"/>
    </row>
    <row r="3276">
      <c r="B3276" s="223" t="s">
        <v>200</v>
      </c>
      <c r="C3276" s="223"/>
      <c r="D3276" s="316"/>
      <c r="H3276" s="223">
        <v>0.0</v>
      </c>
      <c r="K3276" s="317"/>
    </row>
    <row r="3277">
      <c r="B3277" s="223" t="s">
        <v>200</v>
      </c>
      <c r="C3277" s="223"/>
      <c r="D3277" s="316"/>
      <c r="H3277" s="223">
        <v>0.0</v>
      </c>
      <c r="K3277" s="317"/>
    </row>
    <row r="3278">
      <c r="B3278" s="223" t="s">
        <v>200</v>
      </c>
      <c r="C3278" s="223"/>
      <c r="D3278" s="316"/>
      <c r="H3278" s="223">
        <v>0.0</v>
      </c>
      <c r="K3278" s="317"/>
    </row>
    <row r="3279">
      <c r="B3279" s="223" t="s">
        <v>200</v>
      </c>
      <c r="C3279" s="223"/>
      <c r="D3279" s="316"/>
      <c r="H3279" s="223">
        <v>0.0</v>
      </c>
      <c r="K3279" s="317"/>
    </row>
    <row r="3280">
      <c r="B3280" s="223" t="s">
        <v>200</v>
      </c>
      <c r="C3280" s="223"/>
      <c r="D3280" s="316"/>
      <c r="H3280" s="223">
        <v>0.0</v>
      </c>
      <c r="K3280" s="317"/>
    </row>
    <row r="3281">
      <c r="B3281" s="223" t="s">
        <v>200</v>
      </c>
      <c r="C3281" s="223"/>
      <c r="D3281" s="316"/>
      <c r="H3281" s="223">
        <v>0.0</v>
      </c>
      <c r="K3281" s="317"/>
    </row>
    <row r="3282">
      <c r="B3282" s="223" t="s">
        <v>200</v>
      </c>
      <c r="C3282" s="223"/>
      <c r="D3282" s="316"/>
      <c r="H3282" s="223">
        <v>0.0</v>
      </c>
      <c r="K3282" s="317"/>
    </row>
    <row r="3283">
      <c r="B3283" s="223" t="s">
        <v>200</v>
      </c>
      <c r="C3283" s="223"/>
      <c r="D3283" s="316"/>
      <c r="H3283" s="223">
        <v>0.0</v>
      </c>
      <c r="K3283" s="317"/>
    </row>
    <row r="3284">
      <c r="B3284" s="223" t="s">
        <v>200</v>
      </c>
      <c r="C3284" s="223"/>
      <c r="D3284" s="316"/>
      <c r="H3284" s="223">
        <v>0.0</v>
      </c>
      <c r="K3284" s="317"/>
    </row>
    <row r="3285">
      <c r="B3285" s="223" t="s">
        <v>200</v>
      </c>
      <c r="C3285" s="223"/>
      <c r="D3285" s="316"/>
      <c r="H3285" s="223">
        <v>0.0</v>
      </c>
      <c r="K3285" s="317"/>
    </row>
    <row r="3286">
      <c r="B3286" s="223" t="s">
        <v>200</v>
      </c>
      <c r="C3286" s="223"/>
      <c r="D3286" s="316"/>
      <c r="H3286" s="223">
        <v>0.0</v>
      </c>
      <c r="K3286" s="317"/>
    </row>
    <row r="3287">
      <c r="B3287" s="223" t="s">
        <v>200</v>
      </c>
      <c r="C3287" s="223"/>
      <c r="D3287" s="316"/>
      <c r="H3287" s="223">
        <v>0.0</v>
      </c>
      <c r="K3287" s="317"/>
    </row>
    <row r="3288">
      <c r="B3288" s="223" t="s">
        <v>200</v>
      </c>
      <c r="C3288" s="223"/>
      <c r="D3288" s="316"/>
      <c r="H3288" s="223">
        <v>0.0</v>
      </c>
      <c r="K3288" s="317"/>
    </row>
    <row r="3289">
      <c r="B3289" s="223" t="s">
        <v>200</v>
      </c>
      <c r="C3289" s="223"/>
      <c r="D3289" s="316"/>
      <c r="H3289" s="223">
        <v>0.0</v>
      </c>
      <c r="K3289" s="317"/>
    </row>
    <row r="3290">
      <c r="B3290" s="223" t="s">
        <v>200</v>
      </c>
      <c r="C3290" s="223"/>
      <c r="D3290" s="316"/>
      <c r="H3290" s="223">
        <v>0.0</v>
      </c>
      <c r="K3290" s="317"/>
    </row>
    <row r="3291">
      <c r="B3291" s="223" t="s">
        <v>200</v>
      </c>
      <c r="C3291" s="223"/>
      <c r="D3291" s="316"/>
      <c r="H3291" s="223">
        <v>0.0</v>
      </c>
      <c r="K3291" s="317"/>
    </row>
    <row r="3292">
      <c r="B3292" s="223" t="s">
        <v>200</v>
      </c>
      <c r="C3292" s="223"/>
      <c r="D3292" s="316"/>
      <c r="H3292" s="223">
        <v>0.0</v>
      </c>
      <c r="K3292" s="317"/>
    </row>
    <row r="3293">
      <c r="B3293" s="223" t="s">
        <v>200</v>
      </c>
      <c r="C3293" s="223"/>
      <c r="D3293" s="316"/>
      <c r="H3293" s="223">
        <v>0.0</v>
      </c>
      <c r="K3293" s="317"/>
    </row>
    <row r="3294">
      <c r="B3294" s="223" t="s">
        <v>200</v>
      </c>
      <c r="C3294" s="223"/>
      <c r="D3294" s="316"/>
      <c r="H3294" s="223">
        <v>0.0</v>
      </c>
      <c r="K3294" s="317"/>
    </row>
    <row r="3295">
      <c r="B3295" s="223" t="s">
        <v>200</v>
      </c>
      <c r="C3295" s="223"/>
      <c r="D3295" s="316"/>
      <c r="H3295" s="223">
        <v>0.0</v>
      </c>
      <c r="K3295" s="317"/>
    </row>
    <row r="3296">
      <c r="B3296" s="223" t="s">
        <v>200</v>
      </c>
      <c r="C3296" s="223"/>
      <c r="D3296" s="316"/>
      <c r="H3296" s="223">
        <v>0.0</v>
      </c>
      <c r="K3296" s="317"/>
    </row>
    <row r="3297">
      <c r="B3297" s="223" t="s">
        <v>200</v>
      </c>
      <c r="C3297" s="223"/>
      <c r="D3297" s="316"/>
      <c r="H3297" s="223">
        <v>0.0</v>
      </c>
      <c r="K3297" s="317"/>
    </row>
    <row r="3298">
      <c r="B3298" s="223" t="s">
        <v>200</v>
      </c>
      <c r="C3298" s="223"/>
      <c r="D3298" s="316"/>
      <c r="H3298" s="223">
        <v>0.0</v>
      </c>
      <c r="K3298" s="317"/>
    </row>
    <row r="3299">
      <c r="B3299" s="223" t="s">
        <v>200</v>
      </c>
      <c r="C3299" s="223"/>
      <c r="D3299" s="316"/>
      <c r="H3299" s="223">
        <v>0.0</v>
      </c>
      <c r="K3299" s="317"/>
    </row>
    <row r="3300">
      <c r="B3300" s="223" t="s">
        <v>200</v>
      </c>
      <c r="C3300" s="223"/>
      <c r="D3300" s="316"/>
      <c r="H3300" s="223">
        <v>0.0</v>
      </c>
      <c r="K3300" s="317"/>
    </row>
    <row r="3301">
      <c r="B3301" s="223" t="s">
        <v>200</v>
      </c>
      <c r="C3301" s="223"/>
      <c r="D3301" s="316"/>
      <c r="H3301" s="223">
        <v>0.0</v>
      </c>
      <c r="K3301" s="317"/>
    </row>
    <row r="3302">
      <c r="B3302" s="223" t="s">
        <v>200</v>
      </c>
      <c r="C3302" s="223"/>
      <c r="D3302" s="316"/>
      <c r="H3302" s="223">
        <v>0.0</v>
      </c>
      <c r="K3302" s="317"/>
    </row>
    <row r="3303">
      <c r="B3303" s="223" t="s">
        <v>200</v>
      </c>
      <c r="C3303" s="223"/>
      <c r="D3303" s="316"/>
      <c r="H3303" s="223">
        <v>0.0</v>
      </c>
      <c r="K3303" s="317"/>
    </row>
    <row r="3304">
      <c r="B3304" s="223" t="s">
        <v>200</v>
      </c>
      <c r="C3304" s="223"/>
      <c r="D3304" s="316"/>
      <c r="H3304" s="223">
        <v>0.0</v>
      </c>
      <c r="K3304" s="317"/>
    </row>
    <row r="3305">
      <c r="B3305" s="223" t="s">
        <v>200</v>
      </c>
      <c r="C3305" s="223"/>
      <c r="D3305" s="316"/>
      <c r="H3305" s="223">
        <v>0.0</v>
      </c>
      <c r="K3305" s="317"/>
    </row>
    <row r="3306">
      <c r="B3306" s="223" t="s">
        <v>200</v>
      </c>
      <c r="C3306" s="223"/>
      <c r="D3306" s="316"/>
      <c r="H3306" s="223">
        <v>0.0</v>
      </c>
      <c r="K3306" s="317"/>
    </row>
    <row r="3307">
      <c r="B3307" s="223" t="s">
        <v>200</v>
      </c>
      <c r="C3307" s="223"/>
      <c r="D3307" s="316"/>
      <c r="H3307" s="223">
        <v>0.0</v>
      </c>
      <c r="K3307" s="317"/>
    </row>
    <row r="3308">
      <c r="B3308" s="223" t="s">
        <v>200</v>
      </c>
      <c r="C3308" s="223"/>
      <c r="D3308" s="316"/>
      <c r="H3308" s="223">
        <v>0.0</v>
      </c>
      <c r="K3308" s="317"/>
    </row>
    <row r="3309">
      <c r="B3309" s="223" t="s">
        <v>200</v>
      </c>
      <c r="C3309" s="223"/>
      <c r="D3309" s="316"/>
      <c r="H3309" s="223">
        <v>0.0</v>
      </c>
      <c r="K3309" s="317"/>
    </row>
    <row r="3310">
      <c r="B3310" s="223" t="s">
        <v>200</v>
      </c>
      <c r="C3310" s="223"/>
      <c r="D3310" s="316"/>
      <c r="H3310" s="223">
        <v>0.0</v>
      </c>
      <c r="K3310" s="317"/>
    </row>
    <row r="3311">
      <c r="B3311" s="223" t="s">
        <v>200</v>
      </c>
      <c r="C3311" s="223"/>
      <c r="D3311" s="316"/>
      <c r="H3311" s="223">
        <v>0.0</v>
      </c>
      <c r="K3311" s="317"/>
    </row>
    <row r="3312">
      <c r="B3312" s="223" t="s">
        <v>200</v>
      </c>
      <c r="C3312" s="223"/>
      <c r="D3312" s="316"/>
      <c r="H3312" s="223">
        <v>0.0</v>
      </c>
      <c r="K3312" s="317"/>
    </row>
    <row r="3313">
      <c r="B3313" s="223" t="s">
        <v>200</v>
      </c>
      <c r="C3313" s="223"/>
      <c r="D3313" s="316"/>
      <c r="H3313" s="223">
        <v>0.0</v>
      </c>
      <c r="K3313" s="317"/>
    </row>
    <row r="3314">
      <c r="B3314" s="223" t="s">
        <v>200</v>
      </c>
      <c r="C3314" s="223"/>
      <c r="D3314" s="316"/>
      <c r="H3314" s="223">
        <v>0.0</v>
      </c>
      <c r="K3314" s="317"/>
    </row>
    <row r="3315">
      <c r="B3315" s="223" t="s">
        <v>200</v>
      </c>
      <c r="C3315" s="223"/>
      <c r="D3315" s="316"/>
      <c r="H3315" s="223">
        <v>0.0</v>
      </c>
      <c r="K3315" s="317"/>
    </row>
    <row r="3316">
      <c r="B3316" s="223" t="s">
        <v>200</v>
      </c>
      <c r="C3316" s="223"/>
      <c r="D3316" s="316"/>
      <c r="H3316" s="223">
        <v>0.0</v>
      </c>
      <c r="K3316" s="317"/>
    </row>
    <row r="3317">
      <c r="B3317" s="223" t="s">
        <v>200</v>
      </c>
      <c r="C3317" s="223"/>
      <c r="D3317" s="316"/>
      <c r="H3317" s="223">
        <v>0.0</v>
      </c>
      <c r="K3317" s="317"/>
    </row>
    <row r="3318">
      <c r="B3318" s="223" t="s">
        <v>200</v>
      </c>
      <c r="C3318" s="223"/>
      <c r="D3318" s="316"/>
      <c r="H3318" s="223">
        <v>0.0</v>
      </c>
      <c r="K3318" s="317"/>
    </row>
    <row r="3319">
      <c r="B3319" s="223" t="s">
        <v>200</v>
      </c>
      <c r="C3319" s="223"/>
      <c r="D3319" s="316"/>
      <c r="H3319" s="223">
        <v>0.0</v>
      </c>
      <c r="K3319" s="317"/>
    </row>
    <row r="3320">
      <c r="B3320" s="223" t="s">
        <v>200</v>
      </c>
      <c r="C3320" s="223"/>
      <c r="D3320" s="316"/>
      <c r="H3320" s="223">
        <v>0.0</v>
      </c>
      <c r="K3320" s="317"/>
    </row>
    <row r="3321">
      <c r="B3321" s="223" t="s">
        <v>200</v>
      </c>
      <c r="C3321" s="223"/>
      <c r="D3321" s="316"/>
      <c r="H3321" s="223">
        <v>0.0</v>
      </c>
      <c r="K3321" s="317"/>
    </row>
    <row r="3322">
      <c r="B3322" s="223" t="s">
        <v>200</v>
      </c>
      <c r="C3322" s="223"/>
      <c r="D3322" s="316"/>
      <c r="H3322" s="223">
        <v>0.0</v>
      </c>
      <c r="K3322" s="317"/>
    </row>
    <row r="3323">
      <c r="B3323" s="223" t="s">
        <v>200</v>
      </c>
      <c r="C3323" s="223"/>
      <c r="D3323" s="316"/>
      <c r="H3323" s="223">
        <v>0.0</v>
      </c>
      <c r="K3323" s="317"/>
    </row>
    <row r="3324">
      <c r="B3324" s="223" t="s">
        <v>200</v>
      </c>
      <c r="C3324" s="223"/>
      <c r="D3324" s="316"/>
      <c r="H3324" s="223">
        <v>0.0</v>
      </c>
      <c r="K3324" s="317"/>
    </row>
    <row r="3325">
      <c r="B3325" s="223" t="s">
        <v>200</v>
      </c>
      <c r="C3325" s="223"/>
      <c r="D3325" s="316"/>
      <c r="H3325" s="223">
        <v>0.0</v>
      </c>
      <c r="K3325" s="317"/>
    </row>
    <row r="3326">
      <c r="B3326" s="223" t="s">
        <v>200</v>
      </c>
      <c r="C3326" s="223"/>
      <c r="D3326" s="316"/>
      <c r="H3326" s="223">
        <v>0.0</v>
      </c>
      <c r="K3326" s="317"/>
    </row>
    <row r="3327">
      <c r="B3327" s="223" t="s">
        <v>200</v>
      </c>
      <c r="C3327" s="223"/>
      <c r="D3327" s="316"/>
      <c r="H3327" s="223">
        <v>0.0</v>
      </c>
      <c r="K3327" s="317"/>
    </row>
    <row r="3328">
      <c r="B3328" s="223" t="s">
        <v>200</v>
      </c>
      <c r="C3328" s="223"/>
      <c r="D3328" s="316"/>
      <c r="H3328" s="223">
        <v>0.0</v>
      </c>
      <c r="K3328" s="317"/>
    </row>
    <row r="3329">
      <c r="B3329" s="223" t="s">
        <v>200</v>
      </c>
      <c r="C3329" s="223"/>
      <c r="D3329" s="316"/>
      <c r="H3329" s="223">
        <v>0.0</v>
      </c>
      <c r="K3329" s="317"/>
    </row>
    <row r="3330">
      <c r="B3330" s="223" t="s">
        <v>200</v>
      </c>
      <c r="C3330" s="223"/>
      <c r="D3330" s="316"/>
      <c r="H3330" s="223">
        <v>0.0</v>
      </c>
      <c r="K3330" s="317"/>
    </row>
    <row r="3331">
      <c r="B3331" s="223" t="s">
        <v>200</v>
      </c>
      <c r="C3331" s="223"/>
      <c r="D3331" s="316"/>
      <c r="H3331" s="223">
        <v>0.0</v>
      </c>
      <c r="K3331" s="317"/>
    </row>
    <row r="3332">
      <c r="B3332" s="223" t="s">
        <v>200</v>
      </c>
      <c r="C3332" s="223"/>
      <c r="D3332" s="316"/>
      <c r="H3332" s="223">
        <v>0.0</v>
      </c>
      <c r="K3332" s="317"/>
    </row>
    <row r="3333">
      <c r="B3333" s="223" t="s">
        <v>200</v>
      </c>
      <c r="C3333" s="223"/>
      <c r="D3333" s="316"/>
      <c r="H3333" s="223">
        <v>0.0</v>
      </c>
      <c r="K3333" s="317"/>
    </row>
    <row r="3334">
      <c r="B3334" s="223" t="s">
        <v>200</v>
      </c>
      <c r="C3334" s="223"/>
      <c r="D3334" s="316"/>
      <c r="H3334" s="223">
        <v>0.0</v>
      </c>
      <c r="K3334" s="317"/>
    </row>
    <row r="3335">
      <c r="B3335" s="223" t="s">
        <v>200</v>
      </c>
      <c r="C3335" s="223"/>
      <c r="D3335" s="316"/>
      <c r="H3335" s="223">
        <v>0.0</v>
      </c>
      <c r="K3335" s="317"/>
    </row>
    <row r="3336">
      <c r="B3336" s="223" t="s">
        <v>200</v>
      </c>
      <c r="C3336" s="223"/>
      <c r="D3336" s="316"/>
      <c r="H3336" s="223">
        <v>0.0</v>
      </c>
      <c r="K3336" s="317"/>
    </row>
    <row r="3337">
      <c r="B3337" s="223" t="s">
        <v>200</v>
      </c>
      <c r="C3337" s="223"/>
      <c r="D3337" s="316"/>
      <c r="H3337" s="223">
        <v>0.0</v>
      </c>
      <c r="K3337" s="317"/>
    </row>
    <row r="3338">
      <c r="B3338" s="223" t="s">
        <v>200</v>
      </c>
      <c r="C3338" s="223"/>
      <c r="D3338" s="316"/>
      <c r="H3338" s="223">
        <v>0.0</v>
      </c>
      <c r="K3338" s="317"/>
    </row>
    <row r="3339">
      <c r="B3339" s="223" t="s">
        <v>200</v>
      </c>
      <c r="C3339" s="223"/>
      <c r="D3339" s="316"/>
      <c r="H3339" s="223">
        <v>0.0</v>
      </c>
      <c r="K3339" s="317"/>
    </row>
    <row r="3340">
      <c r="B3340" s="223" t="s">
        <v>200</v>
      </c>
      <c r="C3340" s="223"/>
      <c r="D3340" s="316"/>
      <c r="H3340" s="223">
        <v>0.0</v>
      </c>
      <c r="K3340" s="317"/>
    </row>
    <row r="3341">
      <c r="B3341" s="223" t="s">
        <v>200</v>
      </c>
      <c r="C3341" s="223"/>
      <c r="D3341" s="316"/>
      <c r="H3341" s="223">
        <v>0.0</v>
      </c>
      <c r="K3341" s="317"/>
    </row>
    <row r="3342">
      <c r="B3342" s="223" t="s">
        <v>200</v>
      </c>
      <c r="C3342" s="223"/>
      <c r="D3342" s="316"/>
      <c r="H3342" s="223">
        <v>0.0</v>
      </c>
      <c r="K3342" s="317"/>
    </row>
    <row r="3343">
      <c r="B3343" s="223" t="s">
        <v>200</v>
      </c>
      <c r="C3343" s="223"/>
      <c r="D3343" s="316"/>
      <c r="H3343" s="223">
        <v>0.0</v>
      </c>
      <c r="K3343" s="317"/>
    </row>
    <row r="3344">
      <c r="B3344" s="223" t="s">
        <v>200</v>
      </c>
      <c r="C3344" s="223"/>
      <c r="D3344" s="316"/>
      <c r="H3344" s="223">
        <v>0.0</v>
      </c>
      <c r="K3344" s="317"/>
    </row>
    <row r="3345">
      <c r="B3345" s="223" t="s">
        <v>200</v>
      </c>
      <c r="C3345" s="223"/>
      <c r="D3345" s="316"/>
      <c r="H3345" s="223">
        <v>0.0</v>
      </c>
      <c r="K3345" s="317"/>
    </row>
    <row r="3346">
      <c r="B3346" s="223" t="s">
        <v>200</v>
      </c>
      <c r="C3346" s="223"/>
      <c r="D3346" s="316"/>
      <c r="H3346" s="223">
        <v>0.0</v>
      </c>
      <c r="K3346" s="317"/>
    </row>
    <row r="3347">
      <c r="B3347" s="223" t="s">
        <v>200</v>
      </c>
      <c r="C3347" s="223"/>
      <c r="D3347" s="316"/>
      <c r="H3347" s="223">
        <v>0.0</v>
      </c>
      <c r="K3347" s="317"/>
    </row>
    <row r="3348">
      <c r="B3348" s="223" t="s">
        <v>200</v>
      </c>
      <c r="C3348" s="223"/>
      <c r="D3348" s="316"/>
      <c r="H3348" s="223">
        <v>0.0</v>
      </c>
      <c r="K3348" s="317"/>
    </row>
    <row r="3349">
      <c r="B3349" s="223" t="s">
        <v>200</v>
      </c>
      <c r="C3349" s="223"/>
      <c r="D3349" s="316"/>
      <c r="H3349" s="223">
        <v>0.0</v>
      </c>
      <c r="K3349" s="317"/>
    </row>
    <row r="3350">
      <c r="B3350" s="223" t="s">
        <v>200</v>
      </c>
      <c r="C3350" s="223"/>
      <c r="D3350" s="316"/>
      <c r="H3350" s="223">
        <v>0.0</v>
      </c>
      <c r="K3350" s="317"/>
    </row>
    <row r="3351">
      <c r="B3351" s="223" t="s">
        <v>200</v>
      </c>
      <c r="C3351" s="223"/>
      <c r="D3351" s="316"/>
      <c r="H3351" s="223">
        <v>0.0</v>
      </c>
      <c r="K3351" s="317"/>
    </row>
    <row r="3352">
      <c r="B3352" s="223" t="s">
        <v>200</v>
      </c>
      <c r="C3352" s="223"/>
      <c r="D3352" s="316"/>
      <c r="H3352" s="223">
        <v>0.0</v>
      </c>
      <c r="K3352" s="317"/>
    </row>
    <row r="3353">
      <c r="B3353" s="223" t="s">
        <v>200</v>
      </c>
      <c r="C3353" s="223"/>
      <c r="D3353" s="316"/>
      <c r="H3353" s="223">
        <v>0.0</v>
      </c>
      <c r="K3353" s="317"/>
    </row>
    <row r="3354">
      <c r="B3354" s="223" t="s">
        <v>200</v>
      </c>
      <c r="C3354" s="223"/>
      <c r="D3354" s="316"/>
      <c r="H3354" s="223">
        <v>0.0</v>
      </c>
      <c r="K3354" s="317"/>
    </row>
    <row r="3355">
      <c r="B3355" s="223" t="s">
        <v>200</v>
      </c>
      <c r="C3355" s="223"/>
      <c r="D3355" s="316"/>
      <c r="H3355" s="223">
        <v>0.0</v>
      </c>
      <c r="K3355" s="317"/>
    </row>
    <row r="3356">
      <c r="B3356" s="223" t="s">
        <v>200</v>
      </c>
      <c r="C3356" s="223"/>
      <c r="D3356" s="316"/>
      <c r="H3356" s="223">
        <v>0.0</v>
      </c>
      <c r="K3356" s="317"/>
    </row>
    <row r="3357">
      <c r="B3357" s="223" t="s">
        <v>200</v>
      </c>
      <c r="C3357" s="223"/>
      <c r="D3357" s="316"/>
      <c r="H3357" s="223">
        <v>0.0</v>
      </c>
      <c r="K3357" s="317"/>
    </row>
    <row r="3358">
      <c r="B3358" s="223" t="s">
        <v>200</v>
      </c>
      <c r="C3358" s="223"/>
      <c r="D3358" s="316"/>
      <c r="H3358" s="223">
        <v>0.0</v>
      </c>
      <c r="K3358" s="317"/>
    </row>
    <row r="3359">
      <c r="B3359" s="223" t="s">
        <v>200</v>
      </c>
      <c r="C3359" s="223"/>
      <c r="D3359" s="316"/>
      <c r="H3359" s="223">
        <v>0.0</v>
      </c>
      <c r="K3359" s="317"/>
    </row>
    <row r="3360">
      <c r="B3360" s="223" t="s">
        <v>200</v>
      </c>
      <c r="C3360" s="223"/>
      <c r="D3360" s="316"/>
      <c r="H3360" s="223">
        <v>0.0</v>
      </c>
      <c r="K3360" s="317"/>
    </row>
    <row r="3361">
      <c r="B3361" s="223" t="s">
        <v>200</v>
      </c>
      <c r="C3361" s="223"/>
      <c r="D3361" s="316"/>
      <c r="H3361" s="223">
        <v>0.0</v>
      </c>
      <c r="K3361" s="317"/>
    </row>
    <row r="3362">
      <c r="B3362" s="223" t="s">
        <v>200</v>
      </c>
      <c r="C3362" s="223"/>
      <c r="D3362" s="316"/>
      <c r="H3362" s="223">
        <v>0.0</v>
      </c>
      <c r="K3362" s="317"/>
    </row>
    <row r="3363">
      <c r="B3363" s="223" t="s">
        <v>200</v>
      </c>
      <c r="C3363" s="223"/>
      <c r="D3363" s="316"/>
      <c r="H3363" s="223">
        <v>0.0</v>
      </c>
      <c r="K3363" s="317"/>
    </row>
    <row r="3364">
      <c r="B3364" s="223" t="s">
        <v>200</v>
      </c>
      <c r="C3364" s="223"/>
      <c r="D3364" s="316"/>
      <c r="H3364" s="223">
        <v>0.0</v>
      </c>
      <c r="K3364" s="317"/>
    </row>
    <row r="3365">
      <c r="B3365" s="223" t="s">
        <v>200</v>
      </c>
      <c r="C3365" s="223"/>
      <c r="D3365" s="316"/>
      <c r="H3365" s="223">
        <v>0.0</v>
      </c>
      <c r="K3365" s="317"/>
    </row>
    <row r="3366">
      <c r="B3366" s="223" t="s">
        <v>200</v>
      </c>
      <c r="C3366" s="223"/>
      <c r="D3366" s="316"/>
      <c r="H3366" s="223">
        <v>0.0</v>
      </c>
      <c r="K3366" s="317"/>
    </row>
    <row r="3367">
      <c r="B3367" s="223" t="s">
        <v>200</v>
      </c>
      <c r="C3367" s="223"/>
      <c r="D3367" s="316"/>
      <c r="H3367" s="223">
        <v>0.0</v>
      </c>
      <c r="K3367" s="317"/>
    </row>
    <row r="3368">
      <c r="B3368" s="223" t="s">
        <v>200</v>
      </c>
      <c r="C3368" s="223"/>
      <c r="D3368" s="316"/>
      <c r="H3368" s="223">
        <v>0.0</v>
      </c>
      <c r="K3368" s="317"/>
    </row>
    <row r="3369">
      <c r="B3369" s="223" t="s">
        <v>200</v>
      </c>
      <c r="C3369" s="223"/>
      <c r="D3369" s="316"/>
      <c r="H3369" s="223">
        <v>0.0</v>
      </c>
      <c r="K3369" s="317"/>
    </row>
    <row r="3370">
      <c r="B3370" s="223" t="s">
        <v>200</v>
      </c>
      <c r="C3370" s="223"/>
      <c r="D3370" s="316"/>
      <c r="H3370" s="223">
        <v>0.0</v>
      </c>
      <c r="K3370" s="317"/>
    </row>
    <row r="3371">
      <c r="B3371" s="223" t="s">
        <v>200</v>
      </c>
      <c r="C3371" s="223"/>
      <c r="D3371" s="316"/>
      <c r="H3371" s="223">
        <v>0.0</v>
      </c>
      <c r="K3371" s="317"/>
    </row>
    <row r="3372">
      <c r="B3372" s="223" t="s">
        <v>200</v>
      </c>
      <c r="C3372" s="223"/>
      <c r="D3372" s="316"/>
      <c r="H3372" s="223">
        <v>0.0</v>
      </c>
      <c r="K3372" s="317"/>
    </row>
    <row r="3373">
      <c r="B3373" s="223" t="s">
        <v>200</v>
      </c>
      <c r="C3373" s="223"/>
      <c r="D3373" s="316"/>
      <c r="H3373" s="223">
        <v>0.0</v>
      </c>
      <c r="K3373" s="317"/>
    </row>
    <row r="3374">
      <c r="B3374" s="223" t="s">
        <v>200</v>
      </c>
      <c r="C3374" s="223"/>
      <c r="D3374" s="316"/>
      <c r="H3374" s="223">
        <v>0.0</v>
      </c>
      <c r="K3374" s="317"/>
    </row>
    <row r="3375">
      <c r="B3375" s="223" t="s">
        <v>200</v>
      </c>
      <c r="C3375" s="223"/>
      <c r="D3375" s="316"/>
      <c r="H3375" s="223">
        <v>0.0</v>
      </c>
      <c r="K3375" s="317"/>
    </row>
    <row r="3376">
      <c r="B3376" s="223" t="s">
        <v>200</v>
      </c>
      <c r="C3376" s="223"/>
      <c r="D3376" s="316"/>
      <c r="H3376" s="223">
        <v>0.0</v>
      </c>
      <c r="K3376" s="317"/>
    </row>
    <row r="3377">
      <c r="B3377" s="223" t="s">
        <v>200</v>
      </c>
      <c r="C3377" s="223"/>
      <c r="D3377" s="316"/>
      <c r="H3377" s="223">
        <v>0.0</v>
      </c>
      <c r="K3377" s="317"/>
    </row>
    <row r="3378">
      <c r="B3378" s="223" t="s">
        <v>200</v>
      </c>
      <c r="C3378" s="223"/>
      <c r="D3378" s="316"/>
      <c r="H3378" s="223">
        <v>0.0</v>
      </c>
      <c r="K3378" s="317"/>
    </row>
    <row r="3379">
      <c r="B3379" s="223" t="s">
        <v>200</v>
      </c>
      <c r="C3379" s="223"/>
      <c r="D3379" s="316"/>
      <c r="H3379" s="223">
        <v>0.0</v>
      </c>
      <c r="K3379" s="317"/>
    </row>
    <row r="3380">
      <c r="B3380" s="223" t="s">
        <v>200</v>
      </c>
      <c r="C3380" s="223"/>
      <c r="D3380" s="316"/>
      <c r="H3380" s="223">
        <v>0.0</v>
      </c>
      <c r="K3380" s="317"/>
    </row>
    <row r="3381">
      <c r="B3381" s="223" t="s">
        <v>200</v>
      </c>
      <c r="C3381" s="223"/>
      <c r="D3381" s="316"/>
      <c r="H3381" s="223">
        <v>0.0</v>
      </c>
      <c r="K3381" s="317"/>
    </row>
    <row r="3382">
      <c r="B3382" s="223" t="s">
        <v>200</v>
      </c>
      <c r="C3382" s="223"/>
      <c r="D3382" s="316"/>
      <c r="H3382" s="223">
        <v>0.0</v>
      </c>
      <c r="K3382" s="317"/>
    </row>
    <row r="3383">
      <c r="B3383" s="223" t="s">
        <v>200</v>
      </c>
      <c r="C3383" s="223"/>
      <c r="D3383" s="316"/>
      <c r="H3383" s="223">
        <v>0.0</v>
      </c>
      <c r="K3383" s="317"/>
    </row>
    <row r="3384">
      <c r="B3384" s="223" t="s">
        <v>200</v>
      </c>
      <c r="C3384" s="223"/>
      <c r="D3384" s="316"/>
      <c r="H3384" s="223">
        <v>0.0</v>
      </c>
      <c r="K3384" s="317"/>
    </row>
    <row r="3385">
      <c r="B3385" s="223" t="s">
        <v>200</v>
      </c>
      <c r="C3385" s="223"/>
      <c r="D3385" s="316"/>
      <c r="H3385" s="223">
        <v>0.0</v>
      </c>
      <c r="K3385" s="317"/>
    </row>
    <row r="3386">
      <c r="B3386" s="223" t="s">
        <v>200</v>
      </c>
      <c r="C3386" s="223"/>
      <c r="D3386" s="316"/>
      <c r="H3386" s="223">
        <v>0.0</v>
      </c>
      <c r="K3386" s="317"/>
    </row>
    <row r="3387">
      <c r="B3387" s="223" t="s">
        <v>200</v>
      </c>
      <c r="C3387" s="223"/>
      <c r="D3387" s="316"/>
      <c r="H3387" s="223">
        <v>0.0</v>
      </c>
      <c r="K3387" s="317"/>
    </row>
    <row r="3388">
      <c r="B3388" s="223" t="s">
        <v>200</v>
      </c>
      <c r="C3388" s="223"/>
      <c r="D3388" s="316"/>
      <c r="H3388" s="223">
        <v>0.0</v>
      </c>
      <c r="K3388" s="317"/>
    </row>
    <row r="3389">
      <c r="B3389" s="223" t="s">
        <v>200</v>
      </c>
      <c r="C3389" s="223"/>
      <c r="D3389" s="316"/>
      <c r="H3389" s="223">
        <v>0.0</v>
      </c>
      <c r="K3389" s="317"/>
    </row>
    <row r="3390">
      <c r="B3390" s="223" t="s">
        <v>200</v>
      </c>
      <c r="C3390" s="223"/>
      <c r="D3390" s="316"/>
      <c r="H3390" s="223">
        <v>0.0</v>
      </c>
      <c r="K3390" s="317"/>
    </row>
    <row r="3391">
      <c r="B3391" s="223" t="s">
        <v>200</v>
      </c>
      <c r="C3391" s="223"/>
      <c r="D3391" s="316"/>
      <c r="H3391" s="223">
        <v>0.0</v>
      </c>
      <c r="K3391" s="317"/>
    </row>
    <row r="3392">
      <c r="B3392" s="223" t="s">
        <v>200</v>
      </c>
      <c r="C3392" s="223"/>
      <c r="D3392" s="316"/>
      <c r="H3392" s="223">
        <v>0.0</v>
      </c>
      <c r="K3392" s="317"/>
    </row>
    <row r="3393">
      <c r="B3393" s="223" t="s">
        <v>200</v>
      </c>
      <c r="C3393" s="223"/>
      <c r="D3393" s="316"/>
      <c r="H3393" s="223">
        <v>0.0</v>
      </c>
      <c r="K3393" s="317"/>
    </row>
    <row r="3394">
      <c r="B3394" s="223" t="s">
        <v>200</v>
      </c>
      <c r="C3394" s="223"/>
      <c r="D3394" s="316"/>
      <c r="H3394" s="223">
        <v>0.0</v>
      </c>
      <c r="K3394" s="317"/>
    </row>
    <row r="3395">
      <c r="B3395" s="223" t="s">
        <v>200</v>
      </c>
      <c r="C3395" s="223"/>
      <c r="D3395" s="316"/>
      <c r="H3395" s="223">
        <v>0.0</v>
      </c>
      <c r="K3395" s="317"/>
    </row>
    <row r="3396">
      <c r="B3396" s="223" t="s">
        <v>200</v>
      </c>
      <c r="C3396" s="223"/>
      <c r="D3396" s="316"/>
      <c r="H3396" s="223">
        <v>0.0</v>
      </c>
      <c r="K3396" s="317"/>
    </row>
    <row r="3397">
      <c r="B3397" s="223" t="s">
        <v>200</v>
      </c>
      <c r="C3397" s="223"/>
      <c r="D3397" s="316"/>
      <c r="H3397" s="223">
        <v>0.0</v>
      </c>
      <c r="K3397" s="317"/>
    </row>
    <row r="3398">
      <c r="B3398" s="223" t="s">
        <v>200</v>
      </c>
      <c r="C3398" s="223"/>
      <c r="D3398" s="316"/>
      <c r="H3398" s="223">
        <v>0.0</v>
      </c>
      <c r="K3398" s="317"/>
    </row>
    <row r="3399">
      <c r="B3399" s="223" t="s">
        <v>200</v>
      </c>
      <c r="C3399" s="223"/>
      <c r="D3399" s="316"/>
      <c r="H3399" s="223">
        <v>0.0</v>
      </c>
      <c r="K3399" s="317"/>
    </row>
    <row r="3400">
      <c r="B3400" s="223" t="s">
        <v>200</v>
      </c>
      <c r="C3400" s="223"/>
      <c r="D3400" s="316"/>
      <c r="H3400" s="223">
        <v>0.0</v>
      </c>
      <c r="K3400" s="317"/>
    </row>
    <row r="3401">
      <c r="B3401" s="223" t="s">
        <v>200</v>
      </c>
      <c r="C3401" s="223"/>
      <c r="D3401" s="316"/>
      <c r="H3401" s="223">
        <v>0.0</v>
      </c>
      <c r="K3401" s="317"/>
    </row>
    <row r="3402">
      <c r="B3402" s="223" t="s">
        <v>200</v>
      </c>
      <c r="C3402" s="223"/>
      <c r="D3402" s="316"/>
      <c r="H3402" s="223">
        <v>0.0</v>
      </c>
      <c r="K3402" s="317"/>
    </row>
    <row r="3403">
      <c r="B3403" s="223" t="s">
        <v>200</v>
      </c>
      <c r="C3403" s="223"/>
      <c r="D3403" s="316"/>
      <c r="H3403" s="223">
        <v>0.0</v>
      </c>
      <c r="K3403" s="317"/>
    </row>
    <row r="3404">
      <c r="B3404" s="223" t="s">
        <v>200</v>
      </c>
      <c r="C3404" s="223"/>
      <c r="D3404" s="316"/>
      <c r="H3404" s="223">
        <v>0.0</v>
      </c>
      <c r="K3404" s="317"/>
    </row>
    <row r="3405">
      <c r="B3405" s="223" t="s">
        <v>200</v>
      </c>
      <c r="C3405" s="223"/>
      <c r="D3405" s="316"/>
      <c r="H3405" s="223">
        <v>0.0</v>
      </c>
      <c r="K3405" s="317"/>
    </row>
    <row r="3406">
      <c r="B3406" s="223" t="s">
        <v>200</v>
      </c>
      <c r="C3406" s="223"/>
      <c r="D3406" s="316"/>
      <c r="H3406" s="223">
        <v>0.0</v>
      </c>
      <c r="K3406" s="317"/>
    </row>
    <row r="3407">
      <c r="B3407" s="223" t="s">
        <v>200</v>
      </c>
      <c r="C3407" s="223"/>
      <c r="D3407" s="316"/>
      <c r="H3407" s="223">
        <v>0.0</v>
      </c>
      <c r="K3407" s="317"/>
    </row>
    <row r="3408">
      <c r="B3408" s="223" t="s">
        <v>200</v>
      </c>
      <c r="C3408" s="223"/>
      <c r="D3408" s="316"/>
      <c r="H3408" s="223">
        <v>0.0</v>
      </c>
      <c r="K3408" s="317"/>
    </row>
    <row r="3409">
      <c r="B3409" s="223" t="s">
        <v>200</v>
      </c>
      <c r="C3409" s="223"/>
      <c r="D3409" s="316"/>
      <c r="H3409" s="223">
        <v>0.0</v>
      </c>
      <c r="K3409" s="317"/>
    </row>
    <row r="3410">
      <c r="B3410" s="223" t="s">
        <v>200</v>
      </c>
      <c r="C3410" s="223"/>
      <c r="D3410" s="316"/>
      <c r="H3410" s="223">
        <v>0.0</v>
      </c>
      <c r="K3410" s="317"/>
    </row>
    <row r="3411">
      <c r="B3411" s="223" t="s">
        <v>200</v>
      </c>
      <c r="C3411" s="223"/>
      <c r="D3411" s="316"/>
      <c r="H3411" s="223">
        <v>0.0</v>
      </c>
      <c r="K3411" s="317"/>
    </row>
    <row r="3412">
      <c r="B3412" s="223" t="s">
        <v>200</v>
      </c>
      <c r="C3412" s="223"/>
      <c r="D3412" s="316"/>
      <c r="H3412" s="223">
        <v>0.0</v>
      </c>
      <c r="K3412" s="317"/>
    </row>
    <row r="3413">
      <c r="B3413" s="223" t="s">
        <v>200</v>
      </c>
      <c r="C3413" s="223"/>
      <c r="D3413" s="316"/>
      <c r="H3413" s="223">
        <v>0.0</v>
      </c>
      <c r="K3413" s="317"/>
    </row>
    <row r="3414">
      <c r="B3414" s="223" t="s">
        <v>200</v>
      </c>
      <c r="C3414" s="223"/>
      <c r="D3414" s="316"/>
      <c r="H3414" s="223">
        <v>0.0</v>
      </c>
      <c r="K3414" s="317"/>
    </row>
    <row r="3415">
      <c r="B3415" s="223" t="s">
        <v>200</v>
      </c>
      <c r="C3415" s="223"/>
      <c r="D3415" s="316"/>
      <c r="H3415" s="223">
        <v>0.0</v>
      </c>
      <c r="K3415" s="317"/>
    </row>
    <row r="3416">
      <c r="B3416" s="223" t="s">
        <v>200</v>
      </c>
      <c r="C3416" s="223"/>
      <c r="D3416" s="316"/>
      <c r="H3416" s="223">
        <v>0.0</v>
      </c>
      <c r="K3416" s="317"/>
    </row>
    <row r="3417">
      <c r="B3417" s="223" t="s">
        <v>200</v>
      </c>
      <c r="C3417" s="223"/>
      <c r="D3417" s="316"/>
      <c r="H3417" s="223">
        <v>0.0</v>
      </c>
      <c r="K3417" s="317"/>
    </row>
    <row r="3418">
      <c r="B3418" s="223" t="s">
        <v>200</v>
      </c>
      <c r="C3418" s="223"/>
      <c r="D3418" s="316"/>
      <c r="H3418" s="223">
        <v>0.0</v>
      </c>
      <c r="K3418" s="317"/>
    </row>
    <row r="3419">
      <c r="B3419" s="223" t="s">
        <v>200</v>
      </c>
      <c r="C3419" s="223"/>
      <c r="D3419" s="316"/>
      <c r="H3419" s="223">
        <v>0.0</v>
      </c>
      <c r="K3419" s="317"/>
    </row>
    <row r="3420">
      <c r="B3420" s="223" t="s">
        <v>200</v>
      </c>
      <c r="C3420" s="223"/>
      <c r="D3420" s="316"/>
      <c r="H3420" s="223">
        <v>0.0</v>
      </c>
      <c r="K3420" s="317"/>
    </row>
    <row r="3421">
      <c r="B3421" s="223" t="s">
        <v>200</v>
      </c>
      <c r="C3421" s="223"/>
      <c r="D3421" s="316"/>
      <c r="H3421" s="223">
        <v>0.0</v>
      </c>
      <c r="K3421" s="317"/>
    </row>
    <row r="3422">
      <c r="B3422" s="223" t="s">
        <v>200</v>
      </c>
      <c r="C3422" s="223"/>
      <c r="D3422" s="316"/>
      <c r="H3422" s="223">
        <v>0.0</v>
      </c>
      <c r="K3422" s="317"/>
    </row>
    <row r="3423">
      <c r="B3423" s="223" t="s">
        <v>200</v>
      </c>
      <c r="C3423" s="223"/>
      <c r="D3423" s="316"/>
      <c r="H3423" s="223">
        <v>0.0</v>
      </c>
      <c r="K3423" s="317"/>
    </row>
    <row r="3424">
      <c r="B3424" s="223" t="s">
        <v>200</v>
      </c>
      <c r="C3424" s="223"/>
      <c r="D3424" s="316"/>
      <c r="H3424" s="223">
        <v>0.0</v>
      </c>
      <c r="K3424" s="317"/>
    </row>
    <row r="3425">
      <c r="B3425" s="223" t="s">
        <v>200</v>
      </c>
      <c r="C3425" s="223"/>
      <c r="D3425" s="316"/>
      <c r="H3425" s="223">
        <v>0.0</v>
      </c>
      <c r="K3425" s="317"/>
    </row>
    <row r="3426">
      <c r="B3426" s="223" t="s">
        <v>200</v>
      </c>
      <c r="C3426" s="223"/>
      <c r="D3426" s="316"/>
      <c r="H3426" s="223">
        <v>0.0</v>
      </c>
      <c r="K3426" s="317"/>
    </row>
    <row r="3427">
      <c r="B3427" s="223" t="s">
        <v>200</v>
      </c>
      <c r="C3427" s="223"/>
      <c r="D3427" s="316"/>
      <c r="H3427" s="223">
        <v>0.0</v>
      </c>
      <c r="K3427" s="317"/>
    </row>
    <row r="3428">
      <c r="B3428" s="223" t="s">
        <v>200</v>
      </c>
      <c r="C3428" s="223"/>
      <c r="D3428" s="316"/>
      <c r="H3428" s="223">
        <v>0.0</v>
      </c>
      <c r="K3428" s="317"/>
    </row>
    <row r="3429">
      <c r="B3429" s="223" t="s">
        <v>200</v>
      </c>
      <c r="C3429" s="223"/>
      <c r="D3429" s="316"/>
      <c r="H3429" s="223">
        <v>0.0</v>
      </c>
      <c r="K3429" s="317"/>
    </row>
    <row r="3430">
      <c r="B3430" s="223" t="s">
        <v>200</v>
      </c>
      <c r="C3430" s="223"/>
      <c r="D3430" s="316"/>
      <c r="H3430" s="223">
        <v>0.0</v>
      </c>
      <c r="K3430" s="317"/>
    </row>
    <row r="3431">
      <c r="B3431" s="223" t="s">
        <v>200</v>
      </c>
      <c r="C3431" s="223"/>
      <c r="D3431" s="316"/>
      <c r="H3431" s="223">
        <v>0.0</v>
      </c>
      <c r="K3431" s="317"/>
    </row>
    <row r="3432">
      <c r="B3432" s="223" t="s">
        <v>200</v>
      </c>
      <c r="C3432" s="223"/>
      <c r="D3432" s="316"/>
      <c r="H3432" s="223">
        <v>0.0</v>
      </c>
      <c r="K3432" s="317"/>
    </row>
    <row r="3433">
      <c r="B3433" s="223" t="s">
        <v>200</v>
      </c>
      <c r="C3433" s="223"/>
      <c r="D3433" s="316"/>
      <c r="H3433" s="223">
        <v>0.0</v>
      </c>
      <c r="K3433" s="317"/>
    </row>
    <row r="3434">
      <c r="B3434" s="223" t="s">
        <v>200</v>
      </c>
      <c r="C3434" s="223"/>
      <c r="D3434" s="316"/>
      <c r="H3434" s="223">
        <v>0.0</v>
      </c>
      <c r="K3434" s="317"/>
    </row>
    <row r="3435">
      <c r="B3435" s="223" t="s">
        <v>200</v>
      </c>
      <c r="C3435" s="223"/>
      <c r="D3435" s="316"/>
      <c r="H3435" s="223">
        <v>0.0</v>
      </c>
      <c r="K3435" s="317"/>
    </row>
    <row r="3436">
      <c r="B3436" s="223" t="s">
        <v>200</v>
      </c>
      <c r="C3436" s="223"/>
      <c r="D3436" s="316"/>
      <c r="H3436" s="223">
        <v>0.0</v>
      </c>
      <c r="K3436" s="317"/>
    </row>
    <row r="3437">
      <c r="B3437" s="223" t="s">
        <v>200</v>
      </c>
      <c r="C3437" s="223"/>
      <c r="D3437" s="316"/>
      <c r="H3437" s="223">
        <v>0.0</v>
      </c>
      <c r="K3437" s="317"/>
    </row>
    <row r="3438">
      <c r="B3438" s="223" t="s">
        <v>200</v>
      </c>
      <c r="C3438" s="223"/>
      <c r="D3438" s="316"/>
      <c r="H3438" s="223">
        <v>0.0</v>
      </c>
      <c r="K3438" s="317"/>
    </row>
    <row r="3439">
      <c r="B3439" s="223" t="s">
        <v>200</v>
      </c>
      <c r="C3439" s="223"/>
      <c r="D3439" s="316"/>
      <c r="H3439" s="223">
        <v>0.0</v>
      </c>
      <c r="K3439" s="317"/>
    </row>
    <row r="3440">
      <c r="B3440" s="223" t="s">
        <v>200</v>
      </c>
      <c r="C3440" s="223"/>
      <c r="D3440" s="316"/>
      <c r="H3440" s="223">
        <v>0.0</v>
      </c>
      <c r="K3440" s="317"/>
    </row>
    <row r="3441">
      <c r="B3441" s="223" t="s">
        <v>200</v>
      </c>
      <c r="C3441" s="223"/>
      <c r="D3441" s="316"/>
      <c r="H3441" s="223">
        <v>0.0</v>
      </c>
      <c r="K3441" s="317"/>
    </row>
    <row r="3442">
      <c r="B3442" s="223" t="s">
        <v>200</v>
      </c>
      <c r="C3442" s="223"/>
      <c r="D3442" s="316"/>
      <c r="H3442" s="223">
        <v>0.0</v>
      </c>
      <c r="K3442" s="317"/>
    </row>
    <row r="3443">
      <c r="B3443" s="223" t="s">
        <v>200</v>
      </c>
      <c r="C3443" s="223"/>
      <c r="D3443" s="316"/>
      <c r="H3443" s="223">
        <v>0.0</v>
      </c>
      <c r="K3443" s="317"/>
    </row>
    <row r="3444">
      <c r="B3444" s="223" t="s">
        <v>200</v>
      </c>
      <c r="C3444" s="223"/>
      <c r="D3444" s="316"/>
      <c r="H3444" s="223">
        <v>0.0</v>
      </c>
      <c r="K3444" s="317"/>
    </row>
    <row r="3445">
      <c r="B3445" s="223" t="s">
        <v>200</v>
      </c>
      <c r="C3445" s="223"/>
      <c r="D3445" s="316"/>
      <c r="H3445" s="223">
        <v>0.0</v>
      </c>
      <c r="K3445" s="317"/>
    </row>
    <row r="3446">
      <c r="B3446" s="223" t="s">
        <v>200</v>
      </c>
      <c r="C3446" s="223"/>
      <c r="D3446" s="316"/>
      <c r="H3446" s="223">
        <v>0.0</v>
      </c>
      <c r="K3446" s="317"/>
    </row>
    <row r="3447">
      <c r="B3447" s="223" t="s">
        <v>200</v>
      </c>
      <c r="C3447" s="223"/>
      <c r="D3447" s="316"/>
      <c r="H3447" s="223">
        <v>0.0</v>
      </c>
      <c r="K3447" s="317"/>
    </row>
    <row r="3448">
      <c r="B3448" s="223" t="s">
        <v>200</v>
      </c>
      <c r="C3448" s="223"/>
      <c r="D3448" s="316"/>
      <c r="H3448" s="223">
        <v>0.0</v>
      </c>
      <c r="K3448" s="317"/>
    </row>
    <row r="3449">
      <c r="B3449" s="223" t="s">
        <v>200</v>
      </c>
      <c r="C3449" s="223"/>
      <c r="D3449" s="316"/>
      <c r="H3449" s="223">
        <v>0.0</v>
      </c>
      <c r="K3449" s="317"/>
    </row>
    <row r="3450">
      <c r="B3450" s="223" t="s">
        <v>200</v>
      </c>
      <c r="C3450" s="223"/>
      <c r="D3450" s="316"/>
      <c r="H3450" s="223">
        <v>0.0</v>
      </c>
      <c r="K3450" s="317"/>
    </row>
    <row r="3451">
      <c r="B3451" s="223" t="s">
        <v>200</v>
      </c>
      <c r="C3451" s="223"/>
      <c r="D3451" s="316"/>
      <c r="H3451" s="223">
        <v>0.0</v>
      </c>
      <c r="K3451" s="317"/>
    </row>
    <row r="3452">
      <c r="B3452" s="223" t="s">
        <v>200</v>
      </c>
      <c r="C3452" s="223"/>
      <c r="D3452" s="316"/>
      <c r="H3452" s="223">
        <v>0.0</v>
      </c>
      <c r="K3452" s="317"/>
    </row>
    <row r="3453">
      <c r="B3453" s="223" t="s">
        <v>200</v>
      </c>
      <c r="C3453" s="223"/>
      <c r="D3453" s="316"/>
      <c r="H3453" s="223">
        <v>0.0</v>
      </c>
      <c r="K3453" s="317"/>
    </row>
    <row r="3454">
      <c r="B3454" s="223" t="s">
        <v>200</v>
      </c>
      <c r="C3454" s="223"/>
      <c r="D3454" s="316"/>
      <c r="H3454" s="223">
        <v>0.0</v>
      </c>
      <c r="K3454" s="317"/>
    </row>
    <row r="3455">
      <c r="B3455" s="223" t="s">
        <v>200</v>
      </c>
      <c r="C3455" s="223"/>
      <c r="D3455" s="316"/>
      <c r="H3455" s="223">
        <v>0.0</v>
      </c>
      <c r="K3455" s="317"/>
    </row>
    <row r="3456">
      <c r="B3456" s="223" t="s">
        <v>200</v>
      </c>
      <c r="C3456" s="223"/>
      <c r="D3456" s="316"/>
      <c r="H3456" s="223">
        <v>0.0</v>
      </c>
      <c r="K3456" s="317"/>
    </row>
    <row r="3457">
      <c r="B3457" s="223" t="s">
        <v>200</v>
      </c>
      <c r="C3457" s="223"/>
      <c r="D3457" s="316"/>
      <c r="H3457" s="223">
        <v>0.0</v>
      </c>
      <c r="K3457" s="317"/>
    </row>
    <row r="3458">
      <c r="B3458" s="223" t="s">
        <v>200</v>
      </c>
      <c r="C3458" s="223"/>
      <c r="D3458" s="316"/>
      <c r="H3458" s="223">
        <v>0.0</v>
      </c>
      <c r="K3458" s="317"/>
    </row>
    <row r="3459">
      <c r="B3459" s="223" t="s">
        <v>200</v>
      </c>
      <c r="C3459" s="223"/>
      <c r="D3459" s="316"/>
      <c r="H3459" s="223">
        <v>0.0</v>
      </c>
      <c r="K3459" s="317"/>
    </row>
    <row r="3460">
      <c r="B3460" s="223" t="s">
        <v>200</v>
      </c>
      <c r="C3460" s="223"/>
      <c r="D3460" s="316"/>
      <c r="H3460" s="223">
        <v>0.0</v>
      </c>
      <c r="K3460" s="317"/>
    </row>
    <row r="3461">
      <c r="B3461" s="223" t="s">
        <v>200</v>
      </c>
      <c r="C3461" s="223"/>
      <c r="D3461" s="316"/>
      <c r="H3461" s="223">
        <v>0.0</v>
      </c>
      <c r="K3461" s="317"/>
    </row>
    <row r="3462">
      <c r="B3462" s="223" t="s">
        <v>200</v>
      </c>
      <c r="C3462" s="223"/>
      <c r="D3462" s="316"/>
      <c r="H3462" s="223">
        <v>0.0</v>
      </c>
      <c r="K3462" s="317"/>
    </row>
    <row r="3463">
      <c r="B3463" s="223" t="s">
        <v>200</v>
      </c>
      <c r="C3463" s="223"/>
      <c r="D3463" s="316"/>
      <c r="H3463" s="223">
        <v>0.0</v>
      </c>
      <c r="K3463" s="317"/>
    </row>
    <row r="3464">
      <c r="B3464" s="223" t="s">
        <v>200</v>
      </c>
      <c r="C3464" s="223"/>
      <c r="D3464" s="316"/>
      <c r="H3464" s="223">
        <v>0.0</v>
      </c>
      <c r="K3464" s="317"/>
    </row>
    <row r="3465">
      <c r="B3465" s="223" t="s">
        <v>200</v>
      </c>
      <c r="C3465" s="223"/>
      <c r="D3465" s="316"/>
      <c r="H3465" s="223">
        <v>0.0</v>
      </c>
      <c r="K3465" s="317"/>
    </row>
    <row r="3466">
      <c r="B3466" s="223" t="s">
        <v>200</v>
      </c>
      <c r="C3466" s="223"/>
      <c r="D3466" s="316"/>
      <c r="H3466" s="223">
        <v>0.0</v>
      </c>
      <c r="K3466" s="317"/>
    </row>
    <row r="3467">
      <c r="B3467" s="223" t="s">
        <v>200</v>
      </c>
      <c r="C3467" s="223"/>
      <c r="D3467" s="316"/>
      <c r="H3467" s="223">
        <v>0.0</v>
      </c>
      <c r="K3467" s="317"/>
    </row>
    <row r="3468">
      <c r="B3468" s="223" t="s">
        <v>200</v>
      </c>
      <c r="C3468" s="223"/>
      <c r="D3468" s="316"/>
      <c r="H3468" s="223">
        <v>0.0</v>
      </c>
      <c r="K3468" s="317"/>
    </row>
    <row r="3469">
      <c r="B3469" s="223" t="s">
        <v>200</v>
      </c>
      <c r="C3469" s="223"/>
      <c r="D3469" s="316"/>
      <c r="H3469" s="223">
        <v>0.0</v>
      </c>
      <c r="K3469" s="317"/>
    </row>
    <row r="3470">
      <c r="B3470" s="223" t="s">
        <v>200</v>
      </c>
      <c r="C3470" s="223"/>
      <c r="D3470" s="316"/>
      <c r="H3470" s="223">
        <v>0.0</v>
      </c>
      <c r="K3470" s="317"/>
    </row>
    <row r="3471">
      <c r="B3471" s="223" t="s">
        <v>200</v>
      </c>
      <c r="C3471" s="223"/>
      <c r="D3471" s="316"/>
      <c r="H3471" s="223">
        <v>0.0</v>
      </c>
      <c r="K3471" s="317"/>
    </row>
    <row r="3472">
      <c r="B3472" s="223" t="s">
        <v>200</v>
      </c>
      <c r="C3472" s="223"/>
      <c r="D3472" s="316"/>
      <c r="H3472" s="223">
        <v>0.0</v>
      </c>
      <c r="K3472" s="317"/>
    </row>
    <row r="3473">
      <c r="B3473" s="223" t="s">
        <v>200</v>
      </c>
      <c r="C3473" s="223"/>
      <c r="D3473" s="316"/>
      <c r="H3473" s="223">
        <v>0.0</v>
      </c>
      <c r="K3473" s="317"/>
    </row>
    <row r="3474">
      <c r="B3474" s="223" t="s">
        <v>200</v>
      </c>
      <c r="C3474" s="223"/>
      <c r="D3474" s="316"/>
      <c r="H3474" s="223">
        <v>0.0</v>
      </c>
      <c r="K3474" s="317"/>
    </row>
    <row r="3475">
      <c r="B3475" s="223" t="s">
        <v>200</v>
      </c>
      <c r="C3475" s="223"/>
      <c r="D3475" s="316"/>
      <c r="H3475" s="223">
        <v>0.0</v>
      </c>
      <c r="K3475" s="317"/>
    </row>
    <row r="3476">
      <c r="B3476" s="223" t="s">
        <v>200</v>
      </c>
      <c r="C3476" s="223"/>
      <c r="D3476" s="316"/>
      <c r="H3476" s="223">
        <v>0.0</v>
      </c>
      <c r="K3476" s="317"/>
    </row>
    <row r="3477">
      <c r="B3477" s="223" t="s">
        <v>200</v>
      </c>
      <c r="C3477" s="223"/>
      <c r="D3477" s="316"/>
      <c r="H3477" s="223">
        <v>0.0</v>
      </c>
      <c r="K3477" s="317"/>
    </row>
    <row r="3478">
      <c r="B3478" s="223" t="s">
        <v>200</v>
      </c>
      <c r="C3478" s="223"/>
      <c r="D3478" s="316"/>
      <c r="H3478" s="223">
        <v>0.0</v>
      </c>
      <c r="K3478" s="317"/>
    </row>
    <row r="3479">
      <c r="B3479" s="223" t="s">
        <v>200</v>
      </c>
      <c r="C3479" s="223"/>
      <c r="D3479" s="316"/>
      <c r="H3479" s="223">
        <v>0.0</v>
      </c>
      <c r="K3479" s="317"/>
    </row>
    <row r="3480">
      <c r="B3480" s="223" t="s">
        <v>200</v>
      </c>
      <c r="C3480" s="223"/>
      <c r="D3480" s="316"/>
      <c r="H3480" s="223">
        <v>0.0</v>
      </c>
      <c r="K3480" s="317"/>
    </row>
    <row r="3481">
      <c r="B3481" s="223" t="s">
        <v>200</v>
      </c>
      <c r="C3481" s="223"/>
      <c r="D3481" s="316"/>
      <c r="H3481" s="223">
        <v>0.0</v>
      </c>
      <c r="K3481" s="317"/>
    </row>
    <row r="3482">
      <c r="B3482" s="223" t="s">
        <v>200</v>
      </c>
      <c r="C3482" s="223"/>
      <c r="D3482" s="316"/>
      <c r="H3482" s="223">
        <v>0.0</v>
      </c>
      <c r="K3482" s="317"/>
    </row>
    <row r="3483">
      <c r="B3483" s="223" t="s">
        <v>200</v>
      </c>
      <c r="C3483" s="223"/>
      <c r="D3483" s="316"/>
      <c r="H3483" s="223">
        <v>0.0</v>
      </c>
      <c r="K3483" s="317"/>
    </row>
    <row r="3484">
      <c r="B3484" s="223" t="s">
        <v>200</v>
      </c>
      <c r="C3484" s="223"/>
      <c r="D3484" s="316"/>
      <c r="H3484" s="223">
        <v>0.0</v>
      </c>
      <c r="K3484" s="317"/>
    </row>
    <row r="3485">
      <c r="B3485" s="223" t="s">
        <v>200</v>
      </c>
      <c r="C3485" s="223"/>
      <c r="D3485" s="316"/>
      <c r="H3485" s="223">
        <v>0.0</v>
      </c>
      <c r="K3485" s="317"/>
    </row>
    <row r="3486">
      <c r="B3486" s="223" t="s">
        <v>200</v>
      </c>
      <c r="C3486" s="223"/>
      <c r="D3486" s="316"/>
      <c r="H3486" s="223">
        <v>0.0</v>
      </c>
      <c r="K3486" s="317"/>
    </row>
    <row r="3487">
      <c r="B3487" s="223" t="s">
        <v>200</v>
      </c>
      <c r="C3487" s="223"/>
      <c r="D3487" s="316"/>
      <c r="H3487" s="223">
        <v>0.0</v>
      </c>
      <c r="K3487" s="317"/>
    </row>
    <row r="3488">
      <c r="B3488" s="223" t="s">
        <v>200</v>
      </c>
      <c r="C3488" s="223"/>
      <c r="D3488" s="316"/>
      <c r="H3488" s="223">
        <v>0.0</v>
      </c>
      <c r="K3488" s="317"/>
    </row>
    <row r="3489">
      <c r="B3489" s="223" t="s">
        <v>200</v>
      </c>
      <c r="C3489" s="223"/>
      <c r="D3489" s="316"/>
      <c r="H3489" s="223">
        <v>0.0</v>
      </c>
      <c r="K3489" s="317"/>
    </row>
    <row r="3490">
      <c r="B3490" s="223" t="s">
        <v>200</v>
      </c>
      <c r="C3490" s="223"/>
      <c r="D3490" s="316"/>
      <c r="H3490" s="223">
        <v>0.0</v>
      </c>
      <c r="K3490" s="317"/>
    </row>
    <row r="3491">
      <c r="B3491" s="223" t="s">
        <v>200</v>
      </c>
      <c r="C3491" s="223"/>
      <c r="D3491" s="316"/>
      <c r="H3491" s="223">
        <v>0.0</v>
      </c>
      <c r="K3491" s="317"/>
    </row>
    <row r="3492">
      <c r="B3492" s="223" t="s">
        <v>200</v>
      </c>
      <c r="C3492" s="223"/>
      <c r="D3492" s="316"/>
      <c r="H3492" s="223">
        <v>0.0</v>
      </c>
      <c r="K3492" s="317"/>
    </row>
    <row r="3493">
      <c r="B3493" s="223" t="s">
        <v>200</v>
      </c>
      <c r="C3493" s="223"/>
      <c r="D3493" s="316"/>
      <c r="H3493" s="223">
        <v>0.0</v>
      </c>
      <c r="K3493" s="317"/>
    </row>
    <row r="3494">
      <c r="B3494" s="223" t="s">
        <v>200</v>
      </c>
      <c r="C3494" s="223"/>
      <c r="D3494" s="316"/>
      <c r="H3494" s="223">
        <v>0.0</v>
      </c>
      <c r="K3494" s="317"/>
    </row>
    <row r="3495">
      <c r="B3495" s="223" t="s">
        <v>200</v>
      </c>
      <c r="C3495" s="223"/>
      <c r="D3495" s="316"/>
      <c r="H3495" s="223">
        <v>0.0</v>
      </c>
      <c r="K3495" s="317"/>
    </row>
    <row r="3496">
      <c r="B3496" s="223" t="s">
        <v>200</v>
      </c>
      <c r="C3496" s="223"/>
      <c r="D3496" s="316"/>
      <c r="H3496" s="223">
        <v>0.0</v>
      </c>
      <c r="K3496" s="317"/>
    </row>
    <row r="3497">
      <c r="B3497" s="223" t="s">
        <v>200</v>
      </c>
      <c r="C3497" s="223"/>
      <c r="D3497" s="316"/>
      <c r="H3497" s="223">
        <v>0.0</v>
      </c>
      <c r="K3497" s="317"/>
    </row>
    <row r="3498">
      <c r="B3498" s="223" t="s">
        <v>200</v>
      </c>
      <c r="C3498" s="223"/>
      <c r="D3498" s="316"/>
      <c r="H3498" s="223">
        <v>0.0</v>
      </c>
      <c r="K3498" s="317"/>
    </row>
    <row r="3499">
      <c r="B3499" s="223" t="s">
        <v>200</v>
      </c>
      <c r="C3499" s="223"/>
      <c r="D3499" s="316"/>
      <c r="H3499" s="223">
        <v>0.0</v>
      </c>
      <c r="K3499" s="317"/>
    </row>
    <row r="3500">
      <c r="B3500" s="223" t="s">
        <v>200</v>
      </c>
      <c r="C3500" s="223"/>
      <c r="D3500" s="316"/>
      <c r="H3500" s="223">
        <v>0.0</v>
      </c>
      <c r="K3500" s="317"/>
    </row>
    <row r="3501">
      <c r="B3501" s="223" t="s">
        <v>200</v>
      </c>
      <c r="C3501" s="223"/>
      <c r="D3501" s="316"/>
      <c r="H3501" s="223">
        <v>0.0</v>
      </c>
      <c r="K3501" s="317"/>
    </row>
    <row r="3502">
      <c r="B3502" s="223" t="s">
        <v>200</v>
      </c>
      <c r="C3502" s="223"/>
      <c r="D3502" s="316"/>
      <c r="H3502" s="223">
        <v>0.0</v>
      </c>
      <c r="K3502" s="317"/>
    </row>
    <row r="3503">
      <c r="B3503" s="223" t="s">
        <v>200</v>
      </c>
      <c r="C3503" s="223"/>
      <c r="D3503" s="316"/>
      <c r="H3503" s="223">
        <v>0.0</v>
      </c>
      <c r="K3503" s="317"/>
    </row>
    <row r="3504">
      <c r="B3504" s="223" t="s">
        <v>200</v>
      </c>
      <c r="C3504" s="223"/>
      <c r="D3504" s="316"/>
      <c r="H3504" s="223">
        <v>0.0</v>
      </c>
      <c r="K3504" s="317"/>
    </row>
    <row r="3505">
      <c r="B3505" s="223" t="s">
        <v>200</v>
      </c>
      <c r="C3505" s="223"/>
      <c r="D3505" s="316"/>
      <c r="H3505" s="223">
        <v>0.0</v>
      </c>
      <c r="K3505" s="317"/>
    </row>
    <row r="3506">
      <c r="B3506" s="223" t="s">
        <v>200</v>
      </c>
      <c r="C3506" s="223"/>
      <c r="D3506" s="316"/>
      <c r="H3506" s="223">
        <v>0.0</v>
      </c>
      <c r="K3506" s="317"/>
    </row>
    <row r="3507">
      <c r="B3507" s="223" t="s">
        <v>200</v>
      </c>
      <c r="C3507" s="223"/>
      <c r="D3507" s="316"/>
      <c r="H3507" s="223">
        <v>0.0</v>
      </c>
      <c r="K3507" s="317"/>
    </row>
    <row r="3508">
      <c r="B3508" s="223" t="s">
        <v>200</v>
      </c>
      <c r="C3508" s="223"/>
      <c r="D3508" s="316"/>
      <c r="H3508" s="223">
        <v>0.0</v>
      </c>
      <c r="K3508" s="317"/>
    </row>
    <row r="3509">
      <c r="B3509" s="223" t="s">
        <v>200</v>
      </c>
      <c r="C3509" s="223"/>
      <c r="D3509" s="316"/>
      <c r="H3509" s="223">
        <v>0.0</v>
      </c>
      <c r="K3509" s="317"/>
    </row>
    <row r="3510">
      <c r="B3510" s="223" t="s">
        <v>200</v>
      </c>
      <c r="C3510" s="223"/>
      <c r="D3510" s="316"/>
      <c r="H3510" s="223">
        <v>0.0</v>
      </c>
      <c r="K3510" s="317"/>
    </row>
    <row r="3511">
      <c r="B3511" s="223" t="s">
        <v>200</v>
      </c>
      <c r="C3511" s="223"/>
      <c r="D3511" s="316"/>
      <c r="H3511" s="223">
        <v>0.0</v>
      </c>
      <c r="K3511" s="317"/>
    </row>
    <row r="3512">
      <c r="B3512" s="223" t="s">
        <v>200</v>
      </c>
      <c r="C3512" s="223"/>
      <c r="D3512" s="316"/>
      <c r="H3512" s="223">
        <v>0.0</v>
      </c>
      <c r="K3512" s="317"/>
    </row>
    <row r="3513">
      <c r="B3513" s="223" t="s">
        <v>200</v>
      </c>
      <c r="C3513" s="223"/>
      <c r="D3513" s="316"/>
      <c r="H3513" s="223">
        <v>0.0</v>
      </c>
      <c r="K3513" s="317"/>
    </row>
    <row r="3514">
      <c r="B3514" s="223" t="s">
        <v>200</v>
      </c>
      <c r="C3514" s="223"/>
      <c r="D3514" s="316"/>
      <c r="H3514" s="223">
        <v>0.0</v>
      </c>
      <c r="K3514" s="317"/>
    </row>
    <row r="3515">
      <c r="B3515" s="223" t="s">
        <v>200</v>
      </c>
      <c r="C3515" s="223"/>
      <c r="D3515" s="316"/>
      <c r="H3515" s="223">
        <v>0.0</v>
      </c>
      <c r="K3515" s="317"/>
    </row>
    <row r="3516">
      <c r="B3516" s="223" t="s">
        <v>200</v>
      </c>
      <c r="C3516" s="223"/>
      <c r="D3516" s="316"/>
      <c r="H3516" s="223">
        <v>0.0</v>
      </c>
      <c r="K3516" s="317"/>
    </row>
    <row r="3517">
      <c r="B3517" s="223" t="s">
        <v>200</v>
      </c>
      <c r="C3517" s="223"/>
      <c r="D3517" s="316"/>
      <c r="H3517" s="223">
        <v>0.0</v>
      </c>
      <c r="K3517" s="317"/>
    </row>
    <row r="3518">
      <c r="B3518" s="223" t="s">
        <v>200</v>
      </c>
      <c r="C3518" s="223"/>
      <c r="D3518" s="316"/>
      <c r="H3518" s="223">
        <v>0.0</v>
      </c>
      <c r="K3518" s="317"/>
    </row>
    <row r="3519">
      <c r="B3519" s="223" t="s">
        <v>200</v>
      </c>
      <c r="C3519" s="223"/>
      <c r="D3519" s="316"/>
      <c r="H3519" s="223">
        <v>0.0</v>
      </c>
      <c r="K3519" s="317"/>
    </row>
    <row r="3520">
      <c r="B3520" s="223" t="s">
        <v>200</v>
      </c>
      <c r="C3520" s="223"/>
      <c r="D3520" s="316"/>
      <c r="H3520" s="223">
        <v>0.0</v>
      </c>
      <c r="K3520" s="317"/>
    </row>
    <row r="3521">
      <c r="B3521" s="223" t="s">
        <v>200</v>
      </c>
      <c r="C3521" s="223"/>
      <c r="D3521" s="316"/>
      <c r="H3521" s="223">
        <v>0.0</v>
      </c>
      <c r="K3521" s="317"/>
    </row>
    <row r="3522">
      <c r="B3522" s="223" t="s">
        <v>200</v>
      </c>
      <c r="C3522" s="223"/>
      <c r="D3522" s="316"/>
      <c r="H3522" s="223">
        <v>0.0</v>
      </c>
      <c r="K3522" s="317"/>
    </row>
    <row r="3523">
      <c r="B3523" s="223" t="s">
        <v>200</v>
      </c>
      <c r="C3523" s="223"/>
      <c r="D3523" s="316"/>
      <c r="H3523" s="223">
        <v>0.0</v>
      </c>
      <c r="K3523" s="317"/>
    </row>
    <row r="3524">
      <c r="B3524" s="223" t="s">
        <v>200</v>
      </c>
      <c r="C3524" s="223"/>
      <c r="D3524" s="316"/>
      <c r="H3524" s="223">
        <v>0.0</v>
      </c>
      <c r="K3524" s="317"/>
    </row>
    <row r="3525">
      <c r="B3525" s="223" t="s">
        <v>200</v>
      </c>
      <c r="C3525" s="223"/>
      <c r="D3525" s="316"/>
      <c r="H3525" s="223">
        <v>0.0</v>
      </c>
      <c r="K3525" s="317"/>
    </row>
    <row r="3526">
      <c r="B3526" s="223" t="s">
        <v>200</v>
      </c>
      <c r="C3526" s="223"/>
      <c r="D3526" s="316"/>
      <c r="H3526" s="223">
        <v>0.0</v>
      </c>
      <c r="K3526" s="317"/>
    </row>
    <row r="3527">
      <c r="B3527" s="223" t="s">
        <v>200</v>
      </c>
      <c r="C3527" s="223"/>
      <c r="D3527" s="316"/>
      <c r="H3527" s="223">
        <v>0.0</v>
      </c>
      <c r="K3527" s="317"/>
    </row>
    <row r="3528">
      <c r="B3528" s="223" t="s">
        <v>200</v>
      </c>
      <c r="C3528" s="223"/>
      <c r="D3528" s="316"/>
      <c r="H3528" s="223">
        <v>0.0</v>
      </c>
      <c r="K3528" s="317"/>
    </row>
    <row r="3529">
      <c r="B3529" s="223" t="s">
        <v>200</v>
      </c>
      <c r="C3529" s="223"/>
      <c r="D3529" s="316"/>
      <c r="H3529" s="223">
        <v>0.0</v>
      </c>
      <c r="K3529" s="317"/>
    </row>
    <row r="3530">
      <c r="B3530" s="223" t="s">
        <v>200</v>
      </c>
      <c r="C3530" s="223"/>
      <c r="D3530" s="316"/>
      <c r="H3530" s="223">
        <v>0.0</v>
      </c>
      <c r="K3530" s="317"/>
    </row>
    <row r="3531">
      <c r="B3531" s="223" t="s">
        <v>200</v>
      </c>
      <c r="C3531" s="223"/>
      <c r="D3531" s="316"/>
      <c r="H3531" s="223">
        <v>0.0</v>
      </c>
      <c r="K3531" s="317"/>
    </row>
    <row r="3532">
      <c r="B3532" s="223" t="s">
        <v>200</v>
      </c>
      <c r="C3532" s="223"/>
      <c r="D3532" s="316"/>
      <c r="H3532" s="223">
        <v>0.0</v>
      </c>
      <c r="K3532" s="317"/>
    </row>
    <row r="3533">
      <c r="B3533" s="223" t="s">
        <v>200</v>
      </c>
      <c r="C3533" s="223"/>
      <c r="D3533" s="316"/>
      <c r="H3533" s="223">
        <v>0.0</v>
      </c>
      <c r="K3533" s="317"/>
    </row>
    <row r="3534">
      <c r="B3534" s="223" t="s">
        <v>200</v>
      </c>
      <c r="C3534" s="223"/>
      <c r="D3534" s="316"/>
      <c r="H3534" s="223">
        <v>0.0</v>
      </c>
      <c r="K3534" s="317"/>
    </row>
    <row r="3535">
      <c r="B3535" s="223" t="s">
        <v>200</v>
      </c>
      <c r="C3535" s="223"/>
      <c r="D3535" s="316"/>
      <c r="H3535" s="223">
        <v>0.0</v>
      </c>
      <c r="K3535" s="317"/>
    </row>
    <row r="3536">
      <c r="B3536" s="223" t="s">
        <v>200</v>
      </c>
      <c r="C3536" s="223"/>
      <c r="D3536" s="316"/>
      <c r="H3536" s="223">
        <v>0.0</v>
      </c>
      <c r="K3536" s="317"/>
    </row>
    <row r="3537">
      <c r="B3537" s="223" t="s">
        <v>200</v>
      </c>
      <c r="C3537" s="223"/>
      <c r="D3537" s="316"/>
      <c r="H3537" s="223">
        <v>0.0</v>
      </c>
      <c r="K3537" s="317"/>
    </row>
    <row r="3538">
      <c r="B3538" s="223" t="s">
        <v>200</v>
      </c>
      <c r="C3538" s="223"/>
      <c r="D3538" s="316"/>
      <c r="H3538" s="223">
        <v>0.0</v>
      </c>
      <c r="K3538" s="317"/>
    </row>
    <row r="3539">
      <c r="B3539" s="223" t="s">
        <v>200</v>
      </c>
      <c r="C3539" s="223"/>
      <c r="D3539" s="316"/>
      <c r="H3539" s="223">
        <v>0.0</v>
      </c>
      <c r="K3539" s="317"/>
    </row>
    <row r="3540">
      <c r="B3540" s="223" t="s">
        <v>200</v>
      </c>
      <c r="C3540" s="223"/>
      <c r="D3540" s="316"/>
      <c r="H3540" s="223">
        <v>0.0</v>
      </c>
      <c r="K3540" s="317"/>
    </row>
    <row r="3541">
      <c r="B3541" s="223" t="s">
        <v>200</v>
      </c>
      <c r="C3541" s="223"/>
      <c r="D3541" s="316"/>
      <c r="H3541" s="223">
        <v>0.0</v>
      </c>
      <c r="K3541" s="317"/>
    </row>
    <row r="3542">
      <c r="B3542" s="223" t="s">
        <v>200</v>
      </c>
      <c r="C3542" s="223"/>
      <c r="D3542" s="316"/>
      <c r="H3542" s="223">
        <v>0.0</v>
      </c>
      <c r="K3542" s="317"/>
    </row>
    <row r="3543">
      <c r="B3543" s="223" t="s">
        <v>200</v>
      </c>
      <c r="C3543" s="223"/>
      <c r="D3543" s="316"/>
      <c r="H3543" s="223">
        <v>0.0</v>
      </c>
      <c r="K3543" s="317"/>
    </row>
    <row r="3544">
      <c r="B3544" s="223" t="s">
        <v>200</v>
      </c>
      <c r="C3544" s="223"/>
      <c r="D3544" s="316"/>
      <c r="H3544" s="223">
        <v>0.0</v>
      </c>
      <c r="K3544" s="317"/>
    </row>
    <row r="3545">
      <c r="B3545" s="223" t="s">
        <v>200</v>
      </c>
      <c r="C3545" s="223"/>
      <c r="D3545" s="316"/>
      <c r="H3545" s="223">
        <v>0.0</v>
      </c>
      <c r="K3545" s="317"/>
    </row>
    <row r="3546">
      <c r="B3546" s="223" t="s">
        <v>200</v>
      </c>
      <c r="C3546" s="223"/>
      <c r="D3546" s="316"/>
      <c r="H3546" s="223">
        <v>0.0</v>
      </c>
      <c r="K3546" s="317"/>
    </row>
    <row r="3547">
      <c r="B3547" s="223" t="s">
        <v>200</v>
      </c>
      <c r="C3547" s="223"/>
      <c r="D3547" s="316"/>
      <c r="H3547" s="223">
        <v>0.0</v>
      </c>
      <c r="K3547" s="317"/>
    </row>
    <row r="3548">
      <c r="B3548" s="223" t="s">
        <v>200</v>
      </c>
      <c r="C3548" s="223"/>
      <c r="D3548" s="316"/>
      <c r="H3548" s="223">
        <v>0.0</v>
      </c>
      <c r="K3548" s="317"/>
    </row>
    <row r="3549">
      <c r="B3549" s="223" t="s">
        <v>200</v>
      </c>
      <c r="C3549" s="223"/>
      <c r="D3549" s="316"/>
      <c r="H3549" s="223">
        <v>0.0</v>
      </c>
      <c r="K3549" s="317"/>
    </row>
    <row r="3550">
      <c r="B3550" s="223" t="s">
        <v>200</v>
      </c>
      <c r="C3550" s="223"/>
      <c r="D3550" s="316"/>
      <c r="H3550" s="223">
        <v>0.0</v>
      </c>
      <c r="K3550" s="317"/>
    </row>
    <row r="3551">
      <c r="B3551" s="223" t="s">
        <v>200</v>
      </c>
      <c r="C3551" s="223"/>
      <c r="D3551" s="316"/>
      <c r="H3551" s="223">
        <v>0.0</v>
      </c>
      <c r="K3551" s="317"/>
    </row>
    <row r="3552">
      <c r="B3552" s="223" t="s">
        <v>200</v>
      </c>
      <c r="C3552" s="223"/>
      <c r="D3552" s="316"/>
      <c r="H3552" s="223">
        <v>0.0</v>
      </c>
      <c r="K3552" s="317"/>
    </row>
    <row r="3553">
      <c r="B3553" s="223" t="s">
        <v>200</v>
      </c>
      <c r="C3553" s="223"/>
      <c r="D3553" s="316"/>
      <c r="H3553" s="223">
        <v>0.0</v>
      </c>
      <c r="K3553" s="317"/>
    </row>
    <row r="3554">
      <c r="B3554" s="223" t="s">
        <v>200</v>
      </c>
      <c r="C3554" s="223"/>
      <c r="D3554" s="316"/>
      <c r="H3554" s="223">
        <v>0.0</v>
      </c>
      <c r="K3554" s="317"/>
    </row>
    <row r="3555">
      <c r="B3555" s="223" t="s">
        <v>200</v>
      </c>
      <c r="C3555" s="223"/>
      <c r="D3555" s="316"/>
      <c r="H3555" s="223">
        <v>0.0</v>
      </c>
      <c r="K3555" s="317"/>
    </row>
    <row r="3556">
      <c r="B3556" s="223" t="s">
        <v>200</v>
      </c>
      <c r="C3556" s="223"/>
      <c r="D3556" s="316"/>
      <c r="H3556" s="223">
        <v>0.0</v>
      </c>
      <c r="K3556" s="317"/>
    </row>
    <row r="3557">
      <c r="B3557" s="223" t="s">
        <v>200</v>
      </c>
      <c r="C3557" s="223"/>
      <c r="D3557" s="316"/>
      <c r="H3557" s="223">
        <v>0.0</v>
      </c>
      <c r="K3557" s="317"/>
    </row>
    <row r="3558">
      <c r="B3558" s="223" t="s">
        <v>200</v>
      </c>
      <c r="C3558" s="223"/>
      <c r="D3558" s="316"/>
      <c r="H3558" s="223">
        <v>0.0</v>
      </c>
      <c r="K3558" s="317"/>
    </row>
    <row r="3559">
      <c r="B3559" s="223" t="s">
        <v>200</v>
      </c>
      <c r="C3559" s="223"/>
      <c r="D3559" s="316"/>
      <c r="H3559" s="223">
        <v>0.0</v>
      </c>
      <c r="K3559" s="317"/>
    </row>
    <row r="3560">
      <c r="B3560" s="223" t="s">
        <v>200</v>
      </c>
      <c r="C3560" s="223"/>
      <c r="D3560" s="316"/>
      <c r="H3560" s="223">
        <v>0.0</v>
      </c>
      <c r="K3560" s="317"/>
    </row>
    <row r="3561">
      <c r="B3561" s="223" t="s">
        <v>200</v>
      </c>
      <c r="C3561" s="223"/>
      <c r="D3561" s="316"/>
      <c r="H3561" s="223">
        <v>0.0</v>
      </c>
      <c r="K3561" s="317"/>
    </row>
    <row r="3562">
      <c r="B3562" s="223" t="s">
        <v>200</v>
      </c>
      <c r="C3562" s="223"/>
      <c r="D3562" s="316"/>
      <c r="H3562" s="223">
        <v>0.0</v>
      </c>
      <c r="K3562" s="317"/>
    </row>
    <row r="3563">
      <c r="B3563" s="223" t="s">
        <v>200</v>
      </c>
      <c r="C3563" s="223"/>
      <c r="D3563" s="316"/>
      <c r="H3563" s="223">
        <v>0.0</v>
      </c>
      <c r="K3563" s="317"/>
    </row>
    <row r="3564">
      <c r="B3564" s="223" t="s">
        <v>200</v>
      </c>
      <c r="C3564" s="223"/>
      <c r="D3564" s="316"/>
      <c r="H3564" s="223">
        <v>0.0</v>
      </c>
      <c r="K3564" s="317"/>
    </row>
    <row r="3565">
      <c r="B3565" s="223" t="s">
        <v>200</v>
      </c>
      <c r="C3565" s="223"/>
      <c r="D3565" s="316"/>
      <c r="H3565" s="223">
        <v>0.0</v>
      </c>
      <c r="K3565" s="317"/>
    </row>
    <row r="3566">
      <c r="B3566" s="223" t="s">
        <v>200</v>
      </c>
      <c r="C3566" s="223"/>
      <c r="D3566" s="316"/>
      <c r="H3566" s="223">
        <v>0.0</v>
      </c>
      <c r="K3566" s="317"/>
    </row>
    <row r="3567">
      <c r="B3567" s="223" t="s">
        <v>200</v>
      </c>
      <c r="C3567" s="223"/>
      <c r="D3567" s="316"/>
      <c r="H3567" s="223">
        <v>0.0</v>
      </c>
      <c r="K3567" s="317"/>
    </row>
    <row r="3568">
      <c r="B3568" s="223" t="s">
        <v>200</v>
      </c>
      <c r="C3568" s="223"/>
      <c r="D3568" s="316"/>
      <c r="H3568" s="223">
        <v>0.0</v>
      </c>
      <c r="K3568" s="317"/>
    </row>
    <row r="3569">
      <c r="B3569" s="223" t="s">
        <v>200</v>
      </c>
      <c r="C3569" s="223"/>
      <c r="D3569" s="316"/>
      <c r="H3569" s="223">
        <v>0.0</v>
      </c>
      <c r="K3569" s="317"/>
    </row>
    <row r="3570">
      <c r="B3570" s="223" t="s">
        <v>200</v>
      </c>
      <c r="C3570" s="223"/>
      <c r="D3570" s="316"/>
      <c r="H3570" s="223">
        <v>0.0</v>
      </c>
      <c r="K3570" s="317"/>
    </row>
    <row r="3571">
      <c r="B3571" s="223" t="s">
        <v>200</v>
      </c>
      <c r="C3571" s="223"/>
      <c r="D3571" s="316"/>
      <c r="H3571" s="223">
        <v>0.0</v>
      </c>
      <c r="K3571" s="317"/>
    </row>
    <row r="3572">
      <c r="B3572" s="223" t="s">
        <v>200</v>
      </c>
      <c r="C3572" s="223"/>
      <c r="D3572" s="316"/>
      <c r="H3572" s="223">
        <v>0.0</v>
      </c>
      <c r="K3572" s="317"/>
    </row>
    <row r="3573">
      <c r="B3573" s="223" t="s">
        <v>200</v>
      </c>
      <c r="C3573" s="223"/>
      <c r="D3573" s="316"/>
      <c r="H3573" s="223">
        <v>0.0</v>
      </c>
      <c r="K3573" s="317"/>
    </row>
    <row r="3574">
      <c r="B3574" s="223" t="s">
        <v>200</v>
      </c>
      <c r="C3574" s="223"/>
      <c r="D3574" s="316"/>
      <c r="H3574" s="223">
        <v>0.0</v>
      </c>
      <c r="K3574" s="317"/>
    </row>
    <row r="3575">
      <c r="B3575" s="223" t="s">
        <v>200</v>
      </c>
      <c r="C3575" s="223"/>
      <c r="D3575" s="316"/>
      <c r="H3575" s="223">
        <v>0.0</v>
      </c>
      <c r="K3575" s="317"/>
    </row>
    <row r="3576">
      <c r="B3576" s="223" t="s">
        <v>200</v>
      </c>
      <c r="C3576" s="223"/>
      <c r="D3576" s="316"/>
      <c r="H3576" s="223">
        <v>0.0</v>
      </c>
      <c r="K3576" s="317"/>
    </row>
    <row r="3577">
      <c r="B3577" s="223" t="s">
        <v>200</v>
      </c>
      <c r="C3577" s="223"/>
      <c r="D3577" s="316"/>
      <c r="H3577" s="223">
        <v>0.0</v>
      </c>
      <c r="K3577" s="317"/>
    </row>
    <row r="3578">
      <c r="B3578" s="223" t="s">
        <v>200</v>
      </c>
      <c r="C3578" s="223"/>
      <c r="D3578" s="316"/>
      <c r="H3578" s="223">
        <v>0.0</v>
      </c>
      <c r="K3578" s="317"/>
    </row>
    <row r="3579">
      <c r="B3579" s="223" t="s">
        <v>200</v>
      </c>
      <c r="C3579" s="223"/>
      <c r="D3579" s="316"/>
      <c r="H3579" s="223">
        <v>0.0</v>
      </c>
      <c r="K3579" s="317"/>
    </row>
    <row r="3580">
      <c r="B3580" s="223" t="s">
        <v>200</v>
      </c>
      <c r="C3580" s="223"/>
      <c r="D3580" s="316"/>
      <c r="H3580" s="223">
        <v>0.0</v>
      </c>
      <c r="K3580" s="317"/>
    </row>
    <row r="3581">
      <c r="B3581" s="223" t="s">
        <v>200</v>
      </c>
      <c r="C3581" s="223"/>
      <c r="D3581" s="316"/>
      <c r="H3581" s="223">
        <v>0.0</v>
      </c>
      <c r="K3581" s="317"/>
    </row>
    <row r="3582">
      <c r="B3582" s="223" t="s">
        <v>200</v>
      </c>
      <c r="C3582" s="223"/>
      <c r="D3582" s="316"/>
      <c r="H3582" s="223">
        <v>0.0</v>
      </c>
      <c r="K3582" s="317"/>
    </row>
    <row r="3583">
      <c r="B3583" s="223" t="s">
        <v>200</v>
      </c>
      <c r="C3583" s="223"/>
      <c r="D3583" s="316"/>
      <c r="H3583" s="223">
        <v>0.0</v>
      </c>
      <c r="K3583" s="317"/>
    </row>
    <row r="3584">
      <c r="B3584" s="223" t="s">
        <v>200</v>
      </c>
      <c r="C3584" s="223"/>
      <c r="D3584" s="316"/>
      <c r="H3584" s="223">
        <v>0.0</v>
      </c>
      <c r="K3584" s="317"/>
    </row>
    <row r="3585">
      <c r="B3585" s="223" t="s">
        <v>200</v>
      </c>
      <c r="C3585" s="223"/>
      <c r="D3585" s="316"/>
      <c r="H3585" s="223">
        <v>0.0</v>
      </c>
      <c r="K3585" s="317"/>
    </row>
    <row r="3586">
      <c r="B3586" s="223" t="s">
        <v>200</v>
      </c>
      <c r="C3586" s="223"/>
      <c r="D3586" s="316"/>
      <c r="H3586" s="223">
        <v>0.0</v>
      </c>
      <c r="K3586" s="317"/>
    </row>
    <row r="3587">
      <c r="B3587" s="223" t="s">
        <v>200</v>
      </c>
      <c r="C3587" s="223"/>
      <c r="D3587" s="316"/>
      <c r="H3587" s="223">
        <v>0.0</v>
      </c>
      <c r="K3587" s="317"/>
    </row>
    <row r="3588">
      <c r="B3588" s="223" t="s">
        <v>200</v>
      </c>
      <c r="C3588" s="223"/>
      <c r="D3588" s="316"/>
      <c r="H3588" s="223">
        <v>0.0</v>
      </c>
      <c r="K3588" s="317"/>
    </row>
    <row r="3589">
      <c r="B3589" s="223" t="s">
        <v>200</v>
      </c>
      <c r="C3589" s="223"/>
      <c r="D3589" s="316"/>
      <c r="H3589" s="223">
        <v>0.0</v>
      </c>
      <c r="K3589" s="317"/>
    </row>
    <row r="3590">
      <c r="B3590" s="223" t="s">
        <v>200</v>
      </c>
      <c r="C3590" s="223"/>
      <c r="D3590" s="316"/>
      <c r="H3590" s="223">
        <v>0.0</v>
      </c>
      <c r="K3590" s="317"/>
    </row>
    <row r="3591">
      <c r="B3591" s="223" t="s">
        <v>200</v>
      </c>
      <c r="C3591" s="223"/>
      <c r="D3591" s="316"/>
      <c r="H3591" s="223">
        <v>0.0</v>
      </c>
      <c r="K3591" s="317"/>
    </row>
    <row r="3592">
      <c r="B3592" s="223" t="s">
        <v>200</v>
      </c>
      <c r="C3592" s="223"/>
      <c r="D3592" s="316"/>
      <c r="H3592" s="223">
        <v>0.0</v>
      </c>
      <c r="K3592" s="317"/>
    </row>
    <row r="3593">
      <c r="B3593" s="223" t="s">
        <v>200</v>
      </c>
      <c r="C3593" s="223"/>
      <c r="D3593" s="316"/>
      <c r="H3593" s="223">
        <v>0.0</v>
      </c>
      <c r="K3593" s="317"/>
    </row>
    <row r="3594">
      <c r="B3594" s="223" t="s">
        <v>200</v>
      </c>
      <c r="C3594" s="223"/>
      <c r="D3594" s="316"/>
      <c r="H3594" s="223">
        <v>0.0</v>
      </c>
      <c r="K3594" s="317"/>
    </row>
    <row r="3595">
      <c r="B3595" s="223" t="s">
        <v>200</v>
      </c>
      <c r="C3595" s="223"/>
      <c r="D3595" s="316"/>
      <c r="H3595" s="223">
        <v>0.0</v>
      </c>
      <c r="K3595" s="317"/>
    </row>
    <row r="3596">
      <c r="B3596" s="223" t="s">
        <v>200</v>
      </c>
      <c r="C3596" s="223"/>
      <c r="D3596" s="316"/>
      <c r="H3596" s="223">
        <v>0.0</v>
      </c>
      <c r="K3596" s="317"/>
    </row>
    <row r="3597">
      <c r="B3597" s="223" t="s">
        <v>200</v>
      </c>
      <c r="C3597" s="223"/>
      <c r="D3597" s="316"/>
      <c r="H3597" s="223">
        <v>0.0</v>
      </c>
      <c r="K3597" s="317"/>
    </row>
    <row r="3598">
      <c r="B3598" s="223" t="s">
        <v>200</v>
      </c>
      <c r="C3598" s="223"/>
      <c r="D3598" s="316"/>
      <c r="H3598" s="223">
        <v>0.0</v>
      </c>
      <c r="K3598" s="317"/>
    </row>
    <row r="3599">
      <c r="B3599" s="223" t="s">
        <v>200</v>
      </c>
      <c r="C3599" s="223"/>
      <c r="D3599" s="316"/>
      <c r="H3599" s="223">
        <v>0.0</v>
      </c>
      <c r="K3599" s="317"/>
    </row>
    <row r="3600">
      <c r="B3600" s="223" t="s">
        <v>200</v>
      </c>
      <c r="C3600" s="223"/>
      <c r="D3600" s="316"/>
      <c r="H3600" s="223">
        <v>0.0</v>
      </c>
      <c r="K3600" s="317"/>
    </row>
    <row r="3601">
      <c r="B3601" s="223" t="s">
        <v>200</v>
      </c>
      <c r="C3601" s="223"/>
      <c r="D3601" s="316"/>
      <c r="H3601" s="223">
        <v>0.0</v>
      </c>
      <c r="K3601" s="317"/>
    </row>
    <row r="3602">
      <c r="B3602" s="223" t="s">
        <v>200</v>
      </c>
      <c r="C3602" s="223"/>
      <c r="D3602" s="316"/>
      <c r="H3602" s="223">
        <v>0.0</v>
      </c>
      <c r="K3602" s="317"/>
    </row>
    <row r="3603">
      <c r="B3603" s="223" t="s">
        <v>200</v>
      </c>
      <c r="C3603" s="223"/>
      <c r="D3603" s="316"/>
      <c r="H3603" s="223">
        <v>0.0</v>
      </c>
      <c r="K3603" s="317"/>
    </row>
    <row r="3604">
      <c r="B3604" s="223" t="s">
        <v>200</v>
      </c>
      <c r="C3604" s="223"/>
      <c r="D3604" s="316"/>
      <c r="H3604" s="223">
        <v>0.0</v>
      </c>
      <c r="K3604" s="317"/>
    </row>
    <row r="3605">
      <c r="B3605" s="223" t="s">
        <v>200</v>
      </c>
      <c r="C3605" s="223"/>
      <c r="D3605" s="316"/>
      <c r="H3605" s="223">
        <v>0.0</v>
      </c>
      <c r="K3605" s="317"/>
    </row>
    <row r="3606">
      <c r="B3606" s="223" t="s">
        <v>200</v>
      </c>
      <c r="C3606" s="223"/>
      <c r="D3606" s="316"/>
      <c r="H3606" s="223">
        <v>0.0</v>
      </c>
      <c r="K3606" s="317"/>
    </row>
    <row r="3607">
      <c r="B3607" s="223" t="s">
        <v>200</v>
      </c>
      <c r="C3607" s="223"/>
      <c r="D3607" s="316"/>
      <c r="H3607" s="223">
        <v>0.0</v>
      </c>
      <c r="K3607" s="317"/>
    </row>
    <row r="3608">
      <c r="B3608" s="223" t="s">
        <v>200</v>
      </c>
      <c r="C3608" s="223"/>
      <c r="D3608" s="316"/>
      <c r="H3608" s="223">
        <v>0.0</v>
      </c>
      <c r="K3608" s="317"/>
    </row>
    <row r="3609">
      <c r="B3609" s="223" t="s">
        <v>200</v>
      </c>
      <c r="C3609" s="223"/>
      <c r="D3609" s="316"/>
      <c r="H3609" s="223">
        <v>0.0</v>
      </c>
      <c r="K3609" s="317"/>
    </row>
    <row r="3610">
      <c r="B3610" s="223" t="s">
        <v>200</v>
      </c>
      <c r="C3610" s="223"/>
      <c r="D3610" s="316"/>
      <c r="H3610" s="223">
        <v>0.0</v>
      </c>
      <c r="K3610" s="317"/>
    </row>
    <row r="3611">
      <c r="B3611" s="223" t="s">
        <v>200</v>
      </c>
      <c r="C3611" s="223"/>
      <c r="D3611" s="316"/>
      <c r="H3611" s="223">
        <v>0.0</v>
      </c>
      <c r="K3611" s="317"/>
    </row>
    <row r="3612">
      <c r="B3612" s="223" t="s">
        <v>200</v>
      </c>
      <c r="C3612" s="223"/>
      <c r="D3612" s="316"/>
      <c r="H3612" s="223">
        <v>0.0</v>
      </c>
      <c r="K3612" s="317"/>
    </row>
    <row r="3613">
      <c r="B3613" s="223" t="s">
        <v>200</v>
      </c>
      <c r="C3613" s="223"/>
      <c r="D3613" s="316"/>
      <c r="H3613" s="223">
        <v>0.0</v>
      </c>
      <c r="K3613" s="317"/>
    </row>
    <row r="3614">
      <c r="B3614" s="223" t="s">
        <v>200</v>
      </c>
      <c r="C3614" s="223"/>
      <c r="D3614" s="316"/>
      <c r="H3614" s="223">
        <v>0.0</v>
      </c>
      <c r="K3614" s="317"/>
    </row>
    <row r="3615">
      <c r="B3615" s="223" t="s">
        <v>200</v>
      </c>
      <c r="C3615" s="223"/>
      <c r="D3615" s="316"/>
      <c r="H3615" s="223">
        <v>0.0</v>
      </c>
      <c r="K3615" s="317"/>
    </row>
    <row r="3616">
      <c r="B3616" s="223" t="s">
        <v>200</v>
      </c>
      <c r="C3616" s="223"/>
      <c r="D3616" s="316"/>
      <c r="H3616" s="223">
        <v>0.0</v>
      </c>
      <c r="K3616" s="317"/>
    </row>
    <row r="3617">
      <c r="B3617" s="223" t="s">
        <v>200</v>
      </c>
      <c r="C3617" s="223"/>
      <c r="D3617" s="316"/>
      <c r="H3617" s="223">
        <v>0.0</v>
      </c>
      <c r="K3617" s="317"/>
    </row>
    <row r="3618">
      <c r="B3618" s="223" t="s">
        <v>200</v>
      </c>
      <c r="C3618" s="223"/>
      <c r="D3618" s="316"/>
      <c r="H3618" s="223">
        <v>0.0</v>
      </c>
      <c r="K3618" s="317"/>
    </row>
    <row r="3619">
      <c r="B3619" s="223" t="s">
        <v>200</v>
      </c>
      <c r="C3619" s="223"/>
      <c r="D3619" s="316"/>
      <c r="H3619" s="223">
        <v>0.0</v>
      </c>
      <c r="K3619" s="317"/>
    </row>
    <row r="3620">
      <c r="B3620" s="223" t="s">
        <v>200</v>
      </c>
      <c r="C3620" s="223"/>
      <c r="D3620" s="316"/>
      <c r="H3620" s="223">
        <v>0.0</v>
      </c>
      <c r="K3620" s="317"/>
    </row>
    <row r="3621">
      <c r="B3621" s="223" t="s">
        <v>200</v>
      </c>
      <c r="C3621" s="223"/>
      <c r="D3621" s="316"/>
      <c r="H3621" s="223">
        <v>0.0</v>
      </c>
      <c r="K3621" s="317"/>
    </row>
    <row r="3622">
      <c r="B3622" s="223" t="s">
        <v>200</v>
      </c>
      <c r="C3622" s="223"/>
      <c r="D3622" s="316"/>
      <c r="H3622" s="223">
        <v>0.0</v>
      </c>
      <c r="K3622" s="317"/>
    </row>
    <row r="3623">
      <c r="B3623" s="223" t="s">
        <v>200</v>
      </c>
      <c r="C3623" s="223"/>
      <c r="D3623" s="316"/>
      <c r="H3623" s="223">
        <v>0.0</v>
      </c>
      <c r="K3623" s="317"/>
    </row>
    <row r="3624">
      <c r="B3624" s="223" t="s">
        <v>200</v>
      </c>
      <c r="C3624" s="223"/>
      <c r="D3624" s="316"/>
      <c r="H3624" s="223">
        <v>0.0</v>
      </c>
      <c r="K3624" s="317"/>
    </row>
    <row r="3625">
      <c r="B3625" s="223" t="s">
        <v>200</v>
      </c>
      <c r="C3625" s="223"/>
      <c r="D3625" s="316"/>
      <c r="H3625" s="223">
        <v>0.0</v>
      </c>
      <c r="K3625" s="317"/>
    </row>
    <row r="3626">
      <c r="B3626" s="223" t="s">
        <v>200</v>
      </c>
      <c r="C3626" s="223"/>
      <c r="D3626" s="316"/>
      <c r="H3626" s="223">
        <v>0.0</v>
      </c>
      <c r="K3626" s="317"/>
    </row>
    <row r="3627">
      <c r="B3627" s="223" t="s">
        <v>200</v>
      </c>
      <c r="C3627" s="223"/>
      <c r="D3627" s="316"/>
      <c r="H3627" s="223">
        <v>0.0</v>
      </c>
      <c r="K3627" s="317"/>
    </row>
    <row r="3628">
      <c r="B3628" s="223" t="s">
        <v>200</v>
      </c>
      <c r="C3628" s="223"/>
      <c r="D3628" s="316"/>
      <c r="H3628" s="223">
        <v>0.0</v>
      </c>
      <c r="K3628" s="317"/>
    </row>
    <row r="3629">
      <c r="B3629" s="223" t="s">
        <v>200</v>
      </c>
      <c r="C3629" s="223"/>
      <c r="D3629" s="316"/>
      <c r="H3629" s="223">
        <v>0.0</v>
      </c>
      <c r="K3629" s="317"/>
    </row>
    <row r="3630">
      <c r="B3630" s="223" t="s">
        <v>200</v>
      </c>
      <c r="C3630" s="223"/>
      <c r="D3630" s="316"/>
      <c r="H3630" s="223">
        <v>0.0</v>
      </c>
      <c r="K3630" s="317"/>
    </row>
    <row r="3631">
      <c r="B3631" s="223" t="s">
        <v>200</v>
      </c>
      <c r="C3631" s="223"/>
      <c r="D3631" s="316"/>
      <c r="H3631" s="223">
        <v>0.0</v>
      </c>
      <c r="K3631" s="317"/>
    </row>
    <row r="3632">
      <c r="B3632" s="223" t="s">
        <v>200</v>
      </c>
      <c r="C3632" s="223"/>
      <c r="D3632" s="316"/>
      <c r="H3632" s="223">
        <v>0.0</v>
      </c>
      <c r="K3632" s="317"/>
    </row>
    <row r="3633">
      <c r="B3633" s="223" t="s">
        <v>200</v>
      </c>
      <c r="C3633" s="223"/>
      <c r="D3633" s="316"/>
      <c r="H3633" s="223">
        <v>0.0</v>
      </c>
      <c r="K3633" s="317"/>
    </row>
    <row r="3634">
      <c r="B3634" s="223" t="s">
        <v>200</v>
      </c>
      <c r="C3634" s="223"/>
      <c r="D3634" s="316"/>
      <c r="H3634" s="223">
        <v>0.0</v>
      </c>
      <c r="K3634" s="317"/>
    </row>
    <row r="3635">
      <c r="B3635" s="223" t="s">
        <v>200</v>
      </c>
      <c r="C3635" s="223"/>
      <c r="D3635" s="316"/>
      <c r="H3635" s="223">
        <v>0.0</v>
      </c>
      <c r="K3635" s="317"/>
    </row>
    <row r="3636">
      <c r="B3636" s="223" t="s">
        <v>200</v>
      </c>
      <c r="C3636" s="223"/>
      <c r="D3636" s="316"/>
      <c r="H3636" s="223">
        <v>0.0</v>
      </c>
      <c r="K3636" s="317"/>
    </row>
    <row r="3637">
      <c r="B3637" s="223" t="s">
        <v>200</v>
      </c>
      <c r="C3637" s="223"/>
      <c r="D3637" s="316"/>
      <c r="H3637" s="223">
        <v>0.0</v>
      </c>
      <c r="K3637" s="317"/>
    </row>
    <row r="3638">
      <c r="B3638" s="223" t="s">
        <v>200</v>
      </c>
      <c r="C3638" s="223"/>
      <c r="D3638" s="316"/>
      <c r="H3638" s="223">
        <v>0.0</v>
      </c>
      <c r="K3638" s="317"/>
    </row>
    <row r="3639">
      <c r="B3639" s="223" t="s">
        <v>200</v>
      </c>
      <c r="C3639" s="223"/>
      <c r="D3639" s="316"/>
      <c r="H3639" s="223">
        <v>0.0</v>
      </c>
      <c r="K3639" s="317"/>
    </row>
    <row r="3640">
      <c r="B3640" s="223" t="s">
        <v>200</v>
      </c>
      <c r="C3640" s="223"/>
      <c r="D3640" s="316"/>
      <c r="H3640" s="223">
        <v>0.0</v>
      </c>
      <c r="K3640" s="317"/>
    </row>
    <row r="3641">
      <c r="B3641" s="223" t="s">
        <v>200</v>
      </c>
      <c r="C3641" s="223"/>
      <c r="D3641" s="316"/>
      <c r="H3641" s="223">
        <v>0.0</v>
      </c>
      <c r="K3641" s="317"/>
    </row>
    <row r="3642">
      <c r="B3642" s="223" t="s">
        <v>200</v>
      </c>
      <c r="C3642" s="223"/>
      <c r="D3642" s="316"/>
      <c r="H3642" s="223">
        <v>0.0</v>
      </c>
      <c r="K3642" s="317"/>
    </row>
    <row r="3643">
      <c r="B3643" s="223" t="s">
        <v>200</v>
      </c>
      <c r="C3643" s="223"/>
      <c r="D3643" s="316"/>
      <c r="H3643" s="223">
        <v>0.0</v>
      </c>
      <c r="K3643" s="317"/>
    </row>
    <row r="3644">
      <c r="B3644" s="223" t="s">
        <v>200</v>
      </c>
      <c r="C3644" s="223"/>
      <c r="D3644" s="316"/>
      <c r="H3644" s="223">
        <v>0.0</v>
      </c>
      <c r="K3644" s="317"/>
    </row>
    <row r="3645">
      <c r="B3645" s="223" t="s">
        <v>200</v>
      </c>
      <c r="C3645" s="223"/>
      <c r="D3645" s="316"/>
      <c r="H3645" s="223">
        <v>0.0</v>
      </c>
      <c r="K3645" s="317"/>
    </row>
    <row r="3646">
      <c r="B3646" s="223" t="s">
        <v>200</v>
      </c>
      <c r="C3646" s="223"/>
      <c r="D3646" s="316"/>
      <c r="H3646" s="223">
        <v>0.0</v>
      </c>
      <c r="K3646" s="317"/>
    </row>
    <row r="3647">
      <c r="B3647" s="223" t="s">
        <v>200</v>
      </c>
      <c r="C3647" s="223"/>
      <c r="D3647" s="316"/>
      <c r="H3647" s="223">
        <v>0.0</v>
      </c>
      <c r="K3647" s="317"/>
    </row>
    <row r="3648">
      <c r="B3648" s="223" t="s">
        <v>200</v>
      </c>
      <c r="C3648" s="223"/>
      <c r="D3648" s="316"/>
      <c r="H3648" s="223">
        <v>0.0</v>
      </c>
      <c r="K3648" s="317"/>
    </row>
    <row r="3649">
      <c r="B3649" s="223" t="s">
        <v>200</v>
      </c>
      <c r="C3649" s="223"/>
      <c r="D3649" s="316"/>
      <c r="H3649" s="223">
        <v>0.0</v>
      </c>
      <c r="K3649" s="317"/>
    </row>
    <row r="3650">
      <c r="B3650" s="223" t="s">
        <v>200</v>
      </c>
      <c r="C3650" s="223"/>
      <c r="D3650" s="316"/>
      <c r="H3650" s="223">
        <v>0.0</v>
      </c>
      <c r="K3650" s="317"/>
    </row>
    <row r="3651">
      <c r="B3651" s="223" t="s">
        <v>200</v>
      </c>
      <c r="C3651" s="223"/>
      <c r="D3651" s="316"/>
      <c r="H3651" s="223">
        <v>0.0</v>
      </c>
      <c r="K3651" s="317"/>
    </row>
    <row r="3652">
      <c r="B3652" s="223" t="s">
        <v>200</v>
      </c>
      <c r="C3652" s="223"/>
      <c r="D3652" s="316"/>
      <c r="H3652" s="223">
        <v>0.0</v>
      </c>
      <c r="K3652" s="317"/>
    </row>
    <row r="3653">
      <c r="B3653" s="223" t="s">
        <v>200</v>
      </c>
      <c r="C3653" s="223"/>
      <c r="D3653" s="316"/>
      <c r="H3653" s="223">
        <v>0.0</v>
      </c>
      <c r="K3653" s="317"/>
    </row>
    <row r="3654">
      <c r="B3654" s="223" t="s">
        <v>200</v>
      </c>
      <c r="C3654" s="223"/>
      <c r="D3654" s="316"/>
      <c r="H3654" s="223">
        <v>0.0</v>
      </c>
      <c r="K3654" s="317"/>
    </row>
    <row r="3655">
      <c r="B3655" s="223" t="s">
        <v>200</v>
      </c>
      <c r="C3655" s="223"/>
      <c r="D3655" s="316"/>
      <c r="H3655" s="223">
        <v>0.0</v>
      </c>
      <c r="K3655" s="317"/>
    </row>
    <row r="3656">
      <c r="B3656" s="223" t="s">
        <v>200</v>
      </c>
      <c r="C3656" s="223"/>
      <c r="D3656" s="316"/>
      <c r="H3656" s="223">
        <v>0.0</v>
      </c>
      <c r="K3656" s="317"/>
    </row>
    <row r="3657">
      <c r="B3657" s="223" t="s">
        <v>200</v>
      </c>
      <c r="C3657" s="223"/>
      <c r="D3657" s="316"/>
      <c r="H3657" s="223">
        <v>0.0</v>
      </c>
      <c r="K3657" s="317"/>
    </row>
    <row r="3658">
      <c r="B3658" s="223" t="s">
        <v>200</v>
      </c>
      <c r="C3658" s="223"/>
      <c r="D3658" s="316"/>
      <c r="H3658" s="223">
        <v>0.0</v>
      </c>
      <c r="K3658" s="317"/>
    </row>
    <row r="3659">
      <c r="B3659" s="223" t="s">
        <v>200</v>
      </c>
      <c r="C3659" s="223"/>
      <c r="D3659" s="316"/>
      <c r="H3659" s="223">
        <v>0.0</v>
      </c>
      <c r="K3659" s="317"/>
    </row>
    <row r="3660">
      <c r="B3660" s="223" t="s">
        <v>200</v>
      </c>
      <c r="C3660" s="223"/>
      <c r="D3660" s="316"/>
      <c r="H3660" s="223">
        <v>0.0</v>
      </c>
      <c r="K3660" s="317"/>
    </row>
    <row r="3661">
      <c r="B3661" s="223" t="s">
        <v>200</v>
      </c>
      <c r="C3661" s="223"/>
      <c r="D3661" s="316"/>
      <c r="H3661" s="223">
        <v>0.0</v>
      </c>
      <c r="K3661" s="317"/>
    </row>
    <row r="3662">
      <c r="B3662" s="223" t="s">
        <v>200</v>
      </c>
      <c r="C3662" s="223"/>
      <c r="D3662" s="316"/>
      <c r="H3662" s="223">
        <v>0.0</v>
      </c>
      <c r="K3662" s="317"/>
    </row>
    <row r="3663">
      <c r="B3663" s="223" t="s">
        <v>200</v>
      </c>
      <c r="C3663" s="223"/>
      <c r="D3663" s="316"/>
      <c r="H3663" s="223">
        <v>0.0</v>
      </c>
      <c r="K3663" s="317"/>
    </row>
    <row r="3664">
      <c r="B3664" s="223" t="s">
        <v>200</v>
      </c>
      <c r="C3664" s="223"/>
      <c r="D3664" s="316"/>
      <c r="H3664" s="223">
        <v>0.0</v>
      </c>
      <c r="K3664" s="317"/>
    </row>
    <row r="3665">
      <c r="B3665" s="223" t="s">
        <v>200</v>
      </c>
      <c r="C3665" s="223"/>
      <c r="D3665" s="316"/>
      <c r="H3665" s="223">
        <v>0.0</v>
      </c>
      <c r="K3665" s="317"/>
    </row>
    <row r="3666">
      <c r="B3666" s="223" t="s">
        <v>200</v>
      </c>
      <c r="C3666" s="223"/>
      <c r="D3666" s="316"/>
      <c r="H3666" s="223">
        <v>0.0</v>
      </c>
      <c r="K3666" s="317"/>
    </row>
    <row r="3667">
      <c r="B3667" s="223" t="s">
        <v>200</v>
      </c>
      <c r="C3667" s="223"/>
      <c r="D3667" s="316"/>
      <c r="H3667" s="223">
        <v>0.0</v>
      </c>
      <c r="K3667" s="317"/>
    </row>
    <row r="3668">
      <c r="B3668" s="223" t="s">
        <v>200</v>
      </c>
      <c r="C3668" s="223"/>
      <c r="D3668" s="316"/>
      <c r="H3668" s="223">
        <v>0.0</v>
      </c>
      <c r="K3668" s="317"/>
    </row>
    <row r="3669">
      <c r="B3669" s="223" t="s">
        <v>200</v>
      </c>
      <c r="C3669" s="223"/>
      <c r="D3669" s="316"/>
      <c r="H3669" s="223">
        <v>0.0</v>
      </c>
      <c r="K3669" s="317"/>
    </row>
    <row r="3670">
      <c r="B3670" s="223" t="s">
        <v>200</v>
      </c>
      <c r="C3670" s="223"/>
      <c r="D3670" s="316"/>
      <c r="H3670" s="223">
        <v>0.0</v>
      </c>
      <c r="K3670" s="317"/>
    </row>
    <row r="3671">
      <c r="B3671" s="223" t="s">
        <v>200</v>
      </c>
      <c r="C3671" s="223"/>
      <c r="D3671" s="316"/>
      <c r="H3671" s="223">
        <v>0.0</v>
      </c>
      <c r="K3671" s="317"/>
    </row>
    <row r="3672">
      <c r="B3672" s="223" t="s">
        <v>200</v>
      </c>
      <c r="C3672" s="223"/>
      <c r="D3672" s="316"/>
      <c r="H3672" s="223">
        <v>0.0</v>
      </c>
      <c r="K3672" s="317"/>
    </row>
    <row r="3673">
      <c r="B3673" s="223" t="s">
        <v>200</v>
      </c>
      <c r="C3673" s="223"/>
      <c r="D3673" s="316"/>
      <c r="H3673" s="223">
        <v>0.0</v>
      </c>
      <c r="K3673" s="317"/>
    </row>
    <row r="3674">
      <c r="B3674" s="223" t="s">
        <v>200</v>
      </c>
      <c r="C3674" s="223"/>
      <c r="D3674" s="316"/>
      <c r="H3674" s="223">
        <v>0.0</v>
      </c>
      <c r="K3674" s="317"/>
    </row>
    <row r="3675">
      <c r="B3675" s="223" t="s">
        <v>200</v>
      </c>
      <c r="C3675" s="223"/>
      <c r="D3675" s="316"/>
      <c r="H3675" s="223">
        <v>0.0</v>
      </c>
      <c r="K3675" s="317"/>
    </row>
    <row r="3676">
      <c r="B3676" s="223" t="s">
        <v>200</v>
      </c>
      <c r="C3676" s="223"/>
      <c r="D3676" s="316"/>
      <c r="H3676" s="223">
        <v>0.0</v>
      </c>
      <c r="K3676" s="317"/>
    </row>
    <row r="3677">
      <c r="B3677" s="223" t="s">
        <v>200</v>
      </c>
      <c r="C3677" s="223"/>
      <c r="D3677" s="316"/>
      <c r="H3677" s="223">
        <v>0.0</v>
      </c>
      <c r="K3677" s="317"/>
    </row>
    <row r="3678">
      <c r="B3678" s="223" t="s">
        <v>200</v>
      </c>
      <c r="C3678" s="223"/>
      <c r="D3678" s="316"/>
      <c r="H3678" s="223">
        <v>0.0</v>
      </c>
      <c r="K3678" s="317"/>
    </row>
    <row r="3679">
      <c r="B3679" s="223" t="s">
        <v>200</v>
      </c>
      <c r="C3679" s="223"/>
      <c r="D3679" s="316"/>
      <c r="H3679" s="223">
        <v>0.0</v>
      </c>
      <c r="K3679" s="317"/>
    </row>
    <row r="3680">
      <c r="B3680" s="223" t="s">
        <v>200</v>
      </c>
      <c r="C3680" s="223"/>
      <c r="D3680" s="316"/>
      <c r="H3680" s="223">
        <v>0.0</v>
      </c>
      <c r="K3680" s="317"/>
    </row>
    <row r="3681">
      <c r="B3681" s="223" t="s">
        <v>200</v>
      </c>
      <c r="C3681" s="223"/>
      <c r="D3681" s="316"/>
      <c r="H3681" s="223">
        <v>0.0</v>
      </c>
      <c r="K3681" s="317"/>
    </row>
    <row r="3682">
      <c r="B3682" s="223" t="s">
        <v>200</v>
      </c>
      <c r="C3682" s="223"/>
      <c r="D3682" s="316"/>
      <c r="H3682" s="223">
        <v>0.0</v>
      </c>
      <c r="K3682" s="317"/>
    </row>
    <row r="3683">
      <c r="B3683" s="223" t="s">
        <v>200</v>
      </c>
      <c r="C3683" s="223"/>
      <c r="D3683" s="316"/>
      <c r="H3683" s="223">
        <v>0.0</v>
      </c>
      <c r="K3683" s="317"/>
    </row>
    <row r="3684">
      <c r="B3684" s="223" t="s">
        <v>200</v>
      </c>
      <c r="C3684" s="223"/>
      <c r="D3684" s="316"/>
      <c r="H3684" s="223">
        <v>0.0</v>
      </c>
      <c r="K3684" s="317"/>
    </row>
    <row r="3685">
      <c r="B3685" s="223" t="s">
        <v>200</v>
      </c>
      <c r="C3685" s="223"/>
      <c r="D3685" s="316"/>
      <c r="H3685" s="223">
        <v>0.0</v>
      </c>
      <c r="K3685" s="317"/>
    </row>
    <row r="3686">
      <c r="B3686" s="223" t="s">
        <v>200</v>
      </c>
      <c r="C3686" s="223"/>
      <c r="D3686" s="316"/>
      <c r="H3686" s="223">
        <v>0.0</v>
      </c>
      <c r="K3686" s="317"/>
    </row>
    <row r="3687">
      <c r="B3687" s="223" t="s">
        <v>200</v>
      </c>
      <c r="C3687" s="223"/>
      <c r="D3687" s="316"/>
      <c r="H3687" s="223">
        <v>0.0</v>
      </c>
      <c r="K3687" s="317"/>
    </row>
    <row r="3688">
      <c r="B3688" s="223" t="s">
        <v>200</v>
      </c>
      <c r="C3688" s="223"/>
      <c r="D3688" s="316"/>
      <c r="H3688" s="223">
        <v>0.0</v>
      </c>
      <c r="K3688" s="317"/>
    </row>
    <row r="3689">
      <c r="B3689" s="223" t="s">
        <v>200</v>
      </c>
      <c r="C3689" s="223"/>
      <c r="D3689" s="316"/>
      <c r="H3689" s="223">
        <v>0.0</v>
      </c>
      <c r="K3689" s="317"/>
    </row>
    <row r="3690">
      <c r="B3690" s="223" t="s">
        <v>200</v>
      </c>
      <c r="C3690" s="223"/>
      <c r="D3690" s="316"/>
      <c r="H3690" s="223">
        <v>0.0</v>
      </c>
      <c r="K3690" s="317"/>
    </row>
    <row r="3691">
      <c r="B3691" s="223" t="s">
        <v>200</v>
      </c>
      <c r="C3691" s="223"/>
      <c r="D3691" s="316"/>
      <c r="H3691" s="223">
        <v>0.0</v>
      </c>
      <c r="K3691" s="317"/>
    </row>
    <row r="3692">
      <c r="B3692" s="223" t="s">
        <v>200</v>
      </c>
      <c r="C3692" s="223"/>
      <c r="D3692" s="316"/>
      <c r="H3692" s="223">
        <v>0.0</v>
      </c>
      <c r="K3692" s="317"/>
    </row>
    <row r="3693">
      <c r="B3693" s="223" t="s">
        <v>200</v>
      </c>
      <c r="C3693" s="223"/>
      <c r="D3693" s="316"/>
      <c r="H3693" s="223">
        <v>0.0</v>
      </c>
      <c r="K3693" s="317"/>
    </row>
    <row r="3694">
      <c r="B3694" s="223" t="s">
        <v>200</v>
      </c>
      <c r="C3694" s="223"/>
      <c r="D3694" s="316"/>
      <c r="H3694" s="223">
        <v>0.0</v>
      </c>
      <c r="K3694" s="317"/>
    </row>
    <row r="3695">
      <c r="B3695" s="223" t="s">
        <v>200</v>
      </c>
      <c r="C3695" s="223"/>
      <c r="D3695" s="316"/>
      <c r="H3695" s="223">
        <v>0.0</v>
      </c>
      <c r="K3695" s="317"/>
    </row>
    <row r="3696">
      <c r="B3696" s="223" t="s">
        <v>200</v>
      </c>
      <c r="C3696" s="223"/>
      <c r="D3696" s="316"/>
      <c r="H3696" s="223">
        <v>0.0</v>
      </c>
      <c r="K3696" s="317"/>
    </row>
    <row r="3697">
      <c r="B3697" s="223" t="s">
        <v>200</v>
      </c>
      <c r="C3697" s="223"/>
      <c r="D3697" s="316"/>
      <c r="H3697" s="223">
        <v>0.0</v>
      </c>
      <c r="K3697" s="317"/>
    </row>
    <row r="3698">
      <c r="B3698" s="223" t="s">
        <v>200</v>
      </c>
      <c r="C3698" s="223"/>
      <c r="D3698" s="316"/>
      <c r="H3698" s="223">
        <v>0.0</v>
      </c>
      <c r="K3698" s="317"/>
    </row>
    <row r="3699">
      <c r="B3699" s="223" t="s">
        <v>200</v>
      </c>
      <c r="C3699" s="223"/>
      <c r="D3699" s="316"/>
      <c r="H3699" s="223">
        <v>0.0</v>
      </c>
      <c r="K3699" s="317"/>
    </row>
    <row r="3700">
      <c r="B3700" s="223" t="s">
        <v>200</v>
      </c>
      <c r="C3700" s="223"/>
      <c r="D3700" s="316"/>
      <c r="H3700" s="223">
        <v>0.0</v>
      </c>
      <c r="K3700" s="317"/>
    </row>
    <row r="3701">
      <c r="B3701" s="223" t="s">
        <v>200</v>
      </c>
      <c r="C3701" s="223"/>
      <c r="D3701" s="316"/>
      <c r="H3701" s="223">
        <v>0.0</v>
      </c>
      <c r="K3701" s="317"/>
    </row>
    <row r="3702">
      <c r="B3702" s="223" t="s">
        <v>200</v>
      </c>
      <c r="C3702" s="223"/>
      <c r="D3702" s="316"/>
      <c r="H3702" s="223">
        <v>0.0</v>
      </c>
      <c r="K3702" s="317"/>
    </row>
    <row r="3703">
      <c r="B3703" s="223" t="s">
        <v>200</v>
      </c>
      <c r="C3703" s="223"/>
      <c r="D3703" s="316"/>
      <c r="H3703" s="223">
        <v>0.0</v>
      </c>
      <c r="K3703" s="317"/>
    </row>
    <row r="3704">
      <c r="B3704" s="223" t="s">
        <v>200</v>
      </c>
      <c r="C3704" s="223"/>
      <c r="D3704" s="316"/>
      <c r="H3704" s="223">
        <v>0.0</v>
      </c>
      <c r="K3704" s="317"/>
    </row>
    <row r="3705">
      <c r="B3705" s="223" t="s">
        <v>200</v>
      </c>
      <c r="C3705" s="223"/>
      <c r="D3705" s="316"/>
      <c r="H3705" s="223">
        <v>0.0</v>
      </c>
      <c r="K3705" s="317"/>
    </row>
    <row r="3706">
      <c r="B3706" s="223" t="s">
        <v>200</v>
      </c>
      <c r="C3706" s="223"/>
      <c r="D3706" s="316"/>
      <c r="H3706" s="223">
        <v>0.0</v>
      </c>
      <c r="K3706" s="317"/>
    </row>
    <row r="3707">
      <c r="B3707" s="223" t="s">
        <v>200</v>
      </c>
      <c r="C3707" s="223"/>
      <c r="D3707" s="316"/>
      <c r="H3707" s="223">
        <v>0.0</v>
      </c>
      <c r="K3707" s="317"/>
    </row>
    <row r="3708">
      <c r="B3708" s="223" t="s">
        <v>200</v>
      </c>
      <c r="C3708" s="223"/>
      <c r="D3708" s="316"/>
      <c r="H3708" s="223">
        <v>0.0</v>
      </c>
      <c r="K3708" s="317"/>
    </row>
    <row r="3709">
      <c r="B3709" s="223" t="s">
        <v>200</v>
      </c>
      <c r="C3709" s="223"/>
      <c r="D3709" s="316"/>
      <c r="H3709" s="223">
        <v>0.0</v>
      </c>
      <c r="K3709" s="317"/>
    </row>
    <row r="3710">
      <c r="B3710" s="223" t="s">
        <v>200</v>
      </c>
      <c r="C3710" s="223"/>
      <c r="D3710" s="316"/>
      <c r="H3710" s="223">
        <v>0.0</v>
      </c>
      <c r="K3710" s="317"/>
    </row>
    <row r="3711">
      <c r="B3711" s="223" t="s">
        <v>200</v>
      </c>
      <c r="C3711" s="223"/>
      <c r="D3711" s="316"/>
      <c r="H3711" s="223">
        <v>0.0</v>
      </c>
      <c r="K3711" s="317"/>
    </row>
    <row r="3712">
      <c r="B3712" s="223" t="s">
        <v>200</v>
      </c>
      <c r="C3712" s="223"/>
      <c r="D3712" s="316"/>
      <c r="H3712" s="223">
        <v>0.0</v>
      </c>
      <c r="K3712" s="317"/>
    </row>
    <row r="3713">
      <c r="B3713" s="223" t="s">
        <v>200</v>
      </c>
      <c r="C3713" s="223"/>
      <c r="D3713" s="316"/>
      <c r="H3713" s="223">
        <v>0.0</v>
      </c>
      <c r="K3713" s="317"/>
    </row>
    <row r="3714">
      <c r="B3714" s="223" t="s">
        <v>200</v>
      </c>
      <c r="C3714" s="223"/>
      <c r="D3714" s="316"/>
      <c r="H3714" s="223">
        <v>0.0</v>
      </c>
      <c r="K3714" s="317"/>
    </row>
    <row r="3715">
      <c r="B3715" s="223" t="s">
        <v>200</v>
      </c>
      <c r="C3715" s="223"/>
      <c r="D3715" s="316"/>
      <c r="H3715" s="223">
        <v>0.0</v>
      </c>
      <c r="K3715" s="317"/>
    </row>
    <row r="3716">
      <c r="B3716" s="223" t="s">
        <v>200</v>
      </c>
      <c r="C3716" s="223"/>
      <c r="D3716" s="316"/>
      <c r="H3716" s="223">
        <v>0.0</v>
      </c>
      <c r="K3716" s="317"/>
    </row>
    <row r="3717">
      <c r="B3717" s="223" t="s">
        <v>200</v>
      </c>
      <c r="C3717" s="223"/>
      <c r="D3717" s="316"/>
      <c r="H3717" s="223">
        <v>0.0</v>
      </c>
      <c r="K3717" s="317"/>
    </row>
    <row r="3718">
      <c r="B3718" s="223" t="s">
        <v>200</v>
      </c>
      <c r="C3718" s="223"/>
      <c r="D3718" s="316"/>
      <c r="H3718" s="223">
        <v>0.0</v>
      </c>
      <c r="K3718" s="317"/>
    </row>
    <row r="3719">
      <c r="B3719" s="223" t="s">
        <v>200</v>
      </c>
      <c r="C3719" s="223"/>
      <c r="D3719" s="316"/>
      <c r="H3719" s="223">
        <v>0.0</v>
      </c>
      <c r="K3719" s="317"/>
    </row>
    <row r="3720">
      <c r="B3720" s="223" t="s">
        <v>200</v>
      </c>
      <c r="C3720" s="223"/>
      <c r="D3720" s="316"/>
      <c r="H3720" s="223">
        <v>0.0</v>
      </c>
      <c r="K3720" s="317"/>
    </row>
    <row r="3721">
      <c r="B3721" s="223" t="s">
        <v>200</v>
      </c>
      <c r="C3721" s="223"/>
      <c r="D3721" s="316"/>
      <c r="H3721" s="223">
        <v>0.0</v>
      </c>
      <c r="K3721" s="317"/>
    </row>
    <row r="3722">
      <c r="B3722" s="223" t="s">
        <v>200</v>
      </c>
      <c r="C3722" s="223"/>
      <c r="D3722" s="316"/>
      <c r="H3722" s="223">
        <v>0.0</v>
      </c>
      <c r="K3722" s="317"/>
    </row>
    <row r="3723">
      <c r="B3723" s="223" t="s">
        <v>200</v>
      </c>
      <c r="C3723" s="223"/>
      <c r="D3723" s="316"/>
      <c r="H3723" s="223">
        <v>0.0</v>
      </c>
      <c r="K3723" s="317"/>
    </row>
    <row r="3724">
      <c r="B3724" s="223" t="s">
        <v>200</v>
      </c>
      <c r="C3724" s="223"/>
      <c r="D3724" s="316"/>
      <c r="H3724" s="223">
        <v>0.0</v>
      </c>
      <c r="K3724" s="317"/>
    </row>
    <row r="3725">
      <c r="B3725" s="223" t="s">
        <v>200</v>
      </c>
      <c r="C3725" s="223"/>
      <c r="D3725" s="316"/>
      <c r="H3725" s="223">
        <v>0.0</v>
      </c>
      <c r="K3725" s="317"/>
    </row>
    <row r="3726">
      <c r="B3726" s="223" t="s">
        <v>200</v>
      </c>
      <c r="C3726" s="223"/>
      <c r="D3726" s="316"/>
      <c r="H3726" s="223">
        <v>0.0</v>
      </c>
      <c r="K3726" s="317"/>
    </row>
    <row r="3727">
      <c r="B3727" s="223" t="s">
        <v>200</v>
      </c>
      <c r="C3727" s="223"/>
      <c r="D3727" s="316"/>
      <c r="H3727" s="223">
        <v>0.0</v>
      </c>
      <c r="K3727" s="317"/>
    </row>
    <row r="3728">
      <c r="B3728" s="223" t="s">
        <v>200</v>
      </c>
      <c r="C3728" s="223"/>
      <c r="D3728" s="316"/>
      <c r="H3728" s="223">
        <v>0.0</v>
      </c>
      <c r="K3728" s="317"/>
    </row>
    <row r="3729">
      <c r="B3729" s="223" t="s">
        <v>200</v>
      </c>
      <c r="C3729" s="223"/>
      <c r="D3729" s="316"/>
      <c r="H3729" s="223">
        <v>0.0</v>
      </c>
      <c r="K3729" s="317"/>
    </row>
    <row r="3730">
      <c r="B3730" s="223" t="s">
        <v>200</v>
      </c>
      <c r="C3730" s="223"/>
      <c r="D3730" s="316"/>
      <c r="H3730" s="223">
        <v>0.0</v>
      </c>
      <c r="K3730" s="317"/>
    </row>
    <row r="3731">
      <c r="B3731" s="223" t="s">
        <v>200</v>
      </c>
      <c r="C3731" s="223"/>
      <c r="D3731" s="316"/>
      <c r="H3731" s="223">
        <v>0.0</v>
      </c>
      <c r="K3731" s="317"/>
    </row>
    <row r="3732">
      <c r="B3732" s="223" t="s">
        <v>200</v>
      </c>
      <c r="C3732" s="223"/>
      <c r="D3732" s="316"/>
      <c r="H3732" s="223">
        <v>0.0</v>
      </c>
      <c r="K3732" s="317"/>
    </row>
    <row r="3733">
      <c r="B3733" s="223" t="s">
        <v>200</v>
      </c>
      <c r="C3733" s="223"/>
      <c r="D3733" s="316"/>
      <c r="H3733" s="223">
        <v>0.0</v>
      </c>
      <c r="K3733" s="317"/>
    </row>
    <row r="3734">
      <c r="B3734" s="223" t="s">
        <v>200</v>
      </c>
      <c r="C3734" s="223"/>
      <c r="D3734" s="316"/>
      <c r="H3734" s="223">
        <v>0.0</v>
      </c>
      <c r="K3734" s="317"/>
    </row>
    <row r="3735">
      <c r="B3735" s="223" t="s">
        <v>200</v>
      </c>
      <c r="C3735" s="223"/>
      <c r="D3735" s="316"/>
      <c r="H3735" s="223">
        <v>0.0</v>
      </c>
      <c r="K3735" s="317"/>
    </row>
    <row r="3736">
      <c r="B3736" s="223" t="s">
        <v>200</v>
      </c>
      <c r="C3736" s="223"/>
      <c r="D3736" s="316"/>
      <c r="H3736" s="223">
        <v>0.0</v>
      </c>
      <c r="K3736" s="317"/>
    </row>
    <row r="3737">
      <c r="B3737" s="223" t="s">
        <v>200</v>
      </c>
      <c r="C3737" s="223"/>
      <c r="D3737" s="316"/>
      <c r="H3737" s="223">
        <v>0.0</v>
      </c>
      <c r="K3737" s="317"/>
    </row>
    <row r="3738">
      <c r="B3738" s="223" t="s">
        <v>200</v>
      </c>
      <c r="C3738" s="223"/>
      <c r="D3738" s="316"/>
      <c r="H3738" s="223">
        <v>0.0</v>
      </c>
      <c r="K3738" s="317"/>
    </row>
    <row r="3739">
      <c r="B3739" s="223" t="s">
        <v>200</v>
      </c>
      <c r="C3739" s="223"/>
      <c r="D3739" s="316"/>
      <c r="H3739" s="223">
        <v>0.0</v>
      </c>
      <c r="K3739" s="317"/>
    </row>
    <row r="3740">
      <c r="B3740" s="223" t="s">
        <v>200</v>
      </c>
      <c r="C3740" s="223"/>
      <c r="D3740" s="316"/>
      <c r="H3740" s="223">
        <v>0.0</v>
      </c>
      <c r="K3740" s="317"/>
    </row>
    <row r="3741">
      <c r="B3741" s="223" t="s">
        <v>200</v>
      </c>
      <c r="C3741" s="223"/>
      <c r="D3741" s="316"/>
      <c r="H3741" s="223">
        <v>0.0</v>
      </c>
      <c r="K3741" s="317"/>
    </row>
    <row r="3742">
      <c r="B3742" s="223" t="s">
        <v>200</v>
      </c>
      <c r="C3742" s="223"/>
      <c r="D3742" s="316"/>
      <c r="H3742" s="223">
        <v>0.0</v>
      </c>
      <c r="K3742" s="317"/>
    </row>
    <row r="3743">
      <c r="B3743" s="223" t="s">
        <v>200</v>
      </c>
      <c r="C3743" s="223"/>
      <c r="D3743" s="316"/>
      <c r="H3743" s="223">
        <v>0.0</v>
      </c>
      <c r="K3743" s="317"/>
    </row>
    <row r="3744">
      <c r="B3744" s="223" t="s">
        <v>200</v>
      </c>
      <c r="C3744" s="223"/>
      <c r="D3744" s="316"/>
      <c r="H3744" s="223">
        <v>0.0</v>
      </c>
      <c r="K3744" s="317"/>
    </row>
    <row r="3745">
      <c r="B3745" s="223" t="s">
        <v>200</v>
      </c>
      <c r="C3745" s="223"/>
      <c r="D3745" s="316"/>
      <c r="H3745" s="223">
        <v>0.0</v>
      </c>
      <c r="K3745" s="317"/>
    </row>
    <row r="3746">
      <c r="B3746" s="223" t="s">
        <v>200</v>
      </c>
      <c r="C3746" s="223"/>
      <c r="D3746" s="316"/>
      <c r="H3746" s="223">
        <v>0.0</v>
      </c>
      <c r="K3746" s="317"/>
    </row>
    <row r="3747">
      <c r="B3747" s="223" t="s">
        <v>200</v>
      </c>
      <c r="C3747" s="223"/>
      <c r="D3747" s="316"/>
      <c r="H3747" s="223">
        <v>0.0</v>
      </c>
      <c r="K3747" s="317"/>
    </row>
    <row r="3748">
      <c r="B3748" s="223" t="s">
        <v>200</v>
      </c>
      <c r="C3748" s="223"/>
      <c r="D3748" s="316"/>
      <c r="H3748" s="223">
        <v>0.0</v>
      </c>
      <c r="K3748" s="317"/>
    </row>
    <row r="3749">
      <c r="B3749" s="223" t="s">
        <v>200</v>
      </c>
      <c r="C3749" s="223"/>
      <c r="D3749" s="316"/>
      <c r="H3749" s="223">
        <v>0.0</v>
      </c>
      <c r="K3749" s="317"/>
    </row>
    <row r="3750">
      <c r="B3750" s="223" t="s">
        <v>200</v>
      </c>
      <c r="C3750" s="223"/>
      <c r="D3750" s="316"/>
      <c r="H3750" s="223">
        <v>0.0</v>
      </c>
      <c r="K3750" s="317"/>
    </row>
    <row r="3751">
      <c r="B3751" s="223" t="s">
        <v>200</v>
      </c>
      <c r="C3751" s="223"/>
      <c r="D3751" s="316"/>
      <c r="H3751" s="223">
        <v>0.0</v>
      </c>
      <c r="K3751" s="317"/>
    </row>
    <row r="3752">
      <c r="B3752" s="223" t="s">
        <v>200</v>
      </c>
      <c r="C3752" s="223"/>
      <c r="D3752" s="316"/>
      <c r="H3752" s="223">
        <v>0.0</v>
      </c>
      <c r="K3752" s="317"/>
    </row>
    <row r="3753">
      <c r="B3753" s="223" t="s">
        <v>200</v>
      </c>
      <c r="C3753" s="223"/>
      <c r="D3753" s="316"/>
      <c r="H3753" s="223">
        <v>0.0</v>
      </c>
      <c r="K3753" s="317"/>
    </row>
    <row r="3754">
      <c r="B3754" s="223" t="s">
        <v>200</v>
      </c>
      <c r="C3754" s="223"/>
      <c r="D3754" s="316"/>
      <c r="H3754" s="223">
        <v>0.0</v>
      </c>
      <c r="K3754" s="317"/>
    </row>
    <row r="3755">
      <c r="B3755" s="223" t="s">
        <v>200</v>
      </c>
      <c r="C3755" s="223"/>
      <c r="D3755" s="316"/>
      <c r="H3755" s="223">
        <v>0.0</v>
      </c>
      <c r="K3755" s="317"/>
    </row>
    <row r="3756">
      <c r="B3756" s="223" t="s">
        <v>200</v>
      </c>
      <c r="C3756" s="223"/>
      <c r="D3756" s="316"/>
      <c r="H3756" s="223">
        <v>0.0</v>
      </c>
      <c r="K3756" s="317"/>
    </row>
    <row r="3757">
      <c r="B3757" s="223" t="s">
        <v>200</v>
      </c>
      <c r="C3757" s="223"/>
      <c r="D3757" s="316"/>
      <c r="H3757" s="223">
        <v>0.0</v>
      </c>
      <c r="K3757" s="317"/>
    </row>
    <row r="3758">
      <c r="B3758" s="223" t="s">
        <v>200</v>
      </c>
      <c r="C3758" s="223"/>
      <c r="D3758" s="316"/>
      <c r="H3758" s="223">
        <v>0.0</v>
      </c>
      <c r="K3758" s="317"/>
    </row>
    <row r="3759">
      <c r="B3759" s="223" t="s">
        <v>200</v>
      </c>
      <c r="C3759" s="223"/>
      <c r="D3759" s="316"/>
      <c r="H3759" s="223">
        <v>0.0</v>
      </c>
      <c r="K3759" s="317"/>
    </row>
    <row r="3760">
      <c r="B3760" s="223" t="s">
        <v>200</v>
      </c>
      <c r="C3760" s="223"/>
      <c r="D3760" s="316"/>
      <c r="H3760" s="223">
        <v>0.0</v>
      </c>
      <c r="K3760" s="317"/>
    </row>
    <row r="3761">
      <c r="B3761" s="223" t="s">
        <v>200</v>
      </c>
      <c r="C3761" s="223"/>
      <c r="D3761" s="316"/>
      <c r="H3761" s="223">
        <v>0.0</v>
      </c>
      <c r="K3761" s="317"/>
    </row>
    <row r="3762">
      <c r="B3762" s="223" t="s">
        <v>200</v>
      </c>
      <c r="C3762" s="223"/>
      <c r="D3762" s="316"/>
      <c r="H3762" s="223">
        <v>0.0</v>
      </c>
      <c r="K3762" s="317"/>
    </row>
    <row r="3763">
      <c r="B3763" s="223" t="s">
        <v>200</v>
      </c>
      <c r="C3763" s="223"/>
      <c r="D3763" s="316"/>
      <c r="H3763" s="223">
        <v>0.0</v>
      </c>
      <c r="K3763" s="317"/>
    </row>
    <row r="3764">
      <c r="B3764" s="223" t="s">
        <v>200</v>
      </c>
      <c r="C3764" s="223"/>
      <c r="D3764" s="316"/>
      <c r="H3764" s="223">
        <v>0.0</v>
      </c>
      <c r="K3764" s="317"/>
    </row>
    <row r="3765">
      <c r="B3765" s="223" t="s">
        <v>200</v>
      </c>
      <c r="C3765" s="223"/>
      <c r="D3765" s="316"/>
      <c r="H3765" s="223">
        <v>0.0</v>
      </c>
      <c r="K3765" s="317"/>
    </row>
    <row r="3766">
      <c r="B3766" s="223" t="s">
        <v>200</v>
      </c>
      <c r="C3766" s="223"/>
      <c r="D3766" s="316"/>
      <c r="H3766" s="223">
        <v>0.0</v>
      </c>
      <c r="K3766" s="317"/>
    </row>
    <row r="3767">
      <c r="B3767" s="223" t="s">
        <v>200</v>
      </c>
      <c r="C3767" s="223"/>
      <c r="D3767" s="316"/>
      <c r="H3767" s="223">
        <v>0.0</v>
      </c>
      <c r="K3767" s="317"/>
    </row>
    <row r="3768">
      <c r="B3768" s="223" t="s">
        <v>200</v>
      </c>
      <c r="C3768" s="223"/>
      <c r="D3768" s="316"/>
      <c r="H3768" s="223">
        <v>0.0</v>
      </c>
      <c r="K3768" s="317"/>
    </row>
    <row r="3769">
      <c r="B3769" s="223" t="s">
        <v>200</v>
      </c>
      <c r="C3769" s="223"/>
      <c r="D3769" s="316"/>
      <c r="H3769" s="223">
        <v>0.0</v>
      </c>
      <c r="K3769" s="317"/>
    </row>
    <row r="3770">
      <c r="B3770" s="223" t="s">
        <v>200</v>
      </c>
      <c r="C3770" s="223"/>
      <c r="D3770" s="316"/>
      <c r="H3770" s="223">
        <v>0.0</v>
      </c>
      <c r="K3770" s="317"/>
    </row>
    <row r="3771">
      <c r="B3771" s="223" t="s">
        <v>200</v>
      </c>
      <c r="C3771" s="223"/>
      <c r="D3771" s="316"/>
      <c r="H3771" s="223">
        <v>0.0</v>
      </c>
      <c r="K3771" s="317"/>
    </row>
    <row r="3772">
      <c r="B3772" s="223" t="s">
        <v>200</v>
      </c>
      <c r="C3772" s="223"/>
      <c r="D3772" s="316"/>
      <c r="H3772" s="223">
        <v>0.0</v>
      </c>
      <c r="K3772" s="317"/>
    </row>
    <row r="3773">
      <c r="B3773" s="223" t="s">
        <v>200</v>
      </c>
      <c r="C3773" s="223"/>
      <c r="D3773" s="316"/>
      <c r="H3773" s="223">
        <v>0.0</v>
      </c>
      <c r="K3773" s="317"/>
    </row>
    <row r="3774">
      <c r="B3774" s="223" t="s">
        <v>200</v>
      </c>
      <c r="C3774" s="223"/>
      <c r="D3774" s="316"/>
      <c r="H3774" s="223">
        <v>0.0</v>
      </c>
      <c r="K3774" s="317"/>
    </row>
    <row r="3775">
      <c r="B3775" s="223" t="s">
        <v>200</v>
      </c>
      <c r="C3775" s="223"/>
      <c r="D3775" s="316"/>
      <c r="H3775" s="223">
        <v>0.0</v>
      </c>
      <c r="K3775" s="317"/>
    </row>
    <row r="3776">
      <c r="B3776" s="223" t="s">
        <v>200</v>
      </c>
      <c r="C3776" s="223"/>
      <c r="D3776" s="316"/>
      <c r="H3776" s="223">
        <v>0.0</v>
      </c>
      <c r="K3776" s="317"/>
    </row>
    <row r="3777">
      <c r="B3777" s="223" t="s">
        <v>200</v>
      </c>
      <c r="C3777" s="223"/>
      <c r="D3777" s="316"/>
      <c r="H3777" s="223">
        <v>0.0</v>
      </c>
      <c r="K3777" s="317"/>
    </row>
    <row r="3778">
      <c r="B3778" s="223" t="s">
        <v>200</v>
      </c>
      <c r="C3778" s="223"/>
      <c r="D3778" s="316"/>
      <c r="H3778" s="223">
        <v>0.0</v>
      </c>
      <c r="K3778" s="317"/>
    </row>
    <row r="3779">
      <c r="B3779" s="223" t="s">
        <v>200</v>
      </c>
      <c r="C3779" s="223"/>
      <c r="D3779" s="316"/>
      <c r="H3779" s="223">
        <v>0.0</v>
      </c>
      <c r="K3779" s="317"/>
    </row>
    <row r="3780">
      <c r="B3780" s="223" t="s">
        <v>200</v>
      </c>
      <c r="C3780" s="223"/>
      <c r="D3780" s="316"/>
      <c r="H3780" s="223">
        <v>0.0</v>
      </c>
      <c r="K3780" s="317"/>
    </row>
    <row r="3781">
      <c r="B3781" s="223" t="s">
        <v>200</v>
      </c>
      <c r="C3781" s="223"/>
      <c r="D3781" s="316"/>
      <c r="H3781" s="223">
        <v>0.0</v>
      </c>
      <c r="K3781" s="317"/>
    </row>
    <row r="3782">
      <c r="B3782" s="223" t="s">
        <v>200</v>
      </c>
      <c r="C3782" s="223"/>
      <c r="D3782" s="316"/>
      <c r="H3782" s="223">
        <v>0.0</v>
      </c>
      <c r="K3782" s="317"/>
    </row>
    <row r="3783">
      <c r="B3783" s="223" t="s">
        <v>200</v>
      </c>
      <c r="C3783" s="223"/>
      <c r="D3783" s="316"/>
      <c r="H3783" s="223">
        <v>0.0</v>
      </c>
      <c r="K3783" s="317"/>
    </row>
    <row r="3784">
      <c r="B3784" s="223" t="s">
        <v>200</v>
      </c>
      <c r="C3784" s="223"/>
      <c r="D3784" s="316"/>
      <c r="H3784" s="223">
        <v>0.0</v>
      </c>
      <c r="K3784" s="317"/>
    </row>
    <row r="3785">
      <c r="B3785" s="223" t="s">
        <v>200</v>
      </c>
      <c r="C3785" s="223"/>
      <c r="D3785" s="316"/>
      <c r="H3785" s="223">
        <v>0.0</v>
      </c>
      <c r="K3785" s="317"/>
    </row>
    <row r="3786">
      <c r="B3786" s="223" t="s">
        <v>200</v>
      </c>
      <c r="C3786" s="223"/>
      <c r="D3786" s="316"/>
      <c r="H3786" s="223">
        <v>0.0</v>
      </c>
      <c r="K3786" s="317"/>
    </row>
    <row r="3787">
      <c r="B3787" s="223" t="s">
        <v>200</v>
      </c>
      <c r="C3787" s="223"/>
      <c r="D3787" s="316"/>
      <c r="H3787" s="223">
        <v>0.0</v>
      </c>
      <c r="K3787" s="317"/>
    </row>
    <row r="3788">
      <c r="B3788" s="223" t="s">
        <v>200</v>
      </c>
      <c r="C3788" s="223"/>
      <c r="D3788" s="316"/>
      <c r="H3788" s="223">
        <v>0.0</v>
      </c>
      <c r="K3788" s="317"/>
    </row>
    <row r="3789">
      <c r="B3789" s="223" t="s">
        <v>200</v>
      </c>
      <c r="C3789" s="223"/>
      <c r="D3789" s="316"/>
      <c r="H3789" s="223">
        <v>0.0</v>
      </c>
      <c r="K3789" s="317"/>
    </row>
    <row r="3790">
      <c r="B3790" s="223" t="s">
        <v>200</v>
      </c>
      <c r="C3790" s="223"/>
      <c r="D3790" s="316"/>
      <c r="H3790" s="223">
        <v>0.0</v>
      </c>
      <c r="K3790" s="317"/>
    </row>
    <row r="3791">
      <c r="B3791" s="223" t="s">
        <v>200</v>
      </c>
      <c r="C3791" s="223"/>
      <c r="D3791" s="316"/>
      <c r="H3791" s="223">
        <v>0.0</v>
      </c>
      <c r="K3791" s="317"/>
    </row>
    <row r="3792">
      <c r="B3792" s="223" t="s">
        <v>200</v>
      </c>
      <c r="C3792" s="223"/>
      <c r="D3792" s="316"/>
      <c r="H3792" s="223">
        <v>0.0</v>
      </c>
      <c r="K3792" s="317"/>
    </row>
    <row r="3793">
      <c r="B3793" s="223" t="s">
        <v>200</v>
      </c>
      <c r="C3793" s="223"/>
      <c r="D3793" s="316"/>
      <c r="H3793" s="223">
        <v>0.0</v>
      </c>
      <c r="K3793" s="317"/>
    </row>
    <row r="3794">
      <c r="B3794" s="223" t="s">
        <v>200</v>
      </c>
      <c r="C3794" s="223"/>
      <c r="D3794" s="316"/>
      <c r="H3794" s="223">
        <v>0.0</v>
      </c>
      <c r="K3794" s="317"/>
    </row>
    <row r="3795">
      <c r="B3795" s="223" t="s">
        <v>200</v>
      </c>
      <c r="C3795" s="223"/>
      <c r="D3795" s="316"/>
      <c r="H3795" s="223">
        <v>0.0</v>
      </c>
      <c r="K3795" s="317"/>
    </row>
    <row r="3796">
      <c r="B3796" s="223" t="s">
        <v>200</v>
      </c>
      <c r="C3796" s="223"/>
      <c r="D3796" s="316"/>
      <c r="H3796" s="223">
        <v>0.0</v>
      </c>
      <c r="K3796" s="317"/>
    </row>
    <row r="3797">
      <c r="B3797" s="223" t="s">
        <v>200</v>
      </c>
      <c r="C3797" s="223"/>
      <c r="D3797" s="316"/>
      <c r="H3797" s="223">
        <v>0.0</v>
      </c>
      <c r="K3797" s="317"/>
    </row>
    <row r="3798">
      <c r="B3798" s="223" t="s">
        <v>200</v>
      </c>
      <c r="C3798" s="223"/>
      <c r="D3798" s="316"/>
      <c r="H3798" s="223">
        <v>0.0</v>
      </c>
      <c r="K3798" s="317"/>
    </row>
    <row r="3799">
      <c r="B3799" s="223" t="s">
        <v>200</v>
      </c>
      <c r="C3799" s="223"/>
      <c r="D3799" s="316"/>
      <c r="H3799" s="223">
        <v>0.0</v>
      </c>
      <c r="K3799" s="317"/>
    </row>
    <row r="3800">
      <c r="B3800" s="223" t="s">
        <v>200</v>
      </c>
      <c r="C3800" s="223"/>
      <c r="D3800" s="316"/>
      <c r="H3800" s="223">
        <v>0.0</v>
      </c>
      <c r="K3800" s="317"/>
    </row>
    <row r="3801">
      <c r="B3801" s="223" t="s">
        <v>200</v>
      </c>
      <c r="C3801" s="223"/>
      <c r="D3801" s="316"/>
      <c r="H3801" s="223">
        <v>0.0</v>
      </c>
      <c r="K3801" s="317"/>
    </row>
    <row r="3802">
      <c r="B3802" s="223" t="s">
        <v>200</v>
      </c>
      <c r="C3802" s="223"/>
      <c r="D3802" s="316"/>
      <c r="H3802" s="223">
        <v>0.0</v>
      </c>
      <c r="K3802" s="317"/>
    </row>
    <row r="3803">
      <c r="B3803" s="223" t="s">
        <v>200</v>
      </c>
      <c r="C3803" s="223"/>
      <c r="D3803" s="316"/>
      <c r="H3803" s="223">
        <v>0.0</v>
      </c>
      <c r="K3803" s="317"/>
    </row>
    <row r="3804">
      <c r="B3804" s="223" t="s">
        <v>200</v>
      </c>
      <c r="C3804" s="223"/>
      <c r="D3804" s="316"/>
      <c r="H3804" s="223">
        <v>0.0</v>
      </c>
      <c r="K3804" s="317"/>
    </row>
    <row r="3805">
      <c r="B3805" s="223" t="s">
        <v>200</v>
      </c>
      <c r="C3805" s="223"/>
      <c r="D3805" s="316"/>
      <c r="H3805" s="223">
        <v>0.0</v>
      </c>
      <c r="K3805" s="317"/>
    </row>
    <row r="3806">
      <c r="B3806" s="223" t="s">
        <v>200</v>
      </c>
      <c r="C3806" s="223"/>
      <c r="D3806" s="316"/>
      <c r="H3806" s="223">
        <v>0.0</v>
      </c>
      <c r="K3806" s="317"/>
    </row>
    <row r="3807">
      <c r="B3807" s="223" t="s">
        <v>200</v>
      </c>
      <c r="C3807" s="223"/>
      <c r="D3807" s="316"/>
      <c r="H3807" s="223">
        <v>0.0</v>
      </c>
      <c r="K3807" s="317"/>
    </row>
    <row r="3808">
      <c r="B3808" s="223" t="s">
        <v>200</v>
      </c>
      <c r="C3808" s="223"/>
      <c r="D3808" s="316"/>
      <c r="H3808" s="223">
        <v>0.0</v>
      </c>
      <c r="K3808" s="317"/>
    </row>
    <row r="3809">
      <c r="B3809" s="223" t="s">
        <v>200</v>
      </c>
      <c r="C3809" s="223"/>
      <c r="D3809" s="316"/>
      <c r="H3809" s="223">
        <v>0.0</v>
      </c>
      <c r="K3809" s="317"/>
    </row>
    <row r="3810">
      <c r="B3810" s="223" t="s">
        <v>200</v>
      </c>
      <c r="C3810" s="223"/>
      <c r="D3810" s="316"/>
      <c r="H3810" s="223">
        <v>0.0</v>
      </c>
      <c r="K3810" s="317"/>
    </row>
    <row r="3811">
      <c r="B3811" s="223" t="s">
        <v>200</v>
      </c>
      <c r="C3811" s="223"/>
      <c r="D3811" s="316"/>
      <c r="H3811" s="223">
        <v>0.0</v>
      </c>
      <c r="K3811" s="317"/>
    </row>
    <row r="3812">
      <c r="B3812" s="223" t="s">
        <v>200</v>
      </c>
      <c r="C3812" s="223"/>
      <c r="D3812" s="316"/>
      <c r="H3812" s="223">
        <v>0.0</v>
      </c>
      <c r="K3812" s="317"/>
    </row>
    <row r="3813">
      <c r="B3813" s="223" t="s">
        <v>200</v>
      </c>
      <c r="C3813" s="223"/>
      <c r="D3813" s="316"/>
      <c r="H3813" s="223">
        <v>0.0</v>
      </c>
      <c r="K3813" s="317"/>
    </row>
    <row r="3814">
      <c r="B3814" s="223" t="s">
        <v>200</v>
      </c>
      <c r="C3814" s="223"/>
      <c r="D3814" s="316"/>
      <c r="H3814" s="223">
        <v>0.0</v>
      </c>
      <c r="K3814" s="317"/>
    </row>
    <row r="3815">
      <c r="B3815" s="223" t="s">
        <v>200</v>
      </c>
      <c r="C3815" s="223"/>
      <c r="D3815" s="316"/>
      <c r="H3815" s="223">
        <v>0.0</v>
      </c>
      <c r="K3815" s="317"/>
    </row>
    <row r="3816">
      <c r="B3816" s="223" t="s">
        <v>200</v>
      </c>
      <c r="C3816" s="223"/>
      <c r="D3816" s="316"/>
      <c r="H3816" s="223">
        <v>0.0</v>
      </c>
      <c r="K3816" s="317"/>
    </row>
    <row r="3817">
      <c r="B3817" s="223" t="s">
        <v>200</v>
      </c>
      <c r="C3817" s="223"/>
      <c r="D3817" s="316"/>
      <c r="H3817" s="223">
        <v>0.0</v>
      </c>
      <c r="K3817" s="317"/>
    </row>
    <row r="3818">
      <c r="B3818" s="223" t="s">
        <v>200</v>
      </c>
      <c r="C3818" s="223"/>
      <c r="D3818" s="316"/>
      <c r="H3818" s="223">
        <v>0.0</v>
      </c>
      <c r="K3818" s="317"/>
    </row>
    <row r="3819">
      <c r="B3819" s="223" t="s">
        <v>200</v>
      </c>
      <c r="C3819" s="223"/>
      <c r="D3819" s="316"/>
      <c r="H3819" s="223">
        <v>0.0</v>
      </c>
      <c r="K3819" s="317"/>
    </row>
    <row r="3820">
      <c r="B3820" s="223" t="s">
        <v>200</v>
      </c>
      <c r="C3820" s="223"/>
      <c r="D3820" s="316"/>
      <c r="H3820" s="223">
        <v>0.0</v>
      </c>
      <c r="K3820" s="317"/>
    </row>
    <row r="3821">
      <c r="B3821" s="223" t="s">
        <v>200</v>
      </c>
      <c r="C3821" s="223"/>
      <c r="D3821" s="316"/>
      <c r="H3821" s="223">
        <v>0.0</v>
      </c>
      <c r="K3821" s="317"/>
    </row>
    <row r="3822">
      <c r="B3822" s="223" t="s">
        <v>200</v>
      </c>
      <c r="C3822" s="223"/>
      <c r="D3822" s="316"/>
      <c r="H3822" s="223">
        <v>0.0</v>
      </c>
      <c r="K3822" s="317"/>
    </row>
    <row r="3823">
      <c r="B3823" s="223" t="s">
        <v>200</v>
      </c>
      <c r="C3823" s="223"/>
      <c r="D3823" s="316"/>
      <c r="H3823" s="223">
        <v>0.0</v>
      </c>
      <c r="K3823" s="317"/>
    </row>
    <row r="3824">
      <c r="B3824" s="223" t="s">
        <v>200</v>
      </c>
      <c r="C3824" s="223"/>
      <c r="D3824" s="316"/>
      <c r="H3824" s="223">
        <v>0.0</v>
      </c>
      <c r="K3824" s="317"/>
    </row>
    <row r="3825">
      <c r="B3825" s="223" t="s">
        <v>200</v>
      </c>
      <c r="C3825" s="223"/>
      <c r="D3825" s="316"/>
      <c r="H3825" s="223">
        <v>0.0</v>
      </c>
      <c r="K3825" s="317"/>
    </row>
    <row r="3826">
      <c r="B3826" s="223" t="s">
        <v>200</v>
      </c>
      <c r="C3826" s="223"/>
      <c r="D3826" s="316"/>
      <c r="H3826" s="223">
        <v>0.0</v>
      </c>
      <c r="K3826" s="317"/>
    </row>
    <row r="3827">
      <c r="B3827" s="223" t="s">
        <v>200</v>
      </c>
      <c r="C3827" s="223"/>
      <c r="D3827" s="316"/>
      <c r="H3827" s="223">
        <v>0.0</v>
      </c>
      <c r="K3827" s="317"/>
    </row>
    <row r="3828">
      <c r="B3828" s="223" t="s">
        <v>200</v>
      </c>
      <c r="C3828" s="223"/>
      <c r="D3828" s="316"/>
      <c r="H3828" s="223">
        <v>0.0</v>
      </c>
      <c r="K3828" s="317"/>
    </row>
    <row r="3829">
      <c r="B3829" s="223" t="s">
        <v>200</v>
      </c>
      <c r="C3829" s="223"/>
      <c r="D3829" s="316"/>
      <c r="H3829" s="223">
        <v>0.0</v>
      </c>
      <c r="K3829" s="317"/>
    </row>
    <row r="3830">
      <c r="B3830" s="223" t="s">
        <v>200</v>
      </c>
      <c r="C3830" s="223"/>
      <c r="D3830" s="316"/>
      <c r="H3830" s="223">
        <v>0.0</v>
      </c>
      <c r="K3830" s="317"/>
    </row>
    <row r="3831">
      <c r="B3831" s="223" t="s">
        <v>200</v>
      </c>
      <c r="C3831" s="223"/>
      <c r="D3831" s="316"/>
      <c r="H3831" s="223">
        <v>0.0</v>
      </c>
      <c r="K3831" s="317"/>
    </row>
    <row r="3832">
      <c r="B3832" s="223" t="s">
        <v>200</v>
      </c>
      <c r="C3832" s="223"/>
      <c r="D3832" s="316"/>
      <c r="H3832" s="223">
        <v>0.0</v>
      </c>
      <c r="K3832" s="317"/>
    </row>
    <row r="3833">
      <c r="B3833" s="223" t="s">
        <v>200</v>
      </c>
      <c r="C3833" s="223"/>
      <c r="D3833" s="316"/>
      <c r="H3833" s="223">
        <v>0.0</v>
      </c>
      <c r="K3833" s="317"/>
    </row>
    <row r="3834">
      <c r="B3834" s="223" t="s">
        <v>200</v>
      </c>
      <c r="C3834" s="223"/>
      <c r="D3834" s="316"/>
      <c r="H3834" s="223">
        <v>0.0</v>
      </c>
      <c r="K3834" s="317"/>
    </row>
    <row r="3835">
      <c r="B3835" s="223" t="s">
        <v>200</v>
      </c>
      <c r="C3835" s="223"/>
      <c r="D3835" s="316"/>
      <c r="H3835" s="223">
        <v>0.0</v>
      </c>
      <c r="K3835" s="317"/>
    </row>
    <row r="3836">
      <c r="B3836" s="223" t="s">
        <v>200</v>
      </c>
      <c r="C3836" s="223"/>
      <c r="D3836" s="316"/>
      <c r="H3836" s="223">
        <v>0.0</v>
      </c>
      <c r="K3836" s="317"/>
    </row>
    <row r="3837">
      <c r="B3837" s="223" t="s">
        <v>200</v>
      </c>
      <c r="C3837" s="223"/>
      <c r="D3837" s="316"/>
      <c r="H3837" s="223">
        <v>0.0</v>
      </c>
      <c r="K3837" s="317"/>
    </row>
    <row r="3838">
      <c r="B3838" s="223" t="s">
        <v>200</v>
      </c>
      <c r="C3838" s="223"/>
      <c r="D3838" s="316"/>
      <c r="H3838" s="223">
        <v>0.0</v>
      </c>
      <c r="K3838" s="317"/>
    </row>
    <row r="3839">
      <c r="B3839" s="223" t="s">
        <v>200</v>
      </c>
      <c r="C3839" s="223"/>
      <c r="D3839" s="316"/>
      <c r="H3839" s="223">
        <v>0.0</v>
      </c>
      <c r="K3839" s="317"/>
    </row>
    <row r="3840">
      <c r="B3840" s="223" t="s">
        <v>200</v>
      </c>
      <c r="C3840" s="223"/>
      <c r="D3840" s="316"/>
      <c r="H3840" s="223">
        <v>0.0</v>
      </c>
      <c r="K3840" s="317"/>
    </row>
    <row r="3841">
      <c r="B3841" s="223" t="s">
        <v>200</v>
      </c>
      <c r="C3841" s="223"/>
      <c r="D3841" s="316"/>
      <c r="H3841" s="223">
        <v>0.0</v>
      </c>
      <c r="K3841" s="317"/>
    </row>
    <row r="3842">
      <c r="B3842" s="223" t="s">
        <v>200</v>
      </c>
      <c r="C3842" s="223"/>
      <c r="D3842" s="316"/>
      <c r="H3842" s="223">
        <v>0.0</v>
      </c>
      <c r="K3842" s="317"/>
    </row>
    <row r="3843">
      <c r="B3843" s="223" t="s">
        <v>200</v>
      </c>
      <c r="C3843" s="223"/>
      <c r="D3843" s="316"/>
      <c r="H3843" s="223">
        <v>0.0</v>
      </c>
      <c r="K3843" s="317"/>
    </row>
    <row r="3844">
      <c r="B3844" s="223" t="s">
        <v>200</v>
      </c>
      <c r="C3844" s="223"/>
      <c r="D3844" s="316"/>
      <c r="H3844" s="223">
        <v>0.0</v>
      </c>
      <c r="K3844" s="317"/>
    </row>
    <row r="3845">
      <c r="B3845" s="223" t="s">
        <v>200</v>
      </c>
      <c r="C3845" s="223"/>
      <c r="D3845" s="316"/>
      <c r="H3845" s="223">
        <v>0.0</v>
      </c>
      <c r="K3845" s="317"/>
    </row>
    <row r="3846">
      <c r="B3846" s="223" t="s">
        <v>200</v>
      </c>
      <c r="C3846" s="223"/>
      <c r="D3846" s="316"/>
      <c r="H3846" s="223">
        <v>0.0</v>
      </c>
      <c r="K3846" s="317"/>
    </row>
    <row r="3847">
      <c r="B3847" s="223" t="s">
        <v>200</v>
      </c>
      <c r="C3847" s="223"/>
      <c r="D3847" s="316"/>
      <c r="H3847" s="223">
        <v>0.0</v>
      </c>
      <c r="K3847" s="317"/>
    </row>
    <row r="3848">
      <c r="B3848" s="223" t="s">
        <v>200</v>
      </c>
      <c r="C3848" s="223"/>
      <c r="D3848" s="316"/>
      <c r="H3848" s="223">
        <v>0.0</v>
      </c>
      <c r="K3848" s="317"/>
    </row>
    <row r="3849">
      <c r="B3849" s="223" t="s">
        <v>200</v>
      </c>
      <c r="C3849" s="223"/>
      <c r="D3849" s="316"/>
      <c r="H3849" s="223">
        <v>0.0</v>
      </c>
      <c r="K3849" s="317"/>
    </row>
    <row r="3850">
      <c r="B3850" s="223" t="s">
        <v>200</v>
      </c>
      <c r="C3850" s="223"/>
      <c r="D3850" s="316"/>
      <c r="H3850" s="223">
        <v>0.0</v>
      </c>
      <c r="K3850" s="317"/>
    </row>
    <row r="3851">
      <c r="B3851" s="223" t="s">
        <v>200</v>
      </c>
      <c r="C3851" s="223"/>
      <c r="D3851" s="316"/>
      <c r="H3851" s="223">
        <v>0.0</v>
      </c>
      <c r="K3851" s="317"/>
    </row>
    <row r="3852">
      <c r="B3852" s="223" t="s">
        <v>200</v>
      </c>
      <c r="C3852" s="223"/>
      <c r="D3852" s="316"/>
      <c r="H3852" s="223">
        <v>0.0</v>
      </c>
      <c r="K3852" s="317"/>
    </row>
    <row r="3853">
      <c r="B3853" s="223" t="s">
        <v>200</v>
      </c>
      <c r="C3853" s="223"/>
      <c r="D3853" s="316"/>
      <c r="H3853" s="223">
        <v>0.0</v>
      </c>
      <c r="K3853" s="317"/>
    </row>
    <row r="3854">
      <c r="B3854" s="223" t="s">
        <v>200</v>
      </c>
      <c r="C3854" s="223"/>
      <c r="D3854" s="316"/>
      <c r="H3854" s="223">
        <v>0.0</v>
      </c>
      <c r="K3854" s="317"/>
    </row>
    <row r="3855">
      <c r="B3855" s="223" t="s">
        <v>200</v>
      </c>
      <c r="C3855" s="223"/>
      <c r="D3855" s="316"/>
      <c r="H3855" s="223">
        <v>0.0</v>
      </c>
      <c r="K3855" s="317"/>
    </row>
    <row r="3856">
      <c r="B3856" s="223" t="s">
        <v>200</v>
      </c>
      <c r="C3856" s="223"/>
      <c r="D3856" s="316"/>
      <c r="H3856" s="223">
        <v>0.0</v>
      </c>
      <c r="K3856" s="317"/>
    </row>
    <row r="3857">
      <c r="B3857" s="223" t="s">
        <v>200</v>
      </c>
      <c r="C3857" s="223"/>
      <c r="D3857" s="316"/>
      <c r="H3857" s="223">
        <v>0.0</v>
      </c>
      <c r="K3857" s="317"/>
    </row>
    <row r="3858">
      <c r="B3858" s="223" t="s">
        <v>200</v>
      </c>
      <c r="C3858" s="223"/>
      <c r="D3858" s="316"/>
      <c r="H3858" s="223">
        <v>0.0</v>
      </c>
      <c r="K3858" s="317"/>
    </row>
    <row r="3859">
      <c r="B3859" s="223" t="s">
        <v>200</v>
      </c>
      <c r="C3859" s="223"/>
      <c r="D3859" s="316"/>
      <c r="H3859" s="223">
        <v>0.0</v>
      </c>
      <c r="K3859" s="317"/>
    </row>
    <row r="3860">
      <c r="B3860" s="223" t="s">
        <v>200</v>
      </c>
      <c r="C3860" s="223"/>
      <c r="D3860" s="316"/>
      <c r="H3860" s="223">
        <v>0.0</v>
      </c>
      <c r="K3860" s="317"/>
    </row>
    <row r="3861">
      <c r="B3861" s="223" t="s">
        <v>200</v>
      </c>
      <c r="C3861" s="223"/>
      <c r="D3861" s="316"/>
      <c r="H3861" s="223">
        <v>0.0</v>
      </c>
      <c r="K3861" s="317"/>
    </row>
    <row r="3862">
      <c r="B3862" s="223" t="s">
        <v>200</v>
      </c>
      <c r="C3862" s="223"/>
      <c r="D3862" s="316"/>
      <c r="H3862" s="223">
        <v>0.0</v>
      </c>
      <c r="K3862" s="317"/>
    </row>
    <row r="3863">
      <c r="B3863" s="223" t="s">
        <v>200</v>
      </c>
      <c r="C3863" s="223"/>
      <c r="D3863" s="316"/>
      <c r="H3863" s="223">
        <v>0.0</v>
      </c>
      <c r="K3863" s="317"/>
    </row>
    <row r="3864">
      <c r="B3864" s="223" t="s">
        <v>200</v>
      </c>
      <c r="C3864" s="223"/>
      <c r="D3864" s="316"/>
      <c r="H3864" s="223">
        <v>0.0</v>
      </c>
      <c r="K3864" s="317"/>
    </row>
    <row r="3865">
      <c r="B3865" s="223" t="s">
        <v>200</v>
      </c>
      <c r="C3865" s="223"/>
      <c r="D3865" s="316"/>
      <c r="H3865" s="223">
        <v>0.0</v>
      </c>
      <c r="K3865" s="317"/>
    </row>
    <row r="3866">
      <c r="B3866" s="223" t="s">
        <v>200</v>
      </c>
      <c r="C3866" s="223"/>
      <c r="D3866" s="316"/>
      <c r="H3866" s="223">
        <v>0.0</v>
      </c>
      <c r="K3866" s="317"/>
    </row>
    <row r="3867">
      <c r="B3867" s="223" t="s">
        <v>200</v>
      </c>
      <c r="C3867" s="223"/>
      <c r="D3867" s="316"/>
      <c r="H3867" s="223">
        <v>0.0</v>
      </c>
      <c r="K3867" s="317"/>
    </row>
    <row r="3868">
      <c r="B3868" s="223" t="s">
        <v>200</v>
      </c>
      <c r="C3868" s="223"/>
      <c r="D3868" s="316"/>
      <c r="H3868" s="223">
        <v>0.0</v>
      </c>
      <c r="K3868" s="317"/>
    </row>
    <row r="3869">
      <c r="B3869" s="223" t="s">
        <v>200</v>
      </c>
      <c r="C3869" s="223"/>
      <c r="D3869" s="316"/>
      <c r="H3869" s="223">
        <v>0.0</v>
      </c>
      <c r="K3869" s="317"/>
    </row>
    <row r="3870">
      <c r="B3870" s="223" t="s">
        <v>200</v>
      </c>
      <c r="C3870" s="223"/>
      <c r="D3870" s="316"/>
      <c r="H3870" s="223">
        <v>0.0</v>
      </c>
      <c r="K3870" s="317"/>
    </row>
    <row r="3871">
      <c r="B3871" s="223" t="s">
        <v>200</v>
      </c>
      <c r="C3871" s="223"/>
      <c r="D3871" s="316"/>
      <c r="H3871" s="223">
        <v>0.0</v>
      </c>
      <c r="K3871" s="317"/>
    </row>
    <row r="3872">
      <c r="B3872" s="223" t="s">
        <v>200</v>
      </c>
      <c r="C3872" s="223"/>
      <c r="D3872" s="316"/>
      <c r="H3872" s="223">
        <v>0.0</v>
      </c>
      <c r="K3872" s="317"/>
    </row>
    <row r="3873">
      <c r="B3873" s="223" t="s">
        <v>200</v>
      </c>
      <c r="C3873" s="223"/>
      <c r="D3873" s="316"/>
      <c r="H3873" s="223">
        <v>0.0</v>
      </c>
      <c r="K3873" s="317"/>
    </row>
    <row r="3874">
      <c r="B3874" s="223" t="s">
        <v>200</v>
      </c>
      <c r="C3874" s="223"/>
      <c r="D3874" s="316"/>
      <c r="H3874" s="223">
        <v>0.0</v>
      </c>
      <c r="K3874" s="317"/>
    </row>
    <row r="3875">
      <c r="B3875" s="223" t="s">
        <v>200</v>
      </c>
      <c r="C3875" s="223"/>
      <c r="D3875" s="316"/>
      <c r="H3875" s="223">
        <v>0.0</v>
      </c>
      <c r="K3875" s="317"/>
    </row>
    <row r="3876">
      <c r="B3876" s="223" t="s">
        <v>200</v>
      </c>
      <c r="C3876" s="223"/>
      <c r="D3876" s="316"/>
      <c r="H3876" s="223">
        <v>0.0</v>
      </c>
      <c r="K3876" s="317"/>
    </row>
    <row r="3877">
      <c r="B3877" s="223" t="s">
        <v>200</v>
      </c>
      <c r="C3877" s="223"/>
      <c r="D3877" s="316"/>
      <c r="H3877" s="223">
        <v>0.0</v>
      </c>
      <c r="K3877" s="317"/>
    </row>
    <row r="3878">
      <c r="B3878" s="223" t="s">
        <v>200</v>
      </c>
      <c r="C3878" s="223"/>
      <c r="D3878" s="316"/>
      <c r="H3878" s="223">
        <v>0.0</v>
      </c>
      <c r="K3878" s="317"/>
    </row>
    <row r="3879">
      <c r="B3879" s="223" t="s">
        <v>200</v>
      </c>
      <c r="C3879" s="223"/>
      <c r="D3879" s="316"/>
      <c r="H3879" s="223">
        <v>0.0</v>
      </c>
      <c r="K3879" s="317"/>
    </row>
    <row r="3880">
      <c r="B3880" s="223" t="s">
        <v>200</v>
      </c>
      <c r="C3880" s="223"/>
      <c r="D3880" s="316"/>
      <c r="H3880" s="223">
        <v>0.0</v>
      </c>
      <c r="K3880" s="317"/>
    </row>
    <row r="3881">
      <c r="B3881" s="223" t="s">
        <v>200</v>
      </c>
      <c r="C3881" s="223"/>
      <c r="D3881" s="316"/>
      <c r="H3881" s="223">
        <v>0.0</v>
      </c>
      <c r="K3881" s="317"/>
    </row>
    <row r="3882">
      <c r="B3882" s="223" t="s">
        <v>200</v>
      </c>
      <c r="C3882" s="223"/>
      <c r="D3882" s="316"/>
      <c r="H3882" s="223">
        <v>0.0</v>
      </c>
      <c r="K3882" s="317"/>
    </row>
    <row r="3883">
      <c r="B3883" s="223" t="s">
        <v>200</v>
      </c>
      <c r="C3883" s="223"/>
      <c r="D3883" s="316"/>
      <c r="H3883" s="223">
        <v>0.0</v>
      </c>
      <c r="K3883" s="317"/>
    </row>
    <row r="3884">
      <c r="B3884" s="223" t="s">
        <v>200</v>
      </c>
      <c r="C3884" s="223"/>
      <c r="D3884" s="316"/>
      <c r="H3884" s="223">
        <v>0.0</v>
      </c>
      <c r="K3884" s="317"/>
    </row>
    <row r="3885">
      <c r="B3885" s="223" t="s">
        <v>200</v>
      </c>
      <c r="C3885" s="223"/>
      <c r="D3885" s="316"/>
      <c r="H3885" s="223">
        <v>0.0</v>
      </c>
      <c r="K3885" s="317"/>
    </row>
    <row r="3886">
      <c r="B3886" s="223" t="s">
        <v>200</v>
      </c>
      <c r="C3886" s="223"/>
      <c r="D3886" s="316"/>
      <c r="H3886" s="223">
        <v>0.0</v>
      </c>
      <c r="K3886" s="317"/>
    </row>
    <row r="3887">
      <c r="B3887" s="223" t="s">
        <v>200</v>
      </c>
      <c r="C3887" s="223"/>
      <c r="D3887" s="316"/>
      <c r="H3887" s="223">
        <v>0.0</v>
      </c>
      <c r="K3887" s="317"/>
    </row>
    <row r="3888">
      <c r="B3888" s="223" t="s">
        <v>200</v>
      </c>
      <c r="C3888" s="223"/>
      <c r="D3888" s="316"/>
      <c r="H3888" s="223">
        <v>0.0</v>
      </c>
      <c r="K3888" s="317"/>
    </row>
    <row r="3889">
      <c r="B3889" s="223" t="s">
        <v>200</v>
      </c>
      <c r="C3889" s="223"/>
      <c r="D3889" s="316"/>
      <c r="H3889" s="223">
        <v>0.0</v>
      </c>
      <c r="K3889" s="317"/>
    </row>
    <row r="3890">
      <c r="B3890" s="223" t="s">
        <v>200</v>
      </c>
      <c r="C3890" s="223"/>
      <c r="D3890" s="316"/>
      <c r="H3890" s="223">
        <v>0.0</v>
      </c>
      <c r="K3890" s="317"/>
    </row>
    <row r="3891">
      <c r="B3891" s="223" t="s">
        <v>200</v>
      </c>
      <c r="C3891" s="223"/>
      <c r="D3891" s="316"/>
      <c r="H3891" s="223">
        <v>0.0</v>
      </c>
      <c r="K3891" s="317"/>
    </row>
    <row r="3892">
      <c r="B3892" s="223" t="s">
        <v>200</v>
      </c>
      <c r="C3892" s="223"/>
      <c r="D3892" s="316"/>
      <c r="H3892" s="223">
        <v>0.0</v>
      </c>
      <c r="K3892" s="317"/>
    </row>
    <row r="3893">
      <c r="B3893" s="223" t="s">
        <v>200</v>
      </c>
      <c r="C3893" s="223"/>
      <c r="D3893" s="316"/>
      <c r="H3893" s="223">
        <v>0.0</v>
      </c>
      <c r="K3893" s="317"/>
    </row>
    <row r="3894">
      <c r="B3894" s="223" t="s">
        <v>200</v>
      </c>
      <c r="C3894" s="223"/>
      <c r="D3894" s="316"/>
      <c r="H3894" s="223">
        <v>0.0</v>
      </c>
      <c r="K3894" s="317"/>
    </row>
    <row r="3895">
      <c r="B3895" s="223" t="s">
        <v>200</v>
      </c>
      <c r="C3895" s="223"/>
      <c r="D3895" s="316"/>
      <c r="H3895" s="223">
        <v>0.0</v>
      </c>
      <c r="K3895" s="317"/>
    </row>
    <row r="3896">
      <c r="B3896" s="223" t="s">
        <v>200</v>
      </c>
      <c r="C3896" s="223"/>
      <c r="D3896" s="316"/>
      <c r="H3896" s="223">
        <v>0.0</v>
      </c>
      <c r="K3896" s="317"/>
    </row>
    <row r="3897">
      <c r="B3897" s="223" t="s">
        <v>200</v>
      </c>
      <c r="C3897" s="223"/>
      <c r="D3897" s="316"/>
      <c r="H3897" s="223">
        <v>0.0</v>
      </c>
      <c r="K3897" s="317"/>
    </row>
    <row r="3898">
      <c r="B3898" s="223" t="s">
        <v>200</v>
      </c>
      <c r="C3898" s="223"/>
      <c r="D3898" s="316"/>
      <c r="H3898" s="223">
        <v>0.0</v>
      </c>
      <c r="K3898" s="317"/>
    </row>
    <row r="3899">
      <c r="B3899" s="223" t="s">
        <v>200</v>
      </c>
      <c r="C3899" s="223"/>
      <c r="D3899" s="316"/>
      <c r="H3899" s="223">
        <v>0.0</v>
      </c>
      <c r="K3899" s="317"/>
    </row>
    <row r="3900">
      <c r="B3900" s="223" t="s">
        <v>200</v>
      </c>
      <c r="C3900" s="223"/>
      <c r="D3900" s="316"/>
      <c r="H3900" s="223">
        <v>0.0</v>
      </c>
      <c r="K3900" s="317"/>
    </row>
    <row r="3901">
      <c r="B3901" s="223" t="s">
        <v>200</v>
      </c>
      <c r="C3901" s="223"/>
      <c r="D3901" s="316"/>
      <c r="H3901" s="223">
        <v>0.0</v>
      </c>
      <c r="K3901" s="317"/>
    </row>
    <row r="3902">
      <c r="B3902" s="223" t="s">
        <v>200</v>
      </c>
      <c r="C3902" s="223"/>
      <c r="D3902" s="316"/>
      <c r="H3902" s="223">
        <v>0.0</v>
      </c>
      <c r="K3902" s="317"/>
    </row>
    <row r="3903">
      <c r="B3903" s="223" t="s">
        <v>200</v>
      </c>
      <c r="C3903" s="223"/>
      <c r="D3903" s="316"/>
      <c r="H3903" s="223">
        <v>0.0</v>
      </c>
      <c r="K3903" s="317"/>
    </row>
    <row r="3904">
      <c r="B3904" s="223" t="s">
        <v>200</v>
      </c>
      <c r="C3904" s="223"/>
      <c r="D3904" s="316"/>
      <c r="H3904" s="223">
        <v>0.0</v>
      </c>
      <c r="K3904" s="317"/>
    </row>
    <row r="3905">
      <c r="B3905" s="223" t="s">
        <v>200</v>
      </c>
      <c r="C3905" s="223"/>
      <c r="D3905" s="316"/>
      <c r="H3905" s="223">
        <v>0.0</v>
      </c>
      <c r="K3905" s="317"/>
    </row>
    <row r="3906">
      <c r="B3906" s="223" t="s">
        <v>200</v>
      </c>
      <c r="C3906" s="223"/>
      <c r="D3906" s="316"/>
      <c r="H3906" s="223">
        <v>0.0</v>
      </c>
      <c r="K3906" s="317"/>
    </row>
    <row r="3907">
      <c r="B3907" s="223" t="s">
        <v>200</v>
      </c>
      <c r="C3907" s="223"/>
      <c r="D3907" s="316"/>
      <c r="H3907" s="223">
        <v>0.0</v>
      </c>
      <c r="K3907" s="317"/>
    </row>
    <row r="3908">
      <c r="B3908" s="223" t="s">
        <v>200</v>
      </c>
      <c r="C3908" s="223"/>
      <c r="D3908" s="316"/>
      <c r="H3908" s="223">
        <v>0.0</v>
      </c>
      <c r="K3908" s="317"/>
    </row>
    <row r="3909">
      <c r="B3909" s="223" t="s">
        <v>200</v>
      </c>
      <c r="C3909" s="223"/>
      <c r="D3909" s="316"/>
      <c r="H3909" s="223">
        <v>0.0</v>
      </c>
      <c r="K3909" s="317"/>
    </row>
    <row r="3910">
      <c r="B3910" s="223" t="s">
        <v>200</v>
      </c>
      <c r="C3910" s="223"/>
      <c r="D3910" s="316"/>
      <c r="H3910" s="223">
        <v>0.0</v>
      </c>
      <c r="K3910" s="317"/>
    </row>
    <row r="3911">
      <c r="B3911" s="223" t="s">
        <v>200</v>
      </c>
      <c r="C3911" s="223"/>
      <c r="D3911" s="316"/>
      <c r="H3911" s="223">
        <v>0.0</v>
      </c>
      <c r="K3911" s="317"/>
    </row>
    <row r="3912">
      <c r="B3912" s="223" t="s">
        <v>200</v>
      </c>
      <c r="C3912" s="223"/>
      <c r="D3912" s="316"/>
      <c r="H3912" s="223">
        <v>0.0</v>
      </c>
      <c r="K3912" s="317"/>
    </row>
    <row r="3913">
      <c r="B3913" s="223" t="s">
        <v>200</v>
      </c>
      <c r="C3913" s="223"/>
      <c r="D3913" s="316"/>
      <c r="H3913" s="223">
        <v>0.0</v>
      </c>
      <c r="K3913" s="317"/>
    </row>
    <row r="3914">
      <c r="B3914" s="223" t="s">
        <v>200</v>
      </c>
      <c r="C3914" s="223"/>
      <c r="D3914" s="316"/>
      <c r="H3914" s="223">
        <v>0.0</v>
      </c>
      <c r="K3914" s="317"/>
    </row>
    <row r="3915">
      <c r="B3915" s="223" t="s">
        <v>200</v>
      </c>
      <c r="C3915" s="223"/>
      <c r="D3915" s="316"/>
      <c r="H3915" s="223">
        <v>0.0</v>
      </c>
      <c r="K3915" s="317"/>
    </row>
    <row r="3916">
      <c r="B3916" s="223" t="s">
        <v>200</v>
      </c>
      <c r="C3916" s="223"/>
      <c r="D3916" s="316"/>
      <c r="H3916" s="223">
        <v>0.0</v>
      </c>
      <c r="K3916" s="317"/>
    </row>
    <row r="3917">
      <c r="B3917" s="223" t="s">
        <v>200</v>
      </c>
      <c r="C3917" s="223"/>
      <c r="D3917" s="316"/>
      <c r="H3917" s="223">
        <v>0.0</v>
      </c>
      <c r="K3917" s="317"/>
    </row>
    <row r="3918">
      <c r="B3918" s="223" t="s">
        <v>200</v>
      </c>
      <c r="C3918" s="223"/>
      <c r="D3918" s="316"/>
      <c r="H3918" s="223">
        <v>0.0</v>
      </c>
      <c r="K3918" s="317"/>
    </row>
    <row r="3919">
      <c r="B3919" s="223" t="s">
        <v>200</v>
      </c>
      <c r="C3919" s="223"/>
      <c r="D3919" s="316"/>
      <c r="H3919" s="223">
        <v>0.0</v>
      </c>
      <c r="K3919" s="317"/>
    </row>
    <row r="3920">
      <c r="B3920" s="223" t="s">
        <v>200</v>
      </c>
      <c r="C3920" s="223"/>
      <c r="D3920" s="316"/>
      <c r="H3920" s="223">
        <v>0.0</v>
      </c>
      <c r="K3920" s="317"/>
    </row>
    <row r="3921">
      <c r="B3921" s="223" t="s">
        <v>200</v>
      </c>
      <c r="C3921" s="223"/>
      <c r="D3921" s="316"/>
      <c r="H3921" s="223">
        <v>0.0</v>
      </c>
      <c r="K3921" s="317"/>
    </row>
    <row r="3922">
      <c r="B3922" s="223" t="s">
        <v>200</v>
      </c>
      <c r="C3922" s="223"/>
      <c r="D3922" s="316"/>
      <c r="H3922" s="223">
        <v>0.0</v>
      </c>
      <c r="K3922" s="317"/>
    </row>
    <row r="3923">
      <c r="B3923" s="223" t="s">
        <v>200</v>
      </c>
      <c r="C3923" s="223"/>
      <c r="D3923" s="316"/>
      <c r="H3923" s="223">
        <v>0.0</v>
      </c>
      <c r="K3923" s="317"/>
    </row>
    <row r="3924">
      <c r="B3924" s="223" t="s">
        <v>200</v>
      </c>
      <c r="C3924" s="223"/>
      <c r="D3924" s="316"/>
      <c r="H3924" s="223">
        <v>0.0</v>
      </c>
      <c r="K3924" s="317"/>
    </row>
    <row r="3925">
      <c r="B3925" s="223" t="s">
        <v>200</v>
      </c>
      <c r="C3925" s="223"/>
      <c r="D3925" s="316"/>
      <c r="H3925" s="223">
        <v>0.0</v>
      </c>
      <c r="K3925" s="317"/>
    </row>
    <row r="3926">
      <c r="B3926" s="223" t="s">
        <v>200</v>
      </c>
      <c r="C3926" s="223"/>
      <c r="D3926" s="316"/>
      <c r="H3926" s="223">
        <v>0.0</v>
      </c>
      <c r="K3926" s="317"/>
    </row>
    <row r="3927">
      <c r="B3927" s="223" t="s">
        <v>200</v>
      </c>
      <c r="C3927" s="223"/>
      <c r="D3927" s="316"/>
      <c r="H3927" s="223">
        <v>0.0</v>
      </c>
      <c r="K3927" s="317"/>
    </row>
    <row r="3928">
      <c r="B3928" s="223" t="s">
        <v>200</v>
      </c>
      <c r="C3928" s="223"/>
      <c r="D3928" s="316"/>
      <c r="H3928" s="223">
        <v>0.0</v>
      </c>
      <c r="K3928" s="317"/>
    </row>
    <row r="3929">
      <c r="B3929" s="223" t="s">
        <v>200</v>
      </c>
      <c r="C3929" s="223"/>
      <c r="D3929" s="316"/>
      <c r="H3929" s="223">
        <v>0.0</v>
      </c>
      <c r="K3929" s="317"/>
    </row>
    <row r="3930">
      <c r="B3930" s="223" t="s">
        <v>200</v>
      </c>
      <c r="C3930" s="223"/>
      <c r="D3930" s="316"/>
      <c r="H3930" s="223">
        <v>0.0</v>
      </c>
      <c r="K3930" s="317"/>
    </row>
    <row r="3931">
      <c r="B3931" s="223" t="s">
        <v>200</v>
      </c>
      <c r="C3931" s="223"/>
      <c r="D3931" s="316"/>
      <c r="H3931" s="223">
        <v>0.0</v>
      </c>
      <c r="K3931" s="317"/>
    </row>
    <row r="3932">
      <c r="B3932" s="223" t="s">
        <v>200</v>
      </c>
      <c r="C3932" s="223"/>
      <c r="D3932" s="316"/>
      <c r="H3932" s="223">
        <v>0.0</v>
      </c>
      <c r="K3932" s="317"/>
    </row>
    <row r="3933">
      <c r="B3933" s="223" t="s">
        <v>200</v>
      </c>
      <c r="C3933" s="223"/>
      <c r="D3933" s="316"/>
      <c r="H3933" s="223">
        <v>0.0</v>
      </c>
      <c r="K3933" s="317"/>
    </row>
    <row r="3934">
      <c r="B3934" s="223" t="s">
        <v>200</v>
      </c>
      <c r="C3934" s="223"/>
      <c r="D3934" s="316"/>
      <c r="H3934" s="223">
        <v>0.0</v>
      </c>
      <c r="K3934" s="317"/>
    </row>
    <row r="3935">
      <c r="B3935" s="223" t="s">
        <v>200</v>
      </c>
      <c r="C3935" s="223"/>
      <c r="D3935" s="316"/>
      <c r="H3935" s="223">
        <v>0.0</v>
      </c>
      <c r="K3935" s="317"/>
    </row>
    <row r="3936">
      <c r="B3936" s="223" t="s">
        <v>200</v>
      </c>
      <c r="C3936" s="223"/>
      <c r="D3936" s="316"/>
      <c r="H3936" s="223">
        <v>0.0</v>
      </c>
      <c r="K3936" s="317"/>
    </row>
    <row r="3937">
      <c r="B3937" s="223" t="s">
        <v>200</v>
      </c>
      <c r="C3937" s="223"/>
      <c r="D3937" s="316"/>
      <c r="H3937" s="223">
        <v>0.0</v>
      </c>
      <c r="K3937" s="317"/>
    </row>
    <row r="3938">
      <c r="B3938" s="223" t="s">
        <v>200</v>
      </c>
      <c r="C3938" s="223"/>
      <c r="D3938" s="316"/>
      <c r="H3938" s="223">
        <v>0.0</v>
      </c>
      <c r="K3938" s="317"/>
    </row>
    <row r="3939">
      <c r="B3939" s="223" t="s">
        <v>200</v>
      </c>
      <c r="C3939" s="223"/>
      <c r="D3939" s="316"/>
      <c r="H3939" s="223">
        <v>0.0</v>
      </c>
      <c r="K3939" s="317"/>
    </row>
    <row r="3940">
      <c r="B3940" s="223" t="s">
        <v>200</v>
      </c>
      <c r="C3940" s="223"/>
      <c r="D3940" s="316"/>
      <c r="H3940" s="223">
        <v>0.0</v>
      </c>
      <c r="K3940" s="317"/>
    </row>
    <row r="3941">
      <c r="B3941" s="223" t="s">
        <v>200</v>
      </c>
      <c r="C3941" s="223"/>
      <c r="D3941" s="316"/>
      <c r="H3941" s="223">
        <v>0.0</v>
      </c>
      <c r="K3941" s="317"/>
    </row>
    <row r="3942">
      <c r="B3942" s="223" t="s">
        <v>200</v>
      </c>
      <c r="C3942" s="223"/>
      <c r="D3942" s="316"/>
      <c r="H3942" s="223">
        <v>0.0</v>
      </c>
      <c r="K3942" s="317"/>
    </row>
    <row r="3943">
      <c r="B3943" s="223" t="s">
        <v>200</v>
      </c>
      <c r="C3943" s="223"/>
      <c r="D3943" s="316"/>
      <c r="H3943" s="223">
        <v>0.0</v>
      </c>
      <c r="K3943" s="317"/>
    </row>
    <row r="3944">
      <c r="B3944" s="223" t="s">
        <v>200</v>
      </c>
      <c r="C3944" s="223"/>
      <c r="D3944" s="316"/>
      <c r="H3944" s="223">
        <v>0.0</v>
      </c>
      <c r="K3944" s="317"/>
    </row>
    <row r="3945">
      <c r="B3945" s="223" t="s">
        <v>200</v>
      </c>
      <c r="C3945" s="223"/>
      <c r="D3945" s="316"/>
      <c r="H3945" s="223">
        <v>0.0</v>
      </c>
      <c r="K3945" s="317"/>
    </row>
    <row r="3946">
      <c r="B3946" s="223" t="s">
        <v>200</v>
      </c>
      <c r="C3946" s="223"/>
      <c r="D3946" s="316"/>
      <c r="H3946" s="223">
        <v>0.0</v>
      </c>
      <c r="K3946" s="317"/>
    </row>
    <row r="3947">
      <c r="B3947" s="223" t="s">
        <v>200</v>
      </c>
      <c r="C3947" s="223"/>
      <c r="D3947" s="316"/>
      <c r="H3947" s="223">
        <v>0.0</v>
      </c>
      <c r="K3947" s="317"/>
    </row>
    <row r="3948">
      <c r="B3948" s="223" t="s">
        <v>200</v>
      </c>
      <c r="C3948" s="223"/>
      <c r="D3948" s="316"/>
      <c r="H3948" s="223">
        <v>0.0</v>
      </c>
      <c r="K3948" s="317"/>
    </row>
    <row r="3949">
      <c r="B3949" s="223" t="s">
        <v>200</v>
      </c>
      <c r="C3949" s="223"/>
      <c r="D3949" s="316"/>
      <c r="H3949" s="223">
        <v>0.0</v>
      </c>
      <c r="K3949" s="317"/>
    </row>
    <row r="3950">
      <c r="B3950" s="223" t="s">
        <v>200</v>
      </c>
      <c r="C3950" s="223"/>
      <c r="D3950" s="316"/>
      <c r="H3950" s="223">
        <v>0.0</v>
      </c>
      <c r="K3950" s="317"/>
    </row>
    <row r="3951">
      <c r="B3951" s="223" t="s">
        <v>200</v>
      </c>
      <c r="C3951" s="223"/>
      <c r="D3951" s="316"/>
      <c r="H3951" s="223">
        <v>0.0</v>
      </c>
      <c r="K3951" s="317"/>
    </row>
    <row r="3952">
      <c r="B3952" s="223" t="s">
        <v>200</v>
      </c>
      <c r="C3952" s="223"/>
      <c r="D3952" s="316"/>
      <c r="H3952" s="223">
        <v>0.0</v>
      </c>
      <c r="K3952" s="317"/>
    </row>
    <row r="3953">
      <c r="B3953" s="223" t="s">
        <v>200</v>
      </c>
      <c r="C3953" s="223"/>
      <c r="D3953" s="316"/>
      <c r="H3953" s="223">
        <v>0.0</v>
      </c>
      <c r="K3953" s="317"/>
    </row>
    <row r="3954">
      <c r="B3954" s="223" t="s">
        <v>200</v>
      </c>
      <c r="C3954" s="223"/>
      <c r="D3954" s="316"/>
      <c r="H3954" s="223">
        <v>0.0</v>
      </c>
      <c r="K3954" s="317"/>
    </row>
    <row r="3955">
      <c r="B3955" s="223" t="s">
        <v>200</v>
      </c>
      <c r="C3955" s="223"/>
      <c r="D3955" s="316"/>
      <c r="H3955" s="223">
        <v>0.0</v>
      </c>
      <c r="K3955" s="317"/>
    </row>
    <row r="3956">
      <c r="B3956" s="223" t="s">
        <v>200</v>
      </c>
      <c r="C3956" s="223"/>
      <c r="D3956" s="316"/>
      <c r="H3956" s="223">
        <v>0.0</v>
      </c>
      <c r="K3956" s="317"/>
    </row>
    <row r="3957">
      <c r="B3957" s="223" t="s">
        <v>200</v>
      </c>
      <c r="C3957" s="223"/>
      <c r="D3957" s="316"/>
      <c r="H3957" s="223">
        <v>0.0</v>
      </c>
      <c r="K3957" s="317"/>
    </row>
    <row r="3958">
      <c r="B3958" s="223" t="s">
        <v>200</v>
      </c>
      <c r="C3958" s="223"/>
      <c r="D3958" s="316"/>
      <c r="H3958" s="223">
        <v>0.0</v>
      </c>
      <c r="K3958" s="317"/>
    </row>
    <row r="3959">
      <c r="B3959" s="223" t="s">
        <v>200</v>
      </c>
      <c r="C3959" s="223"/>
      <c r="D3959" s="316"/>
      <c r="H3959" s="223">
        <v>0.0</v>
      </c>
      <c r="K3959" s="317"/>
    </row>
    <row r="3960">
      <c r="B3960" s="223" t="s">
        <v>200</v>
      </c>
      <c r="C3960" s="223"/>
      <c r="D3960" s="316"/>
      <c r="H3960" s="223">
        <v>0.0</v>
      </c>
      <c r="K3960" s="317"/>
    </row>
    <row r="3961">
      <c r="B3961" s="223" t="s">
        <v>200</v>
      </c>
      <c r="C3961" s="223"/>
      <c r="D3961" s="316"/>
      <c r="H3961" s="223">
        <v>0.0</v>
      </c>
      <c r="K3961" s="317"/>
    </row>
    <row r="3962">
      <c r="B3962" s="223" t="s">
        <v>200</v>
      </c>
      <c r="C3962" s="223"/>
      <c r="D3962" s="316"/>
      <c r="H3962" s="223">
        <v>0.0</v>
      </c>
      <c r="K3962" s="317"/>
    </row>
    <row r="3963">
      <c r="B3963" s="223" t="s">
        <v>200</v>
      </c>
      <c r="C3963" s="223"/>
      <c r="D3963" s="316"/>
      <c r="H3963" s="223">
        <v>0.0</v>
      </c>
      <c r="K3963" s="317"/>
    </row>
    <row r="3964">
      <c r="B3964" s="223" t="s">
        <v>200</v>
      </c>
      <c r="C3964" s="223"/>
      <c r="D3964" s="316"/>
      <c r="H3964" s="223">
        <v>0.0</v>
      </c>
      <c r="K3964" s="317"/>
    </row>
    <row r="3965">
      <c r="B3965" s="223" t="s">
        <v>200</v>
      </c>
      <c r="C3965" s="223"/>
      <c r="D3965" s="316"/>
      <c r="H3965" s="223">
        <v>0.0</v>
      </c>
      <c r="K3965" s="317"/>
    </row>
    <row r="3966">
      <c r="B3966" s="223" t="s">
        <v>200</v>
      </c>
      <c r="C3966" s="223"/>
      <c r="D3966" s="316"/>
      <c r="H3966" s="223">
        <v>0.0</v>
      </c>
      <c r="K3966" s="317"/>
    </row>
    <row r="3967">
      <c r="B3967" s="223" t="s">
        <v>200</v>
      </c>
      <c r="C3967" s="223"/>
      <c r="D3967" s="316"/>
      <c r="H3967" s="223">
        <v>0.0</v>
      </c>
      <c r="K3967" s="317"/>
    </row>
    <row r="3968">
      <c r="B3968" s="223" t="s">
        <v>200</v>
      </c>
      <c r="C3968" s="223"/>
      <c r="D3968" s="316"/>
      <c r="H3968" s="223">
        <v>0.0</v>
      </c>
      <c r="K3968" s="317"/>
    </row>
    <row r="3969">
      <c r="B3969" s="223" t="s">
        <v>200</v>
      </c>
      <c r="C3969" s="223"/>
      <c r="D3969" s="316"/>
      <c r="H3969" s="223">
        <v>0.0</v>
      </c>
      <c r="K3969" s="317"/>
    </row>
    <row r="3970">
      <c r="B3970" s="223" t="s">
        <v>200</v>
      </c>
      <c r="C3970" s="223"/>
      <c r="D3970" s="316"/>
      <c r="H3970" s="223">
        <v>0.0</v>
      </c>
      <c r="K3970" s="317"/>
    </row>
    <row r="3971">
      <c r="B3971" s="223" t="s">
        <v>200</v>
      </c>
      <c r="C3971" s="223"/>
      <c r="D3971" s="316"/>
      <c r="H3971" s="223">
        <v>0.0</v>
      </c>
      <c r="K3971" s="317"/>
    </row>
    <row r="3972">
      <c r="B3972" s="223" t="s">
        <v>200</v>
      </c>
      <c r="C3972" s="223"/>
      <c r="D3972" s="316"/>
      <c r="H3972" s="223">
        <v>0.0</v>
      </c>
      <c r="K3972" s="317"/>
    </row>
    <row r="3973">
      <c r="B3973" s="223" t="s">
        <v>200</v>
      </c>
      <c r="C3973" s="223"/>
      <c r="D3973" s="316"/>
      <c r="H3973" s="223">
        <v>0.0</v>
      </c>
      <c r="K3973" s="317"/>
    </row>
    <row r="3974">
      <c r="B3974" s="223" t="s">
        <v>200</v>
      </c>
      <c r="C3974" s="223"/>
      <c r="D3974" s="316"/>
      <c r="H3974" s="223">
        <v>0.0</v>
      </c>
      <c r="K3974" s="317"/>
    </row>
    <row r="3975">
      <c r="B3975" s="223" t="s">
        <v>200</v>
      </c>
      <c r="C3975" s="223"/>
      <c r="D3975" s="316"/>
      <c r="H3975" s="223">
        <v>0.0</v>
      </c>
      <c r="K3975" s="317"/>
    </row>
    <row r="3976">
      <c r="B3976" s="223" t="s">
        <v>200</v>
      </c>
      <c r="C3976" s="223"/>
      <c r="D3976" s="316"/>
      <c r="H3976" s="223">
        <v>0.0</v>
      </c>
      <c r="K3976" s="317"/>
    </row>
    <row r="3977">
      <c r="B3977" s="223" t="s">
        <v>200</v>
      </c>
      <c r="C3977" s="223"/>
      <c r="D3977" s="316"/>
      <c r="H3977" s="223">
        <v>0.0</v>
      </c>
      <c r="K3977" s="317"/>
    </row>
    <row r="3978">
      <c r="B3978" s="223" t="s">
        <v>200</v>
      </c>
      <c r="C3978" s="223"/>
      <c r="D3978" s="316"/>
      <c r="H3978" s="223">
        <v>0.0</v>
      </c>
      <c r="K3978" s="317"/>
    </row>
    <row r="3979">
      <c r="B3979" s="223" t="s">
        <v>200</v>
      </c>
      <c r="C3979" s="223"/>
      <c r="D3979" s="316"/>
      <c r="H3979" s="223">
        <v>0.0</v>
      </c>
      <c r="K3979" s="317"/>
    </row>
    <row r="3980">
      <c r="B3980" s="223" t="s">
        <v>200</v>
      </c>
      <c r="C3980" s="223"/>
      <c r="D3980" s="316"/>
      <c r="H3980" s="223">
        <v>0.0</v>
      </c>
      <c r="K3980" s="317"/>
    </row>
    <row r="3981">
      <c r="B3981" s="223" t="s">
        <v>200</v>
      </c>
      <c r="C3981" s="223"/>
      <c r="D3981" s="316"/>
      <c r="H3981" s="223">
        <v>0.0</v>
      </c>
      <c r="K3981" s="317"/>
    </row>
    <row r="3982">
      <c r="B3982" s="223" t="s">
        <v>200</v>
      </c>
      <c r="C3982" s="223"/>
      <c r="D3982" s="316"/>
      <c r="H3982" s="223">
        <v>0.0</v>
      </c>
      <c r="K3982" s="317"/>
    </row>
    <row r="3983">
      <c r="B3983" s="223" t="s">
        <v>200</v>
      </c>
      <c r="C3983" s="223"/>
      <c r="D3983" s="316"/>
      <c r="H3983" s="223">
        <v>0.0</v>
      </c>
      <c r="K3983" s="317"/>
    </row>
    <row r="3984">
      <c r="B3984" s="223" t="s">
        <v>200</v>
      </c>
      <c r="C3984" s="223"/>
      <c r="D3984" s="316"/>
      <c r="H3984" s="223">
        <v>0.0</v>
      </c>
      <c r="K3984" s="317"/>
    </row>
    <row r="3985">
      <c r="B3985" s="223" t="s">
        <v>200</v>
      </c>
      <c r="C3985" s="223"/>
      <c r="D3985" s="316"/>
      <c r="H3985" s="223">
        <v>0.0</v>
      </c>
      <c r="K3985" s="317"/>
    </row>
    <row r="3986">
      <c r="B3986" s="223" t="s">
        <v>200</v>
      </c>
      <c r="C3986" s="223"/>
      <c r="D3986" s="316"/>
      <c r="H3986" s="223">
        <v>0.0</v>
      </c>
      <c r="K3986" s="317"/>
    </row>
    <row r="3987">
      <c r="B3987" s="223" t="s">
        <v>200</v>
      </c>
      <c r="C3987" s="223"/>
      <c r="D3987" s="316"/>
      <c r="H3987" s="223">
        <v>0.0</v>
      </c>
      <c r="K3987" s="317"/>
    </row>
    <row r="3988">
      <c r="B3988" s="223" t="s">
        <v>200</v>
      </c>
      <c r="C3988" s="223"/>
      <c r="D3988" s="316"/>
      <c r="H3988" s="223">
        <v>0.0</v>
      </c>
      <c r="K3988" s="317"/>
    </row>
    <row r="3989">
      <c r="B3989" s="223" t="s">
        <v>200</v>
      </c>
      <c r="C3989" s="223"/>
      <c r="D3989" s="316"/>
      <c r="H3989" s="223">
        <v>0.0</v>
      </c>
      <c r="K3989" s="317"/>
    </row>
    <row r="3990">
      <c r="B3990" s="223" t="s">
        <v>200</v>
      </c>
      <c r="C3990" s="223"/>
      <c r="D3990" s="316"/>
      <c r="H3990" s="223">
        <v>0.0</v>
      </c>
      <c r="K3990" s="317"/>
    </row>
    <row r="3991">
      <c r="B3991" s="223" t="s">
        <v>200</v>
      </c>
      <c r="C3991" s="223"/>
      <c r="D3991" s="316"/>
      <c r="H3991" s="223">
        <v>0.0</v>
      </c>
      <c r="K3991" s="317"/>
    </row>
    <row r="3992">
      <c r="B3992" s="223" t="s">
        <v>200</v>
      </c>
      <c r="C3992" s="223"/>
      <c r="D3992" s="316"/>
      <c r="H3992" s="223">
        <v>0.0</v>
      </c>
      <c r="K3992" s="317"/>
    </row>
    <row r="3993">
      <c r="B3993" s="223" t="s">
        <v>200</v>
      </c>
      <c r="C3993" s="223"/>
      <c r="D3993" s="316"/>
      <c r="H3993" s="223">
        <v>0.0</v>
      </c>
      <c r="K3993" s="317"/>
    </row>
    <row r="3994">
      <c r="B3994" s="223" t="s">
        <v>200</v>
      </c>
      <c r="C3994" s="223"/>
      <c r="D3994" s="316"/>
      <c r="H3994" s="223">
        <v>0.0</v>
      </c>
      <c r="K3994" s="317"/>
    </row>
    <row r="3995">
      <c r="B3995" s="223" t="s">
        <v>200</v>
      </c>
      <c r="C3995" s="223"/>
      <c r="D3995" s="316"/>
      <c r="H3995" s="223">
        <v>0.0</v>
      </c>
      <c r="K3995" s="317"/>
    </row>
    <row r="3996">
      <c r="B3996" s="223" t="s">
        <v>200</v>
      </c>
      <c r="C3996" s="223"/>
      <c r="D3996" s="316"/>
      <c r="H3996" s="223">
        <v>0.0</v>
      </c>
      <c r="K3996" s="317"/>
    </row>
    <row r="3997">
      <c r="B3997" s="223" t="s">
        <v>200</v>
      </c>
      <c r="C3997" s="223"/>
      <c r="D3997" s="316"/>
      <c r="H3997" s="223">
        <v>0.0</v>
      </c>
      <c r="K3997" s="317"/>
    </row>
    <row r="3998">
      <c r="B3998" s="223" t="s">
        <v>200</v>
      </c>
      <c r="C3998" s="223"/>
      <c r="D3998" s="316"/>
      <c r="H3998" s="223">
        <v>0.0</v>
      </c>
      <c r="K3998" s="317"/>
    </row>
    <row r="3999">
      <c r="B3999" s="223" t="s">
        <v>200</v>
      </c>
      <c r="C3999" s="223"/>
      <c r="D3999" s="316"/>
      <c r="H3999" s="223">
        <v>0.0</v>
      </c>
      <c r="K3999" s="317"/>
    </row>
    <row r="4000">
      <c r="B4000" s="223" t="s">
        <v>200</v>
      </c>
      <c r="C4000" s="223"/>
      <c r="D4000" s="316"/>
      <c r="H4000" s="223">
        <v>0.0</v>
      </c>
      <c r="K4000" s="317"/>
    </row>
    <row r="4001">
      <c r="B4001" s="223" t="s">
        <v>200</v>
      </c>
      <c r="C4001" s="223"/>
      <c r="D4001" s="316"/>
      <c r="H4001" s="223">
        <v>0.0</v>
      </c>
      <c r="K4001" s="317"/>
    </row>
    <row r="4002">
      <c r="B4002" s="223" t="s">
        <v>200</v>
      </c>
      <c r="C4002" s="223"/>
      <c r="D4002" s="316"/>
      <c r="H4002" s="223">
        <v>0.0</v>
      </c>
      <c r="K4002" s="317"/>
    </row>
    <row r="4003">
      <c r="B4003" s="223" t="s">
        <v>200</v>
      </c>
      <c r="C4003" s="223"/>
      <c r="D4003" s="316"/>
      <c r="H4003" s="223">
        <v>0.0</v>
      </c>
      <c r="K4003" s="317"/>
    </row>
    <row r="4004">
      <c r="B4004" s="223" t="s">
        <v>200</v>
      </c>
      <c r="C4004" s="223"/>
      <c r="D4004" s="316"/>
      <c r="H4004" s="223">
        <v>0.0</v>
      </c>
      <c r="K4004" s="317"/>
    </row>
    <row r="4005">
      <c r="B4005" s="223" t="s">
        <v>200</v>
      </c>
      <c r="C4005" s="223"/>
      <c r="D4005" s="316"/>
      <c r="H4005" s="223">
        <v>0.0</v>
      </c>
      <c r="K4005" s="317"/>
    </row>
    <row r="4006">
      <c r="B4006" s="223" t="s">
        <v>200</v>
      </c>
      <c r="C4006" s="223"/>
      <c r="D4006" s="316"/>
      <c r="H4006" s="223">
        <v>0.0</v>
      </c>
      <c r="K4006" s="317"/>
    </row>
    <row r="4007">
      <c r="B4007" s="223" t="s">
        <v>200</v>
      </c>
      <c r="C4007" s="223"/>
      <c r="D4007" s="316"/>
      <c r="H4007" s="223">
        <v>0.0</v>
      </c>
      <c r="K4007" s="317"/>
    </row>
    <row r="4008">
      <c r="B4008" s="223" t="s">
        <v>200</v>
      </c>
      <c r="C4008" s="223"/>
      <c r="D4008" s="316"/>
      <c r="H4008" s="223">
        <v>0.0</v>
      </c>
      <c r="K4008" s="317"/>
    </row>
    <row r="4009">
      <c r="B4009" s="223" t="s">
        <v>200</v>
      </c>
      <c r="C4009" s="223"/>
      <c r="D4009" s="316"/>
      <c r="H4009" s="223">
        <v>0.0</v>
      </c>
      <c r="K4009" s="317"/>
    </row>
    <row r="4010">
      <c r="B4010" s="223" t="s">
        <v>200</v>
      </c>
      <c r="C4010" s="223"/>
      <c r="D4010" s="316"/>
      <c r="H4010" s="223">
        <v>0.0</v>
      </c>
      <c r="K4010" s="317"/>
    </row>
    <row r="4011">
      <c r="B4011" s="223" t="s">
        <v>200</v>
      </c>
      <c r="C4011" s="223"/>
      <c r="D4011" s="316"/>
      <c r="H4011" s="223">
        <v>0.0</v>
      </c>
      <c r="K4011" s="317"/>
    </row>
    <row r="4012">
      <c r="B4012" s="223" t="s">
        <v>200</v>
      </c>
      <c r="C4012" s="223"/>
      <c r="D4012" s="316"/>
      <c r="H4012" s="223">
        <v>0.0</v>
      </c>
      <c r="K4012" s="317"/>
    </row>
    <row r="4013">
      <c r="B4013" s="223" t="s">
        <v>200</v>
      </c>
      <c r="C4013" s="223"/>
      <c r="D4013" s="316"/>
      <c r="H4013" s="223">
        <v>0.0</v>
      </c>
      <c r="K4013" s="317"/>
    </row>
    <row r="4014">
      <c r="B4014" s="223" t="s">
        <v>200</v>
      </c>
      <c r="C4014" s="223"/>
      <c r="D4014" s="316"/>
      <c r="H4014" s="223">
        <v>0.0</v>
      </c>
      <c r="K4014" s="317"/>
    </row>
    <row r="4015">
      <c r="B4015" s="223" t="s">
        <v>200</v>
      </c>
      <c r="C4015" s="223"/>
      <c r="D4015" s="316"/>
      <c r="H4015" s="223">
        <v>0.0</v>
      </c>
      <c r="K4015" s="317"/>
    </row>
    <row r="4016">
      <c r="B4016" s="223" t="s">
        <v>200</v>
      </c>
      <c r="C4016" s="223"/>
      <c r="D4016" s="316"/>
      <c r="H4016" s="223">
        <v>0.0</v>
      </c>
      <c r="K4016" s="317"/>
    </row>
    <row r="4017">
      <c r="B4017" s="223" t="s">
        <v>200</v>
      </c>
      <c r="C4017" s="223"/>
      <c r="D4017" s="316"/>
      <c r="H4017" s="223">
        <v>0.0</v>
      </c>
      <c r="K4017" s="317"/>
    </row>
    <row r="4018">
      <c r="B4018" s="223" t="s">
        <v>200</v>
      </c>
      <c r="C4018" s="223"/>
      <c r="D4018" s="316"/>
      <c r="H4018" s="223">
        <v>0.0</v>
      </c>
      <c r="K4018" s="317"/>
    </row>
    <row r="4019">
      <c r="B4019" s="223" t="s">
        <v>200</v>
      </c>
      <c r="C4019" s="223"/>
      <c r="D4019" s="316"/>
      <c r="H4019" s="223">
        <v>0.0</v>
      </c>
      <c r="K4019" s="317"/>
    </row>
    <row r="4020">
      <c r="B4020" s="223" t="s">
        <v>200</v>
      </c>
      <c r="C4020" s="223"/>
      <c r="D4020" s="316"/>
      <c r="H4020" s="223">
        <v>0.0</v>
      </c>
      <c r="K4020" s="317"/>
    </row>
    <row r="4021">
      <c r="B4021" s="223" t="s">
        <v>200</v>
      </c>
      <c r="C4021" s="223"/>
      <c r="D4021" s="316"/>
      <c r="H4021" s="223">
        <v>0.0</v>
      </c>
      <c r="K4021" s="317"/>
    </row>
    <row r="4022">
      <c r="B4022" s="223" t="s">
        <v>200</v>
      </c>
      <c r="C4022" s="223"/>
      <c r="D4022" s="316"/>
      <c r="H4022" s="223">
        <v>0.0</v>
      </c>
      <c r="K4022" s="317"/>
    </row>
    <row r="4023">
      <c r="B4023" s="223" t="s">
        <v>200</v>
      </c>
      <c r="C4023" s="223"/>
      <c r="D4023" s="316"/>
      <c r="H4023" s="223">
        <v>0.0</v>
      </c>
      <c r="K4023" s="317"/>
    </row>
    <row r="4024">
      <c r="B4024" s="223" t="s">
        <v>200</v>
      </c>
      <c r="C4024" s="223"/>
      <c r="D4024" s="316"/>
      <c r="H4024" s="223">
        <v>0.0</v>
      </c>
      <c r="K4024" s="317"/>
    </row>
    <row r="4025">
      <c r="B4025" s="223" t="s">
        <v>200</v>
      </c>
      <c r="C4025" s="223"/>
      <c r="D4025" s="316"/>
      <c r="H4025" s="223">
        <v>0.0</v>
      </c>
      <c r="K4025" s="317"/>
    </row>
    <row r="4026">
      <c r="B4026" s="223" t="s">
        <v>200</v>
      </c>
      <c r="C4026" s="223"/>
      <c r="D4026" s="316"/>
      <c r="H4026" s="223">
        <v>0.0</v>
      </c>
      <c r="K4026" s="317"/>
    </row>
    <row r="4027">
      <c r="B4027" s="223" t="s">
        <v>200</v>
      </c>
      <c r="C4027" s="223"/>
      <c r="D4027" s="316"/>
      <c r="H4027" s="223">
        <v>0.0</v>
      </c>
      <c r="K4027" s="317"/>
    </row>
    <row r="4028">
      <c r="B4028" s="223" t="s">
        <v>200</v>
      </c>
      <c r="C4028" s="223"/>
      <c r="D4028" s="316"/>
      <c r="H4028" s="223">
        <v>0.0</v>
      </c>
      <c r="K4028" s="317"/>
    </row>
    <row r="4029">
      <c r="B4029" s="223" t="s">
        <v>200</v>
      </c>
      <c r="C4029" s="223"/>
      <c r="D4029" s="316"/>
      <c r="H4029" s="223">
        <v>0.0</v>
      </c>
      <c r="K4029" s="317"/>
    </row>
    <row r="4030">
      <c r="B4030" s="223" t="s">
        <v>200</v>
      </c>
      <c r="C4030" s="223"/>
      <c r="D4030" s="316"/>
      <c r="H4030" s="223">
        <v>0.0</v>
      </c>
      <c r="K4030" s="317"/>
    </row>
    <row r="4031">
      <c r="B4031" s="223" t="s">
        <v>200</v>
      </c>
      <c r="C4031" s="223"/>
      <c r="D4031" s="316"/>
      <c r="H4031" s="223">
        <v>0.0</v>
      </c>
      <c r="K4031" s="317"/>
    </row>
    <row r="4032">
      <c r="B4032" s="223" t="s">
        <v>200</v>
      </c>
      <c r="C4032" s="223"/>
      <c r="D4032" s="316"/>
      <c r="H4032" s="223">
        <v>0.0</v>
      </c>
      <c r="K4032" s="317"/>
    </row>
    <row r="4033">
      <c r="B4033" s="223" t="s">
        <v>200</v>
      </c>
      <c r="C4033" s="223"/>
      <c r="D4033" s="316"/>
      <c r="H4033" s="223">
        <v>0.0</v>
      </c>
      <c r="K4033" s="317"/>
    </row>
    <row r="4034">
      <c r="B4034" s="223" t="s">
        <v>200</v>
      </c>
      <c r="C4034" s="223"/>
      <c r="D4034" s="316"/>
      <c r="H4034" s="223">
        <v>0.0</v>
      </c>
      <c r="K4034" s="317"/>
    </row>
    <row r="4035">
      <c r="B4035" s="223" t="s">
        <v>200</v>
      </c>
      <c r="C4035" s="223"/>
      <c r="D4035" s="316"/>
      <c r="H4035" s="223">
        <v>0.0</v>
      </c>
      <c r="K4035" s="317"/>
    </row>
    <row r="4036">
      <c r="B4036" s="223" t="s">
        <v>200</v>
      </c>
      <c r="C4036" s="223"/>
      <c r="D4036" s="316"/>
      <c r="H4036" s="223">
        <v>0.0</v>
      </c>
      <c r="K4036" s="317"/>
    </row>
    <row r="4037">
      <c r="B4037" s="223" t="s">
        <v>200</v>
      </c>
      <c r="C4037" s="223"/>
      <c r="D4037" s="316"/>
      <c r="H4037" s="223">
        <v>0.0</v>
      </c>
      <c r="K4037" s="317"/>
    </row>
    <row r="4038">
      <c r="B4038" s="223" t="s">
        <v>200</v>
      </c>
      <c r="C4038" s="223"/>
      <c r="D4038" s="316"/>
      <c r="H4038" s="223">
        <v>0.0</v>
      </c>
      <c r="K4038" s="317"/>
    </row>
    <row r="4039">
      <c r="B4039" s="223" t="s">
        <v>200</v>
      </c>
      <c r="C4039" s="223"/>
      <c r="D4039" s="316"/>
      <c r="H4039" s="223">
        <v>0.0</v>
      </c>
      <c r="K4039" s="317"/>
    </row>
    <row r="4040">
      <c r="B4040" s="223" t="s">
        <v>200</v>
      </c>
      <c r="C4040" s="223"/>
      <c r="D4040" s="316"/>
      <c r="H4040" s="223">
        <v>0.0</v>
      </c>
      <c r="K4040" s="317"/>
    </row>
    <row r="4041">
      <c r="B4041" s="223" t="s">
        <v>200</v>
      </c>
      <c r="C4041" s="223"/>
      <c r="D4041" s="316"/>
      <c r="H4041" s="223">
        <v>0.0</v>
      </c>
      <c r="K4041" s="317"/>
    </row>
    <row r="4042">
      <c r="B4042" s="223" t="s">
        <v>200</v>
      </c>
      <c r="C4042" s="223"/>
      <c r="D4042" s="316"/>
      <c r="H4042" s="223">
        <v>0.0</v>
      </c>
      <c r="K4042" s="317"/>
    </row>
    <row r="4043">
      <c r="B4043" s="223" t="s">
        <v>200</v>
      </c>
      <c r="C4043" s="223"/>
      <c r="D4043" s="316"/>
      <c r="H4043" s="223">
        <v>0.0</v>
      </c>
      <c r="K4043" s="317"/>
    </row>
    <row r="4044">
      <c r="B4044" s="223" t="s">
        <v>200</v>
      </c>
      <c r="C4044" s="223"/>
      <c r="D4044" s="316"/>
      <c r="H4044" s="223">
        <v>0.0</v>
      </c>
      <c r="K4044" s="317"/>
    </row>
    <row r="4045">
      <c r="B4045" s="223" t="s">
        <v>200</v>
      </c>
      <c r="C4045" s="223"/>
      <c r="D4045" s="316"/>
      <c r="H4045" s="223">
        <v>0.0</v>
      </c>
      <c r="K4045" s="317"/>
    </row>
    <row r="4046">
      <c r="B4046" s="223" t="s">
        <v>200</v>
      </c>
      <c r="C4046" s="223"/>
      <c r="D4046" s="316"/>
      <c r="H4046" s="223">
        <v>0.0</v>
      </c>
      <c r="K4046" s="317"/>
    </row>
    <row r="4047">
      <c r="B4047" s="223" t="s">
        <v>200</v>
      </c>
      <c r="C4047" s="223"/>
      <c r="D4047" s="316"/>
      <c r="H4047" s="223">
        <v>0.0</v>
      </c>
      <c r="K4047" s="317"/>
    </row>
    <row r="4048">
      <c r="B4048" s="223" t="s">
        <v>200</v>
      </c>
      <c r="C4048" s="223"/>
      <c r="D4048" s="316"/>
      <c r="H4048" s="223">
        <v>0.0</v>
      </c>
      <c r="K4048" s="317"/>
    </row>
    <row r="4049">
      <c r="B4049" s="223" t="s">
        <v>200</v>
      </c>
      <c r="C4049" s="223"/>
      <c r="D4049" s="316"/>
      <c r="H4049" s="223">
        <v>0.0</v>
      </c>
      <c r="K4049" s="317"/>
    </row>
    <row r="4050">
      <c r="B4050" s="223" t="s">
        <v>200</v>
      </c>
      <c r="C4050" s="223"/>
      <c r="D4050" s="316"/>
      <c r="H4050" s="223">
        <v>0.0</v>
      </c>
      <c r="K4050" s="317"/>
    </row>
    <row r="4051">
      <c r="B4051" s="223" t="s">
        <v>200</v>
      </c>
      <c r="C4051" s="223"/>
      <c r="D4051" s="316"/>
      <c r="H4051" s="223">
        <v>0.0</v>
      </c>
      <c r="K4051" s="317"/>
    </row>
    <row r="4052">
      <c r="B4052" s="223" t="s">
        <v>200</v>
      </c>
      <c r="C4052" s="223"/>
      <c r="D4052" s="316"/>
      <c r="H4052" s="223">
        <v>0.0</v>
      </c>
      <c r="K4052" s="317"/>
    </row>
    <row r="4053">
      <c r="B4053" s="223" t="s">
        <v>200</v>
      </c>
      <c r="C4053" s="223"/>
      <c r="D4053" s="316"/>
      <c r="H4053" s="223">
        <v>0.0</v>
      </c>
      <c r="K4053" s="317"/>
    </row>
    <row r="4054">
      <c r="B4054" s="223" t="s">
        <v>200</v>
      </c>
      <c r="C4054" s="223"/>
      <c r="D4054" s="316"/>
      <c r="H4054" s="223">
        <v>0.0</v>
      </c>
      <c r="K4054" s="317"/>
    </row>
    <row r="4055">
      <c r="B4055" s="223" t="s">
        <v>200</v>
      </c>
      <c r="C4055" s="223"/>
      <c r="D4055" s="316"/>
      <c r="H4055" s="223">
        <v>0.0</v>
      </c>
      <c r="K4055" s="317"/>
    </row>
    <row r="4056">
      <c r="B4056" s="223" t="s">
        <v>200</v>
      </c>
      <c r="C4056" s="223"/>
      <c r="D4056" s="316"/>
      <c r="H4056" s="223">
        <v>0.0</v>
      </c>
      <c r="K4056" s="317"/>
    </row>
    <row r="4057">
      <c r="B4057" s="223" t="s">
        <v>200</v>
      </c>
      <c r="C4057" s="223"/>
      <c r="D4057" s="316"/>
      <c r="H4057" s="223">
        <v>0.0</v>
      </c>
      <c r="K4057" s="317"/>
    </row>
    <row r="4058">
      <c r="B4058" s="223" t="s">
        <v>200</v>
      </c>
      <c r="C4058" s="223"/>
      <c r="D4058" s="316"/>
      <c r="H4058" s="223">
        <v>0.0</v>
      </c>
      <c r="K4058" s="317"/>
    </row>
    <row r="4059">
      <c r="B4059" s="223" t="s">
        <v>200</v>
      </c>
      <c r="C4059" s="223"/>
      <c r="D4059" s="316"/>
      <c r="H4059" s="223">
        <v>0.0</v>
      </c>
      <c r="K4059" s="317"/>
    </row>
    <row r="4060">
      <c r="B4060" s="223" t="s">
        <v>200</v>
      </c>
      <c r="C4060" s="223"/>
      <c r="D4060" s="316"/>
      <c r="H4060" s="223">
        <v>0.0</v>
      </c>
      <c r="K4060" s="317"/>
    </row>
    <row r="4061">
      <c r="B4061" s="223" t="s">
        <v>200</v>
      </c>
      <c r="C4061" s="223"/>
      <c r="D4061" s="316"/>
      <c r="H4061" s="223">
        <v>0.0</v>
      </c>
      <c r="K4061" s="317"/>
    </row>
    <row r="4062">
      <c r="B4062" s="223" t="s">
        <v>200</v>
      </c>
      <c r="C4062" s="223"/>
      <c r="D4062" s="316"/>
      <c r="H4062" s="223">
        <v>0.0</v>
      </c>
      <c r="K4062" s="317"/>
    </row>
    <row r="4063">
      <c r="B4063" s="223" t="s">
        <v>200</v>
      </c>
      <c r="C4063" s="223"/>
      <c r="D4063" s="316"/>
      <c r="H4063" s="223">
        <v>0.0</v>
      </c>
      <c r="K4063" s="317"/>
    </row>
    <row r="4064">
      <c r="B4064" s="223" t="s">
        <v>200</v>
      </c>
      <c r="C4064" s="223"/>
      <c r="D4064" s="316"/>
      <c r="H4064" s="223">
        <v>0.0</v>
      </c>
      <c r="K4064" s="317"/>
    </row>
    <row r="4065">
      <c r="B4065" s="223" t="s">
        <v>200</v>
      </c>
      <c r="C4065" s="223"/>
      <c r="D4065" s="316"/>
      <c r="H4065" s="223">
        <v>0.0</v>
      </c>
      <c r="K4065" s="317"/>
    </row>
    <row r="4066">
      <c r="B4066" s="223" t="s">
        <v>200</v>
      </c>
      <c r="C4066" s="223"/>
      <c r="D4066" s="316"/>
      <c r="H4066" s="223">
        <v>0.0</v>
      </c>
      <c r="K4066" s="317"/>
    </row>
    <row r="4067">
      <c r="B4067" s="223" t="s">
        <v>200</v>
      </c>
      <c r="C4067" s="223"/>
      <c r="D4067" s="316"/>
      <c r="H4067" s="223">
        <v>0.0</v>
      </c>
      <c r="K4067" s="317"/>
    </row>
    <row r="4068">
      <c r="B4068" s="223" t="s">
        <v>200</v>
      </c>
      <c r="C4068" s="223"/>
      <c r="D4068" s="316"/>
      <c r="H4068" s="223">
        <v>0.0</v>
      </c>
      <c r="K4068" s="317"/>
    </row>
    <row r="4069">
      <c r="B4069" s="223" t="s">
        <v>200</v>
      </c>
      <c r="C4069" s="223"/>
      <c r="D4069" s="316"/>
      <c r="H4069" s="223">
        <v>0.0</v>
      </c>
      <c r="K4069" s="317"/>
    </row>
    <row r="4070">
      <c r="B4070" s="223" t="s">
        <v>200</v>
      </c>
      <c r="C4070" s="223"/>
      <c r="D4070" s="316"/>
      <c r="H4070" s="223">
        <v>0.0</v>
      </c>
      <c r="K4070" s="317"/>
    </row>
    <row r="4071">
      <c r="B4071" s="223" t="s">
        <v>200</v>
      </c>
      <c r="C4071" s="223"/>
      <c r="D4071" s="316"/>
      <c r="H4071" s="223">
        <v>0.0</v>
      </c>
      <c r="K4071" s="317"/>
    </row>
    <row r="4072">
      <c r="B4072" s="223" t="s">
        <v>200</v>
      </c>
      <c r="C4072" s="223"/>
      <c r="D4072" s="316"/>
      <c r="H4072" s="223">
        <v>0.0</v>
      </c>
      <c r="K4072" s="317"/>
    </row>
    <row r="4073">
      <c r="B4073" s="223" t="s">
        <v>200</v>
      </c>
      <c r="C4073" s="223"/>
      <c r="D4073" s="316"/>
      <c r="H4073" s="223">
        <v>0.0</v>
      </c>
      <c r="K4073" s="317"/>
    </row>
    <row r="4074">
      <c r="B4074" s="223" t="s">
        <v>200</v>
      </c>
      <c r="C4074" s="223"/>
      <c r="D4074" s="316"/>
      <c r="H4074" s="223">
        <v>0.0</v>
      </c>
      <c r="K4074" s="317"/>
    </row>
    <row r="4075">
      <c r="B4075" s="223" t="s">
        <v>200</v>
      </c>
      <c r="C4075" s="223"/>
      <c r="D4075" s="316"/>
      <c r="H4075" s="223">
        <v>0.0</v>
      </c>
      <c r="K4075" s="317"/>
    </row>
    <row r="4076">
      <c r="B4076" s="223" t="s">
        <v>200</v>
      </c>
      <c r="C4076" s="223"/>
      <c r="D4076" s="316"/>
      <c r="H4076" s="223">
        <v>0.0</v>
      </c>
      <c r="K4076" s="317"/>
    </row>
    <row r="4077">
      <c r="B4077" s="223" t="s">
        <v>200</v>
      </c>
      <c r="C4077" s="223"/>
      <c r="D4077" s="316"/>
      <c r="H4077" s="223">
        <v>0.0</v>
      </c>
      <c r="K4077" s="317"/>
    </row>
    <row r="4078">
      <c r="B4078" s="223" t="s">
        <v>200</v>
      </c>
      <c r="C4078" s="223"/>
      <c r="D4078" s="316"/>
      <c r="H4078" s="223">
        <v>0.0</v>
      </c>
      <c r="K4078" s="317"/>
    </row>
    <row r="4079">
      <c r="B4079" s="223" t="s">
        <v>200</v>
      </c>
      <c r="C4079" s="223"/>
      <c r="D4079" s="316"/>
      <c r="H4079" s="223">
        <v>0.0</v>
      </c>
      <c r="K4079" s="317"/>
    </row>
    <row r="4080">
      <c r="B4080" s="223" t="s">
        <v>200</v>
      </c>
      <c r="C4080" s="223"/>
      <c r="D4080" s="316"/>
      <c r="H4080" s="223">
        <v>0.0</v>
      </c>
      <c r="K4080" s="317"/>
    </row>
    <row r="4081">
      <c r="B4081" s="223" t="s">
        <v>200</v>
      </c>
      <c r="C4081" s="223"/>
      <c r="D4081" s="316"/>
      <c r="H4081" s="223">
        <v>0.0</v>
      </c>
      <c r="K4081" s="317"/>
    </row>
    <row r="4082">
      <c r="B4082" s="223" t="s">
        <v>200</v>
      </c>
      <c r="C4082" s="223"/>
      <c r="D4082" s="316"/>
      <c r="H4082" s="223">
        <v>0.0</v>
      </c>
      <c r="K4082" s="317"/>
    </row>
    <row r="4083">
      <c r="B4083" s="223" t="s">
        <v>200</v>
      </c>
      <c r="C4083" s="223"/>
      <c r="D4083" s="316"/>
      <c r="H4083" s="223">
        <v>0.0</v>
      </c>
      <c r="K4083" s="317"/>
    </row>
    <row r="4084">
      <c r="B4084" s="223" t="s">
        <v>200</v>
      </c>
      <c r="C4084" s="223"/>
      <c r="D4084" s="316"/>
      <c r="H4084" s="223">
        <v>0.0</v>
      </c>
      <c r="K4084" s="317"/>
    </row>
    <row r="4085">
      <c r="B4085" s="223" t="s">
        <v>200</v>
      </c>
      <c r="C4085" s="223"/>
      <c r="D4085" s="316"/>
      <c r="H4085" s="223">
        <v>0.0</v>
      </c>
      <c r="K4085" s="317"/>
    </row>
    <row r="4086">
      <c r="B4086" s="223" t="s">
        <v>200</v>
      </c>
      <c r="C4086" s="223"/>
      <c r="D4086" s="316"/>
      <c r="H4086" s="223">
        <v>0.0</v>
      </c>
      <c r="K4086" s="317"/>
    </row>
    <row r="4087">
      <c r="B4087" s="223" t="s">
        <v>200</v>
      </c>
      <c r="C4087" s="223"/>
      <c r="D4087" s="316"/>
      <c r="H4087" s="223">
        <v>0.0</v>
      </c>
      <c r="K4087" s="317"/>
    </row>
    <row r="4088">
      <c r="B4088" s="223" t="s">
        <v>200</v>
      </c>
      <c r="C4088" s="223"/>
      <c r="D4088" s="316"/>
      <c r="H4088" s="223">
        <v>0.0</v>
      </c>
      <c r="K4088" s="317"/>
    </row>
    <row r="4089">
      <c r="B4089" s="223" t="s">
        <v>200</v>
      </c>
      <c r="C4089" s="223"/>
      <c r="D4089" s="316"/>
      <c r="H4089" s="223">
        <v>0.0</v>
      </c>
      <c r="K4089" s="317"/>
    </row>
    <row r="4090">
      <c r="B4090" s="223" t="s">
        <v>200</v>
      </c>
      <c r="C4090" s="223"/>
      <c r="D4090" s="316"/>
      <c r="H4090" s="223">
        <v>0.0</v>
      </c>
      <c r="K4090" s="317"/>
    </row>
    <row r="4091">
      <c r="B4091" s="223" t="s">
        <v>200</v>
      </c>
      <c r="C4091" s="223"/>
      <c r="D4091" s="316"/>
      <c r="H4091" s="223">
        <v>0.0</v>
      </c>
      <c r="K4091" s="317"/>
    </row>
    <row r="4092">
      <c r="B4092" s="223" t="s">
        <v>200</v>
      </c>
      <c r="C4092" s="223"/>
      <c r="D4092" s="316"/>
      <c r="H4092" s="223">
        <v>0.0</v>
      </c>
      <c r="K4092" s="317"/>
    </row>
    <row r="4093">
      <c r="B4093" s="223" t="s">
        <v>200</v>
      </c>
      <c r="C4093" s="223"/>
      <c r="D4093" s="316"/>
      <c r="H4093" s="223">
        <v>0.0</v>
      </c>
      <c r="K4093" s="317"/>
    </row>
    <row r="4094">
      <c r="B4094" s="223" t="s">
        <v>200</v>
      </c>
      <c r="C4094" s="223"/>
      <c r="D4094" s="316"/>
      <c r="H4094" s="223">
        <v>0.0</v>
      </c>
      <c r="K4094" s="317"/>
    </row>
    <row r="4095">
      <c r="B4095" s="223" t="s">
        <v>200</v>
      </c>
      <c r="C4095" s="223"/>
      <c r="D4095" s="316"/>
      <c r="H4095" s="223">
        <v>0.0</v>
      </c>
      <c r="K4095" s="317"/>
    </row>
    <row r="4096">
      <c r="B4096" s="223" t="s">
        <v>200</v>
      </c>
      <c r="C4096" s="223"/>
      <c r="D4096" s="316"/>
      <c r="H4096" s="223">
        <v>0.0</v>
      </c>
      <c r="K4096" s="317"/>
    </row>
    <row r="4097">
      <c r="B4097" s="223" t="s">
        <v>200</v>
      </c>
      <c r="C4097" s="223"/>
      <c r="D4097" s="316"/>
      <c r="H4097" s="223">
        <v>0.0</v>
      </c>
      <c r="K4097" s="317"/>
    </row>
    <row r="4098">
      <c r="B4098" s="223" t="s">
        <v>200</v>
      </c>
      <c r="C4098" s="223"/>
      <c r="D4098" s="316"/>
      <c r="H4098" s="223">
        <v>0.0</v>
      </c>
      <c r="K4098" s="317"/>
    </row>
    <row r="4099">
      <c r="B4099" s="223" t="s">
        <v>200</v>
      </c>
      <c r="C4099" s="223"/>
      <c r="D4099" s="316"/>
      <c r="H4099" s="223">
        <v>0.0</v>
      </c>
      <c r="K4099" s="317"/>
    </row>
    <row r="4100">
      <c r="B4100" s="223" t="s">
        <v>200</v>
      </c>
      <c r="C4100" s="223"/>
      <c r="D4100" s="316"/>
      <c r="H4100" s="223">
        <v>0.0</v>
      </c>
      <c r="K4100" s="317"/>
    </row>
    <row r="4101">
      <c r="B4101" s="223" t="s">
        <v>200</v>
      </c>
      <c r="C4101" s="223"/>
      <c r="D4101" s="316"/>
      <c r="H4101" s="223">
        <v>0.0</v>
      </c>
      <c r="K4101" s="317"/>
    </row>
    <row r="4102">
      <c r="B4102" s="223" t="s">
        <v>200</v>
      </c>
      <c r="C4102" s="223"/>
      <c r="D4102" s="316"/>
      <c r="H4102" s="223">
        <v>0.0</v>
      </c>
      <c r="K4102" s="317"/>
    </row>
    <row r="4103">
      <c r="B4103" s="223" t="s">
        <v>200</v>
      </c>
      <c r="C4103" s="223"/>
      <c r="D4103" s="316"/>
      <c r="H4103" s="223">
        <v>0.0</v>
      </c>
      <c r="K4103" s="317"/>
    </row>
    <row r="4104">
      <c r="B4104" s="223" t="s">
        <v>200</v>
      </c>
      <c r="C4104" s="223"/>
      <c r="D4104" s="316"/>
      <c r="H4104" s="223">
        <v>0.0</v>
      </c>
      <c r="K4104" s="317"/>
    </row>
    <row r="4105">
      <c r="B4105" s="223" t="s">
        <v>200</v>
      </c>
      <c r="C4105" s="223"/>
      <c r="D4105" s="316"/>
      <c r="H4105" s="223">
        <v>0.0</v>
      </c>
      <c r="K4105" s="317"/>
    </row>
    <row r="4106">
      <c r="B4106" s="223" t="s">
        <v>200</v>
      </c>
      <c r="C4106" s="223"/>
      <c r="D4106" s="316"/>
      <c r="H4106" s="223">
        <v>0.0</v>
      </c>
      <c r="K4106" s="317"/>
    </row>
    <row r="4107">
      <c r="B4107" s="223" t="s">
        <v>200</v>
      </c>
      <c r="C4107" s="223"/>
      <c r="D4107" s="316"/>
      <c r="H4107" s="223">
        <v>0.0</v>
      </c>
      <c r="K4107" s="317"/>
    </row>
    <row r="4108">
      <c r="B4108" s="223" t="s">
        <v>200</v>
      </c>
      <c r="C4108" s="223"/>
      <c r="D4108" s="316"/>
      <c r="H4108" s="223">
        <v>0.0</v>
      </c>
      <c r="K4108" s="317"/>
    </row>
    <row r="4109">
      <c r="B4109" s="223" t="s">
        <v>200</v>
      </c>
      <c r="C4109" s="223"/>
      <c r="D4109" s="316"/>
      <c r="H4109" s="223">
        <v>0.0</v>
      </c>
      <c r="K4109" s="317"/>
    </row>
    <row r="4110">
      <c r="B4110" s="223" t="s">
        <v>200</v>
      </c>
      <c r="C4110" s="223"/>
      <c r="D4110" s="316"/>
      <c r="H4110" s="223">
        <v>0.0</v>
      </c>
      <c r="K4110" s="317"/>
    </row>
    <row r="4111">
      <c r="B4111" s="223" t="s">
        <v>200</v>
      </c>
      <c r="C4111" s="223"/>
      <c r="D4111" s="316"/>
      <c r="H4111" s="223">
        <v>0.0</v>
      </c>
      <c r="K4111" s="317"/>
    </row>
    <row r="4112">
      <c r="B4112" s="223" t="s">
        <v>200</v>
      </c>
      <c r="C4112" s="223"/>
      <c r="D4112" s="316"/>
      <c r="H4112" s="223">
        <v>0.0</v>
      </c>
      <c r="K4112" s="317"/>
    </row>
    <row r="4113">
      <c r="B4113" s="223" t="s">
        <v>200</v>
      </c>
      <c r="C4113" s="223"/>
      <c r="D4113" s="316"/>
      <c r="H4113" s="223">
        <v>0.0</v>
      </c>
      <c r="K4113" s="317"/>
    </row>
    <row r="4114">
      <c r="B4114" s="223" t="s">
        <v>200</v>
      </c>
      <c r="C4114" s="223"/>
      <c r="D4114" s="316"/>
      <c r="H4114" s="223">
        <v>0.0</v>
      </c>
      <c r="K4114" s="317"/>
    </row>
    <row r="4115">
      <c r="B4115" s="223" t="s">
        <v>200</v>
      </c>
      <c r="C4115" s="223"/>
      <c r="D4115" s="316"/>
      <c r="H4115" s="223">
        <v>0.0</v>
      </c>
      <c r="K4115" s="317"/>
    </row>
    <row r="4116">
      <c r="B4116" s="223" t="s">
        <v>200</v>
      </c>
      <c r="C4116" s="223"/>
      <c r="D4116" s="316"/>
      <c r="H4116" s="223">
        <v>0.0</v>
      </c>
      <c r="K4116" s="317"/>
    </row>
    <row r="4117">
      <c r="B4117" s="223" t="s">
        <v>200</v>
      </c>
      <c r="C4117" s="223"/>
      <c r="D4117" s="316"/>
      <c r="H4117" s="223">
        <v>0.0</v>
      </c>
      <c r="K4117" s="317"/>
    </row>
    <row r="4118">
      <c r="B4118" s="223" t="s">
        <v>200</v>
      </c>
      <c r="C4118" s="223"/>
      <c r="D4118" s="316"/>
      <c r="H4118" s="223">
        <v>0.0</v>
      </c>
      <c r="K4118" s="317"/>
    </row>
    <row r="4119">
      <c r="B4119" s="223" t="s">
        <v>200</v>
      </c>
      <c r="C4119" s="223"/>
      <c r="D4119" s="316"/>
      <c r="H4119" s="223">
        <v>0.0</v>
      </c>
      <c r="K4119" s="317"/>
    </row>
    <row r="4120">
      <c r="B4120" s="223" t="s">
        <v>200</v>
      </c>
      <c r="C4120" s="223"/>
      <c r="D4120" s="316"/>
      <c r="H4120" s="223">
        <v>0.0</v>
      </c>
      <c r="K4120" s="317"/>
    </row>
    <row r="4121">
      <c r="B4121" s="223" t="s">
        <v>200</v>
      </c>
      <c r="C4121" s="223"/>
      <c r="D4121" s="316"/>
      <c r="H4121" s="223">
        <v>0.0</v>
      </c>
      <c r="K4121" s="317"/>
    </row>
    <row r="4122">
      <c r="B4122" s="223" t="s">
        <v>200</v>
      </c>
      <c r="C4122" s="223"/>
      <c r="D4122" s="316"/>
      <c r="H4122" s="223">
        <v>0.0</v>
      </c>
      <c r="K4122" s="317"/>
    </row>
    <row r="4123">
      <c r="B4123" s="223" t="s">
        <v>200</v>
      </c>
      <c r="C4123" s="223"/>
      <c r="D4123" s="316"/>
      <c r="H4123" s="223">
        <v>0.0</v>
      </c>
      <c r="K4123" s="317"/>
    </row>
    <row r="4124">
      <c r="B4124" s="223" t="s">
        <v>200</v>
      </c>
      <c r="C4124" s="223"/>
      <c r="D4124" s="316"/>
      <c r="H4124" s="223">
        <v>0.0</v>
      </c>
      <c r="K4124" s="317"/>
    </row>
    <row r="4125">
      <c r="B4125" s="223" t="s">
        <v>200</v>
      </c>
      <c r="C4125" s="223"/>
      <c r="D4125" s="316"/>
      <c r="H4125" s="223">
        <v>0.0</v>
      </c>
      <c r="K4125" s="317"/>
    </row>
    <row r="4126">
      <c r="B4126" s="223" t="s">
        <v>200</v>
      </c>
      <c r="C4126" s="223"/>
      <c r="D4126" s="316"/>
      <c r="H4126" s="223">
        <v>0.0</v>
      </c>
      <c r="K4126" s="317"/>
    </row>
    <row r="4127">
      <c r="B4127" s="223" t="s">
        <v>200</v>
      </c>
      <c r="C4127" s="223"/>
      <c r="D4127" s="316"/>
      <c r="H4127" s="223">
        <v>0.0</v>
      </c>
      <c r="K4127" s="317"/>
    </row>
    <row r="4128">
      <c r="B4128" s="223" t="s">
        <v>200</v>
      </c>
      <c r="C4128" s="223"/>
      <c r="D4128" s="316"/>
      <c r="H4128" s="223">
        <v>0.0</v>
      </c>
      <c r="K4128" s="317"/>
    </row>
    <row r="4129">
      <c r="B4129" s="223" t="s">
        <v>200</v>
      </c>
      <c r="C4129" s="223"/>
      <c r="D4129" s="316"/>
      <c r="H4129" s="223">
        <v>0.0</v>
      </c>
      <c r="K4129" s="317"/>
    </row>
    <row r="4130">
      <c r="B4130" s="223" t="s">
        <v>200</v>
      </c>
      <c r="C4130" s="223"/>
      <c r="D4130" s="316"/>
      <c r="H4130" s="223">
        <v>0.0</v>
      </c>
      <c r="K4130" s="317"/>
    </row>
    <row r="4131">
      <c r="B4131" s="223" t="s">
        <v>200</v>
      </c>
      <c r="C4131" s="223"/>
      <c r="D4131" s="316"/>
      <c r="H4131" s="223">
        <v>0.0</v>
      </c>
      <c r="K4131" s="317"/>
    </row>
    <row r="4132">
      <c r="B4132" s="223" t="s">
        <v>200</v>
      </c>
      <c r="C4132" s="223"/>
      <c r="D4132" s="316"/>
      <c r="H4132" s="223">
        <v>0.0</v>
      </c>
      <c r="K4132" s="317"/>
    </row>
    <row r="4133">
      <c r="B4133" s="223" t="s">
        <v>200</v>
      </c>
      <c r="C4133" s="223"/>
      <c r="D4133" s="316"/>
      <c r="H4133" s="223">
        <v>0.0</v>
      </c>
      <c r="K4133" s="317"/>
    </row>
    <row r="4134">
      <c r="B4134" s="223" t="s">
        <v>200</v>
      </c>
      <c r="C4134" s="223"/>
      <c r="D4134" s="316"/>
      <c r="H4134" s="223">
        <v>0.0</v>
      </c>
      <c r="K4134" s="317"/>
    </row>
    <row r="4135">
      <c r="B4135" s="223" t="s">
        <v>200</v>
      </c>
      <c r="C4135" s="223"/>
      <c r="D4135" s="316"/>
      <c r="H4135" s="223">
        <v>0.0</v>
      </c>
      <c r="K4135" s="317"/>
    </row>
    <row r="4136">
      <c r="B4136" s="223" t="s">
        <v>200</v>
      </c>
      <c r="C4136" s="223"/>
      <c r="D4136" s="316"/>
      <c r="H4136" s="223">
        <v>0.0</v>
      </c>
      <c r="K4136" s="317"/>
    </row>
    <row r="4137">
      <c r="B4137" s="223" t="s">
        <v>200</v>
      </c>
      <c r="C4137" s="223"/>
      <c r="D4137" s="316"/>
      <c r="H4137" s="223">
        <v>0.0</v>
      </c>
      <c r="K4137" s="317"/>
    </row>
    <row r="4138">
      <c r="B4138" s="223" t="s">
        <v>200</v>
      </c>
      <c r="C4138" s="223"/>
      <c r="D4138" s="316"/>
      <c r="H4138" s="223">
        <v>0.0</v>
      </c>
      <c r="K4138" s="317"/>
    </row>
    <row r="4139">
      <c r="B4139" s="223" t="s">
        <v>200</v>
      </c>
      <c r="C4139" s="223"/>
      <c r="D4139" s="316"/>
      <c r="H4139" s="223">
        <v>0.0</v>
      </c>
      <c r="K4139" s="317"/>
    </row>
    <row r="4140">
      <c r="B4140" s="223" t="s">
        <v>200</v>
      </c>
      <c r="C4140" s="223"/>
      <c r="D4140" s="316"/>
      <c r="H4140" s="223">
        <v>0.0</v>
      </c>
      <c r="K4140" s="317"/>
    </row>
    <row r="4141">
      <c r="B4141" s="223" t="s">
        <v>200</v>
      </c>
      <c r="C4141" s="223"/>
      <c r="D4141" s="316"/>
      <c r="H4141" s="223">
        <v>0.0</v>
      </c>
      <c r="K4141" s="317"/>
    </row>
    <row r="4142">
      <c r="B4142" s="223" t="s">
        <v>200</v>
      </c>
      <c r="C4142" s="223"/>
      <c r="D4142" s="316"/>
      <c r="H4142" s="223">
        <v>0.0</v>
      </c>
      <c r="K4142" s="317"/>
    </row>
    <row r="4143">
      <c r="B4143" s="223" t="s">
        <v>200</v>
      </c>
      <c r="C4143" s="223"/>
      <c r="D4143" s="316"/>
      <c r="H4143" s="223">
        <v>0.0</v>
      </c>
      <c r="K4143" s="317"/>
    </row>
    <row r="4144">
      <c r="B4144" s="223" t="s">
        <v>200</v>
      </c>
      <c r="C4144" s="223"/>
      <c r="D4144" s="316"/>
      <c r="H4144" s="223">
        <v>0.0</v>
      </c>
      <c r="K4144" s="317"/>
    </row>
    <row r="4145">
      <c r="B4145" s="223" t="s">
        <v>200</v>
      </c>
      <c r="C4145" s="223"/>
      <c r="D4145" s="316"/>
      <c r="H4145" s="223">
        <v>0.0</v>
      </c>
      <c r="K4145" s="317"/>
    </row>
    <row r="4146">
      <c r="B4146" s="223" t="s">
        <v>200</v>
      </c>
      <c r="C4146" s="223"/>
      <c r="D4146" s="316"/>
      <c r="H4146" s="223">
        <v>0.0</v>
      </c>
      <c r="K4146" s="317"/>
    </row>
    <row r="4147">
      <c r="B4147" s="223" t="s">
        <v>200</v>
      </c>
      <c r="C4147" s="223"/>
      <c r="D4147" s="316"/>
      <c r="H4147" s="223">
        <v>0.0</v>
      </c>
      <c r="K4147" s="317"/>
    </row>
    <row r="4148">
      <c r="B4148" s="223" t="s">
        <v>200</v>
      </c>
      <c r="C4148" s="223"/>
      <c r="D4148" s="316"/>
      <c r="H4148" s="223">
        <v>0.0</v>
      </c>
      <c r="K4148" s="317"/>
    </row>
    <row r="4149">
      <c r="B4149" s="223" t="s">
        <v>200</v>
      </c>
      <c r="C4149" s="223"/>
      <c r="D4149" s="316"/>
      <c r="H4149" s="223">
        <v>0.0</v>
      </c>
      <c r="K4149" s="317"/>
    </row>
    <row r="4150">
      <c r="B4150" s="223" t="s">
        <v>200</v>
      </c>
      <c r="C4150" s="223"/>
      <c r="D4150" s="316"/>
      <c r="H4150" s="223">
        <v>0.0</v>
      </c>
      <c r="K4150" s="317"/>
    </row>
    <row r="4151">
      <c r="B4151" s="223" t="s">
        <v>200</v>
      </c>
      <c r="C4151" s="223"/>
      <c r="D4151" s="316"/>
      <c r="H4151" s="223">
        <v>0.0</v>
      </c>
      <c r="K4151" s="317"/>
    </row>
    <row r="4152">
      <c r="B4152" s="223" t="s">
        <v>200</v>
      </c>
      <c r="C4152" s="223"/>
      <c r="D4152" s="316"/>
      <c r="H4152" s="223">
        <v>0.0</v>
      </c>
      <c r="K4152" s="317"/>
    </row>
    <row r="4153">
      <c r="B4153" s="223" t="s">
        <v>200</v>
      </c>
      <c r="C4153" s="223"/>
      <c r="D4153" s="316"/>
      <c r="H4153" s="223">
        <v>0.0</v>
      </c>
      <c r="K4153" s="317"/>
    </row>
    <row r="4154">
      <c r="B4154" s="223" t="s">
        <v>200</v>
      </c>
      <c r="C4154" s="223"/>
      <c r="D4154" s="316"/>
      <c r="H4154" s="223">
        <v>0.0</v>
      </c>
      <c r="K4154" s="317"/>
    </row>
    <row r="4155">
      <c r="B4155" s="223" t="s">
        <v>200</v>
      </c>
      <c r="C4155" s="223"/>
      <c r="D4155" s="316"/>
      <c r="H4155" s="223">
        <v>0.0</v>
      </c>
      <c r="K4155" s="317"/>
    </row>
    <row r="4156">
      <c r="B4156" s="223" t="s">
        <v>200</v>
      </c>
      <c r="C4156" s="223"/>
      <c r="D4156" s="316"/>
      <c r="H4156" s="223">
        <v>0.0</v>
      </c>
      <c r="K4156" s="317"/>
    </row>
    <row r="4157">
      <c r="B4157" s="223" t="s">
        <v>200</v>
      </c>
      <c r="C4157" s="223"/>
      <c r="D4157" s="316"/>
      <c r="H4157" s="223">
        <v>0.0</v>
      </c>
      <c r="K4157" s="317"/>
    </row>
    <row r="4158">
      <c r="B4158" s="223" t="s">
        <v>200</v>
      </c>
      <c r="C4158" s="223"/>
      <c r="D4158" s="316"/>
      <c r="H4158" s="223">
        <v>0.0</v>
      </c>
      <c r="K4158" s="317"/>
    </row>
    <row r="4159">
      <c r="B4159" s="223" t="s">
        <v>200</v>
      </c>
      <c r="C4159" s="223"/>
      <c r="D4159" s="316"/>
      <c r="H4159" s="223">
        <v>0.0</v>
      </c>
      <c r="K4159" s="317"/>
    </row>
    <row r="4160">
      <c r="B4160" s="223" t="s">
        <v>200</v>
      </c>
      <c r="C4160" s="223"/>
      <c r="D4160" s="316"/>
      <c r="H4160" s="223">
        <v>0.0</v>
      </c>
      <c r="K4160" s="317"/>
    </row>
    <row r="4161">
      <c r="B4161" s="223" t="s">
        <v>200</v>
      </c>
      <c r="C4161" s="223"/>
      <c r="D4161" s="316"/>
      <c r="H4161" s="223">
        <v>0.0</v>
      </c>
      <c r="K4161" s="317"/>
    </row>
    <row r="4162">
      <c r="B4162" s="223" t="s">
        <v>200</v>
      </c>
      <c r="C4162" s="223"/>
      <c r="D4162" s="316"/>
      <c r="H4162" s="223">
        <v>0.0</v>
      </c>
      <c r="K4162" s="317"/>
    </row>
    <row r="4163">
      <c r="B4163" s="223" t="s">
        <v>200</v>
      </c>
      <c r="C4163" s="223"/>
      <c r="D4163" s="316"/>
      <c r="H4163" s="223">
        <v>0.0</v>
      </c>
      <c r="K4163" s="317"/>
    </row>
    <row r="4164">
      <c r="B4164" s="223" t="s">
        <v>200</v>
      </c>
      <c r="C4164" s="223"/>
      <c r="D4164" s="316"/>
      <c r="H4164" s="223">
        <v>0.0</v>
      </c>
      <c r="K4164" s="317"/>
    </row>
    <row r="4165">
      <c r="B4165" s="223" t="s">
        <v>200</v>
      </c>
      <c r="C4165" s="223"/>
      <c r="D4165" s="316"/>
      <c r="H4165" s="223">
        <v>0.0</v>
      </c>
      <c r="K4165" s="317"/>
    </row>
    <row r="4166">
      <c r="B4166" s="223" t="s">
        <v>200</v>
      </c>
      <c r="C4166" s="223"/>
      <c r="D4166" s="316"/>
      <c r="H4166" s="223">
        <v>0.0</v>
      </c>
      <c r="K4166" s="317"/>
    </row>
    <row r="4167">
      <c r="B4167" s="223" t="s">
        <v>200</v>
      </c>
      <c r="C4167" s="223"/>
      <c r="D4167" s="316"/>
      <c r="H4167" s="223">
        <v>0.0</v>
      </c>
      <c r="K4167" s="317"/>
    </row>
    <row r="4168">
      <c r="B4168" s="223" t="s">
        <v>200</v>
      </c>
      <c r="C4168" s="223"/>
      <c r="D4168" s="316"/>
      <c r="H4168" s="223">
        <v>0.0</v>
      </c>
      <c r="K4168" s="317"/>
    </row>
    <row r="4169">
      <c r="B4169" s="223" t="s">
        <v>200</v>
      </c>
      <c r="C4169" s="223"/>
      <c r="D4169" s="316"/>
      <c r="H4169" s="223">
        <v>0.0</v>
      </c>
      <c r="K4169" s="317"/>
    </row>
    <row r="4170">
      <c r="B4170" s="223" t="s">
        <v>200</v>
      </c>
      <c r="C4170" s="223"/>
      <c r="D4170" s="316"/>
      <c r="H4170" s="223">
        <v>0.0</v>
      </c>
      <c r="K4170" s="317"/>
    </row>
    <row r="4171">
      <c r="B4171" s="223" t="s">
        <v>200</v>
      </c>
      <c r="C4171" s="223"/>
      <c r="D4171" s="316"/>
      <c r="H4171" s="223">
        <v>0.0</v>
      </c>
      <c r="K4171" s="317"/>
    </row>
    <row r="4172">
      <c r="B4172" s="223" t="s">
        <v>200</v>
      </c>
      <c r="C4172" s="223"/>
      <c r="D4172" s="316"/>
      <c r="H4172" s="223">
        <v>0.0</v>
      </c>
      <c r="K4172" s="317"/>
    </row>
    <row r="4173">
      <c r="B4173" s="223" t="s">
        <v>200</v>
      </c>
      <c r="C4173" s="223"/>
      <c r="D4173" s="316"/>
      <c r="H4173" s="223">
        <v>0.0</v>
      </c>
      <c r="K4173" s="317"/>
    </row>
    <row r="4174">
      <c r="B4174" s="223" t="s">
        <v>200</v>
      </c>
      <c r="C4174" s="223"/>
      <c r="D4174" s="316"/>
      <c r="H4174" s="223">
        <v>0.0</v>
      </c>
      <c r="K4174" s="317"/>
    </row>
    <row r="4175">
      <c r="B4175" s="223" t="s">
        <v>200</v>
      </c>
      <c r="C4175" s="223"/>
      <c r="D4175" s="316"/>
      <c r="H4175" s="223">
        <v>0.0</v>
      </c>
      <c r="K4175" s="317"/>
    </row>
    <row r="4176">
      <c r="B4176" s="223" t="s">
        <v>200</v>
      </c>
      <c r="C4176" s="223"/>
      <c r="D4176" s="316"/>
      <c r="H4176" s="223">
        <v>0.0</v>
      </c>
      <c r="K4176" s="317"/>
    </row>
    <row r="4177">
      <c r="B4177" s="223" t="s">
        <v>200</v>
      </c>
      <c r="C4177" s="223"/>
      <c r="D4177" s="316"/>
      <c r="H4177" s="223">
        <v>0.0</v>
      </c>
      <c r="K4177" s="317"/>
    </row>
    <row r="4178">
      <c r="B4178" s="223" t="s">
        <v>200</v>
      </c>
      <c r="C4178" s="223"/>
      <c r="D4178" s="316"/>
      <c r="H4178" s="223">
        <v>0.0</v>
      </c>
      <c r="K4178" s="317"/>
    </row>
    <row r="4179">
      <c r="B4179" s="223" t="s">
        <v>200</v>
      </c>
      <c r="C4179" s="223"/>
      <c r="D4179" s="316"/>
      <c r="H4179" s="223">
        <v>0.0</v>
      </c>
      <c r="K4179" s="317"/>
    </row>
    <row r="4180">
      <c r="B4180" s="223" t="s">
        <v>200</v>
      </c>
      <c r="C4180" s="223"/>
      <c r="D4180" s="316"/>
      <c r="H4180" s="223">
        <v>0.0</v>
      </c>
      <c r="K4180" s="317"/>
    </row>
    <row r="4181">
      <c r="B4181" s="223" t="s">
        <v>200</v>
      </c>
      <c r="C4181" s="223"/>
      <c r="D4181" s="316"/>
      <c r="H4181" s="223">
        <v>0.0</v>
      </c>
      <c r="K4181" s="317"/>
    </row>
    <row r="4182">
      <c r="B4182" s="223" t="s">
        <v>200</v>
      </c>
      <c r="C4182" s="223"/>
      <c r="D4182" s="316"/>
      <c r="H4182" s="223">
        <v>0.0</v>
      </c>
      <c r="K4182" s="317"/>
    </row>
    <row r="4183">
      <c r="B4183" s="223" t="s">
        <v>200</v>
      </c>
      <c r="C4183" s="223"/>
      <c r="D4183" s="316"/>
      <c r="H4183" s="223">
        <v>0.0</v>
      </c>
      <c r="K4183" s="317"/>
    </row>
    <row r="4184">
      <c r="B4184" s="223" t="s">
        <v>200</v>
      </c>
      <c r="C4184" s="223"/>
      <c r="D4184" s="316"/>
      <c r="H4184" s="223">
        <v>0.0</v>
      </c>
      <c r="K4184" s="317"/>
    </row>
    <row r="4185">
      <c r="B4185" s="223" t="s">
        <v>200</v>
      </c>
      <c r="C4185" s="223"/>
      <c r="D4185" s="316"/>
      <c r="H4185" s="223">
        <v>0.0</v>
      </c>
      <c r="K4185" s="317"/>
    </row>
    <row r="4186">
      <c r="B4186" s="223" t="s">
        <v>200</v>
      </c>
      <c r="C4186" s="223"/>
      <c r="D4186" s="316"/>
      <c r="H4186" s="223">
        <v>0.0</v>
      </c>
      <c r="K4186" s="317"/>
    </row>
    <row r="4187">
      <c r="B4187" s="223" t="s">
        <v>200</v>
      </c>
      <c r="C4187" s="223"/>
      <c r="D4187" s="316"/>
      <c r="H4187" s="223">
        <v>0.0</v>
      </c>
      <c r="K4187" s="317"/>
    </row>
    <row r="4188">
      <c r="B4188" s="223" t="s">
        <v>200</v>
      </c>
      <c r="C4188" s="223"/>
      <c r="D4188" s="316"/>
      <c r="H4188" s="223">
        <v>0.0</v>
      </c>
      <c r="K4188" s="317"/>
    </row>
    <row r="4189">
      <c r="B4189" s="223" t="s">
        <v>200</v>
      </c>
      <c r="C4189" s="223"/>
      <c r="D4189" s="316"/>
      <c r="H4189" s="223">
        <v>0.0</v>
      </c>
      <c r="K4189" s="317"/>
    </row>
    <row r="4190">
      <c r="B4190" s="223" t="s">
        <v>200</v>
      </c>
      <c r="C4190" s="223"/>
      <c r="D4190" s="316"/>
      <c r="H4190" s="223">
        <v>0.0</v>
      </c>
      <c r="K4190" s="317"/>
    </row>
    <row r="4191">
      <c r="B4191" s="223" t="s">
        <v>200</v>
      </c>
      <c r="C4191" s="223"/>
      <c r="D4191" s="316"/>
      <c r="H4191" s="223">
        <v>0.0</v>
      </c>
      <c r="K4191" s="317"/>
    </row>
    <row r="4192">
      <c r="B4192" s="223" t="s">
        <v>200</v>
      </c>
      <c r="C4192" s="223"/>
      <c r="D4192" s="316"/>
      <c r="H4192" s="223">
        <v>0.0</v>
      </c>
      <c r="K4192" s="317"/>
    </row>
    <row r="4193">
      <c r="B4193" s="223" t="s">
        <v>200</v>
      </c>
      <c r="C4193" s="223"/>
      <c r="D4193" s="316"/>
      <c r="H4193" s="223">
        <v>0.0</v>
      </c>
      <c r="K4193" s="317"/>
    </row>
    <row r="4194">
      <c r="B4194" s="223" t="s">
        <v>200</v>
      </c>
      <c r="C4194" s="223"/>
      <c r="D4194" s="316"/>
      <c r="H4194" s="223">
        <v>0.0</v>
      </c>
      <c r="K4194" s="317"/>
    </row>
    <row r="4195">
      <c r="B4195" s="223" t="s">
        <v>200</v>
      </c>
      <c r="C4195" s="223"/>
      <c r="D4195" s="316"/>
      <c r="H4195" s="223">
        <v>0.0</v>
      </c>
      <c r="K4195" s="317"/>
    </row>
    <row r="4196">
      <c r="B4196" s="223" t="s">
        <v>200</v>
      </c>
      <c r="C4196" s="223"/>
      <c r="D4196" s="316"/>
      <c r="H4196" s="223">
        <v>0.0</v>
      </c>
      <c r="K4196" s="317"/>
    </row>
    <row r="4197">
      <c r="B4197" s="223" t="s">
        <v>200</v>
      </c>
      <c r="C4197" s="223"/>
      <c r="D4197" s="316"/>
      <c r="H4197" s="223">
        <v>0.0</v>
      </c>
      <c r="K4197" s="317"/>
    </row>
    <row r="4198">
      <c r="B4198" s="223" t="s">
        <v>200</v>
      </c>
      <c r="C4198" s="223"/>
      <c r="D4198" s="316"/>
      <c r="H4198" s="223">
        <v>0.0</v>
      </c>
      <c r="K4198" s="317"/>
    </row>
    <row r="4199">
      <c r="B4199" s="223" t="s">
        <v>200</v>
      </c>
      <c r="C4199" s="223"/>
      <c r="D4199" s="316"/>
      <c r="H4199" s="223">
        <v>0.0</v>
      </c>
      <c r="K4199" s="317"/>
    </row>
    <row r="4200">
      <c r="B4200" s="223" t="s">
        <v>200</v>
      </c>
      <c r="C4200" s="223"/>
      <c r="D4200" s="316"/>
      <c r="H4200" s="223">
        <v>0.0</v>
      </c>
      <c r="K4200" s="317"/>
    </row>
    <row r="4201">
      <c r="B4201" s="223" t="s">
        <v>200</v>
      </c>
      <c r="C4201" s="223"/>
      <c r="D4201" s="316"/>
      <c r="H4201" s="223">
        <v>0.0</v>
      </c>
      <c r="K4201" s="317"/>
    </row>
    <row r="4202">
      <c r="B4202" s="223" t="s">
        <v>200</v>
      </c>
      <c r="C4202" s="223"/>
      <c r="D4202" s="316"/>
      <c r="H4202" s="223">
        <v>0.0</v>
      </c>
      <c r="K4202" s="317"/>
    </row>
    <row r="4203">
      <c r="B4203" s="223" t="s">
        <v>200</v>
      </c>
      <c r="C4203" s="223"/>
      <c r="D4203" s="316"/>
      <c r="H4203" s="223">
        <v>0.0</v>
      </c>
      <c r="K4203" s="317"/>
    </row>
    <row r="4204">
      <c r="B4204" s="223" t="s">
        <v>200</v>
      </c>
      <c r="C4204" s="223"/>
      <c r="D4204" s="316"/>
      <c r="H4204" s="223">
        <v>0.0</v>
      </c>
      <c r="K4204" s="317"/>
    </row>
    <row r="4205">
      <c r="B4205" s="223" t="s">
        <v>200</v>
      </c>
      <c r="C4205" s="223"/>
      <c r="D4205" s="316"/>
      <c r="H4205" s="223">
        <v>0.0</v>
      </c>
      <c r="K4205" s="317"/>
    </row>
    <row r="4206">
      <c r="B4206" s="223" t="s">
        <v>200</v>
      </c>
      <c r="C4206" s="223"/>
      <c r="D4206" s="316"/>
      <c r="H4206" s="223">
        <v>0.0</v>
      </c>
      <c r="K4206" s="317"/>
    </row>
    <row r="4207">
      <c r="B4207" s="223" t="s">
        <v>200</v>
      </c>
      <c r="C4207" s="223"/>
      <c r="D4207" s="316"/>
      <c r="H4207" s="223">
        <v>0.0</v>
      </c>
      <c r="K4207" s="317"/>
    </row>
    <row r="4208">
      <c r="B4208" s="223" t="s">
        <v>200</v>
      </c>
      <c r="C4208" s="223"/>
      <c r="D4208" s="316"/>
      <c r="H4208" s="223">
        <v>0.0</v>
      </c>
      <c r="K4208" s="317"/>
    </row>
    <row r="4209">
      <c r="B4209" s="223" t="s">
        <v>200</v>
      </c>
      <c r="C4209" s="223"/>
      <c r="D4209" s="316"/>
      <c r="H4209" s="223">
        <v>0.0</v>
      </c>
      <c r="K4209" s="317"/>
    </row>
    <row r="4210">
      <c r="B4210" s="223" t="s">
        <v>200</v>
      </c>
      <c r="C4210" s="223"/>
      <c r="D4210" s="316"/>
      <c r="H4210" s="223">
        <v>0.0</v>
      </c>
      <c r="K4210" s="317"/>
    </row>
    <row r="4211">
      <c r="B4211" s="223" t="s">
        <v>200</v>
      </c>
      <c r="C4211" s="223"/>
      <c r="D4211" s="316"/>
      <c r="H4211" s="223">
        <v>0.0</v>
      </c>
      <c r="K4211" s="317"/>
    </row>
    <row r="4212">
      <c r="B4212" s="223" t="s">
        <v>200</v>
      </c>
      <c r="C4212" s="223"/>
      <c r="D4212" s="316"/>
      <c r="H4212" s="223">
        <v>0.0</v>
      </c>
      <c r="K4212" s="317"/>
    </row>
    <row r="4213">
      <c r="B4213" s="223" t="s">
        <v>200</v>
      </c>
      <c r="C4213" s="223"/>
      <c r="D4213" s="316"/>
      <c r="H4213" s="223">
        <v>0.0</v>
      </c>
      <c r="K4213" s="317"/>
    </row>
    <row r="4214">
      <c r="B4214" s="223" t="s">
        <v>200</v>
      </c>
      <c r="C4214" s="223"/>
      <c r="D4214" s="316"/>
      <c r="H4214" s="223">
        <v>0.0</v>
      </c>
      <c r="K4214" s="317"/>
    </row>
    <row r="4215">
      <c r="B4215" s="223" t="s">
        <v>200</v>
      </c>
      <c r="C4215" s="223"/>
      <c r="D4215" s="316"/>
      <c r="H4215" s="223">
        <v>0.0</v>
      </c>
      <c r="K4215" s="317"/>
    </row>
    <row r="4216">
      <c r="B4216" s="223" t="s">
        <v>200</v>
      </c>
      <c r="C4216" s="223"/>
      <c r="D4216" s="316"/>
      <c r="H4216" s="223">
        <v>0.0</v>
      </c>
      <c r="K4216" s="317"/>
    </row>
    <row r="4217">
      <c r="B4217" s="223" t="s">
        <v>200</v>
      </c>
      <c r="C4217" s="223"/>
      <c r="D4217" s="316"/>
      <c r="H4217" s="223">
        <v>0.0</v>
      </c>
      <c r="K4217" s="317"/>
    </row>
    <row r="4218">
      <c r="B4218" s="223" t="s">
        <v>200</v>
      </c>
      <c r="C4218" s="223"/>
      <c r="D4218" s="316"/>
      <c r="H4218" s="223">
        <v>0.0</v>
      </c>
      <c r="K4218" s="317"/>
    </row>
    <row r="4219">
      <c r="B4219" s="223" t="s">
        <v>200</v>
      </c>
      <c r="C4219" s="223"/>
      <c r="D4219" s="316"/>
      <c r="H4219" s="223">
        <v>0.0</v>
      </c>
      <c r="K4219" s="317"/>
    </row>
    <row r="4220">
      <c r="B4220" s="223" t="s">
        <v>200</v>
      </c>
      <c r="C4220" s="223"/>
      <c r="D4220" s="316"/>
      <c r="H4220" s="223">
        <v>0.0</v>
      </c>
      <c r="K4220" s="317"/>
    </row>
    <row r="4221">
      <c r="B4221" s="223" t="s">
        <v>200</v>
      </c>
      <c r="C4221" s="223"/>
      <c r="D4221" s="316"/>
      <c r="H4221" s="223">
        <v>0.0</v>
      </c>
      <c r="K4221" s="317"/>
    </row>
    <row r="4222">
      <c r="B4222" s="223" t="s">
        <v>200</v>
      </c>
      <c r="C4222" s="223"/>
      <c r="D4222" s="316"/>
      <c r="H4222" s="223">
        <v>0.0</v>
      </c>
      <c r="K4222" s="317"/>
    </row>
    <row r="4223">
      <c r="B4223" s="223" t="s">
        <v>200</v>
      </c>
      <c r="C4223" s="223"/>
      <c r="D4223" s="316"/>
      <c r="H4223" s="223">
        <v>0.0</v>
      </c>
      <c r="K4223" s="317"/>
    </row>
    <row r="4224">
      <c r="B4224" s="223" t="s">
        <v>200</v>
      </c>
      <c r="C4224" s="223"/>
      <c r="D4224" s="316"/>
      <c r="H4224" s="223">
        <v>0.0</v>
      </c>
      <c r="K4224" s="317"/>
    </row>
    <row r="4225">
      <c r="B4225" s="223" t="s">
        <v>200</v>
      </c>
      <c r="C4225" s="223"/>
      <c r="D4225" s="316"/>
      <c r="H4225" s="223">
        <v>0.0</v>
      </c>
      <c r="K4225" s="317"/>
    </row>
    <row r="4226">
      <c r="B4226" s="223" t="s">
        <v>200</v>
      </c>
      <c r="C4226" s="223"/>
      <c r="D4226" s="316"/>
      <c r="H4226" s="223">
        <v>0.0</v>
      </c>
      <c r="K4226" s="317"/>
    </row>
    <row r="4227">
      <c r="B4227" s="223" t="s">
        <v>200</v>
      </c>
      <c r="C4227" s="223"/>
      <c r="D4227" s="316"/>
      <c r="H4227" s="223">
        <v>0.0</v>
      </c>
      <c r="K4227" s="317"/>
    </row>
    <row r="4228">
      <c r="B4228" s="223" t="s">
        <v>200</v>
      </c>
      <c r="C4228" s="223"/>
      <c r="D4228" s="316"/>
      <c r="H4228" s="223">
        <v>0.0</v>
      </c>
      <c r="K4228" s="317"/>
    </row>
    <row r="4229">
      <c r="B4229" s="223" t="s">
        <v>200</v>
      </c>
      <c r="C4229" s="223"/>
      <c r="D4229" s="316"/>
      <c r="H4229" s="223">
        <v>0.0</v>
      </c>
      <c r="K4229" s="317"/>
    </row>
    <row r="4230">
      <c r="B4230" s="223" t="s">
        <v>200</v>
      </c>
      <c r="C4230" s="223"/>
      <c r="D4230" s="316"/>
      <c r="H4230" s="223">
        <v>0.0</v>
      </c>
      <c r="K4230" s="317"/>
    </row>
    <row r="4231">
      <c r="B4231" s="223" t="s">
        <v>200</v>
      </c>
      <c r="C4231" s="223"/>
      <c r="D4231" s="316"/>
      <c r="H4231" s="223">
        <v>0.0</v>
      </c>
      <c r="K4231" s="317"/>
    </row>
    <row r="4232">
      <c r="B4232" s="223" t="s">
        <v>200</v>
      </c>
      <c r="C4232" s="223"/>
      <c r="D4232" s="316"/>
      <c r="H4232" s="223">
        <v>0.0</v>
      </c>
      <c r="K4232" s="317"/>
    </row>
    <row r="4233">
      <c r="B4233" s="223" t="s">
        <v>200</v>
      </c>
      <c r="C4233" s="223"/>
      <c r="D4233" s="316"/>
      <c r="H4233" s="223">
        <v>0.0</v>
      </c>
      <c r="K4233" s="317"/>
    </row>
    <row r="4234">
      <c r="B4234" s="223" t="s">
        <v>200</v>
      </c>
      <c r="C4234" s="223"/>
      <c r="D4234" s="316"/>
      <c r="H4234" s="223">
        <v>0.0</v>
      </c>
      <c r="K4234" s="317"/>
    </row>
    <row r="4235">
      <c r="B4235" s="223" t="s">
        <v>200</v>
      </c>
      <c r="C4235" s="223"/>
      <c r="D4235" s="316"/>
      <c r="H4235" s="223">
        <v>0.0</v>
      </c>
      <c r="K4235" s="317"/>
    </row>
    <row r="4236">
      <c r="B4236" s="223" t="s">
        <v>200</v>
      </c>
      <c r="C4236" s="223"/>
      <c r="D4236" s="316"/>
      <c r="H4236" s="223">
        <v>0.0</v>
      </c>
      <c r="K4236" s="317"/>
    </row>
    <row r="4237">
      <c r="B4237" s="223" t="s">
        <v>200</v>
      </c>
      <c r="C4237" s="223"/>
      <c r="D4237" s="316"/>
      <c r="H4237" s="223">
        <v>0.0</v>
      </c>
      <c r="K4237" s="317"/>
    </row>
    <row r="4238">
      <c r="B4238" s="223" t="s">
        <v>200</v>
      </c>
      <c r="C4238" s="223"/>
      <c r="D4238" s="316"/>
      <c r="H4238" s="223">
        <v>0.0</v>
      </c>
      <c r="K4238" s="317"/>
    </row>
    <row r="4239">
      <c r="B4239" s="223" t="s">
        <v>200</v>
      </c>
      <c r="C4239" s="223"/>
      <c r="D4239" s="316"/>
      <c r="H4239" s="223">
        <v>0.0</v>
      </c>
      <c r="K4239" s="317"/>
    </row>
    <row r="4240">
      <c r="B4240" s="223" t="s">
        <v>200</v>
      </c>
      <c r="C4240" s="223"/>
      <c r="D4240" s="316"/>
      <c r="H4240" s="223">
        <v>0.0</v>
      </c>
      <c r="K4240" s="317"/>
    </row>
    <row r="4241">
      <c r="B4241" s="223" t="s">
        <v>200</v>
      </c>
      <c r="C4241" s="223"/>
      <c r="D4241" s="316"/>
      <c r="H4241" s="223">
        <v>0.0</v>
      </c>
      <c r="K4241" s="317"/>
    </row>
    <row r="4242">
      <c r="B4242" s="223" t="s">
        <v>200</v>
      </c>
      <c r="C4242" s="223"/>
      <c r="D4242" s="316"/>
      <c r="H4242" s="223">
        <v>0.0</v>
      </c>
      <c r="K4242" s="317"/>
    </row>
    <row r="4243">
      <c r="B4243" s="223" t="s">
        <v>200</v>
      </c>
      <c r="C4243" s="223"/>
      <c r="D4243" s="316"/>
      <c r="H4243" s="223">
        <v>0.0</v>
      </c>
      <c r="K4243" s="317"/>
    </row>
    <row r="4244">
      <c r="B4244" s="223" t="s">
        <v>200</v>
      </c>
      <c r="C4244" s="223"/>
      <c r="D4244" s="316"/>
      <c r="H4244" s="223">
        <v>0.0</v>
      </c>
      <c r="K4244" s="317"/>
    </row>
    <row r="4245">
      <c r="B4245" s="223" t="s">
        <v>200</v>
      </c>
      <c r="C4245" s="223"/>
      <c r="D4245" s="316"/>
      <c r="H4245" s="223">
        <v>0.0</v>
      </c>
      <c r="K4245" s="317"/>
    </row>
    <row r="4246">
      <c r="B4246" s="223" t="s">
        <v>200</v>
      </c>
      <c r="C4246" s="223"/>
      <c r="D4246" s="316"/>
      <c r="H4246" s="223">
        <v>0.0</v>
      </c>
      <c r="K4246" s="317"/>
    </row>
    <row r="4247">
      <c r="B4247" s="223" t="s">
        <v>200</v>
      </c>
      <c r="C4247" s="223"/>
      <c r="D4247" s="316"/>
      <c r="H4247" s="223">
        <v>0.0</v>
      </c>
      <c r="K4247" s="317"/>
    </row>
    <row r="4248">
      <c r="B4248" s="223" t="s">
        <v>200</v>
      </c>
      <c r="C4248" s="223"/>
      <c r="D4248" s="316"/>
      <c r="H4248" s="223">
        <v>0.0</v>
      </c>
      <c r="K4248" s="317"/>
    </row>
    <row r="4249">
      <c r="B4249" s="223" t="s">
        <v>200</v>
      </c>
      <c r="C4249" s="223"/>
      <c r="D4249" s="316"/>
      <c r="H4249" s="223">
        <v>0.0</v>
      </c>
      <c r="K4249" s="317"/>
    </row>
    <row r="4250">
      <c r="B4250" s="223" t="s">
        <v>200</v>
      </c>
      <c r="C4250" s="223"/>
      <c r="D4250" s="316"/>
      <c r="H4250" s="223">
        <v>0.0</v>
      </c>
      <c r="K4250" s="317"/>
    </row>
    <row r="4251">
      <c r="B4251" s="223" t="s">
        <v>200</v>
      </c>
      <c r="C4251" s="223"/>
      <c r="D4251" s="316"/>
      <c r="H4251" s="223">
        <v>0.0</v>
      </c>
      <c r="K4251" s="317"/>
    </row>
    <row r="4252">
      <c r="B4252" s="223" t="s">
        <v>200</v>
      </c>
      <c r="C4252" s="223"/>
      <c r="D4252" s="316"/>
      <c r="H4252" s="223">
        <v>0.0</v>
      </c>
      <c r="K4252" s="317"/>
    </row>
    <row r="4253">
      <c r="B4253" s="223" t="s">
        <v>200</v>
      </c>
      <c r="C4253" s="223"/>
      <c r="D4253" s="316"/>
      <c r="H4253" s="223">
        <v>0.0</v>
      </c>
      <c r="K4253" s="317"/>
    </row>
    <row r="4254">
      <c r="B4254" s="223" t="s">
        <v>200</v>
      </c>
      <c r="C4254" s="223"/>
      <c r="D4254" s="316"/>
      <c r="H4254" s="223">
        <v>0.0</v>
      </c>
      <c r="K4254" s="317"/>
    </row>
    <row r="4255">
      <c r="B4255" s="223" t="s">
        <v>200</v>
      </c>
      <c r="C4255" s="223"/>
      <c r="D4255" s="316"/>
      <c r="H4255" s="223">
        <v>0.0</v>
      </c>
      <c r="K4255" s="317"/>
    </row>
    <row r="4256">
      <c r="B4256" s="223" t="s">
        <v>200</v>
      </c>
      <c r="C4256" s="223"/>
      <c r="D4256" s="316"/>
      <c r="H4256" s="223">
        <v>0.0</v>
      </c>
      <c r="K4256" s="317"/>
    </row>
    <row r="4257">
      <c r="B4257" s="223" t="s">
        <v>200</v>
      </c>
      <c r="C4257" s="223"/>
      <c r="D4257" s="316"/>
      <c r="H4257" s="223">
        <v>0.0</v>
      </c>
      <c r="K4257" s="317"/>
    </row>
    <row r="4258">
      <c r="B4258" s="223" t="s">
        <v>200</v>
      </c>
      <c r="C4258" s="223"/>
      <c r="D4258" s="316"/>
      <c r="H4258" s="223">
        <v>0.0</v>
      </c>
      <c r="K4258" s="317"/>
    </row>
    <row r="4259">
      <c r="B4259" s="223" t="s">
        <v>200</v>
      </c>
      <c r="C4259" s="223"/>
      <c r="D4259" s="316"/>
      <c r="H4259" s="223">
        <v>0.0</v>
      </c>
      <c r="K4259" s="317"/>
    </row>
    <row r="4260">
      <c r="B4260" s="223" t="s">
        <v>200</v>
      </c>
      <c r="C4260" s="223"/>
      <c r="D4260" s="316"/>
      <c r="H4260" s="223">
        <v>0.0</v>
      </c>
      <c r="K4260" s="317"/>
    </row>
    <row r="4261">
      <c r="B4261" s="223" t="s">
        <v>200</v>
      </c>
      <c r="C4261" s="223"/>
      <c r="D4261" s="316"/>
      <c r="H4261" s="223">
        <v>0.0</v>
      </c>
      <c r="K4261" s="317"/>
    </row>
    <row r="4262">
      <c r="B4262" s="223" t="s">
        <v>200</v>
      </c>
      <c r="C4262" s="223"/>
      <c r="D4262" s="316"/>
      <c r="H4262" s="223">
        <v>0.0</v>
      </c>
      <c r="K4262" s="317"/>
    </row>
    <row r="4263">
      <c r="B4263" s="223" t="s">
        <v>200</v>
      </c>
      <c r="C4263" s="223"/>
      <c r="D4263" s="316"/>
      <c r="H4263" s="223">
        <v>0.0</v>
      </c>
      <c r="K4263" s="317"/>
    </row>
    <row r="4264">
      <c r="B4264" s="223" t="s">
        <v>200</v>
      </c>
      <c r="C4264" s="223"/>
      <c r="D4264" s="316"/>
      <c r="H4264" s="223">
        <v>0.0</v>
      </c>
      <c r="K4264" s="317"/>
    </row>
    <row r="4265">
      <c r="B4265" s="223" t="s">
        <v>200</v>
      </c>
      <c r="C4265" s="223"/>
      <c r="D4265" s="316"/>
      <c r="H4265" s="223">
        <v>0.0</v>
      </c>
      <c r="K4265" s="317"/>
    </row>
    <row r="4266">
      <c r="B4266" s="223" t="s">
        <v>200</v>
      </c>
      <c r="C4266" s="223"/>
      <c r="D4266" s="316"/>
      <c r="H4266" s="223">
        <v>0.0</v>
      </c>
      <c r="K4266" s="317"/>
    </row>
    <row r="4267">
      <c r="B4267" s="223" t="s">
        <v>200</v>
      </c>
      <c r="C4267" s="223"/>
      <c r="D4267" s="316"/>
      <c r="H4267" s="223">
        <v>0.0</v>
      </c>
      <c r="K4267" s="317"/>
    </row>
    <row r="4268">
      <c r="B4268" s="223" t="s">
        <v>200</v>
      </c>
      <c r="C4268" s="223"/>
      <c r="D4268" s="316"/>
      <c r="H4268" s="223">
        <v>0.0</v>
      </c>
      <c r="K4268" s="317"/>
    </row>
    <row r="4269">
      <c r="B4269" s="223" t="s">
        <v>200</v>
      </c>
      <c r="C4269" s="223"/>
      <c r="D4269" s="316"/>
      <c r="H4269" s="223">
        <v>0.0</v>
      </c>
      <c r="K4269" s="317"/>
    </row>
    <row r="4270">
      <c r="B4270" s="223" t="s">
        <v>200</v>
      </c>
      <c r="C4270" s="223"/>
      <c r="D4270" s="316"/>
      <c r="H4270" s="223">
        <v>0.0</v>
      </c>
      <c r="K4270" s="317"/>
    </row>
    <row r="4271">
      <c r="B4271" s="223" t="s">
        <v>200</v>
      </c>
      <c r="C4271" s="223"/>
      <c r="D4271" s="316"/>
      <c r="H4271" s="223">
        <v>0.0</v>
      </c>
      <c r="K4271" s="317"/>
    </row>
    <row r="4272">
      <c r="B4272" s="223" t="s">
        <v>200</v>
      </c>
      <c r="C4272" s="223"/>
      <c r="D4272" s="316"/>
      <c r="H4272" s="223">
        <v>0.0</v>
      </c>
      <c r="K4272" s="317"/>
    </row>
    <row r="4273">
      <c r="B4273" s="223" t="s">
        <v>200</v>
      </c>
      <c r="C4273" s="223"/>
      <c r="D4273" s="316"/>
      <c r="H4273" s="223">
        <v>0.0</v>
      </c>
      <c r="K4273" s="317"/>
    </row>
    <row r="4274">
      <c r="B4274" s="223" t="s">
        <v>200</v>
      </c>
      <c r="C4274" s="223"/>
      <c r="D4274" s="316"/>
      <c r="H4274" s="223">
        <v>0.0</v>
      </c>
      <c r="K4274" s="317"/>
    </row>
    <row r="4275">
      <c r="B4275" s="223" t="s">
        <v>200</v>
      </c>
      <c r="C4275" s="223"/>
      <c r="D4275" s="316"/>
      <c r="H4275" s="223">
        <v>0.0</v>
      </c>
      <c r="K4275" s="317"/>
    </row>
    <row r="4276">
      <c r="B4276" s="223" t="s">
        <v>200</v>
      </c>
      <c r="C4276" s="223"/>
      <c r="D4276" s="316"/>
      <c r="H4276" s="223">
        <v>0.0</v>
      </c>
      <c r="K4276" s="317"/>
    </row>
    <row r="4277">
      <c r="B4277" s="223" t="s">
        <v>200</v>
      </c>
      <c r="C4277" s="223"/>
      <c r="D4277" s="316"/>
      <c r="H4277" s="223">
        <v>0.0</v>
      </c>
      <c r="K4277" s="317"/>
    </row>
    <row r="4278">
      <c r="B4278" s="223" t="s">
        <v>200</v>
      </c>
      <c r="C4278" s="223"/>
      <c r="D4278" s="316"/>
      <c r="H4278" s="223">
        <v>0.0</v>
      </c>
      <c r="K4278" s="317"/>
    </row>
    <row r="4279">
      <c r="B4279" s="223" t="s">
        <v>200</v>
      </c>
      <c r="C4279" s="223"/>
      <c r="D4279" s="316"/>
      <c r="H4279" s="223">
        <v>0.0</v>
      </c>
      <c r="K4279" s="317"/>
    </row>
    <row r="4280">
      <c r="B4280" s="223" t="s">
        <v>200</v>
      </c>
      <c r="C4280" s="223"/>
      <c r="D4280" s="316"/>
      <c r="H4280" s="223">
        <v>0.0</v>
      </c>
      <c r="K4280" s="317"/>
    </row>
    <row r="4281">
      <c r="B4281" s="223" t="s">
        <v>200</v>
      </c>
      <c r="C4281" s="223"/>
      <c r="D4281" s="316"/>
      <c r="H4281" s="223">
        <v>0.0</v>
      </c>
      <c r="K4281" s="317"/>
    </row>
    <row r="4282">
      <c r="B4282" s="223" t="s">
        <v>200</v>
      </c>
      <c r="C4282" s="223"/>
      <c r="D4282" s="316"/>
      <c r="H4282" s="223">
        <v>0.0</v>
      </c>
      <c r="K4282" s="317"/>
    </row>
    <row r="4283">
      <c r="B4283" s="223" t="s">
        <v>200</v>
      </c>
      <c r="C4283" s="223"/>
      <c r="D4283" s="316"/>
      <c r="H4283" s="223">
        <v>0.0</v>
      </c>
      <c r="K4283" s="317"/>
    </row>
    <row r="4284">
      <c r="B4284" s="223" t="s">
        <v>200</v>
      </c>
      <c r="C4284" s="223"/>
      <c r="D4284" s="316"/>
      <c r="H4284" s="223">
        <v>0.0</v>
      </c>
      <c r="K4284" s="317"/>
    </row>
    <row r="4285">
      <c r="B4285" s="223" t="s">
        <v>200</v>
      </c>
      <c r="C4285" s="223"/>
      <c r="D4285" s="316"/>
      <c r="H4285" s="223">
        <v>0.0</v>
      </c>
      <c r="K4285" s="317"/>
    </row>
    <row r="4286">
      <c r="B4286" s="223" t="s">
        <v>200</v>
      </c>
      <c r="C4286" s="223"/>
      <c r="D4286" s="316"/>
      <c r="H4286" s="223">
        <v>0.0</v>
      </c>
      <c r="K4286" s="317"/>
    </row>
    <row r="4287">
      <c r="B4287" s="223" t="s">
        <v>200</v>
      </c>
      <c r="C4287" s="223"/>
      <c r="D4287" s="316"/>
      <c r="H4287" s="223">
        <v>0.0</v>
      </c>
      <c r="K4287" s="317"/>
    </row>
    <row r="4288">
      <c r="B4288" s="223" t="s">
        <v>200</v>
      </c>
      <c r="C4288" s="223"/>
      <c r="D4288" s="316"/>
      <c r="H4288" s="223">
        <v>0.0</v>
      </c>
      <c r="K4288" s="317"/>
    </row>
    <row r="4289">
      <c r="B4289" s="223" t="s">
        <v>200</v>
      </c>
      <c r="C4289" s="223"/>
      <c r="D4289" s="316"/>
      <c r="H4289" s="223">
        <v>0.0</v>
      </c>
      <c r="K4289" s="317"/>
    </row>
    <row r="4290">
      <c r="B4290" s="223" t="s">
        <v>200</v>
      </c>
      <c r="C4290" s="223"/>
      <c r="D4290" s="316"/>
      <c r="H4290" s="223">
        <v>0.0</v>
      </c>
      <c r="K4290" s="317"/>
    </row>
    <row r="4291">
      <c r="B4291" s="223" t="s">
        <v>200</v>
      </c>
      <c r="C4291" s="223"/>
      <c r="D4291" s="316"/>
      <c r="H4291" s="223">
        <v>0.0</v>
      </c>
      <c r="K4291" s="317"/>
    </row>
    <row r="4292">
      <c r="B4292" s="223" t="s">
        <v>200</v>
      </c>
      <c r="C4292" s="223"/>
      <c r="D4292" s="316"/>
      <c r="H4292" s="223">
        <v>0.0</v>
      </c>
      <c r="K4292" s="317"/>
    </row>
    <row r="4293">
      <c r="B4293" s="223" t="s">
        <v>200</v>
      </c>
      <c r="C4293" s="223"/>
      <c r="D4293" s="316"/>
      <c r="H4293" s="223">
        <v>0.0</v>
      </c>
      <c r="K4293" s="317"/>
    </row>
    <row r="4294">
      <c r="B4294" s="223" t="s">
        <v>200</v>
      </c>
      <c r="C4294" s="223"/>
      <c r="D4294" s="316"/>
      <c r="H4294" s="223">
        <v>0.0</v>
      </c>
      <c r="K4294" s="317"/>
    </row>
    <row r="4295">
      <c r="B4295" s="223" t="s">
        <v>200</v>
      </c>
      <c r="C4295" s="223"/>
      <c r="D4295" s="316"/>
      <c r="H4295" s="223">
        <v>0.0</v>
      </c>
      <c r="K4295" s="317"/>
    </row>
    <row r="4296">
      <c r="B4296" s="223" t="s">
        <v>200</v>
      </c>
      <c r="C4296" s="223"/>
      <c r="D4296" s="316"/>
      <c r="H4296" s="223">
        <v>0.0</v>
      </c>
      <c r="K4296" s="317"/>
    </row>
    <row r="4297">
      <c r="B4297" s="223" t="s">
        <v>200</v>
      </c>
      <c r="C4297" s="223"/>
      <c r="D4297" s="316"/>
      <c r="H4297" s="223">
        <v>0.0</v>
      </c>
      <c r="K4297" s="317"/>
    </row>
    <row r="4298">
      <c r="B4298" s="223" t="s">
        <v>200</v>
      </c>
      <c r="C4298" s="223"/>
      <c r="D4298" s="316"/>
      <c r="H4298" s="223">
        <v>0.0</v>
      </c>
      <c r="K4298" s="317"/>
    </row>
    <row r="4299">
      <c r="B4299" s="223" t="s">
        <v>200</v>
      </c>
      <c r="C4299" s="223"/>
      <c r="D4299" s="316"/>
      <c r="H4299" s="223">
        <v>0.0</v>
      </c>
      <c r="K4299" s="317"/>
    </row>
    <row r="4300">
      <c r="B4300" s="223" t="s">
        <v>200</v>
      </c>
      <c r="C4300" s="223"/>
      <c r="D4300" s="316"/>
      <c r="H4300" s="223">
        <v>0.0</v>
      </c>
      <c r="K4300" s="317"/>
    </row>
    <row r="4301">
      <c r="B4301" s="223" t="s">
        <v>200</v>
      </c>
      <c r="C4301" s="223"/>
      <c r="D4301" s="316"/>
      <c r="H4301" s="223">
        <v>0.0</v>
      </c>
      <c r="K4301" s="317"/>
    </row>
    <row r="4302">
      <c r="B4302" s="223" t="s">
        <v>200</v>
      </c>
      <c r="C4302" s="223"/>
      <c r="D4302" s="316"/>
      <c r="H4302" s="223">
        <v>0.0</v>
      </c>
      <c r="K4302" s="317"/>
    </row>
    <row r="4303">
      <c r="B4303" s="223" t="s">
        <v>200</v>
      </c>
      <c r="C4303" s="223"/>
      <c r="D4303" s="316"/>
      <c r="H4303" s="223">
        <v>0.0</v>
      </c>
      <c r="K4303" s="317"/>
    </row>
    <row r="4304">
      <c r="B4304" s="223" t="s">
        <v>200</v>
      </c>
      <c r="C4304" s="223"/>
      <c r="D4304" s="316"/>
      <c r="H4304" s="223">
        <v>0.0</v>
      </c>
      <c r="K4304" s="317"/>
    </row>
    <row r="4305">
      <c r="B4305" s="223" t="s">
        <v>200</v>
      </c>
      <c r="C4305" s="223"/>
      <c r="D4305" s="316"/>
      <c r="H4305" s="223">
        <v>0.0</v>
      </c>
      <c r="K4305" s="317"/>
    </row>
    <row r="4306">
      <c r="B4306" s="223" t="s">
        <v>200</v>
      </c>
      <c r="C4306" s="223"/>
      <c r="D4306" s="316"/>
      <c r="H4306" s="223">
        <v>0.0</v>
      </c>
      <c r="K4306" s="317"/>
    </row>
    <row r="4307">
      <c r="B4307" s="223" t="s">
        <v>200</v>
      </c>
      <c r="C4307" s="223"/>
      <c r="D4307" s="316"/>
      <c r="H4307" s="223">
        <v>0.0</v>
      </c>
      <c r="K4307" s="317"/>
    </row>
    <row r="4308">
      <c r="B4308" s="223" t="s">
        <v>200</v>
      </c>
      <c r="C4308" s="223"/>
      <c r="D4308" s="316"/>
      <c r="H4308" s="223">
        <v>0.0</v>
      </c>
      <c r="K4308" s="317"/>
    </row>
    <row r="4309">
      <c r="B4309" s="223" t="s">
        <v>200</v>
      </c>
      <c r="C4309" s="223"/>
      <c r="D4309" s="316"/>
      <c r="H4309" s="223">
        <v>0.0</v>
      </c>
      <c r="K4309" s="317"/>
    </row>
    <row r="4310">
      <c r="B4310" s="223" t="s">
        <v>200</v>
      </c>
      <c r="C4310" s="223"/>
      <c r="D4310" s="316"/>
      <c r="H4310" s="223">
        <v>0.0</v>
      </c>
      <c r="K4310" s="317"/>
    </row>
    <row r="4311">
      <c r="B4311" s="223" t="s">
        <v>200</v>
      </c>
      <c r="C4311" s="223"/>
      <c r="D4311" s="316"/>
      <c r="H4311" s="223">
        <v>0.0</v>
      </c>
      <c r="K4311" s="317"/>
    </row>
    <row r="4312">
      <c r="B4312" s="223" t="s">
        <v>200</v>
      </c>
      <c r="C4312" s="223"/>
      <c r="D4312" s="316"/>
      <c r="H4312" s="223">
        <v>0.0</v>
      </c>
      <c r="K4312" s="317"/>
    </row>
    <row r="4313">
      <c r="B4313" s="223" t="s">
        <v>200</v>
      </c>
      <c r="C4313" s="223"/>
      <c r="D4313" s="316"/>
      <c r="H4313" s="223">
        <v>0.0</v>
      </c>
      <c r="K4313" s="317"/>
    </row>
    <row r="4314">
      <c r="B4314" s="223" t="s">
        <v>200</v>
      </c>
      <c r="C4314" s="223"/>
      <c r="D4314" s="316"/>
      <c r="H4314" s="223">
        <v>0.0</v>
      </c>
      <c r="K4314" s="317"/>
    </row>
    <row r="4315">
      <c r="B4315" s="223" t="s">
        <v>200</v>
      </c>
      <c r="C4315" s="223"/>
      <c r="D4315" s="316"/>
      <c r="H4315" s="223">
        <v>0.0</v>
      </c>
      <c r="K4315" s="317"/>
    </row>
    <row r="4316">
      <c r="B4316" s="223" t="s">
        <v>200</v>
      </c>
      <c r="C4316" s="223"/>
      <c r="D4316" s="316"/>
      <c r="H4316" s="223">
        <v>0.0</v>
      </c>
      <c r="K4316" s="317"/>
    </row>
    <row r="4317">
      <c r="B4317" s="223" t="s">
        <v>200</v>
      </c>
      <c r="C4317" s="223"/>
      <c r="D4317" s="316"/>
      <c r="H4317" s="223">
        <v>0.0</v>
      </c>
      <c r="K4317" s="317"/>
    </row>
    <row r="4318">
      <c r="B4318" s="223" t="s">
        <v>200</v>
      </c>
      <c r="C4318" s="223"/>
      <c r="D4318" s="316"/>
      <c r="H4318" s="223">
        <v>0.0</v>
      </c>
      <c r="K4318" s="317"/>
    </row>
    <row r="4319">
      <c r="B4319" s="223" t="s">
        <v>200</v>
      </c>
      <c r="C4319" s="223"/>
      <c r="D4319" s="316"/>
      <c r="H4319" s="223">
        <v>0.0</v>
      </c>
      <c r="K4319" s="317"/>
    </row>
    <row r="4320">
      <c r="B4320" s="223" t="s">
        <v>200</v>
      </c>
      <c r="C4320" s="223"/>
      <c r="D4320" s="316"/>
      <c r="H4320" s="223">
        <v>0.0</v>
      </c>
      <c r="K4320" s="317"/>
    </row>
    <row r="4321">
      <c r="B4321" s="223" t="s">
        <v>200</v>
      </c>
      <c r="C4321" s="223"/>
      <c r="D4321" s="316"/>
      <c r="H4321" s="223">
        <v>0.0</v>
      </c>
      <c r="K4321" s="317"/>
    </row>
    <row r="4322">
      <c r="B4322" s="223" t="s">
        <v>200</v>
      </c>
      <c r="C4322" s="223"/>
      <c r="D4322" s="316"/>
      <c r="H4322" s="223">
        <v>0.0</v>
      </c>
      <c r="K4322" s="317"/>
    </row>
    <row r="4323">
      <c r="B4323" s="223" t="s">
        <v>200</v>
      </c>
      <c r="C4323" s="223"/>
      <c r="D4323" s="316"/>
      <c r="H4323" s="223">
        <v>0.0</v>
      </c>
      <c r="K4323" s="317"/>
    </row>
    <row r="4324">
      <c r="B4324" s="223" t="s">
        <v>200</v>
      </c>
      <c r="C4324" s="223"/>
      <c r="D4324" s="316"/>
      <c r="H4324" s="223">
        <v>0.0</v>
      </c>
      <c r="K4324" s="317"/>
    </row>
    <row r="4325">
      <c r="B4325" s="223" t="s">
        <v>200</v>
      </c>
      <c r="C4325" s="223"/>
      <c r="D4325" s="316"/>
      <c r="H4325" s="223">
        <v>0.0</v>
      </c>
      <c r="K4325" s="317"/>
    </row>
    <row r="4326">
      <c r="B4326" s="223" t="s">
        <v>200</v>
      </c>
      <c r="C4326" s="223"/>
      <c r="D4326" s="316"/>
      <c r="H4326" s="223">
        <v>0.0</v>
      </c>
      <c r="K4326" s="317"/>
    </row>
    <row r="4327">
      <c r="B4327" s="223" t="s">
        <v>200</v>
      </c>
      <c r="C4327" s="223"/>
      <c r="D4327" s="316"/>
      <c r="H4327" s="223">
        <v>0.0</v>
      </c>
      <c r="K4327" s="317"/>
    </row>
    <row r="4328">
      <c r="B4328" s="223" t="s">
        <v>200</v>
      </c>
      <c r="C4328" s="223"/>
      <c r="D4328" s="316"/>
      <c r="H4328" s="223">
        <v>0.0</v>
      </c>
      <c r="K4328" s="317"/>
    </row>
    <row r="4329">
      <c r="B4329" s="223" t="s">
        <v>200</v>
      </c>
      <c r="C4329" s="223"/>
      <c r="D4329" s="316"/>
      <c r="H4329" s="223">
        <v>0.0</v>
      </c>
      <c r="K4329" s="317"/>
    </row>
    <row r="4330">
      <c r="B4330" s="223" t="s">
        <v>200</v>
      </c>
      <c r="C4330" s="223"/>
      <c r="D4330" s="316"/>
      <c r="H4330" s="223">
        <v>0.0</v>
      </c>
      <c r="K4330" s="317"/>
    </row>
    <row r="4331">
      <c r="B4331" s="223" t="s">
        <v>200</v>
      </c>
      <c r="C4331" s="223"/>
      <c r="D4331" s="316"/>
      <c r="H4331" s="223">
        <v>0.0</v>
      </c>
      <c r="K4331" s="317"/>
    </row>
    <row r="4332">
      <c r="B4332" s="223" t="s">
        <v>200</v>
      </c>
      <c r="C4332" s="223"/>
      <c r="D4332" s="316"/>
      <c r="H4332" s="223">
        <v>0.0</v>
      </c>
      <c r="K4332" s="317"/>
    </row>
    <row r="4333">
      <c r="B4333" s="223" t="s">
        <v>200</v>
      </c>
      <c r="C4333" s="223"/>
      <c r="D4333" s="316"/>
      <c r="H4333" s="223">
        <v>0.0</v>
      </c>
      <c r="K4333" s="317"/>
    </row>
    <row r="4334">
      <c r="B4334" s="223" t="s">
        <v>200</v>
      </c>
      <c r="C4334" s="223"/>
      <c r="D4334" s="316"/>
      <c r="H4334" s="223">
        <v>0.0</v>
      </c>
      <c r="K4334" s="317"/>
    </row>
    <row r="4335">
      <c r="B4335" s="223" t="s">
        <v>200</v>
      </c>
      <c r="C4335" s="223"/>
      <c r="D4335" s="316"/>
      <c r="H4335" s="223">
        <v>0.0</v>
      </c>
      <c r="K4335" s="317"/>
    </row>
    <row r="4336">
      <c r="B4336" s="223" t="s">
        <v>200</v>
      </c>
      <c r="C4336" s="223"/>
      <c r="D4336" s="316"/>
      <c r="H4336" s="223">
        <v>0.0</v>
      </c>
      <c r="K4336" s="317"/>
    </row>
    <row r="4337">
      <c r="B4337" s="223" t="s">
        <v>200</v>
      </c>
      <c r="C4337" s="223"/>
      <c r="D4337" s="316"/>
      <c r="H4337" s="223">
        <v>0.0</v>
      </c>
      <c r="K4337" s="317"/>
    </row>
    <row r="4338">
      <c r="B4338" s="223" t="s">
        <v>200</v>
      </c>
      <c r="C4338" s="223"/>
      <c r="D4338" s="316"/>
      <c r="H4338" s="223">
        <v>0.0</v>
      </c>
      <c r="K4338" s="317"/>
    </row>
    <row r="4339">
      <c r="B4339" s="223" t="s">
        <v>200</v>
      </c>
      <c r="C4339" s="223"/>
      <c r="D4339" s="316"/>
      <c r="H4339" s="223">
        <v>0.0</v>
      </c>
      <c r="K4339" s="317"/>
    </row>
    <row r="4340">
      <c r="B4340" s="223" t="s">
        <v>200</v>
      </c>
      <c r="C4340" s="223"/>
      <c r="D4340" s="316"/>
      <c r="H4340" s="223">
        <v>0.0</v>
      </c>
      <c r="K4340" s="317"/>
    </row>
    <row r="4341">
      <c r="B4341" s="223" t="s">
        <v>200</v>
      </c>
      <c r="C4341" s="223"/>
      <c r="D4341" s="316"/>
      <c r="H4341" s="223">
        <v>0.0</v>
      </c>
      <c r="K4341" s="317"/>
    </row>
    <row r="4342">
      <c r="B4342" s="223" t="s">
        <v>200</v>
      </c>
      <c r="C4342" s="223"/>
      <c r="D4342" s="316"/>
      <c r="H4342" s="223">
        <v>0.0</v>
      </c>
      <c r="K4342" s="317"/>
    </row>
    <row r="4343">
      <c r="B4343" s="223" t="s">
        <v>200</v>
      </c>
      <c r="C4343" s="223"/>
      <c r="D4343" s="316"/>
      <c r="H4343" s="223">
        <v>0.0</v>
      </c>
      <c r="K4343" s="317"/>
    </row>
    <row r="4344">
      <c r="B4344" s="223" t="s">
        <v>200</v>
      </c>
      <c r="C4344" s="223"/>
      <c r="D4344" s="316"/>
      <c r="H4344" s="223">
        <v>0.0</v>
      </c>
      <c r="K4344" s="317"/>
    </row>
    <row r="4345">
      <c r="B4345" s="223" t="s">
        <v>200</v>
      </c>
      <c r="C4345" s="223"/>
      <c r="D4345" s="316"/>
      <c r="H4345" s="223">
        <v>0.0</v>
      </c>
      <c r="K4345" s="317"/>
    </row>
    <row r="4346">
      <c r="B4346" s="223" t="s">
        <v>200</v>
      </c>
      <c r="C4346" s="223"/>
      <c r="D4346" s="316"/>
      <c r="H4346" s="223">
        <v>0.0</v>
      </c>
      <c r="K4346" s="317"/>
    </row>
    <row r="4347">
      <c r="B4347" s="223" t="s">
        <v>200</v>
      </c>
      <c r="C4347" s="223"/>
      <c r="D4347" s="316"/>
      <c r="H4347" s="223">
        <v>0.0</v>
      </c>
      <c r="K4347" s="317"/>
    </row>
    <row r="4348">
      <c r="B4348" s="223" t="s">
        <v>200</v>
      </c>
      <c r="C4348" s="223"/>
      <c r="D4348" s="316"/>
      <c r="H4348" s="223">
        <v>0.0</v>
      </c>
      <c r="K4348" s="317"/>
    </row>
    <row r="4349">
      <c r="B4349" s="223" t="s">
        <v>200</v>
      </c>
      <c r="C4349" s="223"/>
      <c r="D4349" s="316"/>
      <c r="H4349" s="223">
        <v>0.0</v>
      </c>
      <c r="K4349" s="317"/>
    </row>
    <row r="4350">
      <c r="B4350" s="223" t="s">
        <v>200</v>
      </c>
      <c r="C4350" s="223"/>
      <c r="D4350" s="316"/>
      <c r="H4350" s="223">
        <v>0.0</v>
      </c>
      <c r="K4350" s="317"/>
    </row>
    <row r="4351">
      <c r="B4351" s="223" t="s">
        <v>200</v>
      </c>
      <c r="C4351" s="223"/>
      <c r="D4351" s="316"/>
      <c r="H4351" s="223">
        <v>0.0</v>
      </c>
      <c r="K4351" s="317"/>
    </row>
    <row r="4352">
      <c r="B4352" s="223" t="s">
        <v>200</v>
      </c>
      <c r="C4352" s="223"/>
      <c r="D4352" s="316"/>
      <c r="H4352" s="223">
        <v>0.0</v>
      </c>
      <c r="K4352" s="317"/>
    </row>
    <row r="4353">
      <c r="B4353" s="223" t="s">
        <v>200</v>
      </c>
      <c r="C4353" s="223"/>
      <c r="D4353" s="316"/>
      <c r="H4353" s="223">
        <v>0.0</v>
      </c>
      <c r="K4353" s="317"/>
    </row>
    <row r="4354">
      <c r="B4354" s="223" t="s">
        <v>200</v>
      </c>
      <c r="C4354" s="223"/>
      <c r="D4354" s="316"/>
      <c r="H4354" s="223">
        <v>0.0</v>
      </c>
      <c r="K4354" s="317"/>
    </row>
    <row r="4355">
      <c r="B4355" s="223" t="s">
        <v>200</v>
      </c>
      <c r="C4355" s="223"/>
      <c r="D4355" s="316"/>
      <c r="H4355" s="223">
        <v>0.0</v>
      </c>
      <c r="K4355" s="317"/>
    </row>
    <row r="4356">
      <c r="B4356" s="223" t="s">
        <v>200</v>
      </c>
      <c r="C4356" s="223"/>
      <c r="D4356" s="316"/>
      <c r="H4356" s="223">
        <v>0.0</v>
      </c>
      <c r="K4356" s="317"/>
    </row>
    <row r="4357">
      <c r="B4357" s="223" t="s">
        <v>200</v>
      </c>
      <c r="C4357" s="223"/>
      <c r="D4357" s="316"/>
      <c r="H4357" s="223">
        <v>0.0</v>
      </c>
      <c r="K4357" s="317"/>
    </row>
    <row r="4358">
      <c r="B4358" s="223" t="s">
        <v>200</v>
      </c>
      <c r="C4358" s="223"/>
      <c r="D4358" s="316"/>
      <c r="H4358" s="223">
        <v>0.0</v>
      </c>
      <c r="K4358" s="317"/>
    </row>
    <row r="4359">
      <c r="B4359" s="223" t="s">
        <v>200</v>
      </c>
      <c r="C4359" s="223"/>
      <c r="D4359" s="316"/>
      <c r="H4359" s="223">
        <v>0.0</v>
      </c>
      <c r="K4359" s="317"/>
    </row>
    <row r="4360">
      <c r="B4360" s="223" t="s">
        <v>200</v>
      </c>
      <c r="C4360" s="223"/>
      <c r="D4360" s="316"/>
      <c r="H4360" s="223">
        <v>0.0</v>
      </c>
      <c r="K4360" s="317"/>
    </row>
    <row r="4361">
      <c r="B4361" s="223" t="s">
        <v>200</v>
      </c>
      <c r="C4361" s="223"/>
      <c r="D4361" s="316"/>
      <c r="H4361" s="223">
        <v>0.0</v>
      </c>
      <c r="K4361" s="317"/>
    </row>
    <row r="4362">
      <c r="B4362" s="223" t="s">
        <v>200</v>
      </c>
      <c r="C4362" s="223"/>
      <c r="D4362" s="316"/>
      <c r="H4362" s="223">
        <v>0.0</v>
      </c>
      <c r="K4362" s="317"/>
    </row>
    <row r="4363">
      <c r="B4363" s="223" t="s">
        <v>200</v>
      </c>
      <c r="C4363" s="223"/>
      <c r="D4363" s="316"/>
      <c r="H4363" s="223">
        <v>0.0</v>
      </c>
      <c r="K4363" s="317"/>
    </row>
    <row r="4364">
      <c r="B4364" s="223" t="s">
        <v>200</v>
      </c>
      <c r="C4364" s="223"/>
      <c r="D4364" s="316"/>
      <c r="H4364" s="223">
        <v>0.0</v>
      </c>
      <c r="K4364" s="317"/>
    </row>
    <row r="4365">
      <c r="B4365" s="223" t="s">
        <v>200</v>
      </c>
      <c r="C4365" s="223"/>
      <c r="D4365" s="316"/>
      <c r="H4365" s="223">
        <v>0.0</v>
      </c>
      <c r="K4365" s="317"/>
    </row>
    <row r="4366">
      <c r="B4366" s="223" t="s">
        <v>200</v>
      </c>
      <c r="C4366" s="223"/>
      <c r="D4366" s="316"/>
      <c r="H4366" s="223">
        <v>0.0</v>
      </c>
      <c r="K4366" s="317"/>
    </row>
    <row r="4367">
      <c r="B4367" s="223" t="s">
        <v>200</v>
      </c>
      <c r="C4367" s="223"/>
      <c r="D4367" s="316"/>
      <c r="H4367" s="223">
        <v>0.0</v>
      </c>
      <c r="K4367" s="317"/>
    </row>
    <row r="4368">
      <c r="B4368" s="223" t="s">
        <v>200</v>
      </c>
      <c r="C4368" s="223"/>
      <c r="D4368" s="316"/>
      <c r="H4368" s="223">
        <v>0.0</v>
      </c>
      <c r="K4368" s="317"/>
    </row>
    <row r="4369">
      <c r="B4369" s="223" t="s">
        <v>200</v>
      </c>
      <c r="C4369" s="223"/>
      <c r="D4369" s="316"/>
      <c r="H4369" s="223">
        <v>0.0</v>
      </c>
      <c r="K4369" s="317"/>
    </row>
    <row r="4370">
      <c r="B4370" s="223" t="s">
        <v>200</v>
      </c>
      <c r="C4370" s="223"/>
      <c r="D4370" s="316"/>
      <c r="H4370" s="223">
        <v>0.0</v>
      </c>
      <c r="K4370" s="317"/>
    </row>
    <row r="4371">
      <c r="B4371" s="223" t="s">
        <v>200</v>
      </c>
      <c r="C4371" s="223"/>
      <c r="D4371" s="316"/>
      <c r="H4371" s="223">
        <v>0.0</v>
      </c>
      <c r="K4371" s="317"/>
    </row>
    <row r="4372">
      <c r="B4372" s="223" t="s">
        <v>200</v>
      </c>
      <c r="C4372" s="223"/>
      <c r="D4372" s="316"/>
      <c r="H4372" s="223">
        <v>0.0</v>
      </c>
      <c r="K4372" s="317"/>
    </row>
    <row r="4373">
      <c r="B4373" s="223" t="s">
        <v>200</v>
      </c>
      <c r="C4373" s="223"/>
      <c r="D4373" s="316"/>
      <c r="H4373" s="223">
        <v>0.0</v>
      </c>
      <c r="K4373" s="317"/>
    </row>
    <row r="4374">
      <c r="B4374" s="223" t="s">
        <v>200</v>
      </c>
      <c r="C4374" s="223"/>
      <c r="D4374" s="316"/>
      <c r="H4374" s="223">
        <v>0.0</v>
      </c>
      <c r="K4374" s="317"/>
    </row>
    <row r="4375">
      <c r="B4375" s="223" t="s">
        <v>200</v>
      </c>
      <c r="C4375" s="223"/>
      <c r="D4375" s="316"/>
      <c r="H4375" s="223">
        <v>0.0</v>
      </c>
      <c r="K4375" s="317"/>
    </row>
    <row r="4376">
      <c r="B4376" s="223" t="s">
        <v>200</v>
      </c>
      <c r="C4376" s="223"/>
      <c r="D4376" s="316"/>
      <c r="H4376" s="223">
        <v>0.0</v>
      </c>
      <c r="K4376" s="317"/>
    </row>
    <row r="4377">
      <c r="B4377" s="223" t="s">
        <v>200</v>
      </c>
      <c r="C4377" s="223"/>
      <c r="D4377" s="316"/>
      <c r="H4377" s="223">
        <v>0.0</v>
      </c>
      <c r="K4377" s="317"/>
    </row>
    <row r="4378">
      <c r="B4378" s="223" t="s">
        <v>200</v>
      </c>
      <c r="C4378" s="223"/>
      <c r="D4378" s="316"/>
      <c r="H4378" s="223">
        <v>0.0</v>
      </c>
      <c r="K4378" s="317"/>
    </row>
    <row r="4379">
      <c r="B4379" s="223" t="s">
        <v>200</v>
      </c>
      <c r="C4379" s="223"/>
      <c r="D4379" s="316"/>
      <c r="H4379" s="223">
        <v>0.0</v>
      </c>
      <c r="K4379" s="317"/>
    </row>
    <row r="4380">
      <c r="B4380" s="223" t="s">
        <v>200</v>
      </c>
      <c r="C4380" s="223"/>
      <c r="D4380" s="316"/>
      <c r="H4380" s="223">
        <v>0.0</v>
      </c>
      <c r="K4380" s="317"/>
    </row>
    <row r="4381">
      <c r="B4381" s="223" t="s">
        <v>200</v>
      </c>
      <c r="C4381" s="223"/>
      <c r="D4381" s="316"/>
      <c r="H4381" s="223">
        <v>0.0</v>
      </c>
      <c r="K4381" s="317"/>
    </row>
    <row r="4382">
      <c r="B4382" s="223" t="s">
        <v>200</v>
      </c>
      <c r="C4382" s="223"/>
      <c r="D4382" s="316"/>
      <c r="H4382" s="223">
        <v>0.0</v>
      </c>
      <c r="K4382" s="317"/>
    </row>
    <row r="4383">
      <c r="B4383" s="223" t="s">
        <v>200</v>
      </c>
      <c r="C4383" s="223"/>
      <c r="D4383" s="316"/>
      <c r="H4383" s="223">
        <v>0.0</v>
      </c>
      <c r="K4383" s="317"/>
    </row>
    <row r="4384">
      <c r="B4384" s="223" t="s">
        <v>200</v>
      </c>
      <c r="C4384" s="223"/>
      <c r="D4384" s="316"/>
      <c r="H4384" s="223">
        <v>0.0</v>
      </c>
      <c r="K4384" s="317"/>
    </row>
    <row r="4385">
      <c r="B4385" s="223" t="s">
        <v>200</v>
      </c>
      <c r="C4385" s="223"/>
      <c r="D4385" s="316"/>
      <c r="H4385" s="223">
        <v>0.0</v>
      </c>
      <c r="K4385" s="317"/>
    </row>
    <row r="4386">
      <c r="B4386" s="223" t="s">
        <v>200</v>
      </c>
      <c r="C4386" s="223"/>
      <c r="D4386" s="316"/>
      <c r="H4386" s="223">
        <v>0.0</v>
      </c>
      <c r="K4386" s="317"/>
    </row>
    <row r="4387">
      <c r="B4387" s="223" t="s">
        <v>200</v>
      </c>
      <c r="C4387" s="223"/>
      <c r="D4387" s="316"/>
      <c r="H4387" s="223">
        <v>0.0</v>
      </c>
      <c r="K4387" s="317"/>
    </row>
    <row r="4388">
      <c r="B4388" s="223" t="s">
        <v>200</v>
      </c>
      <c r="C4388" s="223"/>
      <c r="D4388" s="316"/>
      <c r="H4388" s="223">
        <v>0.0</v>
      </c>
      <c r="K4388" s="317"/>
    </row>
    <row r="4389">
      <c r="B4389" s="223" t="s">
        <v>200</v>
      </c>
      <c r="C4389" s="223"/>
      <c r="D4389" s="316"/>
      <c r="H4389" s="223">
        <v>0.0</v>
      </c>
      <c r="K4389" s="317"/>
    </row>
    <row r="4390">
      <c r="B4390" s="223" t="s">
        <v>200</v>
      </c>
      <c r="C4390" s="223"/>
      <c r="D4390" s="316"/>
      <c r="H4390" s="223">
        <v>0.0</v>
      </c>
      <c r="K4390" s="317"/>
    </row>
    <row r="4391">
      <c r="B4391" s="223" t="s">
        <v>200</v>
      </c>
      <c r="C4391" s="223"/>
      <c r="D4391" s="316"/>
      <c r="H4391" s="223">
        <v>0.0</v>
      </c>
      <c r="K4391" s="317"/>
    </row>
    <row r="4392">
      <c r="B4392" s="223" t="s">
        <v>200</v>
      </c>
      <c r="C4392" s="223"/>
      <c r="D4392" s="316"/>
      <c r="H4392" s="223">
        <v>0.0</v>
      </c>
      <c r="K4392" s="317"/>
    </row>
    <row r="4393">
      <c r="B4393" s="223" t="s">
        <v>200</v>
      </c>
      <c r="C4393" s="223"/>
      <c r="D4393" s="316"/>
      <c r="H4393" s="223">
        <v>0.0</v>
      </c>
      <c r="K4393" s="317"/>
    </row>
    <row r="4394">
      <c r="B4394" s="223" t="s">
        <v>200</v>
      </c>
      <c r="C4394" s="223"/>
      <c r="D4394" s="316"/>
      <c r="H4394" s="223">
        <v>0.0</v>
      </c>
      <c r="K4394" s="317"/>
    </row>
    <row r="4395">
      <c r="B4395" s="223" t="s">
        <v>200</v>
      </c>
      <c r="C4395" s="223"/>
      <c r="D4395" s="316"/>
      <c r="H4395" s="223">
        <v>0.0</v>
      </c>
      <c r="K4395" s="317"/>
    </row>
    <row r="4396">
      <c r="B4396" s="223" t="s">
        <v>200</v>
      </c>
      <c r="C4396" s="223"/>
      <c r="D4396" s="316"/>
      <c r="H4396" s="223">
        <v>0.0</v>
      </c>
      <c r="K4396" s="317"/>
    </row>
    <row r="4397">
      <c r="B4397" s="223" t="s">
        <v>200</v>
      </c>
      <c r="C4397" s="223"/>
      <c r="D4397" s="316"/>
      <c r="H4397" s="223">
        <v>0.0</v>
      </c>
      <c r="K4397" s="317"/>
    </row>
    <row r="4398">
      <c r="B4398" s="223" t="s">
        <v>200</v>
      </c>
      <c r="C4398" s="223"/>
      <c r="D4398" s="316"/>
      <c r="H4398" s="223">
        <v>0.0</v>
      </c>
      <c r="K4398" s="317"/>
    </row>
    <row r="4399">
      <c r="B4399" s="223" t="s">
        <v>200</v>
      </c>
      <c r="C4399" s="223"/>
      <c r="D4399" s="316"/>
      <c r="H4399" s="223">
        <v>0.0</v>
      </c>
      <c r="K4399" s="317"/>
    </row>
    <row r="4400">
      <c r="B4400" s="223" t="s">
        <v>200</v>
      </c>
      <c r="C4400" s="223"/>
      <c r="D4400" s="316"/>
      <c r="H4400" s="223">
        <v>0.0</v>
      </c>
      <c r="K4400" s="317"/>
    </row>
    <row r="4401">
      <c r="B4401" s="223" t="s">
        <v>200</v>
      </c>
      <c r="C4401" s="223"/>
      <c r="D4401" s="316"/>
      <c r="H4401" s="223">
        <v>0.0</v>
      </c>
      <c r="K4401" s="317"/>
    </row>
    <row r="4402">
      <c r="B4402" s="223" t="s">
        <v>200</v>
      </c>
      <c r="C4402" s="223"/>
      <c r="D4402" s="316"/>
      <c r="H4402" s="223">
        <v>0.0</v>
      </c>
      <c r="K4402" s="317"/>
    </row>
    <row r="4403">
      <c r="B4403" s="223" t="s">
        <v>200</v>
      </c>
      <c r="C4403" s="223"/>
      <c r="D4403" s="316"/>
      <c r="H4403" s="223">
        <v>0.0</v>
      </c>
      <c r="K4403" s="317"/>
    </row>
    <row r="4404">
      <c r="B4404" s="223" t="s">
        <v>200</v>
      </c>
      <c r="C4404" s="223"/>
      <c r="D4404" s="316"/>
      <c r="H4404" s="223">
        <v>0.0</v>
      </c>
      <c r="K4404" s="317"/>
    </row>
    <row r="4405">
      <c r="B4405" s="223" t="s">
        <v>200</v>
      </c>
      <c r="C4405" s="223"/>
      <c r="D4405" s="316"/>
      <c r="H4405" s="223">
        <v>0.0</v>
      </c>
      <c r="K4405" s="317"/>
    </row>
    <row r="4406">
      <c r="B4406" s="223" t="s">
        <v>200</v>
      </c>
      <c r="C4406" s="223"/>
      <c r="D4406" s="316"/>
      <c r="H4406" s="223">
        <v>0.0</v>
      </c>
      <c r="K4406" s="317"/>
    </row>
    <row r="4407">
      <c r="B4407" s="223" t="s">
        <v>200</v>
      </c>
      <c r="C4407" s="223"/>
      <c r="D4407" s="316"/>
      <c r="H4407" s="223">
        <v>0.0</v>
      </c>
      <c r="K4407" s="317"/>
    </row>
    <row r="4408">
      <c r="B4408" s="223" t="s">
        <v>200</v>
      </c>
      <c r="C4408" s="223"/>
      <c r="D4408" s="316"/>
      <c r="H4408" s="223">
        <v>0.0</v>
      </c>
      <c r="K4408" s="317"/>
    </row>
    <row r="4409">
      <c r="B4409" s="223" t="s">
        <v>200</v>
      </c>
      <c r="C4409" s="223"/>
      <c r="D4409" s="316"/>
      <c r="H4409" s="223">
        <v>0.0</v>
      </c>
      <c r="K4409" s="317"/>
    </row>
    <row r="4410">
      <c r="B4410" s="223" t="s">
        <v>200</v>
      </c>
      <c r="C4410" s="223"/>
      <c r="D4410" s="316"/>
      <c r="H4410" s="223">
        <v>0.0</v>
      </c>
      <c r="K4410" s="317"/>
    </row>
    <row r="4411">
      <c r="B4411" s="223" t="s">
        <v>200</v>
      </c>
      <c r="C4411" s="223"/>
      <c r="D4411" s="316"/>
      <c r="H4411" s="223">
        <v>0.0</v>
      </c>
      <c r="K4411" s="317"/>
    </row>
    <row r="4412">
      <c r="B4412" s="223" t="s">
        <v>200</v>
      </c>
      <c r="C4412" s="223"/>
      <c r="D4412" s="316"/>
      <c r="H4412" s="223">
        <v>0.0</v>
      </c>
      <c r="K4412" s="317"/>
    </row>
    <row r="4413">
      <c r="B4413" s="223" t="s">
        <v>200</v>
      </c>
      <c r="C4413" s="223"/>
      <c r="D4413" s="316"/>
      <c r="H4413" s="223">
        <v>0.0</v>
      </c>
      <c r="K4413" s="317"/>
    </row>
    <row r="4414">
      <c r="B4414" s="223" t="s">
        <v>200</v>
      </c>
      <c r="C4414" s="223"/>
      <c r="D4414" s="316"/>
      <c r="H4414" s="223">
        <v>0.0</v>
      </c>
      <c r="K4414" s="317"/>
    </row>
    <row r="4415">
      <c r="B4415" s="223" t="s">
        <v>200</v>
      </c>
      <c r="C4415" s="223"/>
      <c r="D4415" s="316"/>
      <c r="H4415" s="223">
        <v>0.0</v>
      </c>
      <c r="K4415" s="317"/>
    </row>
    <row r="4416">
      <c r="B4416" s="223" t="s">
        <v>200</v>
      </c>
      <c r="C4416" s="223"/>
      <c r="D4416" s="316"/>
      <c r="H4416" s="223">
        <v>0.0</v>
      </c>
      <c r="K4416" s="317"/>
    </row>
    <row r="4417">
      <c r="B4417" s="223" t="s">
        <v>200</v>
      </c>
      <c r="C4417" s="223"/>
      <c r="D4417" s="316"/>
      <c r="H4417" s="223">
        <v>0.0</v>
      </c>
      <c r="K4417" s="317"/>
    </row>
    <row r="4418">
      <c r="B4418" s="223" t="s">
        <v>200</v>
      </c>
      <c r="C4418" s="223"/>
      <c r="D4418" s="316"/>
      <c r="H4418" s="223">
        <v>0.0</v>
      </c>
      <c r="K4418" s="317"/>
    </row>
    <row r="4419">
      <c r="B4419" s="223" t="s">
        <v>200</v>
      </c>
      <c r="C4419" s="223"/>
      <c r="D4419" s="316"/>
      <c r="H4419" s="223">
        <v>0.0</v>
      </c>
      <c r="K4419" s="317"/>
    </row>
    <row r="4420">
      <c r="B4420" s="223" t="s">
        <v>200</v>
      </c>
      <c r="C4420" s="223"/>
      <c r="D4420" s="316"/>
      <c r="H4420" s="223">
        <v>0.0</v>
      </c>
      <c r="K4420" s="317"/>
    </row>
    <row r="4421">
      <c r="B4421" s="223" t="s">
        <v>200</v>
      </c>
      <c r="C4421" s="223"/>
      <c r="D4421" s="316"/>
      <c r="H4421" s="223">
        <v>0.0</v>
      </c>
      <c r="K4421" s="317"/>
    </row>
    <row r="4422">
      <c r="B4422" s="223" t="s">
        <v>200</v>
      </c>
      <c r="C4422" s="223"/>
      <c r="D4422" s="316"/>
      <c r="H4422" s="223">
        <v>0.0</v>
      </c>
      <c r="K4422" s="317"/>
    </row>
    <row r="4423">
      <c r="B4423" s="223" t="s">
        <v>200</v>
      </c>
      <c r="C4423" s="223"/>
      <c r="D4423" s="316"/>
      <c r="H4423" s="223">
        <v>0.0</v>
      </c>
      <c r="K4423" s="317"/>
    </row>
    <row r="4424">
      <c r="B4424" s="223" t="s">
        <v>200</v>
      </c>
      <c r="C4424" s="223"/>
      <c r="D4424" s="316"/>
      <c r="H4424" s="223">
        <v>0.0</v>
      </c>
      <c r="K4424" s="317"/>
    </row>
    <row r="4425">
      <c r="B4425" s="223" t="s">
        <v>200</v>
      </c>
      <c r="C4425" s="223"/>
      <c r="D4425" s="316"/>
      <c r="H4425" s="223">
        <v>0.0</v>
      </c>
      <c r="K4425" s="317"/>
    </row>
    <row r="4426">
      <c r="B4426" s="223" t="s">
        <v>200</v>
      </c>
      <c r="C4426" s="223"/>
      <c r="D4426" s="316"/>
      <c r="H4426" s="223">
        <v>0.0</v>
      </c>
      <c r="K4426" s="317"/>
    </row>
    <row r="4427">
      <c r="B4427" s="223" t="s">
        <v>200</v>
      </c>
      <c r="C4427" s="223"/>
      <c r="D4427" s="316"/>
      <c r="H4427" s="223">
        <v>0.0</v>
      </c>
      <c r="K4427" s="317"/>
    </row>
    <row r="4428">
      <c r="B4428" s="223" t="s">
        <v>200</v>
      </c>
      <c r="C4428" s="223"/>
      <c r="D4428" s="316"/>
      <c r="H4428" s="223">
        <v>0.0</v>
      </c>
      <c r="K4428" s="317"/>
    </row>
    <row r="4429">
      <c r="B4429" s="223" t="s">
        <v>200</v>
      </c>
      <c r="C4429" s="223"/>
      <c r="D4429" s="316"/>
      <c r="H4429" s="223">
        <v>0.0</v>
      </c>
      <c r="K4429" s="317"/>
    </row>
    <row r="4430">
      <c r="B4430" s="223" t="s">
        <v>200</v>
      </c>
      <c r="C4430" s="223"/>
      <c r="D4430" s="316"/>
      <c r="H4430" s="223">
        <v>0.0</v>
      </c>
      <c r="K4430" s="317"/>
    </row>
    <row r="4431">
      <c r="B4431" s="223" t="s">
        <v>200</v>
      </c>
      <c r="C4431" s="223"/>
      <c r="D4431" s="316"/>
      <c r="H4431" s="223">
        <v>0.0</v>
      </c>
      <c r="K4431" s="317"/>
    </row>
    <row r="4432">
      <c r="B4432" s="223" t="s">
        <v>200</v>
      </c>
      <c r="C4432" s="223"/>
      <c r="D4432" s="316"/>
      <c r="H4432" s="223">
        <v>0.0</v>
      </c>
      <c r="K4432" s="317"/>
    </row>
    <row r="4433">
      <c r="B4433" s="223" t="s">
        <v>200</v>
      </c>
      <c r="C4433" s="223"/>
      <c r="D4433" s="316"/>
      <c r="H4433" s="223">
        <v>0.0</v>
      </c>
      <c r="K4433" s="317"/>
    </row>
    <row r="4434">
      <c r="B4434" s="223" t="s">
        <v>200</v>
      </c>
      <c r="C4434" s="223"/>
      <c r="D4434" s="316"/>
      <c r="H4434" s="223">
        <v>0.0</v>
      </c>
      <c r="K4434" s="317"/>
    </row>
    <row r="4435">
      <c r="B4435" s="223" t="s">
        <v>200</v>
      </c>
      <c r="C4435" s="223"/>
      <c r="D4435" s="316"/>
      <c r="H4435" s="223">
        <v>0.0</v>
      </c>
      <c r="K4435" s="317"/>
    </row>
    <row r="4436">
      <c r="B4436" s="223" t="s">
        <v>200</v>
      </c>
      <c r="C4436" s="223"/>
      <c r="D4436" s="316"/>
      <c r="H4436" s="223">
        <v>0.0</v>
      </c>
      <c r="K4436" s="317"/>
    </row>
    <row r="4437">
      <c r="B4437" s="223" t="s">
        <v>200</v>
      </c>
      <c r="C4437" s="223"/>
      <c r="D4437" s="316"/>
      <c r="H4437" s="223">
        <v>0.0</v>
      </c>
      <c r="K4437" s="317"/>
    </row>
    <row r="4438">
      <c r="B4438" s="223" t="s">
        <v>200</v>
      </c>
      <c r="C4438" s="223"/>
      <c r="D4438" s="316"/>
      <c r="H4438" s="223">
        <v>0.0</v>
      </c>
      <c r="K4438" s="317"/>
    </row>
    <row r="4439">
      <c r="B4439" s="223" t="s">
        <v>200</v>
      </c>
      <c r="C4439" s="223"/>
      <c r="D4439" s="316"/>
      <c r="H4439" s="223">
        <v>0.0</v>
      </c>
      <c r="K4439" s="317"/>
    </row>
    <row r="4440">
      <c r="B4440" s="223" t="s">
        <v>200</v>
      </c>
      <c r="C4440" s="223"/>
      <c r="D4440" s="316"/>
      <c r="H4440" s="223">
        <v>0.0</v>
      </c>
      <c r="K4440" s="317"/>
    </row>
    <row r="4441">
      <c r="B4441" s="223" t="s">
        <v>200</v>
      </c>
      <c r="C4441" s="223"/>
      <c r="D4441" s="316"/>
      <c r="H4441" s="223">
        <v>0.0</v>
      </c>
      <c r="K4441" s="317"/>
    </row>
    <row r="4442">
      <c r="B4442" s="223" t="s">
        <v>200</v>
      </c>
      <c r="C4442" s="223"/>
      <c r="D4442" s="316"/>
      <c r="H4442" s="223">
        <v>0.0</v>
      </c>
      <c r="K4442" s="317"/>
    </row>
    <row r="4443">
      <c r="B4443" s="223" t="s">
        <v>200</v>
      </c>
      <c r="C4443" s="223"/>
      <c r="D4443" s="316"/>
      <c r="H4443" s="223">
        <v>0.0</v>
      </c>
      <c r="K4443" s="317"/>
    </row>
    <row r="4444">
      <c r="B4444" s="223" t="s">
        <v>200</v>
      </c>
      <c r="C4444" s="223"/>
      <c r="D4444" s="316"/>
      <c r="H4444" s="223">
        <v>0.0</v>
      </c>
      <c r="K4444" s="317"/>
    </row>
    <row r="4445">
      <c r="B4445" s="223" t="s">
        <v>200</v>
      </c>
      <c r="C4445" s="223"/>
      <c r="D4445" s="316"/>
      <c r="H4445" s="223">
        <v>0.0</v>
      </c>
      <c r="K4445" s="317"/>
    </row>
    <row r="4446">
      <c r="B4446" s="223" t="s">
        <v>200</v>
      </c>
      <c r="C4446" s="223"/>
      <c r="D4446" s="316"/>
      <c r="H4446" s="223">
        <v>0.0</v>
      </c>
      <c r="K4446" s="317"/>
    </row>
    <row r="4447">
      <c r="B4447" s="223" t="s">
        <v>200</v>
      </c>
      <c r="C4447" s="223"/>
      <c r="D4447" s="316"/>
      <c r="H4447" s="223">
        <v>0.0</v>
      </c>
      <c r="K4447" s="317"/>
    </row>
    <row r="4448">
      <c r="B4448" s="223" t="s">
        <v>200</v>
      </c>
      <c r="C4448" s="223"/>
      <c r="D4448" s="316"/>
      <c r="H4448" s="223">
        <v>0.0</v>
      </c>
      <c r="K4448" s="317"/>
    </row>
    <row r="4449">
      <c r="B4449" s="223" t="s">
        <v>200</v>
      </c>
      <c r="C4449" s="223"/>
      <c r="D4449" s="316"/>
      <c r="H4449" s="223">
        <v>0.0</v>
      </c>
      <c r="K4449" s="317"/>
    </row>
    <row r="4450">
      <c r="B4450" s="223" t="s">
        <v>200</v>
      </c>
      <c r="C4450" s="223"/>
      <c r="D4450" s="316"/>
      <c r="H4450" s="223">
        <v>0.0</v>
      </c>
      <c r="K4450" s="317"/>
    </row>
    <row r="4451">
      <c r="B4451" s="223" t="s">
        <v>200</v>
      </c>
      <c r="C4451" s="223"/>
      <c r="D4451" s="316"/>
      <c r="H4451" s="223">
        <v>0.0</v>
      </c>
      <c r="K4451" s="317"/>
    </row>
    <row r="4452">
      <c r="B4452" s="223" t="s">
        <v>200</v>
      </c>
      <c r="C4452" s="223"/>
      <c r="D4452" s="316"/>
      <c r="H4452" s="223">
        <v>0.0</v>
      </c>
      <c r="K4452" s="317"/>
    </row>
    <row r="4453">
      <c r="B4453" s="223" t="s">
        <v>200</v>
      </c>
      <c r="C4453" s="223"/>
      <c r="D4453" s="316"/>
      <c r="H4453" s="223">
        <v>0.0</v>
      </c>
      <c r="K4453" s="317"/>
    </row>
    <row r="4454">
      <c r="B4454" s="223" t="s">
        <v>200</v>
      </c>
      <c r="C4454" s="223"/>
      <c r="D4454" s="316"/>
      <c r="H4454" s="223">
        <v>0.0</v>
      </c>
      <c r="K4454" s="317"/>
    </row>
    <row r="4455">
      <c r="B4455" s="223" t="s">
        <v>200</v>
      </c>
      <c r="C4455" s="223"/>
      <c r="D4455" s="316"/>
      <c r="H4455" s="223">
        <v>0.0</v>
      </c>
      <c r="K4455" s="317"/>
    </row>
    <row r="4456">
      <c r="B4456" s="223" t="s">
        <v>200</v>
      </c>
      <c r="C4456" s="223"/>
      <c r="D4456" s="316"/>
      <c r="H4456" s="223">
        <v>0.0</v>
      </c>
      <c r="K4456" s="317"/>
    </row>
    <row r="4457">
      <c r="B4457" s="223" t="s">
        <v>200</v>
      </c>
      <c r="C4457" s="223"/>
      <c r="D4457" s="316"/>
      <c r="H4457" s="223">
        <v>0.0</v>
      </c>
      <c r="K4457" s="317"/>
    </row>
    <row r="4458">
      <c r="B4458" s="223" t="s">
        <v>200</v>
      </c>
      <c r="C4458" s="223"/>
      <c r="D4458" s="316"/>
      <c r="H4458" s="223">
        <v>0.0</v>
      </c>
      <c r="K4458" s="317"/>
    </row>
    <row r="4459">
      <c r="B4459" s="223" t="s">
        <v>200</v>
      </c>
      <c r="C4459" s="223"/>
      <c r="D4459" s="316"/>
      <c r="H4459" s="223">
        <v>0.0</v>
      </c>
      <c r="K4459" s="317"/>
    </row>
    <row r="4460">
      <c r="B4460" s="223" t="s">
        <v>200</v>
      </c>
      <c r="C4460" s="223"/>
      <c r="D4460" s="316"/>
      <c r="H4460" s="223">
        <v>0.0</v>
      </c>
      <c r="K4460" s="317"/>
    </row>
    <row r="4461">
      <c r="B4461" s="223" t="s">
        <v>200</v>
      </c>
      <c r="C4461" s="223"/>
      <c r="D4461" s="316"/>
      <c r="H4461" s="223">
        <v>0.0</v>
      </c>
      <c r="K4461" s="317"/>
    </row>
    <row r="4462">
      <c r="B4462" s="223" t="s">
        <v>200</v>
      </c>
      <c r="C4462" s="223"/>
      <c r="D4462" s="316"/>
      <c r="H4462" s="223">
        <v>0.0</v>
      </c>
      <c r="K4462" s="317"/>
    </row>
    <row r="4463">
      <c r="B4463" s="223" t="s">
        <v>200</v>
      </c>
      <c r="C4463" s="223"/>
      <c r="D4463" s="316"/>
      <c r="H4463" s="223">
        <v>0.0</v>
      </c>
      <c r="K4463" s="317"/>
    </row>
    <row r="4464">
      <c r="B4464" s="223" t="s">
        <v>200</v>
      </c>
      <c r="C4464" s="223"/>
      <c r="D4464" s="316"/>
      <c r="H4464" s="223">
        <v>0.0</v>
      </c>
      <c r="K4464" s="317"/>
    </row>
    <row r="4465">
      <c r="B4465" s="223" t="s">
        <v>200</v>
      </c>
      <c r="C4465" s="223"/>
      <c r="D4465" s="316"/>
      <c r="H4465" s="223">
        <v>0.0</v>
      </c>
      <c r="K4465" s="317"/>
    </row>
    <row r="4466">
      <c r="B4466" s="223" t="s">
        <v>200</v>
      </c>
      <c r="C4466" s="223"/>
      <c r="D4466" s="316"/>
      <c r="H4466" s="223">
        <v>0.0</v>
      </c>
      <c r="K4466" s="317"/>
    </row>
    <row r="4467">
      <c r="B4467" s="223" t="s">
        <v>200</v>
      </c>
      <c r="C4467" s="223"/>
      <c r="D4467" s="316"/>
      <c r="H4467" s="223">
        <v>0.0</v>
      </c>
      <c r="K4467" s="317"/>
    </row>
    <row r="4468">
      <c r="B4468" s="223" t="s">
        <v>200</v>
      </c>
      <c r="C4468" s="223"/>
      <c r="D4468" s="316"/>
      <c r="H4468" s="223">
        <v>0.0</v>
      </c>
      <c r="K4468" s="317"/>
    </row>
    <row r="4469">
      <c r="B4469" s="223" t="s">
        <v>200</v>
      </c>
      <c r="C4469" s="223"/>
      <c r="D4469" s="316"/>
      <c r="H4469" s="223">
        <v>0.0</v>
      </c>
      <c r="K4469" s="317"/>
    </row>
    <row r="4470">
      <c r="B4470" s="223" t="s">
        <v>200</v>
      </c>
      <c r="C4470" s="223"/>
      <c r="D4470" s="316"/>
      <c r="H4470" s="223">
        <v>0.0</v>
      </c>
      <c r="K4470" s="317"/>
    </row>
    <row r="4471">
      <c r="B4471" s="223" t="s">
        <v>200</v>
      </c>
      <c r="C4471" s="223"/>
      <c r="D4471" s="316"/>
      <c r="H4471" s="223">
        <v>0.0</v>
      </c>
      <c r="K4471" s="317"/>
    </row>
    <row r="4472">
      <c r="B4472" s="223" t="s">
        <v>200</v>
      </c>
      <c r="C4472" s="223"/>
      <c r="D4472" s="316"/>
      <c r="H4472" s="223">
        <v>0.0</v>
      </c>
      <c r="K4472" s="317"/>
    </row>
    <row r="4473">
      <c r="B4473" s="223" t="s">
        <v>200</v>
      </c>
      <c r="C4473" s="223"/>
      <c r="D4473" s="316"/>
      <c r="H4473" s="223">
        <v>0.0</v>
      </c>
      <c r="K4473" s="317"/>
    </row>
    <row r="4474">
      <c r="B4474" s="223" t="s">
        <v>200</v>
      </c>
      <c r="C4474" s="223"/>
      <c r="D4474" s="316"/>
      <c r="H4474" s="223">
        <v>0.0</v>
      </c>
      <c r="K4474" s="317"/>
    </row>
    <row r="4475">
      <c r="B4475" s="223" t="s">
        <v>200</v>
      </c>
      <c r="C4475" s="223"/>
      <c r="D4475" s="316"/>
      <c r="H4475" s="223">
        <v>0.0</v>
      </c>
      <c r="K4475" s="317"/>
    </row>
    <row r="4476">
      <c r="B4476" s="223" t="s">
        <v>200</v>
      </c>
      <c r="C4476" s="223"/>
      <c r="D4476" s="316"/>
      <c r="H4476" s="223">
        <v>0.0</v>
      </c>
      <c r="K4476" s="317"/>
    </row>
    <row r="4477">
      <c r="B4477" s="223" t="s">
        <v>200</v>
      </c>
      <c r="C4477" s="223"/>
      <c r="D4477" s="316"/>
      <c r="H4477" s="223">
        <v>0.0</v>
      </c>
      <c r="K4477" s="317"/>
    </row>
    <row r="4478">
      <c r="B4478" s="223" t="s">
        <v>200</v>
      </c>
      <c r="C4478" s="223"/>
      <c r="D4478" s="316"/>
      <c r="H4478" s="223">
        <v>0.0</v>
      </c>
      <c r="K4478" s="317"/>
    </row>
    <row r="4479">
      <c r="B4479" s="223" t="s">
        <v>200</v>
      </c>
      <c r="C4479" s="223"/>
      <c r="D4479" s="316"/>
      <c r="H4479" s="223">
        <v>0.0</v>
      </c>
      <c r="K4479" s="317"/>
    </row>
    <row r="4480">
      <c r="B4480" s="223" t="s">
        <v>200</v>
      </c>
      <c r="C4480" s="223"/>
      <c r="D4480" s="316"/>
      <c r="H4480" s="223">
        <v>0.0</v>
      </c>
      <c r="K4480" s="317"/>
    </row>
    <row r="4481">
      <c r="B4481" s="223" t="s">
        <v>200</v>
      </c>
      <c r="C4481" s="223"/>
      <c r="D4481" s="316"/>
      <c r="H4481" s="223">
        <v>0.0</v>
      </c>
      <c r="K4481" s="317"/>
    </row>
    <row r="4482">
      <c r="B4482" s="223" t="s">
        <v>200</v>
      </c>
      <c r="C4482" s="223"/>
      <c r="D4482" s="316"/>
      <c r="H4482" s="223">
        <v>0.0</v>
      </c>
      <c r="K4482" s="317"/>
    </row>
    <row r="4483">
      <c r="B4483" s="223" t="s">
        <v>200</v>
      </c>
      <c r="C4483" s="223"/>
      <c r="D4483" s="316"/>
      <c r="H4483" s="223">
        <v>0.0</v>
      </c>
      <c r="K4483" s="317"/>
    </row>
    <row r="4484">
      <c r="B4484" s="223" t="s">
        <v>200</v>
      </c>
      <c r="C4484" s="223"/>
      <c r="D4484" s="316"/>
      <c r="H4484" s="223">
        <v>0.0</v>
      </c>
      <c r="K4484" s="317"/>
    </row>
    <row r="4485">
      <c r="B4485" s="223" t="s">
        <v>200</v>
      </c>
      <c r="C4485" s="223"/>
      <c r="D4485" s="316"/>
      <c r="H4485" s="223">
        <v>0.0</v>
      </c>
      <c r="K4485" s="317"/>
    </row>
    <row r="4486">
      <c r="B4486" s="223" t="s">
        <v>200</v>
      </c>
      <c r="C4486" s="223"/>
      <c r="D4486" s="316"/>
      <c r="H4486" s="223">
        <v>0.0</v>
      </c>
      <c r="K4486" s="317"/>
    </row>
    <row r="4487">
      <c r="B4487" s="223" t="s">
        <v>200</v>
      </c>
      <c r="C4487" s="223"/>
      <c r="D4487" s="316"/>
      <c r="H4487" s="223">
        <v>0.0</v>
      </c>
      <c r="K4487" s="317"/>
    </row>
    <row r="4488">
      <c r="B4488" s="223" t="s">
        <v>200</v>
      </c>
      <c r="C4488" s="223"/>
      <c r="D4488" s="316"/>
      <c r="H4488" s="223">
        <v>0.0</v>
      </c>
      <c r="K4488" s="317"/>
    </row>
    <row r="4489">
      <c r="B4489" s="223" t="s">
        <v>200</v>
      </c>
      <c r="C4489" s="223"/>
      <c r="D4489" s="316"/>
      <c r="H4489" s="223">
        <v>0.0</v>
      </c>
      <c r="K4489" s="317"/>
    </row>
    <row r="4490">
      <c r="B4490" s="223" t="s">
        <v>200</v>
      </c>
      <c r="C4490" s="223"/>
      <c r="D4490" s="316"/>
      <c r="H4490" s="223">
        <v>0.0</v>
      </c>
      <c r="K4490" s="317"/>
    </row>
    <row r="4491">
      <c r="B4491" s="223" t="s">
        <v>200</v>
      </c>
      <c r="C4491" s="223"/>
      <c r="D4491" s="316"/>
      <c r="H4491" s="223">
        <v>0.0</v>
      </c>
      <c r="K4491" s="317"/>
    </row>
    <row r="4492">
      <c r="B4492" s="223" t="s">
        <v>200</v>
      </c>
      <c r="C4492" s="223"/>
      <c r="D4492" s="316"/>
      <c r="H4492" s="223">
        <v>0.0</v>
      </c>
      <c r="K4492" s="317"/>
    </row>
    <row r="4493">
      <c r="B4493" s="223" t="s">
        <v>200</v>
      </c>
      <c r="C4493" s="223"/>
      <c r="D4493" s="316"/>
      <c r="H4493" s="223">
        <v>0.0</v>
      </c>
      <c r="K4493" s="317"/>
    </row>
    <row r="4494">
      <c r="B4494" s="223" t="s">
        <v>200</v>
      </c>
      <c r="C4494" s="223"/>
      <c r="D4494" s="316"/>
      <c r="H4494" s="223">
        <v>0.0</v>
      </c>
      <c r="K4494" s="317"/>
    </row>
    <row r="4495">
      <c r="B4495" s="223" t="s">
        <v>200</v>
      </c>
      <c r="C4495" s="223"/>
      <c r="D4495" s="316"/>
      <c r="H4495" s="223">
        <v>0.0</v>
      </c>
      <c r="K4495" s="317"/>
    </row>
    <row r="4496">
      <c r="B4496" s="223" t="s">
        <v>200</v>
      </c>
      <c r="C4496" s="223"/>
      <c r="D4496" s="316"/>
      <c r="H4496" s="223">
        <v>0.0</v>
      </c>
      <c r="K4496" s="317"/>
    </row>
    <row r="4497">
      <c r="B4497" s="223" t="s">
        <v>200</v>
      </c>
      <c r="C4497" s="223"/>
      <c r="D4497" s="316"/>
      <c r="H4497" s="223">
        <v>0.0</v>
      </c>
      <c r="K4497" s="317"/>
    </row>
    <row r="4498">
      <c r="B4498" s="223" t="s">
        <v>200</v>
      </c>
      <c r="C4498" s="223"/>
      <c r="D4498" s="316"/>
      <c r="H4498" s="223">
        <v>0.0</v>
      </c>
      <c r="K4498" s="317"/>
    </row>
    <row r="4499">
      <c r="B4499" s="223" t="s">
        <v>200</v>
      </c>
      <c r="C4499" s="223"/>
      <c r="D4499" s="316"/>
      <c r="H4499" s="223">
        <v>0.0</v>
      </c>
      <c r="K4499" s="317"/>
    </row>
    <row r="4500">
      <c r="B4500" s="223" t="s">
        <v>200</v>
      </c>
      <c r="C4500" s="223"/>
      <c r="D4500" s="316"/>
      <c r="H4500" s="223">
        <v>0.0</v>
      </c>
      <c r="K4500" s="317"/>
    </row>
    <row r="4501">
      <c r="B4501" s="223" t="s">
        <v>200</v>
      </c>
      <c r="C4501" s="223"/>
      <c r="D4501" s="316"/>
      <c r="H4501" s="223">
        <v>0.0</v>
      </c>
      <c r="K4501" s="317"/>
    </row>
    <row r="4502">
      <c r="B4502" s="223" t="s">
        <v>200</v>
      </c>
      <c r="C4502" s="223"/>
      <c r="D4502" s="316"/>
      <c r="H4502" s="223">
        <v>0.0</v>
      </c>
      <c r="K4502" s="317"/>
    </row>
    <row r="4503">
      <c r="B4503" s="223" t="s">
        <v>200</v>
      </c>
      <c r="C4503" s="223"/>
      <c r="D4503" s="316"/>
      <c r="H4503" s="223">
        <v>0.0</v>
      </c>
      <c r="K4503" s="317"/>
    </row>
    <row r="4504">
      <c r="B4504" s="223" t="s">
        <v>200</v>
      </c>
      <c r="C4504" s="223"/>
      <c r="D4504" s="316"/>
      <c r="H4504" s="223">
        <v>0.0</v>
      </c>
      <c r="K4504" s="317"/>
    </row>
    <row r="4505">
      <c r="B4505" s="223" t="s">
        <v>200</v>
      </c>
      <c r="C4505" s="223"/>
      <c r="D4505" s="316"/>
      <c r="H4505" s="223">
        <v>0.0</v>
      </c>
      <c r="K4505" s="317"/>
    </row>
    <row r="4506">
      <c r="B4506" s="223" t="s">
        <v>200</v>
      </c>
      <c r="C4506" s="223"/>
      <c r="D4506" s="316"/>
      <c r="H4506" s="223">
        <v>0.0</v>
      </c>
      <c r="K4506" s="317"/>
    </row>
    <row r="4507">
      <c r="B4507" s="223" t="s">
        <v>200</v>
      </c>
      <c r="C4507" s="223"/>
      <c r="D4507" s="316"/>
      <c r="H4507" s="223">
        <v>0.0</v>
      </c>
      <c r="K4507" s="317"/>
    </row>
    <row r="4508">
      <c r="B4508" s="223" t="s">
        <v>200</v>
      </c>
      <c r="C4508" s="223"/>
      <c r="D4508" s="316"/>
      <c r="H4508" s="223">
        <v>0.0</v>
      </c>
      <c r="K4508" s="317"/>
    </row>
    <row r="4509">
      <c r="B4509" s="223" t="s">
        <v>200</v>
      </c>
      <c r="C4509" s="223"/>
      <c r="D4509" s="316"/>
      <c r="H4509" s="223">
        <v>0.0</v>
      </c>
      <c r="K4509" s="317"/>
    </row>
    <row r="4510">
      <c r="B4510" s="223" t="s">
        <v>200</v>
      </c>
      <c r="C4510" s="223"/>
      <c r="D4510" s="316"/>
      <c r="H4510" s="223">
        <v>0.0</v>
      </c>
      <c r="K4510" s="317"/>
    </row>
    <row r="4511">
      <c r="B4511" s="223" t="s">
        <v>200</v>
      </c>
      <c r="C4511" s="223"/>
      <c r="D4511" s="316"/>
      <c r="H4511" s="223">
        <v>0.0</v>
      </c>
      <c r="K4511" s="317"/>
    </row>
    <row r="4512">
      <c r="B4512" s="223" t="s">
        <v>200</v>
      </c>
      <c r="C4512" s="223"/>
      <c r="D4512" s="316"/>
      <c r="H4512" s="223">
        <v>0.0</v>
      </c>
      <c r="K4512" s="317"/>
    </row>
    <row r="4513">
      <c r="B4513" s="223" t="s">
        <v>200</v>
      </c>
      <c r="C4513" s="223"/>
      <c r="D4513" s="316"/>
      <c r="H4513" s="223">
        <v>0.0</v>
      </c>
      <c r="K4513" s="317"/>
    </row>
    <row r="4514">
      <c r="B4514" s="223" t="s">
        <v>200</v>
      </c>
      <c r="C4514" s="223"/>
      <c r="D4514" s="316"/>
      <c r="H4514" s="223">
        <v>0.0</v>
      </c>
      <c r="K4514" s="317"/>
    </row>
    <row r="4515">
      <c r="B4515" s="223" t="s">
        <v>200</v>
      </c>
      <c r="C4515" s="223"/>
      <c r="D4515" s="316"/>
      <c r="H4515" s="223">
        <v>0.0</v>
      </c>
      <c r="K4515" s="317"/>
    </row>
    <row r="4516">
      <c r="B4516" s="223" t="s">
        <v>200</v>
      </c>
      <c r="C4516" s="223"/>
      <c r="D4516" s="316"/>
      <c r="H4516" s="223">
        <v>0.0</v>
      </c>
      <c r="K4516" s="317"/>
    </row>
    <row r="4517">
      <c r="B4517" s="223" t="s">
        <v>200</v>
      </c>
      <c r="C4517" s="223"/>
      <c r="D4517" s="316"/>
      <c r="H4517" s="223">
        <v>0.0</v>
      </c>
      <c r="K4517" s="317"/>
    </row>
    <row r="4518">
      <c r="B4518" s="223" t="s">
        <v>200</v>
      </c>
      <c r="C4518" s="223"/>
      <c r="D4518" s="316"/>
      <c r="H4518" s="223">
        <v>0.0</v>
      </c>
      <c r="K4518" s="317"/>
    </row>
    <row r="4519">
      <c r="B4519" s="223" t="s">
        <v>200</v>
      </c>
      <c r="C4519" s="223"/>
      <c r="D4519" s="316"/>
      <c r="H4519" s="223">
        <v>0.0</v>
      </c>
      <c r="K4519" s="317"/>
    </row>
    <row r="4520">
      <c r="B4520" s="223" t="s">
        <v>200</v>
      </c>
      <c r="C4520" s="223"/>
      <c r="D4520" s="316"/>
      <c r="H4520" s="223">
        <v>0.0</v>
      </c>
      <c r="K4520" s="317"/>
    </row>
    <row r="4521">
      <c r="B4521" s="223" t="s">
        <v>200</v>
      </c>
      <c r="C4521" s="223"/>
      <c r="D4521" s="316"/>
      <c r="H4521" s="223">
        <v>0.0</v>
      </c>
      <c r="K4521" s="317"/>
    </row>
    <row r="4522">
      <c r="B4522" s="223" t="s">
        <v>200</v>
      </c>
      <c r="C4522" s="223"/>
      <c r="D4522" s="316"/>
      <c r="H4522" s="223">
        <v>0.0</v>
      </c>
      <c r="K4522" s="317"/>
    </row>
    <row r="4523">
      <c r="B4523" s="223" t="s">
        <v>200</v>
      </c>
      <c r="C4523" s="223"/>
      <c r="D4523" s="316"/>
      <c r="H4523" s="223">
        <v>0.0</v>
      </c>
      <c r="K4523" s="317"/>
    </row>
    <row r="4524">
      <c r="B4524" s="223" t="s">
        <v>200</v>
      </c>
      <c r="C4524" s="223"/>
      <c r="D4524" s="316"/>
      <c r="H4524" s="223">
        <v>0.0</v>
      </c>
      <c r="K4524" s="317"/>
    </row>
    <row r="4525">
      <c r="B4525" s="223" t="s">
        <v>200</v>
      </c>
      <c r="C4525" s="223"/>
      <c r="D4525" s="316"/>
      <c r="H4525" s="223">
        <v>0.0</v>
      </c>
      <c r="K4525" s="317"/>
    </row>
    <row r="4526">
      <c r="B4526" s="223" t="s">
        <v>200</v>
      </c>
      <c r="C4526" s="223"/>
      <c r="D4526" s="316"/>
      <c r="H4526" s="223">
        <v>0.0</v>
      </c>
      <c r="K4526" s="317"/>
    </row>
    <row r="4527">
      <c r="B4527" s="223" t="s">
        <v>200</v>
      </c>
      <c r="C4527" s="223"/>
      <c r="D4527" s="316"/>
      <c r="H4527" s="223">
        <v>0.0</v>
      </c>
      <c r="K4527" s="317"/>
    </row>
    <row r="4528">
      <c r="B4528" s="223" t="s">
        <v>200</v>
      </c>
      <c r="C4528" s="223"/>
      <c r="D4528" s="316"/>
      <c r="H4528" s="223">
        <v>0.0</v>
      </c>
      <c r="K4528" s="317"/>
    </row>
    <row r="4529">
      <c r="B4529" s="223" t="s">
        <v>200</v>
      </c>
      <c r="C4529" s="223"/>
      <c r="D4529" s="316"/>
      <c r="H4529" s="223">
        <v>0.0</v>
      </c>
      <c r="K4529" s="317"/>
    </row>
    <row r="4530">
      <c r="B4530" s="223" t="s">
        <v>200</v>
      </c>
      <c r="C4530" s="223"/>
      <c r="D4530" s="316"/>
      <c r="H4530" s="223">
        <v>0.0</v>
      </c>
      <c r="K4530" s="317"/>
    </row>
    <row r="4531">
      <c r="B4531" s="223" t="s">
        <v>200</v>
      </c>
      <c r="C4531" s="223"/>
      <c r="D4531" s="316"/>
      <c r="H4531" s="223">
        <v>0.0</v>
      </c>
      <c r="K4531" s="317"/>
    </row>
    <row r="4532">
      <c r="B4532" s="223" t="s">
        <v>200</v>
      </c>
      <c r="C4532" s="223"/>
      <c r="D4532" s="316"/>
      <c r="H4532" s="223">
        <v>0.0</v>
      </c>
      <c r="K4532" s="317"/>
    </row>
    <row r="4533">
      <c r="B4533" s="223" t="s">
        <v>200</v>
      </c>
      <c r="C4533" s="223"/>
      <c r="D4533" s="316"/>
      <c r="H4533" s="223">
        <v>0.0</v>
      </c>
      <c r="K4533" s="317"/>
    </row>
    <row r="4534">
      <c r="B4534" s="223" t="s">
        <v>200</v>
      </c>
      <c r="C4534" s="223"/>
      <c r="D4534" s="316"/>
      <c r="H4534" s="223">
        <v>0.0</v>
      </c>
      <c r="K4534" s="317"/>
    </row>
    <row r="4535">
      <c r="B4535" s="223" t="s">
        <v>200</v>
      </c>
      <c r="C4535" s="223"/>
      <c r="D4535" s="316"/>
      <c r="H4535" s="223">
        <v>0.0</v>
      </c>
      <c r="K4535" s="317"/>
    </row>
    <row r="4536">
      <c r="B4536" s="223" t="s">
        <v>200</v>
      </c>
      <c r="C4536" s="223"/>
      <c r="D4536" s="316"/>
      <c r="H4536" s="223">
        <v>0.0</v>
      </c>
      <c r="K4536" s="317"/>
    </row>
    <row r="4537">
      <c r="B4537" s="223" t="s">
        <v>200</v>
      </c>
      <c r="C4537" s="223"/>
      <c r="D4537" s="316"/>
      <c r="H4537" s="223">
        <v>0.0</v>
      </c>
      <c r="K4537" s="317"/>
    </row>
    <row r="4538">
      <c r="B4538" s="223" t="s">
        <v>200</v>
      </c>
      <c r="C4538" s="223"/>
      <c r="D4538" s="316"/>
      <c r="H4538" s="223">
        <v>0.0</v>
      </c>
      <c r="K4538" s="317"/>
    </row>
    <row r="4539">
      <c r="B4539" s="223" t="s">
        <v>200</v>
      </c>
      <c r="C4539" s="223"/>
      <c r="D4539" s="316"/>
      <c r="H4539" s="223">
        <v>0.0</v>
      </c>
      <c r="K4539" s="317"/>
    </row>
    <row r="4540">
      <c r="B4540" s="223" t="s">
        <v>200</v>
      </c>
      <c r="C4540" s="223"/>
      <c r="D4540" s="316"/>
      <c r="H4540" s="223">
        <v>0.0</v>
      </c>
      <c r="K4540" s="317"/>
    </row>
    <row r="4541">
      <c r="B4541" s="223" t="s">
        <v>200</v>
      </c>
      <c r="C4541" s="223"/>
      <c r="D4541" s="316"/>
      <c r="H4541" s="223">
        <v>0.0</v>
      </c>
      <c r="K4541" s="317"/>
    </row>
    <row r="4542">
      <c r="B4542" s="223" t="s">
        <v>200</v>
      </c>
      <c r="C4542" s="223"/>
      <c r="D4542" s="316"/>
      <c r="H4542" s="223">
        <v>0.0</v>
      </c>
      <c r="K4542" s="317"/>
    </row>
    <row r="4543">
      <c r="B4543" s="223" t="s">
        <v>200</v>
      </c>
      <c r="C4543" s="223"/>
      <c r="D4543" s="316"/>
      <c r="H4543" s="223">
        <v>0.0</v>
      </c>
      <c r="K4543" s="317"/>
    </row>
    <row r="4544">
      <c r="B4544" s="223" t="s">
        <v>200</v>
      </c>
      <c r="C4544" s="223"/>
      <c r="D4544" s="316"/>
      <c r="H4544" s="223">
        <v>0.0</v>
      </c>
      <c r="K4544" s="317"/>
    </row>
    <row r="4545">
      <c r="B4545" s="223" t="s">
        <v>200</v>
      </c>
      <c r="C4545" s="223"/>
      <c r="D4545" s="316"/>
      <c r="H4545" s="223">
        <v>0.0</v>
      </c>
      <c r="K4545" s="317"/>
    </row>
    <row r="4546">
      <c r="B4546" s="223" t="s">
        <v>200</v>
      </c>
      <c r="C4546" s="223"/>
      <c r="D4546" s="316"/>
      <c r="H4546" s="223">
        <v>0.0</v>
      </c>
      <c r="K4546" s="317"/>
    </row>
    <row r="4547">
      <c r="B4547" s="223" t="s">
        <v>200</v>
      </c>
      <c r="C4547" s="223"/>
      <c r="D4547" s="316"/>
      <c r="H4547" s="223">
        <v>0.0</v>
      </c>
      <c r="K4547" s="317"/>
    </row>
    <row r="4548">
      <c r="B4548" s="223" t="s">
        <v>200</v>
      </c>
      <c r="C4548" s="223"/>
      <c r="D4548" s="316"/>
      <c r="H4548" s="223">
        <v>0.0</v>
      </c>
      <c r="K4548" s="317"/>
    </row>
    <row r="4549">
      <c r="B4549" s="223" t="s">
        <v>200</v>
      </c>
      <c r="C4549" s="223"/>
      <c r="D4549" s="316"/>
      <c r="H4549" s="223">
        <v>0.0</v>
      </c>
      <c r="K4549" s="317"/>
    </row>
    <row r="4550">
      <c r="B4550" s="223" t="s">
        <v>200</v>
      </c>
      <c r="C4550" s="223"/>
      <c r="D4550" s="316"/>
      <c r="H4550" s="223">
        <v>0.0</v>
      </c>
      <c r="K4550" s="317"/>
    </row>
    <row r="4551">
      <c r="B4551" s="223" t="s">
        <v>200</v>
      </c>
      <c r="C4551" s="223"/>
      <c r="D4551" s="316"/>
      <c r="H4551" s="223">
        <v>0.0</v>
      </c>
      <c r="K4551" s="317"/>
    </row>
    <row r="4552">
      <c r="B4552" s="223" t="s">
        <v>200</v>
      </c>
      <c r="C4552" s="223"/>
      <c r="D4552" s="316"/>
      <c r="H4552" s="223">
        <v>0.0</v>
      </c>
      <c r="K4552" s="317"/>
    </row>
    <row r="4553">
      <c r="B4553" s="223" t="s">
        <v>200</v>
      </c>
      <c r="C4553" s="223"/>
      <c r="D4553" s="316"/>
      <c r="H4553" s="223">
        <v>0.0</v>
      </c>
      <c r="K4553" s="317"/>
    </row>
    <row r="4554">
      <c r="B4554" s="223" t="s">
        <v>200</v>
      </c>
      <c r="C4554" s="223"/>
      <c r="D4554" s="316"/>
      <c r="H4554" s="223">
        <v>0.0</v>
      </c>
      <c r="K4554" s="317"/>
    </row>
    <row r="4555">
      <c r="B4555" s="223" t="s">
        <v>200</v>
      </c>
      <c r="C4555" s="223"/>
      <c r="D4555" s="316"/>
      <c r="H4555" s="223">
        <v>0.0</v>
      </c>
      <c r="K4555" s="317"/>
    </row>
    <row r="4556">
      <c r="B4556" s="223" t="s">
        <v>200</v>
      </c>
      <c r="C4556" s="223"/>
      <c r="D4556" s="316"/>
      <c r="H4556" s="223">
        <v>0.0</v>
      </c>
      <c r="K4556" s="317"/>
    </row>
    <row r="4557">
      <c r="B4557" s="223" t="s">
        <v>200</v>
      </c>
      <c r="C4557" s="223"/>
      <c r="D4557" s="316"/>
      <c r="H4557" s="223">
        <v>0.0</v>
      </c>
      <c r="K4557" s="317"/>
    </row>
    <row r="4558">
      <c r="B4558" s="223" t="s">
        <v>200</v>
      </c>
      <c r="C4558" s="223"/>
      <c r="D4558" s="316"/>
      <c r="H4558" s="223">
        <v>0.0</v>
      </c>
      <c r="K4558" s="317"/>
    </row>
    <row r="4559">
      <c r="B4559" s="223" t="s">
        <v>200</v>
      </c>
      <c r="C4559" s="223"/>
      <c r="D4559" s="316"/>
      <c r="H4559" s="223">
        <v>0.0</v>
      </c>
      <c r="K4559" s="317"/>
    </row>
    <row r="4560">
      <c r="B4560" s="223" t="s">
        <v>200</v>
      </c>
      <c r="C4560" s="223"/>
      <c r="D4560" s="316"/>
      <c r="H4560" s="223">
        <v>0.0</v>
      </c>
      <c r="K4560" s="317"/>
    </row>
    <row r="4561">
      <c r="B4561" s="223" t="s">
        <v>200</v>
      </c>
      <c r="C4561" s="223"/>
      <c r="D4561" s="316"/>
      <c r="H4561" s="223">
        <v>0.0</v>
      </c>
      <c r="K4561" s="317"/>
    </row>
    <row r="4562">
      <c r="B4562" s="223" t="s">
        <v>200</v>
      </c>
      <c r="C4562" s="223"/>
      <c r="D4562" s="316"/>
      <c r="H4562" s="223">
        <v>0.0</v>
      </c>
      <c r="K4562" s="317"/>
    </row>
    <row r="4563">
      <c r="B4563" s="223" t="s">
        <v>200</v>
      </c>
      <c r="C4563" s="223"/>
      <c r="D4563" s="316"/>
      <c r="H4563" s="223">
        <v>0.0</v>
      </c>
      <c r="K4563" s="317"/>
    </row>
    <row r="4564">
      <c r="B4564" s="223" t="s">
        <v>200</v>
      </c>
      <c r="C4564" s="223"/>
      <c r="D4564" s="316"/>
      <c r="H4564" s="223">
        <v>0.0</v>
      </c>
      <c r="K4564" s="317"/>
    </row>
    <row r="4565">
      <c r="B4565" s="223" t="s">
        <v>200</v>
      </c>
      <c r="C4565" s="223"/>
      <c r="D4565" s="316"/>
      <c r="H4565" s="223">
        <v>0.0</v>
      </c>
      <c r="K4565" s="317"/>
    </row>
    <row r="4566">
      <c r="B4566" s="223" t="s">
        <v>200</v>
      </c>
      <c r="C4566" s="223"/>
      <c r="D4566" s="316"/>
      <c r="H4566" s="223">
        <v>0.0</v>
      </c>
      <c r="K4566" s="317"/>
    </row>
    <row r="4567">
      <c r="B4567" s="223" t="s">
        <v>200</v>
      </c>
      <c r="C4567" s="223"/>
      <c r="D4567" s="316"/>
      <c r="H4567" s="223">
        <v>0.0</v>
      </c>
      <c r="K4567" s="317"/>
    </row>
    <row r="4568">
      <c r="B4568" s="223" t="s">
        <v>200</v>
      </c>
      <c r="C4568" s="223"/>
      <c r="D4568" s="316"/>
      <c r="H4568" s="223">
        <v>0.0</v>
      </c>
      <c r="K4568" s="317"/>
    </row>
    <row r="4569">
      <c r="B4569" s="223" t="s">
        <v>200</v>
      </c>
      <c r="C4569" s="223"/>
      <c r="D4569" s="316"/>
      <c r="H4569" s="223">
        <v>0.0</v>
      </c>
      <c r="K4569" s="317"/>
    </row>
    <row r="4570">
      <c r="B4570" s="223" t="s">
        <v>200</v>
      </c>
      <c r="C4570" s="223"/>
      <c r="D4570" s="316"/>
      <c r="H4570" s="223">
        <v>0.0</v>
      </c>
      <c r="K4570" s="317"/>
    </row>
    <row r="4571">
      <c r="B4571" s="223" t="s">
        <v>200</v>
      </c>
      <c r="C4571" s="223"/>
      <c r="D4571" s="316"/>
      <c r="H4571" s="223">
        <v>0.0</v>
      </c>
      <c r="K4571" s="317"/>
    </row>
    <row r="4572">
      <c r="B4572" s="223" t="s">
        <v>200</v>
      </c>
      <c r="C4572" s="223"/>
      <c r="D4572" s="316"/>
      <c r="H4572" s="223">
        <v>0.0</v>
      </c>
      <c r="K4572" s="317"/>
    </row>
    <row r="4573">
      <c r="B4573" s="223" t="s">
        <v>200</v>
      </c>
      <c r="C4573" s="223"/>
      <c r="D4573" s="316"/>
      <c r="H4573" s="223">
        <v>0.0</v>
      </c>
      <c r="K4573" s="317"/>
    </row>
    <row r="4574">
      <c r="B4574" s="223" t="s">
        <v>200</v>
      </c>
      <c r="C4574" s="223"/>
      <c r="D4574" s="316"/>
      <c r="H4574" s="223">
        <v>0.0</v>
      </c>
      <c r="K4574" s="317"/>
    </row>
    <row r="4575">
      <c r="B4575" s="223" t="s">
        <v>200</v>
      </c>
      <c r="C4575" s="223"/>
      <c r="D4575" s="316"/>
      <c r="H4575" s="223">
        <v>0.0</v>
      </c>
      <c r="K4575" s="317"/>
    </row>
    <row r="4576">
      <c r="B4576" s="223" t="s">
        <v>200</v>
      </c>
      <c r="C4576" s="223"/>
      <c r="D4576" s="316"/>
      <c r="H4576" s="223">
        <v>0.0</v>
      </c>
      <c r="K4576" s="317"/>
    </row>
    <row r="4577">
      <c r="B4577" s="223" t="s">
        <v>200</v>
      </c>
      <c r="C4577" s="223"/>
      <c r="D4577" s="316"/>
      <c r="H4577" s="223">
        <v>0.0</v>
      </c>
      <c r="K4577" s="317"/>
    </row>
    <row r="4578">
      <c r="B4578" s="223" t="s">
        <v>200</v>
      </c>
      <c r="C4578" s="223"/>
      <c r="D4578" s="316"/>
      <c r="H4578" s="223">
        <v>0.0</v>
      </c>
      <c r="K4578" s="317"/>
    </row>
    <row r="4579">
      <c r="B4579" s="223" t="s">
        <v>200</v>
      </c>
      <c r="C4579" s="223"/>
      <c r="D4579" s="316"/>
      <c r="H4579" s="223">
        <v>0.0</v>
      </c>
      <c r="K4579" s="317"/>
    </row>
    <row r="4580">
      <c r="B4580" s="223" t="s">
        <v>200</v>
      </c>
      <c r="C4580" s="223"/>
      <c r="D4580" s="316"/>
      <c r="H4580" s="223">
        <v>0.0</v>
      </c>
      <c r="K4580" s="317"/>
    </row>
    <row r="4581">
      <c r="B4581" s="223" t="s">
        <v>200</v>
      </c>
      <c r="C4581" s="223"/>
      <c r="D4581" s="316"/>
      <c r="H4581" s="223">
        <v>0.0</v>
      </c>
      <c r="K4581" s="317"/>
    </row>
    <row r="4582">
      <c r="B4582" s="223" t="s">
        <v>200</v>
      </c>
      <c r="C4582" s="223"/>
      <c r="D4582" s="316"/>
      <c r="H4582" s="223">
        <v>0.0</v>
      </c>
      <c r="K4582" s="317"/>
    </row>
    <row r="4583">
      <c r="B4583" s="223" t="s">
        <v>200</v>
      </c>
      <c r="C4583" s="223"/>
      <c r="D4583" s="316"/>
      <c r="H4583" s="223">
        <v>0.0</v>
      </c>
      <c r="K4583" s="317"/>
    </row>
    <row r="4584">
      <c r="B4584" s="223" t="s">
        <v>200</v>
      </c>
      <c r="C4584" s="223"/>
      <c r="D4584" s="316"/>
      <c r="H4584" s="223">
        <v>0.0</v>
      </c>
      <c r="K4584" s="317"/>
    </row>
    <row r="4585">
      <c r="B4585" s="223" t="s">
        <v>200</v>
      </c>
      <c r="C4585" s="223"/>
      <c r="D4585" s="316"/>
      <c r="H4585" s="223">
        <v>0.0</v>
      </c>
      <c r="K4585" s="317"/>
    </row>
    <row r="4586">
      <c r="B4586" s="223" t="s">
        <v>200</v>
      </c>
      <c r="C4586" s="223"/>
      <c r="D4586" s="316"/>
      <c r="H4586" s="223">
        <v>0.0</v>
      </c>
      <c r="K4586" s="317"/>
    </row>
    <row r="4587">
      <c r="B4587" s="223" t="s">
        <v>200</v>
      </c>
      <c r="C4587" s="223"/>
      <c r="D4587" s="316"/>
      <c r="H4587" s="223">
        <v>0.0</v>
      </c>
      <c r="K4587" s="317"/>
    </row>
    <row r="4588">
      <c r="B4588" s="223" t="s">
        <v>200</v>
      </c>
      <c r="C4588" s="223"/>
      <c r="D4588" s="316"/>
      <c r="H4588" s="223">
        <v>0.0</v>
      </c>
      <c r="K4588" s="317"/>
    </row>
    <row r="4589">
      <c r="B4589" s="223" t="s">
        <v>200</v>
      </c>
      <c r="C4589" s="223"/>
      <c r="D4589" s="316"/>
      <c r="H4589" s="223">
        <v>0.0</v>
      </c>
      <c r="K4589" s="317"/>
    </row>
    <row r="4590">
      <c r="B4590" s="223" t="s">
        <v>200</v>
      </c>
      <c r="C4590" s="223"/>
      <c r="D4590" s="316"/>
      <c r="H4590" s="223">
        <v>0.0</v>
      </c>
      <c r="K4590" s="317"/>
    </row>
    <row r="4591">
      <c r="B4591" s="223" t="s">
        <v>200</v>
      </c>
      <c r="C4591" s="223"/>
      <c r="D4591" s="316"/>
      <c r="H4591" s="223">
        <v>0.0</v>
      </c>
      <c r="K4591" s="317"/>
    </row>
    <row r="4592">
      <c r="B4592" s="223" t="s">
        <v>200</v>
      </c>
      <c r="C4592" s="223"/>
      <c r="D4592" s="316"/>
      <c r="H4592" s="223">
        <v>0.0</v>
      </c>
      <c r="K4592" s="317"/>
    </row>
    <row r="4593">
      <c r="B4593" s="223" t="s">
        <v>200</v>
      </c>
      <c r="C4593" s="223"/>
      <c r="D4593" s="316"/>
      <c r="H4593" s="223">
        <v>0.0</v>
      </c>
      <c r="K4593" s="317"/>
    </row>
    <row r="4594">
      <c r="B4594" s="223" t="s">
        <v>200</v>
      </c>
      <c r="C4594" s="223"/>
      <c r="D4594" s="316"/>
      <c r="H4594" s="223">
        <v>0.0</v>
      </c>
      <c r="K4594" s="317"/>
    </row>
    <row r="4595">
      <c r="B4595" s="223" t="s">
        <v>200</v>
      </c>
      <c r="C4595" s="223"/>
      <c r="D4595" s="316"/>
      <c r="H4595" s="223">
        <v>0.0</v>
      </c>
      <c r="K4595" s="317"/>
    </row>
    <row r="4596">
      <c r="B4596" s="223" t="s">
        <v>200</v>
      </c>
      <c r="C4596" s="223"/>
      <c r="D4596" s="316"/>
      <c r="H4596" s="223">
        <v>0.0</v>
      </c>
      <c r="K4596" s="317"/>
    </row>
    <row r="4597">
      <c r="B4597" s="223" t="s">
        <v>200</v>
      </c>
      <c r="C4597" s="223"/>
      <c r="D4597" s="316"/>
      <c r="H4597" s="223">
        <v>0.0</v>
      </c>
      <c r="K4597" s="317"/>
    </row>
    <row r="4598">
      <c r="B4598" s="223" t="s">
        <v>200</v>
      </c>
      <c r="C4598" s="223"/>
      <c r="D4598" s="316"/>
      <c r="H4598" s="223">
        <v>0.0</v>
      </c>
      <c r="K4598" s="317"/>
    </row>
    <row r="4599">
      <c r="B4599" s="223" t="s">
        <v>200</v>
      </c>
      <c r="C4599" s="223"/>
      <c r="D4599" s="316"/>
      <c r="H4599" s="223">
        <v>0.0</v>
      </c>
      <c r="K4599" s="317"/>
    </row>
    <row r="4600">
      <c r="B4600" s="223" t="s">
        <v>200</v>
      </c>
      <c r="C4600" s="223"/>
      <c r="D4600" s="316"/>
      <c r="H4600" s="223">
        <v>0.0</v>
      </c>
      <c r="K4600" s="317"/>
    </row>
    <row r="4601">
      <c r="B4601" s="223" t="s">
        <v>200</v>
      </c>
      <c r="C4601" s="223"/>
      <c r="D4601" s="316"/>
      <c r="H4601" s="223">
        <v>0.0</v>
      </c>
      <c r="K4601" s="317"/>
    </row>
    <row r="4602">
      <c r="B4602" s="223" t="s">
        <v>200</v>
      </c>
      <c r="C4602" s="223"/>
      <c r="D4602" s="316"/>
      <c r="H4602" s="223">
        <v>0.0</v>
      </c>
      <c r="K4602" s="317"/>
    </row>
    <row r="4603">
      <c r="B4603" s="223" t="s">
        <v>200</v>
      </c>
      <c r="C4603" s="223"/>
      <c r="D4603" s="316"/>
      <c r="H4603" s="223">
        <v>0.0</v>
      </c>
      <c r="K4603" s="317"/>
    </row>
    <row r="4604">
      <c r="B4604" s="223" t="s">
        <v>200</v>
      </c>
      <c r="C4604" s="223"/>
      <c r="D4604" s="316"/>
      <c r="H4604" s="223">
        <v>0.0</v>
      </c>
      <c r="K4604" s="317"/>
    </row>
    <row r="4605">
      <c r="B4605" s="223" t="s">
        <v>200</v>
      </c>
      <c r="C4605" s="223"/>
      <c r="D4605" s="316"/>
      <c r="H4605" s="223">
        <v>0.0</v>
      </c>
      <c r="K4605" s="317"/>
    </row>
    <row r="4606">
      <c r="B4606" s="223" t="s">
        <v>200</v>
      </c>
      <c r="C4606" s="223"/>
      <c r="D4606" s="316"/>
      <c r="H4606" s="223">
        <v>0.0</v>
      </c>
      <c r="K4606" s="317"/>
    </row>
    <row r="4607">
      <c r="B4607" s="223" t="s">
        <v>200</v>
      </c>
      <c r="C4607" s="223"/>
      <c r="D4607" s="316"/>
      <c r="H4607" s="223">
        <v>0.0</v>
      </c>
      <c r="K4607" s="317"/>
    </row>
    <row r="4608">
      <c r="B4608" s="223" t="s">
        <v>200</v>
      </c>
      <c r="C4608" s="223"/>
      <c r="D4608" s="316"/>
      <c r="H4608" s="223">
        <v>0.0</v>
      </c>
      <c r="K4608" s="317"/>
    </row>
    <row r="4609">
      <c r="B4609" s="223" t="s">
        <v>200</v>
      </c>
      <c r="C4609" s="223"/>
      <c r="D4609" s="316"/>
      <c r="H4609" s="223">
        <v>0.0</v>
      </c>
      <c r="K4609" s="317"/>
    </row>
    <row r="4610">
      <c r="B4610" s="223" t="s">
        <v>200</v>
      </c>
      <c r="C4610" s="223"/>
      <c r="D4610" s="316"/>
      <c r="H4610" s="223">
        <v>0.0</v>
      </c>
      <c r="K4610" s="317"/>
    </row>
    <row r="4611">
      <c r="B4611" s="223" t="s">
        <v>200</v>
      </c>
      <c r="C4611" s="223"/>
      <c r="D4611" s="316"/>
      <c r="H4611" s="223">
        <v>0.0</v>
      </c>
      <c r="K4611" s="317"/>
    </row>
    <row r="4612">
      <c r="B4612" s="223" t="s">
        <v>200</v>
      </c>
      <c r="C4612" s="223"/>
      <c r="D4612" s="316"/>
      <c r="H4612" s="223">
        <v>0.0</v>
      </c>
      <c r="K4612" s="317"/>
    </row>
    <row r="4613">
      <c r="B4613" s="223" t="s">
        <v>200</v>
      </c>
      <c r="C4613" s="223"/>
      <c r="D4613" s="316"/>
      <c r="H4613" s="223">
        <v>0.0</v>
      </c>
      <c r="K4613" s="317"/>
    </row>
    <row r="4614">
      <c r="B4614" s="223" t="s">
        <v>200</v>
      </c>
      <c r="C4614" s="223"/>
      <c r="D4614" s="316"/>
      <c r="H4614" s="223">
        <v>0.0</v>
      </c>
      <c r="K4614" s="317"/>
    </row>
    <row r="4615">
      <c r="B4615" s="223" t="s">
        <v>200</v>
      </c>
      <c r="C4615" s="223"/>
      <c r="D4615" s="316"/>
      <c r="H4615" s="223">
        <v>0.0</v>
      </c>
      <c r="K4615" s="317"/>
    </row>
    <row r="4616">
      <c r="B4616" s="223" t="s">
        <v>200</v>
      </c>
      <c r="C4616" s="223"/>
      <c r="D4616" s="316"/>
      <c r="H4616" s="223">
        <v>0.0</v>
      </c>
      <c r="K4616" s="317"/>
    </row>
    <row r="4617">
      <c r="B4617" s="223" t="s">
        <v>200</v>
      </c>
      <c r="C4617" s="223"/>
      <c r="D4617" s="316"/>
      <c r="H4617" s="223">
        <v>0.0</v>
      </c>
      <c r="K4617" s="317"/>
    </row>
    <row r="4618">
      <c r="B4618" s="223" t="s">
        <v>200</v>
      </c>
      <c r="C4618" s="223"/>
      <c r="D4618" s="316"/>
      <c r="H4618" s="223">
        <v>0.0</v>
      </c>
      <c r="K4618" s="317"/>
    </row>
    <row r="4619">
      <c r="B4619" s="223" t="s">
        <v>200</v>
      </c>
      <c r="C4619" s="223"/>
      <c r="D4619" s="316"/>
      <c r="H4619" s="223">
        <v>0.0</v>
      </c>
      <c r="K4619" s="317"/>
    </row>
    <row r="4620">
      <c r="B4620" s="223" t="s">
        <v>200</v>
      </c>
      <c r="C4620" s="223"/>
      <c r="D4620" s="316"/>
      <c r="H4620" s="223">
        <v>0.0</v>
      </c>
      <c r="K4620" s="317"/>
    </row>
    <row r="4621">
      <c r="B4621" s="223" t="s">
        <v>200</v>
      </c>
      <c r="C4621" s="223"/>
      <c r="D4621" s="316"/>
      <c r="H4621" s="223">
        <v>0.0</v>
      </c>
      <c r="K4621" s="317"/>
    </row>
    <row r="4622">
      <c r="B4622" s="223" t="s">
        <v>200</v>
      </c>
      <c r="C4622" s="223"/>
      <c r="D4622" s="316"/>
      <c r="H4622" s="223">
        <v>0.0</v>
      </c>
      <c r="K4622" s="317"/>
    </row>
    <row r="4623">
      <c r="B4623" s="223" t="s">
        <v>200</v>
      </c>
      <c r="C4623" s="223"/>
      <c r="D4623" s="316"/>
      <c r="H4623" s="223">
        <v>0.0</v>
      </c>
      <c r="K4623" s="317"/>
    </row>
    <row r="4624">
      <c r="B4624" s="223" t="s">
        <v>200</v>
      </c>
      <c r="C4624" s="223"/>
      <c r="D4624" s="316"/>
      <c r="H4624" s="223">
        <v>0.0</v>
      </c>
      <c r="K4624" s="317"/>
    </row>
    <row r="4625">
      <c r="B4625" s="223" t="s">
        <v>200</v>
      </c>
      <c r="C4625" s="223"/>
      <c r="D4625" s="316"/>
      <c r="H4625" s="223">
        <v>0.0</v>
      </c>
      <c r="K4625" s="317"/>
    </row>
    <row r="4626">
      <c r="B4626" s="223" t="s">
        <v>200</v>
      </c>
      <c r="C4626" s="223"/>
      <c r="D4626" s="316"/>
      <c r="H4626" s="223">
        <v>0.0</v>
      </c>
      <c r="K4626" s="317"/>
    </row>
    <row r="4627">
      <c r="B4627" s="223" t="s">
        <v>200</v>
      </c>
      <c r="C4627" s="223"/>
      <c r="D4627" s="316"/>
      <c r="H4627" s="223">
        <v>0.0</v>
      </c>
      <c r="K4627" s="317"/>
    </row>
    <row r="4628">
      <c r="B4628" s="223" t="s">
        <v>200</v>
      </c>
      <c r="C4628" s="223"/>
      <c r="D4628" s="316"/>
      <c r="H4628" s="223">
        <v>0.0</v>
      </c>
      <c r="K4628" s="317"/>
    </row>
    <row r="4629">
      <c r="B4629" s="223" t="s">
        <v>200</v>
      </c>
      <c r="C4629" s="223"/>
      <c r="D4629" s="316"/>
      <c r="H4629" s="223">
        <v>0.0</v>
      </c>
      <c r="K4629" s="317"/>
    </row>
    <row r="4630">
      <c r="B4630" s="223" t="s">
        <v>200</v>
      </c>
      <c r="C4630" s="223"/>
      <c r="D4630" s="316"/>
      <c r="H4630" s="223">
        <v>0.0</v>
      </c>
      <c r="K4630" s="317"/>
    </row>
    <row r="4631">
      <c r="B4631" s="223" t="s">
        <v>200</v>
      </c>
      <c r="C4631" s="223"/>
      <c r="D4631" s="316"/>
      <c r="H4631" s="223">
        <v>0.0</v>
      </c>
      <c r="K4631" s="317"/>
    </row>
    <row r="4632">
      <c r="B4632" s="223" t="s">
        <v>200</v>
      </c>
      <c r="C4632" s="223"/>
      <c r="D4632" s="316"/>
      <c r="H4632" s="223">
        <v>0.0</v>
      </c>
      <c r="K4632" s="317"/>
    </row>
    <row r="4633">
      <c r="B4633" s="223" t="s">
        <v>200</v>
      </c>
      <c r="C4633" s="223"/>
      <c r="D4633" s="316"/>
      <c r="H4633" s="223">
        <v>0.0</v>
      </c>
      <c r="K4633" s="317"/>
    </row>
    <row r="4634">
      <c r="B4634" s="223" t="s">
        <v>200</v>
      </c>
      <c r="C4634" s="223"/>
      <c r="D4634" s="316"/>
      <c r="H4634" s="223">
        <v>0.0</v>
      </c>
      <c r="K4634" s="317"/>
    </row>
    <row r="4635">
      <c r="B4635" s="223" t="s">
        <v>200</v>
      </c>
      <c r="C4635" s="223"/>
      <c r="D4635" s="316"/>
      <c r="H4635" s="223">
        <v>0.0</v>
      </c>
      <c r="K4635" s="317"/>
    </row>
    <row r="4636">
      <c r="B4636" s="223" t="s">
        <v>200</v>
      </c>
      <c r="C4636" s="223"/>
      <c r="D4636" s="316"/>
      <c r="H4636" s="223">
        <v>0.0</v>
      </c>
      <c r="K4636" s="317"/>
    </row>
    <row r="4637">
      <c r="B4637" s="223" t="s">
        <v>200</v>
      </c>
      <c r="C4637" s="223"/>
      <c r="D4637" s="316"/>
      <c r="H4637" s="223">
        <v>0.0</v>
      </c>
      <c r="K4637" s="317"/>
    </row>
    <row r="4638">
      <c r="B4638" s="223" t="s">
        <v>200</v>
      </c>
      <c r="C4638" s="223"/>
      <c r="D4638" s="316"/>
      <c r="H4638" s="223">
        <v>0.0</v>
      </c>
      <c r="K4638" s="317"/>
    </row>
    <row r="4639">
      <c r="B4639" s="223" t="s">
        <v>200</v>
      </c>
      <c r="C4639" s="223"/>
      <c r="D4639" s="316"/>
      <c r="H4639" s="223">
        <v>0.0</v>
      </c>
      <c r="K4639" s="317"/>
    </row>
    <row r="4640">
      <c r="B4640" s="223" t="s">
        <v>200</v>
      </c>
      <c r="C4640" s="223"/>
      <c r="D4640" s="316"/>
      <c r="H4640" s="223">
        <v>0.0</v>
      </c>
      <c r="K4640" s="317"/>
    </row>
    <row r="4641">
      <c r="B4641" s="223" t="s">
        <v>200</v>
      </c>
      <c r="C4641" s="223"/>
      <c r="D4641" s="316"/>
      <c r="H4641" s="223">
        <v>0.0</v>
      </c>
      <c r="K4641" s="317"/>
    </row>
    <row r="4642">
      <c r="B4642" s="223" t="s">
        <v>200</v>
      </c>
      <c r="C4642" s="223"/>
      <c r="D4642" s="316"/>
      <c r="H4642" s="223">
        <v>0.0</v>
      </c>
      <c r="K4642" s="317"/>
    </row>
    <row r="4643">
      <c r="B4643" s="223" t="s">
        <v>200</v>
      </c>
      <c r="C4643" s="223"/>
      <c r="D4643" s="316"/>
      <c r="H4643" s="223">
        <v>0.0</v>
      </c>
      <c r="K4643" s="317"/>
    </row>
    <row r="4644">
      <c r="B4644" s="223" t="s">
        <v>200</v>
      </c>
      <c r="C4644" s="223"/>
      <c r="D4644" s="316"/>
      <c r="H4644" s="223">
        <v>0.0</v>
      </c>
      <c r="K4644" s="317"/>
    </row>
    <row r="4645">
      <c r="B4645" s="223" t="s">
        <v>200</v>
      </c>
      <c r="C4645" s="223"/>
      <c r="D4645" s="316"/>
      <c r="H4645" s="223">
        <v>0.0</v>
      </c>
      <c r="K4645" s="317"/>
    </row>
    <row r="4646">
      <c r="B4646" s="223" t="s">
        <v>200</v>
      </c>
      <c r="C4646" s="223"/>
      <c r="D4646" s="316"/>
      <c r="H4646" s="223">
        <v>0.0</v>
      </c>
      <c r="K4646" s="317"/>
    </row>
    <row r="4647">
      <c r="B4647" s="223" t="s">
        <v>200</v>
      </c>
      <c r="C4647" s="223"/>
      <c r="D4647" s="316"/>
      <c r="H4647" s="223">
        <v>0.0</v>
      </c>
      <c r="K4647" s="317"/>
    </row>
    <row r="4648">
      <c r="B4648" s="223" t="s">
        <v>200</v>
      </c>
      <c r="C4648" s="223"/>
      <c r="D4648" s="316"/>
      <c r="H4648" s="223">
        <v>0.0</v>
      </c>
      <c r="K4648" s="317"/>
    </row>
    <row r="4649">
      <c r="B4649" s="223" t="s">
        <v>200</v>
      </c>
      <c r="C4649" s="223"/>
      <c r="D4649" s="316"/>
      <c r="H4649" s="223">
        <v>0.0</v>
      </c>
      <c r="K4649" s="317"/>
    </row>
    <row r="4650">
      <c r="B4650" s="223" t="s">
        <v>200</v>
      </c>
      <c r="C4650" s="223"/>
      <c r="D4650" s="316"/>
      <c r="H4650" s="223">
        <v>0.0</v>
      </c>
      <c r="K4650" s="317"/>
    </row>
    <row r="4651">
      <c r="B4651" s="223" t="s">
        <v>200</v>
      </c>
      <c r="C4651" s="223"/>
      <c r="D4651" s="316"/>
      <c r="H4651" s="223">
        <v>0.0</v>
      </c>
      <c r="K4651" s="317"/>
    </row>
    <row r="4652">
      <c r="B4652" s="223" t="s">
        <v>200</v>
      </c>
      <c r="C4652" s="223"/>
      <c r="D4652" s="316"/>
      <c r="H4652" s="223">
        <v>0.0</v>
      </c>
      <c r="K4652" s="317"/>
    </row>
    <row r="4653">
      <c r="B4653" s="223" t="s">
        <v>200</v>
      </c>
      <c r="C4653" s="223"/>
      <c r="D4653" s="316"/>
      <c r="H4653" s="223">
        <v>0.0</v>
      </c>
      <c r="K4653" s="317"/>
    </row>
    <row r="4654">
      <c r="B4654" s="223" t="s">
        <v>200</v>
      </c>
      <c r="C4654" s="223"/>
      <c r="D4654" s="316"/>
      <c r="H4654" s="223">
        <v>0.0</v>
      </c>
      <c r="K4654" s="317"/>
    </row>
    <row r="4655">
      <c r="B4655" s="223" t="s">
        <v>200</v>
      </c>
      <c r="C4655" s="223"/>
      <c r="D4655" s="316"/>
      <c r="H4655" s="223">
        <v>0.0</v>
      </c>
      <c r="K4655" s="317"/>
    </row>
    <row r="4656">
      <c r="B4656" s="223" t="s">
        <v>200</v>
      </c>
      <c r="C4656" s="223"/>
      <c r="D4656" s="316"/>
      <c r="H4656" s="223">
        <v>0.0</v>
      </c>
      <c r="K4656" s="317"/>
    </row>
    <row r="4657">
      <c r="B4657" s="223" t="s">
        <v>200</v>
      </c>
      <c r="C4657" s="223"/>
      <c r="D4657" s="316"/>
      <c r="H4657" s="223">
        <v>0.0</v>
      </c>
      <c r="K4657" s="317"/>
    </row>
    <row r="4658">
      <c r="B4658" s="223" t="s">
        <v>200</v>
      </c>
      <c r="C4658" s="223"/>
      <c r="D4658" s="316"/>
      <c r="H4658" s="223">
        <v>0.0</v>
      </c>
      <c r="K4658" s="317"/>
    </row>
    <row r="4659">
      <c r="B4659" s="223" t="s">
        <v>200</v>
      </c>
      <c r="C4659" s="223"/>
      <c r="D4659" s="316"/>
      <c r="H4659" s="223">
        <v>0.0</v>
      </c>
      <c r="K4659" s="317"/>
    </row>
    <row r="4660">
      <c r="B4660" s="223" t="s">
        <v>200</v>
      </c>
      <c r="C4660" s="223"/>
      <c r="D4660" s="316"/>
      <c r="H4660" s="223">
        <v>0.0</v>
      </c>
      <c r="K4660" s="317"/>
    </row>
    <row r="4661">
      <c r="B4661" s="223" t="s">
        <v>200</v>
      </c>
      <c r="C4661" s="223"/>
      <c r="D4661" s="316"/>
      <c r="H4661" s="223">
        <v>0.0</v>
      </c>
      <c r="K4661" s="317"/>
    </row>
    <row r="4662">
      <c r="B4662" s="223" t="s">
        <v>200</v>
      </c>
      <c r="C4662" s="223"/>
      <c r="D4662" s="316"/>
      <c r="H4662" s="223">
        <v>0.0</v>
      </c>
      <c r="K4662" s="317"/>
    </row>
    <row r="4663">
      <c r="B4663" s="223" t="s">
        <v>200</v>
      </c>
      <c r="C4663" s="223"/>
      <c r="D4663" s="316"/>
      <c r="H4663" s="223">
        <v>0.0</v>
      </c>
      <c r="K4663" s="317"/>
    </row>
    <row r="4664">
      <c r="B4664" s="223" t="s">
        <v>200</v>
      </c>
      <c r="C4664" s="223"/>
      <c r="D4664" s="316"/>
      <c r="H4664" s="223">
        <v>0.0</v>
      </c>
      <c r="K4664" s="317"/>
    </row>
    <row r="4665">
      <c r="B4665" s="223" t="s">
        <v>200</v>
      </c>
      <c r="C4665" s="223"/>
      <c r="D4665" s="316"/>
      <c r="H4665" s="223">
        <v>0.0</v>
      </c>
      <c r="K4665" s="317"/>
    </row>
    <row r="4666">
      <c r="B4666" s="223" t="s">
        <v>200</v>
      </c>
      <c r="C4666" s="223"/>
      <c r="D4666" s="316"/>
      <c r="H4666" s="223">
        <v>0.0</v>
      </c>
      <c r="K4666" s="317"/>
    </row>
    <row r="4667">
      <c r="B4667" s="223" t="s">
        <v>200</v>
      </c>
      <c r="C4667" s="223"/>
      <c r="D4667" s="316"/>
      <c r="H4667" s="223">
        <v>0.0</v>
      </c>
      <c r="K4667" s="317"/>
    </row>
    <row r="4668">
      <c r="B4668" s="223" t="s">
        <v>200</v>
      </c>
      <c r="C4668" s="223"/>
      <c r="D4668" s="316"/>
      <c r="H4668" s="223">
        <v>0.0</v>
      </c>
      <c r="K4668" s="317"/>
    </row>
    <row r="4669">
      <c r="B4669" s="223" t="s">
        <v>200</v>
      </c>
      <c r="C4669" s="223"/>
      <c r="D4669" s="316"/>
      <c r="H4669" s="223">
        <v>0.0</v>
      </c>
      <c r="K4669" s="317"/>
    </row>
    <row r="4670">
      <c r="B4670" s="223" t="s">
        <v>200</v>
      </c>
      <c r="C4670" s="223"/>
      <c r="D4670" s="316"/>
      <c r="H4670" s="223">
        <v>0.0</v>
      </c>
      <c r="K4670" s="317"/>
    </row>
    <row r="4671">
      <c r="B4671" s="223" t="s">
        <v>200</v>
      </c>
      <c r="C4671" s="223"/>
      <c r="D4671" s="316"/>
      <c r="H4671" s="223">
        <v>0.0</v>
      </c>
      <c r="K4671" s="317"/>
    </row>
    <row r="4672">
      <c r="B4672" s="223" t="s">
        <v>200</v>
      </c>
      <c r="C4672" s="223"/>
      <c r="D4672" s="316"/>
      <c r="H4672" s="223">
        <v>0.0</v>
      </c>
      <c r="K4672" s="317"/>
    </row>
    <row r="4673">
      <c r="B4673" s="223" t="s">
        <v>200</v>
      </c>
      <c r="C4673" s="223"/>
      <c r="D4673" s="316"/>
      <c r="H4673" s="223">
        <v>0.0</v>
      </c>
      <c r="K4673" s="317"/>
    </row>
    <row r="4674">
      <c r="B4674" s="223" t="s">
        <v>200</v>
      </c>
      <c r="C4674" s="223"/>
      <c r="D4674" s="316"/>
      <c r="H4674" s="223">
        <v>0.0</v>
      </c>
      <c r="K4674" s="317"/>
    </row>
    <row r="4675">
      <c r="B4675" s="223" t="s">
        <v>200</v>
      </c>
      <c r="C4675" s="223"/>
      <c r="D4675" s="316"/>
      <c r="H4675" s="223">
        <v>0.0</v>
      </c>
      <c r="K4675" s="317"/>
    </row>
    <row r="4676">
      <c r="B4676" s="223" t="s">
        <v>200</v>
      </c>
      <c r="C4676" s="223"/>
      <c r="D4676" s="316"/>
      <c r="H4676" s="223">
        <v>0.0</v>
      </c>
      <c r="K4676" s="317"/>
    </row>
    <row r="4677">
      <c r="B4677" s="223" t="s">
        <v>200</v>
      </c>
      <c r="C4677" s="223"/>
      <c r="D4677" s="316"/>
      <c r="H4677" s="223">
        <v>0.0</v>
      </c>
      <c r="K4677" s="317"/>
    </row>
    <row r="4678">
      <c r="B4678" s="223" t="s">
        <v>200</v>
      </c>
      <c r="C4678" s="223"/>
      <c r="D4678" s="316"/>
      <c r="H4678" s="223">
        <v>0.0</v>
      </c>
      <c r="K4678" s="317"/>
    </row>
    <row r="4679">
      <c r="B4679" s="223" t="s">
        <v>200</v>
      </c>
      <c r="C4679" s="223"/>
      <c r="D4679" s="316"/>
      <c r="H4679" s="223">
        <v>0.0</v>
      </c>
      <c r="K4679" s="317"/>
    </row>
    <row r="4680">
      <c r="B4680" s="223" t="s">
        <v>200</v>
      </c>
      <c r="C4680" s="223"/>
      <c r="D4680" s="316"/>
      <c r="H4680" s="223">
        <v>0.0</v>
      </c>
      <c r="K4680" s="317"/>
    </row>
    <row r="4681">
      <c r="B4681" s="223" t="s">
        <v>200</v>
      </c>
      <c r="C4681" s="223"/>
      <c r="D4681" s="316"/>
      <c r="H4681" s="223">
        <v>0.0</v>
      </c>
      <c r="K4681" s="317"/>
    </row>
    <row r="4682">
      <c r="B4682" s="223" t="s">
        <v>200</v>
      </c>
      <c r="C4682" s="223"/>
      <c r="D4682" s="316"/>
      <c r="H4682" s="223">
        <v>0.0</v>
      </c>
      <c r="K4682" s="317"/>
    </row>
    <row r="4683">
      <c r="B4683" s="223" t="s">
        <v>200</v>
      </c>
      <c r="C4683" s="223"/>
      <c r="D4683" s="316"/>
      <c r="H4683" s="223">
        <v>0.0</v>
      </c>
      <c r="K4683" s="317"/>
    </row>
    <row r="4684">
      <c r="B4684" s="223" t="s">
        <v>200</v>
      </c>
      <c r="C4684" s="223"/>
      <c r="D4684" s="316"/>
      <c r="H4684" s="223">
        <v>0.0</v>
      </c>
      <c r="K4684" s="317"/>
    </row>
    <row r="4685">
      <c r="B4685" s="223" t="s">
        <v>200</v>
      </c>
      <c r="C4685" s="223"/>
      <c r="D4685" s="316"/>
      <c r="H4685" s="223">
        <v>0.0</v>
      </c>
      <c r="K4685" s="317"/>
    </row>
    <row r="4686">
      <c r="B4686" s="223" t="s">
        <v>200</v>
      </c>
      <c r="C4686" s="223"/>
      <c r="D4686" s="316"/>
      <c r="H4686" s="223">
        <v>0.0</v>
      </c>
      <c r="K4686" s="317"/>
    </row>
    <row r="4687">
      <c r="B4687" s="223" t="s">
        <v>200</v>
      </c>
      <c r="C4687" s="223"/>
      <c r="D4687" s="316"/>
      <c r="H4687" s="223">
        <v>0.0</v>
      </c>
      <c r="K4687" s="317"/>
    </row>
    <row r="4688">
      <c r="B4688" s="223" t="s">
        <v>200</v>
      </c>
      <c r="C4688" s="223"/>
      <c r="D4688" s="316"/>
      <c r="H4688" s="223">
        <v>0.0</v>
      </c>
      <c r="K4688" s="317"/>
    </row>
    <row r="4689">
      <c r="B4689" s="223" t="s">
        <v>200</v>
      </c>
      <c r="C4689" s="223"/>
      <c r="D4689" s="316"/>
      <c r="H4689" s="223">
        <v>0.0</v>
      </c>
      <c r="K4689" s="317"/>
    </row>
    <row r="4690">
      <c r="B4690" s="223" t="s">
        <v>200</v>
      </c>
      <c r="C4690" s="223"/>
      <c r="D4690" s="316"/>
      <c r="H4690" s="223">
        <v>0.0</v>
      </c>
      <c r="K4690" s="317"/>
    </row>
    <row r="4691">
      <c r="B4691" s="223" t="s">
        <v>200</v>
      </c>
      <c r="C4691" s="223"/>
      <c r="D4691" s="316"/>
      <c r="H4691" s="223">
        <v>0.0</v>
      </c>
      <c r="K4691" s="317"/>
    </row>
    <row r="4692">
      <c r="B4692" s="223" t="s">
        <v>200</v>
      </c>
      <c r="C4692" s="223"/>
      <c r="D4692" s="316"/>
      <c r="H4692" s="223">
        <v>0.0</v>
      </c>
      <c r="K4692" s="317"/>
    </row>
    <row r="4693">
      <c r="B4693" s="223" t="s">
        <v>200</v>
      </c>
      <c r="C4693" s="223"/>
      <c r="D4693" s="316"/>
      <c r="H4693" s="223">
        <v>0.0</v>
      </c>
      <c r="K4693" s="317"/>
    </row>
    <row r="4694">
      <c r="B4694" s="223" t="s">
        <v>200</v>
      </c>
      <c r="C4694" s="223"/>
      <c r="D4694" s="316"/>
      <c r="H4694" s="223">
        <v>0.0</v>
      </c>
      <c r="K4694" s="317"/>
    </row>
    <row r="4695">
      <c r="B4695" s="223" t="s">
        <v>200</v>
      </c>
      <c r="C4695" s="223"/>
      <c r="D4695" s="316"/>
      <c r="H4695" s="223">
        <v>0.0</v>
      </c>
      <c r="K4695" s="317"/>
    </row>
    <row r="4696">
      <c r="B4696" s="223" t="s">
        <v>200</v>
      </c>
      <c r="C4696" s="223"/>
      <c r="D4696" s="316"/>
      <c r="H4696" s="223">
        <v>0.0</v>
      </c>
      <c r="K4696" s="317"/>
    </row>
    <row r="4697">
      <c r="B4697" s="223" t="s">
        <v>200</v>
      </c>
      <c r="C4697" s="223"/>
      <c r="D4697" s="316"/>
      <c r="H4697" s="223">
        <v>0.0</v>
      </c>
      <c r="K4697" s="317"/>
    </row>
    <row r="4698">
      <c r="B4698" s="223" t="s">
        <v>200</v>
      </c>
      <c r="C4698" s="223"/>
      <c r="D4698" s="316"/>
      <c r="H4698" s="223">
        <v>0.0</v>
      </c>
      <c r="K4698" s="317"/>
    </row>
    <row r="4699">
      <c r="B4699" s="223" t="s">
        <v>200</v>
      </c>
      <c r="C4699" s="223"/>
      <c r="D4699" s="316"/>
      <c r="H4699" s="223">
        <v>0.0</v>
      </c>
      <c r="K4699" s="317"/>
    </row>
    <row r="4700">
      <c r="B4700" s="223" t="s">
        <v>200</v>
      </c>
      <c r="C4700" s="223"/>
      <c r="D4700" s="316"/>
      <c r="H4700" s="223">
        <v>0.0</v>
      </c>
      <c r="K4700" s="317"/>
    </row>
    <row r="4701">
      <c r="B4701" s="223" t="s">
        <v>200</v>
      </c>
      <c r="C4701" s="223"/>
      <c r="D4701" s="316"/>
      <c r="H4701" s="223">
        <v>0.0</v>
      </c>
      <c r="K4701" s="317"/>
    </row>
    <row r="4702">
      <c r="B4702" s="223" t="s">
        <v>200</v>
      </c>
      <c r="C4702" s="223"/>
      <c r="D4702" s="316"/>
      <c r="H4702" s="223">
        <v>0.0</v>
      </c>
      <c r="K4702" s="317"/>
    </row>
    <row r="4703">
      <c r="B4703" s="223" t="s">
        <v>200</v>
      </c>
      <c r="C4703" s="223"/>
      <c r="D4703" s="316"/>
      <c r="H4703" s="223">
        <v>0.0</v>
      </c>
      <c r="K4703" s="317"/>
    </row>
    <row r="4704">
      <c r="B4704" s="223" t="s">
        <v>200</v>
      </c>
      <c r="C4704" s="223"/>
      <c r="D4704" s="316"/>
      <c r="H4704" s="223">
        <v>0.0</v>
      </c>
      <c r="K4704" s="317"/>
    </row>
    <row r="4705">
      <c r="B4705" s="223" t="s">
        <v>200</v>
      </c>
      <c r="C4705" s="223"/>
      <c r="D4705" s="316"/>
      <c r="H4705" s="223">
        <v>0.0</v>
      </c>
      <c r="K4705" s="317"/>
    </row>
    <row r="4706">
      <c r="B4706" s="223" t="s">
        <v>200</v>
      </c>
      <c r="C4706" s="223"/>
      <c r="D4706" s="316"/>
      <c r="H4706" s="223">
        <v>0.0</v>
      </c>
      <c r="K4706" s="317"/>
    </row>
    <row r="4707">
      <c r="B4707" s="223" t="s">
        <v>200</v>
      </c>
      <c r="C4707" s="223"/>
      <c r="D4707" s="316"/>
      <c r="H4707" s="223">
        <v>0.0</v>
      </c>
      <c r="K4707" s="317"/>
    </row>
    <row r="4708">
      <c r="B4708" s="223" t="s">
        <v>200</v>
      </c>
      <c r="C4708" s="223"/>
      <c r="D4708" s="316"/>
      <c r="H4708" s="223">
        <v>0.0</v>
      </c>
      <c r="K4708" s="317"/>
    </row>
    <row r="4709">
      <c r="B4709" s="223" t="s">
        <v>200</v>
      </c>
      <c r="C4709" s="223"/>
      <c r="D4709" s="316"/>
      <c r="H4709" s="223">
        <v>0.0</v>
      </c>
      <c r="K4709" s="317"/>
    </row>
    <row r="4710">
      <c r="B4710" s="223" t="s">
        <v>200</v>
      </c>
      <c r="C4710" s="223"/>
      <c r="D4710" s="316"/>
      <c r="H4710" s="223">
        <v>0.0</v>
      </c>
      <c r="K4710" s="317"/>
    </row>
    <row r="4711">
      <c r="B4711" s="223" t="s">
        <v>200</v>
      </c>
      <c r="C4711" s="223"/>
      <c r="D4711" s="316"/>
      <c r="H4711" s="223">
        <v>0.0</v>
      </c>
      <c r="K4711" s="317"/>
    </row>
    <row r="4712">
      <c r="B4712" s="223" t="s">
        <v>200</v>
      </c>
      <c r="C4712" s="223"/>
      <c r="D4712" s="316"/>
      <c r="H4712" s="223">
        <v>0.0</v>
      </c>
      <c r="K4712" s="317"/>
    </row>
    <row r="4713">
      <c r="B4713" s="223" t="s">
        <v>200</v>
      </c>
      <c r="C4713" s="223"/>
      <c r="D4713" s="316"/>
      <c r="H4713" s="223">
        <v>0.0</v>
      </c>
      <c r="K4713" s="317"/>
    </row>
    <row r="4714">
      <c r="B4714" s="223" t="s">
        <v>200</v>
      </c>
      <c r="C4714" s="223"/>
      <c r="D4714" s="316"/>
      <c r="H4714" s="223">
        <v>0.0</v>
      </c>
      <c r="K4714" s="317"/>
    </row>
    <row r="4715">
      <c r="B4715" s="223" t="s">
        <v>200</v>
      </c>
      <c r="C4715" s="223"/>
      <c r="D4715" s="316"/>
      <c r="H4715" s="223">
        <v>0.0</v>
      </c>
      <c r="K4715" s="317"/>
    </row>
    <row r="4716">
      <c r="B4716" s="223" t="s">
        <v>200</v>
      </c>
      <c r="C4716" s="223"/>
      <c r="D4716" s="316"/>
      <c r="H4716" s="223">
        <v>0.0</v>
      </c>
      <c r="K4716" s="317"/>
    </row>
    <row r="4717">
      <c r="B4717" s="223" t="s">
        <v>200</v>
      </c>
      <c r="C4717" s="223"/>
      <c r="D4717" s="316"/>
      <c r="H4717" s="223">
        <v>0.0</v>
      </c>
      <c r="K4717" s="317"/>
    </row>
    <row r="4718">
      <c r="B4718" s="223" t="s">
        <v>200</v>
      </c>
      <c r="C4718" s="223"/>
      <c r="D4718" s="316"/>
      <c r="H4718" s="223">
        <v>0.0</v>
      </c>
      <c r="K4718" s="317"/>
    </row>
    <row r="4719">
      <c r="B4719" s="223" t="s">
        <v>200</v>
      </c>
      <c r="C4719" s="223"/>
      <c r="D4719" s="316"/>
      <c r="H4719" s="223">
        <v>0.0</v>
      </c>
      <c r="K4719" s="317"/>
    </row>
    <row r="4720">
      <c r="B4720" s="223" t="s">
        <v>200</v>
      </c>
      <c r="C4720" s="223"/>
      <c r="D4720" s="316"/>
      <c r="H4720" s="223">
        <v>0.0</v>
      </c>
      <c r="K4720" s="317"/>
    </row>
    <row r="4721">
      <c r="B4721" s="223" t="s">
        <v>200</v>
      </c>
      <c r="C4721" s="223"/>
      <c r="D4721" s="316"/>
      <c r="H4721" s="223">
        <v>0.0</v>
      </c>
      <c r="K4721" s="317"/>
    </row>
    <row r="4722">
      <c r="B4722" s="223" t="s">
        <v>200</v>
      </c>
      <c r="C4722" s="223"/>
      <c r="D4722" s="316"/>
      <c r="H4722" s="223">
        <v>0.0</v>
      </c>
      <c r="K4722" s="317"/>
    </row>
    <row r="4723">
      <c r="B4723" s="223" t="s">
        <v>200</v>
      </c>
      <c r="C4723" s="223"/>
      <c r="D4723" s="316"/>
      <c r="H4723" s="223">
        <v>0.0</v>
      </c>
      <c r="K4723" s="317"/>
    </row>
    <row r="4724">
      <c r="B4724" s="223" t="s">
        <v>200</v>
      </c>
      <c r="C4724" s="223"/>
      <c r="D4724" s="316"/>
      <c r="H4724" s="223">
        <v>0.0</v>
      </c>
      <c r="K4724" s="317"/>
    </row>
    <row r="4725">
      <c r="B4725" s="223" t="s">
        <v>200</v>
      </c>
      <c r="C4725" s="223"/>
      <c r="D4725" s="316"/>
      <c r="H4725" s="223">
        <v>0.0</v>
      </c>
      <c r="K4725" s="317"/>
    </row>
    <row r="4726">
      <c r="B4726" s="223" t="s">
        <v>200</v>
      </c>
      <c r="C4726" s="223"/>
      <c r="D4726" s="316"/>
      <c r="H4726" s="223">
        <v>0.0</v>
      </c>
      <c r="K4726" s="317"/>
    </row>
    <row r="4727">
      <c r="B4727" s="223" t="s">
        <v>200</v>
      </c>
      <c r="C4727" s="223"/>
      <c r="D4727" s="316"/>
      <c r="H4727" s="223">
        <v>0.0</v>
      </c>
      <c r="K4727" s="317"/>
    </row>
    <row r="4728">
      <c r="B4728" s="223" t="s">
        <v>200</v>
      </c>
      <c r="C4728" s="223"/>
      <c r="D4728" s="316"/>
      <c r="H4728" s="223">
        <v>0.0</v>
      </c>
      <c r="K4728" s="317"/>
    </row>
    <row r="4729">
      <c r="B4729" s="223" t="s">
        <v>200</v>
      </c>
      <c r="C4729" s="223"/>
      <c r="D4729" s="316"/>
      <c r="H4729" s="223">
        <v>0.0</v>
      </c>
      <c r="K4729" s="317"/>
    </row>
    <row r="4730">
      <c r="B4730" s="223" t="s">
        <v>200</v>
      </c>
      <c r="C4730" s="223"/>
      <c r="D4730" s="316"/>
      <c r="H4730" s="223">
        <v>0.0</v>
      </c>
      <c r="K4730" s="317"/>
    </row>
    <row r="4731">
      <c r="B4731" s="223" t="s">
        <v>200</v>
      </c>
      <c r="C4731" s="223"/>
      <c r="D4731" s="316"/>
      <c r="H4731" s="223">
        <v>0.0</v>
      </c>
      <c r="K4731" s="317"/>
    </row>
    <row r="4732">
      <c r="B4732" s="223" t="s">
        <v>200</v>
      </c>
      <c r="C4732" s="223"/>
      <c r="D4732" s="316"/>
      <c r="H4732" s="223">
        <v>0.0</v>
      </c>
      <c r="K4732" s="317"/>
    </row>
    <row r="4733">
      <c r="B4733" s="223" t="s">
        <v>200</v>
      </c>
      <c r="C4733" s="223"/>
      <c r="D4733" s="316"/>
      <c r="H4733" s="223">
        <v>0.0</v>
      </c>
      <c r="K4733" s="317"/>
    </row>
    <row r="4734">
      <c r="B4734" s="223" t="s">
        <v>200</v>
      </c>
      <c r="C4734" s="223"/>
      <c r="D4734" s="316"/>
      <c r="H4734" s="223">
        <v>0.0</v>
      </c>
      <c r="K4734" s="317"/>
    </row>
    <row r="4735">
      <c r="B4735" s="223" t="s">
        <v>200</v>
      </c>
      <c r="C4735" s="223"/>
      <c r="D4735" s="316"/>
      <c r="H4735" s="223">
        <v>0.0</v>
      </c>
      <c r="K4735" s="317"/>
    </row>
    <row r="4736">
      <c r="B4736" s="223" t="s">
        <v>200</v>
      </c>
      <c r="C4736" s="223"/>
      <c r="D4736" s="316"/>
      <c r="H4736" s="223">
        <v>0.0</v>
      </c>
      <c r="K4736" s="317"/>
    </row>
    <row r="4737">
      <c r="B4737" s="223" t="s">
        <v>200</v>
      </c>
      <c r="C4737" s="223"/>
      <c r="D4737" s="316"/>
      <c r="H4737" s="223">
        <v>0.0</v>
      </c>
      <c r="K4737" s="317"/>
    </row>
    <row r="4738">
      <c r="B4738" s="223" t="s">
        <v>200</v>
      </c>
      <c r="C4738" s="223"/>
      <c r="D4738" s="316"/>
      <c r="H4738" s="223">
        <v>0.0</v>
      </c>
      <c r="K4738" s="317"/>
    </row>
    <row r="4739">
      <c r="B4739" s="223" t="s">
        <v>200</v>
      </c>
      <c r="C4739" s="223"/>
      <c r="D4739" s="316"/>
      <c r="H4739" s="223">
        <v>0.0</v>
      </c>
      <c r="K4739" s="317"/>
    </row>
    <row r="4740">
      <c r="B4740" s="223" t="s">
        <v>200</v>
      </c>
      <c r="C4740" s="223"/>
      <c r="D4740" s="316"/>
      <c r="H4740" s="223">
        <v>0.0</v>
      </c>
      <c r="K4740" s="317"/>
    </row>
    <row r="4741">
      <c r="B4741" s="223" t="s">
        <v>200</v>
      </c>
      <c r="C4741" s="223"/>
      <c r="D4741" s="316"/>
      <c r="H4741" s="223">
        <v>0.0</v>
      </c>
      <c r="K4741" s="317"/>
    </row>
    <row r="4742">
      <c r="B4742" s="223" t="s">
        <v>200</v>
      </c>
      <c r="C4742" s="223"/>
      <c r="D4742" s="316"/>
      <c r="H4742" s="223">
        <v>0.0</v>
      </c>
      <c r="K4742" s="317"/>
    </row>
    <row r="4743">
      <c r="B4743" s="223" t="s">
        <v>200</v>
      </c>
      <c r="C4743" s="223"/>
      <c r="D4743" s="316"/>
      <c r="H4743" s="223">
        <v>0.0</v>
      </c>
      <c r="K4743" s="317"/>
    </row>
    <row r="4744">
      <c r="B4744" s="223" t="s">
        <v>200</v>
      </c>
      <c r="C4744" s="223"/>
      <c r="D4744" s="316"/>
      <c r="H4744" s="223">
        <v>0.0</v>
      </c>
      <c r="K4744" s="317"/>
    </row>
    <row r="4745">
      <c r="B4745" s="223" t="s">
        <v>200</v>
      </c>
      <c r="C4745" s="223"/>
      <c r="D4745" s="316"/>
      <c r="H4745" s="223">
        <v>0.0</v>
      </c>
      <c r="K4745" s="317"/>
    </row>
    <row r="4746">
      <c r="B4746" s="223" t="s">
        <v>200</v>
      </c>
      <c r="C4746" s="223"/>
      <c r="D4746" s="316"/>
      <c r="H4746" s="223">
        <v>0.0</v>
      </c>
      <c r="K4746" s="317"/>
    </row>
    <row r="4747">
      <c r="B4747" s="223" t="s">
        <v>200</v>
      </c>
      <c r="C4747" s="223"/>
      <c r="D4747" s="316"/>
      <c r="H4747" s="223">
        <v>0.0</v>
      </c>
      <c r="K4747" s="317"/>
    </row>
    <row r="4748">
      <c r="B4748" s="223" t="s">
        <v>200</v>
      </c>
      <c r="C4748" s="223"/>
      <c r="D4748" s="316"/>
      <c r="H4748" s="223">
        <v>0.0</v>
      </c>
      <c r="K4748" s="317"/>
    </row>
    <row r="4749">
      <c r="B4749" s="223" t="s">
        <v>200</v>
      </c>
      <c r="C4749" s="223"/>
      <c r="D4749" s="316"/>
      <c r="H4749" s="223">
        <v>0.0</v>
      </c>
      <c r="K4749" s="317"/>
    </row>
    <row r="4750">
      <c r="B4750" s="223" t="s">
        <v>200</v>
      </c>
      <c r="C4750" s="223"/>
      <c r="D4750" s="316"/>
      <c r="H4750" s="223">
        <v>0.0</v>
      </c>
      <c r="K4750" s="317"/>
    </row>
    <row r="4751">
      <c r="B4751" s="223" t="s">
        <v>200</v>
      </c>
      <c r="C4751" s="223"/>
      <c r="D4751" s="316"/>
      <c r="H4751" s="223">
        <v>0.0</v>
      </c>
      <c r="K4751" s="317"/>
    </row>
    <row r="4752">
      <c r="B4752" s="223" t="s">
        <v>200</v>
      </c>
      <c r="C4752" s="223"/>
      <c r="D4752" s="316"/>
      <c r="H4752" s="223">
        <v>0.0</v>
      </c>
      <c r="K4752" s="317"/>
    </row>
    <row r="4753">
      <c r="B4753" s="223" t="s">
        <v>200</v>
      </c>
      <c r="C4753" s="223"/>
      <c r="D4753" s="316"/>
      <c r="H4753" s="223">
        <v>0.0</v>
      </c>
      <c r="K4753" s="317"/>
    </row>
    <row r="4754">
      <c r="B4754" s="223" t="s">
        <v>200</v>
      </c>
      <c r="C4754" s="223"/>
      <c r="D4754" s="316"/>
      <c r="H4754" s="223">
        <v>0.0</v>
      </c>
      <c r="K4754" s="317"/>
    </row>
    <row r="4755">
      <c r="B4755" s="223" t="s">
        <v>200</v>
      </c>
      <c r="C4755" s="223"/>
      <c r="D4755" s="316"/>
      <c r="H4755" s="223">
        <v>0.0</v>
      </c>
      <c r="K4755" s="317"/>
    </row>
    <row r="4756">
      <c r="B4756" s="223" t="s">
        <v>200</v>
      </c>
      <c r="C4756" s="223"/>
      <c r="D4756" s="316"/>
      <c r="H4756" s="223">
        <v>0.0</v>
      </c>
      <c r="K4756" s="317"/>
    </row>
    <row r="4757">
      <c r="B4757" s="223" t="s">
        <v>200</v>
      </c>
      <c r="C4757" s="223"/>
      <c r="D4757" s="316"/>
      <c r="H4757" s="223">
        <v>0.0</v>
      </c>
      <c r="K4757" s="317"/>
    </row>
    <row r="4758">
      <c r="B4758" s="223" t="s">
        <v>200</v>
      </c>
      <c r="C4758" s="223"/>
      <c r="D4758" s="316"/>
      <c r="H4758" s="223">
        <v>0.0</v>
      </c>
      <c r="K4758" s="317"/>
    </row>
    <row r="4759">
      <c r="B4759" s="223" t="s">
        <v>200</v>
      </c>
      <c r="C4759" s="223"/>
      <c r="D4759" s="316"/>
      <c r="H4759" s="223">
        <v>0.0</v>
      </c>
      <c r="K4759" s="317"/>
    </row>
    <row r="4760">
      <c r="B4760" s="223" t="s">
        <v>200</v>
      </c>
      <c r="C4760" s="223"/>
      <c r="D4760" s="316"/>
      <c r="H4760" s="223">
        <v>0.0</v>
      </c>
      <c r="K4760" s="317"/>
    </row>
    <row r="4761">
      <c r="B4761" s="223" t="s">
        <v>200</v>
      </c>
      <c r="C4761" s="223"/>
      <c r="D4761" s="316"/>
      <c r="H4761" s="223">
        <v>0.0</v>
      </c>
      <c r="K4761" s="317"/>
    </row>
    <row r="4762">
      <c r="B4762" s="223" t="s">
        <v>200</v>
      </c>
      <c r="C4762" s="223"/>
      <c r="D4762" s="316"/>
      <c r="H4762" s="223">
        <v>0.0</v>
      </c>
      <c r="K4762" s="317"/>
    </row>
    <row r="4763">
      <c r="B4763" s="223" t="s">
        <v>200</v>
      </c>
      <c r="C4763" s="223"/>
      <c r="D4763" s="316"/>
      <c r="H4763" s="223">
        <v>0.0</v>
      </c>
      <c r="K4763" s="317"/>
    </row>
    <row r="4764">
      <c r="B4764" s="223" t="s">
        <v>200</v>
      </c>
      <c r="C4764" s="223"/>
      <c r="D4764" s="316"/>
      <c r="H4764" s="223">
        <v>0.0</v>
      </c>
      <c r="K4764" s="317"/>
    </row>
    <row r="4765">
      <c r="B4765" s="223" t="s">
        <v>200</v>
      </c>
      <c r="C4765" s="223"/>
      <c r="D4765" s="316"/>
      <c r="H4765" s="223">
        <v>0.0</v>
      </c>
      <c r="K4765" s="317"/>
    </row>
    <row r="4766">
      <c r="B4766" s="223" t="s">
        <v>200</v>
      </c>
      <c r="C4766" s="223"/>
      <c r="D4766" s="316"/>
      <c r="H4766" s="223">
        <v>0.0</v>
      </c>
      <c r="K4766" s="317"/>
    </row>
    <row r="4767">
      <c r="B4767" s="223" t="s">
        <v>200</v>
      </c>
      <c r="C4767" s="223"/>
      <c r="D4767" s="316"/>
      <c r="H4767" s="223">
        <v>0.0</v>
      </c>
      <c r="K4767" s="317"/>
    </row>
    <row r="4768">
      <c r="B4768" s="223" t="s">
        <v>200</v>
      </c>
      <c r="C4768" s="223"/>
      <c r="D4768" s="316"/>
      <c r="H4768" s="223">
        <v>0.0</v>
      </c>
      <c r="K4768" s="317"/>
    </row>
    <row r="4769">
      <c r="B4769" s="223" t="s">
        <v>200</v>
      </c>
      <c r="C4769" s="223"/>
      <c r="D4769" s="316"/>
      <c r="H4769" s="223">
        <v>0.0</v>
      </c>
      <c r="K4769" s="317"/>
    </row>
    <row r="4770">
      <c r="B4770" s="223" t="s">
        <v>200</v>
      </c>
      <c r="C4770" s="223"/>
      <c r="D4770" s="316"/>
      <c r="H4770" s="223">
        <v>0.0</v>
      </c>
      <c r="K4770" s="317"/>
    </row>
    <row r="4771">
      <c r="B4771" s="223" t="s">
        <v>200</v>
      </c>
      <c r="C4771" s="223"/>
      <c r="D4771" s="316"/>
      <c r="H4771" s="223">
        <v>0.0</v>
      </c>
      <c r="K4771" s="317"/>
    </row>
    <row r="4772">
      <c r="B4772" s="223" t="s">
        <v>200</v>
      </c>
      <c r="C4772" s="223"/>
      <c r="D4772" s="316"/>
      <c r="H4772" s="223">
        <v>0.0</v>
      </c>
      <c r="K4772" s="317"/>
    </row>
    <row r="4773">
      <c r="B4773" s="223" t="s">
        <v>200</v>
      </c>
      <c r="C4773" s="223"/>
      <c r="D4773" s="316"/>
      <c r="H4773" s="223">
        <v>0.0</v>
      </c>
      <c r="K4773" s="317"/>
    </row>
    <row r="4774">
      <c r="B4774" s="223" t="s">
        <v>200</v>
      </c>
      <c r="C4774" s="223"/>
      <c r="D4774" s="316"/>
      <c r="H4774" s="223">
        <v>0.0</v>
      </c>
      <c r="K4774" s="317"/>
    </row>
    <row r="4775">
      <c r="B4775" s="223" t="s">
        <v>200</v>
      </c>
      <c r="C4775" s="223"/>
      <c r="D4775" s="316"/>
      <c r="H4775" s="223">
        <v>0.0</v>
      </c>
      <c r="K4775" s="317"/>
    </row>
    <row r="4776">
      <c r="B4776" s="223" t="s">
        <v>200</v>
      </c>
      <c r="C4776" s="223"/>
      <c r="D4776" s="316"/>
      <c r="H4776" s="223">
        <v>0.0</v>
      </c>
      <c r="K4776" s="317"/>
    </row>
    <row r="4777">
      <c r="B4777" s="223" t="s">
        <v>200</v>
      </c>
      <c r="C4777" s="223"/>
      <c r="D4777" s="316"/>
      <c r="H4777" s="223">
        <v>0.0</v>
      </c>
      <c r="K4777" s="317"/>
    </row>
    <row r="4778">
      <c r="B4778" s="223" t="s">
        <v>200</v>
      </c>
      <c r="C4778" s="223"/>
      <c r="D4778" s="316"/>
      <c r="H4778" s="223">
        <v>0.0</v>
      </c>
      <c r="K4778" s="317"/>
    </row>
    <row r="4779">
      <c r="B4779" s="223" t="s">
        <v>200</v>
      </c>
      <c r="C4779" s="223"/>
      <c r="D4779" s="316"/>
      <c r="H4779" s="223">
        <v>0.0</v>
      </c>
      <c r="K4779" s="317"/>
    </row>
    <row r="4780">
      <c r="B4780" s="223" t="s">
        <v>200</v>
      </c>
      <c r="C4780" s="223"/>
      <c r="D4780" s="316"/>
      <c r="H4780" s="223">
        <v>0.0</v>
      </c>
      <c r="K4780" s="317"/>
    </row>
    <row r="4781">
      <c r="B4781" s="223" t="s">
        <v>200</v>
      </c>
      <c r="C4781" s="223"/>
      <c r="D4781" s="316"/>
      <c r="H4781" s="223">
        <v>0.0</v>
      </c>
      <c r="K4781" s="317"/>
    </row>
    <row r="4782">
      <c r="B4782" s="223" t="s">
        <v>200</v>
      </c>
      <c r="C4782" s="223"/>
      <c r="D4782" s="316"/>
      <c r="H4782" s="223">
        <v>0.0</v>
      </c>
      <c r="K4782" s="317"/>
    </row>
    <row r="4783">
      <c r="B4783" s="223" t="s">
        <v>200</v>
      </c>
      <c r="C4783" s="223"/>
      <c r="D4783" s="316"/>
      <c r="H4783" s="223">
        <v>0.0</v>
      </c>
      <c r="K4783" s="317"/>
    </row>
    <row r="4784">
      <c r="B4784" s="223" t="s">
        <v>200</v>
      </c>
      <c r="C4784" s="223"/>
      <c r="D4784" s="316"/>
      <c r="H4784" s="223">
        <v>0.0</v>
      </c>
      <c r="K4784" s="317"/>
    </row>
    <row r="4785">
      <c r="B4785" s="223" t="s">
        <v>200</v>
      </c>
      <c r="C4785" s="223"/>
      <c r="D4785" s="316"/>
      <c r="H4785" s="223">
        <v>0.0</v>
      </c>
      <c r="K4785" s="317"/>
    </row>
    <row r="4786">
      <c r="B4786" s="223" t="s">
        <v>200</v>
      </c>
      <c r="C4786" s="223"/>
      <c r="D4786" s="316"/>
      <c r="H4786" s="223">
        <v>0.0</v>
      </c>
      <c r="K4786" s="317"/>
    </row>
    <row r="4787">
      <c r="B4787" s="223" t="s">
        <v>200</v>
      </c>
      <c r="C4787" s="223"/>
      <c r="D4787" s="316"/>
      <c r="H4787" s="223">
        <v>0.0</v>
      </c>
      <c r="K4787" s="317"/>
    </row>
    <row r="4788">
      <c r="B4788" s="223" t="s">
        <v>200</v>
      </c>
      <c r="C4788" s="223"/>
      <c r="D4788" s="316"/>
      <c r="H4788" s="223">
        <v>0.0</v>
      </c>
      <c r="K4788" s="317"/>
    </row>
    <row r="4789">
      <c r="B4789" s="223" t="s">
        <v>200</v>
      </c>
      <c r="C4789" s="223"/>
      <c r="D4789" s="316"/>
      <c r="H4789" s="223">
        <v>0.0</v>
      </c>
      <c r="K4789" s="317"/>
    </row>
    <row r="4790">
      <c r="B4790" s="223" t="s">
        <v>200</v>
      </c>
      <c r="C4790" s="223"/>
      <c r="D4790" s="316"/>
      <c r="H4790" s="223">
        <v>0.0</v>
      </c>
      <c r="K4790" s="317"/>
    </row>
    <row r="4791">
      <c r="B4791" s="223" t="s">
        <v>200</v>
      </c>
      <c r="C4791" s="223"/>
      <c r="D4791" s="316"/>
      <c r="H4791" s="223">
        <v>0.0</v>
      </c>
      <c r="K4791" s="317"/>
    </row>
    <row r="4792">
      <c r="B4792" s="223" t="s">
        <v>200</v>
      </c>
      <c r="C4792" s="223"/>
      <c r="D4792" s="316"/>
      <c r="H4792" s="223">
        <v>0.0</v>
      </c>
      <c r="K4792" s="317"/>
    </row>
    <row r="4793">
      <c r="B4793" s="223" t="s">
        <v>200</v>
      </c>
      <c r="C4793" s="223"/>
      <c r="D4793" s="316"/>
      <c r="H4793" s="223">
        <v>0.0</v>
      </c>
      <c r="K4793" s="317"/>
    </row>
    <row r="4794">
      <c r="B4794" s="223" t="s">
        <v>200</v>
      </c>
      <c r="C4794" s="223"/>
      <c r="D4794" s="316"/>
      <c r="H4794" s="223">
        <v>0.0</v>
      </c>
      <c r="K4794" s="317"/>
    </row>
    <row r="4795">
      <c r="B4795" s="223" t="s">
        <v>200</v>
      </c>
      <c r="C4795" s="223"/>
      <c r="D4795" s="316"/>
      <c r="H4795" s="223">
        <v>0.0</v>
      </c>
      <c r="K4795" s="317"/>
    </row>
    <row r="4796">
      <c r="B4796" s="223" t="s">
        <v>200</v>
      </c>
      <c r="C4796" s="223"/>
      <c r="D4796" s="316"/>
      <c r="H4796" s="223">
        <v>0.0</v>
      </c>
      <c r="K4796" s="317"/>
    </row>
    <row r="4797">
      <c r="B4797" s="223" t="s">
        <v>200</v>
      </c>
      <c r="C4797" s="223"/>
      <c r="D4797" s="316"/>
      <c r="H4797" s="223">
        <v>0.0</v>
      </c>
      <c r="K4797" s="317"/>
    </row>
    <row r="4798">
      <c r="B4798" s="223" t="s">
        <v>200</v>
      </c>
      <c r="C4798" s="223"/>
      <c r="D4798" s="316"/>
      <c r="H4798" s="223">
        <v>0.0</v>
      </c>
      <c r="K4798" s="317"/>
    </row>
    <row r="4799">
      <c r="B4799" s="223" t="s">
        <v>200</v>
      </c>
      <c r="C4799" s="223"/>
      <c r="D4799" s="316"/>
      <c r="H4799" s="223">
        <v>0.0</v>
      </c>
      <c r="K4799" s="317"/>
    </row>
    <row r="4800">
      <c r="B4800" s="223" t="s">
        <v>200</v>
      </c>
      <c r="C4800" s="223"/>
      <c r="D4800" s="316"/>
      <c r="H4800" s="223">
        <v>0.0</v>
      </c>
      <c r="K4800" s="317"/>
    </row>
    <row r="4801">
      <c r="B4801" s="223" t="s">
        <v>200</v>
      </c>
      <c r="C4801" s="223"/>
      <c r="D4801" s="316"/>
      <c r="H4801" s="223">
        <v>0.0</v>
      </c>
      <c r="K4801" s="317"/>
    </row>
    <row r="4802">
      <c r="B4802" s="223" t="s">
        <v>200</v>
      </c>
      <c r="C4802" s="223"/>
      <c r="D4802" s="316"/>
      <c r="H4802" s="223">
        <v>0.0</v>
      </c>
      <c r="K4802" s="317"/>
    </row>
    <row r="4803">
      <c r="B4803" s="223" t="s">
        <v>200</v>
      </c>
      <c r="C4803" s="223"/>
      <c r="D4803" s="316"/>
      <c r="H4803" s="223">
        <v>0.0</v>
      </c>
      <c r="K4803" s="317"/>
    </row>
    <row r="4804">
      <c r="B4804" s="223" t="s">
        <v>200</v>
      </c>
      <c r="C4804" s="223"/>
      <c r="D4804" s="316"/>
      <c r="H4804" s="223">
        <v>0.0</v>
      </c>
      <c r="K4804" s="317"/>
    </row>
    <row r="4805">
      <c r="B4805" s="223" t="s">
        <v>200</v>
      </c>
      <c r="C4805" s="223"/>
      <c r="D4805" s="316"/>
      <c r="H4805" s="223">
        <v>0.0</v>
      </c>
      <c r="K4805" s="317"/>
    </row>
    <row r="4806">
      <c r="B4806" s="223" t="s">
        <v>200</v>
      </c>
      <c r="C4806" s="223"/>
      <c r="D4806" s="316"/>
      <c r="H4806" s="223">
        <v>0.0</v>
      </c>
      <c r="K4806" s="317"/>
    </row>
    <row r="4807">
      <c r="B4807" s="223" t="s">
        <v>200</v>
      </c>
      <c r="C4807" s="223"/>
      <c r="D4807" s="316"/>
      <c r="H4807" s="223">
        <v>0.0</v>
      </c>
      <c r="K4807" s="317"/>
    </row>
    <row r="4808">
      <c r="B4808" s="223" t="s">
        <v>200</v>
      </c>
      <c r="C4808" s="223"/>
      <c r="D4808" s="316"/>
      <c r="H4808" s="223">
        <v>0.0</v>
      </c>
      <c r="K4808" s="317"/>
    </row>
    <row r="4809">
      <c r="B4809" s="223" t="s">
        <v>200</v>
      </c>
      <c r="C4809" s="223"/>
      <c r="D4809" s="316"/>
      <c r="H4809" s="223">
        <v>0.0</v>
      </c>
      <c r="K4809" s="317"/>
    </row>
    <row r="4810">
      <c r="B4810" s="223" t="s">
        <v>200</v>
      </c>
      <c r="C4810" s="223"/>
      <c r="D4810" s="316"/>
      <c r="H4810" s="223">
        <v>0.0</v>
      </c>
      <c r="K4810" s="317"/>
    </row>
    <row r="4811">
      <c r="B4811" s="223" t="s">
        <v>200</v>
      </c>
      <c r="C4811" s="223"/>
      <c r="D4811" s="316"/>
      <c r="H4811" s="223">
        <v>0.0</v>
      </c>
      <c r="K4811" s="317"/>
    </row>
    <row r="4812">
      <c r="B4812" s="223" t="s">
        <v>200</v>
      </c>
      <c r="C4812" s="223"/>
      <c r="D4812" s="316"/>
      <c r="H4812" s="223">
        <v>0.0</v>
      </c>
      <c r="K4812" s="317"/>
    </row>
    <row r="4813">
      <c r="B4813" s="223" t="s">
        <v>200</v>
      </c>
      <c r="C4813" s="223"/>
      <c r="D4813" s="316"/>
      <c r="H4813" s="223">
        <v>0.0</v>
      </c>
      <c r="K4813" s="317"/>
    </row>
    <row r="4814">
      <c r="B4814" s="223" t="s">
        <v>200</v>
      </c>
      <c r="C4814" s="223"/>
      <c r="D4814" s="316"/>
      <c r="H4814" s="223">
        <v>0.0</v>
      </c>
      <c r="K4814" s="317"/>
    </row>
    <row r="4815">
      <c r="B4815" s="223" t="s">
        <v>200</v>
      </c>
      <c r="C4815" s="223"/>
      <c r="D4815" s="316"/>
      <c r="H4815" s="223">
        <v>0.0</v>
      </c>
      <c r="K4815" s="317"/>
    </row>
    <row r="4816">
      <c r="B4816" s="223" t="s">
        <v>200</v>
      </c>
      <c r="C4816" s="223"/>
      <c r="D4816" s="316"/>
      <c r="H4816" s="223">
        <v>0.0</v>
      </c>
      <c r="K4816" s="317"/>
    </row>
    <row r="4817">
      <c r="B4817" s="223" t="s">
        <v>200</v>
      </c>
      <c r="C4817" s="223"/>
      <c r="D4817" s="316"/>
      <c r="H4817" s="223">
        <v>0.0</v>
      </c>
      <c r="K4817" s="317"/>
    </row>
    <row r="4818">
      <c r="B4818" s="223" t="s">
        <v>200</v>
      </c>
      <c r="C4818" s="223"/>
      <c r="D4818" s="316"/>
      <c r="H4818" s="223">
        <v>0.0</v>
      </c>
      <c r="K4818" s="317"/>
    </row>
    <row r="4819">
      <c r="B4819" s="223" t="s">
        <v>200</v>
      </c>
      <c r="C4819" s="223"/>
      <c r="D4819" s="316"/>
      <c r="H4819" s="223">
        <v>0.0</v>
      </c>
      <c r="K4819" s="317"/>
    </row>
    <row r="4820">
      <c r="B4820" s="223" t="s">
        <v>200</v>
      </c>
      <c r="C4820" s="223"/>
      <c r="D4820" s="316"/>
      <c r="H4820" s="223">
        <v>0.0</v>
      </c>
      <c r="K4820" s="317"/>
    </row>
    <row r="4821">
      <c r="B4821" s="223" t="s">
        <v>200</v>
      </c>
      <c r="C4821" s="223"/>
      <c r="D4821" s="316"/>
      <c r="H4821" s="223">
        <v>0.0</v>
      </c>
      <c r="K4821" s="317"/>
    </row>
    <row r="4822">
      <c r="B4822" s="223" t="s">
        <v>200</v>
      </c>
      <c r="C4822" s="223"/>
      <c r="D4822" s="316"/>
      <c r="H4822" s="223">
        <v>0.0</v>
      </c>
      <c r="K4822" s="317"/>
    </row>
    <row r="4823">
      <c r="B4823" s="223" t="s">
        <v>200</v>
      </c>
      <c r="C4823" s="223"/>
      <c r="D4823" s="316"/>
      <c r="H4823" s="223">
        <v>0.0</v>
      </c>
      <c r="K4823" s="317"/>
    </row>
    <row r="4824">
      <c r="B4824" s="223" t="s">
        <v>200</v>
      </c>
      <c r="C4824" s="223"/>
      <c r="D4824" s="316"/>
      <c r="H4824" s="223">
        <v>0.0</v>
      </c>
      <c r="K4824" s="317"/>
    </row>
    <row r="4825">
      <c r="B4825" s="223" t="s">
        <v>200</v>
      </c>
      <c r="C4825" s="223"/>
      <c r="D4825" s="316"/>
      <c r="H4825" s="223">
        <v>0.0</v>
      </c>
      <c r="K4825" s="317"/>
    </row>
    <row r="4826">
      <c r="B4826" s="223" t="s">
        <v>200</v>
      </c>
      <c r="C4826" s="223"/>
      <c r="D4826" s="316"/>
      <c r="H4826" s="223">
        <v>0.0</v>
      </c>
      <c r="K4826" s="317"/>
    </row>
    <row r="4827">
      <c r="B4827" s="223" t="s">
        <v>200</v>
      </c>
      <c r="C4827" s="223"/>
      <c r="D4827" s="316"/>
      <c r="H4827" s="223">
        <v>0.0</v>
      </c>
      <c r="K4827" s="317"/>
    </row>
    <row r="4828">
      <c r="B4828" s="223" t="s">
        <v>200</v>
      </c>
      <c r="C4828" s="223"/>
      <c r="D4828" s="316"/>
      <c r="H4828" s="223">
        <v>0.0</v>
      </c>
      <c r="K4828" s="317"/>
    </row>
    <row r="4829">
      <c r="B4829" s="223" t="s">
        <v>200</v>
      </c>
      <c r="C4829" s="223"/>
      <c r="D4829" s="316"/>
      <c r="H4829" s="223">
        <v>0.0</v>
      </c>
      <c r="K4829" s="317"/>
    </row>
    <row r="4830">
      <c r="B4830" s="223" t="s">
        <v>200</v>
      </c>
      <c r="C4830" s="223"/>
      <c r="D4830" s="316"/>
      <c r="H4830" s="223">
        <v>0.0</v>
      </c>
      <c r="K4830" s="317"/>
    </row>
    <row r="4831">
      <c r="B4831" s="223" t="s">
        <v>200</v>
      </c>
      <c r="C4831" s="223"/>
      <c r="D4831" s="316"/>
      <c r="H4831" s="223">
        <v>0.0</v>
      </c>
      <c r="K4831" s="317"/>
    </row>
    <row r="4832">
      <c r="B4832" s="223" t="s">
        <v>200</v>
      </c>
      <c r="C4832" s="223"/>
      <c r="D4832" s="316"/>
      <c r="H4832" s="223">
        <v>0.0</v>
      </c>
      <c r="K4832" s="317"/>
    </row>
    <row r="4833">
      <c r="B4833" s="223" t="s">
        <v>200</v>
      </c>
      <c r="C4833" s="223"/>
      <c r="D4833" s="316"/>
      <c r="H4833" s="223">
        <v>0.0</v>
      </c>
      <c r="K4833" s="317"/>
    </row>
    <row r="4834">
      <c r="B4834" s="223" t="s">
        <v>200</v>
      </c>
      <c r="C4834" s="223"/>
      <c r="D4834" s="316"/>
      <c r="H4834" s="223">
        <v>0.0</v>
      </c>
      <c r="K4834" s="317"/>
    </row>
    <row r="4835">
      <c r="B4835" s="223" t="s">
        <v>200</v>
      </c>
      <c r="C4835" s="223"/>
      <c r="D4835" s="316"/>
      <c r="H4835" s="223">
        <v>0.0</v>
      </c>
      <c r="K4835" s="317"/>
    </row>
    <row r="4836">
      <c r="B4836" s="223" t="s">
        <v>200</v>
      </c>
      <c r="C4836" s="223"/>
      <c r="D4836" s="316"/>
      <c r="H4836" s="223">
        <v>0.0</v>
      </c>
      <c r="K4836" s="317"/>
    </row>
    <row r="4837">
      <c r="B4837" s="223" t="s">
        <v>200</v>
      </c>
      <c r="C4837" s="223"/>
      <c r="D4837" s="316"/>
      <c r="H4837" s="223">
        <v>0.0</v>
      </c>
      <c r="K4837" s="317"/>
    </row>
    <row r="4838">
      <c r="B4838" s="223" t="s">
        <v>200</v>
      </c>
      <c r="C4838" s="223"/>
      <c r="D4838" s="316"/>
      <c r="H4838" s="223">
        <v>0.0</v>
      </c>
      <c r="K4838" s="317"/>
    </row>
    <row r="4839">
      <c r="B4839" s="223" t="s">
        <v>200</v>
      </c>
      <c r="C4839" s="223"/>
      <c r="D4839" s="316"/>
      <c r="H4839" s="223">
        <v>0.0</v>
      </c>
      <c r="K4839" s="317"/>
    </row>
    <row r="4840">
      <c r="B4840" s="223" t="s">
        <v>200</v>
      </c>
      <c r="C4840" s="223"/>
      <c r="D4840" s="316"/>
      <c r="H4840" s="223">
        <v>0.0</v>
      </c>
      <c r="K4840" s="317"/>
    </row>
    <row r="4841">
      <c r="B4841" s="223" t="s">
        <v>200</v>
      </c>
      <c r="C4841" s="223"/>
      <c r="D4841" s="316"/>
      <c r="H4841" s="223">
        <v>0.0</v>
      </c>
      <c r="K4841" s="317"/>
    </row>
    <row r="4842">
      <c r="B4842" s="223" t="s">
        <v>200</v>
      </c>
      <c r="C4842" s="223"/>
      <c r="D4842" s="316"/>
      <c r="H4842" s="223">
        <v>0.0</v>
      </c>
      <c r="K4842" s="317"/>
    </row>
    <row r="4843">
      <c r="B4843" s="223" t="s">
        <v>200</v>
      </c>
      <c r="C4843" s="223"/>
      <c r="D4843" s="316"/>
      <c r="H4843" s="223">
        <v>0.0</v>
      </c>
      <c r="K4843" s="317"/>
    </row>
    <row r="4844">
      <c r="B4844" s="223" t="s">
        <v>200</v>
      </c>
      <c r="C4844" s="223"/>
      <c r="D4844" s="316"/>
      <c r="H4844" s="223">
        <v>0.0</v>
      </c>
      <c r="K4844" s="317"/>
    </row>
    <row r="4845">
      <c r="B4845" s="223" t="s">
        <v>200</v>
      </c>
      <c r="C4845" s="223"/>
      <c r="D4845" s="316"/>
      <c r="H4845" s="223">
        <v>0.0</v>
      </c>
      <c r="K4845" s="317"/>
    </row>
    <row r="4846">
      <c r="B4846" s="223" t="s">
        <v>200</v>
      </c>
      <c r="C4846" s="223"/>
      <c r="D4846" s="316"/>
      <c r="H4846" s="223">
        <v>0.0</v>
      </c>
      <c r="K4846" s="317"/>
    </row>
    <row r="4847">
      <c r="B4847" s="223" t="s">
        <v>200</v>
      </c>
      <c r="C4847" s="223"/>
      <c r="D4847" s="316"/>
      <c r="H4847" s="223">
        <v>0.0</v>
      </c>
      <c r="K4847" s="317"/>
    </row>
    <row r="4848">
      <c r="B4848" s="223" t="s">
        <v>200</v>
      </c>
      <c r="C4848" s="223"/>
      <c r="D4848" s="316"/>
      <c r="H4848" s="223">
        <v>0.0</v>
      </c>
      <c r="K4848" s="317"/>
    </row>
    <row r="4849">
      <c r="B4849" s="223" t="s">
        <v>200</v>
      </c>
      <c r="C4849" s="223"/>
      <c r="D4849" s="316"/>
      <c r="H4849" s="223">
        <v>0.0</v>
      </c>
      <c r="K4849" s="317"/>
    </row>
    <row r="4850">
      <c r="B4850" s="223" t="s">
        <v>200</v>
      </c>
      <c r="C4850" s="223"/>
      <c r="D4850" s="316"/>
      <c r="H4850" s="223">
        <v>0.0</v>
      </c>
      <c r="K4850" s="317"/>
    </row>
    <row r="4851">
      <c r="B4851" s="223" t="s">
        <v>200</v>
      </c>
      <c r="C4851" s="223"/>
      <c r="D4851" s="316"/>
      <c r="H4851" s="223">
        <v>0.0</v>
      </c>
      <c r="K4851" s="317"/>
    </row>
    <row r="4852">
      <c r="B4852" s="223" t="s">
        <v>200</v>
      </c>
      <c r="C4852" s="223"/>
      <c r="D4852" s="316"/>
      <c r="H4852" s="223">
        <v>0.0</v>
      </c>
      <c r="K4852" s="317"/>
    </row>
    <row r="4853">
      <c r="B4853" s="223" t="s">
        <v>200</v>
      </c>
      <c r="C4853" s="223"/>
      <c r="D4853" s="316"/>
      <c r="H4853" s="223">
        <v>0.0</v>
      </c>
      <c r="K4853" s="317"/>
    </row>
    <row r="4854">
      <c r="B4854" s="223" t="s">
        <v>200</v>
      </c>
      <c r="C4854" s="223"/>
      <c r="D4854" s="316"/>
      <c r="H4854" s="223">
        <v>0.0</v>
      </c>
      <c r="K4854" s="317"/>
    </row>
    <row r="4855">
      <c r="B4855" s="223" t="s">
        <v>200</v>
      </c>
      <c r="C4855" s="223"/>
      <c r="D4855" s="316"/>
      <c r="H4855" s="223">
        <v>0.0</v>
      </c>
      <c r="K4855" s="317"/>
    </row>
    <row r="4856">
      <c r="B4856" s="223" t="s">
        <v>200</v>
      </c>
      <c r="C4856" s="223"/>
      <c r="D4856" s="316"/>
      <c r="H4856" s="223">
        <v>0.0</v>
      </c>
      <c r="K4856" s="317"/>
    </row>
    <row r="4857">
      <c r="B4857" s="223" t="s">
        <v>200</v>
      </c>
      <c r="C4857" s="223"/>
      <c r="D4857" s="316"/>
      <c r="H4857" s="223">
        <v>0.0</v>
      </c>
      <c r="K4857" s="317"/>
    </row>
    <row r="4858">
      <c r="B4858" s="223" t="s">
        <v>200</v>
      </c>
      <c r="C4858" s="223"/>
      <c r="D4858" s="316"/>
      <c r="H4858" s="223">
        <v>0.0</v>
      </c>
      <c r="K4858" s="317"/>
    </row>
    <row r="4859">
      <c r="B4859" s="223" t="s">
        <v>200</v>
      </c>
      <c r="C4859" s="223"/>
      <c r="D4859" s="316"/>
      <c r="H4859" s="223">
        <v>0.0</v>
      </c>
      <c r="K4859" s="317"/>
    </row>
    <row r="4860">
      <c r="B4860" s="223" t="s">
        <v>200</v>
      </c>
      <c r="C4860" s="223"/>
      <c r="D4860" s="316"/>
      <c r="H4860" s="223">
        <v>0.0</v>
      </c>
      <c r="K4860" s="317"/>
    </row>
    <row r="4861">
      <c r="B4861" s="223" t="s">
        <v>200</v>
      </c>
      <c r="C4861" s="223"/>
      <c r="D4861" s="316"/>
      <c r="H4861" s="223">
        <v>0.0</v>
      </c>
      <c r="K4861" s="317"/>
    </row>
    <row r="4862">
      <c r="B4862" s="223" t="s">
        <v>200</v>
      </c>
      <c r="C4862" s="223"/>
      <c r="D4862" s="316"/>
      <c r="H4862" s="223">
        <v>0.0</v>
      </c>
      <c r="K4862" s="317"/>
    </row>
    <row r="4863">
      <c r="B4863" s="223" t="s">
        <v>200</v>
      </c>
      <c r="C4863" s="223"/>
      <c r="D4863" s="316"/>
      <c r="H4863" s="223">
        <v>0.0</v>
      </c>
      <c r="K4863" s="317"/>
    </row>
    <row r="4864">
      <c r="B4864" s="223" t="s">
        <v>200</v>
      </c>
      <c r="C4864" s="223"/>
      <c r="D4864" s="316"/>
      <c r="H4864" s="223">
        <v>0.0</v>
      </c>
      <c r="K4864" s="317"/>
    </row>
    <row r="4865">
      <c r="B4865" s="223" t="s">
        <v>200</v>
      </c>
      <c r="C4865" s="223"/>
      <c r="D4865" s="316"/>
      <c r="H4865" s="223">
        <v>0.0</v>
      </c>
      <c r="K4865" s="317"/>
    </row>
    <row r="4866">
      <c r="B4866" s="223" t="s">
        <v>200</v>
      </c>
      <c r="C4866" s="223"/>
      <c r="D4866" s="316"/>
      <c r="H4866" s="223">
        <v>0.0</v>
      </c>
      <c r="K4866" s="317"/>
    </row>
    <row r="4867">
      <c r="B4867" s="223" t="s">
        <v>200</v>
      </c>
      <c r="C4867" s="223"/>
      <c r="D4867" s="316"/>
      <c r="H4867" s="223">
        <v>0.0</v>
      </c>
      <c r="K4867" s="317"/>
    </row>
    <row r="4868">
      <c r="B4868" s="223" t="s">
        <v>200</v>
      </c>
      <c r="C4868" s="223"/>
      <c r="D4868" s="316"/>
      <c r="H4868" s="223">
        <v>0.0</v>
      </c>
      <c r="K4868" s="317"/>
    </row>
    <row r="4869">
      <c r="B4869" s="223" t="s">
        <v>200</v>
      </c>
      <c r="C4869" s="223"/>
      <c r="D4869" s="316"/>
      <c r="H4869" s="223">
        <v>0.0</v>
      </c>
      <c r="K4869" s="317"/>
    </row>
    <row r="4870">
      <c r="B4870" s="223" t="s">
        <v>200</v>
      </c>
      <c r="C4870" s="223"/>
      <c r="D4870" s="316"/>
      <c r="H4870" s="223">
        <v>0.0</v>
      </c>
      <c r="K4870" s="317"/>
    </row>
    <row r="4871">
      <c r="B4871" s="223" t="s">
        <v>200</v>
      </c>
      <c r="C4871" s="223"/>
      <c r="D4871" s="316"/>
      <c r="H4871" s="223">
        <v>0.0</v>
      </c>
      <c r="K4871" s="317"/>
    </row>
    <row r="4872">
      <c r="B4872" s="223" t="s">
        <v>200</v>
      </c>
      <c r="C4872" s="223"/>
      <c r="D4872" s="316"/>
      <c r="H4872" s="223">
        <v>0.0</v>
      </c>
      <c r="K4872" s="317"/>
    </row>
    <row r="4873">
      <c r="B4873" s="223" t="s">
        <v>200</v>
      </c>
      <c r="C4873" s="223"/>
      <c r="D4873" s="316"/>
      <c r="H4873" s="223">
        <v>0.0</v>
      </c>
      <c r="K4873" s="317"/>
    </row>
    <row r="4874">
      <c r="B4874" s="223" t="s">
        <v>200</v>
      </c>
      <c r="C4874" s="223"/>
      <c r="D4874" s="316"/>
      <c r="H4874" s="223">
        <v>0.0</v>
      </c>
      <c r="K4874" s="317"/>
    </row>
    <row r="4875">
      <c r="B4875" s="223" t="s">
        <v>200</v>
      </c>
      <c r="C4875" s="223"/>
      <c r="D4875" s="316"/>
      <c r="H4875" s="223">
        <v>0.0</v>
      </c>
      <c r="K4875" s="317"/>
    </row>
    <row r="4876">
      <c r="B4876" s="223" t="s">
        <v>200</v>
      </c>
      <c r="C4876" s="223"/>
      <c r="D4876" s="316"/>
      <c r="H4876" s="223">
        <v>0.0</v>
      </c>
      <c r="K4876" s="317"/>
    </row>
    <row r="4877">
      <c r="B4877" s="223" t="s">
        <v>200</v>
      </c>
      <c r="C4877" s="223"/>
      <c r="D4877" s="316"/>
      <c r="H4877" s="223">
        <v>0.0</v>
      </c>
      <c r="K4877" s="317"/>
    </row>
    <row r="4878">
      <c r="B4878" s="223" t="s">
        <v>200</v>
      </c>
      <c r="C4878" s="223"/>
      <c r="D4878" s="316"/>
      <c r="H4878" s="223">
        <v>0.0</v>
      </c>
      <c r="K4878" s="317"/>
    </row>
    <row r="4879">
      <c r="B4879" s="223" t="s">
        <v>200</v>
      </c>
      <c r="C4879" s="223"/>
      <c r="D4879" s="316"/>
      <c r="H4879" s="223">
        <v>0.0</v>
      </c>
      <c r="K4879" s="317"/>
    </row>
    <row r="4880">
      <c r="B4880" s="223" t="s">
        <v>200</v>
      </c>
      <c r="C4880" s="223"/>
      <c r="D4880" s="316"/>
      <c r="H4880" s="223">
        <v>0.0</v>
      </c>
      <c r="K4880" s="317"/>
    </row>
    <row r="4881">
      <c r="B4881" s="223" t="s">
        <v>200</v>
      </c>
      <c r="C4881" s="223"/>
      <c r="D4881" s="316"/>
      <c r="H4881" s="223">
        <v>0.0</v>
      </c>
      <c r="K4881" s="317"/>
    </row>
    <row r="4882">
      <c r="B4882" s="223" t="s">
        <v>200</v>
      </c>
      <c r="C4882" s="223"/>
      <c r="D4882" s="316"/>
      <c r="H4882" s="223">
        <v>0.0</v>
      </c>
      <c r="K4882" s="317"/>
    </row>
    <row r="4883">
      <c r="B4883" s="223" t="s">
        <v>200</v>
      </c>
      <c r="C4883" s="223"/>
      <c r="D4883" s="316"/>
      <c r="H4883" s="223">
        <v>0.0</v>
      </c>
      <c r="K4883" s="317"/>
    </row>
    <row r="4884">
      <c r="B4884" s="223" t="s">
        <v>200</v>
      </c>
      <c r="C4884" s="223"/>
      <c r="D4884" s="316"/>
      <c r="H4884" s="223">
        <v>0.0</v>
      </c>
      <c r="K4884" s="317"/>
    </row>
    <row r="4885">
      <c r="B4885" s="223" t="s">
        <v>200</v>
      </c>
      <c r="C4885" s="223"/>
      <c r="D4885" s="316"/>
      <c r="H4885" s="223">
        <v>0.0</v>
      </c>
      <c r="K4885" s="317"/>
    </row>
    <row r="4886">
      <c r="B4886" s="223" t="s">
        <v>200</v>
      </c>
      <c r="C4886" s="223"/>
      <c r="D4886" s="316"/>
      <c r="H4886" s="223">
        <v>0.0</v>
      </c>
      <c r="K4886" s="317"/>
    </row>
    <row r="4887">
      <c r="B4887" s="223" t="s">
        <v>200</v>
      </c>
      <c r="C4887" s="223"/>
      <c r="D4887" s="316"/>
      <c r="H4887" s="223">
        <v>0.0</v>
      </c>
      <c r="K4887" s="317"/>
    </row>
    <row r="4888">
      <c r="B4888" s="223" t="s">
        <v>200</v>
      </c>
      <c r="C4888" s="223"/>
      <c r="D4888" s="316"/>
      <c r="H4888" s="223">
        <v>0.0</v>
      </c>
      <c r="K4888" s="317"/>
    </row>
    <row r="4889">
      <c r="B4889" s="223" t="s">
        <v>200</v>
      </c>
      <c r="C4889" s="223"/>
      <c r="D4889" s="316"/>
      <c r="H4889" s="223">
        <v>0.0</v>
      </c>
      <c r="K4889" s="317"/>
    </row>
    <row r="4890">
      <c r="B4890" s="223" t="s">
        <v>200</v>
      </c>
      <c r="C4890" s="223"/>
      <c r="D4890" s="316"/>
      <c r="H4890" s="223">
        <v>0.0</v>
      </c>
      <c r="K4890" s="317"/>
    </row>
    <row r="4891">
      <c r="B4891" s="223" t="s">
        <v>200</v>
      </c>
      <c r="C4891" s="223"/>
      <c r="D4891" s="316"/>
      <c r="H4891" s="223">
        <v>0.0</v>
      </c>
      <c r="K4891" s="317"/>
    </row>
    <row r="4892">
      <c r="B4892" s="223" t="s">
        <v>200</v>
      </c>
      <c r="C4892" s="223"/>
      <c r="D4892" s="316"/>
      <c r="H4892" s="223">
        <v>0.0</v>
      </c>
      <c r="K4892" s="317"/>
    </row>
    <row r="4893">
      <c r="B4893" s="223" t="s">
        <v>200</v>
      </c>
      <c r="C4893" s="223"/>
      <c r="D4893" s="316"/>
      <c r="H4893" s="223">
        <v>0.0</v>
      </c>
      <c r="K4893" s="317"/>
    </row>
    <row r="4894">
      <c r="B4894" s="223" t="s">
        <v>200</v>
      </c>
      <c r="C4894" s="223"/>
      <c r="D4894" s="316"/>
      <c r="H4894" s="223">
        <v>0.0</v>
      </c>
      <c r="K4894" s="317"/>
    </row>
    <row r="4895">
      <c r="B4895" s="223" t="s">
        <v>200</v>
      </c>
      <c r="C4895" s="223"/>
      <c r="D4895" s="316"/>
      <c r="H4895" s="223">
        <v>0.0</v>
      </c>
      <c r="K4895" s="317"/>
    </row>
    <row r="4896">
      <c r="B4896" s="223" t="s">
        <v>200</v>
      </c>
      <c r="C4896" s="223"/>
      <c r="D4896" s="316"/>
      <c r="H4896" s="223">
        <v>0.0</v>
      </c>
      <c r="K4896" s="317"/>
    </row>
    <row r="4897">
      <c r="B4897" s="223" t="s">
        <v>200</v>
      </c>
      <c r="C4897" s="223"/>
      <c r="D4897" s="316"/>
      <c r="H4897" s="223">
        <v>0.0</v>
      </c>
      <c r="K4897" s="317"/>
    </row>
    <row r="4898">
      <c r="B4898" s="223" t="s">
        <v>200</v>
      </c>
      <c r="C4898" s="223"/>
      <c r="D4898" s="316"/>
      <c r="H4898" s="223">
        <v>0.0</v>
      </c>
      <c r="K4898" s="317"/>
    </row>
    <row r="4899">
      <c r="B4899" s="223" t="s">
        <v>200</v>
      </c>
      <c r="C4899" s="223"/>
      <c r="D4899" s="316"/>
      <c r="H4899" s="223">
        <v>0.0</v>
      </c>
      <c r="K4899" s="317"/>
    </row>
    <row r="4900">
      <c r="B4900" s="223" t="s">
        <v>200</v>
      </c>
      <c r="C4900" s="223"/>
      <c r="D4900" s="316"/>
      <c r="H4900" s="223">
        <v>0.0</v>
      </c>
      <c r="K4900" s="317"/>
    </row>
    <row r="4901">
      <c r="B4901" s="223" t="s">
        <v>200</v>
      </c>
      <c r="C4901" s="223"/>
      <c r="D4901" s="316"/>
      <c r="H4901" s="223">
        <v>0.0</v>
      </c>
      <c r="K4901" s="317"/>
    </row>
    <row r="4902">
      <c r="B4902" s="223" t="s">
        <v>200</v>
      </c>
      <c r="C4902" s="223"/>
      <c r="D4902" s="316"/>
      <c r="H4902" s="223">
        <v>0.0</v>
      </c>
      <c r="K4902" s="317"/>
    </row>
    <row r="4903">
      <c r="B4903" s="223" t="s">
        <v>200</v>
      </c>
      <c r="C4903" s="223"/>
      <c r="D4903" s="316"/>
      <c r="H4903" s="223">
        <v>0.0</v>
      </c>
      <c r="K4903" s="317"/>
    </row>
    <row r="4904">
      <c r="B4904" s="223" t="s">
        <v>200</v>
      </c>
      <c r="C4904" s="223"/>
      <c r="D4904" s="316"/>
      <c r="H4904" s="223">
        <v>0.0</v>
      </c>
      <c r="K4904" s="317"/>
    </row>
    <row r="4905">
      <c r="B4905" s="223" t="s">
        <v>200</v>
      </c>
      <c r="C4905" s="223"/>
      <c r="D4905" s="316"/>
      <c r="H4905" s="223">
        <v>0.0</v>
      </c>
      <c r="K4905" s="317"/>
    </row>
    <row r="4906">
      <c r="B4906" s="223" t="s">
        <v>200</v>
      </c>
      <c r="C4906" s="223"/>
      <c r="D4906" s="316"/>
      <c r="H4906" s="223">
        <v>0.0</v>
      </c>
      <c r="K4906" s="317"/>
    </row>
    <row r="4907">
      <c r="B4907" s="223" t="s">
        <v>200</v>
      </c>
      <c r="C4907" s="223"/>
      <c r="D4907" s="316"/>
      <c r="H4907" s="223">
        <v>0.0</v>
      </c>
      <c r="K4907" s="317"/>
    </row>
    <row r="4908">
      <c r="B4908" s="223" t="s">
        <v>200</v>
      </c>
      <c r="C4908" s="223"/>
      <c r="D4908" s="316"/>
      <c r="H4908" s="223">
        <v>0.0</v>
      </c>
      <c r="K4908" s="317"/>
    </row>
    <row r="4909">
      <c r="B4909" s="223" t="s">
        <v>200</v>
      </c>
      <c r="C4909" s="223"/>
      <c r="D4909" s="316"/>
      <c r="H4909" s="223">
        <v>0.0</v>
      </c>
      <c r="K4909" s="317"/>
    </row>
    <row r="4910">
      <c r="B4910" s="223" t="s">
        <v>200</v>
      </c>
      <c r="C4910" s="223"/>
      <c r="D4910" s="316"/>
      <c r="H4910" s="223">
        <v>0.0</v>
      </c>
      <c r="K4910" s="317"/>
    </row>
    <row r="4911">
      <c r="B4911" s="223" t="s">
        <v>200</v>
      </c>
      <c r="C4911" s="223"/>
      <c r="D4911" s="316"/>
      <c r="H4911" s="223">
        <v>0.0</v>
      </c>
      <c r="K4911" s="317"/>
    </row>
    <row r="4912">
      <c r="B4912" s="223" t="s">
        <v>200</v>
      </c>
      <c r="C4912" s="223"/>
      <c r="D4912" s="316"/>
      <c r="H4912" s="223">
        <v>0.0</v>
      </c>
      <c r="K4912" s="317"/>
    </row>
    <row r="4913">
      <c r="B4913" s="223" t="s">
        <v>200</v>
      </c>
      <c r="C4913" s="223"/>
      <c r="D4913" s="316"/>
      <c r="H4913" s="223">
        <v>0.0</v>
      </c>
      <c r="K4913" s="317"/>
    </row>
    <row r="4914">
      <c r="B4914" s="223" t="s">
        <v>200</v>
      </c>
      <c r="C4914" s="223"/>
      <c r="D4914" s="316"/>
      <c r="H4914" s="223">
        <v>0.0</v>
      </c>
      <c r="K4914" s="317"/>
    </row>
    <row r="4915">
      <c r="B4915" s="223" t="s">
        <v>200</v>
      </c>
      <c r="C4915" s="223"/>
      <c r="D4915" s="316"/>
      <c r="H4915" s="223">
        <v>0.0</v>
      </c>
      <c r="K4915" s="317"/>
    </row>
    <row r="4916">
      <c r="B4916" s="223" t="s">
        <v>200</v>
      </c>
      <c r="C4916" s="223"/>
      <c r="D4916" s="316"/>
      <c r="H4916" s="223">
        <v>0.0</v>
      </c>
      <c r="K4916" s="317"/>
    </row>
    <row r="4917">
      <c r="B4917" s="223" t="s">
        <v>200</v>
      </c>
      <c r="C4917" s="223"/>
      <c r="D4917" s="316"/>
      <c r="H4917" s="223">
        <v>0.0</v>
      </c>
      <c r="K4917" s="317"/>
    </row>
    <row r="4918">
      <c r="B4918" s="223" t="s">
        <v>200</v>
      </c>
      <c r="C4918" s="223"/>
      <c r="D4918" s="316"/>
      <c r="H4918" s="223">
        <v>0.0</v>
      </c>
      <c r="K4918" s="317"/>
    </row>
    <row r="4919">
      <c r="B4919" s="223" t="s">
        <v>200</v>
      </c>
      <c r="C4919" s="223"/>
      <c r="D4919" s="316"/>
      <c r="H4919" s="223">
        <v>0.0</v>
      </c>
      <c r="K4919" s="317"/>
    </row>
    <row r="4920">
      <c r="B4920" s="223" t="s">
        <v>200</v>
      </c>
      <c r="C4920" s="223"/>
      <c r="D4920" s="316"/>
      <c r="H4920" s="223">
        <v>0.0</v>
      </c>
      <c r="K4920" s="317"/>
    </row>
    <row r="4921">
      <c r="B4921" s="223" t="s">
        <v>200</v>
      </c>
      <c r="C4921" s="223"/>
      <c r="D4921" s="316"/>
      <c r="H4921" s="223">
        <v>0.0</v>
      </c>
      <c r="K4921" s="317"/>
    </row>
    <row r="4922">
      <c r="B4922" s="223" t="s">
        <v>200</v>
      </c>
      <c r="C4922" s="223"/>
      <c r="D4922" s="316"/>
      <c r="H4922" s="223">
        <v>0.0</v>
      </c>
      <c r="K4922" s="317"/>
    </row>
    <row r="4923">
      <c r="B4923" s="223" t="s">
        <v>200</v>
      </c>
      <c r="C4923" s="223"/>
      <c r="D4923" s="316"/>
      <c r="H4923" s="223">
        <v>0.0</v>
      </c>
      <c r="K4923" s="317"/>
    </row>
    <row r="4924">
      <c r="B4924" s="223" t="s">
        <v>200</v>
      </c>
      <c r="C4924" s="223"/>
      <c r="D4924" s="316"/>
      <c r="H4924" s="223">
        <v>0.0</v>
      </c>
      <c r="K4924" s="317"/>
    </row>
    <row r="4925">
      <c r="B4925" s="223" t="s">
        <v>200</v>
      </c>
      <c r="C4925" s="223"/>
      <c r="D4925" s="316"/>
      <c r="H4925" s="223">
        <v>0.0</v>
      </c>
      <c r="K4925" s="317"/>
    </row>
    <row r="4926">
      <c r="B4926" s="223" t="s">
        <v>200</v>
      </c>
      <c r="C4926" s="223"/>
      <c r="D4926" s="316"/>
      <c r="H4926" s="223">
        <v>0.0</v>
      </c>
      <c r="K4926" s="317"/>
    </row>
    <row r="4927">
      <c r="B4927" s="223" t="s">
        <v>200</v>
      </c>
      <c r="C4927" s="223"/>
      <c r="D4927" s="316"/>
      <c r="H4927" s="223">
        <v>0.0</v>
      </c>
      <c r="K4927" s="317"/>
    </row>
    <row r="4928">
      <c r="B4928" s="223" t="s">
        <v>200</v>
      </c>
      <c r="C4928" s="223"/>
      <c r="D4928" s="316"/>
      <c r="H4928" s="223">
        <v>0.0</v>
      </c>
      <c r="K4928" s="317"/>
    </row>
    <row r="4929">
      <c r="B4929" s="223" t="s">
        <v>200</v>
      </c>
      <c r="C4929" s="223"/>
      <c r="D4929" s="316"/>
      <c r="H4929" s="223">
        <v>0.0</v>
      </c>
      <c r="K4929" s="317"/>
    </row>
    <row r="4930">
      <c r="B4930" s="223" t="s">
        <v>200</v>
      </c>
      <c r="C4930" s="223"/>
      <c r="D4930" s="316"/>
      <c r="H4930" s="223">
        <v>0.0</v>
      </c>
      <c r="K4930" s="317"/>
    </row>
    <row r="4931">
      <c r="B4931" s="223" t="s">
        <v>200</v>
      </c>
      <c r="C4931" s="223"/>
      <c r="D4931" s="316"/>
      <c r="H4931" s="223">
        <v>0.0</v>
      </c>
      <c r="K4931" s="317"/>
    </row>
    <row r="4932">
      <c r="B4932" s="223" t="s">
        <v>200</v>
      </c>
      <c r="C4932" s="223"/>
      <c r="D4932" s="316"/>
      <c r="H4932" s="223">
        <v>0.0</v>
      </c>
      <c r="K4932" s="317"/>
    </row>
    <row r="4933">
      <c r="B4933" s="223" t="s">
        <v>200</v>
      </c>
      <c r="C4933" s="223"/>
      <c r="D4933" s="316"/>
      <c r="H4933" s="223">
        <v>0.0</v>
      </c>
      <c r="K4933" s="317"/>
    </row>
    <row r="4934">
      <c r="B4934" s="223" t="s">
        <v>200</v>
      </c>
      <c r="C4934" s="223"/>
      <c r="D4934" s="316"/>
      <c r="H4934" s="223">
        <v>0.0</v>
      </c>
      <c r="K4934" s="317"/>
    </row>
    <row r="4935">
      <c r="B4935" s="223" t="s">
        <v>200</v>
      </c>
      <c r="C4935" s="223"/>
      <c r="D4935" s="316"/>
      <c r="H4935" s="223">
        <v>0.0</v>
      </c>
      <c r="K4935" s="317"/>
    </row>
    <row r="4936">
      <c r="B4936" s="223" t="s">
        <v>200</v>
      </c>
      <c r="C4936" s="223"/>
      <c r="D4936" s="316"/>
      <c r="H4936" s="223">
        <v>0.0</v>
      </c>
      <c r="K4936" s="317"/>
    </row>
    <row r="4937">
      <c r="B4937" s="223" t="s">
        <v>200</v>
      </c>
      <c r="C4937" s="223"/>
      <c r="D4937" s="316"/>
      <c r="H4937" s="223">
        <v>0.0</v>
      </c>
      <c r="K4937" s="317"/>
    </row>
    <row r="4938">
      <c r="B4938" s="223" t="s">
        <v>200</v>
      </c>
      <c r="C4938" s="223"/>
      <c r="D4938" s="316"/>
      <c r="H4938" s="223">
        <v>0.0</v>
      </c>
      <c r="K4938" s="317"/>
    </row>
    <row r="4939">
      <c r="B4939" s="223" t="s">
        <v>200</v>
      </c>
      <c r="C4939" s="223"/>
      <c r="D4939" s="316"/>
      <c r="H4939" s="223">
        <v>0.0</v>
      </c>
      <c r="K4939" s="317"/>
    </row>
    <row r="4940">
      <c r="B4940" s="223" t="s">
        <v>200</v>
      </c>
      <c r="C4940" s="223"/>
      <c r="D4940" s="316"/>
      <c r="H4940" s="223">
        <v>0.0</v>
      </c>
      <c r="K4940" s="317"/>
    </row>
    <row r="4941">
      <c r="B4941" s="223" t="s">
        <v>200</v>
      </c>
      <c r="C4941" s="223"/>
      <c r="D4941" s="316"/>
      <c r="H4941" s="223">
        <v>0.0</v>
      </c>
      <c r="K4941" s="317"/>
    </row>
    <row r="4942">
      <c r="B4942" s="223" t="s">
        <v>200</v>
      </c>
      <c r="C4942" s="223"/>
      <c r="D4942" s="316"/>
      <c r="H4942" s="223">
        <v>0.0</v>
      </c>
      <c r="K4942" s="317"/>
    </row>
    <row r="4943">
      <c r="B4943" s="223" t="s">
        <v>200</v>
      </c>
      <c r="C4943" s="223"/>
      <c r="D4943" s="316"/>
      <c r="H4943" s="223">
        <v>0.0</v>
      </c>
      <c r="K4943" s="317"/>
    </row>
    <row r="4944">
      <c r="B4944" s="223" t="s">
        <v>200</v>
      </c>
      <c r="C4944" s="223"/>
      <c r="D4944" s="316"/>
      <c r="H4944" s="223">
        <v>0.0</v>
      </c>
      <c r="K4944" s="317"/>
    </row>
    <row r="4945">
      <c r="B4945" s="223" t="s">
        <v>200</v>
      </c>
      <c r="C4945" s="223"/>
      <c r="D4945" s="316"/>
      <c r="H4945" s="223">
        <v>0.0</v>
      </c>
      <c r="K4945" s="317"/>
    </row>
    <row r="4946">
      <c r="B4946" s="223" t="s">
        <v>200</v>
      </c>
      <c r="C4946" s="223"/>
      <c r="D4946" s="316"/>
      <c r="H4946" s="223">
        <v>0.0</v>
      </c>
      <c r="K4946" s="317"/>
    </row>
    <row r="4947">
      <c r="B4947" s="223" t="s">
        <v>200</v>
      </c>
      <c r="C4947" s="223"/>
      <c r="D4947" s="316"/>
      <c r="H4947" s="223">
        <v>0.0</v>
      </c>
      <c r="K4947" s="317"/>
    </row>
    <row r="4948">
      <c r="B4948" s="223" t="s">
        <v>200</v>
      </c>
      <c r="C4948" s="223"/>
      <c r="D4948" s="316"/>
      <c r="H4948" s="223">
        <v>0.0</v>
      </c>
      <c r="K4948" s="317"/>
    </row>
    <row r="4949">
      <c r="B4949" s="223" t="s">
        <v>200</v>
      </c>
      <c r="C4949" s="223"/>
      <c r="D4949" s="316"/>
      <c r="H4949" s="223">
        <v>0.0</v>
      </c>
      <c r="K4949" s="317"/>
    </row>
    <row r="4950">
      <c r="B4950" s="223" t="s">
        <v>200</v>
      </c>
      <c r="C4950" s="223"/>
      <c r="D4950" s="316"/>
      <c r="H4950" s="223">
        <v>0.0</v>
      </c>
      <c r="K4950" s="317"/>
    </row>
    <row r="4951">
      <c r="B4951" s="223" t="s">
        <v>200</v>
      </c>
      <c r="C4951" s="223"/>
      <c r="D4951" s="316"/>
      <c r="H4951" s="223">
        <v>0.0</v>
      </c>
      <c r="K4951" s="317"/>
    </row>
    <row r="4952">
      <c r="B4952" s="223" t="s">
        <v>200</v>
      </c>
      <c r="C4952" s="223"/>
      <c r="D4952" s="316"/>
      <c r="H4952" s="223">
        <v>0.0</v>
      </c>
      <c r="K4952" s="317"/>
    </row>
    <row r="4953">
      <c r="B4953" s="223" t="s">
        <v>200</v>
      </c>
      <c r="C4953" s="223"/>
      <c r="D4953" s="316"/>
      <c r="H4953" s="223">
        <v>0.0</v>
      </c>
      <c r="K4953" s="317"/>
    </row>
    <row r="4954">
      <c r="B4954" s="223" t="s">
        <v>200</v>
      </c>
      <c r="C4954" s="223"/>
      <c r="D4954" s="316"/>
      <c r="H4954" s="223">
        <v>0.0</v>
      </c>
      <c r="K4954" s="317"/>
    </row>
    <row r="4955">
      <c r="B4955" s="223" t="s">
        <v>200</v>
      </c>
      <c r="C4955" s="223"/>
      <c r="D4955" s="316"/>
      <c r="H4955" s="223">
        <v>0.0</v>
      </c>
      <c r="K4955" s="317"/>
    </row>
    <row r="4956">
      <c r="B4956" s="223" t="s">
        <v>200</v>
      </c>
      <c r="C4956" s="223"/>
      <c r="D4956" s="316"/>
      <c r="H4956" s="223">
        <v>0.0</v>
      </c>
      <c r="K4956" s="317"/>
    </row>
    <row r="4957">
      <c r="B4957" s="223" t="s">
        <v>200</v>
      </c>
      <c r="C4957" s="223"/>
      <c r="D4957" s="316"/>
      <c r="H4957" s="223">
        <v>0.0</v>
      </c>
      <c r="K4957" s="317"/>
    </row>
    <row r="4958">
      <c r="B4958" s="223" t="s">
        <v>200</v>
      </c>
      <c r="C4958" s="223"/>
      <c r="D4958" s="316"/>
      <c r="H4958" s="223">
        <v>0.0</v>
      </c>
      <c r="K4958" s="317"/>
    </row>
    <row r="4959">
      <c r="B4959" s="223" t="s">
        <v>200</v>
      </c>
      <c r="C4959" s="223"/>
      <c r="D4959" s="316"/>
      <c r="H4959" s="223">
        <v>0.0</v>
      </c>
      <c r="K4959" s="317"/>
    </row>
    <row r="4960">
      <c r="B4960" s="223" t="s">
        <v>200</v>
      </c>
      <c r="C4960" s="223"/>
      <c r="D4960" s="316"/>
      <c r="H4960" s="223">
        <v>0.0</v>
      </c>
      <c r="K4960" s="317"/>
    </row>
    <row r="4961">
      <c r="B4961" s="223" t="s">
        <v>200</v>
      </c>
      <c r="C4961" s="223"/>
      <c r="D4961" s="316"/>
      <c r="H4961" s="223">
        <v>0.0</v>
      </c>
      <c r="K4961" s="317"/>
    </row>
    <row r="4962">
      <c r="B4962" s="223" t="s">
        <v>200</v>
      </c>
      <c r="C4962" s="223"/>
      <c r="D4962" s="316"/>
      <c r="H4962" s="223">
        <v>0.0</v>
      </c>
      <c r="K4962" s="317"/>
    </row>
    <row r="4963">
      <c r="B4963" s="223" t="s">
        <v>200</v>
      </c>
      <c r="C4963" s="223"/>
      <c r="D4963" s="316"/>
      <c r="H4963" s="223">
        <v>0.0</v>
      </c>
      <c r="K4963" s="317"/>
    </row>
    <row r="4964">
      <c r="B4964" s="223" t="s">
        <v>200</v>
      </c>
      <c r="C4964" s="223"/>
      <c r="D4964" s="316"/>
      <c r="H4964" s="223">
        <v>0.0</v>
      </c>
      <c r="K4964" s="317"/>
    </row>
    <row r="4965">
      <c r="B4965" s="223" t="s">
        <v>200</v>
      </c>
      <c r="C4965" s="223"/>
      <c r="D4965" s="316"/>
      <c r="H4965" s="223">
        <v>0.0</v>
      </c>
      <c r="K4965" s="317"/>
    </row>
    <row r="4966">
      <c r="B4966" s="223" t="s">
        <v>200</v>
      </c>
      <c r="C4966" s="223"/>
      <c r="D4966" s="316"/>
      <c r="H4966" s="223">
        <v>0.0</v>
      </c>
      <c r="K4966" s="317"/>
    </row>
    <row r="4967">
      <c r="B4967" s="223" t="s">
        <v>200</v>
      </c>
      <c r="C4967" s="223"/>
      <c r="D4967" s="316"/>
      <c r="H4967" s="223">
        <v>0.0</v>
      </c>
      <c r="K4967" s="317"/>
    </row>
    <row r="4968">
      <c r="B4968" s="223" t="s">
        <v>200</v>
      </c>
      <c r="C4968" s="223"/>
      <c r="D4968" s="316"/>
      <c r="H4968" s="223">
        <v>0.0</v>
      </c>
      <c r="K4968" s="317"/>
    </row>
    <row r="4969">
      <c r="B4969" s="223" t="s">
        <v>200</v>
      </c>
      <c r="C4969" s="223"/>
      <c r="D4969" s="316"/>
      <c r="H4969" s="223">
        <v>0.0</v>
      </c>
      <c r="K4969" s="317"/>
    </row>
    <row r="4970">
      <c r="B4970" s="223" t="s">
        <v>200</v>
      </c>
      <c r="C4970" s="223"/>
      <c r="D4970" s="316"/>
      <c r="H4970" s="223">
        <v>0.0</v>
      </c>
      <c r="K4970" s="317"/>
    </row>
    <row r="4971">
      <c r="B4971" s="223" t="s">
        <v>200</v>
      </c>
      <c r="C4971" s="223"/>
      <c r="D4971" s="316"/>
      <c r="H4971" s="223">
        <v>0.0</v>
      </c>
      <c r="K4971" s="317"/>
    </row>
    <row r="4972">
      <c r="B4972" s="223" t="s">
        <v>200</v>
      </c>
      <c r="C4972" s="223"/>
      <c r="D4972" s="316"/>
      <c r="H4972" s="223">
        <v>0.0</v>
      </c>
      <c r="K4972" s="317"/>
    </row>
    <row r="4973">
      <c r="B4973" s="223" t="s">
        <v>200</v>
      </c>
      <c r="C4973" s="223"/>
      <c r="D4973" s="316"/>
      <c r="H4973" s="223">
        <v>0.0</v>
      </c>
      <c r="K4973" s="317"/>
    </row>
    <row r="4974">
      <c r="B4974" s="223" t="s">
        <v>200</v>
      </c>
      <c r="C4974" s="223"/>
      <c r="D4974" s="316"/>
      <c r="H4974" s="223">
        <v>0.0</v>
      </c>
      <c r="K4974" s="317"/>
    </row>
    <row r="4975">
      <c r="B4975" s="223" t="s">
        <v>200</v>
      </c>
      <c r="C4975" s="223"/>
      <c r="D4975" s="316"/>
      <c r="H4975" s="223">
        <v>0.0</v>
      </c>
      <c r="K4975" s="317"/>
    </row>
    <row r="4976">
      <c r="B4976" s="223" t="s">
        <v>200</v>
      </c>
      <c r="C4976" s="223"/>
      <c r="D4976" s="316"/>
      <c r="H4976" s="223">
        <v>0.0</v>
      </c>
      <c r="K4976" s="317"/>
    </row>
    <row r="4977">
      <c r="B4977" s="223" t="s">
        <v>200</v>
      </c>
      <c r="C4977" s="223"/>
      <c r="D4977" s="316"/>
      <c r="H4977" s="223">
        <v>0.0</v>
      </c>
      <c r="K4977" s="317"/>
    </row>
    <row r="4978">
      <c r="B4978" s="223" t="s">
        <v>200</v>
      </c>
      <c r="C4978" s="223"/>
      <c r="D4978" s="316"/>
      <c r="H4978" s="223">
        <v>0.0</v>
      </c>
      <c r="K4978" s="317"/>
    </row>
    <row r="4979">
      <c r="B4979" s="223" t="s">
        <v>200</v>
      </c>
      <c r="C4979" s="223"/>
      <c r="D4979" s="316"/>
      <c r="H4979" s="223">
        <v>0.0</v>
      </c>
      <c r="K4979" s="317"/>
    </row>
    <row r="4980">
      <c r="B4980" s="223" t="s">
        <v>200</v>
      </c>
      <c r="C4980" s="223"/>
      <c r="D4980" s="316"/>
      <c r="H4980" s="223">
        <v>0.0</v>
      </c>
      <c r="K4980" s="317"/>
    </row>
    <row r="4981">
      <c r="B4981" s="223" t="s">
        <v>200</v>
      </c>
      <c r="C4981" s="223"/>
      <c r="D4981" s="316"/>
      <c r="H4981" s="223">
        <v>0.0</v>
      </c>
      <c r="K4981" s="317"/>
    </row>
    <row r="4982">
      <c r="B4982" s="223" t="s">
        <v>200</v>
      </c>
      <c r="C4982" s="223"/>
      <c r="D4982" s="316"/>
      <c r="H4982" s="223">
        <v>0.0</v>
      </c>
      <c r="K4982" s="317"/>
    </row>
    <row r="4983">
      <c r="B4983" s="223" t="s">
        <v>200</v>
      </c>
      <c r="C4983" s="223"/>
      <c r="D4983" s="316"/>
      <c r="H4983" s="223">
        <v>0.0</v>
      </c>
      <c r="K4983" s="317"/>
    </row>
    <row r="4984">
      <c r="B4984" s="223" t="s">
        <v>200</v>
      </c>
      <c r="C4984" s="223"/>
      <c r="D4984" s="316"/>
      <c r="H4984" s="223">
        <v>0.0</v>
      </c>
      <c r="K4984" s="317"/>
    </row>
    <row r="4985">
      <c r="B4985" s="223" t="s">
        <v>200</v>
      </c>
      <c r="C4985" s="223"/>
      <c r="D4985" s="316"/>
      <c r="H4985" s="223">
        <v>0.0</v>
      </c>
      <c r="K4985" s="317"/>
    </row>
    <row r="4986">
      <c r="B4986" s="223" t="s">
        <v>200</v>
      </c>
      <c r="C4986" s="223"/>
      <c r="D4986" s="316"/>
      <c r="H4986" s="223">
        <v>0.0</v>
      </c>
      <c r="K4986" s="317"/>
    </row>
    <row r="4987">
      <c r="B4987" s="223" t="s">
        <v>200</v>
      </c>
      <c r="C4987" s="223"/>
      <c r="D4987" s="316"/>
      <c r="H4987" s="223">
        <v>0.0</v>
      </c>
      <c r="K4987" s="317"/>
    </row>
    <row r="4988">
      <c r="B4988" s="223" t="s">
        <v>200</v>
      </c>
      <c r="C4988" s="223"/>
      <c r="D4988" s="316"/>
      <c r="H4988" s="223">
        <v>0.0</v>
      </c>
      <c r="K4988" s="317"/>
    </row>
    <row r="4989">
      <c r="B4989" s="223" t="s">
        <v>200</v>
      </c>
      <c r="C4989" s="223"/>
      <c r="D4989" s="316"/>
      <c r="H4989" s="223">
        <v>0.0</v>
      </c>
      <c r="K4989" s="317"/>
    </row>
    <row r="4990">
      <c r="B4990" s="223" t="s">
        <v>200</v>
      </c>
      <c r="C4990" s="223"/>
      <c r="D4990" s="316"/>
      <c r="H4990" s="223">
        <v>0.0</v>
      </c>
      <c r="K4990" s="317"/>
    </row>
    <row r="4991">
      <c r="B4991" s="223" t="s">
        <v>200</v>
      </c>
      <c r="C4991" s="223"/>
      <c r="D4991" s="316"/>
      <c r="H4991" s="223">
        <v>0.0</v>
      </c>
      <c r="K4991" s="317"/>
    </row>
    <row r="4992">
      <c r="B4992" s="223" t="s">
        <v>200</v>
      </c>
      <c r="C4992" s="223"/>
      <c r="D4992" s="316"/>
      <c r="H4992" s="223">
        <v>0.0</v>
      </c>
      <c r="K4992" s="317"/>
    </row>
    <row r="4993">
      <c r="B4993" s="223" t="s">
        <v>200</v>
      </c>
      <c r="C4993" s="223"/>
      <c r="D4993" s="316"/>
      <c r="H4993" s="223">
        <v>0.0</v>
      </c>
      <c r="K4993" s="317"/>
    </row>
    <row r="4994">
      <c r="B4994" s="223" t="s">
        <v>200</v>
      </c>
      <c r="C4994" s="223"/>
      <c r="D4994" s="316"/>
      <c r="H4994" s="223">
        <v>0.0</v>
      </c>
      <c r="K4994" s="317"/>
    </row>
    <row r="4995">
      <c r="B4995" s="223" t="s">
        <v>200</v>
      </c>
      <c r="C4995" s="223"/>
      <c r="D4995" s="316"/>
      <c r="H4995" s="223">
        <v>0.0</v>
      </c>
      <c r="K4995" s="317"/>
    </row>
    <row r="4996">
      <c r="B4996" s="223" t="s">
        <v>200</v>
      </c>
      <c r="C4996" s="223"/>
      <c r="D4996" s="316"/>
      <c r="H4996" s="223">
        <v>0.0</v>
      </c>
      <c r="K4996" s="317"/>
    </row>
    <row r="4997">
      <c r="B4997" s="223" t="s">
        <v>200</v>
      </c>
      <c r="C4997" s="223"/>
      <c r="D4997" s="316"/>
      <c r="H4997" s="223">
        <v>0.0</v>
      </c>
      <c r="K4997" s="317"/>
    </row>
    <row r="4998">
      <c r="B4998" s="223" t="s">
        <v>200</v>
      </c>
      <c r="C4998" s="223"/>
      <c r="D4998" s="316"/>
      <c r="H4998" s="223">
        <v>0.0</v>
      </c>
      <c r="K4998" s="317"/>
    </row>
    <row r="4999">
      <c r="B4999" s="223" t="s">
        <v>200</v>
      </c>
      <c r="C4999" s="223"/>
      <c r="D4999" s="316"/>
      <c r="H4999" s="223">
        <v>0.0</v>
      </c>
      <c r="K4999" s="317"/>
    </row>
    <row r="5000">
      <c r="B5000" s="223" t="s">
        <v>200</v>
      </c>
      <c r="C5000" s="223"/>
      <c r="D5000" s="316"/>
      <c r="H5000" s="223">
        <v>0.0</v>
      </c>
      <c r="K5000" s="317"/>
    </row>
    <row r="5001">
      <c r="B5001" s="223" t="s">
        <v>200</v>
      </c>
      <c r="C5001" s="223"/>
      <c r="D5001" s="316"/>
      <c r="H5001" s="223">
        <v>0.0</v>
      </c>
      <c r="K5001" s="317"/>
    </row>
    <row r="5002">
      <c r="B5002" s="223" t="s">
        <v>200</v>
      </c>
      <c r="C5002" s="223"/>
      <c r="D5002" s="316"/>
      <c r="H5002" s="223">
        <v>0.0</v>
      </c>
      <c r="K5002" s="317"/>
    </row>
    <row r="5003">
      <c r="B5003" s="223" t="s">
        <v>200</v>
      </c>
      <c r="C5003" s="223"/>
      <c r="D5003" s="316"/>
      <c r="H5003" s="223">
        <v>0.0</v>
      </c>
      <c r="K5003" s="317"/>
    </row>
    <row r="5004">
      <c r="B5004" s="223" t="s">
        <v>200</v>
      </c>
      <c r="C5004" s="223"/>
      <c r="D5004" s="316"/>
      <c r="H5004" s="223">
        <v>0.0</v>
      </c>
      <c r="K5004" s="317"/>
    </row>
    <row r="5005">
      <c r="B5005" s="223" t="s">
        <v>200</v>
      </c>
      <c r="C5005" s="223"/>
      <c r="D5005" s="316"/>
      <c r="H5005" s="223">
        <v>0.0</v>
      </c>
      <c r="K5005" s="317"/>
    </row>
    <row r="5006">
      <c r="B5006" s="223" t="s">
        <v>200</v>
      </c>
      <c r="C5006" s="223"/>
      <c r="D5006" s="316"/>
      <c r="H5006" s="223">
        <v>0.0</v>
      </c>
      <c r="K5006" s="317"/>
    </row>
    <row r="5007">
      <c r="B5007" s="223" t="s">
        <v>200</v>
      </c>
      <c r="C5007" s="223"/>
      <c r="D5007" s="316"/>
      <c r="H5007" s="223">
        <v>0.0</v>
      </c>
      <c r="K5007" s="317"/>
    </row>
    <row r="5008">
      <c r="B5008" s="223" t="s">
        <v>200</v>
      </c>
      <c r="C5008" s="223"/>
      <c r="D5008" s="316"/>
      <c r="H5008" s="223">
        <v>0.0</v>
      </c>
      <c r="K5008" s="317"/>
    </row>
    <row r="5009">
      <c r="B5009" s="223" t="s">
        <v>200</v>
      </c>
      <c r="C5009" s="223"/>
      <c r="D5009" s="316"/>
      <c r="H5009" s="223">
        <v>0.0</v>
      </c>
      <c r="K5009" s="317"/>
    </row>
    <row r="5010">
      <c r="B5010" s="223" t="s">
        <v>200</v>
      </c>
      <c r="C5010" s="223"/>
      <c r="D5010" s="316"/>
      <c r="H5010" s="223">
        <v>0.0</v>
      </c>
      <c r="K5010" s="317"/>
    </row>
    <row r="5011">
      <c r="B5011" s="223" t="s">
        <v>200</v>
      </c>
      <c r="C5011" s="223"/>
      <c r="D5011" s="316"/>
      <c r="H5011" s="223">
        <v>0.0</v>
      </c>
      <c r="K5011" s="317"/>
    </row>
    <row r="5012">
      <c r="B5012" s="223" t="s">
        <v>200</v>
      </c>
      <c r="C5012" s="223"/>
      <c r="D5012" s="316"/>
      <c r="H5012" s="223">
        <v>0.0</v>
      </c>
      <c r="K5012" s="317"/>
    </row>
    <row r="5013">
      <c r="B5013" s="223" t="s">
        <v>200</v>
      </c>
      <c r="C5013" s="223"/>
      <c r="D5013" s="316"/>
      <c r="H5013" s="223">
        <v>0.0</v>
      </c>
      <c r="K5013" s="317"/>
    </row>
    <row r="5014">
      <c r="B5014" s="223" t="s">
        <v>200</v>
      </c>
      <c r="C5014" s="223"/>
      <c r="D5014" s="316"/>
      <c r="H5014" s="223">
        <v>0.0</v>
      </c>
      <c r="K5014" s="317"/>
    </row>
    <row r="5015">
      <c r="B5015" s="223" t="s">
        <v>200</v>
      </c>
      <c r="C5015" s="223"/>
      <c r="D5015" s="316"/>
      <c r="H5015" s="223">
        <v>0.0</v>
      </c>
      <c r="K5015" s="317"/>
    </row>
    <row r="5016">
      <c r="B5016" s="223" t="s">
        <v>200</v>
      </c>
      <c r="C5016" s="223"/>
      <c r="D5016" s="316"/>
      <c r="H5016" s="223">
        <v>0.0</v>
      </c>
      <c r="K5016" s="317"/>
    </row>
    <row r="5017">
      <c r="B5017" s="223" t="s">
        <v>200</v>
      </c>
      <c r="C5017" s="223"/>
      <c r="D5017" s="316"/>
      <c r="H5017" s="223">
        <v>0.0</v>
      </c>
      <c r="K5017" s="317"/>
    </row>
    <row r="5018">
      <c r="B5018" s="223" t="s">
        <v>200</v>
      </c>
      <c r="C5018" s="223"/>
      <c r="D5018" s="316"/>
      <c r="H5018" s="223">
        <v>0.0</v>
      </c>
      <c r="K5018" s="317"/>
    </row>
    <row r="5019">
      <c r="B5019" s="223" t="s">
        <v>200</v>
      </c>
      <c r="C5019" s="223"/>
      <c r="D5019" s="316"/>
      <c r="H5019" s="223">
        <v>0.0</v>
      </c>
      <c r="K5019" s="317"/>
    </row>
    <row r="5020">
      <c r="B5020" s="223" t="s">
        <v>200</v>
      </c>
      <c r="C5020" s="223"/>
      <c r="D5020" s="316"/>
      <c r="H5020" s="223">
        <v>0.0</v>
      </c>
      <c r="K5020" s="317"/>
    </row>
    <row r="5021">
      <c r="B5021" s="223" t="s">
        <v>200</v>
      </c>
      <c r="C5021" s="223"/>
      <c r="D5021" s="316"/>
      <c r="H5021" s="223">
        <v>0.0</v>
      </c>
      <c r="K5021" s="317"/>
    </row>
    <row r="5022">
      <c r="B5022" s="223" t="s">
        <v>200</v>
      </c>
      <c r="C5022" s="223"/>
      <c r="D5022" s="316"/>
      <c r="H5022" s="223">
        <v>0.0</v>
      </c>
      <c r="K5022" s="317"/>
    </row>
    <row r="5023">
      <c r="B5023" s="223" t="s">
        <v>200</v>
      </c>
      <c r="C5023" s="223"/>
      <c r="D5023" s="316"/>
      <c r="H5023" s="223">
        <v>0.0</v>
      </c>
      <c r="K5023" s="317"/>
    </row>
    <row r="5024">
      <c r="B5024" s="223" t="s">
        <v>200</v>
      </c>
      <c r="C5024" s="223"/>
      <c r="D5024" s="316"/>
      <c r="H5024" s="223">
        <v>0.0</v>
      </c>
      <c r="K5024" s="317"/>
    </row>
    <row r="5025">
      <c r="B5025" s="223" t="s">
        <v>200</v>
      </c>
      <c r="C5025" s="223"/>
      <c r="D5025" s="316"/>
      <c r="H5025" s="223">
        <v>0.0</v>
      </c>
      <c r="K5025" s="317"/>
    </row>
    <row r="5026">
      <c r="B5026" s="223" t="s">
        <v>200</v>
      </c>
      <c r="C5026" s="223"/>
      <c r="D5026" s="316"/>
      <c r="H5026" s="223">
        <v>0.0</v>
      </c>
      <c r="K5026" s="317"/>
    </row>
    <row r="5027">
      <c r="B5027" s="223" t="s">
        <v>200</v>
      </c>
      <c r="C5027" s="223"/>
      <c r="D5027" s="316"/>
      <c r="H5027" s="223">
        <v>0.0</v>
      </c>
      <c r="K5027" s="317"/>
    </row>
    <row r="5028">
      <c r="B5028" s="223" t="s">
        <v>200</v>
      </c>
      <c r="C5028" s="223"/>
      <c r="D5028" s="316"/>
      <c r="H5028" s="223">
        <v>0.0</v>
      </c>
      <c r="K5028" s="317"/>
    </row>
    <row r="5029">
      <c r="B5029" s="223" t="s">
        <v>200</v>
      </c>
      <c r="C5029" s="223"/>
      <c r="D5029" s="316"/>
      <c r="H5029" s="223">
        <v>0.0</v>
      </c>
      <c r="K5029" s="317"/>
    </row>
    <row r="5030">
      <c r="B5030" s="223" t="s">
        <v>200</v>
      </c>
      <c r="C5030" s="223"/>
      <c r="D5030" s="316"/>
      <c r="H5030" s="223">
        <v>0.0</v>
      </c>
      <c r="K5030" s="317"/>
    </row>
    <row r="5031">
      <c r="B5031" s="223" t="s">
        <v>200</v>
      </c>
      <c r="C5031" s="223"/>
      <c r="D5031" s="316"/>
      <c r="H5031" s="223">
        <v>0.0</v>
      </c>
      <c r="K5031" s="317"/>
    </row>
    <row r="5032">
      <c r="B5032" s="223" t="s">
        <v>200</v>
      </c>
      <c r="C5032" s="223"/>
      <c r="D5032" s="316"/>
      <c r="H5032" s="223">
        <v>0.0</v>
      </c>
      <c r="K5032" s="317"/>
    </row>
    <row r="5033">
      <c r="B5033" s="223" t="s">
        <v>200</v>
      </c>
      <c r="C5033" s="223"/>
      <c r="D5033" s="316"/>
      <c r="H5033" s="223">
        <v>0.0</v>
      </c>
      <c r="K5033" s="317"/>
    </row>
    <row r="5034">
      <c r="B5034" s="223" t="s">
        <v>200</v>
      </c>
      <c r="C5034" s="223"/>
      <c r="D5034" s="316"/>
      <c r="H5034" s="223">
        <v>0.0</v>
      </c>
      <c r="K5034" s="317"/>
    </row>
    <row r="5035">
      <c r="B5035" s="223" t="s">
        <v>200</v>
      </c>
      <c r="C5035" s="223"/>
      <c r="D5035" s="316"/>
      <c r="H5035" s="223">
        <v>0.0</v>
      </c>
      <c r="K5035" s="317"/>
    </row>
    <row r="5036">
      <c r="B5036" s="223" t="s">
        <v>200</v>
      </c>
      <c r="C5036" s="223"/>
      <c r="D5036" s="316"/>
      <c r="H5036" s="223">
        <v>0.0</v>
      </c>
      <c r="K5036" s="317"/>
    </row>
    <row r="5037">
      <c r="B5037" s="223" t="s">
        <v>200</v>
      </c>
      <c r="C5037" s="223"/>
      <c r="D5037" s="316"/>
      <c r="H5037" s="223">
        <v>0.0</v>
      </c>
      <c r="K5037" s="317"/>
    </row>
    <row r="5038">
      <c r="B5038" s="223" t="s">
        <v>200</v>
      </c>
      <c r="C5038" s="223"/>
      <c r="D5038" s="316"/>
      <c r="H5038" s="223">
        <v>0.0</v>
      </c>
      <c r="K5038" s="317"/>
    </row>
    <row r="5039">
      <c r="B5039" s="223" t="s">
        <v>200</v>
      </c>
      <c r="C5039" s="223"/>
      <c r="D5039" s="316"/>
      <c r="H5039" s="223">
        <v>0.0</v>
      </c>
      <c r="K5039" s="317"/>
    </row>
    <row r="5040">
      <c r="B5040" s="223" t="s">
        <v>200</v>
      </c>
      <c r="C5040" s="223"/>
      <c r="D5040" s="316"/>
      <c r="H5040" s="223">
        <v>0.0</v>
      </c>
      <c r="K5040" s="317"/>
    </row>
    <row r="5041">
      <c r="B5041" s="223" t="s">
        <v>200</v>
      </c>
      <c r="C5041" s="223"/>
      <c r="D5041" s="316"/>
      <c r="H5041" s="223">
        <v>0.0</v>
      </c>
      <c r="K5041" s="317"/>
    </row>
    <row r="5042">
      <c r="B5042" s="223" t="s">
        <v>200</v>
      </c>
      <c r="C5042" s="223"/>
      <c r="D5042" s="316"/>
      <c r="H5042" s="223">
        <v>0.0</v>
      </c>
      <c r="K5042" s="317"/>
    </row>
    <row r="5043">
      <c r="B5043" s="223" t="s">
        <v>200</v>
      </c>
      <c r="C5043" s="223"/>
      <c r="D5043" s="316"/>
      <c r="H5043" s="223">
        <v>0.0</v>
      </c>
      <c r="K5043" s="317"/>
    </row>
    <row r="5044">
      <c r="B5044" s="223" t="s">
        <v>200</v>
      </c>
      <c r="C5044" s="223"/>
      <c r="D5044" s="316"/>
      <c r="H5044" s="223">
        <v>0.0</v>
      </c>
      <c r="K5044" s="317"/>
    </row>
    <row r="5045">
      <c r="B5045" s="223" t="s">
        <v>200</v>
      </c>
      <c r="C5045" s="223"/>
      <c r="D5045" s="316"/>
      <c r="H5045" s="223">
        <v>0.0</v>
      </c>
      <c r="K5045" s="317"/>
    </row>
    <row r="5046">
      <c r="B5046" s="223" t="s">
        <v>200</v>
      </c>
      <c r="C5046" s="223"/>
      <c r="D5046" s="316"/>
      <c r="H5046" s="223">
        <v>0.0</v>
      </c>
      <c r="K5046" s="317"/>
    </row>
    <row r="5047">
      <c r="B5047" s="223" t="s">
        <v>200</v>
      </c>
      <c r="C5047" s="223"/>
      <c r="D5047" s="316"/>
      <c r="H5047" s="223">
        <v>0.0</v>
      </c>
      <c r="K5047" s="317"/>
    </row>
    <row r="5048">
      <c r="B5048" s="223" t="s">
        <v>200</v>
      </c>
      <c r="C5048" s="223"/>
      <c r="D5048" s="316"/>
      <c r="H5048" s="223">
        <v>0.0</v>
      </c>
      <c r="K5048" s="317"/>
    </row>
    <row r="5049">
      <c r="B5049" s="223" t="s">
        <v>200</v>
      </c>
      <c r="C5049" s="223"/>
      <c r="D5049" s="316"/>
      <c r="H5049" s="223">
        <v>0.0</v>
      </c>
      <c r="K5049" s="317"/>
    </row>
    <row r="5050">
      <c r="B5050" s="223" t="s">
        <v>200</v>
      </c>
      <c r="C5050" s="223"/>
      <c r="D5050" s="316"/>
      <c r="H5050" s="223">
        <v>0.0</v>
      </c>
      <c r="K5050" s="317"/>
    </row>
    <row r="5051">
      <c r="B5051" s="223" t="s">
        <v>200</v>
      </c>
      <c r="C5051" s="223"/>
      <c r="D5051" s="316"/>
      <c r="H5051" s="223">
        <v>0.0</v>
      </c>
      <c r="K5051" s="317"/>
    </row>
    <row r="5052">
      <c r="B5052" s="223" t="s">
        <v>200</v>
      </c>
      <c r="C5052" s="223"/>
      <c r="D5052" s="316"/>
      <c r="H5052" s="223">
        <v>0.0</v>
      </c>
      <c r="K5052" s="317"/>
    </row>
    <row r="5053">
      <c r="B5053" s="223" t="s">
        <v>200</v>
      </c>
      <c r="C5053" s="223"/>
      <c r="D5053" s="316"/>
      <c r="H5053" s="223">
        <v>0.0</v>
      </c>
      <c r="K5053" s="317"/>
    </row>
    <row r="5054">
      <c r="B5054" s="223" t="s">
        <v>200</v>
      </c>
      <c r="C5054" s="223"/>
      <c r="D5054" s="316"/>
      <c r="H5054" s="223">
        <v>0.0</v>
      </c>
      <c r="K5054" s="317"/>
    </row>
    <row r="5055">
      <c r="B5055" s="223" t="s">
        <v>200</v>
      </c>
      <c r="C5055" s="223"/>
      <c r="D5055" s="316"/>
      <c r="H5055" s="223">
        <v>0.0</v>
      </c>
      <c r="K5055" s="317"/>
    </row>
    <row r="5056">
      <c r="B5056" s="223" t="s">
        <v>200</v>
      </c>
      <c r="C5056" s="223"/>
      <c r="D5056" s="316"/>
      <c r="H5056" s="223">
        <v>0.0</v>
      </c>
      <c r="K5056" s="317"/>
    </row>
    <row r="5057">
      <c r="B5057" s="223" t="s">
        <v>200</v>
      </c>
      <c r="C5057" s="223"/>
      <c r="D5057" s="316"/>
      <c r="H5057" s="223">
        <v>0.0</v>
      </c>
      <c r="K5057" s="317"/>
    </row>
    <row r="5058">
      <c r="B5058" s="223" t="s">
        <v>200</v>
      </c>
      <c r="C5058" s="223"/>
      <c r="D5058" s="316"/>
      <c r="H5058" s="223">
        <v>0.0</v>
      </c>
      <c r="K5058" s="317"/>
    </row>
    <row r="5059">
      <c r="B5059" s="223" t="s">
        <v>200</v>
      </c>
      <c r="C5059" s="223"/>
      <c r="D5059" s="316"/>
      <c r="H5059" s="223">
        <v>0.0</v>
      </c>
      <c r="K5059" s="317"/>
    </row>
    <row r="5060">
      <c r="B5060" s="223" t="s">
        <v>200</v>
      </c>
      <c r="C5060" s="223"/>
      <c r="D5060" s="316"/>
      <c r="H5060" s="223">
        <v>0.0</v>
      </c>
      <c r="K5060" s="317"/>
    </row>
    <row r="5061">
      <c r="B5061" s="223" t="s">
        <v>200</v>
      </c>
      <c r="C5061" s="223"/>
      <c r="D5061" s="316"/>
      <c r="H5061" s="223">
        <v>0.0</v>
      </c>
      <c r="K5061" s="317"/>
    </row>
    <row r="5062">
      <c r="B5062" s="223" t="s">
        <v>200</v>
      </c>
      <c r="C5062" s="223"/>
      <c r="D5062" s="316"/>
      <c r="H5062" s="223">
        <v>0.0</v>
      </c>
      <c r="K5062" s="317"/>
    </row>
    <row r="5063">
      <c r="B5063" s="223" t="s">
        <v>200</v>
      </c>
      <c r="C5063" s="223"/>
      <c r="D5063" s="316"/>
      <c r="H5063" s="223">
        <v>0.0</v>
      </c>
      <c r="K5063" s="317"/>
    </row>
    <row r="5064">
      <c r="B5064" s="223" t="s">
        <v>200</v>
      </c>
      <c r="C5064" s="223"/>
      <c r="D5064" s="316"/>
      <c r="H5064" s="223">
        <v>0.0</v>
      </c>
      <c r="K5064" s="317"/>
    </row>
    <row r="5065">
      <c r="B5065" s="223" t="s">
        <v>200</v>
      </c>
      <c r="C5065" s="223"/>
      <c r="D5065" s="316"/>
      <c r="H5065" s="223">
        <v>0.0</v>
      </c>
      <c r="K5065" s="317"/>
    </row>
    <row r="5066">
      <c r="B5066" s="223" t="s">
        <v>200</v>
      </c>
      <c r="C5066" s="223"/>
      <c r="D5066" s="316"/>
      <c r="H5066" s="223">
        <v>0.0</v>
      </c>
      <c r="K5066" s="317"/>
    </row>
    <row r="5067">
      <c r="B5067" s="223" t="s">
        <v>200</v>
      </c>
      <c r="C5067" s="223"/>
      <c r="D5067" s="316"/>
      <c r="H5067" s="223">
        <v>0.0</v>
      </c>
      <c r="K5067" s="317"/>
    </row>
    <row r="5068">
      <c r="B5068" s="223" t="s">
        <v>200</v>
      </c>
      <c r="C5068" s="223"/>
      <c r="D5068" s="316"/>
      <c r="H5068" s="223">
        <v>0.0</v>
      </c>
      <c r="K5068" s="317"/>
    </row>
    <row r="5069">
      <c r="B5069" s="223" t="s">
        <v>200</v>
      </c>
      <c r="C5069" s="223"/>
      <c r="D5069" s="316"/>
      <c r="H5069" s="223">
        <v>0.0</v>
      </c>
      <c r="K5069" s="317"/>
    </row>
    <row r="5070">
      <c r="B5070" s="223" t="s">
        <v>200</v>
      </c>
      <c r="C5070" s="223"/>
      <c r="D5070" s="316"/>
      <c r="H5070" s="223">
        <v>0.0</v>
      </c>
      <c r="K5070" s="317"/>
    </row>
    <row r="5071">
      <c r="B5071" s="223" t="s">
        <v>200</v>
      </c>
      <c r="C5071" s="223"/>
      <c r="D5071" s="316"/>
      <c r="H5071" s="223">
        <v>0.0</v>
      </c>
      <c r="K5071" s="317"/>
    </row>
    <row r="5072">
      <c r="B5072" s="223" t="s">
        <v>200</v>
      </c>
      <c r="C5072" s="223"/>
      <c r="D5072" s="316"/>
      <c r="H5072" s="223">
        <v>0.0</v>
      </c>
      <c r="K5072" s="317"/>
    </row>
    <row r="5073">
      <c r="B5073" s="223" t="s">
        <v>200</v>
      </c>
      <c r="C5073" s="223"/>
      <c r="D5073" s="316"/>
      <c r="H5073" s="223">
        <v>0.0</v>
      </c>
      <c r="K5073" s="317"/>
    </row>
    <row r="5074">
      <c r="B5074" s="223" t="s">
        <v>200</v>
      </c>
      <c r="C5074" s="223"/>
      <c r="D5074" s="316"/>
      <c r="H5074" s="223">
        <v>0.0</v>
      </c>
      <c r="K5074" s="317"/>
    </row>
    <row r="5075">
      <c r="B5075" s="223" t="s">
        <v>200</v>
      </c>
      <c r="C5075" s="223"/>
      <c r="D5075" s="316"/>
      <c r="H5075" s="223">
        <v>0.0</v>
      </c>
      <c r="K5075" s="317"/>
    </row>
    <row r="5076">
      <c r="B5076" s="223" t="s">
        <v>200</v>
      </c>
      <c r="C5076" s="223"/>
      <c r="D5076" s="316"/>
      <c r="H5076" s="223">
        <v>0.0</v>
      </c>
      <c r="K5076" s="317"/>
    </row>
    <row r="5077">
      <c r="B5077" s="223" t="s">
        <v>200</v>
      </c>
      <c r="C5077" s="223"/>
      <c r="D5077" s="316"/>
      <c r="H5077" s="223">
        <v>0.0</v>
      </c>
      <c r="K5077" s="317"/>
    </row>
    <row r="5078">
      <c r="B5078" s="223" t="s">
        <v>200</v>
      </c>
      <c r="C5078" s="223"/>
      <c r="D5078" s="316"/>
      <c r="H5078" s="223">
        <v>0.0</v>
      </c>
      <c r="K5078" s="317"/>
    </row>
    <row r="5079">
      <c r="B5079" s="223" t="s">
        <v>200</v>
      </c>
      <c r="C5079" s="223"/>
      <c r="D5079" s="316"/>
      <c r="H5079" s="223">
        <v>0.0</v>
      </c>
      <c r="K5079" s="317"/>
    </row>
    <row r="5080">
      <c r="B5080" s="223" t="s">
        <v>200</v>
      </c>
      <c r="C5080" s="223"/>
      <c r="D5080" s="316"/>
      <c r="H5080" s="223">
        <v>0.0</v>
      </c>
      <c r="K5080" s="317"/>
    </row>
    <row r="5081">
      <c r="B5081" s="223" t="s">
        <v>200</v>
      </c>
      <c r="C5081" s="223"/>
      <c r="D5081" s="316"/>
      <c r="H5081" s="223">
        <v>0.0</v>
      </c>
      <c r="K5081" s="317"/>
    </row>
    <row r="5082">
      <c r="B5082" s="223" t="s">
        <v>200</v>
      </c>
      <c r="C5082" s="223"/>
      <c r="D5082" s="316"/>
      <c r="H5082" s="223">
        <v>0.0</v>
      </c>
      <c r="K5082" s="317"/>
    </row>
    <row r="5083">
      <c r="B5083" s="223" t="s">
        <v>200</v>
      </c>
      <c r="C5083" s="223"/>
      <c r="D5083" s="316"/>
      <c r="H5083" s="223">
        <v>0.0</v>
      </c>
      <c r="K5083" s="317"/>
    </row>
    <row r="5084">
      <c r="B5084" s="223" t="s">
        <v>200</v>
      </c>
      <c r="C5084" s="223"/>
      <c r="D5084" s="316"/>
      <c r="H5084" s="223">
        <v>0.0</v>
      </c>
      <c r="K5084" s="317"/>
    </row>
    <row r="5085">
      <c r="B5085" s="223" t="s">
        <v>200</v>
      </c>
      <c r="C5085" s="223"/>
      <c r="D5085" s="316"/>
      <c r="H5085" s="223">
        <v>0.0</v>
      </c>
      <c r="K5085" s="317"/>
    </row>
    <row r="5086">
      <c r="B5086" s="223" t="s">
        <v>200</v>
      </c>
      <c r="C5086" s="223"/>
      <c r="D5086" s="316"/>
      <c r="H5086" s="223">
        <v>0.0</v>
      </c>
      <c r="K5086" s="317"/>
    </row>
    <row r="5087">
      <c r="B5087" s="223" t="s">
        <v>200</v>
      </c>
      <c r="C5087" s="223"/>
      <c r="D5087" s="316"/>
      <c r="H5087" s="223">
        <v>0.0</v>
      </c>
      <c r="K5087" s="317"/>
    </row>
    <row r="5088">
      <c r="B5088" s="223" t="s">
        <v>200</v>
      </c>
      <c r="C5088" s="223"/>
      <c r="D5088" s="316"/>
      <c r="H5088" s="223">
        <v>0.0</v>
      </c>
      <c r="K5088" s="317"/>
    </row>
    <row r="5089">
      <c r="B5089" s="223" t="s">
        <v>200</v>
      </c>
      <c r="C5089" s="223"/>
      <c r="D5089" s="316"/>
      <c r="H5089" s="223">
        <v>0.0</v>
      </c>
      <c r="K5089" s="317"/>
    </row>
    <row r="5090">
      <c r="B5090" s="223" t="s">
        <v>200</v>
      </c>
      <c r="C5090" s="223"/>
      <c r="D5090" s="316"/>
      <c r="H5090" s="223">
        <v>0.0</v>
      </c>
      <c r="K5090" s="317"/>
    </row>
    <row r="5091">
      <c r="B5091" s="223" t="s">
        <v>200</v>
      </c>
      <c r="C5091" s="223"/>
      <c r="D5091" s="316"/>
      <c r="H5091" s="223">
        <v>0.0</v>
      </c>
      <c r="K5091" s="317"/>
    </row>
    <row r="5092">
      <c r="B5092" s="223" t="s">
        <v>200</v>
      </c>
      <c r="C5092" s="223"/>
      <c r="D5092" s="316"/>
      <c r="H5092" s="223">
        <v>0.0</v>
      </c>
      <c r="K5092" s="317"/>
    </row>
    <row r="5093">
      <c r="B5093" s="223" t="s">
        <v>200</v>
      </c>
      <c r="C5093" s="223"/>
      <c r="D5093" s="316"/>
      <c r="H5093" s="223">
        <v>0.0</v>
      </c>
      <c r="K5093" s="317"/>
    </row>
    <row r="5094">
      <c r="B5094" s="223" t="s">
        <v>200</v>
      </c>
      <c r="C5094" s="223"/>
      <c r="D5094" s="316"/>
      <c r="H5094" s="223">
        <v>0.0</v>
      </c>
      <c r="K5094" s="317"/>
    </row>
    <row r="5095">
      <c r="B5095" s="223" t="s">
        <v>200</v>
      </c>
      <c r="C5095" s="223"/>
      <c r="D5095" s="316"/>
      <c r="H5095" s="223">
        <v>0.0</v>
      </c>
      <c r="K5095" s="317"/>
    </row>
    <row r="5096">
      <c r="B5096" s="223" t="s">
        <v>200</v>
      </c>
      <c r="C5096" s="223"/>
      <c r="D5096" s="316"/>
      <c r="H5096" s="223">
        <v>0.0</v>
      </c>
      <c r="K5096" s="317"/>
    </row>
    <row r="5097">
      <c r="B5097" s="223" t="s">
        <v>200</v>
      </c>
      <c r="C5097" s="223"/>
      <c r="D5097" s="316"/>
      <c r="H5097" s="223">
        <v>0.0</v>
      </c>
      <c r="K5097" s="317"/>
    </row>
    <row r="5098">
      <c r="B5098" s="223" t="s">
        <v>200</v>
      </c>
      <c r="C5098" s="223"/>
      <c r="D5098" s="316"/>
      <c r="H5098" s="223">
        <v>0.0</v>
      </c>
      <c r="K5098" s="317"/>
    </row>
    <row r="5099">
      <c r="B5099" s="223" t="s">
        <v>200</v>
      </c>
      <c r="C5099" s="223"/>
      <c r="D5099" s="316"/>
      <c r="H5099" s="223">
        <v>0.0</v>
      </c>
      <c r="K5099" s="317"/>
    </row>
    <row r="5100">
      <c r="B5100" s="223" t="s">
        <v>200</v>
      </c>
      <c r="C5100" s="223"/>
      <c r="D5100" s="316"/>
      <c r="H5100" s="223">
        <v>0.0</v>
      </c>
      <c r="K5100" s="317"/>
    </row>
    <row r="5101">
      <c r="B5101" s="223" t="s">
        <v>200</v>
      </c>
      <c r="C5101" s="223"/>
      <c r="D5101" s="316"/>
      <c r="H5101" s="223">
        <v>0.0</v>
      </c>
      <c r="K5101" s="317"/>
    </row>
    <row r="5102">
      <c r="B5102" s="223" t="s">
        <v>200</v>
      </c>
      <c r="C5102" s="223"/>
      <c r="D5102" s="316"/>
      <c r="H5102" s="223">
        <v>0.0</v>
      </c>
      <c r="K5102" s="317"/>
    </row>
    <row r="5103">
      <c r="B5103" s="223" t="s">
        <v>200</v>
      </c>
      <c r="C5103" s="223"/>
      <c r="D5103" s="316"/>
      <c r="H5103" s="223">
        <v>0.0</v>
      </c>
      <c r="K5103" s="317"/>
    </row>
    <row r="5104">
      <c r="B5104" s="223" t="s">
        <v>200</v>
      </c>
      <c r="C5104" s="223"/>
      <c r="D5104" s="316"/>
      <c r="H5104" s="223">
        <v>0.0</v>
      </c>
      <c r="K5104" s="317"/>
    </row>
    <row r="5105">
      <c r="B5105" s="223" t="s">
        <v>200</v>
      </c>
      <c r="C5105" s="223"/>
      <c r="D5105" s="316"/>
      <c r="H5105" s="223">
        <v>0.0</v>
      </c>
      <c r="K5105" s="317"/>
    </row>
    <row r="5106">
      <c r="B5106" s="223" t="s">
        <v>200</v>
      </c>
      <c r="C5106" s="223"/>
      <c r="D5106" s="316"/>
      <c r="H5106" s="223">
        <v>0.0</v>
      </c>
      <c r="K5106" s="317"/>
    </row>
    <row r="5107">
      <c r="B5107" s="223" t="s">
        <v>200</v>
      </c>
      <c r="C5107" s="223"/>
      <c r="D5107" s="316"/>
      <c r="H5107" s="223">
        <v>0.0</v>
      </c>
      <c r="K5107" s="317"/>
    </row>
    <row r="5108">
      <c r="B5108" s="223" t="s">
        <v>200</v>
      </c>
      <c r="C5108" s="223"/>
      <c r="D5108" s="316"/>
      <c r="H5108" s="223">
        <v>0.0</v>
      </c>
      <c r="K5108" s="317"/>
    </row>
    <row r="5109">
      <c r="B5109" s="223" t="s">
        <v>200</v>
      </c>
      <c r="C5109" s="223"/>
      <c r="D5109" s="316"/>
      <c r="H5109" s="223">
        <v>0.0</v>
      </c>
      <c r="K5109" s="317"/>
    </row>
    <row r="5110">
      <c r="B5110" s="223" t="s">
        <v>200</v>
      </c>
      <c r="C5110" s="223"/>
      <c r="D5110" s="316"/>
      <c r="H5110" s="223">
        <v>0.0</v>
      </c>
      <c r="K5110" s="317"/>
    </row>
    <row r="5111">
      <c r="B5111" s="223" t="s">
        <v>200</v>
      </c>
      <c r="C5111" s="223"/>
      <c r="D5111" s="316"/>
      <c r="H5111" s="223">
        <v>0.0</v>
      </c>
      <c r="K5111" s="317"/>
    </row>
    <row r="5112">
      <c r="B5112" s="223" t="s">
        <v>200</v>
      </c>
      <c r="C5112" s="223"/>
      <c r="D5112" s="316"/>
      <c r="H5112" s="223">
        <v>0.0</v>
      </c>
      <c r="K5112" s="317"/>
    </row>
    <row r="5113">
      <c r="B5113" s="223" t="s">
        <v>200</v>
      </c>
      <c r="C5113" s="223"/>
      <c r="D5113" s="316"/>
      <c r="H5113" s="223">
        <v>0.0</v>
      </c>
      <c r="K5113" s="317"/>
    </row>
    <row r="5114">
      <c r="B5114" s="223" t="s">
        <v>200</v>
      </c>
      <c r="C5114" s="223"/>
      <c r="D5114" s="316"/>
      <c r="H5114" s="223">
        <v>0.0</v>
      </c>
      <c r="K5114" s="317"/>
    </row>
    <row r="5115">
      <c r="B5115" s="223" t="s">
        <v>200</v>
      </c>
      <c r="C5115" s="223"/>
      <c r="D5115" s="316"/>
      <c r="H5115" s="223">
        <v>0.0</v>
      </c>
      <c r="K5115" s="317"/>
    </row>
    <row r="5116">
      <c r="B5116" s="223" t="s">
        <v>200</v>
      </c>
      <c r="C5116" s="223"/>
      <c r="D5116" s="316"/>
      <c r="H5116" s="223">
        <v>0.0</v>
      </c>
      <c r="K5116" s="317"/>
    </row>
    <row r="5117">
      <c r="B5117" s="223" t="s">
        <v>200</v>
      </c>
      <c r="C5117" s="223"/>
      <c r="D5117" s="316"/>
      <c r="H5117" s="223">
        <v>0.0</v>
      </c>
      <c r="K5117" s="317"/>
    </row>
    <row r="5118">
      <c r="B5118" s="223" t="s">
        <v>200</v>
      </c>
      <c r="C5118" s="223"/>
      <c r="D5118" s="316"/>
      <c r="H5118" s="223">
        <v>0.0</v>
      </c>
      <c r="K5118" s="317"/>
    </row>
    <row r="5119">
      <c r="B5119" s="223" t="s">
        <v>200</v>
      </c>
      <c r="C5119" s="223"/>
      <c r="D5119" s="316"/>
      <c r="H5119" s="223">
        <v>0.0</v>
      </c>
      <c r="K5119" s="317"/>
    </row>
    <row r="5120">
      <c r="B5120" s="223" t="s">
        <v>200</v>
      </c>
      <c r="C5120" s="223"/>
      <c r="D5120" s="316"/>
      <c r="H5120" s="223">
        <v>0.0</v>
      </c>
      <c r="K5120" s="317"/>
    </row>
    <row r="5121">
      <c r="B5121" s="223" t="s">
        <v>200</v>
      </c>
      <c r="C5121" s="223"/>
      <c r="D5121" s="316"/>
      <c r="H5121" s="223">
        <v>0.0</v>
      </c>
      <c r="K5121" s="317"/>
    </row>
    <row r="5122">
      <c r="B5122" s="223" t="s">
        <v>200</v>
      </c>
      <c r="C5122" s="223"/>
      <c r="D5122" s="316"/>
      <c r="H5122" s="223">
        <v>0.0</v>
      </c>
      <c r="K5122" s="317"/>
    </row>
    <row r="5123">
      <c r="B5123" s="223" t="s">
        <v>200</v>
      </c>
      <c r="C5123" s="223"/>
      <c r="D5123" s="316"/>
      <c r="H5123" s="223">
        <v>0.0</v>
      </c>
      <c r="K5123" s="317"/>
    </row>
    <row r="5124">
      <c r="B5124" s="223" t="s">
        <v>200</v>
      </c>
      <c r="C5124" s="223"/>
      <c r="D5124" s="316"/>
      <c r="H5124" s="223">
        <v>0.0</v>
      </c>
      <c r="K5124" s="317"/>
    </row>
    <row r="5125">
      <c r="B5125" s="223" t="s">
        <v>200</v>
      </c>
      <c r="C5125" s="223"/>
      <c r="D5125" s="316"/>
      <c r="H5125" s="223">
        <v>0.0</v>
      </c>
      <c r="K5125" s="317"/>
    </row>
    <row r="5126">
      <c r="B5126" s="223" t="s">
        <v>200</v>
      </c>
      <c r="C5126" s="223"/>
      <c r="D5126" s="316"/>
      <c r="H5126" s="223">
        <v>0.0</v>
      </c>
      <c r="K5126" s="317"/>
    </row>
    <row r="5127">
      <c r="B5127" s="223" t="s">
        <v>200</v>
      </c>
      <c r="C5127" s="223"/>
      <c r="D5127" s="316"/>
      <c r="H5127" s="223">
        <v>0.0</v>
      </c>
      <c r="K5127" s="317"/>
    </row>
    <row r="5128">
      <c r="B5128" s="223" t="s">
        <v>200</v>
      </c>
      <c r="C5128" s="223"/>
      <c r="D5128" s="316"/>
      <c r="H5128" s="223">
        <v>0.0</v>
      </c>
      <c r="K5128" s="317"/>
    </row>
    <row r="5129">
      <c r="B5129" s="223" t="s">
        <v>200</v>
      </c>
      <c r="C5129" s="223"/>
      <c r="D5129" s="316"/>
      <c r="H5129" s="223">
        <v>0.0</v>
      </c>
      <c r="K5129" s="317"/>
    </row>
    <row r="5130">
      <c r="B5130" s="223" t="s">
        <v>200</v>
      </c>
      <c r="C5130" s="223"/>
      <c r="D5130" s="316"/>
      <c r="H5130" s="223">
        <v>0.0</v>
      </c>
      <c r="K5130" s="317"/>
    </row>
    <row r="5131">
      <c r="B5131" s="223" t="s">
        <v>200</v>
      </c>
      <c r="C5131" s="223"/>
      <c r="D5131" s="316"/>
      <c r="H5131" s="223">
        <v>0.0</v>
      </c>
      <c r="K5131" s="317"/>
    </row>
    <row r="5132">
      <c r="B5132" s="223" t="s">
        <v>200</v>
      </c>
      <c r="C5132" s="223"/>
      <c r="D5132" s="316"/>
      <c r="H5132" s="223">
        <v>0.0</v>
      </c>
      <c r="K5132" s="317"/>
    </row>
    <row r="5133">
      <c r="B5133" s="223" t="s">
        <v>200</v>
      </c>
      <c r="C5133" s="223"/>
      <c r="D5133" s="316"/>
      <c r="H5133" s="223">
        <v>0.0</v>
      </c>
      <c r="K5133" s="317"/>
    </row>
    <row r="5134">
      <c r="B5134" s="223" t="s">
        <v>200</v>
      </c>
      <c r="C5134" s="223"/>
      <c r="D5134" s="316"/>
      <c r="H5134" s="223">
        <v>0.0</v>
      </c>
      <c r="K5134" s="317"/>
    </row>
    <row r="5135">
      <c r="B5135" s="223" t="s">
        <v>200</v>
      </c>
      <c r="C5135" s="223"/>
      <c r="D5135" s="316"/>
      <c r="H5135" s="223">
        <v>0.0</v>
      </c>
      <c r="K5135" s="317"/>
    </row>
    <row r="5136">
      <c r="B5136" s="223" t="s">
        <v>200</v>
      </c>
      <c r="C5136" s="223"/>
      <c r="D5136" s="316"/>
      <c r="H5136" s="223">
        <v>0.0</v>
      </c>
      <c r="K5136" s="317"/>
    </row>
    <row r="5137">
      <c r="B5137" s="223" t="s">
        <v>200</v>
      </c>
      <c r="C5137" s="223"/>
      <c r="D5137" s="316"/>
      <c r="H5137" s="223">
        <v>0.0</v>
      </c>
      <c r="K5137" s="317"/>
    </row>
    <row r="5138">
      <c r="B5138" s="223" t="s">
        <v>200</v>
      </c>
      <c r="C5138" s="223"/>
      <c r="D5138" s="316"/>
      <c r="H5138" s="223">
        <v>0.0</v>
      </c>
      <c r="K5138" s="317"/>
    </row>
    <row r="5139">
      <c r="B5139" s="223" t="s">
        <v>200</v>
      </c>
      <c r="C5139" s="223"/>
      <c r="D5139" s="316"/>
      <c r="H5139" s="223">
        <v>0.0</v>
      </c>
      <c r="K5139" s="317"/>
    </row>
    <row r="5140">
      <c r="B5140" s="223" t="s">
        <v>200</v>
      </c>
      <c r="C5140" s="223"/>
      <c r="D5140" s="316"/>
      <c r="H5140" s="223">
        <v>0.0</v>
      </c>
      <c r="K5140" s="317"/>
    </row>
    <row r="5141">
      <c r="B5141" s="223" t="s">
        <v>200</v>
      </c>
      <c r="C5141" s="223"/>
      <c r="D5141" s="316"/>
      <c r="H5141" s="223">
        <v>0.0</v>
      </c>
      <c r="K5141" s="317"/>
    </row>
    <row r="5142">
      <c r="B5142" s="223" t="s">
        <v>200</v>
      </c>
      <c r="C5142" s="223"/>
      <c r="D5142" s="316"/>
      <c r="H5142" s="223">
        <v>0.0</v>
      </c>
      <c r="K5142" s="317"/>
    </row>
    <row r="5143">
      <c r="B5143" s="223" t="s">
        <v>200</v>
      </c>
      <c r="C5143" s="223"/>
      <c r="D5143" s="316"/>
      <c r="H5143" s="223">
        <v>0.0</v>
      </c>
      <c r="K5143" s="317"/>
    </row>
    <row r="5144">
      <c r="B5144" s="223" t="s">
        <v>200</v>
      </c>
      <c r="C5144" s="223"/>
      <c r="D5144" s="316"/>
      <c r="H5144" s="223">
        <v>0.0</v>
      </c>
      <c r="K5144" s="317"/>
    </row>
    <row r="5145">
      <c r="B5145" s="223" t="s">
        <v>200</v>
      </c>
      <c r="C5145" s="223"/>
      <c r="D5145" s="316"/>
      <c r="H5145" s="223">
        <v>0.0</v>
      </c>
      <c r="K5145" s="317"/>
    </row>
    <row r="5146">
      <c r="B5146" s="223" t="s">
        <v>200</v>
      </c>
      <c r="C5146" s="223"/>
      <c r="D5146" s="316"/>
      <c r="H5146" s="223">
        <v>0.0</v>
      </c>
      <c r="K5146" s="317"/>
    </row>
    <row r="5147">
      <c r="B5147" s="223" t="s">
        <v>200</v>
      </c>
      <c r="C5147" s="223"/>
      <c r="D5147" s="316"/>
      <c r="H5147" s="223">
        <v>0.0</v>
      </c>
      <c r="K5147" s="317"/>
    </row>
    <row r="5148">
      <c r="B5148" s="223" t="s">
        <v>200</v>
      </c>
      <c r="C5148" s="223"/>
      <c r="D5148" s="316"/>
      <c r="H5148" s="223">
        <v>0.0</v>
      </c>
      <c r="K5148" s="317"/>
    </row>
    <row r="5149">
      <c r="B5149" s="223" t="s">
        <v>200</v>
      </c>
      <c r="C5149" s="223"/>
      <c r="D5149" s="316"/>
      <c r="H5149" s="223">
        <v>0.0</v>
      </c>
      <c r="K5149" s="317"/>
    </row>
    <row r="5150">
      <c r="B5150" s="223" t="s">
        <v>200</v>
      </c>
      <c r="C5150" s="223"/>
      <c r="D5150" s="316"/>
      <c r="H5150" s="223">
        <v>0.0</v>
      </c>
      <c r="K5150" s="317"/>
    </row>
    <row r="5151">
      <c r="B5151" s="223" t="s">
        <v>200</v>
      </c>
      <c r="C5151" s="223"/>
      <c r="D5151" s="316"/>
      <c r="H5151" s="223">
        <v>0.0</v>
      </c>
      <c r="K5151" s="317"/>
    </row>
    <row r="5152">
      <c r="B5152" s="223" t="s">
        <v>200</v>
      </c>
      <c r="C5152" s="223"/>
      <c r="D5152" s="316"/>
      <c r="H5152" s="223">
        <v>0.0</v>
      </c>
      <c r="K5152" s="317"/>
    </row>
    <row r="5153">
      <c r="B5153" s="223" t="s">
        <v>200</v>
      </c>
      <c r="C5153" s="223"/>
      <c r="D5153" s="316"/>
      <c r="H5153" s="223">
        <v>0.0</v>
      </c>
      <c r="K5153" s="317"/>
    </row>
    <row r="5154">
      <c r="B5154" s="223" t="s">
        <v>200</v>
      </c>
      <c r="C5154" s="223"/>
      <c r="D5154" s="316"/>
      <c r="H5154" s="223">
        <v>0.0</v>
      </c>
      <c r="K5154" s="317"/>
    </row>
    <row r="5155">
      <c r="B5155" s="223" t="s">
        <v>200</v>
      </c>
      <c r="C5155" s="223"/>
      <c r="D5155" s="316"/>
      <c r="H5155" s="223">
        <v>0.0</v>
      </c>
      <c r="K5155" s="317"/>
    </row>
    <row r="5156">
      <c r="B5156" s="223" t="s">
        <v>200</v>
      </c>
      <c r="C5156" s="223"/>
      <c r="D5156" s="316"/>
      <c r="H5156" s="223">
        <v>0.0</v>
      </c>
      <c r="K5156" s="317"/>
    </row>
    <row r="5157">
      <c r="B5157" s="223" t="s">
        <v>200</v>
      </c>
      <c r="C5157" s="223"/>
      <c r="D5157" s="316"/>
      <c r="H5157" s="223">
        <v>0.0</v>
      </c>
      <c r="K5157" s="317"/>
    </row>
    <row r="5158">
      <c r="B5158" s="223" t="s">
        <v>200</v>
      </c>
      <c r="C5158" s="223"/>
      <c r="D5158" s="316"/>
      <c r="H5158" s="223">
        <v>0.0</v>
      </c>
      <c r="K5158" s="317"/>
    </row>
    <row r="5159">
      <c r="B5159" s="223" t="s">
        <v>200</v>
      </c>
      <c r="C5159" s="223"/>
      <c r="D5159" s="316"/>
      <c r="H5159" s="223">
        <v>0.0</v>
      </c>
      <c r="K5159" s="317"/>
    </row>
    <row r="5160">
      <c r="B5160" s="223" t="s">
        <v>200</v>
      </c>
      <c r="C5160" s="223"/>
      <c r="D5160" s="316"/>
      <c r="H5160" s="223">
        <v>0.0</v>
      </c>
      <c r="K5160" s="317"/>
    </row>
    <row r="5161">
      <c r="B5161" s="223" t="s">
        <v>200</v>
      </c>
      <c r="C5161" s="223"/>
      <c r="D5161" s="316"/>
      <c r="H5161" s="223">
        <v>0.0</v>
      </c>
      <c r="K5161" s="317"/>
    </row>
    <row r="5162">
      <c r="B5162" s="223" t="s">
        <v>200</v>
      </c>
      <c r="C5162" s="223"/>
      <c r="D5162" s="316"/>
      <c r="H5162" s="223">
        <v>0.0</v>
      </c>
      <c r="K5162" s="317"/>
    </row>
    <row r="5163">
      <c r="B5163" s="223" t="s">
        <v>200</v>
      </c>
      <c r="C5163" s="223"/>
      <c r="D5163" s="316"/>
      <c r="H5163" s="223">
        <v>0.0</v>
      </c>
      <c r="K5163" s="317"/>
    </row>
    <row r="5164">
      <c r="B5164" s="223" t="s">
        <v>200</v>
      </c>
      <c r="C5164" s="223"/>
      <c r="D5164" s="316"/>
      <c r="H5164" s="223">
        <v>0.0</v>
      </c>
      <c r="K5164" s="317"/>
    </row>
    <row r="5165">
      <c r="B5165" s="223" t="s">
        <v>200</v>
      </c>
      <c r="C5165" s="223"/>
      <c r="D5165" s="316"/>
      <c r="H5165" s="223">
        <v>0.0</v>
      </c>
      <c r="K5165" s="317"/>
    </row>
    <row r="5166">
      <c r="B5166" s="223" t="s">
        <v>200</v>
      </c>
      <c r="C5166" s="223"/>
      <c r="D5166" s="316"/>
      <c r="H5166" s="223">
        <v>0.0</v>
      </c>
      <c r="K5166" s="317"/>
    </row>
    <row r="5167">
      <c r="B5167" s="223" t="s">
        <v>200</v>
      </c>
      <c r="C5167" s="223"/>
      <c r="D5167" s="316"/>
      <c r="H5167" s="223">
        <v>0.0</v>
      </c>
      <c r="K5167" s="317"/>
    </row>
    <row r="5168">
      <c r="B5168" s="223" t="s">
        <v>200</v>
      </c>
      <c r="C5168" s="223"/>
      <c r="D5168" s="316"/>
      <c r="H5168" s="223">
        <v>0.0</v>
      </c>
      <c r="K5168" s="317"/>
    </row>
    <row r="5169">
      <c r="B5169" s="223" t="s">
        <v>200</v>
      </c>
      <c r="C5169" s="223"/>
      <c r="D5169" s="316"/>
      <c r="H5169" s="223">
        <v>0.0</v>
      </c>
      <c r="K5169" s="317"/>
    </row>
    <row r="5170">
      <c r="B5170" s="223" t="s">
        <v>200</v>
      </c>
      <c r="C5170" s="223"/>
      <c r="D5170" s="316"/>
      <c r="H5170" s="223">
        <v>0.0</v>
      </c>
      <c r="K5170" s="317"/>
    </row>
    <row r="5171">
      <c r="B5171" s="223" t="s">
        <v>200</v>
      </c>
      <c r="C5171" s="223"/>
      <c r="D5171" s="316"/>
      <c r="H5171" s="223">
        <v>0.0</v>
      </c>
      <c r="K5171" s="317"/>
    </row>
    <row r="5172">
      <c r="B5172" s="223" t="s">
        <v>200</v>
      </c>
      <c r="C5172" s="223"/>
      <c r="D5172" s="316"/>
      <c r="H5172" s="223">
        <v>0.0</v>
      </c>
      <c r="K5172" s="317"/>
    </row>
    <row r="5173">
      <c r="B5173" s="223" t="s">
        <v>200</v>
      </c>
      <c r="C5173" s="223"/>
      <c r="D5173" s="316"/>
      <c r="H5173" s="223">
        <v>0.0</v>
      </c>
      <c r="K5173" s="317"/>
    </row>
    <row r="5174">
      <c r="B5174" s="223" t="s">
        <v>200</v>
      </c>
      <c r="C5174" s="223"/>
      <c r="D5174" s="316"/>
      <c r="H5174" s="223">
        <v>0.0</v>
      </c>
      <c r="K5174" s="317"/>
    </row>
    <row r="5175">
      <c r="B5175" s="223" t="s">
        <v>200</v>
      </c>
      <c r="C5175" s="223"/>
      <c r="D5175" s="316"/>
      <c r="H5175" s="223">
        <v>0.0</v>
      </c>
      <c r="K5175" s="317"/>
    </row>
    <row r="5176">
      <c r="B5176" s="223" t="s">
        <v>200</v>
      </c>
      <c r="C5176" s="223"/>
      <c r="D5176" s="316"/>
      <c r="H5176" s="223">
        <v>0.0</v>
      </c>
      <c r="K5176" s="317"/>
    </row>
    <row r="5177">
      <c r="B5177" s="223" t="s">
        <v>200</v>
      </c>
      <c r="C5177" s="223"/>
      <c r="D5177" s="316"/>
      <c r="H5177" s="223">
        <v>0.0</v>
      </c>
      <c r="K5177" s="317"/>
    </row>
    <row r="5178">
      <c r="B5178" s="223" t="s">
        <v>200</v>
      </c>
      <c r="C5178" s="223"/>
      <c r="D5178" s="316"/>
      <c r="H5178" s="223">
        <v>0.0</v>
      </c>
      <c r="K5178" s="317"/>
    </row>
    <row r="5179">
      <c r="B5179" s="223" t="s">
        <v>200</v>
      </c>
      <c r="C5179" s="223"/>
      <c r="D5179" s="316"/>
      <c r="H5179" s="223">
        <v>0.0</v>
      </c>
      <c r="K5179" s="317"/>
    </row>
    <row r="5180">
      <c r="B5180" s="223" t="s">
        <v>200</v>
      </c>
      <c r="C5180" s="223"/>
      <c r="D5180" s="316"/>
      <c r="H5180" s="223">
        <v>0.0</v>
      </c>
      <c r="K5180" s="317"/>
    </row>
    <row r="5181">
      <c r="B5181" s="223" t="s">
        <v>200</v>
      </c>
      <c r="C5181" s="223"/>
      <c r="D5181" s="316"/>
      <c r="H5181" s="223">
        <v>0.0</v>
      </c>
      <c r="K5181" s="317"/>
    </row>
    <row r="5182">
      <c r="B5182" s="223" t="s">
        <v>200</v>
      </c>
      <c r="C5182" s="223"/>
      <c r="D5182" s="316"/>
      <c r="H5182" s="223">
        <v>0.0</v>
      </c>
      <c r="K5182" s="317"/>
    </row>
    <row r="5183">
      <c r="B5183" s="223" t="s">
        <v>200</v>
      </c>
      <c r="C5183" s="223"/>
      <c r="D5183" s="316"/>
      <c r="H5183" s="223">
        <v>0.0</v>
      </c>
      <c r="K5183" s="317"/>
    </row>
    <row r="5184">
      <c r="B5184" s="223" t="s">
        <v>200</v>
      </c>
      <c r="C5184" s="223"/>
      <c r="D5184" s="316"/>
      <c r="H5184" s="223">
        <v>0.0</v>
      </c>
      <c r="K5184" s="317"/>
    </row>
    <row r="5185">
      <c r="B5185" s="223" t="s">
        <v>200</v>
      </c>
      <c r="C5185" s="223"/>
      <c r="D5185" s="316"/>
      <c r="H5185" s="223">
        <v>0.0</v>
      </c>
      <c r="K5185" s="317"/>
    </row>
    <row r="5186">
      <c r="B5186" s="223" t="s">
        <v>200</v>
      </c>
      <c r="C5186" s="223"/>
      <c r="D5186" s="316"/>
      <c r="H5186" s="223">
        <v>0.0</v>
      </c>
      <c r="K5186" s="317"/>
    </row>
    <row r="5187">
      <c r="B5187" s="223" t="s">
        <v>200</v>
      </c>
      <c r="C5187" s="223"/>
      <c r="D5187" s="316"/>
      <c r="H5187" s="223">
        <v>0.0</v>
      </c>
      <c r="K5187" s="317"/>
    </row>
    <row r="5188">
      <c r="B5188" s="223" t="s">
        <v>200</v>
      </c>
      <c r="C5188" s="223"/>
      <c r="D5188" s="316"/>
      <c r="H5188" s="223">
        <v>0.0</v>
      </c>
      <c r="K5188" s="317"/>
    </row>
    <row r="5189">
      <c r="B5189" s="223" t="s">
        <v>200</v>
      </c>
      <c r="C5189" s="223"/>
      <c r="D5189" s="316"/>
      <c r="H5189" s="223">
        <v>0.0</v>
      </c>
      <c r="K5189" s="317"/>
    </row>
    <row r="5190">
      <c r="B5190" s="223" t="s">
        <v>200</v>
      </c>
      <c r="C5190" s="223"/>
      <c r="D5190" s="316"/>
      <c r="H5190" s="223">
        <v>0.0</v>
      </c>
      <c r="K5190" s="317"/>
    </row>
    <row r="5191">
      <c r="B5191" s="223" t="s">
        <v>200</v>
      </c>
      <c r="C5191" s="223"/>
      <c r="D5191" s="316"/>
      <c r="H5191" s="223">
        <v>0.0</v>
      </c>
      <c r="K5191" s="317"/>
    </row>
    <row r="5192">
      <c r="B5192" s="223" t="s">
        <v>200</v>
      </c>
      <c r="C5192" s="223"/>
      <c r="D5192" s="316"/>
      <c r="H5192" s="223">
        <v>0.0</v>
      </c>
      <c r="K5192" s="317"/>
    </row>
    <row r="5193">
      <c r="B5193" s="223" t="s">
        <v>200</v>
      </c>
      <c r="C5193" s="223"/>
      <c r="D5193" s="316"/>
      <c r="H5193" s="223">
        <v>0.0</v>
      </c>
      <c r="K5193" s="317"/>
    </row>
    <row r="5194">
      <c r="B5194" s="223" t="s">
        <v>200</v>
      </c>
      <c r="C5194" s="223"/>
      <c r="D5194" s="316"/>
      <c r="H5194" s="223">
        <v>0.0</v>
      </c>
      <c r="K5194" s="317"/>
    </row>
    <row r="5195">
      <c r="B5195" s="223" t="s">
        <v>200</v>
      </c>
      <c r="C5195" s="223"/>
      <c r="D5195" s="316"/>
      <c r="H5195" s="223">
        <v>0.0</v>
      </c>
      <c r="K5195" s="317"/>
    </row>
    <row r="5196">
      <c r="B5196" s="223" t="s">
        <v>200</v>
      </c>
      <c r="C5196" s="223"/>
      <c r="D5196" s="316"/>
      <c r="H5196" s="223">
        <v>0.0</v>
      </c>
      <c r="K5196" s="317"/>
    </row>
    <row r="5197">
      <c r="B5197" s="223" t="s">
        <v>200</v>
      </c>
      <c r="C5197" s="223"/>
      <c r="D5197" s="316"/>
      <c r="H5197" s="223">
        <v>0.0</v>
      </c>
      <c r="K5197" s="317"/>
    </row>
    <row r="5198">
      <c r="B5198" s="223" t="s">
        <v>200</v>
      </c>
      <c r="C5198" s="223"/>
      <c r="D5198" s="316"/>
      <c r="H5198" s="223">
        <v>0.0</v>
      </c>
      <c r="K5198" s="317"/>
    </row>
    <row r="5199">
      <c r="B5199" s="223" t="s">
        <v>200</v>
      </c>
      <c r="C5199" s="223"/>
      <c r="D5199" s="316"/>
      <c r="H5199" s="223">
        <v>0.0</v>
      </c>
      <c r="K5199" s="317"/>
    </row>
    <row r="5200">
      <c r="B5200" s="223" t="s">
        <v>200</v>
      </c>
      <c r="C5200" s="223"/>
      <c r="D5200" s="316"/>
      <c r="H5200" s="223">
        <v>0.0</v>
      </c>
      <c r="K5200" s="317"/>
    </row>
    <row r="5201">
      <c r="B5201" s="223" t="s">
        <v>200</v>
      </c>
      <c r="C5201" s="223"/>
      <c r="D5201" s="316"/>
      <c r="H5201" s="223">
        <v>0.0</v>
      </c>
      <c r="K5201" s="317"/>
    </row>
    <row r="5202">
      <c r="B5202" s="223" t="s">
        <v>200</v>
      </c>
      <c r="C5202" s="223"/>
      <c r="D5202" s="316"/>
      <c r="H5202" s="223">
        <v>0.0</v>
      </c>
      <c r="K5202" s="317"/>
    </row>
    <row r="5203">
      <c r="B5203" s="223" t="s">
        <v>200</v>
      </c>
      <c r="C5203" s="223"/>
      <c r="D5203" s="316"/>
      <c r="H5203" s="223">
        <v>0.0</v>
      </c>
      <c r="K5203" s="317"/>
    </row>
    <row r="5204">
      <c r="B5204" s="223" t="s">
        <v>200</v>
      </c>
      <c r="C5204" s="223"/>
      <c r="D5204" s="316"/>
      <c r="H5204" s="223">
        <v>0.0</v>
      </c>
      <c r="K5204" s="317"/>
    </row>
    <row r="5205">
      <c r="B5205" s="223" t="s">
        <v>200</v>
      </c>
      <c r="C5205" s="223"/>
      <c r="D5205" s="316"/>
      <c r="H5205" s="223">
        <v>0.0</v>
      </c>
      <c r="K5205" s="317"/>
    </row>
    <row r="5206">
      <c r="B5206" s="223" t="s">
        <v>200</v>
      </c>
      <c r="C5206" s="223"/>
      <c r="D5206" s="316"/>
      <c r="H5206" s="223">
        <v>0.0</v>
      </c>
      <c r="K5206" s="317"/>
    </row>
    <row r="5207">
      <c r="B5207" s="223" t="s">
        <v>200</v>
      </c>
      <c r="C5207" s="223"/>
      <c r="D5207" s="316"/>
      <c r="H5207" s="223">
        <v>0.0</v>
      </c>
      <c r="K5207" s="317"/>
    </row>
    <row r="5208">
      <c r="B5208" s="223" t="s">
        <v>200</v>
      </c>
      <c r="C5208" s="223"/>
      <c r="D5208" s="316"/>
      <c r="H5208" s="223">
        <v>0.0</v>
      </c>
      <c r="K5208" s="317"/>
    </row>
    <row r="5209">
      <c r="B5209" s="223" t="s">
        <v>200</v>
      </c>
      <c r="C5209" s="223"/>
      <c r="D5209" s="316"/>
      <c r="H5209" s="223">
        <v>0.0</v>
      </c>
      <c r="K5209" s="317"/>
    </row>
    <row r="5210">
      <c r="B5210" s="223" t="s">
        <v>200</v>
      </c>
      <c r="C5210" s="223"/>
      <c r="D5210" s="316"/>
      <c r="H5210" s="223">
        <v>0.0</v>
      </c>
      <c r="K5210" s="317"/>
    </row>
    <row r="5211">
      <c r="B5211" s="223" t="s">
        <v>200</v>
      </c>
      <c r="C5211" s="223"/>
      <c r="D5211" s="316"/>
      <c r="H5211" s="223">
        <v>0.0</v>
      </c>
      <c r="K5211" s="317"/>
    </row>
    <row r="5212">
      <c r="B5212" s="223" t="s">
        <v>200</v>
      </c>
      <c r="C5212" s="223"/>
      <c r="D5212" s="316"/>
      <c r="H5212" s="223">
        <v>0.0</v>
      </c>
      <c r="K5212" s="317"/>
    </row>
    <row r="5213">
      <c r="B5213" s="223" t="s">
        <v>200</v>
      </c>
      <c r="C5213" s="223"/>
      <c r="D5213" s="316"/>
      <c r="H5213" s="223">
        <v>0.0</v>
      </c>
      <c r="K5213" s="317"/>
    </row>
    <row r="5214">
      <c r="B5214" s="223" t="s">
        <v>200</v>
      </c>
      <c r="C5214" s="223"/>
      <c r="D5214" s="316"/>
      <c r="H5214" s="223">
        <v>0.0</v>
      </c>
      <c r="K5214" s="317"/>
    </row>
    <row r="5215">
      <c r="B5215" s="223" t="s">
        <v>200</v>
      </c>
      <c r="C5215" s="223"/>
      <c r="D5215" s="316"/>
      <c r="H5215" s="223">
        <v>0.0</v>
      </c>
      <c r="K5215" s="317"/>
    </row>
    <row r="5216">
      <c r="B5216" s="223" t="s">
        <v>200</v>
      </c>
      <c r="C5216" s="223"/>
      <c r="D5216" s="316"/>
      <c r="H5216" s="223">
        <v>0.0</v>
      </c>
      <c r="K5216" s="317"/>
    </row>
    <row r="5217">
      <c r="B5217" s="223" t="s">
        <v>200</v>
      </c>
      <c r="C5217" s="223"/>
      <c r="D5217" s="316"/>
      <c r="H5217" s="223">
        <v>0.0</v>
      </c>
      <c r="K5217" s="317"/>
    </row>
    <row r="5218">
      <c r="B5218" s="223" t="s">
        <v>200</v>
      </c>
      <c r="C5218" s="223"/>
      <c r="D5218" s="316"/>
      <c r="H5218" s="223">
        <v>0.0</v>
      </c>
      <c r="K5218" s="317"/>
    </row>
    <row r="5219">
      <c r="B5219" s="223" t="s">
        <v>200</v>
      </c>
      <c r="C5219" s="223"/>
      <c r="D5219" s="316"/>
      <c r="H5219" s="223">
        <v>0.0</v>
      </c>
      <c r="K5219" s="317"/>
    </row>
    <row r="5220">
      <c r="B5220" s="223" t="s">
        <v>200</v>
      </c>
      <c r="C5220" s="223"/>
      <c r="D5220" s="316"/>
      <c r="H5220" s="223">
        <v>0.0</v>
      </c>
      <c r="K5220" s="317"/>
    </row>
    <row r="5221">
      <c r="B5221" s="223" t="s">
        <v>200</v>
      </c>
      <c r="C5221" s="223"/>
      <c r="D5221" s="316"/>
      <c r="H5221" s="223">
        <v>0.0</v>
      </c>
      <c r="K5221" s="317"/>
    </row>
    <row r="5222">
      <c r="B5222" s="223" t="s">
        <v>200</v>
      </c>
      <c r="C5222" s="223"/>
      <c r="D5222" s="316"/>
      <c r="H5222" s="223">
        <v>0.0</v>
      </c>
      <c r="K5222" s="317"/>
    </row>
    <row r="5223">
      <c r="B5223" s="223" t="s">
        <v>200</v>
      </c>
      <c r="C5223" s="223"/>
      <c r="D5223" s="316"/>
      <c r="H5223" s="223">
        <v>0.0</v>
      </c>
      <c r="K5223" s="317"/>
    </row>
    <row r="5224">
      <c r="B5224" s="223" t="s">
        <v>200</v>
      </c>
      <c r="C5224" s="223"/>
      <c r="D5224" s="316"/>
      <c r="H5224" s="223">
        <v>0.0</v>
      </c>
      <c r="K5224" s="317"/>
    </row>
    <row r="5225">
      <c r="B5225" s="223" t="s">
        <v>200</v>
      </c>
      <c r="C5225" s="223"/>
      <c r="D5225" s="316"/>
      <c r="H5225" s="223">
        <v>0.0</v>
      </c>
      <c r="K5225" s="317"/>
    </row>
    <row r="5226">
      <c r="B5226" s="223" t="s">
        <v>200</v>
      </c>
      <c r="C5226" s="223"/>
      <c r="D5226" s="316"/>
      <c r="H5226" s="223">
        <v>0.0</v>
      </c>
      <c r="K5226" s="317"/>
    </row>
    <row r="5227">
      <c r="B5227" s="223" t="s">
        <v>200</v>
      </c>
      <c r="C5227" s="223"/>
      <c r="D5227" s="316"/>
      <c r="H5227" s="223">
        <v>0.0</v>
      </c>
      <c r="K5227" s="317"/>
    </row>
    <row r="5228">
      <c r="B5228" s="223" t="s">
        <v>200</v>
      </c>
      <c r="C5228" s="223"/>
      <c r="D5228" s="316"/>
      <c r="H5228" s="223">
        <v>0.0</v>
      </c>
      <c r="K5228" s="317"/>
    </row>
    <row r="5229">
      <c r="B5229" s="223" t="s">
        <v>200</v>
      </c>
      <c r="C5229" s="223"/>
      <c r="D5229" s="316"/>
      <c r="H5229" s="223">
        <v>0.0</v>
      </c>
      <c r="K5229" s="317"/>
    </row>
    <row r="5230">
      <c r="B5230" s="223" t="s">
        <v>200</v>
      </c>
      <c r="C5230" s="223"/>
      <c r="D5230" s="316"/>
      <c r="H5230" s="223">
        <v>0.0</v>
      </c>
      <c r="K5230" s="317"/>
    </row>
    <row r="5231">
      <c r="B5231" s="223" t="s">
        <v>200</v>
      </c>
      <c r="C5231" s="223"/>
      <c r="D5231" s="316"/>
      <c r="H5231" s="223">
        <v>0.0</v>
      </c>
      <c r="K5231" s="317"/>
    </row>
    <row r="5232">
      <c r="B5232" s="223" t="s">
        <v>200</v>
      </c>
      <c r="C5232" s="223"/>
      <c r="D5232" s="316"/>
      <c r="H5232" s="223">
        <v>0.0</v>
      </c>
      <c r="K5232" s="317"/>
    </row>
    <row r="5233">
      <c r="B5233" s="223" t="s">
        <v>200</v>
      </c>
      <c r="C5233" s="223"/>
      <c r="D5233" s="316"/>
      <c r="H5233" s="223">
        <v>0.0</v>
      </c>
      <c r="K5233" s="317"/>
    </row>
    <row r="5234">
      <c r="B5234" s="223" t="s">
        <v>200</v>
      </c>
      <c r="C5234" s="223"/>
      <c r="D5234" s="316"/>
      <c r="H5234" s="223">
        <v>0.0</v>
      </c>
      <c r="K5234" s="317"/>
    </row>
    <row r="5235">
      <c r="B5235" s="223" t="s">
        <v>200</v>
      </c>
      <c r="C5235" s="223"/>
      <c r="D5235" s="316"/>
      <c r="H5235" s="223">
        <v>0.0</v>
      </c>
      <c r="K5235" s="317"/>
    </row>
    <row r="5236">
      <c r="B5236" s="223" t="s">
        <v>200</v>
      </c>
      <c r="C5236" s="223"/>
      <c r="D5236" s="316"/>
      <c r="H5236" s="223">
        <v>0.0</v>
      </c>
      <c r="K5236" s="317"/>
    </row>
    <row r="5237">
      <c r="B5237" s="223" t="s">
        <v>200</v>
      </c>
      <c r="C5237" s="223"/>
      <c r="D5237" s="316"/>
      <c r="H5237" s="223">
        <v>0.0</v>
      </c>
      <c r="K5237" s="317"/>
    </row>
    <row r="5238">
      <c r="B5238" s="223" t="s">
        <v>200</v>
      </c>
      <c r="C5238" s="223"/>
      <c r="D5238" s="316"/>
      <c r="H5238" s="223">
        <v>0.0</v>
      </c>
      <c r="K5238" s="317"/>
    </row>
    <row r="5239">
      <c r="B5239" s="223" t="s">
        <v>200</v>
      </c>
      <c r="C5239" s="223"/>
      <c r="D5239" s="316"/>
      <c r="H5239" s="223">
        <v>0.0</v>
      </c>
      <c r="K5239" s="317"/>
    </row>
    <row r="5240">
      <c r="B5240" s="223" t="s">
        <v>200</v>
      </c>
      <c r="C5240" s="223"/>
      <c r="D5240" s="316"/>
      <c r="H5240" s="223">
        <v>0.0</v>
      </c>
      <c r="K5240" s="317"/>
    </row>
    <row r="5241">
      <c r="B5241" s="223" t="s">
        <v>200</v>
      </c>
      <c r="C5241" s="223"/>
      <c r="D5241" s="316"/>
      <c r="H5241" s="223">
        <v>0.0</v>
      </c>
      <c r="K5241" s="317"/>
    </row>
    <row r="5242">
      <c r="B5242" s="223" t="s">
        <v>200</v>
      </c>
      <c r="C5242" s="223"/>
      <c r="D5242" s="316"/>
      <c r="H5242" s="223">
        <v>0.0</v>
      </c>
      <c r="K5242" s="317"/>
    </row>
    <row r="5243">
      <c r="B5243" s="223" t="s">
        <v>200</v>
      </c>
      <c r="C5243" s="223"/>
      <c r="D5243" s="316"/>
      <c r="H5243" s="223">
        <v>0.0</v>
      </c>
      <c r="K5243" s="317"/>
    </row>
    <row r="5244">
      <c r="B5244" s="223" t="s">
        <v>200</v>
      </c>
      <c r="C5244" s="223"/>
      <c r="D5244" s="316"/>
      <c r="H5244" s="223">
        <v>0.0</v>
      </c>
      <c r="K5244" s="317"/>
    </row>
    <row r="5245">
      <c r="B5245" s="223" t="s">
        <v>200</v>
      </c>
      <c r="C5245" s="223"/>
      <c r="D5245" s="316"/>
      <c r="H5245" s="223">
        <v>0.0</v>
      </c>
      <c r="K5245" s="317"/>
    </row>
    <row r="5246">
      <c r="B5246" s="223" t="s">
        <v>200</v>
      </c>
      <c r="C5246" s="223"/>
      <c r="D5246" s="316"/>
      <c r="H5246" s="223">
        <v>0.0</v>
      </c>
      <c r="K5246" s="317"/>
    </row>
    <row r="5247">
      <c r="B5247" s="223" t="s">
        <v>200</v>
      </c>
      <c r="C5247" s="223"/>
      <c r="D5247" s="316"/>
      <c r="H5247" s="223">
        <v>0.0</v>
      </c>
      <c r="K5247" s="317"/>
    </row>
    <row r="5248">
      <c r="B5248" s="223" t="s">
        <v>200</v>
      </c>
      <c r="C5248" s="223"/>
      <c r="D5248" s="316"/>
      <c r="H5248" s="223">
        <v>0.0</v>
      </c>
      <c r="K5248" s="317"/>
    </row>
    <row r="5249">
      <c r="B5249" s="223" t="s">
        <v>200</v>
      </c>
      <c r="C5249" s="223"/>
      <c r="D5249" s="316"/>
      <c r="H5249" s="223">
        <v>0.0</v>
      </c>
      <c r="K5249" s="317"/>
    </row>
    <row r="5250">
      <c r="B5250" s="223" t="s">
        <v>200</v>
      </c>
      <c r="C5250" s="223"/>
      <c r="D5250" s="316"/>
      <c r="H5250" s="223">
        <v>0.0</v>
      </c>
      <c r="K5250" s="317"/>
    </row>
    <row r="5251">
      <c r="B5251" s="223" t="s">
        <v>200</v>
      </c>
      <c r="C5251" s="223"/>
      <c r="D5251" s="316"/>
      <c r="H5251" s="223">
        <v>0.0</v>
      </c>
      <c r="K5251" s="317"/>
    </row>
    <row r="5252">
      <c r="B5252" s="223" t="s">
        <v>200</v>
      </c>
      <c r="C5252" s="223"/>
      <c r="D5252" s="316"/>
      <c r="H5252" s="223">
        <v>0.0</v>
      </c>
      <c r="K5252" s="317"/>
    </row>
    <row r="5253">
      <c r="B5253" s="223" t="s">
        <v>200</v>
      </c>
      <c r="C5253" s="223"/>
      <c r="D5253" s="316"/>
      <c r="H5253" s="223">
        <v>0.0</v>
      </c>
      <c r="K5253" s="317"/>
    </row>
    <row r="5254">
      <c r="B5254" s="223" t="s">
        <v>200</v>
      </c>
      <c r="C5254" s="223"/>
      <c r="D5254" s="316"/>
      <c r="H5254" s="223">
        <v>0.0</v>
      </c>
      <c r="K5254" s="317"/>
    </row>
    <row r="5255">
      <c r="B5255" s="223" t="s">
        <v>200</v>
      </c>
      <c r="C5255" s="223"/>
      <c r="D5255" s="316"/>
      <c r="H5255" s="223">
        <v>0.0</v>
      </c>
      <c r="K5255" s="317"/>
    </row>
    <row r="5256">
      <c r="B5256" s="223" t="s">
        <v>200</v>
      </c>
      <c r="C5256" s="223"/>
      <c r="D5256" s="316"/>
      <c r="H5256" s="223">
        <v>0.0</v>
      </c>
      <c r="K5256" s="317"/>
    </row>
    <row r="5257">
      <c r="B5257" s="223" t="s">
        <v>200</v>
      </c>
      <c r="C5257" s="223"/>
      <c r="D5257" s="316"/>
      <c r="H5257" s="223">
        <v>0.0</v>
      </c>
      <c r="K5257" s="317"/>
    </row>
    <row r="5258">
      <c r="B5258" s="223" t="s">
        <v>200</v>
      </c>
      <c r="C5258" s="223"/>
      <c r="D5258" s="316"/>
      <c r="H5258" s="223">
        <v>0.0</v>
      </c>
      <c r="K5258" s="317"/>
    </row>
    <row r="5259">
      <c r="B5259" s="223" t="s">
        <v>200</v>
      </c>
      <c r="C5259" s="223"/>
      <c r="D5259" s="316"/>
      <c r="H5259" s="223">
        <v>0.0</v>
      </c>
      <c r="K5259" s="317"/>
    </row>
    <row r="5260">
      <c r="B5260" s="223" t="s">
        <v>200</v>
      </c>
      <c r="C5260" s="223"/>
      <c r="D5260" s="316"/>
      <c r="H5260" s="223">
        <v>0.0</v>
      </c>
      <c r="K5260" s="317"/>
    </row>
    <row r="5261">
      <c r="B5261" s="223" t="s">
        <v>200</v>
      </c>
      <c r="C5261" s="223"/>
      <c r="D5261" s="316"/>
      <c r="H5261" s="223">
        <v>0.0</v>
      </c>
      <c r="K5261" s="317"/>
    </row>
    <row r="5262">
      <c r="B5262" s="223" t="s">
        <v>200</v>
      </c>
      <c r="C5262" s="223"/>
      <c r="D5262" s="316"/>
      <c r="H5262" s="223">
        <v>0.0</v>
      </c>
      <c r="K5262" s="317"/>
    </row>
    <row r="5263">
      <c r="B5263" s="223" t="s">
        <v>200</v>
      </c>
      <c r="C5263" s="223"/>
      <c r="D5263" s="316"/>
      <c r="H5263" s="223">
        <v>0.0</v>
      </c>
      <c r="K5263" s="317"/>
    </row>
    <row r="5264">
      <c r="B5264" s="223" t="s">
        <v>200</v>
      </c>
      <c r="C5264" s="223"/>
      <c r="D5264" s="316"/>
      <c r="H5264" s="223">
        <v>0.0</v>
      </c>
      <c r="K5264" s="317"/>
    </row>
    <row r="5265">
      <c r="B5265" s="223" t="s">
        <v>200</v>
      </c>
      <c r="C5265" s="223"/>
      <c r="D5265" s="316"/>
      <c r="H5265" s="223">
        <v>0.0</v>
      </c>
      <c r="K5265" s="317"/>
    </row>
    <row r="5266">
      <c r="B5266" s="223" t="s">
        <v>200</v>
      </c>
      <c r="C5266" s="223"/>
      <c r="D5266" s="316"/>
      <c r="H5266" s="223">
        <v>0.0</v>
      </c>
      <c r="K5266" s="317"/>
    </row>
    <row r="5267">
      <c r="B5267" s="223" t="s">
        <v>200</v>
      </c>
      <c r="C5267" s="223"/>
      <c r="D5267" s="316"/>
      <c r="H5267" s="223">
        <v>0.0</v>
      </c>
      <c r="K5267" s="317"/>
    </row>
    <row r="5268">
      <c r="B5268" s="223" t="s">
        <v>200</v>
      </c>
      <c r="C5268" s="223"/>
      <c r="D5268" s="316"/>
      <c r="H5268" s="223">
        <v>0.0</v>
      </c>
      <c r="K5268" s="317"/>
    </row>
    <row r="5269">
      <c r="B5269" s="223" t="s">
        <v>200</v>
      </c>
      <c r="C5269" s="223"/>
      <c r="D5269" s="316"/>
      <c r="H5269" s="223">
        <v>0.0</v>
      </c>
      <c r="K5269" s="317"/>
    </row>
    <row r="5270">
      <c r="B5270" s="223" t="s">
        <v>200</v>
      </c>
      <c r="C5270" s="223"/>
      <c r="D5270" s="316"/>
      <c r="H5270" s="223">
        <v>0.0</v>
      </c>
      <c r="K5270" s="317"/>
    </row>
    <row r="5271">
      <c r="B5271" s="223" t="s">
        <v>200</v>
      </c>
      <c r="C5271" s="223"/>
      <c r="D5271" s="316"/>
      <c r="H5271" s="223">
        <v>0.0</v>
      </c>
      <c r="K5271" s="317"/>
    </row>
    <row r="5272">
      <c r="B5272" s="223" t="s">
        <v>200</v>
      </c>
      <c r="C5272" s="223"/>
      <c r="D5272" s="316"/>
      <c r="H5272" s="223">
        <v>0.0</v>
      </c>
      <c r="K5272" s="317"/>
    </row>
    <row r="5273">
      <c r="B5273" s="223" t="s">
        <v>200</v>
      </c>
      <c r="C5273" s="223"/>
      <c r="D5273" s="316"/>
      <c r="H5273" s="223">
        <v>0.0</v>
      </c>
      <c r="K5273" s="317"/>
    </row>
    <row r="5274">
      <c r="B5274" s="223" t="s">
        <v>200</v>
      </c>
      <c r="C5274" s="223"/>
      <c r="D5274" s="316"/>
      <c r="H5274" s="223">
        <v>0.0</v>
      </c>
      <c r="K5274" s="317"/>
    </row>
    <row r="5275">
      <c r="B5275" s="223" t="s">
        <v>200</v>
      </c>
      <c r="C5275" s="223"/>
      <c r="D5275" s="316"/>
      <c r="H5275" s="223">
        <v>0.0</v>
      </c>
      <c r="K5275" s="317"/>
    </row>
    <row r="5276">
      <c r="B5276" s="223" t="s">
        <v>200</v>
      </c>
      <c r="C5276" s="223"/>
      <c r="D5276" s="316"/>
      <c r="H5276" s="223">
        <v>0.0</v>
      </c>
      <c r="K5276" s="317"/>
    </row>
    <row r="5277">
      <c r="B5277" s="223" t="s">
        <v>200</v>
      </c>
      <c r="C5277" s="223"/>
      <c r="D5277" s="316"/>
      <c r="H5277" s="223">
        <v>0.0</v>
      </c>
      <c r="K5277" s="317"/>
    </row>
    <row r="5278">
      <c r="B5278" s="223" t="s">
        <v>200</v>
      </c>
      <c r="C5278" s="223"/>
      <c r="D5278" s="316"/>
      <c r="H5278" s="223">
        <v>0.0</v>
      </c>
      <c r="K5278" s="317"/>
    </row>
    <row r="5279">
      <c r="B5279" s="223" t="s">
        <v>200</v>
      </c>
      <c r="C5279" s="223"/>
      <c r="D5279" s="316"/>
      <c r="H5279" s="223">
        <v>0.0</v>
      </c>
      <c r="K5279" s="317"/>
    </row>
    <row r="5280">
      <c r="B5280" s="223" t="s">
        <v>200</v>
      </c>
      <c r="C5280" s="223"/>
      <c r="D5280" s="316"/>
      <c r="H5280" s="223">
        <v>0.0</v>
      </c>
      <c r="K5280" s="317"/>
    </row>
    <row r="5281">
      <c r="B5281" s="223" t="s">
        <v>200</v>
      </c>
      <c r="C5281" s="223"/>
      <c r="D5281" s="316"/>
      <c r="H5281" s="223">
        <v>0.0</v>
      </c>
      <c r="K5281" s="317"/>
    </row>
    <row r="5282">
      <c r="B5282" s="223" t="s">
        <v>200</v>
      </c>
      <c r="C5282" s="223"/>
      <c r="D5282" s="316"/>
      <c r="H5282" s="223">
        <v>0.0</v>
      </c>
      <c r="K5282" s="317"/>
    </row>
    <row r="5283">
      <c r="B5283" s="223" t="s">
        <v>200</v>
      </c>
      <c r="C5283" s="223"/>
      <c r="D5283" s="316"/>
      <c r="H5283" s="223">
        <v>0.0</v>
      </c>
      <c r="K5283" s="317"/>
    </row>
    <row r="5284">
      <c r="B5284" s="223" t="s">
        <v>200</v>
      </c>
      <c r="C5284" s="223"/>
      <c r="D5284" s="316"/>
      <c r="H5284" s="223">
        <v>0.0</v>
      </c>
      <c r="K5284" s="317"/>
    </row>
    <row r="5285">
      <c r="B5285" s="223" t="s">
        <v>200</v>
      </c>
      <c r="C5285" s="223"/>
      <c r="D5285" s="316"/>
      <c r="H5285" s="223">
        <v>0.0</v>
      </c>
      <c r="K5285" s="317"/>
    </row>
    <row r="5286">
      <c r="B5286" s="223" t="s">
        <v>200</v>
      </c>
      <c r="C5286" s="223"/>
      <c r="D5286" s="316"/>
      <c r="H5286" s="223">
        <v>0.0</v>
      </c>
      <c r="K5286" s="317"/>
    </row>
    <row r="5287">
      <c r="B5287" s="223" t="s">
        <v>200</v>
      </c>
      <c r="C5287" s="223"/>
      <c r="D5287" s="316"/>
      <c r="H5287" s="223">
        <v>0.0</v>
      </c>
      <c r="K5287" s="317"/>
    </row>
    <row r="5288">
      <c r="B5288" s="223" t="s">
        <v>200</v>
      </c>
      <c r="C5288" s="223"/>
      <c r="D5288" s="316"/>
      <c r="H5288" s="223">
        <v>0.0</v>
      </c>
      <c r="K5288" s="317"/>
    </row>
    <row r="5289">
      <c r="B5289" s="223" t="s">
        <v>200</v>
      </c>
      <c r="C5289" s="223"/>
      <c r="D5289" s="316"/>
      <c r="H5289" s="223">
        <v>0.0</v>
      </c>
      <c r="K5289" s="317"/>
    </row>
    <row r="5290">
      <c r="B5290" s="223" t="s">
        <v>200</v>
      </c>
      <c r="C5290" s="223"/>
      <c r="D5290" s="316"/>
      <c r="H5290" s="223">
        <v>0.0</v>
      </c>
      <c r="K5290" s="317"/>
    </row>
    <row r="5291">
      <c r="B5291" s="223" t="s">
        <v>200</v>
      </c>
      <c r="C5291" s="223"/>
      <c r="D5291" s="316"/>
      <c r="H5291" s="223">
        <v>0.0</v>
      </c>
      <c r="K5291" s="317"/>
    </row>
    <row r="5292">
      <c r="B5292" s="223" t="s">
        <v>200</v>
      </c>
      <c r="C5292" s="223"/>
      <c r="D5292" s="316"/>
      <c r="H5292" s="223">
        <v>0.0</v>
      </c>
      <c r="K5292" s="317"/>
    </row>
    <row r="5293">
      <c r="B5293" s="223" t="s">
        <v>200</v>
      </c>
      <c r="C5293" s="223"/>
      <c r="D5293" s="316"/>
      <c r="H5293" s="223">
        <v>0.0</v>
      </c>
      <c r="K5293" s="317"/>
    </row>
    <row r="5294">
      <c r="B5294" s="223" t="s">
        <v>200</v>
      </c>
      <c r="C5294" s="223"/>
      <c r="D5294" s="316"/>
      <c r="H5294" s="223">
        <v>0.0</v>
      </c>
      <c r="K5294" s="317"/>
    </row>
    <row r="5295">
      <c r="B5295" s="223" t="s">
        <v>200</v>
      </c>
      <c r="C5295" s="223"/>
      <c r="D5295" s="316"/>
      <c r="H5295" s="223">
        <v>0.0</v>
      </c>
      <c r="K5295" s="317"/>
    </row>
    <row r="5296">
      <c r="B5296" s="223" t="s">
        <v>200</v>
      </c>
      <c r="C5296" s="223"/>
      <c r="D5296" s="316"/>
      <c r="H5296" s="223">
        <v>0.0</v>
      </c>
      <c r="K5296" s="317"/>
    </row>
    <row r="5297">
      <c r="B5297" s="223" t="s">
        <v>200</v>
      </c>
      <c r="C5297" s="223"/>
      <c r="D5297" s="316"/>
      <c r="H5297" s="223">
        <v>0.0</v>
      </c>
      <c r="K5297" s="317"/>
    </row>
    <row r="5298">
      <c r="B5298" s="223" t="s">
        <v>200</v>
      </c>
      <c r="C5298" s="223"/>
      <c r="D5298" s="316"/>
      <c r="H5298" s="223">
        <v>0.0</v>
      </c>
      <c r="K5298" s="317"/>
    </row>
    <row r="5299">
      <c r="B5299" s="223" t="s">
        <v>200</v>
      </c>
      <c r="C5299" s="223"/>
      <c r="D5299" s="316"/>
      <c r="H5299" s="223">
        <v>0.0</v>
      </c>
      <c r="K5299" s="317"/>
    </row>
    <row r="5300">
      <c r="B5300" s="223" t="s">
        <v>200</v>
      </c>
      <c r="C5300" s="223"/>
      <c r="D5300" s="316"/>
      <c r="H5300" s="223">
        <v>0.0</v>
      </c>
      <c r="K5300" s="317"/>
    </row>
    <row r="5301">
      <c r="B5301" s="223" t="s">
        <v>200</v>
      </c>
      <c r="C5301" s="223"/>
      <c r="D5301" s="316"/>
      <c r="H5301" s="223">
        <v>0.0</v>
      </c>
      <c r="K5301" s="317"/>
    </row>
    <row r="5302">
      <c r="B5302" s="223" t="s">
        <v>200</v>
      </c>
      <c r="C5302" s="223"/>
      <c r="D5302" s="316"/>
      <c r="H5302" s="223">
        <v>0.0</v>
      </c>
      <c r="K5302" s="317"/>
    </row>
    <row r="5303">
      <c r="B5303" s="223" t="s">
        <v>200</v>
      </c>
      <c r="C5303" s="223"/>
      <c r="D5303" s="316"/>
      <c r="H5303" s="223">
        <v>0.0</v>
      </c>
      <c r="K5303" s="317"/>
    </row>
    <row r="5304">
      <c r="B5304" s="223" t="s">
        <v>200</v>
      </c>
      <c r="C5304" s="223"/>
      <c r="D5304" s="316"/>
      <c r="H5304" s="223">
        <v>0.0</v>
      </c>
      <c r="K5304" s="317"/>
    </row>
    <row r="5305">
      <c r="B5305" s="223" t="s">
        <v>200</v>
      </c>
      <c r="C5305" s="223"/>
      <c r="D5305" s="316"/>
      <c r="H5305" s="223">
        <v>0.0</v>
      </c>
      <c r="K5305" s="317"/>
    </row>
    <row r="5306">
      <c r="B5306" s="223" t="s">
        <v>200</v>
      </c>
      <c r="C5306" s="223"/>
      <c r="D5306" s="316"/>
      <c r="H5306" s="223">
        <v>0.0</v>
      </c>
      <c r="K5306" s="317"/>
    </row>
    <row r="5307">
      <c r="B5307" s="223" t="s">
        <v>200</v>
      </c>
      <c r="C5307" s="223"/>
      <c r="D5307" s="316"/>
      <c r="H5307" s="223">
        <v>0.0</v>
      </c>
      <c r="K5307" s="317"/>
    </row>
    <row r="5308">
      <c r="B5308" s="223" t="s">
        <v>200</v>
      </c>
      <c r="C5308" s="223"/>
      <c r="D5308" s="316"/>
      <c r="H5308" s="223">
        <v>0.0</v>
      </c>
      <c r="K5308" s="317"/>
    </row>
    <row r="5309">
      <c r="B5309" s="223" t="s">
        <v>200</v>
      </c>
      <c r="C5309" s="223"/>
      <c r="D5309" s="316"/>
      <c r="H5309" s="223">
        <v>0.0</v>
      </c>
      <c r="K5309" s="317"/>
    </row>
    <row r="5310">
      <c r="B5310" s="223" t="s">
        <v>200</v>
      </c>
      <c r="C5310" s="223"/>
      <c r="D5310" s="316"/>
      <c r="H5310" s="223">
        <v>0.0</v>
      </c>
      <c r="K5310" s="317"/>
    </row>
    <row r="5311">
      <c r="B5311" s="223" t="s">
        <v>200</v>
      </c>
      <c r="C5311" s="223"/>
      <c r="D5311" s="316"/>
      <c r="H5311" s="223">
        <v>0.0</v>
      </c>
      <c r="K5311" s="317"/>
    </row>
    <row r="5312">
      <c r="B5312" s="223" t="s">
        <v>200</v>
      </c>
      <c r="C5312" s="223"/>
      <c r="D5312" s="316"/>
      <c r="H5312" s="223">
        <v>0.0</v>
      </c>
      <c r="K5312" s="317"/>
    </row>
    <row r="5313">
      <c r="B5313" s="223" t="s">
        <v>200</v>
      </c>
      <c r="C5313" s="223"/>
      <c r="D5313" s="316"/>
      <c r="H5313" s="223">
        <v>0.0</v>
      </c>
      <c r="K5313" s="317"/>
    </row>
    <row r="5314">
      <c r="B5314" s="223" t="s">
        <v>200</v>
      </c>
      <c r="C5314" s="223"/>
      <c r="D5314" s="316"/>
      <c r="H5314" s="223">
        <v>0.0</v>
      </c>
      <c r="K5314" s="317"/>
    </row>
    <row r="5315">
      <c r="B5315" s="223" t="s">
        <v>200</v>
      </c>
      <c r="C5315" s="223"/>
      <c r="D5315" s="316"/>
      <c r="H5315" s="223">
        <v>0.0</v>
      </c>
      <c r="K5315" s="317"/>
    </row>
    <row r="5316">
      <c r="B5316" s="223" t="s">
        <v>200</v>
      </c>
      <c r="C5316" s="223"/>
      <c r="D5316" s="316"/>
      <c r="H5316" s="223">
        <v>0.0</v>
      </c>
      <c r="K5316" s="317"/>
    </row>
    <row r="5317">
      <c r="B5317" s="223" t="s">
        <v>200</v>
      </c>
      <c r="C5317" s="223"/>
      <c r="D5317" s="316"/>
      <c r="H5317" s="223">
        <v>0.0</v>
      </c>
      <c r="K5317" s="317"/>
    </row>
    <row r="5318">
      <c r="B5318" s="223" t="s">
        <v>200</v>
      </c>
      <c r="C5318" s="223"/>
      <c r="D5318" s="316"/>
      <c r="H5318" s="223">
        <v>0.0</v>
      </c>
      <c r="K5318" s="317"/>
    </row>
    <row r="5319">
      <c r="B5319" s="223" t="s">
        <v>200</v>
      </c>
      <c r="C5319" s="223"/>
      <c r="D5319" s="316"/>
      <c r="H5319" s="223">
        <v>0.0</v>
      </c>
      <c r="K5319" s="317"/>
    </row>
    <row r="5320">
      <c r="B5320" s="223" t="s">
        <v>200</v>
      </c>
      <c r="C5320" s="223"/>
      <c r="D5320" s="316"/>
      <c r="H5320" s="223">
        <v>0.0</v>
      </c>
      <c r="K5320" s="317"/>
    </row>
    <row r="5321">
      <c r="B5321" s="223" t="s">
        <v>200</v>
      </c>
      <c r="C5321" s="223"/>
      <c r="D5321" s="316"/>
      <c r="H5321" s="223">
        <v>0.0</v>
      </c>
      <c r="K5321" s="317"/>
    </row>
    <row r="5322">
      <c r="B5322" s="223" t="s">
        <v>200</v>
      </c>
      <c r="C5322" s="223"/>
      <c r="D5322" s="316"/>
      <c r="H5322" s="223">
        <v>0.0</v>
      </c>
      <c r="K5322" s="317"/>
    </row>
    <row r="5323">
      <c r="B5323" s="223" t="s">
        <v>200</v>
      </c>
      <c r="C5323" s="223"/>
      <c r="D5323" s="316"/>
      <c r="H5323" s="223">
        <v>0.0</v>
      </c>
      <c r="K5323" s="317"/>
    </row>
    <row r="5324">
      <c r="B5324" s="223" t="s">
        <v>200</v>
      </c>
      <c r="C5324" s="223"/>
      <c r="D5324" s="316"/>
      <c r="H5324" s="223">
        <v>0.0</v>
      </c>
      <c r="K5324" s="317"/>
    </row>
    <row r="5325">
      <c r="B5325" s="223" t="s">
        <v>200</v>
      </c>
      <c r="C5325" s="223"/>
      <c r="D5325" s="316"/>
      <c r="H5325" s="223">
        <v>0.0</v>
      </c>
      <c r="K5325" s="317"/>
    </row>
    <row r="5326">
      <c r="B5326" s="223" t="s">
        <v>200</v>
      </c>
      <c r="C5326" s="223"/>
      <c r="D5326" s="316"/>
      <c r="H5326" s="223">
        <v>0.0</v>
      </c>
      <c r="K5326" s="317"/>
    </row>
    <row r="5327">
      <c r="B5327" s="223" t="s">
        <v>200</v>
      </c>
      <c r="C5327" s="223"/>
      <c r="D5327" s="316"/>
      <c r="H5327" s="223">
        <v>0.0</v>
      </c>
      <c r="K5327" s="317"/>
    </row>
    <row r="5328">
      <c r="B5328" s="223" t="s">
        <v>200</v>
      </c>
      <c r="C5328" s="223"/>
      <c r="D5328" s="316"/>
      <c r="H5328" s="223">
        <v>0.0</v>
      </c>
      <c r="K5328" s="317"/>
    </row>
    <row r="5329">
      <c r="B5329" s="223" t="s">
        <v>200</v>
      </c>
      <c r="C5329" s="223"/>
      <c r="D5329" s="316"/>
      <c r="H5329" s="223">
        <v>0.0</v>
      </c>
      <c r="K5329" s="317"/>
    </row>
    <row r="5330">
      <c r="B5330" s="223" t="s">
        <v>200</v>
      </c>
      <c r="C5330" s="223"/>
      <c r="D5330" s="316"/>
      <c r="H5330" s="223">
        <v>0.0</v>
      </c>
      <c r="K5330" s="317"/>
    </row>
    <row r="5331">
      <c r="B5331" s="223" t="s">
        <v>200</v>
      </c>
      <c r="C5331" s="223"/>
      <c r="D5331" s="316"/>
      <c r="H5331" s="223">
        <v>0.0</v>
      </c>
      <c r="K5331" s="317"/>
    </row>
    <row r="5332">
      <c r="B5332" s="223" t="s">
        <v>200</v>
      </c>
      <c r="C5332" s="223"/>
      <c r="D5332" s="316"/>
      <c r="H5332" s="223">
        <v>0.0</v>
      </c>
      <c r="K5332" s="317"/>
    </row>
    <row r="5333">
      <c r="B5333" s="223" t="s">
        <v>200</v>
      </c>
      <c r="C5333" s="223"/>
      <c r="D5333" s="316"/>
      <c r="H5333" s="223">
        <v>0.0</v>
      </c>
      <c r="K5333" s="317"/>
    </row>
    <row r="5334">
      <c r="B5334" s="223" t="s">
        <v>200</v>
      </c>
      <c r="C5334" s="223"/>
      <c r="D5334" s="316"/>
      <c r="H5334" s="223">
        <v>0.0</v>
      </c>
      <c r="K5334" s="317"/>
    </row>
    <row r="5335">
      <c r="B5335" s="223" t="s">
        <v>200</v>
      </c>
      <c r="C5335" s="223"/>
      <c r="D5335" s="316"/>
      <c r="H5335" s="223">
        <v>0.0</v>
      </c>
      <c r="K5335" s="317"/>
    </row>
    <row r="5336">
      <c r="B5336" s="223" t="s">
        <v>200</v>
      </c>
      <c r="C5336" s="223"/>
      <c r="D5336" s="316"/>
      <c r="H5336" s="223">
        <v>0.0</v>
      </c>
      <c r="K5336" s="317"/>
    </row>
    <row r="5337">
      <c r="B5337" s="223" t="s">
        <v>200</v>
      </c>
      <c r="C5337" s="223"/>
      <c r="D5337" s="316"/>
      <c r="H5337" s="223">
        <v>0.0</v>
      </c>
      <c r="K5337" s="317"/>
    </row>
    <row r="5338">
      <c r="B5338" s="223" t="s">
        <v>200</v>
      </c>
      <c r="C5338" s="223"/>
      <c r="D5338" s="316"/>
      <c r="H5338" s="223">
        <v>0.0</v>
      </c>
      <c r="K5338" s="317"/>
    </row>
    <row r="5339">
      <c r="B5339" s="223" t="s">
        <v>200</v>
      </c>
      <c r="C5339" s="223"/>
      <c r="D5339" s="316"/>
      <c r="H5339" s="223">
        <v>0.0</v>
      </c>
      <c r="K5339" s="317"/>
    </row>
    <row r="5340">
      <c r="B5340" s="223" t="s">
        <v>200</v>
      </c>
      <c r="C5340" s="223"/>
      <c r="D5340" s="316"/>
      <c r="H5340" s="223">
        <v>0.0</v>
      </c>
      <c r="K5340" s="317"/>
    </row>
    <row r="5341">
      <c r="B5341" s="223" t="s">
        <v>200</v>
      </c>
      <c r="C5341" s="223"/>
      <c r="D5341" s="316"/>
      <c r="H5341" s="223">
        <v>0.0</v>
      </c>
      <c r="K5341" s="317"/>
    </row>
    <row r="5342">
      <c r="B5342" s="223" t="s">
        <v>200</v>
      </c>
      <c r="C5342" s="223"/>
      <c r="D5342" s="316"/>
      <c r="H5342" s="223">
        <v>0.0</v>
      </c>
      <c r="K5342" s="317"/>
    </row>
    <row r="5343">
      <c r="B5343" s="223" t="s">
        <v>200</v>
      </c>
      <c r="C5343" s="223"/>
      <c r="D5343" s="316"/>
      <c r="H5343" s="223">
        <v>0.0</v>
      </c>
      <c r="K5343" s="317"/>
    </row>
    <row r="5344">
      <c r="B5344" s="223" t="s">
        <v>200</v>
      </c>
      <c r="C5344" s="223"/>
      <c r="D5344" s="316"/>
      <c r="H5344" s="223">
        <v>0.0</v>
      </c>
      <c r="K5344" s="317"/>
    </row>
    <row r="5345">
      <c r="B5345" s="223" t="s">
        <v>200</v>
      </c>
      <c r="C5345" s="223"/>
      <c r="D5345" s="316"/>
      <c r="H5345" s="223">
        <v>0.0</v>
      </c>
      <c r="K5345" s="317"/>
    </row>
    <row r="5346">
      <c r="B5346" s="223" t="s">
        <v>200</v>
      </c>
      <c r="C5346" s="223"/>
      <c r="D5346" s="316"/>
      <c r="H5346" s="223">
        <v>0.0</v>
      </c>
      <c r="K5346" s="317"/>
    </row>
    <row r="5347">
      <c r="B5347" s="223" t="s">
        <v>200</v>
      </c>
      <c r="C5347" s="223"/>
      <c r="D5347" s="316"/>
      <c r="H5347" s="223">
        <v>0.0</v>
      </c>
      <c r="K5347" s="317"/>
    </row>
    <row r="5348">
      <c r="B5348" s="223" t="s">
        <v>200</v>
      </c>
      <c r="C5348" s="223"/>
      <c r="D5348" s="316"/>
      <c r="H5348" s="223">
        <v>0.0</v>
      </c>
      <c r="K5348" s="317"/>
    </row>
    <row r="5349">
      <c r="B5349" s="223" t="s">
        <v>200</v>
      </c>
      <c r="C5349" s="223"/>
      <c r="D5349" s="316"/>
      <c r="H5349" s="223">
        <v>0.0</v>
      </c>
      <c r="K5349" s="317"/>
    </row>
    <row r="5350">
      <c r="B5350" s="223" t="s">
        <v>200</v>
      </c>
      <c r="C5350" s="223"/>
      <c r="D5350" s="316"/>
      <c r="H5350" s="223">
        <v>0.0</v>
      </c>
      <c r="K5350" s="317"/>
    </row>
    <row r="5351">
      <c r="B5351" s="223" t="s">
        <v>200</v>
      </c>
      <c r="C5351" s="223"/>
      <c r="D5351" s="316"/>
      <c r="H5351" s="223">
        <v>0.0</v>
      </c>
      <c r="K5351" s="317"/>
    </row>
    <row r="5352">
      <c r="B5352" s="223" t="s">
        <v>200</v>
      </c>
      <c r="C5352" s="223"/>
      <c r="D5352" s="316"/>
      <c r="H5352" s="223">
        <v>0.0</v>
      </c>
      <c r="K5352" s="317"/>
    </row>
    <row r="5353">
      <c r="B5353" s="223" t="s">
        <v>200</v>
      </c>
      <c r="C5353" s="223"/>
      <c r="D5353" s="316"/>
      <c r="H5353" s="223">
        <v>0.0</v>
      </c>
      <c r="K5353" s="317"/>
    </row>
    <row r="5354">
      <c r="B5354" s="223" t="s">
        <v>200</v>
      </c>
      <c r="C5354" s="223"/>
      <c r="D5354" s="316"/>
      <c r="H5354" s="223">
        <v>0.0</v>
      </c>
      <c r="K5354" s="317"/>
    </row>
    <row r="5355">
      <c r="B5355" s="223" t="s">
        <v>200</v>
      </c>
      <c r="C5355" s="223"/>
      <c r="D5355" s="316"/>
      <c r="H5355" s="223">
        <v>0.0</v>
      </c>
      <c r="K5355" s="317"/>
    </row>
    <row r="5356">
      <c r="B5356" s="223" t="s">
        <v>200</v>
      </c>
      <c r="C5356" s="223"/>
      <c r="D5356" s="316"/>
      <c r="H5356" s="223">
        <v>0.0</v>
      </c>
      <c r="K5356" s="317"/>
    </row>
    <row r="5357">
      <c r="B5357" s="223" t="s">
        <v>200</v>
      </c>
      <c r="C5357" s="223"/>
      <c r="D5357" s="316"/>
      <c r="H5357" s="223">
        <v>0.0</v>
      </c>
      <c r="K5357" s="317"/>
    </row>
    <row r="5358">
      <c r="B5358" s="223" t="s">
        <v>200</v>
      </c>
      <c r="C5358" s="223"/>
      <c r="D5358" s="316"/>
      <c r="H5358" s="223">
        <v>0.0</v>
      </c>
      <c r="K5358" s="317"/>
    </row>
    <row r="5359">
      <c r="B5359" s="223" t="s">
        <v>200</v>
      </c>
      <c r="C5359" s="223"/>
      <c r="D5359" s="316"/>
      <c r="H5359" s="223">
        <v>0.0</v>
      </c>
      <c r="K5359" s="317"/>
    </row>
    <row r="5360">
      <c r="B5360" s="223" t="s">
        <v>200</v>
      </c>
      <c r="C5360" s="223"/>
      <c r="D5360" s="316"/>
      <c r="H5360" s="223">
        <v>0.0</v>
      </c>
      <c r="K5360" s="317"/>
    </row>
    <row r="5361">
      <c r="B5361" s="223" t="s">
        <v>200</v>
      </c>
      <c r="C5361" s="223"/>
      <c r="D5361" s="316"/>
      <c r="H5361" s="223">
        <v>0.0</v>
      </c>
      <c r="K5361" s="317"/>
    </row>
    <row r="5362">
      <c r="B5362" s="223" t="s">
        <v>200</v>
      </c>
      <c r="C5362" s="223"/>
      <c r="D5362" s="316"/>
      <c r="H5362" s="223">
        <v>0.0</v>
      </c>
      <c r="K5362" s="317"/>
    </row>
    <row r="5363">
      <c r="B5363" s="223" t="s">
        <v>200</v>
      </c>
      <c r="C5363" s="223"/>
      <c r="D5363" s="316"/>
      <c r="H5363" s="223">
        <v>0.0</v>
      </c>
      <c r="K5363" s="317"/>
    </row>
    <row r="5364">
      <c r="B5364" s="223" t="s">
        <v>200</v>
      </c>
      <c r="C5364" s="223"/>
      <c r="D5364" s="316"/>
      <c r="H5364" s="223">
        <v>0.0</v>
      </c>
      <c r="K5364" s="317"/>
    </row>
    <row r="5365">
      <c r="B5365" s="223" t="s">
        <v>200</v>
      </c>
      <c r="C5365" s="223"/>
      <c r="D5365" s="316"/>
      <c r="H5365" s="223">
        <v>0.0</v>
      </c>
      <c r="K5365" s="317"/>
    </row>
    <row r="5366">
      <c r="B5366" s="223" t="s">
        <v>200</v>
      </c>
      <c r="C5366" s="223"/>
      <c r="D5366" s="316"/>
      <c r="H5366" s="223">
        <v>0.0</v>
      </c>
      <c r="K5366" s="317"/>
    </row>
    <row r="5367">
      <c r="B5367" s="223" t="s">
        <v>200</v>
      </c>
      <c r="C5367" s="223"/>
      <c r="D5367" s="316"/>
      <c r="H5367" s="223">
        <v>0.0</v>
      </c>
      <c r="K5367" s="317"/>
    </row>
    <row r="5368">
      <c r="B5368" s="223" t="s">
        <v>200</v>
      </c>
      <c r="C5368" s="223"/>
      <c r="D5368" s="316"/>
      <c r="H5368" s="223">
        <v>0.0</v>
      </c>
      <c r="K5368" s="317"/>
    </row>
    <row r="5369">
      <c r="B5369" s="223" t="s">
        <v>200</v>
      </c>
      <c r="C5369" s="223"/>
      <c r="D5369" s="316"/>
      <c r="H5369" s="223">
        <v>0.0</v>
      </c>
      <c r="K5369" s="317"/>
    </row>
    <row r="5370">
      <c r="B5370" s="223" t="s">
        <v>200</v>
      </c>
      <c r="C5370" s="223"/>
      <c r="D5370" s="316"/>
      <c r="H5370" s="223">
        <v>0.0</v>
      </c>
      <c r="K5370" s="317"/>
    </row>
    <row r="5371">
      <c r="B5371" s="223" t="s">
        <v>200</v>
      </c>
      <c r="C5371" s="223"/>
      <c r="D5371" s="316"/>
      <c r="H5371" s="223">
        <v>0.0</v>
      </c>
      <c r="K5371" s="317"/>
    </row>
    <row r="5372">
      <c r="B5372" s="223" t="s">
        <v>200</v>
      </c>
      <c r="C5372" s="223"/>
      <c r="D5372" s="316"/>
      <c r="H5372" s="223">
        <v>0.0</v>
      </c>
      <c r="K5372" s="317"/>
    </row>
    <row r="5373">
      <c r="B5373" s="223" t="s">
        <v>200</v>
      </c>
      <c r="C5373" s="223"/>
      <c r="D5373" s="316"/>
      <c r="H5373" s="223">
        <v>0.0</v>
      </c>
      <c r="K5373" s="317"/>
    </row>
    <row r="5374">
      <c r="B5374" s="223" t="s">
        <v>200</v>
      </c>
      <c r="C5374" s="223"/>
      <c r="D5374" s="316"/>
      <c r="H5374" s="223">
        <v>0.0</v>
      </c>
      <c r="K5374" s="317"/>
    </row>
    <row r="5375">
      <c r="B5375" s="223" t="s">
        <v>200</v>
      </c>
      <c r="C5375" s="223"/>
      <c r="D5375" s="316"/>
      <c r="H5375" s="223">
        <v>0.0</v>
      </c>
      <c r="K5375" s="317"/>
    </row>
    <row r="5376">
      <c r="B5376" s="223" t="s">
        <v>200</v>
      </c>
      <c r="C5376" s="223"/>
      <c r="D5376" s="316"/>
      <c r="H5376" s="223">
        <v>0.0</v>
      </c>
      <c r="K5376" s="317"/>
    </row>
    <row r="5377">
      <c r="B5377" s="223" t="s">
        <v>200</v>
      </c>
      <c r="C5377" s="223"/>
      <c r="D5377" s="316"/>
      <c r="H5377" s="223">
        <v>0.0</v>
      </c>
      <c r="K5377" s="317"/>
    </row>
    <row r="5378">
      <c r="B5378" s="223" t="s">
        <v>200</v>
      </c>
      <c r="C5378" s="223"/>
      <c r="D5378" s="316"/>
      <c r="H5378" s="223">
        <v>0.0</v>
      </c>
      <c r="K5378" s="317"/>
    </row>
    <row r="5379">
      <c r="B5379" s="223" t="s">
        <v>200</v>
      </c>
      <c r="C5379" s="223"/>
      <c r="D5379" s="316"/>
      <c r="H5379" s="223">
        <v>0.0</v>
      </c>
      <c r="K5379" s="317"/>
    </row>
    <row r="5380">
      <c r="B5380" s="223" t="s">
        <v>200</v>
      </c>
      <c r="C5380" s="223"/>
      <c r="D5380" s="316"/>
      <c r="H5380" s="223">
        <v>0.0</v>
      </c>
      <c r="K5380" s="317"/>
    </row>
    <row r="5381">
      <c r="B5381" s="223" t="s">
        <v>200</v>
      </c>
      <c r="C5381" s="223"/>
      <c r="D5381" s="316"/>
      <c r="H5381" s="223">
        <v>0.0</v>
      </c>
      <c r="K5381" s="317"/>
    </row>
    <row r="5382">
      <c r="B5382" s="223" t="s">
        <v>200</v>
      </c>
      <c r="C5382" s="223"/>
      <c r="D5382" s="316"/>
      <c r="H5382" s="223">
        <v>0.0</v>
      </c>
      <c r="K5382" s="317"/>
    </row>
    <row r="5383">
      <c r="B5383" s="223" t="s">
        <v>200</v>
      </c>
      <c r="C5383" s="223"/>
      <c r="D5383" s="316"/>
      <c r="H5383" s="223">
        <v>0.0</v>
      </c>
      <c r="K5383" s="317"/>
    </row>
    <row r="5384">
      <c r="B5384" s="223" t="s">
        <v>200</v>
      </c>
      <c r="C5384" s="223"/>
      <c r="D5384" s="316"/>
      <c r="H5384" s="223">
        <v>0.0</v>
      </c>
      <c r="K5384" s="317"/>
    </row>
    <row r="5385">
      <c r="B5385" s="223" t="s">
        <v>200</v>
      </c>
      <c r="C5385" s="223"/>
      <c r="D5385" s="316"/>
      <c r="H5385" s="223">
        <v>0.0</v>
      </c>
      <c r="K5385" s="317"/>
    </row>
    <row r="5386">
      <c r="B5386" s="223" t="s">
        <v>200</v>
      </c>
      <c r="C5386" s="223"/>
      <c r="D5386" s="316"/>
      <c r="H5386" s="223">
        <v>0.0</v>
      </c>
      <c r="K5386" s="317"/>
    </row>
    <row r="5387">
      <c r="B5387" s="223" t="s">
        <v>200</v>
      </c>
      <c r="C5387" s="223"/>
      <c r="D5387" s="316"/>
      <c r="H5387" s="223">
        <v>0.0</v>
      </c>
      <c r="K5387" s="317"/>
    </row>
    <row r="5388">
      <c r="B5388" s="223" t="s">
        <v>200</v>
      </c>
      <c r="C5388" s="223"/>
      <c r="D5388" s="316"/>
      <c r="H5388" s="223">
        <v>0.0</v>
      </c>
      <c r="K5388" s="317"/>
    </row>
    <row r="5389">
      <c r="B5389" s="223" t="s">
        <v>200</v>
      </c>
      <c r="C5389" s="223"/>
      <c r="D5389" s="316"/>
      <c r="H5389" s="223">
        <v>0.0</v>
      </c>
      <c r="K5389" s="317"/>
    </row>
    <row r="5390">
      <c r="B5390" s="223" t="s">
        <v>200</v>
      </c>
      <c r="C5390" s="223"/>
      <c r="D5390" s="316"/>
      <c r="H5390" s="223">
        <v>0.0</v>
      </c>
      <c r="K5390" s="317"/>
    </row>
    <row r="5391">
      <c r="B5391" s="223" t="s">
        <v>200</v>
      </c>
      <c r="C5391" s="223"/>
      <c r="D5391" s="316"/>
      <c r="H5391" s="223">
        <v>0.0</v>
      </c>
      <c r="K5391" s="317"/>
    </row>
    <row r="5392">
      <c r="B5392" s="223" t="s">
        <v>200</v>
      </c>
      <c r="C5392" s="223"/>
      <c r="D5392" s="316"/>
      <c r="H5392" s="223">
        <v>0.0</v>
      </c>
      <c r="K5392" s="317"/>
    </row>
    <row r="5393">
      <c r="B5393" s="223" t="s">
        <v>200</v>
      </c>
      <c r="C5393" s="223"/>
      <c r="D5393" s="316"/>
      <c r="H5393" s="223">
        <v>0.0</v>
      </c>
      <c r="K5393" s="317"/>
    </row>
    <row r="5394">
      <c r="B5394" s="223" t="s">
        <v>200</v>
      </c>
      <c r="C5394" s="223"/>
      <c r="D5394" s="316"/>
      <c r="H5394" s="223">
        <v>0.0</v>
      </c>
      <c r="K5394" s="317"/>
    </row>
    <row r="5395">
      <c r="B5395" s="223" t="s">
        <v>200</v>
      </c>
      <c r="C5395" s="223"/>
      <c r="D5395" s="316"/>
      <c r="H5395" s="223">
        <v>0.0</v>
      </c>
      <c r="K5395" s="317"/>
    </row>
    <row r="5396">
      <c r="B5396" s="223" t="s">
        <v>200</v>
      </c>
      <c r="C5396" s="223"/>
      <c r="D5396" s="316"/>
      <c r="H5396" s="223">
        <v>0.0</v>
      </c>
      <c r="K5396" s="317"/>
    </row>
    <row r="5397">
      <c r="B5397" s="223" t="s">
        <v>200</v>
      </c>
      <c r="C5397" s="223"/>
      <c r="D5397" s="316"/>
      <c r="H5397" s="223">
        <v>0.0</v>
      </c>
      <c r="K5397" s="317"/>
    </row>
    <row r="5398">
      <c r="B5398" s="223" t="s">
        <v>200</v>
      </c>
      <c r="C5398" s="223"/>
      <c r="D5398" s="316"/>
      <c r="H5398" s="223">
        <v>0.0</v>
      </c>
      <c r="K5398" s="317"/>
    </row>
    <row r="5399">
      <c r="B5399" s="223" t="s">
        <v>200</v>
      </c>
      <c r="C5399" s="223"/>
      <c r="D5399" s="316"/>
      <c r="H5399" s="223">
        <v>0.0</v>
      </c>
      <c r="K5399" s="317"/>
    </row>
    <row r="5400">
      <c r="B5400" s="223" t="s">
        <v>200</v>
      </c>
      <c r="C5400" s="223"/>
      <c r="D5400" s="316"/>
      <c r="H5400" s="223">
        <v>0.0</v>
      </c>
      <c r="K5400" s="317"/>
    </row>
    <row r="5401">
      <c r="B5401" s="223" t="s">
        <v>200</v>
      </c>
      <c r="C5401" s="223"/>
      <c r="D5401" s="316"/>
      <c r="H5401" s="223">
        <v>0.0</v>
      </c>
      <c r="K5401" s="317"/>
    </row>
    <row r="5402">
      <c r="B5402" s="223" t="s">
        <v>200</v>
      </c>
      <c r="C5402" s="223"/>
      <c r="D5402" s="316"/>
      <c r="H5402" s="223">
        <v>0.0</v>
      </c>
      <c r="K5402" s="317"/>
    </row>
    <row r="5403">
      <c r="B5403" s="223" t="s">
        <v>200</v>
      </c>
      <c r="C5403" s="223"/>
      <c r="D5403" s="316"/>
      <c r="H5403" s="223">
        <v>0.0</v>
      </c>
      <c r="K5403" s="317"/>
    </row>
    <row r="5404">
      <c r="B5404" s="223" t="s">
        <v>200</v>
      </c>
      <c r="C5404" s="223"/>
      <c r="D5404" s="316"/>
      <c r="H5404" s="223">
        <v>0.0</v>
      </c>
      <c r="K5404" s="317"/>
    </row>
    <row r="5405">
      <c r="B5405" s="223" t="s">
        <v>200</v>
      </c>
      <c r="C5405" s="223"/>
      <c r="D5405" s="316"/>
      <c r="H5405" s="223">
        <v>0.0</v>
      </c>
      <c r="K5405" s="317"/>
    </row>
    <row r="5406">
      <c r="B5406" s="223" t="s">
        <v>200</v>
      </c>
      <c r="C5406" s="223"/>
      <c r="D5406" s="316"/>
      <c r="H5406" s="223">
        <v>0.0</v>
      </c>
      <c r="K5406" s="317"/>
    </row>
    <row r="5407">
      <c r="B5407" s="223" t="s">
        <v>200</v>
      </c>
      <c r="C5407" s="223"/>
      <c r="D5407" s="316"/>
      <c r="H5407" s="223">
        <v>0.0</v>
      </c>
      <c r="K5407" s="317"/>
    </row>
    <row r="5408">
      <c r="B5408" s="223" t="s">
        <v>200</v>
      </c>
      <c r="C5408" s="223"/>
      <c r="D5408" s="316"/>
      <c r="H5408" s="223">
        <v>0.0</v>
      </c>
      <c r="K5408" s="317"/>
    </row>
    <row r="5409">
      <c r="B5409" s="223" t="s">
        <v>200</v>
      </c>
      <c r="C5409" s="223"/>
      <c r="D5409" s="316"/>
      <c r="H5409" s="223">
        <v>0.0</v>
      </c>
      <c r="K5409" s="317"/>
    </row>
    <row r="5410">
      <c r="B5410" s="223" t="s">
        <v>200</v>
      </c>
      <c r="C5410" s="223"/>
      <c r="D5410" s="316"/>
      <c r="H5410" s="223">
        <v>0.0</v>
      </c>
      <c r="K5410" s="317"/>
    </row>
    <row r="5411">
      <c r="B5411" s="223" t="s">
        <v>200</v>
      </c>
      <c r="C5411" s="223"/>
      <c r="D5411" s="316"/>
      <c r="H5411" s="223">
        <v>0.0</v>
      </c>
      <c r="K5411" s="317"/>
    </row>
    <row r="5412">
      <c r="B5412" s="223" t="s">
        <v>200</v>
      </c>
      <c r="C5412" s="223"/>
      <c r="D5412" s="316"/>
      <c r="H5412" s="223">
        <v>0.0</v>
      </c>
      <c r="K5412" s="317"/>
    </row>
    <row r="5413">
      <c r="B5413" s="223" t="s">
        <v>200</v>
      </c>
      <c r="C5413" s="223"/>
      <c r="D5413" s="316"/>
      <c r="H5413" s="223">
        <v>0.0</v>
      </c>
      <c r="K5413" s="317"/>
    </row>
    <row r="5414">
      <c r="B5414" s="223" t="s">
        <v>200</v>
      </c>
      <c r="C5414" s="223"/>
      <c r="D5414" s="316"/>
      <c r="H5414" s="223">
        <v>0.0</v>
      </c>
      <c r="K5414" s="317"/>
    </row>
    <row r="5415">
      <c r="B5415" s="223" t="s">
        <v>200</v>
      </c>
      <c r="C5415" s="223"/>
      <c r="D5415" s="316"/>
      <c r="H5415" s="223">
        <v>0.0</v>
      </c>
      <c r="K5415" s="317"/>
    </row>
    <row r="5416">
      <c r="B5416" s="223" t="s">
        <v>200</v>
      </c>
      <c r="C5416" s="223"/>
      <c r="D5416" s="316"/>
      <c r="H5416" s="223">
        <v>0.0</v>
      </c>
      <c r="K5416" s="317"/>
    </row>
    <row r="5417">
      <c r="B5417" s="223" t="s">
        <v>200</v>
      </c>
      <c r="C5417" s="223"/>
      <c r="D5417" s="316"/>
      <c r="H5417" s="223">
        <v>0.0</v>
      </c>
      <c r="K5417" s="317"/>
    </row>
    <row r="5418">
      <c r="B5418" s="223" t="s">
        <v>200</v>
      </c>
      <c r="C5418" s="223"/>
      <c r="D5418" s="316"/>
      <c r="H5418" s="223">
        <v>0.0</v>
      </c>
      <c r="K5418" s="317"/>
    </row>
    <row r="5419">
      <c r="B5419" s="223" t="s">
        <v>200</v>
      </c>
      <c r="C5419" s="223"/>
      <c r="D5419" s="316"/>
      <c r="H5419" s="223">
        <v>0.0</v>
      </c>
      <c r="K5419" s="317"/>
    </row>
    <row r="5420">
      <c r="B5420" s="223" t="s">
        <v>200</v>
      </c>
      <c r="C5420" s="223"/>
      <c r="D5420" s="316"/>
      <c r="H5420" s="223">
        <v>0.0</v>
      </c>
      <c r="K5420" s="317"/>
    </row>
    <row r="5421">
      <c r="B5421" s="223" t="s">
        <v>200</v>
      </c>
      <c r="C5421" s="223"/>
      <c r="D5421" s="316"/>
      <c r="H5421" s="223">
        <v>0.0</v>
      </c>
      <c r="K5421" s="317"/>
    </row>
    <row r="5422">
      <c r="B5422" s="223" t="s">
        <v>200</v>
      </c>
      <c r="C5422" s="223"/>
      <c r="D5422" s="316"/>
      <c r="H5422" s="223">
        <v>0.0</v>
      </c>
      <c r="K5422" s="317"/>
    </row>
    <row r="5423">
      <c r="B5423" s="223" t="s">
        <v>200</v>
      </c>
      <c r="C5423" s="223"/>
      <c r="D5423" s="316"/>
      <c r="H5423" s="223">
        <v>0.0</v>
      </c>
      <c r="K5423" s="317"/>
    </row>
    <row r="5424">
      <c r="B5424" s="223" t="s">
        <v>200</v>
      </c>
      <c r="C5424" s="223"/>
      <c r="D5424" s="316"/>
      <c r="H5424" s="223">
        <v>0.0</v>
      </c>
      <c r="K5424" s="317"/>
    </row>
    <row r="5425">
      <c r="B5425" s="223" t="s">
        <v>200</v>
      </c>
      <c r="C5425" s="223"/>
      <c r="D5425" s="316"/>
      <c r="H5425" s="223">
        <v>0.0</v>
      </c>
      <c r="K5425" s="317"/>
    </row>
    <row r="5426">
      <c r="B5426" s="223" t="s">
        <v>200</v>
      </c>
      <c r="C5426" s="223"/>
      <c r="D5426" s="316"/>
      <c r="H5426" s="223">
        <v>0.0</v>
      </c>
      <c r="K5426" s="317"/>
    </row>
    <row r="5427">
      <c r="B5427" s="223" t="s">
        <v>200</v>
      </c>
      <c r="C5427" s="223"/>
      <c r="D5427" s="316"/>
      <c r="H5427" s="223">
        <v>0.0</v>
      </c>
      <c r="K5427" s="317"/>
    </row>
    <row r="5428">
      <c r="B5428" s="223" t="s">
        <v>200</v>
      </c>
      <c r="C5428" s="223"/>
      <c r="D5428" s="316"/>
      <c r="H5428" s="223">
        <v>0.0</v>
      </c>
      <c r="K5428" s="317"/>
    </row>
    <row r="5429">
      <c r="B5429" s="223" t="s">
        <v>200</v>
      </c>
      <c r="C5429" s="223"/>
      <c r="D5429" s="316"/>
      <c r="H5429" s="223">
        <v>0.0</v>
      </c>
      <c r="K5429" s="317"/>
    </row>
    <row r="5430">
      <c r="B5430" s="223" t="s">
        <v>200</v>
      </c>
      <c r="C5430" s="223"/>
      <c r="D5430" s="316"/>
      <c r="H5430" s="223">
        <v>0.0</v>
      </c>
      <c r="K5430" s="317"/>
    </row>
    <row r="5431">
      <c r="B5431" s="223" t="s">
        <v>200</v>
      </c>
      <c r="C5431" s="223"/>
      <c r="D5431" s="316"/>
      <c r="H5431" s="223">
        <v>0.0</v>
      </c>
      <c r="K5431" s="317"/>
    </row>
    <row r="5432">
      <c r="B5432" s="223" t="s">
        <v>200</v>
      </c>
      <c r="C5432" s="223"/>
      <c r="D5432" s="316"/>
      <c r="H5432" s="223">
        <v>0.0</v>
      </c>
      <c r="K5432" s="317"/>
    </row>
    <row r="5433">
      <c r="B5433" s="223" t="s">
        <v>200</v>
      </c>
      <c r="C5433" s="223"/>
      <c r="D5433" s="316"/>
      <c r="H5433" s="223">
        <v>0.0</v>
      </c>
      <c r="K5433" s="317"/>
    </row>
    <row r="5434">
      <c r="B5434" s="223" t="s">
        <v>200</v>
      </c>
      <c r="C5434" s="223"/>
      <c r="D5434" s="316"/>
      <c r="H5434" s="223">
        <v>0.0</v>
      </c>
      <c r="K5434" s="317"/>
    </row>
    <row r="5435">
      <c r="B5435" s="223" t="s">
        <v>200</v>
      </c>
      <c r="C5435" s="223"/>
      <c r="D5435" s="316"/>
      <c r="H5435" s="223">
        <v>0.0</v>
      </c>
      <c r="K5435" s="317"/>
    </row>
    <row r="5436">
      <c r="B5436" s="223" t="s">
        <v>200</v>
      </c>
      <c r="C5436" s="223"/>
      <c r="D5436" s="316"/>
      <c r="H5436" s="223">
        <v>0.0</v>
      </c>
      <c r="K5436" s="317"/>
    </row>
    <row r="5437">
      <c r="B5437" s="223" t="s">
        <v>200</v>
      </c>
      <c r="C5437" s="223"/>
      <c r="D5437" s="316"/>
      <c r="H5437" s="223">
        <v>0.0</v>
      </c>
      <c r="K5437" s="317"/>
    </row>
    <row r="5438">
      <c r="B5438" s="223" t="s">
        <v>200</v>
      </c>
      <c r="C5438" s="223"/>
      <c r="D5438" s="316"/>
      <c r="H5438" s="223">
        <v>0.0</v>
      </c>
      <c r="K5438" s="317"/>
    </row>
    <row r="5439">
      <c r="B5439" s="223" t="s">
        <v>200</v>
      </c>
      <c r="C5439" s="223"/>
      <c r="D5439" s="316"/>
      <c r="H5439" s="223">
        <v>0.0</v>
      </c>
      <c r="K5439" s="317"/>
    </row>
    <row r="5440">
      <c r="B5440" s="223" t="s">
        <v>200</v>
      </c>
      <c r="C5440" s="223"/>
      <c r="D5440" s="316"/>
      <c r="H5440" s="223">
        <v>0.0</v>
      </c>
      <c r="K5440" s="317"/>
    </row>
    <row r="5441">
      <c r="B5441" s="223" t="s">
        <v>200</v>
      </c>
      <c r="C5441" s="223"/>
      <c r="D5441" s="316"/>
      <c r="H5441" s="223">
        <v>0.0</v>
      </c>
      <c r="K5441" s="317"/>
    </row>
    <row r="5442">
      <c r="B5442" s="223" t="s">
        <v>200</v>
      </c>
      <c r="C5442" s="223"/>
      <c r="D5442" s="316"/>
      <c r="H5442" s="223">
        <v>0.0</v>
      </c>
      <c r="K5442" s="317"/>
    </row>
    <row r="5443">
      <c r="B5443" s="223" t="s">
        <v>200</v>
      </c>
      <c r="C5443" s="223"/>
      <c r="D5443" s="316"/>
      <c r="H5443" s="223">
        <v>0.0</v>
      </c>
      <c r="K5443" s="317"/>
    </row>
    <row r="5444">
      <c r="B5444" s="223" t="s">
        <v>200</v>
      </c>
      <c r="C5444" s="223"/>
      <c r="D5444" s="316"/>
      <c r="H5444" s="223">
        <v>0.0</v>
      </c>
      <c r="K5444" s="317"/>
    </row>
    <row r="5445">
      <c r="B5445" s="223" t="s">
        <v>200</v>
      </c>
      <c r="C5445" s="223"/>
      <c r="D5445" s="316"/>
      <c r="H5445" s="223">
        <v>0.0</v>
      </c>
      <c r="K5445" s="317"/>
    </row>
    <row r="5446">
      <c r="B5446" s="223" t="s">
        <v>200</v>
      </c>
      <c r="C5446" s="223"/>
      <c r="D5446" s="316"/>
      <c r="H5446" s="223">
        <v>0.0</v>
      </c>
      <c r="K5446" s="317"/>
    </row>
    <row r="5447">
      <c r="B5447" s="223" t="s">
        <v>200</v>
      </c>
      <c r="C5447" s="223"/>
      <c r="D5447" s="316"/>
      <c r="H5447" s="223">
        <v>0.0</v>
      </c>
      <c r="K5447" s="317"/>
    </row>
    <row r="5448">
      <c r="B5448" s="223" t="s">
        <v>200</v>
      </c>
      <c r="C5448" s="223"/>
      <c r="D5448" s="316"/>
      <c r="H5448" s="223">
        <v>0.0</v>
      </c>
      <c r="K5448" s="317"/>
    </row>
    <row r="5449">
      <c r="B5449" s="223" t="s">
        <v>200</v>
      </c>
      <c r="C5449" s="223"/>
      <c r="D5449" s="316"/>
      <c r="H5449" s="223">
        <v>0.0</v>
      </c>
      <c r="K5449" s="317"/>
    </row>
    <row r="5450">
      <c r="B5450" s="223" t="s">
        <v>200</v>
      </c>
      <c r="C5450" s="223"/>
      <c r="D5450" s="316"/>
      <c r="H5450" s="223">
        <v>0.0</v>
      </c>
      <c r="K5450" s="317"/>
    </row>
    <row r="5451">
      <c r="B5451" s="223" t="s">
        <v>200</v>
      </c>
      <c r="C5451" s="223"/>
      <c r="D5451" s="316"/>
      <c r="H5451" s="223">
        <v>0.0</v>
      </c>
      <c r="K5451" s="317"/>
    </row>
    <row r="5452">
      <c r="B5452" s="223" t="s">
        <v>200</v>
      </c>
      <c r="C5452" s="223"/>
      <c r="D5452" s="316"/>
      <c r="H5452" s="223">
        <v>0.0</v>
      </c>
      <c r="K5452" s="317"/>
    </row>
    <row r="5453">
      <c r="B5453" s="223" t="s">
        <v>200</v>
      </c>
      <c r="C5453" s="223"/>
      <c r="D5453" s="316"/>
      <c r="H5453" s="223">
        <v>0.0</v>
      </c>
      <c r="K5453" s="317"/>
    </row>
    <row r="5454">
      <c r="B5454" s="223" t="s">
        <v>200</v>
      </c>
      <c r="C5454" s="223"/>
      <c r="D5454" s="316"/>
      <c r="H5454" s="223">
        <v>0.0</v>
      </c>
      <c r="K5454" s="317"/>
    </row>
    <row r="5455">
      <c r="B5455" s="223" t="s">
        <v>200</v>
      </c>
      <c r="C5455" s="223"/>
      <c r="D5455" s="316"/>
      <c r="H5455" s="223">
        <v>0.0</v>
      </c>
      <c r="K5455" s="317"/>
    </row>
    <row r="5456">
      <c r="B5456" s="223" t="s">
        <v>200</v>
      </c>
      <c r="C5456" s="223"/>
      <c r="D5456" s="316"/>
      <c r="H5456" s="223">
        <v>0.0</v>
      </c>
      <c r="K5456" s="317"/>
    </row>
    <row r="5457">
      <c r="B5457" s="223" t="s">
        <v>200</v>
      </c>
      <c r="C5457" s="223"/>
      <c r="D5457" s="316"/>
      <c r="H5457" s="223">
        <v>0.0</v>
      </c>
      <c r="K5457" s="317"/>
    </row>
    <row r="5458">
      <c r="B5458" s="223" t="s">
        <v>200</v>
      </c>
      <c r="C5458" s="223"/>
      <c r="D5458" s="316"/>
      <c r="H5458" s="223">
        <v>0.0</v>
      </c>
      <c r="K5458" s="317"/>
    </row>
    <row r="5459">
      <c r="B5459" s="223" t="s">
        <v>200</v>
      </c>
      <c r="C5459" s="223"/>
      <c r="D5459" s="316"/>
      <c r="H5459" s="223">
        <v>0.0</v>
      </c>
      <c r="K5459" s="317"/>
    </row>
    <row r="5460">
      <c r="B5460" s="223" t="s">
        <v>200</v>
      </c>
      <c r="C5460" s="223"/>
      <c r="D5460" s="316"/>
      <c r="H5460" s="223">
        <v>0.0</v>
      </c>
      <c r="K5460" s="317"/>
    </row>
    <row r="5461">
      <c r="B5461" s="223" t="s">
        <v>200</v>
      </c>
      <c r="C5461" s="223"/>
      <c r="D5461" s="316"/>
      <c r="H5461" s="223">
        <v>0.0</v>
      </c>
      <c r="K5461" s="317"/>
    </row>
    <row r="5462">
      <c r="B5462" s="223" t="s">
        <v>200</v>
      </c>
      <c r="C5462" s="223"/>
      <c r="D5462" s="316"/>
      <c r="H5462" s="223">
        <v>0.0</v>
      </c>
      <c r="K5462" s="317"/>
    </row>
    <row r="5463">
      <c r="B5463" s="223" t="s">
        <v>200</v>
      </c>
      <c r="C5463" s="223"/>
      <c r="D5463" s="316"/>
      <c r="H5463" s="223">
        <v>0.0</v>
      </c>
      <c r="K5463" s="317"/>
    </row>
    <row r="5464">
      <c r="B5464" s="223" t="s">
        <v>200</v>
      </c>
      <c r="C5464" s="223"/>
      <c r="D5464" s="316"/>
      <c r="H5464" s="223">
        <v>0.0</v>
      </c>
      <c r="K5464" s="317"/>
    </row>
    <row r="5465">
      <c r="B5465" s="223" t="s">
        <v>200</v>
      </c>
      <c r="C5465" s="223"/>
      <c r="D5465" s="316"/>
      <c r="H5465" s="223">
        <v>0.0</v>
      </c>
      <c r="K5465" s="317"/>
    </row>
    <row r="5466">
      <c r="B5466" s="223" t="s">
        <v>200</v>
      </c>
      <c r="C5466" s="223"/>
      <c r="D5466" s="316"/>
      <c r="H5466" s="223">
        <v>0.0</v>
      </c>
      <c r="K5466" s="317"/>
    </row>
    <row r="5467">
      <c r="B5467" s="223" t="s">
        <v>200</v>
      </c>
      <c r="C5467" s="223"/>
      <c r="D5467" s="316"/>
      <c r="H5467" s="223">
        <v>0.0</v>
      </c>
      <c r="K5467" s="317"/>
    </row>
    <row r="5468">
      <c r="B5468" s="223" t="s">
        <v>200</v>
      </c>
      <c r="C5468" s="223"/>
      <c r="D5468" s="316"/>
      <c r="H5468" s="223">
        <v>0.0</v>
      </c>
      <c r="K5468" s="317"/>
    </row>
    <row r="5469">
      <c r="B5469" s="223" t="s">
        <v>200</v>
      </c>
      <c r="C5469" s="223"/>
      <c r="D5469" s="316"/>
      <c r="H5469" s="223">
        <v>0.0</v>
      </c>
      <c r="K5469" s="317"/>
    </row>
    <row r="5470">
      <c r="B5470" s="223" t="s">
        <v>200</v>
      </c>
      <c r="C5470" s="223"/>
      <c r="D5470" s="316"/>
      <c r="H5470" s="223">
        <v>0.0</v>
      </c>
      <c r="K5470" s="317"/>
    </row>
    <row r="5471">
      <c r="B5471" s="223" t="s">
        <v>200</v>
      </c>
      <c r="C5471" s="223"/>
      <c r="D5471" s="316"/>
      <c r="H5471" s="223">
        <v>0.0</v>
      </c>
      <c r="K5471" s="317"/>
    </row>
    <row r="5472">
      <c r="B5472" s="223" t="s">
        <v>200</v>
      </c>
      <c r="C5472" s="223"/>
      <c r="D5472" s="316"/>
      <c r="H5472" s="223">
        <v>0.0</v>
      </c>
      <c r="K5472" s="317"/>
    </row>
    <row r="5473">
      <c r="B5473" s="223" t="s">
        <v>200</v>
      </c>
      <c r="C5473" s="223"/>
      <c r="D5473" s="316"/>
      <c r="H5473" s="223">
        <v>0.0</v>
      </c>
      <c r="K5473" s="317"/>
    </row>
    <row r="5474">
      <c r="B5474" s="223" t="s">
        <v>200</v>
      </c>
      <c r="C5474" s="223"/>
      <c r="D5474" s="316"/>
      <c r="H5474" s="223">
        <v>0.0</v>
      </c>
      <c r="K5474" s="317"/>
    </row>
    <row r="5475">
      <c r="B5475" s="223" t="s">
        <v>200</v>
      </c>
      <c r="C5475" s="223"/>
      <c r="D5475" s="316"/>
      <c r="H5475" s="223">
        <v>0.0</v>
      </c>
      <c r="K5475" s="317"/>
    </row>
    <row r="5476">
      <c r="B5476" s="223" t="s">
        <v>200</v>
      </c>
      <c r="C5476" s="223"/>
      <c r="D5476" s="316"/>
      <c r="H5476" s="223">
        <v>0.0</v>
      </c>
      <c r="K5476" s="317"/>
    </row>
    <row r="5477">
      <c r="B5477" s="223" t="s">
        <v>200</v>
      </c>
      <c r="C5477" s="223"/>
      <c r="D5477" s="316"/>
      <c r="H5477" s="223">
        <v>0.0</v>
      </c>
      <c r="K5477" s="317"/>
    </row>
    <row r="5478">
      <c r="B5478" s="223" t="s">
        <v>200</v>
      </c>
      <c r="C5478" s="223"/>
      <c r="D5478" s="316"/>
      <c r="H5478" s="223">
        <v>0.0</v>
      </c>
      <c r="K5478" s="317"/>
    </row>
    <row r="5479">
      <c r="B5479" s="223" t="s">
        <v>200</v>
      </c>
      <c r="C5479" s="223"/>
      <c r="D5479" s="316"/>
      <c r="H5479" s="223">
        <v>0.0</v>
      </c>
      <c r="K5479" s="317"/>
    </row>
    <row r="5480">
      <c r="B5480" s="223" t="s">
        <v>200</v>
      </c>
      <c r="C5480" s="223"/>
      <c r="D5480" s="316"/>
      <c r="H5480" s="223">
        <v>0.0</v>
      </c>
      <c r="K5480" s="317"/>
    </row>
    <row r="5481">
      <c r="B5481" s="223" t="s">
        <v>200</v>
      </c>
      <c r="C5481" s="223"/>
      <c r="D5481" s="316"/>
      <c r="H5481" s="223">
        <v>0.0</v>
      </c>
      <c r="K5481" s="317"/>
    </row>
    <row r="5482">
      <c r="B5482" s="223" t="s">
        <v>200</v>
      </c>
      <c r="C5482" s="223"/>
      <c r="D5482" s="316"/>
      <c r="H5482" s="223">
        <v>0.0</v>
      </c>
      <c r="K5482" s="317"/>
    </row>
    <row r="5483">
      <c r="B5483" s="223" t="s">
        <v>200</v>
      </c>
      <c r="C5483" s="223"/>
      <c r="D5483" s="316"/>
      <c r="H5483" s="223">
        <v>0.0</v>
      </c>
      <c r="K5483" s="317"/>
    </row>
    <row r="5484">
      <c r="B5484" s="223" t="s">
        <v>200</v>
      </c>
      <c r="C5484" s="223"/>
      <c r="D5484" s="316"/>
      <c r="H5484" s="223">
        <v>0.0</v>
      </c>
      <c r="K5484" s="317"/>
    </row>
    <row r="5485">
      <c r="B5485" s="223" t="s">
        <v>200</v>
      </c>
      <c r="C5485" s="223"/>
      <c r="D5485" s="316"/>
      <c r="H5485" s="223">
        <v>0.0</v>
      </c>
      <c r="K5485" s="317"/>
    </row>
    <row r="5486">
      <c r="B5486" s="223" t="s">
        <v>200</v>
      </c>
      <c r="C5486" s="223"/>
      <c r="D5486" s="316"/>
      <c r="H5486" s="223">
        <v>0.0</v>
      </c>
      <c r="K5486" s="317"/>
    </row>
    <row r="5487">
      <c r="B5487" s="223" t="s">
        <v>200</v>
      </c>
      <c r="C5487" s="223"/>
      <c r="D5487" s="316"/>
      <c r="H5487" s="223">
        <v>0.0</v>
      </c>
      <c r="K5487" s="317"/>
    </row>
    <row r="5488">
      <c r="B5488" s="223" t="s">
        <v>200</v>
      </c>
      <c r="C5488" s="223"/>
      <c r="D5488" s="316"/>
      <c r="H5488" s="223">
        <v>0.0</v>
      </c>
      <c r="K5488" s="317"/>
    </row>
    <row r="5489">
      <c r="B5489" s="223" t="s">
        <v>200</v>
      </c>
      <c r="C5489" s="223"/>
      <c r="D5489" s="316"/>
      <c r="H5489" s="223">
        <v>0.0</v>
      </c>
      <c r="K5489" s="317"/>
    </row>
    <row r="5490">
      <c r="B5490" s="223" t="s">
        <v>200</v>
      </c>
      <c r="C5490" s="223"/>
      <c r="D5490" s="316"/>
      <c r="H5490" s="223">
        <v>0.0</v>
      </c>
      <c r="K5490" s="317"/>
    </row>
    <row r="5491">
      <c r="B5491" s="223" t="s">
        <v>200</v>
      </c>
      <c r="C5491" s="223"/>
      <c r="D5491" s="316"/>
      <c r="H5491" s="223">
        <v>0.0</v>
      </c>
      <c r="K5491" s="317"/>
    </row>
    <row r="5492">
      <c r="B5492" s="223" t="s">
        <v>200</v>
      </c>
      <c r="C5492" s="223"/>
      <c r="D5492" s="316"/>
      <c r="H5492" s="223">
        <v>0.0</v>
      </c>
      <c r="K5492" s="317"/>
    </row>
    <row r="5493">
      <c r="B5493" s="223" t="s">
        <v>200</v>
      </c>
      <c r="C5493" s="223"/>
      <c r="D5493" s="316"/>
      <c r="H5493" s="223">
        <v>0.0</v>
      </c>
      <c r="K5493" s="317"/>
    </row>
    <row r="5494">
      <c r="B5494" s="223" t="s">
        <v>200</v>
      </c>
      <c r="C5494" s="223"/>
      <c r="D5494" s="316"/>
      <c r="H5494" s="223">
        <v>0.0</v>
      </c>
      <c r="K5494" s="317"/>
    </row>
    <row r="5495">
      <c r="B5495" s="223" t="s">
        <v>200</v>
      </c>
      <c r="C5495" s="223"/>
      <c r="D5495" s="316"/>
      <c r="H5495" s="223">
        <v>0.0</v>
      </c>
      <c r="K5495" s="317"/>
    </row>
    <row r="5496">
      <c r="B5496" s="223" t="s">
        <v>200</v>
      </c>
      <c r="C5496" s="223"/>
      <c r="D5496" s="316"/>
      <c r="H5496" s="223">
        <v>0.0</v>
      </c>
      <c r="K5496" s="317"/>
    </row>
    <row r="5497">
      <c r="B5497" s="223" t="s">
        <v>200</v>
      </c>
      <c r="C5497" s="223"/>
      <c r="D5497" s="316"/>
      <c r="H5497" s="223">
        <v>0.0</v>
      </c>
      <c r="K5497" s="317"/>
    </row>
    <row r="5498">
      <c r="B5498" s="223" t="s">
        <v>200</v>
      </c>
      <c r="C5498" s="223"/>
      <c r="D5498" s="316"/>
      <c r="H5498" s="223">
        <v>0.0</v>
      </c>
      <c r="K5498" s="317"/>
    </row>
    <row r="5499">
      <c r="B5499" s="223" t="s">
        <v>200</v>
      </c>
      <c r="C5499" s="223"/>
      <c r="D5499" s="316"/>
      <c r="H5499" s="223">
        <v>0.0</v>
      </c>
      <c r="K5499" s="317"/>
    </row>
    <row r="5500">
      <c r="B5500" s="223" t="s">
        <v>200</v>
      </c>
      <c r="C5500" s="223"/>
      <c r="D5500" s="316"/>
      <c r="H5500" s="223">
        <v>0.0</v>
      </c>
      <c r="K5500" s="317"/>
    </row>
    <row r="5501">
      <c r="B5501" s="223" t="s">
        <v>200</v>
      </c>
      <c r="C5501" s="223"/>
      <c r="D5501" s="316"/>
      <c r="H5501" s="223">
        <v>0.0</v>
      </c>
      <c r="K5501" s="317"/>
    </row>
    <row r="5502">
      <c r="B5502" s="223" t="s">
        <v>200</v>
      </c>
      <c r="C5502" s="223"/>
      <c r="D5502" s="316"/>
      <c r="H5502" s="223">
        <v>0.0</v>
      </c>
      <c r="K5502" s="317"/>
    </row>
    <row r="5503">
      <c r="B5503" s="223" t="s">
        <v>200</v>
      </c>
      <c r="C5503" s="223"/>
      <c r="D5503" s="316"/>
      <c r="H5503" s="223">
        <v>0.0</v>
      </c>
      <c r="K5503" s="317"/>
    </row>
    <row r="5504">
      <c r="B5504" s="223" t="s">
        <v>200</v>
      </c>
      <c r="C5504" s="223"/>
      <c r="D5504" s="316"/>
      <c r="H5504" s="223">
        <v>0.0</v>
      </c>
      <c r="K5504" s="317"/>
    </row>
    <row r="5505">
      <c r="B5505" s="223" t="s">
        <v>200</v>
      </c>
      <c r="C5505" s="223"/>
      <c r="D5505" s="316"/>
      <c r="H5505" s="223">
        <v>0.0</v>
      </c>
      <c r="K5505" s="317"/>
    </row>
    <row r="5506">
      <c r="B5506" s="223" t="s">
        <v>200</v>
      </c>
      <c r="C5506" s="223"/>
      <c r="D5506" s="316"/>
      <c r="H5506" s="223">
        <v>0.0</v>
      </c>
      <c r="K5506" s="317"/>
    </row>
    <row r="5507">
      <c r="B5507" s="223" t="s">
        <v>200</v>
      </c>
      <c r="C5507" s="223"/>
      <c r="D5507" s="316"/>
      <c r="H5507" s="223">
        <v>0.0</v>
      </c>
      <c r="K5507" s="317"/>
    </row>
    <row r="5508">
      <c r="B5508" s="223" t="s">
        <v>200</v>
      </c>
      <c r="C5508" s="223"/>
      <c r="D5508" s="316"/>
      <c r="H5508" s="223">
        <v>0.0</v>
      </c>
      <c r="K5508" s="317"/>
    </row>
    <row r="5509">
      <c r="B5509" s="223" t="s">
        <v>200</v>
      </c>
      <c r="C5509" s="223"/>
      <c r="D5509" s="316"/>
      <c r="H5509" s="223">
        <v>0.0</v>
      </c>
      <c r="K5509" s="317"/>
    </row>
    <row r="5510">
      <c r="B5510" s="223" t="s">
        <v>200</v>
      </c>
      <c r="C5510" s="223"/>
      <c r="D5510" s="316"/>
      <c r="H5510" s="223">
        <v>0.0</v>
      </c>
      <c r="K5510" s="317"/>
    </row>
    <row r="5511">
      <c r="B5511" s="223" t="s">
        <v>200</v>
      </c>
      <c r="C5511" s="223"/>
      <c r="D5511" s="316"/>
      <c r="H5511" s="223">
        <v>0.0</v>
      </c>
      <c r="K5511" s="317"/>
    </row>
    <row r="5512">
      <c r="B5512" s="223" t="s">
        <v>200</v>
      </c>
      <c r="C5512" s="223"/>
      <c r="D5512" s="316"/>
      <c r="H5512" s="223">
        <v>0.0</v>
      </c>
      <c r="K5512" s="317"/>
    </row>
    <row r="5513">
      <c r="B5513" s="223" t="s">
        <v>200</v>
      </c>
      <c r="C5513" s="223"/>
      <c r="D5513" s="316"/>
      <c r="H5513" s="223">
        <v>0.0</v>
      </c>
      <c r="K5513" s="317"/>
    </row>
    <row r="5514">
      <c r="B5514" s="223" t="s">
        <v>200</v>
      </c>
      <c r="C5514" s="223"/>
      <c r="D5514" s="316"/>
      <c r="H5514" s="223">
        <v>0.0</v>
      </c>
      <c r="K5514" s="317"/>
    </row>
    <row r="5515">
      <c r="B5515" s="223" t="s">
        <v>200</v>
      </c>
      <c r="C5515" s="223"/>
      <c r="D5515" s="316"/>
      <c r="H5515" s="223">
        <v>0.0</v>
      </c>
      <c r="K5515" s="317"/>
    </row>
    <row r="5516">
      <c r="B5516" s="223" t="s">
        <v>200</v>
      </c>
      <c r="C5516" s="223"/>
      <c r="D5516" s="316"/>
      <c r="H5516" s="223">
        <v>0.0</v>
      </c>
      <c r="K5516" s="317"/>
    </row>
    <row r="5517">
      <c r="B5517" s="223" t="s">
        <v>200</v>
      </c>
      <c r="C5517" s="223"/>
      <c r="D5517" s="316"/>
      <c r="H5517" s="223">
        <v>0.0</v>
      </c>
      <c r="K5517" s="317"/>
    </row>
    <row r="5518">
      <c r="B5518" s="223" t="s">
        <v>200</v>
      </c>
      <c r="C5518" s="223"/>
      <c r="D5518" s="316"/>
      <c r="H5518" s="223">
        <v>0.0</v>
      </c>
      <c r="K5518" s="317"/>
    </row>
    <row r="5519">
      <c r="B5519" s="223" t="s">
        <v>200</v>
      </c>
      <c r="C5519" s="223"/>
      <c r="D5519" s="316"/>
      <c r="H5519" s="223">
        <v>0.0</v>
      </c>
      <c r="K5519" s="317"/>
    </row>
    <row r="5520">
      <c r="B5520" s="223" t="s">
        <v>200</v>
      </c>
      <c r="C5520" s="223"/>
      <c r="D5520" s="316"/>
      <c r="H5520" s="223">
        <v>0.0</v>
      </c>
      <c r="K5520" s="317"/>
    </row>
    <row r="5521">
      <c r="B5521" s="223" t="s">
        <v>200</v>
      </c>
      <c r="C5521" s="223"/>
      <c r="D5521" s="316"/>
      <c r="H5521" s="223">
        <v>0.0</v>
      </c>
      <c r="K5521" s="317"/>
    </row>
    <row r="5522">
      <c r="B5522" s="223" t="s">
        <v>200</v>
      </c>
      <c r="C5522" s="223"/>
      <c r="D5522" s="316"/>
      <c r="H5522" s="223">
        <v>0.0</v>
      </c>
      <c r="K5522" s="317"/>
    </row>
    <row r="5523">
      <c r="B5523" s="223" t="s">
        <v>200</v>
      </c>
      <c r="C5523" s="223"/>
      <c r="D5523" s="316"/>
      <c r="H5523" s="223">
        <v>0.0</v>
      </c>
      <c r="K5523" s="317"/>
    </row>
    <row r="5524">
      <c r="B5524" s="223" t="s">
        <v>200</v>
      </c>
      <c r="C5524" s="223"/>
      <c r="D5524" s="316"/>
      <c r="H5524" s="223">
        <v>0.0</v>
      </c>
      <c r="K5524" s="317"/>
    </row>
    <row r="5525">
      <c r="B5525" s="223" t="s">
        <v>200</v>
      </c>
      <c r="C5525" s="223"/>
      <c r="D5525" s="316"/>
      <c r="H5525" s="223">
        <v>0.0</v>
      </c>
      <c r="K5525" s="317"/>
    </row>
    <row r="5526">
      <c r="B5526" s="223" t="s">
        <v>200</v>
      </c>
      <c r="C5526" s="223"/>
      <c r="D5526" s="316"/>
      <c r="H5526" s="223">
        <v>0.0</v>
      </c>
      <c r="K5526" s="317"/>
    </row>
    <row r="5527">
      <c r="B5527" s="223" t="s">
        <v>200</v>
      </c>
      <c r="C5527" s="223"/>
      <c r="D5527" s="316"/>
      <c r="H5527" s="223">
        <v>0.0</v>
      </c>
      <c r="K5527" s="317"/>
    </row>
    <row r="5528">
      <c r="B5528" s="223" t="s">
        <v>200</v>
      </c>
      <c r="C5528" s="223"/>
      <c r="D5528" s="316"/>
      <c r="H5528" s="223">
        <v>0.0</v>
      </c>
      <c r="K5528" s="317"/>
    </row>
    <row r="5529">
      <c r="B5529" s="223" t="s">
        <v>200</v>
      </c>
      <c r="C5529" s="223"/>
      <c r="D5529" s="316"/>
      <c r="H5529" s="223">
        <v>0.0</v>
      </c>
      <c r="K5529" s="317"/>
    </row>
    <row r="5530">
      <c r="B5530" s="223" t="s">
        <v>200</v>
      </c>
      <c r="C5530" s="223"/>
      <c r="D5530" s="316"/>
      <c r="H5530" s="223">
        <v>0.0</v>
      </c>
      <c r="K5530" s="317"/>
    </row>
    <row r="5531">
      <c r="B5531" s="223" t="s">
        <v>200</v>
      </c>
      <c r="C5531" s="223"/>
      <c r="D5531" s="316"/>
      <c r="H5531" s="223">
        <v>0.0</v>
      </c>
      <c r="K5531" s="317"/>
    </row>
    <row r="5532">
      <c r="B5532" s="223" t="s">
        <v>200</v>
      </c>
      <c r="C5532" s="223"/>
      <c r="D5532" s="316"/>
      <c r="H5532" s="223">
        <v>0.0</v>
      </c>
      <c r="K5532" s="317"/>
    </row>
    <row r="5533">
      <c r="B5533" s="223" t="s">
        <v>200</v>
      </c>
      <c r="C5533" s="223"/>
      <c r="D5533" s="316"/>
      <c r="H5533" s="223">
        <v>0.0</v>
      </c>
      <c r="K5533" s="317"/>
    </row>
    <row r="5534">
      <c r="B5534" s="223" t="s">
        <v>200</v>
      </c>
      <c r="C5534" s="223"/>
      <c r="D5534" s="316"/>
      <c r="H5534" s="223">
        <v>0.0</v>
      </c>
      <c r="K5534" s="317"/>
    </row>
    <row r="5535">
      <c r="B5535" s="223" t="s">
        <v>200</v>
      </c>
      <c r="C5535" s="223"/>
      <c r="D5535" s="316"/>
      <c r="H5535" s="223">
        <v>0.0</v>
      </c>
      <c r="K5535" s="317"/>
    </row>
    <row r="5536">
      <c r="B5536" s="223" t="s">
        <v>200</v>
      </c>
      <c r="C5536" s="223"/>
      <c r="D5536" s="316"/>
      <c r="H5536" s="223">
        <v>0.0</v>
      </c>
      <c r="K5536" s="317"/>
    </row>
    <row r="5537">
      <c r="B5537" s="223" t="s">
        <v>200</v>
      </c>
      <c r="C5537" s="223"/>
      <c r="D5537" s="316"/>
      <c r="H5537" s="223">
        <v>0.0</v>
      </c>
      <c r="K5537" s="317"/>
    </row>
    <row r="5538">
      <c r="B5538" s="223" t="s">
        <v>200</v>
      </c>
      <c r="C5538" s="223"/>
      <c r="D5538" s="316"/>
      <c r="H5538" s="223">
        <v>0.0</v>
      </c>
      <c r="K5538" s="317"/>
    </row>
    <row r="5539">
      <c r="B5539" s="223" t="s">
        <v>200</v>
      </c>
      <c r="C5539" s="223"/>
      <c r="D5539" s="316"/>
      <c r="H5539" s="223">
        <v>0.0</v>
      </c>
      <c r="K5539" s="317"/>
    </row>
    <row r="5540">
      <c r="B5540" s="223" t="s">
        <v>200</v>
      </c>
      <c r="C5540" s="223"/>
      <c r="D5540" s="316"/>
      <c r="H5540" s="223">
        <v>0.0</v>
      </c>
      <c r="K5540" s="317"/>
    </row>
    <row r="5541">
      <c r="B5541" s="223" t="s">
        <v>200</v>
      </c>
      <c r="C5541" s="223"/>
      <c r="D5541" s="316"/>
      <c r="H5541" s="223">
        <v>0.0</v>
      </c>
      <c r="K5541" s="317"/>
    </row>
    <row r="5542">
      <c r="B5542" s="223" t="s">
        <v>200</v>
      </c>
      <c r="C5542" s="223"/>
      <c r="D5542" s="316"/>
      <c r="H5542" s="223">
        <v>0.0</v>
      </c>
      <c r="K5542" s="317"/>
    </row>
    <row r="5543">
      <c r="B5543" s="223" t="s">
        <v>200</v>
      </c>
      <c r="C5543" s="223"/>
      <c r="D5543" s="316"/>
      <c r="H5543" s="223">
        <v>0.0</v>
      </c>
      <c r="K5543" s="317"/>
    </row>
    <row r="5544">
      <c r="B5544" s="223" t="s">
        <v>200</v>
      </c>
      <c r="C5544" s="223"/>
      <c r="D5544" s="316"/>
      <c r="H5544" s="223">
        <v>0.0</v>
      </c>
      <c r="K5544" s="317"/>
    </row>
    <row r="5545">
      <c r="B5545" s="223" t="s">
        <v>200</v>
      </c>
      <c r="C5545" s="223"/>
      <c r="D5545" s="316"/>
      <c r="H5545" s="223">
        <v>0.0</v>
      </c>
      <c r="K5545" s="317"/>
    </row>
    <row r="5546">
      <c r="B5546" s="223" t="s">
        <v>200</v>
      </c>
      <c r="C5546" s="223"/>
      <c r="D5546" s="316"/>
      <c r="H5546" s="223">
        <v>0.0</v>
      </c>
      <c r="K5546" s="317"/>
    </row>
    <row r="5547">
      <c r="B5547" s="223" t="s">
        <v>200</v>
      </c>
      <c r="C5547" s="223"/>
      <c r="D5547" s="316"/>
      <c r="H5547" s="223">
        <v>0.0</v>
      </c>
      <c r="K5547" s="317"/>
    </row>
    <row r="5548">
      <c r="B5548" s="223" t="s">
        <v>200</v>
      </c>
      <c r="C5548" s="223"/>
      <c r="D5548" s="316"/>
      <c r="H5548" s="223">
        <v>0.0</v>
      </c>
      <c r="K5548" s="317"/>
    </row>
    <row r="5549">
      <c r="B5549" s="223" t="s">
        <v>200</v>
      </c>
      <c r="C5549" s="223"/>
      <c r="D5549" s="316"/>
      <c r="H5549" s="223">
        <v>0.0</v>
      </c>
      <c r="K5549" s="317"/>
    </row>
    <row r="5550">
      <c r="B5550" s="223" t="s">
        <v>200</v>
      </c>
      <c r="C5550" s="223"/>
      <c r="D5550" s="316"/>
      <c r="H5550" s="223">
        <v>0.0</v>
      </c>
      <c r="K5550" s="317"/>
    </row>
    <row r="5551">
      <c r="B5551" s="223" t="s">
        <v>200</v>
      </c>
      <c r="C5551" s="223"/>
      <c r="D5551" s="316"/>
      <c r="H5551" s="223">
        <v>0.0</v>
      </c>
      <c r="K5551" s="317"/>
    </row>
    <row r="5552">
      <c r="B5552" s="223" t="s">
        <v>200</v>
      </c>
      <c r="C5552" s="223"/>
      <c r="D5552" s="316"/>
      <c r="H5552" s="223">
        <v>0.0</v>
      </c>
      <c r="K5552" s="317"/>
    </row>
    <row r="5553">
      <c r="B5553" s="223" t="s">
        <v>200</v>
      </c>
      <c r="C5553" s="223"/>
      <c r="D5553" s="316"/>
      <c r="H5553" s="223">
        <v>0.0</v>
      </c>
      <c r="K5553" s="317"/>
    </row>
    <row r="5554">
      <c r="B5554" s="223" t="s">
        <v>200</v>
      </c>
      <c r="C5554" s="223"/>
      <c r="D5554" s="316"/>
      <c r="H5554" s="223">
        <v>0.0</v>
      </c>
      <c r="K5554" s="317"/>
    </row>
    <row r="5555">
      <c r="B5555" s="223" t="s">
        <v>200</v>
      </c>
      <c r="C5555" s="223"/>
      <c r="D5555" s="316"/>
      <c r="H5555" s="223">
        <v>0.0</v>
      </c>
      <c r="K5555" s="317"/>
    </row>
    <row r="5556">
      <c r="B5556" s="223" t="s">
        <v>200</v>
      </c>
      <c r="C5556" s="223"/>
      <c r="D5556" s="316"/>
      <c r="H5556" s="223">
        <v>0.0</v>
      </c>
      <c r="K5556" s="317"/>
    </row>
    <row r="5557">
      <c r="B5557" s="223" t="s">
        <v>200</v>
      </c>
      <c r="C5557" s="223"/>
      <c r="D5557" s="316"/>
      <c r="H5557" s="223">
        <v>0.0</v>
      </c>
      <c r="K5557" s="317"/>
    </row>
    <row r="5558">
      <c r="B5558" s="223" t="s">
        <v>200</v>
      </c>
      <c r="C5558" s="223"/>
      <c r="D5558" s="316"/>
      <c r="H5558" s="223">
        <v>0.0</v>
      </c>
      <c r="K5558" s="317"/>
    </row>
    <row r="5559">
      <c r="B5559" s="223" t="s">
        <v>200</v>
      </c>
      <c r="C5559" s="223"/>
      <c r="D5559" s="316"/>
      <c r="H5559" s="223">
        <v>0.0</v>
      </c>
      <c r="K5559" s="317"/>
    </row>
    <row r="5560">
      <c r="B5560" s="223" t="s">
        <v>200</v>
      </c>
      <c r="C5560" s="223"/>
      <c r="D5560" s="316"/>
      <c r="H5560" s="223">
        <v>0.0</v>
      </c>
      <c r="K5560" s="317"/>
    </row>
    <row r="5561">
      <c r="B5561" s="223" t="s">
        <v>200</v>
      </c>
      <c r="C5561" s="223"/>
      <c r="D5561" s="316"/>
      <c r="H5561" s="223">
        <v>0.0</v>
      </c>
      <c r="K5561" s="317"/>
    </row>
    <row r="5562">
      <c r="B5562" s="223" t="s">
        <v>200</v>
      </c>
      <c r="C5562" s="223"/>
      <c r="D5562" s="316"/>
      <c r="H5562" s="223">
        <v>0.0</v>
      </c>
      <c r="K5562" s="317"/>
    </row>
    <row r="5563">
      <c r="B5563" s="223" t="s">
        <v>200</v>
      </c>
      <c r="C5563" s="223"/>
      <c r="D5563" s="316"/>
      <c r="H5563" s="223">
        <v>0.0</v>
      </c>
      <c r="K5563" s="317"/>
    </row>
    <row r="5564">
      <c r="B5564" s="223" t="s">
        <v>200</v>
      </c>
      <c r="C5564" s="223"/>
      <c r="D5564" s="316"/>
      <c r="H5564" s="223">
        <v>0.0</v>
      </c>
      <c r="K5564" s="317"/>
    </row>
    <row r="5565">
      <c r="B5565" s="223" t="s">
        <v>200</v>
      </c>
      <c r="C5565" s="223"/>
      <c r="D5565" s="316"/>
      <c r="H5565" s="223">
        <v>0.0</v>
      </c>
      <c r="K5565" s="317"/>
    </row>
    <row r="5566">
      <c r="B5566" s="223" t="s">
        <v>200</v>
      </c>
      <c r="C5566" s="223"/>
      <c r="D5566" s="316"/>
      <c r="H5566" s="223">
        <v>0.0</v>
      </c>
      <c r="K5566" s="317"/>
    </row>
    <row r="5567">
      <c r="B5567" s="223" t="s">
        <v>200</v>
      </c>
      <c r="C5567" s="223"/>
      <c r="D5567" s="316"/>
      <c r="H5567" s="223">
        <v>0.0</v>
      </c>
      <c r="K5567" s="317"/>
    </row>
    <row r="5568">
      <c r="B5568" s="223" t="s">
        <v>200</v>
      </c>
      <c r="C5568" s="223"/>
      <c r="D5568" s="316"/>
      <c r="H5568" s="223">
        <v>0.0</v>
      </c>
      <c r="K5568" s="317"/>
    </row>
    <row r="5569">
      <c r="B5569" s="223" t="s">
        <v>200</v>
      </c>
      <c r="C5569" s="223"/>
      <c r="D5569" s="316"/>
      <c r="H5569" s="223">
        <v>0.0</v>
      </c>
      <c r="K5569" s="317"/>
    </row>
    <row r="5570">
      <c r="B5570" s="223" t="s">
        <v>200</v>
      </c>
      <c r="C5570" s="223"/>
      <c r="D5570" s="316"/>
      <c r="H5570" s="223">
        <v>0.0</v>
      </c>
      <c r="K5570" s="317"/>
    </row>
    <row r="5571">
      <c r="B5571" s="223" t="s">
        <v>200</v>
      </c>
      <c r="C5571" s="223"/>
      <c r="D5571" s="316"/>
      <c r="H5571" s="223">
        <v>0.0</v>
      </c>
      <c r="K5571" s="317"/>
    </row>
    <row r="5572">
      <c r="B5572" s="223" t="s">
        <v>200</v>
      </c>
      <c r="C5572" s="223"/>
      <c r="D5572" s="316"/>
      <c r="H5572" s="223">
        <v>0.0</v>
      </c>
      <c r="K5572" s="317"/>
    </row>
    <row r="5573">
      <c r="B5573" s="223" t="s">
        <v>200</v>
      </c>
      <c r="C5573" s="223"/>
      <c r="D5573" s="316"/>
      <c r="H5573" s="223">
        <v>0.0</v>
      </c>
      <c r="K5573" s="317"/>
    </row>
    <row r="5574">
      <c r="B5574" s="223" t="s">
        <v>200</v>
      </c>
      <c r="C5574" s="223"/>
      <c r="D5574" s="316"/>
      <c r="H5574" s="223">
        <v>0.0</v>
      </c>
      <c r="K5574" s="317"/>
    </row>
    <row r="5575">
      <c r="B5575" s="223" t="s">
        <v>200</v>
      </c>
      <c r="C5575" s="223"/>
      <c r="D5575" s="316"/>
      <c r="H5575" s="223">
        <v>0.0</v>
      </c>
      <c r="K5575" s="317"/>
    </row>
    <row r="5576">
      <c r="B5576" s="223" t="s">
        <v>200</v>
      </c>
      <c r="C5576" s="223"/>
      <c r="D5576" s="316"/>
      <c r="H5576" s="223">
        <v>0.0</v>
      </c>
      <c r="K5576" s="317"/>
    </row>
    <row r="5577">
      <c r="B5577" s="223" t="s">
        <v>200</v>
      </c>
      <c r="C5577" s="223"/>
      <c r="D5577" s="316"/>
      <c r="H5577" s="223">
        <v>0.0</v>
      </c>
      <c r="K5577" s="317"/>
    </row>
    <row r="5578">
      <c r="B5578" s="223" t="s">
        <v>200</v>
      </c>
      <c r="C5578" s="223"/>
      <c r="D5578" s="316"/>
      <c r="H5578" s="223">
        <v>0.0</v>
      </c>
      <c r="K5578" s="317"/>
    </row>
    <row r="5579">
      <c r="B5579" s="223" t="s">
        <v>200</v>
      </c>
      <c r="C5579" s="223"/>
      <c r="D5579" s="316"/>
      <c r="H5579" s="223">
        <v>0.0</v>
      </c>
      <c r="K5579" s="317"/>
    </row>
    <row r="5580">
      <c r="B5580" s="223" t="s">
        <v>200</v>
      </c>
      <c r="C5580" s="223"/>
      <c r="D5580" s="316"/>
      <c r="H5580" s="223">
        <v>0.0</v>
      </c>
      <c r="K5580" s="317"/>
    </row>
    <row r="5581">
      <c r="B5581" s="223" t="s">
        <v>200</v>
      </c>
      <c r="C5581" s="223"/>
      <c r="D5581" s="316"/>
      <c r="H5581" s="223">
        <v>0.0</v>
      </c>
      <c r="K5581" s="317"/>
    </row>
    <row r="5582">
      <c r="B5582" s="223" t="s">
        <v>200</v>
      </c>
      <c r="C5582" s="223"/>
      <c r="D5582" s="316"/>
      <c r="H5582" s="223">
        <v>0.0</v>
      </c>
      <c r="K5582" s="317"/>
    </row>
    <row r="5583">
      <c r="B5583" s="223" t="s">
        <v>200</v>
      </c>
      <c r="C5583" s="223"/>
      <c r="D5583" s="316"/>
      <c r="H5583" s="223">
        <v>0.0</v>
      </c>
      <c r="K5583" s="317"/>
    </row>
    <row r="5584">
      <c r="B5584" s="223" t="s">
        <v>200</v>
      </c>
      <c r="C5584" s="223"/>
      <c r="D5584" s="316"/>
      <c r="H5584" s="223">
        <v>0.0</v>
      </c>
      <c r="K5584" s="317"/>
    </row>
    <row r="5585">
      <c r="B5585" s="223" t="s">
        <v>200</v>
      </c>
      <c r="C5585" s="223"/>
      <c r="D5585" s="316"/>
      <c r="H5585" s="223">
        <v>0.0</v>
      </c>
      <c r="K5585" s="317"/>
    </row>
    <row r="5586">
      <c r="B5586" s="223" t="s">
        <v>200</v>
      </c>
      <c r="C5586" s="223"/>
      <c r="D5586" s="316"/>
      <c r="H5586" s="223">
        <v>0.0</v>
      </c>
      <c r="K5586" s="317"/>
    </row>
    <row r="5587">
      <c r="B5587" s="223" t="s">
        <v>200</v>
      </c>
      <c r="C5587" s="223"/>
      <c r="D5587" s="316"/>
      <c r="H5587" s="223">
        <v>0.0</v>
      </c>
      <c r="K5587" s="317"/>
    </row>
    <row r="5588">
      <c r="B5588" s="223" t="s">
        <v>200</v>
      </c>
      <c r="C5588" s="223"/>
      <c r="D5588" s="316"/>
      <c r="H5588" s="223">
        <v>0.0</v>
      </c>
      <c r="K5588" s="317"/>
    </row>
    <row r="5589">
      <c r="B5589" s="223" t="s">
        <v>200</v>
      </c>
      <c r="C5589" s="223"/>
      <c r="D5589" s="316"/>
      <c r="H5589" s="223">
        <v>0.0</v>
      </c>
      <c r="K5589" s="317"/>
    </row>
    <row r="5590">
      <c r="B5590" s="223" t="s">
        <v>200</v>
      </c>
      <c r="C5590" s="223"/>
      <c r="D5590" s="316"/>
      <c r="H5590" s="223">
        <v>0.0</v>
      </c>
      <c r="K5590" s="317"/>
    </row>
    <row r="5591">
      <c r="B5591" s="223" t="s">
        <v>200</v>
      </c>
      <c r="C5591" s="223"/>
      <c r="D5591" s="316"/>
      <c r="H5591" s="223">
        <v>0.0</v>
      </c>
      <c r="K5591" s="317"/>
    </row>
    <row r="5592">
      <c r="B5592" s="223" t="s">
        <v>200</v>
      </c>
      <c r="C5592" s="223"/>
      <c r="D5592" s="316"/>
      <c r="H5592" s="223">
        <v>0.0</v>
      </c>
      <c r="K5592" s="317"/>
    </row>
    <row r="5593">
      <c r="B5593" s="223" t="s">
        <v>200</v>
      </c>
      <c r="C5593" s="223"/>
      <c r="D5593" s="316"/>
      <c r="H5593" s="223">
        <v>0.0</v>
      </c>
      <c r="K5593" s="317"/>
    </row>
    <row r="5594">
      <c r="B5594" s="223" t="s">
        <v>200</v>
      </c>
      <c r="C5594" s="223"/>
      <c r="D5594" s="316"/>
      <c r="H5594" s="223">
        <v>0.0</v>
      </c>
      <c r="K5594" s="317"/>
    </row>
    <row r="5595">
      <c r="B5595" s="223" t="s">
        <v>200</v>
      </c>
      <c r="C5595" s="223"/>
      <c r="D5595" s="316"/>
      <c r="H5595" s="223">
        <v>0.0</v>
      </c>
      <c r="K5595" s="317"/>
    </row>
    <row r="5596">
      <c r="B5596" s="223" t="s">
        <v>200</v>
      </c>
      <c r="C5596" s="223"/>
      <c r="D5596" s="316"/>
      <c r="H5596" s="223">
        <v>0.0</v>
      </c>
      <c r="K5596" s="317"/>
    </row>
    <row r="5597">
      <c r="B5597" s="223" t="s">
        <v>200</v>
      </c>
      <c r="C5597" s="223"/>
      <c r="D5597" s="316"/>
      <c r="H5597" s="223">
        <v>0.0</v>
      </c>
      <c r="K5597" s="317"/>
    </row>
    <row r="5598">
      <c r="B5598" s="223" t="s">
        <v>200</v>
      </c>
      <c r="C5598" s="223"/>
      <c r="D5598" s="316"/>
      <c r="H5598" s="223">
        <v>0.0</v>
      </c>
      <c r="K5598" s="317"/>
    </row>
    <row r="5599">
      <c r="B5599" s="223" t="s">
        <v>200</v>
      </c>
      <c r="C5599" s="223"/>
      <c r="D5599" s="316"/>
      <c r="H5599" s="223">
        <v>0.0</v>
      </c>
      <c r="K5599" s="317"/>
    </row>
    <row r="5600">
      <c r="B5600" s="223" t="s">
        <v>200</v>
      </c>
      <c r="C5600" s="223"/>
      <c r="D5600" s="316"/>
      <c r="H5600" s="223">
        <v>0.0</v>
      </c>
      <c r="K5600" s="317"/>
    </row>
    <row r="5601">
      <c r="B5601" s="223" t="s">
        <v>200</v>
      </c>
      <c r="C5601" s="223"/>
      <c r="D5601" s="316"/>
      <c r="H5601" s="223">
        <v>0.0</v>
      </c>
      <c r="K5601" s="317"/>
    </row>
    <row r="5602">
      <c r="B5602" s="223" t="s">
        <v>200</v>
      </c>
      <c r="C5602" s="223"/>
      <c r="D5602" s="316"/>
      <c r="H5602" s="223">
        <v>0.0</v>
      </c>
      <c r="K5602" s="317"/>
    </row>
    <row r="5603">
      <c r="B5603" s="223" t="s">
        <v>200</v>
      </c>
      <c r="C5603" s="223"/>
      <c r="D5603" s="316"/>
      <c r="H5603" s="223">
        <v>0.0</v>
      </c>
      <c r="K5603" s="317"/>
    </row>
    <row r="5604">
      <c r="B5604" s="223" t="s">
        <v>200</v>
      </c>
      <c r="C5604" s="223"/>
      <c r="D5604" s="316"/>
      <c r="H5604" s="223">
        <v>0.0</v>
      </c>
      <c r="K5604" s="317"/>
    </row>
    <row r="5605">
      <c r="B5605" s="223" t="s">
        <v>200</v>
      </c>
      <c r="C5605" s="223"/>
      <c r="D5605" s="316"/>
      <c r="H5605" s="223">
        <v>0.0</v>
      </c>
      <c r="K5605" s="317"/>
    </row>
    <row r="5606">
      <c r="B5606" s="223" t="s">
        <v>200</v>
      </c>
      <c r="C5606" s="223"/>
      <c r="D5606" s="316"/>
      <c r="H5606" s="223">
        <v>0.0</v>
      </c>
      <c r="K5606" s="317"/>
    </row>
    <row r="5607">
      <c r="B5607" s="223" t="s">
        <v>200</v>
      </c>
      <c r="C5607" s="223"/>
      <c r="D5607" s="316"/>
      <c r="H5607" s="223">
        <v>0.0</v>
      </c>
      <c r="K5607" s="317"/>
    </row>
    <row r="5608">
      <c r="B5608" s="223" t="s">
        <v>200</v>
      </c>
      <c r="C5608" s="223"/>
      <c r="D5608" s="316"/>
      <c r="H5608" s="223">
        <v>0.0</v>
      </c>
      <c r="K5608" s="317"/>
    </row>
    <row r="5609">
      <c r="B5609" s="223" t="s">
        <v>200</v>
      </c>
      <c r="C5609" s="223"/>
      <c r="D5609" s="316"/>
      <c r="H5609" s="223">
        <v>0.0</v>
      </c>
      <c r="K5609" s="317"/>
    </row>
    <row r="5610">
      <c r="B5610" s="223" t="s">
        <v>200</v>
      </c>
      <c r="C5610" s="223"/>
      <c r="D5610" s="316"/>
      <c r="H5610" s="223">
        <v>0.0</v>
      </c>
      <c r="K5610" s="317"/>
    </row>
    <row r="5611">
      <c r="B5611" s="223" t="s">
        <v>200</v>
      </c>
      <c r="C5611" s="223"/>
      <c r="D5611" s="316"/>
      <c r="H5611" s="223">
        <v>0.0</v>
      </c>
      <c r="K5611" s="317"/>
    </row>
    <row r="5612">
      <c r="B5612" s="223" t="s">
        <v>200</v>
      </c>
      <c r="C5612" s="223"/>
      <c r="D5612" s="316"/>
      <c r="H5612" s="223">
        <v>0.0</v>
      </c>
      <c r="K5612" s="317"/>
    </row>
    <row r="5613">
      <c r="B5613" s="223" t="s">
        <v>200</v>
      </c>
      <c r="C5613" s="223"/>
      <c r="D5613" s="316"/>
      <c r="H5613" s="223">
        <v>0.0</v>
      </c>
      <c r="K5613" s="317"/>
    </row>
    <row r="5614">
      <c r="B5614" s="223" t="s">
        <v>200</v>
      </c>
      <c r="C5614" s="223"/>
      <c r="D5614" s="316"/>
      <c r="H5614" s="223">
        <v>0.0</v>
      </c>
      <c r="K5614" s="317"/>
    </row>
    <row r="5615">
      <c r="B5615" s="223" t="s">
        <v>200</v>
      </c>
      <c r="C5615" s="223"/>
      <c r="D5615" s="316"/>
      <c r="H5615" s="223">
        <v>0.0</v>
      </c>
      <c r="K5615" s="317"/>
    </row>
    <row r="5616">
      <c r="B5616" s="223" t="s">
        <v>200</v>
      </c>
      <c r="C5616" s="223"/>
      <c r="D5616" s="316"/>
      <c r="H5616" s="223">
        <v>0.0</v>
      </c>
      <c r="K5616" s="317"/>
    </row>
    <row r="5617">
      <c r="B5617" s="223" t="s">
        <v>200</v>
      </c>
      <c r="C5617" s="223"/>
      <c r="D5617" s="316"/>
      <c r="H5617" s="223">
        <v>0.0</v>
      </c>
      <c r="K5617" s="317"/>
    </row>
    <row r="5618">
      <c r="B5618" s="223" t="s">
        <v>200</v>
      </c>
      <c r="C5618" s="223"/>
      <c r="D5618" s="316"/>
      <c r="H5618" s="223">
        <v>0.0</v>
      </c>
      <c r="K5618" s="317"/>
    </row>
    <row r="5619">
      <c r="B5619" s="223" t="s">
        <v>200</v>
      </c>
      <c r="C5619" s="223"/>
      <c r="D5619" s="316"/>
      <c r="H5619" s="223">
        <v>0.0</v>
      </c>
      <c r="K5619" s="317"/>
    </row>
    <row r="5620">
      <c r="B5620" s="223" t="s">
        <v>200</v>
      </c>
      <c r="C5620" s="223"/>
      <c r="D5620" s="316"/>
      <c r="H5620" s="223">
        <v>0.0</v>
      </c>
      <c r="K5620" s="317"/>
    </row>
    <row r="5621">
      <c r="B5621" s="223" t="s">
        <v>200</v>
      </c>
      <c r="C5621" s="223"/>
      <c r="D5621" s="316"/>
      <c r="H5621" s="223">
        <v>0.0</v>
      </c>
      <c r="K5621" s="317"/>
    </row>
    <row r="5622">
      <c r="B5622" s="223" t="s">
        <v>200</v>
      </c>
      <c r="C5622" s="223"/>
      <c r="D5622" s="316"/>
      <c r="H5622" s="223">
        <v>0.0</v>
      </c>
      <c r="K5622" s="317"/>
    </row>
    <row r="5623">
      <c r="B5623" s="223" t="s">
        <v>200</v>
      </c>
      <c r="C5623" s="223"/>
      <c r="D5623" s="316"/>
      <c r="H5623" s="223">
        <v>0.0</v>
      </c>
      <c r="K5623" s="317"/>
    </row>
    <row r="5624">
      <c r="B5624" s="223" t="s">
        <v>200</v>
      </c>
      <c r="C5624" s="223"/>
      <c r="D5624" s="316"/>
      <c r="H5624" s="223">
        <v>0.0</v>
      </c>
      <c r="K5624" s="317"/>
    </row>
    <row r="5625">
      <c r="B5625" s="223" t="s">
        <v>200</v>
      </c>
      <c r="C5625" s="223"/>
      <c r="D5625" s="316"/>
      <c r="H5625" s="223">
        <v>0.0</v>
      </c>
      <c r="K5625" s="317"/>
    </row>
    <row r="5626">
      <c r="B5626" s="223" t="s">
        <v>200</v>
      </c>
      <c r="C5626" s="223"/>
      <c r="D5626" s="316"/>
      <c r="H5626" s="223">
        <v>0.0</v>
      </c>
      <c r="K5626" s="317"/>
    </row>
    <row r="5627">
      <c r="B5627" s="223" t="s">
        <v>200</v>
      </c>
      <c r="C5627" s="223"/>
      <c r="D5627" s="316"/>
      <c r="H5627" s="223">
        <v>0.0</v>
      </c>
      <c r="K5627" s="317"/>
    </row>
    <row r="5628">
      <c r="B5628" s="223" t="s">
        <v>200</v>
      </c>
      <c r="C5628" s="223"/>
      <c r="D5628" s="316"/>
      <c r="H5628" s="223">
        <v>0.0</v>
      </c>
      <c r="K5628" s="317"/>
    </row>
    <row r="5629">
      <c r="B5629" s="223" t="s">
        <v>200</v>
      </c>
      <c r="C5629" s="223"/>
      <c r="D5629" s="316"/>
      <c r="H5629" s="223">
        <v>0.0</v>
      </c>
      <c r="K5629" s="317"/>
    </row>
    <row r="5630">
      <c r="B5630" s="223" t="s">
        <v>200</v>
      </c>
      <c r="C5630" s="223"/>
      <c r="D5630" s="316"/>
      <c r="H5630" s="223">
        <v>0.0</v>
      </c>
      <c r="K5630" s="317"/>
    </row>
    <row r="5631">
      <c r="B5631" s="223" t="s">
        <v>200</v>
      </c>
      <c r="C5631" s="223"/>
      <c r="D5631" s="316"/>
      <c r="H5631" s="223">
        <v>0.0</v>
      </c>
      <c r="K5631" s="317"/>
    </row>
    <row r="5632">
      <c r="B5632" s="223" t="s">
        <v>200</v>
      </c>
      <c r="C5632" s="223"/>
      <c r="D5632" s="316"/>
      <c r="H5632" s="223">
        <v>0.0</v>
      </c>
      <c r="K5632" s="317"/>
    </row>
    <row r="5633">
      <c r="B5633" s="223" t="s">
        <v>200</v>
      </c>
      <c r="C5633" s="223"/>
      <c r="D5633" s="316"/>
      <c r="H5633" s="223">
        <v>0.0</v>
      </c>
      <c r="K5633" s="317"/>
    </row>
    <row r="5634">
      <c r="B5634" s="223" t="s">
        <v>200</v>
      </c>
      <c r="C5634" s="223"/>
      <c r="D5634" s="316"/>
      <c r="H5634" s="223">
        <v>0.0</v>
      </c>
      <c r="K5634" s="317"/>
    </row>
    <row r="5635">
      <c r="B5635" s="223" t="s">
        <v>200</v>
      </c>
      <c r="C5635" s="223"/>
      <c r="D5635" s="316"/>
      <c r="H5635" s="223">
        <v>0.0</v>
      </c>
      <c r="K5635" s="317"/>
    </row>
    <row r="5636">
      <c r="B5636" s="223" t="s">
        <v>200</v>
      </c>
      <c r="C5636" s="223"/>
      <c r="D5636" s="316"/>
      <c r="H5636" s="223">
        <v>0.0</v>
      </c>
      <c r="K5636" s="317"/>
    </row>
    <row r="5637">
      <c r="B5637" s="223" t="s">
        <v>200</v>
      </c>
      <c r="C5637" s="223"/>
      <c r="D5637" s="316"/>
      <c r="H5637" s="223">
        <v>0.0</v>
      </c>
      <c r="K5637" s="317"/>
    </row>
    <row r="5638">
      <c r="B5638" s="223" t="s">
        <v>200</v>
      </c>
      <c r="C5638" s="223"/>
      <c r="D5638" s="316"/>
      <c r="H5638" s="223">
        <v>0.0</v>
      </c>
      <c r="K5638" s="317"/>
    </row>
    <row r="5639">
      <c r="B5639" s="223" t="s">
        <v>200</v>
      </c>
      <c r="C5639" s="223"/>
      <c r="D5639" s="316"/>
      <c r="H5639" s="223">
        <v>0.0</v>
      </c>
      <c r="K5639" s="317"/>
    </row>
    <row r="5640">
      <c r="B5640" s="223" t="s">
        <v>200</v>
      </c>
      <c r="C5640" s="223"/>
      <c r="D5640" s="316"/>
      <c r="H5640" s="223">
        <v>0.0</v>
      </c>
      <c r="K5640" s="317"/>
    </row>
    <row r="5641">
      <c r="B5641" s="223" t="s">
        <v>200</v>
      </c>
      <c r="C5641" s="223"/>
      <c r="D5641" s="316"/>
      <c r="H5641" s="223">
        <v>0.0</v>
      </c>
      <c r="K5641" s="317"/>
    </row>
    <row r="5642">
      <c r="B5642" s="223" t="s">
        <v>200</v>
      </c>
      <c r="C5642" s="223"/>
      <c r="D5642" s="316"/>
      <c r="H5642" s="223">
        <v>0.0</v>
      </c>
      <c r="K5642" s="317"/>
    </row>
    <row r="5643">
      <c r="B5643" s="223" t="s">
        <v>200</v>
      </c>
      <c r="C5643" s="223"/>
      <c r="D5643" s="316"/>
      <c r="H5643" s="223">
        <v>0.0</v>
      </c>
      <c r="K5643" s="317"/>
    </row>
    <row r="5644">
      <c r="B5644" s="223" t="s">
        <v>200</v>
      </c>
      <c r="C5644" s="223"/>
      <c r="D5644" s="316"/>
      <c r="H5644" s="223">
        <v>0.0</v>
      </c>
      <c r="K5644" s="317"/>
    </row>
    <row r="5645">
      <c r="B5645" s="223" t="s">
        <v>200</v>
      </c>
      <c r="C5645" s="223"/>
      <c r="D5645" s="316"/>
      <c r="H5645" s="223">
        <v>0.0</v>
      </c>
      <c r="K5645" s="317"/>
    </row>
    <row r="5646">
      <c r="B5646" s="223" t="s">
        <v>200</v>
      </c>
      <c r="C5646" s="223"/>
      <c r="D5646" s="316"/>
      <c r="H5646" s="223">
        <v>0.0</v>
      </c>
      <c r="K5646" s="317"/>
    </row>
    <row r="5647">
      <c r="B5647" s="223" t="s">
        <v>200</v>
      </c>
      <c r="C5647" s="223"/>
      <c r="D5647" s="316"/>
      <c r="H5647" s="223">
        <v>0.0</v>
      </c>
      <c r="K5647" s="317"/>
    </row>
    <row r="5648">
      <c r="B5648" s="223" t="s">
        <v>200</v>
      </c>
      <c r="C5648" s="223"/>
      <c r="D5648" s="316"/>
      <c r="H5648" s="223">
        <v>0.0</v>
      </c>
      <c r="K5648" s="317"/>
    </row>
    <row r="5649">
      <c r="B5649" s="223" t="s">
        <v>200</v>
      </c>
      <c r="C5649" s="223"/>
      <c r="D5649" s="316"/>
      <c r="H5649" s="223">
        <v>0.0</v>
      </c>
      <c r="K5649" s="317"/>
    </row>
    <row r="5650">
      <c r="B5650" s="223" t="s">
        <v>200</v>
      </c>
      <c r="C5650" s="223"/>
      <c r="D5650" s="316"/>
      <c r="H5650" s="223">
        <v>0.0</v>
      </c>
      <c r="K5650" s="317"/>
    </row>
    <row r="5651">
      <c r="B5651" s="223" t="s">
        <v>200</v>
      </c>
      <c r="C5651" s="223"/>
      <c r="D5651" s="316"/>
      <c r="H5651" s="223">
        <v>0.0</v>
      </c>
      <c r="K5651" s="317"/>
    </row>
    <row r="5652">
      <c r="B5652" s="223" t="s">
        <v>200</v>
      </c>
      <c r="C5652" s="223"/>
      <c r="D5652" s="316"/>
      <c r="H5652" s="223">
        <v>0.0</v>
      </c>
      <c r="K5652" s="317"/>
    </row>
    <row r="5653">
      <c r="B5653" s="223" t="s">
        <v>200</v>
      </c>
      <c r="C5653" s="223"/>
      <c r="D5653" s="316"/>
      <c r="H5653" s="223">
        <v>0.0</v>
      </c>
      <c r="K5653" s="317"/>
    </row>
    <row r="5654">
      <c r="B5654" s="223" t="s">
        <v>200</v>
      </c>
      <c r="C5654" s="223"/>
      <c r="D5654" s="316"/>
      <c r="H5654" s="223">
        <v>0.0</v>
      </c>
      <c r="K5654" s="317"/>
    </row>
    <row r="5655">
      <c r="B5655" s="223" t="s">
        <v>200</v>
      </c>
      <c r="C5655" s="223"/>
      <c r="D5655" s="316"/>
      <c r="H5655" s="223">
        <v>0.0</v>
      </c>
      <c r="K5655" s="317"/>
    </row>
    <row r="5656">
      <c r="B5656" s="223" t="s">
        <v>200</v>
      </c>
      <c r="C5656" s="223"/>
      <c r="D5656" s="316"/>
      <c r="H5656" s="223">
        <v>0.0</v>
      </c>
      <c r="K5656" s="317"/>
    </row>
    <row r="5657">
      <c r="B5657" s="223" t="s">
        <v>200</v>
      </c>
      <c r="C5657" s="223"/>
      <c r="D5657" s="316"/>
      <c r="H5657" s="223">
        <v>0.0</v>
      </c>
      <c r="K5657" s="317"/>
    </row>
    <row r="5658">
      <c r="B5658" s="223" t="s">
        <v>200</v>
      </c>
      <c r="C5658" s="223"/>
      <c r="D5658" s="316"/>
      <c r="H5658" s="223">
        <v>0.0</v>
      </c>
      <c r="K5658" s="317"/>
    </row>
    <row r="5659">
      <c r="B5659" s="223" t="s">
        <v>200</v>
      </c>
      <c r="C5659" s="223"/>
      <c r="D5659" s="316"/>
      <c r="H5659" s="223">
        <v>0.0</v>
      </c>
      <c r="K5659" s="317"/>
    </row>
    <row r="5660">
      <c r="B5660" s="223" t="s">
        <v>200</v>
      </c>
      <c r="C5660" s="223"/>
      <c r="D5660" s="316"/>
      <c r="H5660" s="223">
        <v>0.0</v>
      </c>
      <c r="K5660" s="317"/>
    </row>
    <row r="5661">
      <c r="B5661" s="223" t="s">
        <v>200</v>
      </c>
      <c r="C5661" s="223"/>
      <c r="D5661" s="316"/>
      <c r="H5661" s="223">
        <v>0.0</v>
      </c>
      <c r="K5661" s="317"/>
    </row>
    <row r="5662">
      <c r="B5662" s="223" t="s">
        <v>200</v>
      </c>
      <c r="C5662" s="223"/>
      <c r="D5662" s="316"/>
      <c r="H5662" s="223">
        <v>0.0</v>
      </c>
      <c r="K5662" s="317"/>
    </row>
    <row r="5663">
      <c r="B5663" s="223" t="s">
        <v>200</v>
      </c>
      <c r="C5663" s="223"/>
      <c r="D5663" s="316"/>
      <c r="H5663" s="223">
        <v>0.0</v>
      </c>
      <c r="K5663" s="317"/>
    </row>
    <row r="5664">
      <c r="B5664" s="223" t="s">
        <v>200</v>
      </c>
      <c r="C5664" s="223"/>
      <c r="D5664" s="316"/>
      <c r="H5664" s="223">
        <v>0.0</v>
      </c>
      <c r="K5664" s="317"/>
    </row>
    <row r="5665">
      <c r="B5665" s="223" t="s">
        <v>200</v>
      </c>
      <c r="C5665" s="223"/>
      <c r="D5665" s="316"/>
      <c r="H5665" s="223">
        <v>0.0</v>
      </c>
      <c r="K5665" s="317"/>
    </row>
    <row r="5666">
      <c r="B5666" s="223" t="s">
        <v>200</v>
      </c>
      <c r="C5666" s="223"/>
      <c r="D5666" s="316"/>
      <c r="H5666" s="223">
        <v>0.0</v>
      </c>
      <c r="K5666" s="317"/>
    </row>
    <row r="5667">
      <c r="B5667" s="223" t="s">
        <v>200</v>
      </c>
      <c r="C5667" s="223"/>
      <c r="D5667" s="316"/>
      <c r="H5667" s="223">
        <v>0.0</v>
      </c>
      <c r="K5667" s="317"/>
    </row>
    <row r="5668">
      <c r="B5668" s="223" t="s">
        <v>200</v>
      </c>
      <c r="C5668" s="223"/>
      <c r="D5668" s="316"/>
      <c r="H5668" s="223">
        <v>0.0</v>
      </c>
      <c r="K5668" s="317"/>
    </row>
    <row r="5669">
      <c r="B5669" s="223" t="s">
        <v>200</v>
      </c>
      <c r="C5669" s="223"/>
      <c r="D5669" s="316"/>
      <c r="H5669" s="223">
        <v>0.0</v>
      </c>
      <c r="K5669" s="317"/>
    </row>
    <row r="5670">
      <c r="B5670" s="223" t="s">
        <v>200</v>
      </c>
      <c r="C5670" s="223"/>
      <c r="D5670" s="316"/>
      <c r="H5670" s="223">
        <v>0.0</v>
      </c>
      <c r="K5670" s="317"/>
    </row>
    <row r="5671">
      <c r="B5671" s="223" t="s">
        <v>200</v>
      </c>
      <c r="C5671" s="223"/>
      <c r="D5671" s="316"/>
      <c r="H5671" s="223">
        <v>0.0</v>
      </c>
      <c r="K5671" s="317"/>
    </row>
    <row r="5672">
      <c r="B5672" s="223" t="s">
        <v>200</v>
      </c>
      <c r="C5672" s="223"/>
      <c r="D5672" s="316"/>
      <c r="H5672" s="223">
        <v>0.0</v>
      </c>
      <c r="K5672" s="317"/>
    </row>
    <row r="5673">
      <c r="B5673" s="223" t="s">
        <v>200</v>
      </c>
      <c r="C5673" s="223"/>
      <c r="D5673" s="316"/>
      <c r="H5673" s="223">
        <v>0.0</v>
      </c>
      <c r="K5673" s="317"/>
    </row>
    <row r="5674">
      <c r="B5674" s="223" t="s">
        <v>200</v>
      </c>
      <c r="C5674" s="223"/>
      <c r="D5674" s="316"/>
      <c r="H5674" s="223">
        <v>0.0</v>
      </c>
      <c r="K5674" s="317"/>
    </row>
    <row r="5675">
      <c r="B5675" s="223" t="s">
        <v>200</v>
      </c>
      <c r="C5675" s="223"/>
      <c r="D5675" s="316"/>
      <c r="H5675" s="223">
        <v>0.0</v>
      </c>
      <c r="K5675" s="317"/>
    </row>
    <row r="5676">
      <c r="B5676" s="223" t="s">
        <v>200</v>
      </c>
      <c r="C5676" s="223"/>
      <c r="D5676" s="316"/>
      <c r="H5676" s="223">
        <v>0.0</v>
      </c>
      <c r="K5676" s="317"/>
    </row>
    <row r="5677">
      <c r="B5677" s="223" t="s">
        <v>200</v>
      </c>
      <c r="C5677" s="223"/>
      <c r="D5677" s="316"/>
      <c r="H5677" s="223">
        <v>0.0</v>
      </c>
      <c r="K5677" s="317"/>
    </row>
    <row r="5678">
      <c r="B5678" s="223" t="s">
        <v>200</v>
      </c>
      <c r="C5678" s="223"/>
      <c r="D5678" s="316"/>
      <c r="H5678" s="223">
        <v>0.0</v>
      </c>
      <c r="K5678" s="317"/>
    </row>
    <row r="5679">
      <c r="B5679" s="223" t="s">
        <v>200</v>
      </c>
      <c r="C5679" s="223"/>
      <c r="D5679" s="316"/>
      <c r="H5679" s="223">
        <v>0.0</v>
      </c>
      <c r="K5679" s="317"/>
    </row>
    <row r="5680">
      <c r="B5680" s="223" t="s">
        <v>200</v>
      </c>
      <c r="C5680" s="223"/>
      <c r="D5680" s="316"/>
      <c r="H5680" s="223">
        <v>0.0</v>
      </c>
      <c r="K5680" s="317"/>
    </row>
    <row r="5681">
      <c r="B5681" s="223" t="s">
        <v>200</v>
      </c>
      <c r="C5681" s="223"/>
      <c r="D5681" s="316"/>
      <c r="H5681" s="223">
        <v>0.0</v>
      </c>
      <c r="K5681" s="317"/>
    </row>
    <row r="5682">
      <c r="B5682" s="223" t="s">
        <v>200</v>
      </c>
      <c r="C5682" s="223"/>
      <c r="D5682" s="316"/>
      <c r="H5682" s="223">
        <v>0.0</v>
      </c>
      <c r="K5682" s="317"/>
    </row>
    <row r="5683">
      <c r="B5683" s="223" t="s">
        <v>200</v>
      </c>
      <c r="C5683" s="223"/>
      <c r="D5683" s="316"/>
      <c r="H5683" s="223">
        <v>0.0</v>
      </c>
      <c r="K5683" s="317"/>
    </row>
    <row r="5684">
      <c r="B5684" s="223" t="s">
        <v>200</v>
      </c>
      <c r="C5684" s="223"/>
      <c r="D5684" s="316"/>
      <c r="H5684" s="223">
        <v>0.0</v>
      </c>
      <c r="K5684" s="317"/>
    </row>
    <row r="5685">
      <c r="B5685" s="223" t="s">
        <v>200</v>
      </c>
      <c r="C5685" s="223"/>
      <c r="D5685" s="316"/>
      <c r="H5685" s="223">
        <v>0.0</v>
      </c>
      <c r="K5685" s="317"/>
    </row>
    <row r="5686">
      <c r="B5686" s="223" t="s">
        <v>200</v>
      </c>
      <c r="C5686" s="223"/>
      <c r="D5686" s="316"/>
      <c r="H5686" s="223">
        <v>0.0</v>
      </c>
      <c r="K5686" s="317"/>
    </row>
    <row r="5687">
      <c r="B5687" s="223" t="s">
        <v>200</v>
      </c>
      <c r="C5687" s="223"/>
      <c r="D5687" s="316"/>
      <c r="H5687" s="223">
        <v>0.0</v>
      </c>
      <c r="K5687" s="317"/>
    </row>
    <row r="5688">
      <c r="B5688" s="223" t="s">
        <v>200</v>
      </c>
      <c r="C5688" s="223"/>
      <c r="D5688" s="316"/>
      <c r="H5688" s="223">
        <v>0.0</v>
      </c>
      <c r="K5688" s="317"/>
    </row>
    <row r="5689">
      <c r="B5689" s="223" t="s">
        <v>200</v>
      </c>
      <c r="C5689" s="223"/>
      <c r="D5689" s="316"/>
      <c r="H5689" s="223">
        <v>0.0</v>
      </c>
      <c r="K5689" s="317"/>
    </row>
    <row r="5690">
      <c r="B5690" s="223" t="s">
        <v>200</v>
      </c>
      <c r="C5690" s="223"/>
      <c r="D5690" s="316"/>
      <c r="H5690" s="223">
        <v>0.0</v>
      </c>
      <c r="K5690" s="317"/>
    </row>
    <row r="5691">
      <c r="B5691" s="223" t="s">
        <v>200</v>
      </c>
      <c r="C5691" s="223"/>
      <c r="D5691" s="316"/>
      <c r="H5691" s="223">
        <v>0.0</v>
      </c>
      <c r="K5691" s="317"/>
    </row>
    <row r="5692">
      <c r="B5692" s="223" t="s">
        <v>200</v>
      </c>
      <c r="C5692" s="223"/>
      <c r="D5692" s="316"/>
      <c r="H5692" s="223">
        <v>0.0</v>
      </c>
      <c r="K5692" s="317"/>
    </row>
    <row r="5693">
      <c r="B5693" s="223" t="s">
        <v>200</v>
      </c>
      <c r="C5693" s="223"/>
      <c r="D5693" s="316"/>
      <c r="H5693" s="223">
        <v>0.0</v>
      </c>
      <c r="K5693" s="317"/>
    </row>
    <row r="5694">
      <c r="B5694" s="223" t="s">
        <v>200</v>
      </c>
      <c r="C5694" s="223"/>
      <c r="D5694" s="316"/>
      <c r="H5694" s="223">
        <v>0.0</v>
      </c>
      <c r="K5694" s="317"/>
    </row>
    <row r="5695">
      <c r="B5695" s="223" t="s">
        <v>200</v>
      </c>
      <c r="C5695" s="223"/>
      <c r="D5695" s="316"/>
      <c r="H5695" s="223">
        <v>0.0</v>
      </c>
      <c r="K5695" s="317"/>
    </row>
    <row r="5696">
      <c r="B5696" s="223" t="s">
        <v>200</v>
      </c>
      <c r="C5696" s="223"/>
      <c r="D5696" s="316"/>
      <c r="H5696" s="223">
        <v>0.0</v>
      </c>
      <c r="K5696" s="317"/>
    </row>
    <row r="5697">
      <c r="B5697" s="223" t="s">
        <v>200</v>
      </c>
      <c r="C5697" s="223"/>
      <c r="D5697" s="316"/>
      <c r="H5697" s="223">
        <v>0.0</v>
      </c>
      <c r="K5697" s="317"/>
    </row>
    <row r="5698">
      <c r="B5698" s="223" t="s">
        <v>200</v>
      </c>
      <c r="C5698" s="223"/>
      <c r="D5698" s="316"/>
      <c r="H5698" s="223">
        <v>0.0</v>
      </c>
      <c r="K5698" s="317"/>
    </row>
    <row r="5699">
      <c r="B5699" s="223" t="s">
        <v>200</v>
      </c>
      <c r="C5699" s="223"/>
      <c r="D5699" s="316"/>
      <c r="H5699" s="223">
        <v>0.0</v>
      </c>
      <c r="K5699" s="317"/>
    </row>
    <row r="5700">
      <c r="B5700" s="223" t="s">
        <v>200</v>
      </c>
      <c r="C5700" s="223"/>
      <c r="D5700" s="316"/>
      <c r="H5700" s="223">
        <v>0.0</v>
      </c>
      <c r="K5700" s="317"/>
    </row>
    <row r="5701">
      <c r="B5701" s="223" t="s">
        <v>200</v>
      </c>
      <c r="C5701" s="223"/>
      <c r="D5701" s="316"/>
      <c r="H5701" s="223">
        <v>0.0</v>
      </c>
      <c r="K5701" s="317"/>
    </row>
    <row r="5702">
      <c r="B5702" s="223" t="s">
        <v>200</v>
      </c>
      <c r="C5702" s="223"/>
      <c r="D5702" s="316"/>
      <c r="H5702" s="223">
        <v>0.0</v>
      </c>
      <c r="K5702" s="317"/>
    </row>
    <row r="5703">
      <c r="B5703" s="223" t="s">
        <v>200</v>
      </c>
      <c r="C5703" s="223"/>
      <c r="D5703" s="316"/>
      <c r="H5703" s="223">
        <v>0.0</v>
      </c>
      <c r="K5703" s="317"/>
    </row>
    <row r="5704">
      <c r="B5704" s="223" t="s">
        <v>200</v>
      </c>
      <c r="C5704" s="223"/>
      <c r="D5704" s="316"/>
      <c r="H5704" s="223">
        <v>0.0</v>
      </c>
      <c r="K5704" s="317"/>
    </row>
    <row r="5705">
      <c r="B5705" s="223" t="s">
        <v>200</v>
      </c>
      <c r="C5705" s="223"/>
      <c r="D5705" s="316"/>
      <c r="H5705" s="223">
        <v>0.0</v>
      </c>
      <c r="K5705" s="317"/>
    </row>
    <row r="5706">
      <c r="B5706" s="223" t="s">
        <v>200</v>
      </c>
      <c r="C5706" s="223"/>
      <c r="D5706" s="316"/>
      <c r="H5706" s="223">
        <v>0.0</v>
      </c>
      <c r="K5706" s="317"/>
    </row>
    <row r="5707">
      <c r="B5707" s="223" t="s">
        <v>200</v>
      </c>
      <c r="C5707" s="223"/>
      <c r="D5707" s="316"/>
      <c r="H5707" s="223">
        <v>0.0</v>
      </c>
      <c r="K5707" s="317"/>
    </row>
    <row r="5708">
      <c r="B5708" s="223" t="s">
        <v>200</v>
      </c>
      <c r="C5708" s="223"/>
      <c r="D5708" s="316"/>
      <c r="H5708" s="223">
        <v>0.0</v>
      </c>
      <c r="K5708" s="317"/>
    </row>
    <row r="5709">
      <c r="B5709" s="223" t="s">
        <v>200</v>
      </c>
      <c r="C5709" s="223"/>
      <c r="D5709" s="316"/>
      <c r="H5709" s="223">
        <v>0.0</v>
      </c>
      <c r="K5709" s="317"/>
    </row>
    <row r="5710">
      <c r="B5710" s="223" t="s">
        <v>200</v>
      </c>
      <c r="C5710" s="223"/>
      <c r="D5710" s="316"/>
      <c r="H5710" s="223">
        <v>0.0</v>
      </c>
      <c r="K5710" s="317"/>
    </row>
    <row r="5711">
      <c r="B5711" s="223" t="s">
        <v>200</v>
      </c>
      <c r="C5711" s="223"/>
      <c r="D5711" s="316"/>
      <c r="H5711" s="223">
        <v>0.0</v>
      </c>
      <c r="K5711" s="317"/>
    </row>
    <row r="5712">
      <c r="B5712" s="223" t="s">
        <v>200</v>
      </c>
      <c r="C5712" s="223"/>
      <c r="D5712" s="316"/>
      <c r="H5712" s="223">
        <v>0.0</v>
      </c>
      <c r="K5712" s="317"/>
    </row>
    <row r="5713">
      <c r="B5713" s="223" t="s">
        <v>200</v>
      </c>
      <c r="C5713" s="223"/>
      <c r="D5713" s="316"/>
      <c r="H5713" s="223">
        <v>0.0</v>
      </c>
      <c r="K5713" s="317"/>
    </row>
    <row r="5714">
      <c r="B5714" s="223" t="s">
        <v>200</v>
      </c>
      <c r="C5714" s="223"/>
      <c r="D5714" s="316"/>
      <c r="H5714" s="223">
        <v>0.0</v>
      </c>
      <c r="K5714" s="317"/>
    </row>
    <row r="5715">
      <c r="B5715" s="223" t="s">
        <v>200</v>
      </c>
      <c r="C5715" s="223"/>
      <c r="D5715" s="316"/>
      <c r="H5715" s="223">
        <v>0.0</v>
      </c>
      <c r="K5715" s="317"/>
    </row>
    <row r="5716">
      <c r="B5716" s="223" t="s">
        <v>200</v>
      </c>
      <c r="C5716" s="223"/>
      <c r="D5716" s="316"/>
      <c r="H5716" s="223">
        <v>0.0</v>
      </c>
      <c r="K5716" s="317"/>
    </row>
    <row r="5717">
      <c r="B5717" s="223" t="s">
        <v>200</v>
      </c>
      <c r="C5717" s="223"/>
      <c r="D5717" s="316"/>
      <c r="H5717" s="223">
        <v>0.0</v>
      </c>
      <c r="K5717" s="317"/>
    </row>
    <row r="5718">
      <c r="B5718" s="223" t="s">
        <v>200</v>
      </c>
      <c r="C5718" s="223"/>
      <c r="D5718" s="316"/>
      <c r="H5718" s="223">
        <v>0.0</v>
      </c>
      <c r="K5718" s="317"/>
    </row>
    <row r="5719">
      <c r="B5719" s="223" t="s">
        <v>200</v>
      </c>
      <c r="C5719" s="223"/>
      <c r="D5719" s="316"/>
      <c r="H5719" s="223">
        <v>0.0</v>
      </c>
      <c r="K5719" s="317"/>
    </row>
    <row r="5720">
      <c r="B5720" s="223" t="s">
        <v>200</v>
      </c>
      <c r="C5720" s="223"/>
      <c r="D5720" s="316"/>
      <c r="H5720" s="223">
        <v>0.0</v>
      </c>
      <c r="K5720" s="317"/>
    </row>
    <row r="5721">
      <c r="B5721" s="223" t="s">
        <v>200</v>
      </c>
      <c r="C5721" s="223"/>
      <c r="D5721" s="316"/>
      <c r="H5721" s="223">
        <v>0.0</v>
      </c>
      <c r="K5721" s="317"/>
    </row>
    <row r="5722">
      <c r="B5722" s="223" t="s">
        <v>200</v>
      </c>
      <c r="C5722" s="223"/>
      <c r="D5722" s="316"/>
      <c r="H5722" s="223">
        <v>0.0</v>
      </c>
      <c r="K5722" s="317"/>
    </row>
    <row r="5723">
      <c r="B5723" s="223" t="s">
        <v>200</v>
      </c>
      <c r="C5723" s="223"/>
      <c r="D5723" s="316"/>
      <c r="H5723" s="223">
        <v>0.0</v>
      </c>
      <c r="K5723" s="317"/>
    </row>
    <row r="5724">
      <c r="B5724" s="223" t="s">
        <v>200</v>
      </c>
      <c r="C5724" s="223"/>
      <c r="D5724" s="316"/>
      <c r="H5724" s="223">
        <v>0.0</v>
      </c>
      <c r="K5724" s="317"/>
    </row>
    <row r="5725">
      <c r="B5725" s="223" t="s">
        <v>200</v>
      </c>
      <c r="C5725" s="223"/>
      <c r="D5725" s="316"/>
      <c r="H5725" s="223">
        <v>0.0</v>
      </c>
      <c r="K5725" s="317"/>
    </row>
    <row r="5726">
      <c r="B5726" s="223" t="s">
        <v>200</v>
      </c>
      <c r="C5726" s="223"/>
      <c r="D5726" s="316"/>
      <c r="H5726" s="223">
        <v>0.0</v>
      </c>
      <c r="K5726" s="317"/>
    </row>
    <row r="5727">
      <c r="B5727" s="223" t="s">
        <v>200</v>
      </c>
      <c r="C5727" s="223"/>
      <c r="D5727" s="316"/>
      <c r="H5727" s="223">
        <v>0.0</v>
      </c>
      <c r="K5727" s="317"/>
    </row>
    <row r="5728">
      <c r="B5728" s="223" t="s">
        <v>200</v>
      </c>
      <c r="C5728" s="223"/>
      <c r="D5728" s="316"/>
      <c r="H5728" s="223">
        <v>0.0</v>
      </c>
      <c r="K5728" s="317"/>
    </row>
    <row r="5729">
      <c r="B5729" s="223" t="s">
        <v>200</v>
      </c>
      <c r="C5729" s="223"/>
      <c r="D5729" s="316"/>
      <c r="H5729" s="223">
        <v>0.0</v>
      </c>
      <c r="K5729" s="317"/>
    </row>
    <row r="5730">
      <c r="B5730" s="223" t="s">
        <v>200</v>
      </c>
      <c r="C5730" s="223"/>
      <c r="D5730" s="316"/>
      <c r="H5730" s="223">
        <v>0.0</v>
      </c>
      <c r="K5730" s="317"/>
    </row>
    <row r="5731">
      <c r="B5731" s="223" t="s">
        <v>200</v>
      </c>
      <c r="C5731" s="223"/>
      <c r="D5731" s="316"/>
      <c r="H5731" s="223">
        <v>0.0</v>
      </c>
      <c r="K5731" s="317"/>
    </row>
    <row r="5732">
      <c r="B5732" s="223" t="s">
        <v>200</v>
      </c>
      <c r="C5732" s="223"/>
      <c r="D5732" s="316"/>
      <c r="H5732" s="223">
        <v>0.0</v>
      </c>
      <c r="K5732" s="317"/>
    </row>
    <row r="5733">
      <c r="B5733" s="223" t="s">
        <v>200</v>
      </c>
      <c r="C5733" s="223"/>
      <c r="D5733" s="316"/>
      <c r="H5733" s="223">
        <v>0.0</v>
      </c>
      <c r="K5733" s="317"/>
    </row>
    <row r="5734">
      <c r="B5734" s="223" t="s">
        <v>200</v>
      </c>
      <c r="C5734" s="223"/>
      <c r="D5734" s="316"/>
      <c r="H5734" s="223">
        <v>0.0</v>
      </c>
      <c r="K5734" s="317"/>
    </row>
    <row r="5735">
      <c r="B5735" s="223" t="s">
        <v>200</v>
      </c>
      <c r="C5735" s="223"/>
      <c r="D5735" s="316"/>
      <c r="H5735" s="223">
        <v>0.0</v>
      </c>
      <c r="K5735" s="317"/>
    </row>
    <row r="5736">
      <c r="B5736" s="223" t="s">
        <v>200</v>
      </c>
      <c r="C5736" s="223"/>
      <c r="D5736" s="316"/>
      <c r="H5736" s="223">
        <v>0.0</v>
      </c>
      <c r="K5736" s="317"/>
    </row>
    <row r="5737">
      <c r="B5737" s="223" t="s">
        <v>200</v>
      </c>
      <c r="C5737" s="223"/>
      <c r="D5737" s="316"/>
      <c r="H5737" s="223">
        <v>0.0</v>
      </c>
      <c r="K5737" s="317"/>
    </row>
    <row r="5738">
      <c r="B5738" s="223" t="s">
        <v>200</v>
      </c>
      <c r="C5738" s="223"/>
      <c r="D5738" s="316"/>
      <c r="H5738" s="223">
        <v>0.0</v>
      </c>
      <c r="K5738" s="317"/>
    </row>
    <row r="5739">
      <c r="B5739" s="223" t="s">
        <v>200</v>
      </c>
      <c r="C5739" s="223"/>
      <c r="D5739" s="316"/>
      <c r="H5739" s="223">
        <v>0.0</v>
      </c>
      <c r="K5739" s="317"/>
    </row>
    <row r="5740">
      <c r="B5740" s="223" t="s">
        <v>200</v>
      </c>
      <c r="C5740" s="223"/>
      <c r="D5740" s="316"/>
      <c r="H5740" s="223">
        <v>0.0</v>
      </c>
      <c r="K5740" s="317"/>
    </row>
    <row r="5741">
      <c r="B5741" s="223" t="s">
        <v>200</v>
      </c>
      <c r="C5741" s="223"/>
      <c r="D5741" s="316"/>
      <c r="H5741" s="223">
        <v>0.0</v>
      </c>
      <c r="K5741" s="317"/>
    </row>
    <row r="5742">
      <c r="B5742" s="223" t="s">
        <v>200</v>
      </c>
      <c r="C5742" s="223"/>
      <c r="D5742" s="316"/>
      <c r="H5742" s="223">
        <v>0.0</v>
      </c>
      <c r="K5742" s="317"/>
    </row>
    <row r="5743">
      <c r="B5743" s="223" t="s">
        <v>200</v>
      </c>
      <c r="C5743" s="223"/>
      <c r="D5743" s="316"/>
      <c r="H5743" s="223">
        <v>0.0</v>
      </c>
      <c r="K5743" s="317"/>
    </row>
    <row r="5744">
      <c r="B5744" s="223" t="s">
        <v>200</v>
      </c>
      <c r="C5744" s="223"/>
      <c r="D5744" s="316"/>
      <c r="H5744" s="223">
        <v>0.0</v>
      </c>
      <c r="K5744" s="317"/>
    </row>
    <row r="5745">
      <c r="B5745" s="223" t="s">
        <v>200</v>
      </c>
      <c r="C5745" s="223"/>
      <c r="D5745" s="316"/>
      <c r="H5745" s="223">
        <v>0.0</v>
      </c>
      <c r="K5745" s="317"/>
    </row>
    <row r="5746">
      <c r="B5746" s="223" t="s">
        <v>200</v>
      </c>
      <c r="C5746" s="223"/>
      <c r="D5746" s="316"/>
      <c r="H5746" s="223">
        <v>0.0</v>
      </c>
      <c r="K5746" s="317"/>
    </row>
    <row r="5747">
      <c r="B5747" s="223" t="s">
        <v>200</v>
      </c>
      <c r="C5747" s="223"/>
      <c r="D5747" s="316"/>
      <c r="H5747" s="223">
        <v>0.0</v>
      </c>
      <c r="K5747" s="317"/>
    </row>
    <row r="5748">
      <c r="B5748" s="223" t="s">
        <v>200</v>
      </c>
      <c r="C5748" s="223"/>
      <c r="D5748" s="316"/>
      <c r="H5748" s="223">
        <v>0.0</v>
      </c>
      <c r="K5748" s="317"/>
    </row>
    <row r="5749">
      <c r="B5749" s="223" t="s">
        <v>200</v>
      </c>
      <c r="C5749" s="223"/>
      <c r="D5749" s="316"/>
      <c r="H5749" s="223">
        <v>0.0</v>
      </c>
      <c r="K5749" s="317"/>
    </row>
    <row r="5750">
      <c r="B5750" s="223" t="s">
        <v>200</v>
      </c>
      <c r="C5750" s="223"/>
      <c r="D5750" s="316"/>
      <c r="H5750" s="223">
        <v>0.0</v>
      </c>
      <c r="K5750" s="317"/>
    </row>
    <row r="5751">
      <c r="B5751" s="223" t="s">
        <v>200</v>
      </c>
      <c r="C5751" s="223"/>
      <c r="D5751" s="316"/>
      <c r="H5751" s="223">
        <v>0.0</v>
      </c>
      <c r="K5751" s="317"/>
    </row>
    <row r="5752">
      <c r="B5752" s="223" t="s">
        <v>200</v>
      </c>
      <c r="C5752" s="223"/>
      <c r="D5752" s="316"/>
      <c r="H5752" s="223">
        <v>0.0</v>
      </c>
      <c r="K5752" s="317"/>
    </row>
    <row r="5753">
      <c r="B5753" s="223" t="s">
        <v>200</v>
      </c>
      <c r="C5753" s="223"/>
      <c r="D5753" s="316"/>
      <c r="H5753" s="223">
        <v>0.0</v>
      </c>
      <c r="K5753" s="317"/>
    </row>
    <row r="5754">
      <c r="B5754" s="223" t="s">
        <v>200</v>
      </c>
      <c r="C5754" s="223"/>
      <c r="D5754" s="316"/>
      <c r="H5754" s="223">
        <v>0.0</v>
      </c>
      <c r="K5754" s="317"/>
    </row>
    <row r="5755">
      <c r="B5755" s="223" t="s">
        <v>200</v>
      </c>
      <c r="C5755" s="223"/>
      <c r="D5755" s="316"/>
      <c r="H5755" s="223">
        <v>0.0</v>
      </c>
      <c r="K5755" s="317"/>
    </row>
    <row r="5756">
      <c r="B5756" s="223" t="s">
        <v>200</v>
      </c>
      <c r="C5756" s="223"/>
      <c r="D5756" s="316"/>
      <c r="H5756" s="223">
        <v>0.0</v>
      </c>
      <c r="K5756" s="317"/>
    </row>
    <row r="5757">
      <c r="B5757" s="223" t="s">
        <v>200</v>
      </c>
      <c r="C5757" s="223"/>
      <c r="D5757" s="316"/>
      <c r="H5757" s="223">
        <v>0.0</v>
      </c>
      <c r="K5757" s="317"/>
    </row>
    <row r="5758">
      <c r="B5758" s="223" t="s">
        <v>200</v>
      </c>
      <c r="C5758" s="223"/>
      <c r="D5758" s="316"/>
      <c r="H5758" s="223">
        <v>0.0</v>
      </c>
      <c r="K5758" s="317"/>
    </row>
    <row r="5759">
      <c r="B5759" s="223" t="s">
        <v>200</v>
      </c>
      <c r="C5759" s="223"/>
      <c r="D5759" s="316"/>
      <c r="H5759" s="223">
        <v>0.0</v>
      </c>
      <c r="K5759" s="317"/>
    </row>
    <row r="5760">
      <c r="B5760" s="223" t="s">
        <v>200</v>
      </c>
      <c r="C5760" s="223"/>
      <c r="D5760" s="316"/>
      <c r="H5760" s="223">
        <v>0.0</v>
      </c>
      <c r="K5760" s="317"/>
    </row>
    <row r="5761">
      <c r="B5761" s="223" t="s">
        <v>200</v>
      </c>
      <c r="C5761" s="223"/>
      <c r="D5761" s="316"/>
      <c r="H5761" s="223">
        <v>0.0</v>
      </c>
      <c r="K5761" s="317"/>
    </row>
    <row r="5762">
      <c r="B5762" s="223" t="s">
        <v>200</v>
      </c>
      <c r="C5762" s="223"/>
      <c r="D5762" s="316"/>
      <c r="H5762" s="223">
        <v>0.0</v>
      </c>
      <c r="K5762" s="317"/>
    </row>
    <row r="5763">
      <c r="B5763" s="223" t="s">
        <v>200</v>
      </c>
      <c r="C5763" s="223"/>
      <c r="D5763" s="316"/>
      <c r="H5763" s="223">
        <v>0.0</v>
      </c>
      <c r="K5763" s="317"/>
    </row>
    <row r="5764">
      <c r="B5764" s="223" t="s">
        <v>200</v>
      </c>
      <c r="C5764" s="223"/>
      <c r="D5764" s="316"/>
      <c r="H5764" s="223">
        <v>0.0</v>
      </c>
      <c r="K5764" s="317"/>
    </row>
    <row r="5765">
      <c r="B5765" s="223" t="s">
        <v>200</v>
      </c>
      <c r="C5765" s="223"/>
      <c r="D5765" s="316"/>
      <c r="H5765" s="223">
        <v>0.0</v>
      </c>
      <c r="K5765" s="317"/>
    </row>
    <row r="5766">
      <c r="B5766" s="223" t="s">
        <v>200</v>
      </c>
      <c r="C5766" s="223"/>
      <c r="D5766" s="316"/>
      <c r="H5766" s="223">
        <v>0.0</v>
      </c>
      <c r="K5766" s="317"/>
    </row>
    <row r="5767">
      <c r="B5767" s="223" t="s">
        <v>200</v>
      </c>
      <c r="C5767" s="223"/>
      <c r="D5767" s="316"/>
      <c r="H5767" s="223">
        <v>0.0</v>
      </c>
      <c r="K5767" s="317"/>
    </row>
    <row r="5768">
      <c r="B5768" s="223" t="s">
        <v>200</v>
      </c>
      <c r="C5768" s="223"/>
      <c r="D5768" s="316"/>
      <c r="H5768" s="223">
        <v>0.0</v>
      </c>
      <c r="K5768" s="317"/>
    </row>
    <row r="5769">
      <c r="B5769" s="223" t="s">
        <v>200</v>
      </c>
      <c r="C5769" s="223"/>
      <c r="D5769" s="316"/>
      <c r="H5769" s="223">
        <v>0.0</v>
      </c>
      <c r="K5769" s="317"/>
    </row>
    <row r="5770">
      <c r="B5770" s="223" t="s">
        <v>200</v>
      </c>
      <c r="C5770" s="223"/>
      <c r="D5770" s="316"/>
      <c r="H5770" s="223">
        <v>0.0</v>
      </c>
      <c r="K5770" s="317"/>
    </row>
    <row r="5771">
      <c r="B5771" s="223" t="s">
        <v>200</v>
      </c>
      <c r="C5771" s="223"/>
      <c r="D5771" s="316"/>
      <c r="H5771" s="223">
        <v>0.0</v>
      </c>
      <c r="K5771" s="317"/>
    </row>
    <row r="5772">
      <c r="B5772" s="223" t="s">
        <v>200</v>
      </c>
      <c r="C5772" s="223"/>
      <c r="D5772" s="316"/>
      <c r="H5772" s="223">
        <v>0.0</v>
      </c>
      <c r="K5772" s="317"/>
    </row>
    <row r="5773">
      <c r="B5773" s="223" t="s">
        <v>200</v>
      </c>
      <c r="C5773" s="223"/>
      <c r="D5773" s="316"/>
      <c r="H5773" s="223">
        <v>0.0</v>
      </c>
      <c r="K5773" s="317"/>
    </row>
    <row r="5774">
      <c r="B5774" s="223" t="s">
        <v>200</v>
      </c>
      <c r="C5774" s="223"/>
      <c r="D5774" s="316"/>
      <c r="H5774" s="223">
        <v>0.0</v>
      </c>
      <c r="K5774" s="317"/>
    </row>
    <row r="5775">
      <c r="B5775" s="223" t="s">
        <v>200</v>
      </c>
      <c r="C5775" s="223"/>
      <c r="D5775" s="316"/>
      <c r="H5775" s="223">
        <v>0.0</v>
      </c>
      <c r="K5775" s="317"/>
    </row>
    <row r="5776">
      <c r="B5776" s="223" t="s">
        <v>200</v>
      </c>
      <c r="C5776" s="223"/>
      <c r="D5776" s="316"/>
      <c r="H5776" s="223">
        <v>0.0</v>
      </c>
      <c r="K5776" s="317"/>
    </row>
    <row r="5777">
      <c r="B5777" s="223" t="s">
        <v>200</v>
      </c>
      <c r="C5777" s="223"/>
      <c r="D5777" s="316"/>
      <c r="H5777" s="223">
        <v>0.0</v>
      </c>
      <c r="K5777" s="317"/>
    </row>
    <row r="5778">
      <c r="B5778" s="223" t="s">
        <v>200</v>
      </c>
      <c r="C5778" s="223"/>
      <c r="D5778" s="316"/>
      <c r="H5778" s="223">
        <v>0.0</v>
      </c>
      <c r="K5778" s="317"/>
    </row>
    <row r="5779">
      <c r="B5779" s="223" t="s">
        <v>200</v>
      </c>
      <c r="C5779" s="223"/>
      <c r="D5779" s="316"/>
      <c r="H5779" s="223">
        <v>0.0</v>
      </c>
      <c r="K5779" s="317"/>
    </row>
    <row r="5780">
      <c r="B5780" s="223" t="s">
        <v>200</v>
      </c>
      <c r="C5780" s="223"/>
      <c r="D5780" s="316"/>
      <c r="H5780" s="223">
        <v>0.0</v>
      </c>
      <c r="K5780" s="317"/>
    </row>
    <row r="5781">
      <c r="B5781" s="223" t="s">
        <v>200</v>
      </c>
      <c r="C5781" s="223"/>
      <c r="D5781" s="316"/>
      <c r="H5781" s="223">
        <v>0.0</v>
      </c>
      <c r="K5781" s="317"/>
    </row>
    <row r="5782">
      <c r="B5782" s="223" t="s">
        <v>200</v>
      </c>
      <c r="C5782" s="223"/>
      <c r="D5782" s="316"/>
      <c r="H5782" s="223">
        <v>0.0</v>
      </c>
      <c r="K5782" s="317"/>
    </row>
    <row r="5783">
      <c r="B5783" s="223" t="s">
        <v>200</v>
      </c>
      <c r="C5783" s="223"/>
      <c r="D5783" s="316"/>
      <c r="H5783" s="223">
        <v>0.0</v>
      </c>
      <c r="K5783" s="317"/>
    </row>
    <row r="5784">
      <c r="B5784" s="223" t="s">
        <v>200</v>
      </c>
      <c r="C5784" s="223"/>
      <c r="D5784" s="316"/>
      <c r="H5784" s="223">
        <v>0.0</v>
      </c>
      <c r="K5784" s="317"/>
    </row>
    <row r="5785">
      <c r="B5785" s="223" t="s">
        <v>200</v>
      </c>
      <c r="C5785" s="223"/>
      <c r="D5785" s="316"/>
      <c r="H5785" s="223">
        <v>0.0</v>
      </c>
      <c r="K5785" s="317"/>
    </row>
    <row r="5786">
      <c r="B5786" s="223" t="s">
        <v>200</v>
      </c>
      <c r="C5786" s="223"/>
      <c r="D5786" s="316"/>
      <c r="H5786" s="223">
        <v>0.0</v>
      </c>
      <c r="K5786" s="317"/>
    </row>
    <row r="5787">
      <c r="B5787" s="223" t="s">
        <v>200</v>
      </c>
      <c r="C5787" s="223"/>
      <c r="D5787" s="316"/>
      <c r="H5787" s="223">
        <v>0.0</v>
      </c>
      <c r="K5787" s="317"/>
    </row>
    <row r="5788">
      <c r="B5788" s="223" t="s">
        <v>200</v>
      </c>
      <c r="C5788" s="223"/>
      <c r="D5788" s="316"/>
      <c r="H5788" s="223">
        <v>0.0</v>
      </c>
      <c r="K5788" s="317"/>
    </row>
    <row r="5789">
      <c r="B5789" s="223" t="s">
        <v>200</v>
      </c>
      <c r="C5789" s="223"/>
      <c r="D5789" s="316"/>
      <c r="H5789" s="223">
        <v>0.0</v>
      </c>
      <c r="K5789" s="317"/>
    </row>
    <row r="5790">
      <c r="B5790" s="223" t="s">
        <v>200</v>
      </c>
      <c r="C5790" s="223"/>
      <c r="D5790" s="316"/>
      <c r="H5790" s="223">
        <v>0.0</v>
      </c>
      <c r="K5790" s="317"/>
    </row>
    <row r="5791">
      <c r="B5791" s="223" t="s">
        <v>200</v>
      </c>
      <c r="C5791" s="223"/>
      <c r="D5791" s="316"/>
      <c r="H5791" s="223">
        <v>0.0</v>
      </c>
      <c r="K5791" s="317"/>
    </row>
    <row r="5792">
      <c r="B5792" s="223" t="s">
        <v>200</v>
      </c>
      <c r="C5792" s="223"/>
      <c r="D5792" s="316"/>
      <c r="H5792" s="223">
        <v>0.0</v>
      </c>
      <c r="K5792" s="317"/>
    </row>
    <row r="5793">
      <c r="B5793" s="223" t="s">
        <v>200</v>
      </c>
      <c r="C5793" s="223"/>
      <c r="D5793" s="316"/>
      <c r="H5793" s="223">
        <v>0.0</v>
      </c>
      <c r="K5793" s="317"/>
    </row>
    <row r="5794">
      <c r="B5794" s="223" t="s">
        <v>200</v>
      </c>
      <c r="C5794" s="223"/>
      <c r="D5794" s="316"/>
      <c r="H5794" s="223">
        <v>0.0</v>
      </c>
      <c r="K5794" s="317"/>
    </row>
    <row r="5795">
      <c r="B5795" s="223" t="s">
        <v>200</v>
      </c>
      <c r="C5795" s="223"/>
      <c r="D5795" s="316"/>
      <c r="H5795" s="223">
        <v>0.0</v>
      </c>
      <c r="K5795" s="317"/>
    </row>
    <row r="5796">
      <c r="B5796" s="223" t="s">
        <v>200</v>
      </c>
      <c r="C5796" s="223"/>
      <c r="D5796" s="316"/>
      <c r="H5796" s="223">
        <v>0.0</v>
      </c>
      <c r="K5796" s="317"/>
    </row>
    <row r="5797">
      <c r="B5797" s="223" t="s">
        <v>200</v>
      </c>
      <c r="C5797" s="223"/>
      <c r="D5797" s="316"/>
      <c r="H5797" s="223">
        <v>0.0</v>
      </c>
      <c r="K5797" s="317"/>
    </row>
    <row r="5798">
      <c r="B5798" s="223" t="s">
        <v>200</v>
      </c>
      <c r="C5798" s="223"/>
      <c r="D5798" s="316"/>
      <c r="H5798" s="223">
        <v>0.0</v>
      </c>
      <c r="K5798" s="317"/>
    </row>
    <row r="5799">
      <c r="B5799" s="223" t="s">
        <v>200</v>
      </c>
      <c r="C5799" s="223"/>
      <c r="D5799" s="316"/>
      <c r="H5799" s="223">
        <v>0.0</v>
      </c>
      <c r="K5799" s="317"/>
    </row>
    <row r="5800">
      <c r="B5800" s="223" t="s">
        <v>200</v>
      </c>
      <c r="C5800" s="223"/>
      <c r="D5800" s="316"/>
      <c r="H5800" s="223">
        <v>0.0</v>
      </c>
      <c r="K5800" s="317"/>
    </row>
    <row r="5801">
      <c r="B5801" s="223" t="s">
        <v>200</v>
      </c>
      <c r="C5801" s="223"/>
      <c r="D5801" s="316"/>
      <c r="H5801" s="223">
        <v>0.0</v>
      </c>
      <c r="K5801" s="317"/>
    </row>
    <row r="5802">
      <c r="B5802" s="223" t="s">
        <v>200</v>
      </c>
      <c r="C5802" s="223"/>
      <c r="D5802" s="316"/>
      <c r="H5802" s="223">
        <v>0.0</v>
      </c>
      <c r="K5802" s="317"/>
    </row>
    <row r="5803">
      <c r="B5803" s="223" t="s">
        <v>200</v>
      </c>
      <c r="C5803" s="223"/>
      <c r="D5803" s="316"/>
      <c r="H5803" s="223">
        <v>0.0</v>
      </c>
      <c r="K5803" s="317"/>
    </row>
    <row r="5804">
      <c r="B5804" s="223" t="s">
        <v>200</v>
      </c>
      <c r="C5804" s="223"/>
      <c r="D5804" s="316"/>
      <c r="H5804" s="223">
        <v>0.0</v>
      </c>
      <c r="K5804" s="317"/>
    </row>
    <row r="5805">
      <c r="B5805" s="223" t="s">
        <v>200</v>
      </c>
      <c r="C5805" s="223"/>
      <c r="D5805" s="316"/>
      <c r="H5805" s="223">
        <v>0.0</v>
      </c>
      <c r="K5805" s="317"/>
    </row>
    <row r="5806">
      <c r="B5806" s="223" t="s">
        <v>200</v>
      </c>
      <c r="C5806" s="223"/>
      <c r="D5806" s="316"/>
      <c r="H5806" s="223">
        <v>0.0</v>
      </c>
      <c r="K5806" s="317"/>
    </row>
    <row r="5807">
      <c r="B5807" s="223" t="s">
        <v>200</v>
      </c>
      <c r="C5807" s="223"/>
      <c r="D5807" s="316"/>
      <c r="H5807" s="223">
        <v>0.0</v>
      </c>
      <c r="K5807" s="317"/>
    </row>
    <row r="5808">
      <c r="B5808" s="223" t="s">
        <v>200</v>
      </c>
      <c r="C5808" s="223"/>
      <c r="D5808" s="316"/>
      <c r="H5808" s="223">
        <v>0.0</v>
      </c>
      <c r="K5808" s="317"/>
    </row>
    <row r="5809">
      <c r="B5809" s="223" t="s">
        <v>200</v>
      </c>
      <c r="C5809" s="223"/>
      <c r="D5809" s="316"/>
      <c r="H5809" s="223">
        <v>0.0</v>
      </c>
      <c r="K5809" s="317"/>
    </row>
    <row r="5810">
      <c r="B5810" s="223" t="s">
        <v>200</v>
      </c>
      <c r="C5810" s="223"/>
      <c r="D5810" s="316"/>
      <c r="H5810" s="223">
        <v>0.0</v>
      </c>
      <c r="K5810" s="317"/>
    </row>
    <row r="5811">
      <c r="B5811" s="223" t="s">
        <v>200</v>
      </c>
      <c r="C5811" s="223"/>
      <c r="D5811" s="316"/>
      <c r="H5811" s="223">
        <v>0.0</v>
      </c>
      <c r="K5811" s="317"/>
    </row>
    <row r="5812">
      <c r="B5812" s="223" t="s">
        <v>200</v>
      </c>
      <c r="C5812" s="223"/>
      <c r="D5812" s="316"/>
      <c r="H5812" s="223">
        <v>0.0</v>
      </c>
      <c r="K5812" s="317"/>
    </row>
    <row r="5813">
      <c r="B5813" s="223" t="s">
        <v>200</v>
      </c>
      <c r="C5813" s="223"/>
      <c r="D5813" s="316"/>
      <c r="H5813" s="223">
        <v>0.0</v>
      </c>
      <c r="K5813" s="317"/>
    </row>
    <row r="5814">
      <c r="B5814" s="223" t="s">
        <v>200</v>
      </c>
      <c r="C5814" s="223"/>
      <c r="D5814" s="316"/>
      <c r="H5814" s="223">
        <v>0.0</v>
      </c>
      <c r="K5814" s="317"/>
    </row>
    <row r="5815">
      <c r="B5815" s="223" t="s">
        <v>200</v>
      </c>
      <c r="C5815" s="223"/>
      <c r="D5815" s="316"/>
      <c r="H5815" s="223">
        <v>0.0</v>
      </c>
      <c r="K5815" s="317"/>
    </row>
    <row r="5816">
      <c r="B5816" s="223" t="s">
        <v>200</v>
      </c>
      <c r="C5816" s="223"/>
      <c r="D5816" s="316"/>
      <c r="H5816" s="223">
        <v>0.0</v>
      </c>
      <c r="K5816" s="317"/>
    </row>
    <row r="5817">
      <c r="B5817" s="223" t="s">
        <v>200</v>
      </c>
      <c r="C5817" s="223"/>
      <c r="D5817" s="316"/>
      <c r="H5817" s="223">
        <v>0.0</v>
      </c>
      <c r="K5817" s="317"/>
    </row>
    <row r="5818">
      <c r="B5818" s="223" t="s">
        <v>200</v>
      </c>
      <c r="C5818" s="223"/>
      <c r="D5818" s="316"/>
      <c r="H5818" s="223">
        <v>0.0</v>
      </c>
      <c r="K5818" s="317"/>
    </row>
    <row r="5819">
      <c r="B5819" s="223" t="s">
        <v>200</v>
      </c>
      <c r="C5819" s="223"/>
      <c r="D5819" s="316"/>
      <c r="H5819" s="223">
        <v>0.0</v>
      </c>
      <c r="K5819" s="317"/>
    </row>
    <row r="5820">
      <c r="B5820" s="223" t="s">
        <v>200</v>
      </c>
      <c r="C5820" s="223"/>
      <c r="D5820" s="316"/>
      <c r="H5820" s="223">
        <v>0.0</v>
      </c>
      <c r="K5820" s="317"/>
    </row>
    <row r="5821">
      <c r="B5821" s="223" t="s">
        <v>200</v>
      </c>
      <c r="C5821" s="223"/>
      <c r="D5821" s="316"/>
      <c r="H5821" s="223">
        <v>0.0</v>
      </c>
      <c r="K5821" s="317"/>
    </row>
    <row r="5822">
      <c r="B5822" s="223" t="s">
        <v>200</v>
      </c>
      <c r="C5822" s="223"/>
      <c r="D5822" s="316"/>
      <c r="H5822" s="223">
        <v>0.0</v>
      </c>
      <c r="K5822" s="317"/>
    </row>
    <row r="5823">
      <c r="B5823" s="223" t="s">
        <v>200</v>
      </c>
      <c r="C5823" s="223"/>
      <c r="D5823" s="316"/>
      <c r="H5823" s="223">
        <v>0.0</v>
      </c>
      <c r="K5823" s="317"/>
    </row>
    <row r="5824">
      <c r="B5824" s="223" t="s">
        <v>200</v>
      </c>
      <c r="C5824" s="223"/>
      <c r="D5824" s="316"/>
      <c r="H5824" s="223">
        <v>0.0</v>
      </c>
      <c r="K5824" s="317"/>
    </row>
    <row r="5825">
      <c r="B5825" s="223" t="s">
        <v>200</v>
      </c>
      <c r="C5825" s="223"/>
      <c r="D5825" s="316"/>
      <c r="H5825" s="223">
        <v>0.0</v>
      </c>
      <c r="K5825" s="317"/>
    </row>
    <row r="5826">
      <c r="B5826" s="223" t="s">
        <v>200</v>
      </c>
      <c r="C5826" s="223"/>
      <c r="D5826" s="316"/>
      <c r="H5826" s="223">
        <v>0.0</v>
      </c>
      <c r="K5826" s="317"/>
    </row>
    <row r="5827">
      <c r="B5827" s="223" t="s">
        <v>200</v>
      </c>
      <c r="C5827" s="223"/>
      <c r="D5827" s="316"/>
      <c r="H5827" s="223">
        <v>0.0</v>
      </c>
      <c r="K5827" s="317"/>
    </row>
    <row r="5828">
      <c r="B5828" s="223" t="s">
        <v>200</v>
      </c>
      <c r="C5828" s="223"/>
      <c r="D5828" s="316"/>
      <c r="H5828" s="223">
        <v>0.0</v>
      </c>
      <c r="K5828" s="317"/>
    </row>
    <row r="5829">
      <c r="B5829" s="223" t="s">
        <v>200</v>
      </c>
      <c r="C5829" s="223"/>
      <c r="D5829" s="316"/>
      <c r="H5829" s="223">
        <v>0.0</v>
      </c>
      <c r="K5829" s="317"/>
    </row>
    <row r="5830">
      <c r="B5830" s="223" t="s">
        <v>200</v>
      </c>
      <c r="C5830" s="223"/>
      <c r="D5830" s="316"/>
      <c r="H5830" s="223">
        <v>0.0</v>
      </c>
      <c r="K5830" s="317"/>
    </row>
    <row r="5831">
      <c r="B5831" s="223" t="s">
        <v>200</v>
      </c>
      <c r="C5831" s="223"/>
      <c r="D5831" s="316"/>
      <c r="H5831" s="223">
        <v>0.0</v>
      </c>
      <c r="K5831" s="317"/>
    </row>
    <row r="5832">
      <c r="B5832" s="223" t="s">
        <v>200</v>
      </c>
      <c r="C5832" s="223"/>
      <c r="D5832" s="316"/>
      <c r="H5832" s="223">
        <v>0.0</v>
      </c>
      <c r="K5832" s="317"/>
    </row>
    <row r="5833">
      <c r="B5833" s="223" t="s">
        <v>200</v>
      </c>
      <c r="C5833" s="223"/>
      <c r="D5833" s="316"/>
      <c r="H5833" s="223">
        <v>0.0</v>
      </c>
      <c r="K5833" s="317"/>
    </row>
    <row r="5834">
      <c r="B5834" s="223" t="s">
        <v>200</v>
      </c>
      <c r="C5834" s="223"/>
      <c r="D5834" s="316"/>
      <c r="H5834" s="223">
        <v>0.0</v>
      </c>
      <c r="K5834" s="317"/>
    </row>
    <row r="5835">
      <c r="B5835" s="223" t="s">
        <v>200</v>
      </c>
      <c r="C5835" s="223"/>
      <c r="D5835" s="316"/>
      <c r="H5835" s="223">
        <v>0.0</v>
      </c>
      <c r="K5835" s="317"/>
    </row>
    <row r="5836">
      <c r="B5836" s="223" t="s">
        <v>200</v>
      </c>
      <c r="C5836" s="223"/>
      <c r="D5836" s="316"/>
      <c r="H5836" s="223">
        <v>0.0</v>
      </c>
      <c r="K5836" s="317"/>
    </row>
    <row r="5837">
      <c r="B5837" s="223" t="s">
        <v>200</v>
      </c>
      <c r="C5837" s="223"/>
      <c r="D5837" s="316"/>
      <c r="H5837" s="223">
        <v>0.0</v>
      </c>
      <c r="K5837" s="317"/>
    </row>
    <row r="5838">
      <c r="B5838" s="223" t="s">
        <v>200</v>
      </c>
      <c r="C5838" s="223"/>
      <c r="D5838" s="316"/>
      <c r="H5838" s="223">
        <v>0.0</v>
      </c>
      <c r="K5838" s="317"/>
    </row>
    <row r="5839">
      <c r="B5839" s="223" t="s">
        <v>200</v>
      </c>
      <c r="C5839" s="223"/>
      <c r="D5839" s="316"/>
      <c r="H5839" s="223">
        <v>0.0</v>
      </c>
      <c r="K5839" s="317"/>
    </row>
    <row r="5840">
      <c r="B5840" s="223" t="s">
        <v>200</v>
      </c>
      <c r="C5840" s="223"/>
      <c r="D5840" s="316"/>
      <c r="H5840" s="223">
        <v>0.0</v>
      </c>
      <c r="K5840" s="317"/>
    </row>
    <row r="5841">
      <c r="B5841" s="223" t="s">
        <v>200</v>
      </c>
      <c r="C5841" s="223"/>
      <c r="D5841" s="316"/>
      <c r="H5841" s="223">
        <v>0.0</v>
      </c>
      <c r="K5841" s="317"/>
    </row>
    <row r="5842">
      <c r="B5842" s="223" t="s">
        <v>200</v>
      </c>
      <c r="C5842" s="223"/>
      <c r="D5842" s="316"/>
      <c r="H5842" s="223">
        <v>0.0</v>
      </c>
      <c r="K5842" s="317"/>
    </row>
    <row r="5843">
      <c r="B5843" s="223" t="s">
        <v>200</v>
      </c>
      <c r="C5843" s="223"/>
      <c r="D5843" s="316"/>
      <c r="H5843" s="223">
        <v>0.0</v>
      </c>
      <c r="K5843" s="317"/>
    </row>
    <row r="5844">
      <c r="B5844" s="223" t="s">
        <v>200</v>
      </c>
      <c r="C5844" s="223"/>
      <c r="D5844" s="316"/>
      <c r="H5844" s="223">
        <v>0.0</v>
      </c>
      <c r="K5844" s="317"/>
    </row>
    <row r="5845">
      <c r="B5845" s="223" t="s">
        <v>200</v>
      </c>
      <c r="C5845" s="223"/>
      <c r="D5845" s="316"/>
      <c r="H5845" s="223">
        <v>0.0</v>
      </c>
      <c r="K5845" s="317"/>
    </row>
    <row r="5846">
      <c r="B5846" s="223" t="s">
        <v>200</v>
      </c>
      <c r="C5846" s="223"/>
      <c r="D5846" s="316"/>
      <c r="H5846" s="223">
        <v>0.0</v>
      </c>
      <c r="K5846" s="317"/>
    </row>
    <row r="5847">
      <c r="B5847" s="223" t="s">
        <v>200</v>
      </c>
      <c r="C5847" s="223"/>
      <c r="D5847" s="316"/>
      <c r="H5847" s="223">
        <v>0.0</v>
      </c>
      <c r="K5847" s="317"/>
    </row>
    <row r="5848">
      <c r="B5848" s="223" t="s">
        <v>200</v>
      </c>
      <c r="C5848" s="223"/>
      <c r="D5848" s="316"/>
      <c r="H5848" s="223">
        <v>0.0</v>
      </c>
      <c r="K5848" s="317"/>
    </row>
    <row r="5849">
      <c r="B5849" s="223" t="s">
        <v>200</v>
      </c>
      <c r="C5849" s="223"/>
      <c r="D5849" s="316"/>
      <c r="H5849" s="223">
        <v>0.0</v>
      </c>
      <c r="K5849" s="317"/>
    </row>
    <row r="5850">
      <c r="B5850" s="223" t="s">
        <v>200</v>
      </c>
      <c r="C5850" s="223"/>
      <c r="D5850" s="316"/>
      <c r="H5850" s="223">
        <v>0.0</v>
      </c>
      <c r="K5850" s="317"/>
    </row>
    <row r="5851">
      <c r="B5851" s="223" t="s">
        <v>200</v>
      </c>
      <c r="C5851" s="223"/>
      <c r="D5851" s="316"/>
      <c r="H5851" s="223">
        <v>0.0</v>
      </c>
      <c r="K5851" s="317"/>
    </row>
    <row r="5852">
      <c r="B5852" s="223" t="s">
        <v>200</v>
      </c>
      <c r="C5852" s="223"/>
      <c r="D5852" s="316"/>
      <c r="H5852" s="223">
        <v>0.0</v>
      </c>
      <c r="K5852" s="317"/>
    </row>
    <row r="5853">
      <c r="B5853" s="223" t="s">
        <v>200</v>
      </c>
      <c r="C5853" s="223"/>
      <c r="D5853" s="316"/>
      <c r="H5853" s="223">
        <v>0.0</v>
      </c>
      <c r="K5853" s="317"/>
    </row>
    <row r="5854">
      <c r="B5854" s="223" t="s">
        <v>200</v>
      </c>
      <c r="C5854" s="223"/>
      <c r="D5854" s="316"/>
      <c r="H5854" s="223">
        <v>0.0</v>
      </c>
      <c r="K5854" s="317"/>
    </row>
    <row r="5855">
      <c r="B5855" s="223" t="s">
        <v>200</v>
      </c>
      <c r="C5855" s="223"/>
      <c r="D5855" s="316"/>
      <c r="H5855" s="223">
        <v>0.0</v>
      </c>
      <c r="K5855" s="317"/>
    </row>
    <row r="5856">
      <c r="B5856" s="223" t="s">
        <v>200</v>
      </c>
      <c r="C5856" s="223"/>
      <c r="D5856" s="316"/>
      <c r="H5856" s="223">
        <v>0.0</v>
      </c>
      <c r="K5856" s="317"/>
    </row>
    <row r="5857">
      <c r="B5857" s="223" t="s">
        <v>200</v>
      </c>
      <c r="C5857" s="223"/>
      <c r="D5857" s="316"/>
      <c r="H5857" s="223">
        <v>0.0</v>
      </c>
      <c r="K5857" s="317"/>
    </row>
    <row r="5858">
      <c r="B5858" s="223" t="s">
        <v>200</v>
      </c>
      <c r="C5858" s="223"/>
      <c r="D5858" s="316"/>
      <c r="H5858" s="223">
        <v>0.0</v>
      </c>
      <c r="K5858" s="317"/>
    </row>
    <row r="5859">
      <c r="B5859" s="223" t="s">
        <v>200</v>
      </c>
      <c r="C5859" s="223"/>
      <c r="D5859" s="316"/>
      <c r="H5859" s="223">
        <v>0.0</v>
      </c>
      <c r="K5859" s="317"/>
    </row>
    <row r="5860">
      <c r="B5860" s="223" t="s">
        <v>200</v>
      </c>
      <c r="C5860" s="223"/>
      <c r="D5860" s="316"/>
      <c r="H5860" s="223">
        <v>0.0</v>
      </c>
      <c r="K5860" s="317"/>
    </row>
    <row r="5861">
      <c r="B5861" s="223" t="s">
        <v>200</v>
      </c>
      <c r="C5861" s="223"/>
      <c r="D5861" s="316"/>
      <c r="H5861" s="223">
        <v>0.0</v>
      </c>
      <c r="K5861" s="317"/>
    </row>
    <row r="5862">
      <c r="B5862" s="223" t="s">
        <v>200</v>
      </c>
      <c r="C5862" s="223"/>
      <c r="D5862" s="316"/>
      <c r="H5862" s="223">
        <v>0.0</v>
      </c>
      <c r="K5862" s="317"/>
    </row>
    <row r="5863">
      <c r="B5863" s="223" t="s">
        <v>200</v>
      </c>
      <c r="C5863" s="223"/>
      <c r="D5863" s="316"/>
      <c r="H5863" s="223">
        <v>0.0</v>
      </c>
      <c r="K5863" s="317"/>
    </row>
    <row r="5864">
      <c r="B5864" s="223" t="s">
        <v>200</v>
      </c>
      <c r="C5864" s="223"/>
      <c r="D5864" s="316"/>
      <c r="H5864" s="223">
        <v>0.0</v>
      </c>
      <c r="K5864" s="317"/>
    </row>
    <row r="5865">
      <c r="B5865" s="223" t="s">
        <v>200</v>
      </c>
      <c r="C5865" s="223"/>
      <c r="D5865" s="316"/>
      <c r="H5865" s="223">
        <v>0.0</v>
      </c>
      <c r="K5865" s="317"/>
    </row>
    <row r="5866">
      <c r="B5866" s="223" t="s">
        <v>200</v>
      </c>
      <c r="C5866" s="223"/>
      <c r="D5866" s="316"/>
      <c r="H5866" s="223">
        <v>0.0</v>
      </c>
      <c r="K5866" s="317"/>
    </row>
    <row r="5867">
      <c r="B5867" s="223" t="s">
        <v>200</v>
      </c>
      <c r="C5867" s="223"/>
      <c r="D5867" s="316"/>
      <c r="H5867" s="223">
        <v>0.0</v>
      </c>
      <c r="K5867" s="317"/>
    </row>
    <row r="5868">
      <c r="B5868" s="223" t="s">
        <v>200</v>
      </c>
      <c r="C5868" s="223"/>
      <c r="D5868" s="316"/>
      <c r="H5868" s="223">
        <v>0.0</v>
      </c>
      <c r="K5868" s="317"/>
    </row>
    <row r="5869">
      <c r="B5869" s="223" t="s">
        <v>200</v>
      </c>
      <c r="C5869" s="223"/>
      <c r="D5869" s="316"/>
      <c r="H5869" s="223">
        <v>0.0</v>
      </c>
      <c r="K5869" s="317"/>
    </row>
    <row r="5870">
      <c r="B5870" s="223" t="s">
        <v>200</v>
      </c>
      <c r="C5870" s="223"/>
      <c r="D5870" s="316"/>
      <c r="H5870" s="223">
        <v>0.0</v>
      </c>
      <c r="K5870" s="317"/>
    </row>
    <row r="5871">
      <c r="B5871" s="223" t="s">
        <v>200</v>
      </c>
      <c r="C5871" s="223"/>
      <c r="D5871" s="316"/>
      <c r="H5871" s="223">
        <v>0.0</v>
      </c>
      <c r="K5871" s="317"/>
    </row>
    <row r="5872">
      <c r="B5872" s="223" t="s">
        <v>200</v>
      </c>
      <c r="C5872" s="223"/>
      <c r="D5872" s="316"/>
      <c r="H5872" s="223">
        <v>0.0</v>
      </c>
      <c r="K5872" s="317"/>
    </row>
    <row r="5873">
      <c r="B5873" s="223" t="s">
        <v>200</v>
      </c>
      <c r="C5873" s="223"/>
      <c r="D5873" s="316"/>
      <c r="H5873" s="223">
        <v>0.0</v>
      </c>
      <c r="K5873" s="317"/>
    </row>
    <row r="5874">
      <c r="B5874" s="223" t="s">
        <v>200</v>
      </c>
      <c r="C5874" s="223"/>
      <c r="D5874" s="316"/>
      <c r="H5874" s="223">
        <v>0.0</v>
      </c>
      <c r="K5874" s="317"/>
    </row>
    <row r="5875">
      <c r="B5875" s="223" t="s">
        <v>200</v>
      </c>
      <c r="C5875" s="223"/>
      <c r="D5875" s="316"/>
      <c r="H5875" s="223">
        <v>0.0</v>
      </c>
      <c r="K5875" s="317"/>
    </row>
    <row r="5876">
      <c r="B5876" s="223" t="s">
        <v>200</v>
      </c>
      <c r="C5876" s="223"/>
      <c r="D5876" s="316"/>
      <c r="H5876" s="223">
        <v>0.0</v>
      </c>
      <c r="K5876" s="317"/>
    </row>
    <row r="5877">
      <c r="B5877" s="223" t="s">
        <v>200</v>
      </c>
      <c r="C5877" s="223"/>
      <c r="D5877" s="316"/>
      <c r="H5877" s="223">
        <v>0.0</v>
      </c>
      <c r="K5877" s="317"/>
    </row>
    <row r="5878">
      <c r="B5878" s="223" t="s">
        <v>200</v>
      </c>
      <c r="C5878" s="223"/>
      <c r="D5878" s="316"/>
      <c r="H5878" s="223">
        <v>0.0</v>
      </c>
      <c r="K5878" s="317"/>
    </row>
    <row r="5879">
      <c r="B5879" s="223" t="s">
        <v>200</v>
      </c>
      <c r="C5879" s="223"/>
      <c r="D5879" s="316"/>
      <c r="H5879" s="223">
        <v>0.0</v>
      </c>
      <c r="K5879" s="317"/>
    </row>
    <row r="5880">
      <c r="B5880" s="223" t="s">
        <v>200</v>
      </c>
      <c r="C5880" s="223"/>
      <c r="D5880" s="316"/>
      <c r="H5880" s="223">
        <v>0.0</v>
      </c>
      <c r="K5880" s="317"/>
    </row>
    <row r="5881">
      <c r="B5881" s="223" t="s">
        <v>200</v>
      </c>
      <c r="C5881" s="223"/>
      <c r="D5881" s="316"/>
      <c r="H5881" s="223">
        <v>0.0</v>
      </c>
      <c r="K5881" s="317"/>
    </row>
    <row r="5882">
      <c r="B5882" s="223" t="s">
        <v>200</v>
      </c>
      <c r="C5882" s="223"/>
      <c r="D5882" s="316"/>
      <c r="H5882" s="223">
        <v>0.0</v>
      </c>
      <c r="K5882" s="317"/>
    </row>
    <row r="5883">
      <c r="B5883" s="223" t="s">
        <v>200</v>
      </c>
      <c r="C5883" s="223"/>
      <c r="D5883" s="316"/>
      <c r="H5883" s="223">
        <v>0.0</v>
      </c>
      <c r="K5883" s="317"/>
    </row>
    <row r="5884">
      <c r="B5884" s="223" t="s">
        <v>200</v>
      </c>
      <c r="C5884" s="223"/>
      <c r="D5884" s="316"/>
      <c r="H5884" s="223">
        <v>0.0</v>
      </c>
      <c r="K5884" s="317"/>
    </row>
    <row r="5885">
      <c r="B5885" s="223" t="s">
        <v>200</v>
      </c>
      <c r="C5885" s="223"/>
      <c r="D5885" s="316"/>
      <c r="H5885" s="223">
        <v>0.0</v>
      </c>
      <c r="K5885" s="317"/>
    </row>
    <row r="5886">
      <c r="B5886" s="223" t="s">
        <v>200</v>
      </c>
      <c r="C5886" s="223"/>
      <c r="D5886" s="316"/>
      <c r="H5886" s="223">
        <v>0.0</v>
      </c>
      <c r="K5886" s="317"/>
    </row>
    <row r="5887">
      <c r="B5887" s="223" t="s">
        <v>200</v>
      </c>
      <c r="C5887" s="223"/>
      <c r="D5887" s="316"/>
      <c r="H5887" s="223">
        <v>0.0</v>
      </c>
      <c r="K5887" s="317"/>
    </row>
    <row r="5888">
      <c r="B5888" s="223" t="s">
        <v>200</v>
      </c>
      <c r="C5888" s="223"/>
      <c r="D5888" s="316"/>
      <c r="H5888" s="223">
        <v>0.0</v>
      </c>
      <c r="K5888" s="317"/>
    </row>
    <row r="5889">
      <c r="B5889" s="223" t="s">
        <v>200</v>
      </c>
      <c r="C5889" s="223"/>
      <c r="D5889" s="316"/>
      <c r="H5889" s="223">
        <v>0.0</v>
      </c>
      <c r="K5889" s="317"/>
    </row>
    <row r="5890">
      <c r="B5890" s="223" t="s">
        <v>200</v>
      </c>
      <c r="C5890" s="223"/>
      <c r="D5890" s="316"/>
      <c r="H5890" s="223">
        <v>0.0</v>
      </c>
      <c r="K5890" s="317"/>
    </row>
    <row r="5891">
      <c r="B5891" s="223" t="s">
        <v>200</v>
      </c>
      <c r="C5891" s="223"/>
      <c r="D5891" s="316"/>
      <c r="H5891" s="223">
        <v>0.0</v>
      </c>
      <c r="K5891" s="317"/>
    </row>
    <row r="5892">
      <c r="B5892" s="223" t="s">
        <v>200</v>
      </c>
      <c r="C5892" s="223"/>
      <c r="D5892" s="316"/>
      <c r="H5892" s="223">
        <v>0.0</v>
      </c>
      <c r="K5892" s="317"/>
    </row>
    <row r="5893">
      <c r="B5893" s="223" t="s">
        <v>200</v>
      </c>
      <c r="C5893" s="223"/>
      <c r="D5893" s="316"/>
      <c r="H5893" s="223">
        <v>0.0</v>
      </c>
      <c r="K5893" s="317"/>
    </row>
    <row r="5894">
      <c r="B5894" s="223" t="s">
        <v>200</v>
      </c>
      <c r="C5894" s="223"/>
      <c r="D5894" s="316"/>
      <c r="H5894" s="223">
        <v>0.0</v>
      </c>
      <c r="K5894" s="317"/>
    </row>
    <row r="5895">
      <c r="B5895" s="223" t="s">
        <v>200</v>
      </c>
      <c r="C5895" s="223"/>
      <c r="D5895" s="316"/>
      <c r="H5895" s="223">
        <v>0.0</v>
      </c>
      <c r="K5895" s="317"/>
    </row>
    <row r="5896">
      <c r="B5896" s="223" t="s">
        <v>200</v>
      </c>
      <c r="C5896" s="223"/>
      <c r="D5896" s="316"/>
      <c r="H5896" s="223">
        <v>0.0</v>
      </c>
      <c r="K5896" s="317"/>
    </row>
    <row r="5897">
      <c r="B5897" s="223" t="s">
        <v>200</v>
      </c>
      <c r="C5897" s="223"/>
      <c r="D5897" s="316"/>
      <c r="H5897" s="223">
        <v>0.0</v>
      </c>
      <c r="K5897" s="317"/>
    </row>
    <row r="5898">
      <c r="B5898" s="223" t="s">
        <v>200</v>
      </c>
      <c r="C5898" s="223"/>
      <c r="D5898" s="316"/>
      <c r="H5898" s="223">
        <v>0.0</v>
      </c>
      <c r="K5898" s="317"/>
    </row>
    <row r="5899">
      <c r="B5899" s="223" t="s">
        <v>200</v>
      </c>
      <c r="C5899" s="223"/>
      <c r="D5899" s="316"/>
      <c r="H5899" s="223">
        <v>0.0</v>
      </c>
      <c r="K5899" s="317"/>
    </row>
    <row r="5900">
      <c r="B5900" s="223" t="s">
        <v>200</v>
      </c>
      <c r="C5900" s="223"/>
      <c r="D5900" s="316"/>
      <c r="H5900" s="223">
        <v>0.0</v>
      </c>
      <c r="K5900" s="317"/>
    </row>
    <row r="5901">
      <c r="B5901" s="223" t="s">
        <v>200</v>
      </c>
      <c r="C5901" s="223"/>
      <c r="D5901" s="316"/>
      <c r="H5901" s="223">
        <v>0.0</v>
      </c>
      <c r="K5901" s="317"/>
    </row>
    <row r="5902">
      <c r="B5902" s="223" t="s">
        <v>200</v>
      </c>
      <c r="C5902" s="223"/>
      <c r="D5902" s="316"/>
      <c r="H5902" s="223">
        <v>0.0</v>
      </c>
      <c r="K5902" s="317"/>
    </row>
    <row r="5903">
      <c r="B5903" s="223" t="s">
        <v>200</v>
      </c>
      <c r="C5903" s="223"/>
      <c r="D5903" s="316"/>
      <c r="H5903" s="223">
        <v>0.0</v>
      </c>
      <c r="K5903" s="317"/>
    </row>
    <row r="5904">
      <c r="B5904" s="223" t="s">
        <v>200</v>
      </c>
      <c r="C5904" s="223"/>
      <c r="D5904" s="316"/>
      <c r="H5904" s="223">
        <v>0.0</v>
      </c>
      <c r="K5904" s="317"/>
    </row>
    <row r="5905">
      <c r="B5905" s="223" t="s">
        <v>200</v>
      </c>
      <c r="C5905" s="223"/>
      <c r="D5905" s="316"/>
      <c r="H5905" s="223">
        <v>0.0</v>
      </c>
      <c r="K5905" s="317"/>
    </row>
    <row r="5906">
      <c r="B5906" s="223" t="s">
        <v>200</v>
      </c>
      <c r="C5906" s="223"/>
      <c r="D5906" s="316"/>
      <c r="H5906" s="223">
        <v>0.0</v>
      </c>
      <c r="K5906" s="317"/>
    </row>
    <row r="5907">
      <c r="B5907" s="223" t="s">
        <v>200</v>
      </c>
      <c r="C5907" s="223"/>
      <c r="D5907" s="316"/>
      <c r="H5907" s="223">
        <v>0.0</v>
      </c>
      <c r="K5907" s="317"/>
    </row>
    <row r="5908">
      <c r="B5908" s="223" t="s">
        <v>200</v>
      </c>
      <c r="C5908" s="223"/>
      <c r="D5908" s="316"/>
      <c r="H5908" s="223">
        <v>0.0</v>
      </c>
      <c r="K5908" s="317"/>
    </row>
    <row r="5909">
      <c r="B5909" s="223" t="s">
        <v>200</v>
      </c>
      <c r="C5909" s="223"/>
      <c r="D5909" s="316"/>
      <c r="H5909" s="223">
        <v>0.0</v>
      </c>
      <c r="K5909" s="317"/>
    </row>
    <row r="5910">
      <c r="B5910" s="223" t="s">
        <v>200</v>
      </c>
      <c r="C5910" s="223"/>
      <c r="D5910" s="316"/>
      <c r="H5910" s="223">
        <v>0.0</v>
      </c>
      <c r="K5910" s="317"/>
    </row>
    <row r="5911">
      <c r="B5911" s="223" t="s">
        <v>200</v>
      </c>
      <c r="C5911" s="223"/>
      <c r="D5911" s="316"/>
      <c r="H5911" s="223">
        <v>0.0</v>
      </c>
      <c r="K5911" s="317"/>
    </row>
    <row r="5912">
      <c r="B5912" s="223" t="s">
        <v>200</v>
      </c>
      <c r="C5912" s="223"/>
      <c r="D5912" s="316"/>
      <c r="H5912" s="223">
        <v>0.0</v>
      </c>
      <c r="K5912" s="317"/>
    </row>
    <row r="5913">
      <c r="B5913" s="223" t="s">
        <v>200</v>
      </c>
      <c r="C5913" s="223"/>
      <c r="D5913" s="316"/>
      <c r="H5913" s="223">
        <v>0.0</v>
      </c>
      <c r="K5913" s="317"/>
    </row>
    <row r="5914">
      <c r="B5914" s="223" t="s">
        <v>200</v>
      </c>
      <c r="C5914" s="223"/>
      <c r="D5914" s="316"/>
      <c r="H5914" s="223">
        <v>0.0</v>
      </c>
      <c r="K5914" s="317"/>
    </row>
    <row r="5915">
      <c r="B5915" s="223" t="s">
        <v>200</v>
      </c>
      <c r="C5915" s="223"/>
      <c r="D5915" s="316"/>
      <c r="H5915" s="223">
        <v>0.0</v>
      </c>
      <c r="K5915" s="317"/>
    </row>
    <row r="5916">
      <c r="B5916" s="223" t="s">
        <v>200</v>
      </c>
      <c r="C5916" s="223"/>
      <c r="D5916" s="316"/>
      <c r="H5916" s="223">
        <v>0.0</v>
      </c>
      <c r="K5916" s="317"/>
    </row>
    <row r="5917">
      <c r="B5917" s="223" t="s">
        <v>200</v>
      </c>
      <c r="C5917" s="223"/>
      <c r="D5917" s="316"/>
      <c r="H5917" s="223">
        <v>0.0</v>
      </c>
      <c r="K5917" s="317"/>
    </row>
    <row r="5918">
      <c r="B5918" s="223" t="s">
        <v>200</v>
      </c>
      <c r="C5918" s="223"/>
      <c r="D5918" s="316"/>
      <c r="H5918" s="223">
        <v>0.0</v>
      </c>
      <c r="K5918" s="317"/>
    </row>
    <row r="5919">
      <c r="B5919" s="223" t="s">
        <v>200</v>
      </c>
      <c r="C5919" s="223"/>
      <c r="D5919" s="316"/>
      <c r="H5919" s="223">
        <v>0.0</v>
      </c>
      <c r="K5919" s="317"/>
    </row>
    <row r="5920">
      <c r="B5920" s="223" t="s">
        <v>200</v>
      </c>
      <c r="C5920" s="223"/>
      <c r="D5920" s="316"/>
      <c r="H5920" s="223">
        <v>0.0</v>
      </c>
      <c r="K5920" s="317"/>
    </row>
    <row r="5921">
      <c r="B5921" s="223" t="s">
        <v>200</v>
      </c>
      <c r="C5921" s="223"/>
      <c r="D5921" s="316"/>
      <c r="H5921" s="223">
        <v>0.0</v>
      </c>
      <c r="K5921" s="317"/>
    </row>
    <row r="5922">
      <c r="B5922" s="223" t="s">
        <v>200</v>
      </c>
      <c r="C5922" s="223"/>
      <c r="D5922" s="316"/>
      <c r="H5922" s="223">
        <v>0.0</v>
      </c>
      <c r="K5922" s="317"/>
    </row>
    <row r="5923">
      <c r="B5923" s="223" t="s">
        <v>200</v>
      </c>
      <c r="C5923" s="223"/>
      <c r="D5923" s="316"/>
      <c r="H5923" s="223">
        <v>0.0</v>
      </c>
      <c r="K5923" s="317"/>
    </row>
    <row r="5924">
      <c r="B5924" s="223" t="s">
        <v>200</v>
      </c>
      <c r="C5924" s="223"/>
      <c r="D5924" s="316"/>
      <c r="H5924" s="223">
        <v>0.0</v>
      </c>
      <c r="K5924" s="317"/>
    </row>
    <row r="5925">
      <c r="B5925" s="223" t="s">
        <v>200</v>
      </c>
      <c r="C5925" s="223"/>
      <c r="D5925" s="316"/>
      <c r="H5925" s="223">
        <v>0.0</v>
      </c>
      <c r="K5925" s="317"/>
    </row>
    <row r="5926">
      <c r="B5926" s="223" t="s">
        <v>200</v>
      </c>
      <c r="C5926" s="223"/>
      <c r="D5926" s="316"/>
      <c r="H5926" s="223">
        <v>0.0</v>
      </c>
      <c r="K5926" s="317"/>
    </row>
    <row r="5927">
      <c r="B5927" s="223" t="s">
        <v>200</v>
      </c>
      <c r="C5927" s="223"/>
      <c r="D5927" s="316"/>
      <c r="H5927" s="223">
        <v>0.0</v>
      </c>
      <c r="K5927" s="317"/>
    </row>
    <row r="5928">
      <c r="B5928" s="223" t="s">
        <v>200</v>
      </c>
      <c r="C5928" s="223"/>
      <c r="D5928" s="316"/>
      <c r="H5928" s="223">
        <v>0.0</v>
      </c>
      <c r="K5928" s="317"/>
    </row>
    <row r="5929">
      <c r="B5929" s="223" t="s">
        <v>200</v>
      </c>
      <c r="C5929" s="223"/>
      <c r="D5929" s="316"/>
      <c r="H5929" s="223">
        <v>0.0</v>
      </c>
      <c r="K5929" s="317"/>
    </row>
    <row r="5930">
      <c r="B5930" s="223" t="s">
        <v>200</v>
      </c>
      <c r="C5930" s="223"/>
      <c r="D5930" s="316"/>
      <c r="H5930" s="223">
        <v>0.0</v>
      </c>
      <c r="K5930" s="317"/>
    </row>
    <row r="5931">
      <c r="B5931" s="223" t="s">
        <v>200</v>
      </c>
      <c r="C5931" s="223"/>
      <c r="D5931" s="316"/>
      <c r="H5931" s="223">
        <v>0.0</v>
      </c>
      <c r="K5931" s="317"/>
    </row>
    <row r="5932">
      <c r="B5932" s="223" t="s">
        <v>200</v>
      </c>
      <c r="C5932" s="223"/>
      <c r="D5932" s="316"/>
      <c r="H5932" s="223">
        <v>0.0</v>
      </c>
      <c r="K5932" s="317"/>
    </row>
    <row r="5933">
      <c r="B5933" s="223" t="s">
        <v>200</v>
      </c>
      <c r="C5933" s="223"/>
      <c r="D5933" s="316"/>
      <c r="H5933" s="223">
        <v>0.0</v>
      </c>
      <c r="K5933" s="317"/>
    </row>
    <row r="5934">
      <c r="B5934" s="223" t="s">
        <v>200</v>
      </c>
      <c r="C5934" s="223"/>
      <c r="D5934" s="316"/>
      <c r="H5934" s="223">
        <v>0.0</v>
      </c>
      <c r="K5934" s="317"/>
    </row>
    <row r="5935">
      <c r="B5935" s="223" t="s">
        <v>200</v>
      </c>
      <c r="C5935" s="223"/>
      <c r="D5935" s="316"/>
      <c r="H5935" s="223">
        <v>0.0</v>
      </c>
      <c r="K5935" s="317"/>
    </row>
    <row r="5936">
      <c r="B5936" s="223" t="s">
        <v>200</v>
      </c>
      <c r="C5936" s="223"/>
      <c r="D5936" s="316"/>
      <c r="H5936" s="223">
        <v>0.0</v>
      </c>
      <c r="K5936" s="317"/>
    </row>
    <row r="5937">
      <c r="B5937" s="223" t="s">
        <v>200</v>
      </c>
      <c r="C5937" s="223"/>
      <c r="D5937" s="316"/>
      <c r="H5937" s="223">
        <v>0.0</v>
      </c>
      <c r="K5937" s="317"/>
    </row>
    <row r="5938">
      <c r="B5938" s="223" t="s">
        <v>200</v>
      </c>
      <c r="C5938" s="223"/>
      <c r="D5938" s="316"/>
      <c r="H5938" s="223">
        <v>0.0</v>
      </c>
      <c r="K5938" s="317"/>
    </row>
    <row r="5939">
      <c r="B5939" s="223" t="s">
        <v>200</v>
      </c>
      <c r="C5939" s="223"/>
      <c r="D5939" s="316"/>
      <c r="H5939" s="223">
        <v>0.0</v>
      </c>
      <c r="K5939" s="317"/>
    </row>
    <row r="5940">
      <c r="B5940" s="223" t="s">
        <v>200</v>
      </c>
      <c r="C5940" s="223"/>
      <c r="D5940" s="316"/>
      <c r="H5940" s="223">
        <v>0.0</v>
      </c>
      <c r="K5940" s="317"/>
    </row>
    <row r="5941">
      <c r="B5941" s="223" t="s">
        <v>200</v>
      </c>
      <c r="C5941" s="223"/>
      <c r="D5941" s="316"/>
      <c r="H5941" s="223">
        <v>0.0</v>
      </c>
      <c r="K5941" s="317"/>
    </row>
    <row r="5942">
      <c r="B5942" s="223" t="s">
        <v>200</v>
      </c>
      <c r="C5942" s="223"/>
      <c r="D5942" s="316"/>
      <c r="H5942" s="223">
        <v>0.0</v>
      </c>
      <c r="K5942" s="317"/>
    </row>
    <row r="5943">
      <c r="B5943" s="223" t="s">
        <v>200</v>
      </c>
      <c r="C5943" s="223"/>
      <c r="D5943" s="316"/>
      <c r="H5943" s="223">
        <v>0.0</v>
      </c>
      <c r="K5943" s="317"/>
    </row>
    <row r="5944">
      <c r="B5944" s="223" t="s">
        <v>200</v>
      </c>
      <c r="C5944" s="223"/>
      <c r="D5944" s="316"/>
      <c r="H5944" s="223">
        <v>0.0</v>
      </c>
      <c r="K5944" s="317"/>
    </row>
    <row r="5945">
      <c r="B5945" s="223" t="s">
        <v>200</v>
      </c>
      <c r="C5945" s="223"/>
      <c r="D5945" s="316"/>
      <c r="H5945" s="223">
        <v>0.0</v>
      </c>
      <c r="K5945" s="317"/>
    </row>
    <row r="5946">
      <c r="B5946" s="223" t="s">
        <v>200</v>
      </c>
      <c r="C5946" s="223"/>
      <c r="D5946" s="316"/>
      <c r="H5946" s="223">
        <v>0.0</v>
      </c>
      <c r="K5946" s="317"/>
    </row>
    <row r="5947">
      <c r="B5947" s="223" t="s">
        <v>200</v>
      </c>
      <c r="C5947" s="223"/>
      <c r="D5947" s="316"/>
      <c r="H5947" s="223">
        <v>0.0</v>
      </c>
      <c r="K5947" s="317"/>
    </row>
    <row r="5948">
      <c r="B5948" s="223" t="s">
        <v>200</v>
      </c>
      <c r="C5948" s="223"/>
      <c r="D5948" s="316"/>
      <c r="H5948" s="223">
        <v>0.0</v>
      </c>
      <c r="K5948" s="317"/>
    </row>
    <row r="5949">
      <c r="B5949" s="223" t="s">
        <v>200</v>
      </c>
      <c r="C5949" s="223"/>
      <c r="D5949" s="316"/>
      <c r="H5949" s="223">
        <v>0.0</v>
      </c>
      <c r="K5949" s="317"/>
    </row>
    <row r="5950">
      <c r="B5950" s="223" t="s">
        <v>200</v>
      </c>
      <c r="C5950" s="223"/>
      <c r="D5950" s="316"/>
      <c r="H5950" s="223">
        <v>0.0</v>
      </c>
      <c r="K5950" s="317"/>
    </row>
    <row r="5951">
      <c r="B5951" s="223" t="s">
        <v>200</v>
      </c>
      <c r="C5951" s="223"/>
      <c r="D5951" s="316"/>
      <c r="H5951" s="223">
        <v>0.0</v>
      </c>
      <c r="K5951" s="317"/>
    </row>
    <row r="5952">
      <c r="B5952" s="223" t="s">
        <v>200</v>
      </c>
      <c r="C5952" s="223"/>
      <c r="D5952" s="316"/>
      <c r="H5952" s="223">
        <v>0.0</v>
      </c>
      <c r="K5952" s="317"/>
    </row>
    <row r="5953">
      <c r="B5953" s="223" t="s">
        <v>200</v>
      </c>
      <c r="C5953" s="223"/>
      <c r="D5953" s="316"/>
      <c r="H5953" s="223">
        <v>0.0</v>
      </c>
      <c r="K5953" s="317"/>
    </row>
    <row r="5954">
      <c r="B5954" s="223" t="s">
        <v>200</v>
      </c>
      <c r="C5954" s="223"/>
      <c r="D5954" s="316"/>
      <c r="H5954" s="223">
        <v>0.0</v>
      </c>
      <c r="K5954" s="317"/>
    </row>
    <row r="5955">
      <c r="B5955" s="223" t="s">
        <v>200</v>
      </c>
      <c r="C5955" s="223"/>
      <c r="D5955" s="316"/>
      <c r="H5955" s="223">
        <v>0.0</v>
      </c>
      <c r="K5955" s="317"/>
    </row>
    <row r="5956">
      <c r="B5956" s="223" t="s">
        <v>200</v>
      </c>
      <c r="C5956" s="223"/>
      <c r="D5956" s="316"/>
      <c r="H5956" s="223">
        <v>0.0</v>
      </c>
      <c r="K5956" s="317"/>
    </row>
    <row r="5957">
      <c r="B5957" s="223" t="s">
        <v>200</v>
      </c>
      <c r="C5957" s="223"/>
      <c r="D5957" s="316"/>
      <c r="H5957" s="223">
        <v>0.0</v>
      </c>
      <c r="K5957" s="317"/>
    </row>
    <row r="5958">
      <c r="B5958" s="223" t="s">
        <v>200</v>
      </c>
      <c r="C5958" s="223"/>
      <c r="D5958" s="316"/>
      <c r="H5958" s="223">
        <v>0.0</v>
      </c>
      <c r="K5958" s="317"/>
    </row>
    <row r="5959">
      <c r="B5959" s="223" t="s">
        <v>200</v>
      </c>
      <c r="C5959" s="223"/>
      <c r="D5959" s="316"/>
      <c r="H5959" s="223">
        <v>0.0</v>
      </c>
      <c r="K5959" s="317"/>
    </row>
    <row r="5960">
      <c r="B5960" s="223" t="s">
        <v>200</v>
      </c>
      <c r="C5960" s="223"/>
      <c r="D5960" s="316"/>
      <c r="H5960" s="223">
        <v>0.0</v>
      </c>
      <c r="K5960" s="317"/>
    </row>
    <row r="5961">
      <c r="B5961" s="223" t="s">
        <v>200</v>
      </c>
      <c r="C5961" s="223"/>
      <c r="D5961" s="316"/>
      <c r="H5961" s="223">
        <v>0.0</v>
      </c>
      <c r="K5961" s="317"/>
    </row>
    <row r="5962">
      <c r="B5962" s="223" t="s">
        <v>200</v>
      </c>
      <c r="C5962" s="223"/>
      <c r="D5962" s="316"/>
      <c r="H5962" s="223">
        <v>0.0</v>
      </c>
      <c r="K5962" s="317"/>
    </row>
    <row r="5963">
      <c r="B5963" s="223" t="s">
        <v>200</v>
      </c>
      <c r="C5963" s="223"/>
      <c r="D5963" s="316"/>
      <c r="H5963" s="223">
        <v>0.0</v>
      </c>
      <c r="K5963" s="317"/>
    </row>
    <row r="5964">
      <c r="B5964" s="223" t="s">
        <v>200</v>
      </c>
      <c r="C5964" s="223"/>
      <c r="D5964" s="316"/>
      <c r="H5964" s="223">
        <v>0.0</v>
      </c>
      <c r="K5964" s="317"/>
    </row>
    <row r="5965">
      <c r="B5965" s="223" t="s">
        <v>200</v>
      </c>
      <c r="C5965" s="223"/>
      <c r="D5965" s="316"/>
      <c r="H5965" s="223">
        <v>0.0</v>
      </c>
      <c r="K5965" s="317"/>
    </row>
    <row r="5966">
      <c r="B5966" s="223" t="s">
        <v>200</v>
      </c>
      <c r="C5966" s="223"/>
      <c r="D5966" s="316"/>
      <c r="H5966" s="223">
        <v>0.0</v>
      </c>
      <c r="K5966" s="317"/>
    </row>
    <row r="5967">
      <c r="B5967" s="223" t="s">
        <v>200</v>
      </c>
      <c r="C5967" s="223"/>
      <c r="D5967" s="316"/>
      <c r="H5967" s="223">
        <v>0.0</v>
      </c>
      <c r="K5967" s="317"/>
    </row>
    <row r="5968">
      <c r="B5968" s="223" t="s">
        <v>200</v>
      </c>
      <c r="C5968" s="223"/>
      <c r="D5968" s="316"/>
      <c r="H5968" s="223">
        <v>0.0</v>
      </c>
      <c r="K5968" s="317"/>
    </row>
    <row r="5969">
      <c r="B5969" s="223" t="s">
        <v>200</v>
      </c>
      <c r="C5969" s="223"/>
      <c r="D5969" s="316"/>
      <c r="H5969" s="223">
        <v>0.0</v>
      </c>
      <c r="K5969" s="317"/>
    </row>
    <row r="5970">
      <c r="B5970" s="223" t="s">
        <v>200</v>
      </c>
      <c r="C5970" s="223"/>
      <c r="D5970" s="316"/>
      <c r="H5970" s="223">
        <v>0.0</v>
      </c>
      <c r="K5970" s="317"/>
    </row>
    <row r="5971">
      <c r="B5971" s="223" t="s">
        <v>200</v>
      </c>
      <c r="C5971" s="223"/>
      <c r="D5971" s="316"/>
      <c r="H5971" s="223">
        <v>0.0</v>
      </c>
      <c r="K5971" s="317"/>
    </row>
    <row r="5972">
      <c r="B5972" s="223" t="s">
        <v>200</v>
      </c>
      <c r="C5972" s="223"/>
      <c r="D5972" s="316"/>
      <c r="H5972" s="223">
        <v>0.0</v>
      </c>
      <c r="K5972" s="317"/>
    </row>
    <row r="5973">
      <c r="B5973" s="223" t="s">
        <v>200</v>
      </c>
      <c r="C5973" s="223"/>
      <c r="D5973" s="316"/>
      <c r="H5973" s="223">
        <v>0.0</v>
      </c>
      <c r="K5973" s="317"/>
    </row>
    <row r="5974">
      <c r="B5974" s="223" t="s">
        <v>200</v>
      </c>
      <c r="C5974" s="223"/>
      <c r="D5974" s="316"/>
      <c r="H5974" s="223">
        <v>0.0</v>
      </c>
      <c r="K5974" s="317"/>
    </row>
    <row r="5975">
      <c r="B5975" s="223" t="s">
        <v>200</v>
      </c>
      <c r="C5975" s="223"/>
      <c r="D5975" s="316"/>
      <c r="H5975" s="223">
        <v>0.0</v>
      </c>
      <c r="K5975" s="317"/>
    </row>
    <row r="5976">
      <c r="B5976" s="223" t="s">
        <v>200</v>
      </c>
      <c r="C5976" s="223"/>
      <c r="D5976" s="316"/>
      <c r="H5976" s="223">
        <v>0.0</v>
      </c>
      <c r="K5976" s="317"/>
    </row>
    <row r="5977">
      <c r="B5977" s="223" t="s">
        <v>200</v>
      </c>
      <c r="C5977" s="223"/>
      <c r="D5977" s="316"/>
      <c r="H5977" s="223">
        <v>0.0</v>
      </c>
      <c r="K5977" s="317"/>
    </row>
    <row r="5978">
      <c r="B5978" s="223" t="s">
        <v>200</v>
      </c>
      <c r="C5978" s="223"/>
      <c r="D5978" s="316"/>
      <c r="H5978" s="223">
        <v>0.0</v>
      </c>
      <c r="K5978" s="317"/>
    </row>
    <row r="5979">
      <c r="B5979" s="223" t="s">
        <v>200</v>
      </c>
      <c r="C5979" s="223"/>
      <c r="D5979" s="316"/>
      <c r="H5979" s="223">
        <v>0.0</v>
      </c>
      <c r="K5979" s="317"/>
    </row>
    <row r="5980">
      <c r="B5980" s="223" t="s">
        <v>200</v>
      </c>
      <c r="C5980" s="223"/>
      <c r="D5980" s="316"/>
      <c r="H5980" s="223">
        <v>0.0</v>
      </c>
      <c r="K5980" s="317"/>
    </row>
    <row r="5981">
      <c r="B5981" s="223" t="s">
        <v>200</v>
      </c>
      <c r="C5981" s="223"/>
      <c r="D5981" s="316"/>
      <c r="H5981" s="223">
        <v>0.0</v>
      </c>
      <c r="K5981" s="317"/>
    </row>
    <row r="5982">
      <c r="B5982" s="223" t="s">
        <v>200</v>
      </c>
      <c r="C5982" s="223"/>
      <c r="D5982" s="316"/>
      <c r="H5982" s="223">
        <v>0.0</v>
      </c>
      <c r="K5982" s="317"/>
    </row>
    <row r="5983">
      <c r="B5983" s="223" t="s">
        <v>200</v>
      </c>
      <c r="C5983" s="223"/>
      <c r="D5983" s="316"/>
      <c r="H5983" s="223">
        <v>0.0</v>
      </c>
      <c r="K5983" s="317"/>
    </row>
    <row r="5984">
      <c r="B5984" s="223" t="s">
        <v>200</v>
      </c>
      <c r="C5984" s="223"/>
      <c r="D5984" s="316"/>
      <c r="H5984" s="223">
        <v>0.0</v>
      </c>
      <c r="K5984" s="317"/>
    </row>
    <row r="5985">
      <c r="B5985" s="223" t="s">
        <v>200</v>
      </c>
      <c r="C5985" s="223"/>
      <c r="D5985" s="316"/>
      <c r="H5985" s="223">
        <v>0.0</v>
      </c>
      <c r="K5985" s="317"/>
    </row>
    <row r="5986">
      <c r="B5986" s="223" t="s">
        <v>200</v>
      </c>
      <c r="C5986" s="223"/>
      <c r="D5986" s="316"/>
      <c r="H5986" s="223">
        <v>0.0</v>
      </c>
      <c r="K5986" s="317"/>
    </row>
    <row r="5987">
      <c r="B5987" s="223" t="s">
        <v>200</v>
      </c>
      <c r="C5987" s="223"/>
      <c r="D5987" s="316"/>
      <c r="H5987" s="223">
        <v>0.0</v>
      </c>
      <c r="K5987" s="317"/>
    </row>
    <row r="5988">
      <c r="B5988" s="223" t="s">
        <v>200</v>
      </c>
      <c r="C5988" s="223"/>
      <c r="D5988" s="316"/>
      <c r="H5988" s="223">
        <v>0.0</v>
      </c>
      <c r="K5988" s="317"/>
    </row>
    <row r="5989">
      <c r="B5989" s="223" t="s">
        <v>200</v>
      </c>
      <c r="C5989" s="223"/>
      <c r="D5989" s="316"/>
      <c r="H5989" s="223">
        <v>0.0</v>
      </c>
      <c r="K5989" s="317"/>
    </row>
    <row r="5990">
      <c r="B5990" s="223" t="s">
        <v>200</v>
      </c>
      <c r="C5990" s="223"/>
      <c r="D5990" s="316"/>
      <c r="H5990" s="223">
        <v>0.0</v>
      </c>
      <c r="K5990" s="317"/>
    </row>
    <row r="5991">
      <c r="B5991" s="223" t="s">
        <v>200</v>
      </c>
      <c r="C5991" s="223"/>
      <c r="D5991" s="316"/>
      <c r="H5991" s="223">
        <v>0.0</v>
      </c>
      <c r="K5991" s="317"/>
    </row>
    <row r="5992">
      <c r="B5992" s="223" t="s">
        <v>200</v>
      </c>
      <c r="C5992" s="223"/>
      <c r="D5992" s="316"/>
      <c r="H5992" s="223">
        <v>0.0</v>
      </c>
      <c r="K5992" s="317"/>
    </row>
    <row r="5993">
      <c r="B5993" s="223" t="s">
        <v>200</v>
      </c>
      <c r="C5993" s="223"/>
      <c r="D5993" s="316"/>
      <c r="H5993" s="223">
        <v>0.0</v>
      </c>
      <c r="K5993" s="317"/>
    </row>
    <row r="5994">
      <c r="B5994" s="223" t="s">
        <v>200</v>
      </c>
      <c r="C5994" s="223"/>
      <c r="D5994" s="316"/>
      <c r="H5994" s="223">
        <v>0.0</v>
      </c>
      <c r="K5994" s="317"/>
    </row>
    <row r="5995">
      <c r="B5995" s="223" t="s">
        <v>200</v>
      </c>
      <c r="C5995" s="223"/>
      <c r="D5995" s="316"/>
      <c r="H5995" s="223">
        <v>0.0</v>
      </c>
      <c r="K5995" s="317"/>
    </row>
    <row r="5996">
      <c r="B5996" s="223" t="s">
        <v>200</v>
      </c>
      <c r="C5996" s="223"/>
      <c r="D5996" s="316"/>
      <c r="H5996" s="223">
        <v>0.0</v>
      </c>
      <c r="K5996" s="317"/>
    </row>
    <row r="5997">
      <c r="B5997" s="223" t="s">
        <v>200</v>
      </c>
      <c r="C5997" s="223"/>
      <c r="D5997" s="316"/>
      <c r="H5997" s="223">
        <v>0.0</v>
      </c>
      <c r="K5997" s="317"/>
    </row>
    <row r="5998">
      <c r="B5998" s="223" t="s">
        <v>200</v>
      </c>
      <c r="C5998" s="223"/>
      <c r="D5998" s="316"/>
      <c r="H5998" s="223">
        <v>0.0</v>
      </c>
      <c r="K5998" s="317"/>
    </row>
    <row r="5999">
      <c r="B5999" s="223" t="s">
        <v>200</v>
      </c>
      <c r="C5999" s="223"/>
      <c r="D5999" s="316"/>
      <c r="H5999" s="223">
        <v>0.0</v>
      </c>
      <c r="K5999" s="317"/>
    </row>
    <row r="6000">
      <c r="B6000" s="223" t="s">
        <v>200</v>
      </c>
      <c r="C6000" s="223"/>
      <c r="D6000" s="316"/>
      <c r="H6000" s="223">
        <v>0.0</v>
      </c>
      <c r="K6000" s="317"/>
    </row>
    <row r="6001">
      <c r="B6001" s="223" t="s">
        <v>200</v>
      </c>
      <c r="C6001" s="223"/>
      <c r="D6001" s="316"/>
      <c r="H6001" s="223">
        <v>0.0</v>
      </c>
      <c r="K6001" s="317"/>
    </row>
    <row r="6002">
      <c r="B6002" s="223" t="s">
        <v>200</v>
      </c>
      <c r="C6002" s="223"/>
      <c r="D6002" s="316"/>
      <c r="H6002" s="223">
        <v>0.0</v>
      </c>
      <c r="K6002" s="317"/>
    </row>
    <row r="6003">
      <c r="B6003" s="223" t="s">
        <v>200</v>
      </c>
      <c r="C6003" s="223"/>
      <c r="D6003" s="316"/>
      <c r="H6003" s="223">
        <v>0.0</v>
      </c>
      <c r="K6003" s="317"/>
    </row>
    <row r="6004">
      <c r="B6004" s="223" t="s">
        <v>200</v>
      </c>
      <c r="C6004" s="223"/>
      <c r="D6004" s="316"/>
      <c r="H6004" s="223">
        <v>0.0</v>
      </c>
      <c r="K6004" s="317"/>
    </row>
    <row r="6005">
      <c r="B6005" s="223" t="s">
        <v>200</v>
      </c>
      <c r="C6005" s="223"/>
      <c r="D6005" s="316"/>
      <c r="H6005" s="223">
        <v>0.0</v>
      </c>
      <c r="K6005" s="317"/>
    </row>
    <row r="6006">
      <c r="B6006" s="223" t="s">
        <v>200</v>
      </c>
      <c r="C6006" s="223"/>
      <c r="D6006" s="316"/>
      <c r="H6006" s="223">
        <v>0.0</v>
      </c>
      <c r="K6006" s="317"/>
    </row>
    <row r="6007">
      <c r="B6007" s="223" t="s">
        <v>200</v>
      </c>
      <c r="C6007" s="223"/>
      <c r="D6007" s="316"/>
      <c r="H6007" s="223">
        <v>0.0</v>
      </c>
      <c r="K6007" s="317"/>
    </row>
    <row r="6008">
      <c r="B6008" s="223" t="s">
        <v>200</v>
      </c>
      <c r="C6008" s="223"/>
      <c r="D6008" s="316"/>
      <c r="H6008" s="223">
        <v>0.0</v>
      </c>
      <c r="K6008" s="317"/>
    </row>
    <row r="6009">
      <c r="B6009" s="223" t="s">
        <v>200</v>
      </c>
      <c r="C6009" s="223"/>
      <c r="D6009" s="316"/>
      <c r="H6009" s="223">
        <v>0.0</v>
      </c>
      <c r="K6009" s="317"/>
    </row>
    <row r="6010">
      <c r="B6010" s="223" t="s">
        <v>200</v>
      </c>
      <c r="C6010" s="223"/>
      <c r="D6010" s="316"/>
      <c r="H6010" s="223">
        <v>0.0</v>
      </c>
      <c r="K6010" s="317"/>
    </row>
    <row r="6011">
      <c r="B6011" s="223" t="s">
        <v>200</v>
      </c>
      <c r="C6011" s="223"/>
      <c r="D6011" s="316"/>
      <c r="H6011" s="223">
        <v>0.0</v>
      </c>
      <c r="K6011" s="317"/>
    </row>
    <row r="6012">
      <c r="B6012" s="223" t="s">
        <v>200</v>
      </c>
      <c r="C6012" s="223"/>
      <c r="D6012" s="316"/>
      <c r="H6012" s="223">
        <v>0.0</v>
      </c>
      <c r="K6012" s="317"/>
    </row>
    <row r="6013">
      <c r="B6013" s="223" t="s">
        <v>200</v>
      </c>
      <c r="C6013" s="223"/>
      <c r="D6013" s="316"/>
      <c r="H6013" s="223">
        <v>0.0</v>
      </c>
      <c r="K6013" s="317"/>
    </row>
    <row r="6014">
      <c r="B6014" s="223" t="s">
        <v>200</v>
      </c>
      <c r="C6014" s="223"/>
      <c r="D6014" s="316"/>
      <c r="H6014" s="223">
        <v>0.0</v>
      </c>
      <c r="K6014" s="317"/>
    </row>
    <row r="6015">
      <c r="B6015" s="223" t="s">
        <v>200</v>
      </c>
      <c r="C6015" s="223"/>
      <c r="D6015" s="316"/>
      <c r="H6015" s="223">
        <v>0.0</v>
      </c>
      <c r="K6015" s="317"/>
    </row>
    <row r="6016">
      <c r="B6016" s="223" t="s">
        <v>200</v>
      </c>
      <c r="C6016" s="223"/>
      <c r="D6016" s="316"/>
      <c r="H6016" s="223">
        <v>0.0</v>
      </c>
      <c r="K6016" s="317"/>
    </row>
    <row r="6017">
      <c r="B6017" s="223" t="s">
        <v>200</v>
      </c>
      <c r="C6017" s="223"/>
      <c r="D6017" s="316"/>
      <c r="H6017" s="223">
        <v>0.0</v>
      </c>
      <c r="K6017" s="317"/>
    </row>
    <row r="6018">
      <c r="B6018" s="223" t="s">
        <v>200</v>
      </c>
      <c r="C6018" s="223"/>
      <c r="D6018" s="316"/>
      <c r="H6018" s="223">
        <v>0.0</v>
      </c>
      <c r="K6018" s="317"/>
    </row>
    <row r="6019">
      <c r="B6019" s="223" t="s">
        <v>200</v>
      </c>
      <c r="C6019" s="223"/>
      <c r="D6019" s="316"/>
      <c r="H6019" s="223">
        <v>0.0</v>
      </c>
      <c r="K6019" s="317"/>
    </row>
    <row r="6020">
      <c r="B6020" s="223" t="s">
        <v>200</v>
      </c>
      <c r="C6020" s="223"/>
      <c r="D6020" s="316"/>
      <c r="H6020" s="223">
        <v>0.0</v>
      </c>
      <c r="K6020" s="317"/>
    </row>
    <row r="6021">
      <c r="B6021" s="223" t="s">
        <v>200</v>
      </c>
      <c r="C6021" s="223"/>
      <c r="D6021" s="316"/>
      <c r="H6021" s="223">
        <v>0.0</v>
      </c>
      <c r="K6021" s="317"/>
    </row>
    <row r="6022">
      <c r="B6022" s="223" t="s">
        <v>200</v>
      </c>
      <c r="C6022" s="223"/>
      <c r="D6022" s="316"/>
      <c r="H6022" s="223">
        <v>0.0</v>
      </c>
      <c r="K6022" s="317"/>
    </row>
    <row r="6023">
      <c r="B6023" s="223" t="s">
        <v>200</v>
      </c>
      <c r="C6023" s="223"/>
      <c r="D6023" s="316"/>
      <c r="H6023" s="223">
        <v>0.0</v>
      </c>
      <c r="K6023" s="317"/>
    </row>
    <row r="6024">
      <c r="B6024" s="223" t="s">
        <v>200</v>
      </c>
      <c r="C6024" s="223"/>
      <c r="D6024" s="316"/>
      <c r="H6024" s="223">
        <v>0.0</v>
      </c>
      <c r="K6024" s="317"/>
    </row>
    <row r="6025">
      <c r="B6025" s="223" t="s">
        <v>200</v>
      </c>
      <c r="C6025" s="223"/>
      <c r="D6025" s="316"/>
      <c r="H6025" s="223">
        <v>0.0</v>
      </c>
      <c r="K6025" s="317"/>
    </row>
    <row r="6026">
      <c r="B6026" s="223" t="s">
        <v>200</v>
      </c>
      <c r="C6026" s="223"/>
      <c r="D6026" s="316"/>
      <c r="H6026" s="223">
        <v>0.0</v>
      </c>
      <c r="K6026" s="317"/>
    </row>
    <row r="6027">
      <c r="B6027" s="223" t="s">
        <v>200</v>
      </c>
      <c r="C6027" s="223"/>
      <c r="D6027" s="316"/>
      <c r="H6027" s="223">
        <v>0.0</v>
      </c>
      <c r="K6027" s="317"/>
    </row>
    <row r="6028">
      <c r="B6028" s="223" t="s">
        <v>200</v>
      </c>
      <c r="C6028" s="223"/>
      <c r="D6028" s="316"/>
      <c r="H6028" s="223">
        <v>0.0</v>
      </c>
      <c r="K6028" s="317"/>
    </row>
    <row r="6029">
      <c r="B6029" s="223" t="s">
        <v>200</v>
      </c>
      <c r="C6029" s="223"/>
      <c r="D6029" s="316"/>
      <c r="H6029" s="223">
        <v>0.0</v>
      </c>
      <c r="K6029" s="317"/>
    </row>
    <row r="6030">
      <c r="B6030" s="223" t="s">
        <v>200</v>
      </c>
      <c r="C6030" s="223"/>
      <c r="D6030" s="316"/>
      <c r="H6030" s="223">
        <v>0.0</v>
      </c>
      <c r="K6030" s="317"/>
    </row>
    <row r="6031">
      <c r="B6031" s="223" t="s">
        <v>200</v>
      </c>
      <c r="C6031" s="223"/>
      <c r="D6031" s="316"/>
      <c r="H6031" s="223">
        <v>0.0</v>
      </c>
      <c r="K6031" s="317"/>
    </row>
    <row r="6032">
      <c r="B6032" s="223" t="s">
        <v>200</v>
      </c>
      <c r="C6032" s="223"/>
      <c r="D6032" s="316"/>
      <c r="H6032" s="223">
        <v>0.0</v>
      </c>
      <c r="K6032" s="317"/>
    </row>
    <row r="6033">
      <c r="B6033" s="223" t="s">
        <v>200</v>
      </c>
      <c r="C6033" s="223"/>
      <c r="D6033" s="316"/>
      <c r="H6033" s="223">
        <v>0.0</v>
      </c>
      <c r="K6033" s="317"/>
    </row>
    <row r="6034">
      <c r="B6034" s="223" t="s">
        <v>200</v>
      </c>
      <c r="C6034" s="223"/>
      <c r="D6034" s="316"/>
      <c r="H6034" s="223">
        <v>0.0</v>
      </c>
      <c r="K6034" s="317"/>
    </row>
    <row r="6035">
      <c r="B6035" s="223" t="s">
        <v>200</v>
      </c>
      <c r="C6035" s="223"/>
      <c r="D6035" s="316"/>
      <c r="H6035" s="223">
        <v>0.0</v>
      </c>
      <c r="K6035" s="317"/>
    </row>
    <row r="6036">
      <c r="B6036" s="223" t="s">
        <v>200</v>
      </c>
      <c r="C6036" s="223"/>
      <c r="D6036" s="316"/>
      <c r="H6036" s="223">
        <v>0.0</v>
      </c>
      <c r="K6036" s="317"/>
    </row>
    <row r="6037">
      <c r="B6037" s="223" t="s">
        <v>200</v>
      </c>
      <c r="C6037" s="223"/>
      <c r="D6037" s="316"/>
      <c r="H6037" s="223">
        <v>0.0</v>
      </c>
      <c r="K6037" s="317"/>
    </row>
    <row r="6038">
      <c r="B6038" s="223" t="s">
        <v>200</v>
      </c>
      <c r="C6038" s="223"/>
      <c r="D6038" s="316"/>
      <c r="H6038" s="223">
        <v>0.0</v>
      </c>
      <c r="K6038" s="317"/>
    </row>
    <row r="6039">
      <c r="B6039" s="223" t="s">
        <v>200</v>
      </c>
      <c r="C6039" s="223"/>
      <c r="D6039" s="316"/>
      <c r="H6039" s="223">
        <v>0.0</v>
      </c>
      <c r="K6039" s="317"/>
    </row>
    <row r="6040">
      <c r="B6040" s="223" t="s">
        <v>200</v>
      </c>
      <c r="C6040" s="223"/>
      <c r="D6040" s="316"/>
      <c r="H6040" s="223">
        <v>0.0</v>
      </c>
      <c r="K6040" s="317"/>
    </row>
    <row r="6041">
      <c r="B6041" s="223" t="s">
        <v>200</v>
      </c>
      <c r="C6041" s="223"/>
      <c r="D6041" s="316"/>
      <c r="H6041" s="223">
        <v>0.0</v>
      </c>
      <c r="K6041" s="317"/>
    </row>
    <row r="6042">
      <c r="B6042" s="223" t="s">
        <v>200</v>
      </c>
      <c r="C6042" s="223"/>
      <c r="D6042" s="316"/>
      <c r="H6042" s="223">
        <v>0.0</v>
      </c>
      <c r="K6042" s="317"/>
    </row>
    <row r="6043">
      <c r="B6043" s="223" t="s">
        <v>200</v>
      </c>
      <c r="C6043" s="223"/>
      <c r="D6043" s="316"/>
      <c r="H6043" s="223">
        <v>0.0</v>
      </c>
      <c r="K6043" s="317"/>
    </row>
    <row r="6044">
      <c r="B6044" s="223" t="s">
        <v>200</v>
      </c>
      <c r="C6044" s="223"/>
      <c r="D6044" s="316"/>
      <c r="H6044" s="223">
        <v>0.0</v>
      </c>
      <c r="K6044" s="317"/>
    </row>
    <row r="6045">
      <c r="B6045" s="223" t="s">
        <v>200</v>
      </c>
      <c r="C6045" s="223"/>
      <c r="D6045" s="316"/>
      <c r="H6045" s="223">
        <v>0.0</v>
      </c>
      <c r="K6045" s="317"/>
    </row>
    <row r="6046">
      <c r="B6046" s="223" t="s">
        <v>200</v>
      </c>
      <c r="C6046" s="223"/>
      <c r="D6046" s="316"/>
      <c r="H6046" s="223">
        <v>0.0</v>
      </c>
      <c r="K6046" s="317"/>
    </row>
    <row r="6047">
      <c r="B6047" s="223" t="s">
        <v>200</v>
      </c>
      <c r="C6047" s="223"/>
      <c r="D6047" s="316"/>
      <c r="H6047" s="223">
        <v>0.0</v>
      </c>
      <c r="K6047" s="317"/>
    </row>
    <row r="6048">
      <c r="B6048" s="223" t="s">
        <v>200</v>
      </c>
      <c r="C6048" s="223"/>
      <c r="D6048" s="316"/>
      <c r="H6048" s="223">
        <v>0.0</v>
      </c>
      <c r="K6048" s="317"/>
    </row>
    <row r="6049">
      <c r="B6049" s="223" t="s">
        <v>200</v>
      </c>
      <c r="C6049" s="223"/>
      <c r="D6049" s="316"/>
      <c r="H6049" s="223">
        <v>0.0</v>
      </c>
      <c r="K6049" s="317"/>
    </row>
    <row r="6050">
      <c r="B6050" s="223" t="s">
        <v>200</v>
      </c>
      <c r="C6050" s="223"/>
      <c r="D6050" s="316"/>
      <c r="H6050" s="223">
        <v>0.0</v>
      </c>
      <c r="K6050" s="317"/>
    </row>
    <row r="6051">
      <c r="B6051" s="223" t="s">
        <v>200</v>
      </c>
      <c r="C6051" s="223"/>
      <c r="D6051" s="316"/>
      <c r="H6051" s="223">
        <v>0.0</v>
      </c>
      <c r="K6051" s="317"/>
    </row>
    <row r="6052">
      <c r="B6052" s="223" t="s">
        <v>200</v>
      </c>
      <c r="C6052" s="223"/>
      <c r="D6052" s="316"/>
      <c r="H6052" s="223">
        <v>0.0</v>
      </c>
      <c r="K6052" s="317"/>
    </row>
    <row r="6053">
      <c r="B6053" s="223" t="s">
        <v>200</v>
      </c>
      <c r="C6053" s="223"/>
      <c r="D6053" s="316"/>
      <c r="H6053" s="223">
        <v>0.0</v>
      </c>
      <c r="K6053" s="317"/>
    </row>
    <row r="6054">
      <c r="B6054" s="223" t="s">
        <v>200</v>
      </c>
      <c r="C6054" s="223"/>
      <c r="D6054" s="316"/>
      <c r="H6054" s="223">
        <v>0.0</v>
      </c>
      <c r="K6054" s="317"/>
    </row>
    <row r="6055">
      <c r="B6055" s="223" t="s">
        <v>200</v>
      </c>
      <c r="C6055" s="223"/>
      <c r="D6055" s="316"/>
      <c r="H6055" s="223">
        <v>0.0</v>
      </c>
      <c r="K6055" s="317"/>
    </row>
    <row r="6056">
      <c r="B6056" s="223" t="s">
        <v>200</v>
      </c>
      <c r="C6056" s="223"/>
      <c r="D6056" s="316"/>
      <c r="H6056" s="223">
        <v>0.0</v>
      </c>
      <c r="K6056" s="317"/>
    </row>
    <row r="6057">
      <c r="B6057" s="223" t="s">
        <v>200</v>
      </c>
      <c r="C6057" s="223"/>
      <c r="D6057" s="316"/>
      <c r="H6057" s="223">
        <v>0.0</v>
      </c>
      <c r="K6057" s="317"/>
    </row>
    <row r="6058">
      <c r="B6058" s="223" t="s">
        <v>200</v>
      </c>
      <c r="C6058" s="223"/>
      <c r="D6058" s="316"/>
      <c r="H6058" s="223">
        <v>0.0</v>
      </c>
      <c r="K6058" s="317"/>
    </row>
    <row r="6059">
      <c r="B6059" s="223" t="s">
        <v>200</v>
      </c>
      <c r="C6059" s="223"/>
      <c r="D6059" s="316"/>
      <c r="H6059" s="223">
        <v>0.0</v>
      </c>
      <c r="K6059" s="317"/>
    </row>
    <row r="6060">
      <c r="B6060" s="223" t="s">
        <v>200</v>
      </c>
      <c r="C6060" s="223"/>
      <c r="D6060" s="316"/>
      <c r="H6060" s="223">
        <v>0.0</v>
      </c>
      <c r="K6060" s="317"/>
    </row>
    <row r="6061">
      <c r="B6061" s="223" t="s">
        <v>200</v>
      </c>
      <c r="C6061" s="223"/>
      <c r="D6061" s="316"/>
      <c r="H6061" s="223">
        <v>0.0</v>
      </c>
      <c r="K6061" s="317"/>
    </row>
    <row r="6062">
      <c r="B6062" s="223" t="s">
        <v>200</v>
      </c>
      <c r="C6062" s="223"/>
      <c r="D6062" s="316"/>
      <c r="H6062" s="223">
        <v>0.0</v>
      </c>
      <c r="K6062" s="317"/>
    </row>
    <row r="6063">
      <c r="B6063" s="223" t="s">
        <v>200</v>
      </c>
      <c r="C6063" s="223"/>
      <c r="D6063" s="316"/>
      <c r="H6063" s="223">
        <v>0.0</v>
      </c>
      <c r="K6063" s="317"/>
    </row>
    <row r="6064">
      <c r="B6064" s="223" t="s">
        <v>200</v>
      </c>
      <c r="C6064" s="223"/>
      <c r="D6064" s="316"/>
      <c r="H6064" s="223">
        <v>0.0</v>
      </c>
      <c r="K6064" s="317"/>
    </row>
    <row r="6065">
      <c r="B6065" s="223" t="s">
        <v>200</v>
      </c>
      <c r="C6065" s="223"/>
      <c r="D6065" s="316"/>
      <c r="H6065" s="223">
        <v>0.0</v>
      </c>
      <c r="K6065" s="317"/>
    </row>
    <row r="6066">
      <c r="B6066" s="223" t="s">
        <v>200</v>
      </c>
      <c r="C6066" s="223"/>
      <c r="D6066" s="316"/>
      <c r="H6066" s="223">
        <v>0.0</v>
      </c>
      <c r="K6066" s="317"/>
    </row>
    <row r="6067">
      <c r="B6067" s="223" t="s">
        <v>200</v>
      </c>
      <c r="C6067" s="223"/>
      <c r="D6067" s="316"/>
      <c r="H6067" s="223">
        <v>0.0</v>
      </c>
      <c r="K6067" s="317"/>
    </row>
    <row r="6068">
      <c r="B6068" s="223" t="s">
        <v>200</v>
      </c>
      <c r="C6068" s="223"/>
      <c r="D6068" s="316"/>
      <c r="H6068" s="223">
        <v>0.0</v>
      </c>
      <c r="K6068" s="317"/>
    </row>
    <row r="6069">
      <c r="B6069" s="223" t="s">
        <v>200</v>
      </c>
      <c r="C6069" s="223"/>
      <c r="D6069" s="316"/>
      <c r="H6069" s="223">
        <v>0.0</v>
      </c>
      <c r="K6069" s="317"/>
    </row>
    <row r="6070">
      <c r="B6070" s="223" t="s">
        <v>200</v>
      </c>
      <c r="C6070" s="223"/>
      <c r="D6070" s="316"/>
      <c r="H6070" s="223">
        <v>0.0</v>
      </c>
      <c r="K6070" s="317"/>
    </row>
    <row r="6071">
      <c r="B6071" s="223" t="s">
        <v>200</v>
      </c>
      <c r="C6071" s="223"/>
      <c r="D6071" s="316"/>
      <c r="H6071" s="223">
        <v>0.0</v>
      </c>
      <c r="K6071" s="317"/>
    </row>
    <row r="6072">
      <c r="B6072" s="223" t="s">
        <v>200</v>
      </c>
      <c r="C6072" s="223"/>
      <c r="D6072" s="316"/>
      <c r="H6072" s="223">
        <v>0.0</v>
      </c>
      <c r="K6072" s="317"/>
    </row>
    <row r="6073">
      <c r="B6073" s="223" t="s">
        <v>200</v>
      </c>
      <c r="C6073" s="223"/>
      <c r="D6073" s="316"/>
      <c r="H6073" s="223">
        <v>0.0</v>
      </c>
      <c r="K6073" s="317"/>
    </row>
    <row r="6074">
      <c r="B6074" s="223" t="s">
        <v>200</v>
      </c>
      <c r="C6074" s="223"/>
      <c r="D6074" s="316"/>
      <c r="H6074" s="223">
        <v>0.0</v>
      </c>
      <c r="K6074" s="317"/>
    </row>
    <row r="6075">
      <c r="B6075" s="223" t="s">
        <v>200</v>
      </c>
      <c r="C6075" s="223"/>
      <c r="D6075" s="316"/>
      <c r="H6075" s="223">
        <v>0.0</v>
      </c>
      <c r="K6075" s="317"/>
    </row>
    <row r="6076">
      <c r="B6076" s="223" t="s">
        <v>200</v>
      </c>
      <c r="C6076" s="223"/>
      <c r="D6076" s="316"/>
      <c r="H6076" s="223">
        <v>0.0</v>
      </c>
      <c r="K6076" s="317"/>
    </row>
    <row r="6077">
      <c r="B6077" s="223" t="s">
        <v>200</v>
      </c>
      <c r="C6077" s="223"/>
      <c r="D6077" s="316"/>
      <c r="H6077" s="223">
        <v>0.0</v>
      </c>
      <c r="K6077" s="317"/>
    </row>
    <row r="6078">
      <c r="B6078" s="223" t="s">
        <v>200</v>
      </c>
      <c r="C6078" s="223"/>
      <c r="D6078" s="316"/>
      <c r="H6078" s="223">
        <v>0.0</v>
      </c>
      <c r="K6078" s="317"/>
    </row>
    <row r="6079">
      <c r="B6079" s="223" t="s">
        <v>200</v>
      </c>
      <c r="C6079" s="223"/>
      <c r="D6079" s="316"/>
      <c r="H6079" s="223">
        <v>0.0</v>
      </c>
      <c r="K6079" s="317"/>
    </row>
    <row r="6080">
      <c r="B6080" s="223" t="s">
        <v>200</v>
      </c>
      <c r="C6080" s="223"/>
      <c r="D6080" s="316"/>
      <c r="H6080" s="223">
        <v>0.0</v>
      </c>
      <c r="K6080" s="317"/>
    </row>
    <row r="6081">
      <c r="B6081" s="223" t="s">
        <v>200</v>
      </c>
      <c r="C6081" s="223"/>
      <c r="D6081" s="316"/>
      <c r="H6081" s="223">
        <v>0.0</v>
      </c>
      <c r="K6081" s="317"/>
    </row>
    <row r="6082">
      <c r="B6082" s="223" t="s">
        <v>200</v>
      </c>
      <c r="C6082" s="223"/>
      <c r="D6082" s="316"/>
      <c r="H6082" s="223">
        <v>0.0</v>
      </c>
      <c r="K6082" s="317"/>
    </row>
    <row r="6083">
      <c r="B6083" s="223" t="s">
        <v>200</v>
      </c>
      <c r="C6083" s="223"/>
      <c r="D6083" s="316"/>
      <c r="H6083" s="223">
        <v>0.0</v>
      </c>
      <c r="K6083" s="317"/>
    </row>
    <row r="6084">
      <c r="B6084" s="223" t="s">
        <v>200</v>
      </c>
      <c r="C6084" s="223"/>
      <c r="D6084" s="316"/>
      <c r="H6084" s="223">
        <v>0.0</v>
      </c>
      <c r="K6084" s="317"/>
    </row>
    <row r="6085">
      <c r="B6085" s="223" t="s">
        <v>200</v>
      </c>
      <c r="C6085" s="223"/>
      <c r="D6085" s="316"/>
      <c r="H6085" s="223">
        <v>0.0</v>
      </c>
      <c r="K6085" s="317"/>
    </row>
    <row r="6086">
      <c r="B6086" s="223" t="s">
        <v>200</v>
      </c>
      <c r="C6086" s="223"/>
      <c r="D6086" s="316"/>
      <c r="H6086" s="223">
        <v>0.0</v>
      </c>
      <c r="K6086" s="317"/>
    </row>
    <row r="6087">
      <c r="B6087" s="223" t="s">
        <v>200</v>
      </c>
      <c r="C6087" s="223"/>
      <c r="D6087" s="316"/>
      <c r="H6087" s="223">
        <v>0.0</v>
      </c>
      <c r="K6087" s="317"/>
    </row>
    <row r="6088">
      <c r="B6088" s="223" t="s">
        <v>200</v>
      </c>
      <c r="C6088" s="223"/>
      <c r="D6088" s="316"/>
      <c r="H6088" s="223">
        <v>0.0</v>
      </c>
      <c r="K6088" s="317"/>
    </row>
    <row r="6089">
      <c r="B6089" s="223" t="s">
        <v>200</v>
      </c>
      <c r="C6089" s="223"/>
      <c r="D6089" s="316"/>
      <c r="H6089" s="223">
        <v>0.0</v>
      </c>
      <c r="K6089" s="317"/>
    </row>
    <row r="6090">
      <c r="B6090" s="223" t="s">
        <v>200</v>
      </c>
      <c r="C6090" s="223"/>
      <c r="D6090" s="316"/>
      <c r="H6090" s="223">
        <v>0.0</v>
      </c>
      <c r="K6090" s="317"/>
    </row>
    <row r="6091">
      <c r="B6091" s="223" t="s">
        <v>200</v>
      </c>
      <c r="C6091" s="223"/>
      <c r="D6091" s="316"/>
      <c r="H6091" s="223">
        <v>0.0</v>
      </c>
      <c r="K6091" s="317"/>
    </row>
    <row r="6092">
      <c r="B6092" s="223" t="s">
        <v>200</v>
      </c>
      <c r="C6092" s="223"/>
      <c r="D6092" s="316"/>
      <c r="H6092" s="223">
        <v>0.0</v>
      </c>
      <c r="K6092" s="317"/>
    </row>
    <row r="6093">
      <c r="B6093" s="223" t="s">
        <v>200</v>
      </c>
      <c r="C6093" s="223"/>
      <c r="D6093" s="316"/>
      <c r="H6093" s="223">
        <v>0.0</v>
      </c>
      <c r="K6093" s="317"/>
    </row>
    <row r="6094">
      <c r="B6094" s="223" t="s">
        <v>200</v>
      </c>
      <c r="C6094" s="223"/>
      <c r="D6094" s="316"/>
      <c r="H6094" s="223">
        <v>0.0</v>
      </c>
      <c r="K6094" s="317"/>
    </row>
    <row r="6095">
      <c r="B6095" s="223" t="s">
        <v>200</v>
      </c>
      <c r="C6095" s="223"/>
      <c r="D6095" s="316"/>
      <c r="H6095" s="223">
        <v>0.0</v>
      </c>
      <c r="K6095" s="317"/>
    </row>
    <row r="6096">
      <c r="B6096" s="223" t="s">
        <v>200</v>
      </c>
      <c r="C6096" s="223"/>
      <c r="D6096" s="316"/>
      <c r="H6096" s="223">
        <v>0.0</v>
      </c>
      <c r="K6096" s="317"/>
    </row>
    <row r="6097">
      <c r="B6097" s="223" t="s">
        <v>200</v>
      </c>
      <c r="C6097" s="223"/>
      <c r="D6097" s="316"/>
      <c r="H6097" s="223">
        <v>0.0</v>
      </c>
      <c r="K6097" s="317"/>
    </row>
    <row r="6098">
      <c r="B6098" s="223" t="s">
        <v>200</v>
      </c>
      <c r="C6098" s="223"/>
      <c r="D6098" s="316"/>
      <c r="H6098" s="223">
        <v>0.0</v>
      </c>
      <c r="K6098" s="317"/>
    </row>
    <row r="6099">
      <c r="B6099" s="223" t="s">
        <v>200</v>
      </c>
      <c r="C6099" s="223"/>
      <c r="D6099" s="316"/>
      <c r="H6099" s="223">
        <v>0.0</v>
      </c>
      <c r="K6099" s="317"/>
    </row>
    <row r="6100">
      <c r="B6100" s="223" t="s">
        <v>200</v>
      </c>
      <c r="C6100" s="223"/>
      <c r="D6100" s="316"/>
      <c r="H6100" s="223">
        <v>0.0</v>
      </c>
      <c r="K6100" s="317"/>
    </row>
    <row r="6101">
      <c r="B6101" s="223" t="s">
        <v>200</v>
      </c>
      <c r="C6101" s="223"/>
      <c r="D6101" s="316"/>
      <c r="H6101" s="223">
        <v>0.0</v>
      </c>
      <c r="K6101" s="317"/>
    </row>
    <row r="6102">
      <c r="B6102" s="223" t="s">
        <v>200</v>
      </c>
      <c r="C6102" s="223"/>
      <c r="D6102" s="316"/>
      <c r="H6102" s="223">
        <v>0.0</v>
      </c>
      <c r="K6102" s="317"/>
    </row>
    <row r="6103">
      <c r="B6103" s="223" t="s">
        <v>200</v>
      </c>
      <c r="C6103" s="223"/>
      <c r="D6103" s="316"/>
      <c r="H6103" s="223">
        <v>0.0</v>
      </c>
      <c r="K6103" s="317"/>
    </row>
    <row r="6104">
      <c r="B6104" s="223" t="s">
        <v>200</v>
      </c>
      <c r="C6104" s="223"/>
      <c r="D6104" s="316"/>
      <c r="H6104" s="223">
        <v>0.0</v>
      </c>
      <c r="K6104" s="317"/>
    </row>
    <row r="6105">
      <c r="B6105" s="223" t="s">
        <v>200</v>
      </c>
      <c r="C6105" s="223"/>
      <c r="D6105" s="316"/>
      <c r="H6105" s="223">
        <v>0.0</v>
      </c>
      <c r="K6105" s="317"/>
    </row>
    <row r="6106">
      <c r="B6106" s="223" t="s">
        <v>200</v>
      </c>
      <c r="C6106" s="223"/>
      <c r="D6106" s="316"/>
      <c r="H6106" s="223">
        <v>0.0</v>
      </c>
      <c r="K6106" s="317"/>
    </row>
    <row r="6107">
      <c r="B6107" s="223" t="s">
        <v>200</v>
      </c>
      <c r="C6107" s="223"/>
      <c r="D6107" s="316"/>
      <c r="H6107" s="223">
        <v>0.0</v>
      </c>
      <c r="K6107" s="317"/>
    </row>
    <row r="6108">
      <c r="B6108" s="223" t="s">
        <v>200</v>
      </c>
      <c r="C6108" s="223"/>
      <c r="D6108" s="316"/>
      <c r="H6108" s="223">
        <v>0.0</v>
      </c>
      <c r="K6108" s="317"/>
    </row>
    <row r="6109">
      <c r="B6109" s="223" t="s">
        <v>200</v>
      </c>
      <c r="C6109" s="223"/>
      <c r="D6109" s="316"/>
      <c r="H6109" s="223">
        <v>0.0</v>
      </c>
      <c r="K6109" s="317"/>
    </row>
    <row r="6110">
      <c r="B6110" s="223" t="s">
        <v>200</v>
      </c>
      <c r="C6110" s="223"/>
      <c r="D6110" s="316"/>
      <c r="H6110" s="223">
        <v>0.0</v>
      </c>
      <c r="K6110" s="317"/>
    </row>
    <row r="6111">
      <c r="B6111" s="223" t="s">
        <v>200</v>
      </c>
      <c r="C6111" s="223"/>
      <c r="D6111" s="316"/>
      <c r="H6111" s="223">
        <v>0.0</v>
      </c>
      <c r="K6111" s="317"/>
    </row>
    <row r="6112">
      <c r="B6112" s="223" t="s">
        <v>200</v>
      </c>
      <c r="C6112" s="223"/>
      <c r="D6112" s="316"/>
      <c r="H6112" s="223">
        <v>0.0</v>
      </c>
      <c r="K6112" s="317"/>
    </row>
    <row r="6113">
      <c r="B6113" s="223" t="s">
        <v>200</v>
      </c>
      <c r="C6113" s="223"/>
      <c r="D6113" s="316"/>
      <c r="H6113" s="223">
        <v>0.0</v>
      </c>
      <c r="K6113" s="317"/>
    </row>
    <row r="6114">
      <c r="B6114" s="223" t="s">
        <v>200</v>
      </c>
      <c r="C6114" s="223"/>
      <c r="D6114" s="316"/>
      <c r="H6114" s="223">
        <v>0.0</v>
      </c>
      <c r="K6114" s="317"/>
    </row>
    <row r="6115">
      <c r="B6115" s="223" t="s">
        <v>200</v>
      </c>
      <c r="C6115" s="223"/>
      <c r="D6115" s="316"/>
      <c r="H6115" s="223">
        <v>0.0</v>
      </c>
      <c r="K6115" s="317"/>
    </row>
    <row r="6116">
      <c r="B6116" s="223" t="s">
        <v>200</v>
      </c>
      <c r="C6116" s="223"/>
      <c r="D6116" s="316"/>
      <c r="H6116" s="223">
        <v>0.0</v>
      </c>
      <c r="K6116" s="317"/>
    </row>
    <row r="6117">
      <c r="B6117" s="223" t="s">
        <v>200</v>
      </c>
      <c r="C6117" s="223"/>
      <c r="D6117" s="316"/>
      <c r="H6117" s="223">
        <v>0.0</v>
      </c>
      <c r="K6117" s="317"/>
    </row>
    <row r="6118">
      <c r="B6118" s="223" t="s">
        <v>200</v>
      </c>
      <c r="C6118" s="223"/>
      <c r="D6118" s="316"/>
      <c r="H6118" s="223">
        <v>0.0</v>
      </c>
      <c r="K6118" s="317"/>
    </row>
    <row r="6119">
      <c r="B6119" s="223" t="s">
        <v>200</v>
      </c>
      <c r="C6119" s="223"/>
      <c r="D6119" s="316"/>
      <c r="H6119" s="223">
        <v>0.0</v>
      </c>
      <c r="K6119" s="317"/>
    </row>
    <row r="6120">
      <c r="B6120" s="223" t="s">
        <v>200</v>
      </c>
      <c r="C6120" s="223"/>
      <c r="D6120" s="316"/>
      <c r="H6120" s="223">
        <v>0.0</v>
      </c>
      <c r="K6120" s="317"/>
    </row>
    <row r="6121">
      <c r="B6121" s="223" t="s">
        <v>200</v>
      </c>
      <c r="C6121" s="223"/>
      <c r="D6121" s="316"/>
      <c r="H6121" s="223">
        <v>0.0</v>
      </c>
      <c r="K6121" s="317"/>
    </row>
    <row r="6122">
      <c r="B6122" s="223" t="s">
        <v>200</v>
      </c>
      <c r="C6122" s="223"/>
      <c r="D6122" s="316"/>
      <c r="H6122" s="223">
        <v>0.0</v>
      </c>
      <c r="K6122" s="317"/>
    </row>
    <row r="6123">
      <c r="B6123" s="223" t="s">
        <v>200</v>
      </c>
      <c r="C6123" s="223"/>
      <c r="D6123" s="316"/>
      <c r="H6123" s="223">
        <v>0.0</v>
      </c>
      <c r="K6123" s="317"/>
    </row>
    <row r="6124">
      <c r="B6124" s="223" t="s">
        <v>200</v>
      </c>
      <c r="C6124" s="223"/>
      <c r="D6124" s="316"/>
      <c r="H6124" s="223">
        <v>0.0</v>
      </c>
      <c r="K6124" s="317"/>
    </row>
    <row r="6125">
      <c r="B6125" s="223" t="s">
        <v>200</v>
      </c>
      <c r="C6125" s="223"/>
      <c r="D6125" s="316"/>
      <c r="H6125" s="223">
        <v>0.0</v>
      </c>
      <c r="K6125" s="317"/>
    </row>
    <row r="6126">
      <c r="B6126" s="223" t="s">
        <v>200</v>
      </c>
      <c r="C6126" s="223"/>
      <c r="D6126" s="316"/>
      <c r="H6126" s="223">
        <v>0.0</v>
      </c>
      <c r="K6126" s="317"/>
    </row>
    <row r="6127">
      <c r="B6127" s="223" t="s">
        <v>200</v>
      </c>
      <c r="C6127" s="223"/>
      <c r="D6127" s="316"/>
      <c r="H6127" s="223">
        <v>0.0</v>
      </c>
      <c r="K6127" s="317"/>
    </row>
    <row r="6128">
      <c r="B6128" s="223" t="s">
        <v>200</v>
      </c>
      <c r="C6128" s="223"/>
      <c r="D6128" s="316"/>
      <c r="H6128" s="223">
        <v>0.0</v>
      </c>
      <c r="K6128" s="317"/>
    </row>
    <row r="6129">
      <c r="B6129" s="223" t="s">
        <v>200</v>
      </c>
      <c r="C6129" s="223"/>
      <c r="D6129" s="316"/>
      <c r="H6129" s="223">
        <v>0.0</v>
      </c>
      <c r="K6129" s="317"/>
    </row>
    <row r="6130">
      <c r="B6130" s="223" t="s">
        <v>200</v>
      </c>
      <c r="C6130" s="223"/>
      <c r="D6130" s="316"/>
      <c r="H6130" s="223">
        <v>0.0</v>
      </c>
      <c r="K6130" s="317"/>
    </row>
    <row r="6131">
      <c r="B6131" s="223" t="s">
        <v>200</v>
      </c>
      <c r="C6131" s="223"/>
      <c r="D6131" s="316"/>
      <c r="H6131" s="223">
        <v>0.0</v>
      </c>
      <c r="K6131" s="317"/>
    </row>
    <row r="6132">
      <c r="B6132" s="223" t="s">
        <v>200</v>
      </c>
      <c r="C6132" s="223"/>
      <c r="D6132" s="316"/>
      <c r="H6132" s="223">
        <v>0.0</v>
      </c>
      <c r="K6132" s="317"/>
    </row>
    <row r="6133">
      <c r="B6133" s="223" t="s">
        <v>200</v>
      </c>
      <c r="C6133" s="223"/>
      <c r="D6133" s="316"/>
      <c r="H6133" s="223">
        <v>0.0</v>
      </c>
      <c r="K6133" s="317"/>
    </row>
    <row r="6134">
      <c r="B6134" s="223" t="s">
        <v>200</v>
      </c>
      <c r="C6134" s="223"/>
      <c r="D6134" s="316"/>
      <c r="H6134" s="223">
        <v>0.0</v>
      </c>
      <c r="K6134" s="317"/>
    </row>
    <row r="6135">
      <c r="B6135" s="223" t="s">
        <v>200</v>
      </c>
      <c r="C6135" s="223"/>
      <c r="D6135" s="316"/>
      <c r="H6135" s="223">
        <v>0.0</v>
      </c>
      <c r="K6135" s="317"/>
    </row>
    <row r="6136">
      <c r="B6136" s="223" t="s">
        <v>200</v>
      </c>
      <c r="C6136" s="223"/>
      <c r="D6136" s="316"/>
      <c r="H6136" s="223">
        <v>0.0</v>
      </c>
      <c r="K6136" s="317"/>
    </row>
    <row r="6137">
      <c r="B6137" s="223" t="s">
        <v>200</v>
      </c>
      <c r="C6137" s="223"/>
      <c r="D6137" s="316"/>
      <c r="H6137" s="223">
        <v>0.0</v>
      </c>
      <c r="K6137" s="317"/>
    </row>
    <row r="6138">
      <c r="B6138" s="223" t="s">
        <v>200</v>
      </c>
      <c r="C6138" s="223"/>
      <c r="D6138" s="316"/>
      <c r="H6138" s="223">
        <v>0.0</v>
      </c>
      <c r="K6138" s="317"/>
    </row>
    <row r="6139">
      <c r="B6139" s="223" t="s">
        <v>200</v>
      </c>
      <c r="C6139" s="223"/>
      <c r="D6139" s="316"/>
      <c r="H6139" s="223">
        <v>0.0</v>
      </c>
      <c r="K6139" s="317"/>
    </row>
    <row r="6140">
      <c r="B6140" s="223" t="s">
        <v>200</v>
      </c>
      <c r="C6140" s="223"/>
      <c r="D6140" s="316"/>
      <c r="H6140" s="223">
        <v>0.0</v>
      </c>
      <c r="K6140" s="317"/>
    </row>
    <row r="6141">
      <c r="B6141" s="223" t="s">
        <v>200</v>
      </c>
      <c r="C6141" s="223"/>
      <c r="D6141" s="316"/>
      <c r="H6141" s="223">
        <v>0.0</v>
      </c>
      <c r="K6141" s="317"/>
    </row>
    <row r="6142">
      <c r="B6142" s="223" t="s">
        <v>200</v>
      </c>
      <c r="C6142" s="223"/>
      <c r="D6142" s="316"/>
      <c r="H6142" s="223">
        <v>0.0</v>
      </c>
      <c r="K6142" s="317"/>
    </row>
    <row r="6143">
      <c r="B6143" s="223" t="s">
        <v>200</v>
      </c>
      <c r="C6143" s="223"/>
      <c r="D6143" s="316"/>
      <c r="H6143" s="223">
        <v>0.0</v>
      </c>
      <c r="K6143" s="317"/>
    </row>
    <row r="6144">
      <c r="B6144" s="223" t="s">
        <v>200</v>
      </c>
      <c r="C6144" s="223"/>
      <c r="D6144" s="316"/>
      <c r="H6144" s="223">
        <v>0.0</v>
      </c>
      <c r="K6144" s="317"/>
    </row>
    <row r="6145">
      <c r="B6145" s="223" t="s">
        <v>200</v>
      </c>
      <c r="C6145" s="223"/>
      <c r="D6145" s="316"/>
      <c r="H6145" s="223">
        <v>0.0</v>
      </c>
      <c r="K6145" s="317"/>
    </row>
    <row r="6146">
      <c r="B6146" s="223" t="s">
        <v>200</v>
      </c>
      <c r="C6146" s="223"/>
      <c r="D6146" s="316"/>
      <c r="H6146" s="223">
        <v>0.0</v>
      </c>
      <c r="K6146" s="317"/>
    </row>
    <row r="6147">
      <c r="B6147" s="223" t="s">
        <v>200</v>
      </c>
      <c r="C6147" s="223"/>
      <c r="D6147" s="316"/>
      <c r="H6147" s="223">
        <v>0.0</v>
      </c>
      <c r="K6147" s="317"/>
    </row>
    <row r="6148">
      <c r="B6148" s="223" t="s">
        <v>200</v>
      </c>
      <c r="C6148" s="223"/>
      <c r="D6148" s="316"/>
      <c r="H6148" s="223">
        <v>0.0</v>
      </c>
      <c r="K6148" s="317"/>
    </row>
    <row r="6149">
      <c r="B6149" s="223" t="s">
        <v>200</v>
      </c>
      <c r="C6149" s="223"/>
      <c r="D6149" s="316"/>
      <c r="H6149" s="223">
        <v>0.0</v>
      </c>
      <c r="K6149" s="317"/>
    </row>
    <row r="6150">
      <c r="B6150" s="223" t="s">
        <v>200</v>
      </c>
      <c r="C6150" s="223"/>
      <c r="D6150" s="316"/>
      <c r="H6150" s="223">
        <v>0.0</v>
      </c>
      <c r="K6150" s="317"/>
    </row>
    <row r="6151">
      <c r="B6151" s="223" t="s">
        <v>200</v>
      </c>
      <c r="C6151" s="223"/>
      <c r="D6151" s="316"/>
      <c r="H6151" s="223">
        <v>0.0</v>
      </c>
      <c r="K6151" s="317"/>
    </row>
    <row r="6152">
      <c r="B6152" s="223" t="s">
        <v>200</v>
      </c>
      <c r="C6152" s="223"/>
      <c r="D6152" s="316"/>
      <c r="H6152" s="223">
        <v>0.0</v>
      </c>
      <c r="K6152" s="317"/>
    </row>
    <row r="6153">
      <c r="B6153" s="223" t="s">
        <v>200</v>
      </c>
      <c r="C6153" s="223"/>
      <c r="D6153" s="316"/>
      <c r="H6153" s="223">
        <v>0.0</v>
      </c>
      <c r="K6153" s="317"/>
    </row>
    <row r="6154">
      <c r="B6154" s="223" t="s">
        <v>200</v>
      </c>
      <c r="C6154" s="223"/>
      <c r="D6154" s="316"/>
      <c r="H6154" s="223">
        <v>0.0</v>
      </c>
      <c r="K6154" s="317"/>
    </row>
    <row r="6155">
      <c r="B6155" s="223" t="s">
        <v>200</v>
      </c>
      <c r="C6155" s="223"/>
      <c r="D6155" s="316"/>
      <c r="H6155" s="223">
        <v>0.0</v>
      </c>
      <c r="K6155" s="317"/>
    </row>
    <row r="6156">
      <c r="B6156" s="223" t="s">
        <v>200</v>
      </c>
      <c r="C6156" s="223"/>
      <c r="D6156" s="316"/>
      <c r="H6156" s="223">
        <v>0.0</v>
      </c>
      <c r="K6156" s="317"/>
    </row>
    <row r="6157">
      <c r="B6157" s="223" t="s">
        <v>200</v>
      </c>
      <c r="C6157" s="223"/>
      <c r="D6157" s="316"/>
      <c r="H6157" s="223">
        <v>0.0</v>
      </c>
      <c r="K6157" s="317"/>
    </row>
    <row r="6158">
      <c r="B6158" s="223" t="s">
        <v>200</v>
      </c>
      <c r="C6158" s="223"/>
      <c r="D6158" s="316"/>
      <c r="H6158" s="223">
        <v>0.0</v>
      </c>
      <c r="K6158" s="317"/>
    </row>
    <row r="6159">
      <c r="B6159" s="223" t="s">
        <v>200</v>
      </c>
      <c r="C6159" s="223"/>
      <c r="D6159" s="316"/>
      <c r="H6159" s="223">
        <v>0.0</v>
      </c>
      <c r="K6159" s="317"/>
    </row>
    <row r="6160">
      <c r="B6160" s="223" t="s">
        <v>200</v>
      </c>
      <c r="C6160" s="223"/>
      <c r="D6160" s="316"/>
      <c r="H6160" s="223">
        <v>0.0</v>
      </c>
      <c r="K6160" s="317"/>
    </row>
    <row r="6161">
      <c r="B6161" s="223" t="s">
        <v>200</v>
      </c>
      <c r="C6161" s="223"/>
      <c r="D6161" s="316"/>
      <c r="H6161" s="223">
        <v>0.0</v>
      </c>
      <c r="K6161" s="317"/>
    </row>
    <row r="6162">
      <c r="B6162" s="223" t="s">
        <v>200</v>
      </c>
      <c r="C6162" s="223"/>
      <c r="D6162" s="316"/>
      <c r="H6162" s="223">
        <v>0.0</v>
      </c>
      <c r="K6162" s="317"/>
    </row>
    <row r="6163">
      <c r="B6163" s="223" t="s">
        <v>200</v>
      </c>
      <c r="C6163" s="223"/>
      <c r="D6163" s="316"/>
      <c r="H6163" s="223">
        <v>0.0</v>
      </c>
      <c r="K6163" s="317"/>
    </row>
    <row r="6164">
      <c r="B6164" s="223" t="s">
        <v>200</v>
      </c>
      <c r="C6164" s="223"/>
      <c r="D6164" s="316"/>
      <c r="H6164" s="223">
        <v>0.0</v>
      </c>
      <c r="K6164" s="317"/>
    </row>
    <row r="6165">
      <c r="B6165" s="223" t="s">
        <v>200</v>
      </c>
      <c r="C6165" s="223"/>
      <c r="D6165" s="316"/>
      <c r="H6165" s="223">
        <v>0.0</v>
      </c>
      <c r="K6165" s="317"/>
    </row>
    <row r="6166">
      <c r="B6166" s="223" t="s">
        <v>200</v>
      </c>
      <c r="C6166" s="223"/>
      <c r="D6166" s="316"/>
      <c r="H6166" s="223">
        <v>0.0</v>
      </c>
      <c r="K6166" s="317"/>
    </row>
    <row r="6167">
      <c r="B6167" s="223" t="s">
        <v>200</v>
      </c>
      <c r="C6167" s="223"/>
      <c r="D6167" s="316"/>
      <c r="H6167" s="223">
        <v>0.0</v>
      </c>
      <c r="K6167" s="317"/>
    </row>
    <row r="6168">
      <c r="B6168" s="223" t="s">
        <v>200</v>
      </c>
      <c r="C6168" s="223"/>
      <c r="D6168" s="316"/>
      <c r="H6168" s="223">
        <v>0.0</v>
      </c>
      <c r="K6168" s="317"/>
    </row>
    <row r="6169">
      <c r="B6169" s="223" t="s">
        <v>200</v>
      </c>
      <c r="C6169" s="223"/>
      <c r="D6169" s="316"/>
      <c r="H6169" s="223">
        <v>0.0</v>
      </c>
      <c r="K6169" s="317"/>
    </row>
    <row r="6170">
      <c r="B6170" s="223" t="s">
        <v>200</v>
      </c>
      <c r="C6170" s="223"/>
      <c r="D6170" s="316"/>
      <c r="H6170" s="223">
        <v>0.0</v>
      </c>
      <c r="K6170" s="317"/>
    </row>
    <row r="6171">
      <c r="B6171" s="223" t="s">
        <v>200</v>
      </c>
      <c r="C6171" s="223"/>
      <c r="D6171" s="316"/>
      <c r="H6171" s="223">
        <v>0.0</v>
      </c>
      <c r="K6171" s="317"/>
    </row>
    <row r="6172">
      <c r="B6172" s="223" t="s">
        <v>200</v>
      </c>
      <c r="C6172" s="223"/>
      <c r="D6172" s="316"/>
      <c r="H6172" s="223">
        <v>0.0</v>
      </c>
      <c r="K6172" s="317"/>
    </row>
    <row r="6173">
      <c r="B6173" s="223" t="s">
        <v>200</v>
      </c>
      <c r="C6173" s="223"/>
      <c r="D6173" s="316"/>
      <c r="H6173" s="223">
        <v>0.0</v>
      </c>
      <c r="K6173" s="317"/>
    </row>
    <row r="6174">
      <c r="B6174" s="223" t="s">
        <v>200</v>
      </c>
      <c r="C6174" s="223"/>
      <c r="D6174" s="316"/>
      <c r="H6174" s="223">
        <v>0.0</v>
      </c>
      <c r="K6174" s="317"/>
    </row>
    <row r="6175">
      <c r="B6175" s="223" t="s">
        <v>200</v>
      </c>
      <c r="C6175" s="223"/>
      <c r="D6175" s="316"/>
      <c r="H6175" s="223">
        <v>0.0</v>
      </c>
      <c r="K6175" s="317"/>
    </row>
    <row r="6176">
      <c r="B6176" s="223" t="s">
        <v>200</v>
      </c>
      <c r="C6176" s="223"/>
      <c r="D6176" s="316"/>
      <c r="H6176" s="223">
        <v>0.0</v>
      </c>
      <c r="K6176" s="317"/>
    </row>
    <row r="6177">
      <c r="B6177" s="223" t="s">
        <v>200</v>
      </c>
      <c r="C6177" s="223"/>
      <c r="D6177" s="316"/>
      <c r="H6177" s="223">
        <v>0.0</v>
      </c>
      <c r="K6177" s="317"/>
    </row>
    <row r="6178">
      <c r="B6178" s="223" t="s">
        <v>200</v>
      </c>
      <c r="C6178" s="223"/>
      <c r="D6178" s="316"/>
      <c r="H6178" s="223">
        <v>0.0</v>
      </c>
      <c r="K6178" s="317"/>
    </row>
    <row r="6179">
      <c r="B6179" s="223" t="s">
        <v>200</v>
      </c>
      <c r="C6179" s="223"/>
      <c r="D6179" s="316"/>
      <c r="H6179" s="223">
        <v>0.0</v>
      </c>
      <c r="K6179" s="317"/>
    </row>
    <row r="6180">
      <c r="B6180" s="223" t="s">
        <v>200</v>
      </c>
      <c r="C6180" s="223"/>
      <c r="D6180" s="316"/>
      <c r="H6180" s="223">
        <v>0.0</v>
      </c>
      <c r="K6180" s="317"/>
    </row>
    <row r="6181">
      <c r="B6181" s="223" t="s">
        <v>200</v>
      </c>
      <c r="C6181" s="223"/>
      <c r="D6181" s="316"/>
      <c r="H6181" s="223">
        <v>0.0</v>
      </c>
      <c r="K6181" s="317"/>
    </row>
    <row r="6182">
      <c r="B6182" s="223" t="s">
        <v>200</v>
      </c>
      <c r="C6182" s="223"/>
      <c r="D6182" s="316"/>
      <c r="H6182" s="223">
        <v>0.0</v>
      </c>
      <c r="K6182" s="317"/>
    </row>
    <row r="6183">
      <c r="B6183" s="223" t="s">
        <v>200</v>
      </c>
      <c r="C6183" s="223"/>
      <c r="D6183" s="316"/>
      <c r="H6183" s="223">
        <v>0.0</v>
      </c>
      <c r="K6183" s="317"/>
    </row>
    <row r="6184">
      <c r="B6184" s="223" t="s">
        <v>200</v>
      </c>
      <c r="C6184" s="223"/>
      <c r="D6184" s="316"/>
      <c r="H6184" s="223">
        <v>0.0</v>
      </c>
      <c r="K6184" s="317"/>
    </row>
    <row r="6185">
      <c r="B6185" s="223" t="s">
        <v>200</v>
      </c>
      <c r="C6185" s="223"/>
      <c r="D6185" s="316"/>
      <c r="H6185" s="223">
        <v>0.0</v>
      </c>
      <c r="K6185" s="317"/>
    </row>
    <row r="6186">
      <c r="B6186" s="223" t="s">
        <v>200</v>
      </c>
      <c r="C6186" s="223"/>
      <c r="D6186" s="316"/>
      <c r="H6186" s="223">
        <v>0.0</v>
      </c>
      <c r="K6186" s="317"/>
    </row>
    <row r="6187">
      <c r="B6187" s="223" t="s">
        <v>200</v>
      </c>
      <c r="C6187" s="223"/>
      <c r="D6187" s="316"/>
      <c r="H6187" s="223">
        <v>0.0</v>
      </c>
      <c r="K6187" s="317"/>
    </row>
    <row r="6188">
      <c r="B6188" s="223" t="s">
        <v>200</v>
      </c>
      <c r="C6188" s="223"/>
      <c r="D6188" s="316"/>
      <c r="H6188" s="223">
        <v>0.0</v>
      </c>
      <c r="K6188" s="317"/>
    </row>
    <row r="6189">
      <c r="B6189" s="223" t="s">
        <v>200</v>
      </c>
      <c r="C6189" s="223"/>
      <c r="D6189" s="316"/>
      <c r="H6189" s="223">
        <v>0.0</v>
      </c>
      <c r="K6189" s="317"/>
    </row>
    <row r="6190">
      <c r="B6190" s="223" t="s">
        <v>200</v>
      </c>
      <c r="C6190" s="223"/>
      <c r="D6190" s="316"/>
      <c r="H6190" s="223">
        <v>0.0</v>
      </c>
      <c r="K6190" s="317"/>
    </row>
    <row r="6191">
      <c r="B6191" s="223" t="s">
        <v>200</v>
      </c>
      <c r="C6191" s="223"/>
      <c r="D6191" s="316"/>
      <c r="H6191" s="223">
        <v>0.0</v>
      </c>
      <c r="K6191" s="317"/>
    </row>
    <row r="6192">
      <c r="B6192" s="223" t="s">
        <v>200</v>
      </c>
      <c r="C6192" s="223"/>
      <c r="D6192" s="316"/>
      <c r="H6192" s="223">
        <v>0.0</v>
      </c>
      <c r="K6192" s="317"/>
    </row>
    <row r="6193">
      <c r="B6193" s="223" t="s">
        <v>200</v>
      </c>
      <c r="C6193" s="223"/>
      <c r="D6193" s="316"/>
      <c r="H6193" s="223">
        <v>0.0</v>
      </c>
      <c r="K6193" s="317"/>
    </row>
    <row r="6194">
      <c r="B6194" s="223" t="s">
        <v>200</v>
      </c>
      <c r="C6194" s="223"/>
      <c r="D6194" s="316"/>
      <c r="H6194" s="223">
        <v>0.0</v>
      </c>
      <c r="K6194" s="317"/>
    </row>
    <row r="6195">
      <c r="B6195" s="223" t="s">
        <v>200</v>
      </c>
      <c r="C6195" s="223"/>
      <c r="D6195" s="316"/>
      <c r="H6195" s="223">
        <v>0.0</v>
      </c>
      <c r="K6195" s="317"/>
    </row>
    <row r="6196">
      <c r="B6196" s="223" t="s">
        <v>200</v>
      </c>
      <c r="C6196" s="223"/>
      <c r="D6196" s="316"/>
      <c r="H6196" s="223">
        <v>0.0</v>
      </c>
      <c r="K6196" s="317"/>
    </row>
    <row r="6197">
      <c r="B6197" s="223" t="s">
        <v>200</v>
      </c>
      <c r="C6197" s="223"/>
      <c r="D6197" s="316"/>
      <c r="H6197" s="223">
        <v>0.0</v>
      </c>
      <c r="K6197" s="317"/>
    </row>
    <row r="6198">
      <c r="B6198" s="223" t="s">
        <v>200</v>
      </c>
      <c r="C6198" s="223"/>
      <c r="D6198" s="316"/>
      <c r="H6198" s="223">
        <v>0.0</v>
      </c>
      <c r="K6198" s="317"/>
    </row>
    <row r="6199">
      <c r="B6199" s="223" t="s">
        <v>200</v>
      </c>
      <c r="C6199" s="223"/>
      <c r="D6199" s="316"/>
      <c r="H6199" s="223">
        <v>0.0</v>
      </c>
      <c r="K6199" s="317"/>
    </row>
    <row r="6200">
      <c r="B6200" s="223" t="s">
        <v>200</v>
      </c>
      <c r="C6200" s="223"/>
      <c r="D6200" s="316"/>
      <c r="H6200" s="223">
        <v>0.0</v>
      </c>
      <c r="K6200" s="317"/>
    </row>
    <row r="6201">
      <c r="B6201" s="223" t="s">
        <v>200</v>
      </c>
      <c r="C6201" s="223"/>
      <c r="D6201" s="316"/>
      <c r="H6201" s="223">
        <v>0.0</v>
      </c>
      <c r="K6201" s="317"/>
    </row>
    <row r="6202">
      <c r="B6202" s="223" t="s">
        <v>200</v>
      </c>
      <c r="C6202" s="223"/>
      <c r="D6202" s="316"/>
      <c r="H6202" s="223">
        <v>0.0</v>
      </c>
      <c r="K6202" s="317"/>
    </row>
    <row r="6203">
      <c r="B6203" s="223" t="s">
        <v>200</v>
      </c>
      <c r="C6203" s="223"/>
      <c r="D6203" s="316"/>
      <c r="H6203" s="223">
        <v>0.0</v>
      </c>
      <c r="K6203" s="317"/>
    </row>
    <row r="6204">
      <c r="B6204" s="223" t="s">
        <v>200</v>
      </c>
      <c r="C6204" s="223"/>
      <c r="D6204" s="316"/>
      <c r="H6204" s="223">
        <v>0.0</v>
      </c>
      <c r="K6204" s="317"/>
    </row>
    <row r="6205">
      <c r="B6205" s="223" t="s">
        <v>200</v>
      </c>
      <c r="C6205" s="223"/>
      <c r="D6205" s="316"/>
      <c r="H6205" s="223">
        <v>0.0</v>
      </c>
      <c r="K6205" s="317"/>
    </row>
    <row r="6206">
      <c r="B6206" s="223" t="s">
        <v>200</v>
      </c>
      <c r="C6206" s="223"/>
      <c r="D6206" s="316"/>
      <c r="H6206" s="223">
        <v>0.0</v>
      </c>
      <c r="K6206" s="317"/>
    </row>
    <row r="6207">
      <c r="B6207" s="223" t="s">
        <v>200</v>
      </c>
      <c r="C6207" s="223"/>
      <c r="D6207" s="316"/>
      <c r="H6207" s="223">
        <v>0.0</v>
      </c>
      <c r="K6207" s="317"/>
    </row>
    <row r="6208">
      <c r="B6208" s="223" t="s">
        <v>200</v>
      </c>
      <c r="C6208" s="223"/>
      <c r="D6208" s="316"/>
      <c r="H6208" s="223">
        <v>0.0</v>
      </c>
      <c r="K6208" s="317"/>
    </row>
    <row r="6209">
      <c r="B6209" s="223" t="s">
        <v>200</v>
      </c>
      <c r="C6209" s="223"/>
      <c r="D6209" s="316"/>
      <c r="H6209" s="223">
        <v>0.0</v>
      </c>
      <c r="K6209" s="317"/>
    </row>
    <row r="6210">
      <c r="B6210" s="223" t="s">
        <v>200</v>
      </c>
      <c r="C6210" s="223"/>
      <c r="D6210" s="316"/>
      <c r="H6210" s="223">
        <v>0.0</v>
      </c>
      <c r="K6210" s="317"/>
    </row>
    <row r="6211">
      <c r="B6211" s="223" t="s">
        <v>200</v>
      </c>
      <c r="C6211" s="223"/>
      <c r="D6211" s="316"/>
      <c r="H6211" s="223">
        <v>0.0</v>
      </c>
      <c r="K6211" s="317"/>
    </row>
    <row r="6212">
      <c r="B6212" s="223" t="s">
        <v>200</v>
      </c>
      <c r="C6212" s="223"/>
      <c r="D6212" s="316"/>
      <c r="H6212" s="223">
        <v>0.0</v>
      </c>
      <c r="K6212" s="317"/>
    </row>
    <row r="6213">
      <c r="B6213" s="223" t="s">
        <v>200</v>
      </c>
      <c r="C6213" s="223"/>
      <c r="D6213" s="316"/>
      <c r="H6213" s="223">
        <v>0.0</v>
      </c>
      <c r="K6213" s="317"/>
    </row>
    <row r="6214">
      <c r="B6214" s="223" t="s">
        <v>200</v>
      </c>
      <c r="C6214" s="223"/>
      <c r="D6214" s="316"/>
      <c r="H6214" s="223">
        <v>0.0</v>
      </c>
      <c r="K6214" s="317"/>
    </row>
    <row r="6215">
      <c r="B6215" s="223" t="s">
        <v>200</v>
      </c>
      <c r="C6215" s="223"/>
      <c r="D6215" s="316"/>
      <c r="H6215" s="223">
        <v>0.0</v>
      </c>
      <c r="K6215" s="317"/>
    </row>
    <row r="6216">
      <c r="B6216" s="223" t="s">
        <v>200</v>
      </c>
      <c r="C6216" s="223"/>
      <c r="D6216" s="316"/>
      <c r="H6216" s="223">
        <v>0.0</v>
      </c>
      <c r="K6216" s="317"/>
    </row>
    <row r="6217">
      <c r="B6217" s="223" t="s">
        <v>200</v>
      </c>
      <c r="C6217" s="223"/>
      <c r="D6217" s="316"/>
      <c r="H6217" s="223">
        <v>0.0</v>
      </c>
      <c r="K6217" s="317"/>
    </row>
    <row r="6218">
      <c r="B6218" s="223" t="s">
        <v>200</v>
      </c>
      <c r="C6218" s="223"/>
      <c r="D6218" s="316"/>
      <c r="H6218" s="223">
        <v>0.0</v>
      </c>
      <c r="K6218" s="317"/>
    </row>
    <row r="6219">
      <c r="B6219" s="223" t="s">
        <v>200</v>
      </c>
      <c r="C6219" s="223"/>
      <c r="D6219" s="316"/>
      <c r="H6219" s="223">
        <v>0.0</v>
      </c>
      <c r="K6219" s="317"/>
    </row>
    <row r="6220">
      <c r="B6220" s="223" t="s">
        <v>200</v>
      </c>
      <c r="C6220" s="223"/>
      <c r="D6220" s="316"/>
      <c r="H6220" s="223">
        <v>0.0</v>
      </c>
      <c r="K6220" s="317"/>
    </row>
    <row r="6221">
      <c r="B6221" s="223" t="s">
        <v>200</v>
      </c>
      <c r="C6221" s="223"/>
      <c r="D6221" s="316"/>
      <c r="H6221" s="223">
        <v>0.0</v>
      </c>
      <c r="K6221" s="317"/>
    </row>
    <row r="6222">
      <c r="B6222" s="223" t="s">
        <v>200</v>
      </c>
      <c r="C6222" s="223"/>
      <c r="D6222" s="316"/>
      <c r="H6222" s="223">
        <v>0.0</v>
      </c>
      <c r="K6222" s="317"/>
    </row>
    <row r="6223">
      <c r="B6223" s="223" t="s">
        <v>200</v>
      </c>
      <c r="C6223" s="223"/>
      <c r="D6223" s="316"/>
      <c r="H6223" s="223">
        <v>0.0</v>
      </c>
      <c r="K6223" s="317"/>
    </row>
    <row r="6224">
      <c r="B6224" s="223" t="s">
        <v>200</v>
      </c>
      <c r="C6224" s="223"/>
      <c r="D6224" s="316"/>
      <c r="H6224" s="223">
        <v>0.0</v>
      </c>
      <c r="K6224" s="317"/>
    </row>
    <row r="6225">
      <c r="B6225" s="223" t="s">
        <v>200</v>
      </c>
      <c r="C6225" s="223"/>
      <c r="D6225" s="316"/>
      <c r="H6225" s="223">
        <v>0.0</v>
      </c>
      <c r="K6225" s="317"/>
    </row>
    <row r="6226">
      <c r="B6226" s="223" t="s">
        <v>200</v>
      </c>
      <c r="C6226" s="223"/>
      <c r="D6226" s="316"/>
      <c r="H6226" s="223">
        <v>0.0</v>
      </c>
      <c r="K6226" s="317"/>
    </row>
    <row r="6227">
      <c r="B6227" s="223" t="s">
        <v>200</v>
      </c>
      <c r="C6227" s="223"/>
      <c r="D6227" s="316"/>
      <c r="H6227" s="223">
        <v>0.0</v>
      </c>
      <c r="K6227" s="317"/>
    </row>
    <row r="6228">
      <c r="B6228" s="223" t="s">
        <v>200</v>
      </c>
      <c r="C6228" s="223"/>
      <c r="D6228" s="316"/>
      <c r="H6228" s="223">
        <v>0.0</v>
      </c>
      <c r="K6228" s="317"/>
    </row>
    <row r="6229">
      <c r="B6229" s="223" t="s">
        <v>200</v>
      </c>
      <c r="C6229" s="223"/>
      <c r="D6229" s="316"/>
      <c r="H6229" s="223">
        <v>0.0</v>
      </c>
      <c r="K6229" s="317"/>
    </row>
    <row r="6230">
      <c r="B6230" s="223" t="s">
        <v>200</v>
      </c>
      <c r="C6230" s="223"/>
      <c r="D6230" s="316"/>
      <c r="H6230" s="223">
        <v>0.0</v>
      </c>
      <c r="K6230" s="317"/>
    </row>
    <row r="6231">
      <c r="B6231" s="223" t="s">
        <v>200</v>
      </c>
      <c r="C6231" s="223"/>
      <c r="D6231" s="316"/>
      <c r="H6231" s="223">
        <v>0.0</v>
      </c>
      <c r="K6231" s="317"/>
    </row>
    <row r="6232">
      <c r="B6232" s="223" t="s">
        <v>200</v>
      </c>
      <c r="C6232" s="223"/>
      <c r="D6232" s="316"/>
      <c r="H6232" s="223">
        <v>0.0</v>
      </c>
      <c r="K6232" s="317"/>
    </row>
    <row r="6233">
      <c r="B6233" s="223" t="s">
        <v>200</v>
      </c>
      <c r="C6233" s="223"/>
      <c r="D6233" s="316"/>
      <c r="H6233" s="223">
        <v>0.0</v>
      </c>
      <c r="K6233" s="317"/>
    </row>
    <row r="6234">
      <c r="B6234" s="223" t="s">
        <v>200</v>
      </c>
      <c r="C6234" s="223"/>
      <c r="D6234" s="316"/>
      <c r="H6234" s="223">
        <v>0.0</v>
      </c>
      <c r="K6234" s="317"/>
    </row>
    <row r="6235">
      <c r="B6235" s="223" t="s">
        <v>200</v>
      </c>
      <c r="C6235" s="223"/>
      <c r="D6235" s="316"/>
      <c r="H6235" s="223">
        <v>0.0</v>
      </c>
      <c r="K6235" s="317"/>
    </row>
    <row r="6236">
      <c r="B6236" s="223" t="s">
        <v>200</v>
      </c>
      <c r="C6236" s="223"/>
      <c r="D6236" s="316"/>
      <c r="H6236" s="223">
        <v>0.0</v>
      </c>
      <c r="K6236" s="317"/>
    </row>
    <row r="6237">
      <c r="B6237" s="223" t="s">
        <v>200</v>
      </c>
      <c r="C6237" s="223"/>
      <c r="D6237" s="316"/>
      <c r="H6237" s="223">
        <v>0.0</v>
      </c>
      <c r="K6237" s="317"/>
    </row>
    <row r="6238">
      <c r="B6238" s="223" t="s">
        <v>200</v>
      </c>
      <c r="C6238" s="223"/>
      <c r="D6238" s="316"/>
      <c r="H6238" s="223">
        <v>0.0</v>
      </c>
      <c r="K6238" s="317"/>
    </row>
    <row r="6239">
      <c r="B6239" s="223" t="s">
        <v>200</v>
      </c>
      <c r="C6239" s="223"/>
      <c r="D6239" s="316"/>
      <c r="H6239" s="223">
        <v>0.0</v>
      </c>
      <c r="K6239" s="317"/>
    </row>
    <row r="6240">
      <c r="B6240" s="223" t="s">
        <v>200</v>
      </c>
      <c r="C6240" s="223"/>
      <c r="D6240" s="316"/>
      <c r="H6240" s="223">
        <v>0.0</v>
      </c>
      <c r="K6240" s="317"/>
    </row>
    <row r="6241">
      <c r="B6241" s="223" t="s">
        <v>200</v>
      </c>
      <c r="C6241" s="223"/>
      <c r="D6241" s="316"/>
      <c r="H6241" s="223">
        <v>0.0</v>
      </c>
      <c r="K6241" s="317"/>
    </row>
    <row r="6242">
      <c r="B6242" s="223" t="s">
        <v>200</v>
      </c>
      <c r="C6242" s="223"/>
      <c r="D6242" s="316"/>
      <c r="H6242" s="223">
        <v>0.0</v>
      </c>
      <c r="K6242" s="317"/>
    </row>
    <row r="6243">
      <c r="B6243" s="223" t="s">
        <v>200</v>
      </c>
      <c r="C6243" s="223"/>
      <c r="D6243" s="316"/>
      <c r="H6243" s="223">
        <v>0.0</v>
      </c>
      <c r="K6243" s="317"/>
    </row>
    <row r="6244">
      <c r="B6244" s="223" t="s">
        <v>200</v>
      </c>
      <c r="C6244" s="223"/>
      <c r="D6244" s="316"/>
      <c r="H6244" s="223">
        <v>0.0</v>
      </c>
      <c r="K6244" s="317"/>
    </row>
    <row r="6245">
      <c r="B6245" s="223" t="s">
        <v>200</v>
      </c>
      <c r="C6245" s="223"/>
      <c r="D6245" s="316"/>
      <c r="H6245" s="223">
        <v>0.0</v>
      </c>
      <c r="K6245" s="317"/>
    </row>
    <row r="6246">
      <c r="B6246" s="223" t="s">
        <v>200</v>
      </c>
      <c r="C6246" s="223"/>
      <c r="D6246" s="316"/>
      <c r="H6246" s="223">
        <v>0.0</v>
      </c>
      <c r="K6246" s="317"/>
    </row>
    <row r="6247">
      <c r="B6247" s="223" t="s">
        <v>200</v>
      </c>
      <c r="C6247" s="223"/>
      <c r="D6247" s="316"/>
      <c r="H6247" s="223">
        <v>0.0</v>
      </c>
      <c r="K6247" s="317"/>
    </row>
    <row r="6248">
      <c r="B6248" s="223" t="s">
        <v>200</v>
      </c>
      <c r="C6248" s="223"/>
      <c r="D6248" s="316"/>
      <c r="H6248" s="223">
        <v>0.0</v>
      </c>
      <c r="K6248" s="317"/>
    </row>
    <row r="6249">
      <c r="B6249" s="223" t="s">
        <v>200</v>
      </c>
      <c r="C6249" s="223"/>
      <c r="D6249" s="316"/>
      <c r="H6249" s="223">
        <v>0.0</v>
      </c>
      <c r="K6249" s="317"/>
    </row>
    <row r="6250">
      <c r="B6250" s="223" t="s">
        <v>200</v>
      </c>
      <c r="C6250" s="223"/>
      <c r="D6250" s="316"/>
      <c r="H6250" s="223">
        <v>0.0</v>
      </c>
      <c r="K6250" s="317"/>
    </row>
    <row r="6251">
      <c r="B6251" s="223" t="s">
        <v>200</v>
      </c>
      <c r="C6251" s="223"/>
      <c r="D6251" s="316"/>
      <c r="H6251" s="223">
        <v>0.0</v>
      </c>
      <c r="K6251" s="317"/>
    </row>
    <row r="6252">
      <c r="B6252" s="223" t="s">
        <v>200</v>
      </c>
      <c r="C6252" s="223"/>
      <c r="D6252" s="316"/>
      <c r="H6252" s="223">
        <v>0.0</v>
      </c>
      <c r="K6252" s="317"/>
    </row>
    <row r="6253">
      <c r="B6253" s="223" t="s">
        <v>200</v>
      </c>
      <c r="C6253" s="223"/>
      <c r="D6253" s="316"/>
      <c r="H6253" s="223">
        <v>0.0</v>
      </c>
      <c r="K6253" s="317"/>
    </row>
    <row r="6254">
      <c r="B6254" s="223" t="s">
        <v>200</v>
      </c>
      <c r="C6254" s="223"/>
      <c r="D6254" s="316"/>
      <c r="H6254" s="223">
        <v>0.0</v>
      </c>
      <c r="K6254" s="317"/>
    </row>
    <row r="6255">
      <c r="B6255" s="223" t="s">
        <v>200</v>
      </c>
      <c r="C6255" s="223"/>
      <c r="D6255" s="316"/>
      <c r="H6255" s="223">
        <v>0.0</v>
      </c>
      <c r="K6255" s="317"/>
    </row>
    <row r="6256">
      <c r="B6256" s="223" t="s">
        <v>200</v>
      </c>
      <c r="C6256" s="223"/>
      <c r="D6256" s="316"/>
      <c r="H6256" s="223">
        <v>0.0</v>
      </c>
      <c r="K6256" s="317"/>
    </row>
    <row r="6257">
      <c r="B6257" s="223" t="s">
        <v>200</v>
      </c>
      <c r="C6257" s="223"/>
      <c r="D6257" s="316"/>
      <c r="H6257" s="223">
        <v>0.0</v>
      </c>
      <c r="K6257" s="317"/>
    </row>
    <row r="6258">
      <c r="B6258" s="223" t="s">
        <v>200</v>
      </c>
      <c r="C6258" s="223"/>
      <c r="D6258" s="316"/>
      <c r="H6258" s="223">
        <v>0.0</v>
      </c>
      <c r="K6258" s="317"/>
    </row>
    <row r="6259">
      <c r="B6259" s="223" t="s">
        <v>200</v>
      </c>
      <c r="C6259" s="223"/>
      <c r="D6259" s="316"/>
      <c r="H6259" s="223">
        <v>0.0</v>
      </c>
      <c r="K6259" s="317"/>
    </row>
    <row r="6260">
      <c r="B6260" s="223" t="s">
        <v>200</v>
      </c>
      <c r="C6260" s="223"/>
      <c r="D6260" s="316"/>
      <c r="H6260" s="223">
        <v>0.0</v>
      </c>
      <c r="K6260" s="317"/>
    </row>
    <row r="6261">
      <c r="B6261" s="223" t="s">
        <v>200</v>
      </c>
      <c r="C6261" s="223"/>
      <c r="D6261" s="316"/>
      <c r="H6261" s="223">
        <v>0.0</v>
      </c>
      <c r="K6261" s="317"/>
    </row>
    <row r="6262">
      <c r="B6262" s="223" t="s">
        <v>200</v>
      </c>
      <c r="C6262" s="223"/>
      <c r="D6262" s="316"/>
      <c r="H6262" s="223">
        <v>0.0</v>
      </c>
      <c r="K6262" s="317"/>
    </row>
    <row r="6263">
      <c r="B6263" s="223" t="s">
        <v>200</v>
      </c>
      <c r="C6263" s="223"/>
      <c r="D6263" s="316"/>
      <c r="H6263" s="223">
        <v>0.0</v>
      </c>
      <c r="K6263" s="317"/>
    </row>
    <row r="6264">
      <c r="B6264" s="223" t="s">
        <v>200</v>
      </c>
      <c r="C6264" s="223"/>
      <c r="D6264" s="316"/>
      <c r="H6264" s="223">
        <v>0.0</v>
      </c>
      <c r="K6264" s="317"/>
    </row>
    <row r="6265">
      <c r="B6265" s="223" t="s">
        <v>200</v>
      </c>
      <c r="C6265" s="223"/>
      <c r="D6265" s="316"/>
      <c r="H6265" s="223">
        <v>0.0</v>
      </c>
      <c r="K6265" s="317"/>
    </row>
    <row r="6266">
      <c r="B6266" s="223" t="s">
        <v>200</v>
      </c>
      <c r="C6266" s="223"/>
      <c r="D6266" s="316"/>
      <c r="H6266" s="223">
        <v>0.0</v>
      </c>
      <c r="K6266" s="317"/>
    </row>
    <row r="6267">
      <c r="B6267" s="223" t="s">
        <v>200</v>
      </c>
      <c r="C6267" s="223"/>
      <c r="D6267" s="316"/>
      <c r="H6267" s="223">
        <v>0.0</v>
      </c>
      <c r="K6267" s="317"/>
    </row>
    <row r="6268">
      <c r="B6268" s="223" t="s">
        <v>200</v>
      </c>
      <c r="C6268" s="223"/>
      <c r="D6268" s="316"/>
      <c r="H6268" s="223">
        <v>0.0</v>
      </c>
      <c r="K6268" s="317"/>
    </row>
    <row r="6269">
      <c r="B6269" s="223" t="s">
        <v>200</v>
      </c>
      <c r="C6269" s="223"/>
      <c r="D6269" s="316"/>
      <c r="H6269" s="223">
        <v>0.0</v>
      </c>
      <c r="K6269" s="317"/>
    </row>
    <row r="6270">
      <c r="B6270" s="223" t="s">
        <v>200</v>
      </c>
      <c r="C6270" s="223"/>
      <c r="D6270" s="316"/>
      <c r="H6270" s="223">
        <v>0.0</v>
      </c>
      <c r="K6270" s="317"/>
    </row>
    <row r="6271">
      <c r="B6271" s="223" t="s">
        <v>200</v>
      </c>
      <c r="C6271" s="223"/>
      <c r="D6271" s="316"/>
      <c r="H6271" s="223">
        <v>0.0</v>
      </c>
      <c r="K6271" s="317"/>
    </row>
    <row r="6272">
      <c r="B6272" s="223" t="s">
        <v>200</v>
      </c>
      <c r="C6272" s="223"/>
      <c r="D6272" s="316"/>
      <c r="H6272" s="223">
        <v>0.0</v>
      </c>
      <c r="K6272" s="317"/>
    </row>
    <row r="6273">
      <c r="B6273" s="223" t="s">
        <v>200</v>
      </c>
      <c r="C6273" s="223"/>
      <c r="D6273" s="316"/>
      <c r="H6273" s="223">
        <v>0.0</v>
      </c>
      <c r="K6273" s="317"/>
    </row>
    <row r="6274">
      <c r="B6274" s="223" t="s">
        <v>200</v>
      </c>
      <c r="C6274" s="223"/>
      <c r="D6274" s="316"/>
      <c r="H6274" s="223">
        <v>0.0</v>
      </c>
      <c r="K6274" s="317"/>
    </row>
    <row r="6275">
      <c r="B6275" s="223" t="s">
        <v>200</v>
      </c>
      <c r="C6275" s="223"/>
      <c r="D6275" s="316"/>
      <c r="H6275" s="223">
        <v>0.0</v>
      </c>
      <c r="K6275" s="317"/>
    </row>
    <row r="6276">
      <c r="B6276" s="223" t="s">
        <v>200</v>
      </c>
      <c r="C6276" s="223"/>
      <c r="D6276" s="316"/>
      <c r="H6276" s="223">
        <v>0.0</v>
      </c>
      <c r="K6276" s="317"/>
    </row>
    <row r="6277">
      <c r="B6277" s="223" t="s">
        <v>200</v>
      </c>
      <c r="C6277" s="223"/>
      <c r="D6277" s="316"/>
      <c r="H6277" s="223">
        <v>0.0</v>
      </c>
      <c r="K6277" s="317"/>
    </row>
    <row r="6278">
      <c r="B6278" s="223" t="s">
        <v>200</v>
      </c>
      <c r="C6278" s="223"/>
      <c r="D6278" s="316"/>
      <c r="H6278" s="223">
        <v>0.0</v>
      </c>
      <c r="K6278" s="317"/>
    </row>
    <row r="6279">
      <c r="B6279" s="223" t="s">
        <v>200</v>
      </c>
      <c r="C6279" s="223"/>
      <c r="D6279" s="316"/>
      <c r="H6279" s="223">
        <v>0.0</v>
      </c>
      <c r="K6279" s="317"/>
    </row>
    <row r="6280">
      <c r="B6280" s="223" t="s">
        <v>200</v>
      </c>
      <c r="C6280" s="223"/>
      <c r="D6280" s="316"/>
      <c r="H6280" s="223">
        <v>0.0</v>
      </c>
      <c r="K6280" s="317"/>
    </row>
    <row r="6281">
      <c r="B6281" s="223" t="s">
        <v>200</v>
      </c>
      <c r="C6281" s="223"/>
      <c r="D6281" s="316"/>
      <c r="H6281" s="223">
        <v>0.0</v>
      </c>
      <c r="K6281" s="317"/>
    </row>
    <row r="6282">
      <c r="B6282" s="223" t="s">
        <v>200</v>
      </c>
      <c r="C6282" s="223"/>
      <c r="D6282" s="316"/>
      <c r="H6282" s="223">
        <v>0.0</v>
      </c>
      <c r="K6282" s="317"/>
    </row>
    <row r="6283">
      <c r="B6283" s="223" t="s">
        <v>200</v>
      </c>
      <c r="C6283" s="223"/>
      <c r="D6283" s="316"/>
      <c r="H6283" s="223">
        <v>0.0</v>
      </c>
      <c r="K6283" s="317"/>
    </row>
    <row r="6284">
      <c r="B6284" s="223" t="s">
        <v>200</v>
      </c>
      <c r="C6284" s="223"/>
      <c r="D6284" s="316"/>
      <c r="H6284" s="223">
        <v>0.0</v>
      </c>
      <c r="K6284" s="317"/>
    </row>
    <row r="6285">
      <c r="B6285" s="223" t="s">
        <v>200</v>
      </c>
      <c r="C6285" s="223"/>
      <c r="D6285" s="316"/>
      <c r="H6285" s="223">
        <v>0.0</v>
      </c>
      <c r="K6285" s="317"/>
    </row>
    <row r="6286">
      <c r="B6286" s="223" t="s">
        <v>200</v>
      </c>
      <c r="C6286" s="223"/>
      <c r="D6286" s="316"/>
      <c r="H6286" s="223">
        <v>0.0</v>
      </c>
      <c r="K6286" s="317"/>
    </row>
    <row r="6287">
      <c r="B6287" s="223" t="s">
        <v>200</v>
      </c>
      <c r="C6287" s="223"/>
      <c r="D6287" s="316"/>
      <c r="H6287" s="223">
        <v>0.0</v>
      </c>
      <c r="K6287" s="317"/>
    </row>
    <row r="6288">
      <c r="B6288" s="223" t="s">
        <v>200</v>
      </c>
      <c r="C6288" s="223"/>
      <c r="D6288" s="316"/>
      <c r="H6288" s="223">
        <v>0.0</v>
      </c>
      <c r="K6288" s="317"/>
    </row>
    <row r="6289">
      <c r="B6289" s="223" t="s">
        <v>200</v>
      </c>
      <c r="C6289" s="223"/>
      <c r="D6289" s="316"/>
      <c r="H6289" s="223">
        <v>0.0</v>
      </c>
      <c r="K6289" s="317"/>
    </row>
    <row r="6290">
      <c r="B6290" s="223" t="s">
        <v>200</v>
      </c>
      <c r="C6290" s="223"/>
      <c r="D6290" s="316"/>
      <c r="H6290" s="223">
        <v>0.0</v>
      </c>
      <c r="K6290" s="317"/>
    </row>
    <row r="6291">
      <c r="B6291" s="223" t="s">
        <v>200</v>
      </c>
      <c r="C6291" s="223"/>
      <c r="D6291" s="316"/>
      <c r="H6291" s="223">
        <v>0.0</v>
      </c>
      <c r="K6291" s="317"/>
    </row>
    <row r="6292">
      <c r="B6292" s="223" t="s">
        <v>200</v>
      </c>
      <c r="C6292" s="223"/>
      <c r="D6292" s="316"/>
      <c r="H6292" s="223">
        <v>0.0</v>
      </c>
      <c r="K6292" s="317"/>
    </row>
    <row r="6293">
      <c r="B6293" s="223" t="s">
        <v>200</v>
      </c>
      <c r="C6293" s="223"/>
      <c r="D6293" s="316"/>
      <c r="H6293" s="223">
        <v>0.0</v>
      </c>
      <c r="K6293" s="317"/>
    </row>
    <row r="6294">
      <c r="B6294" s="223" t="s">
        <v>200</v>
      </c>
      <c r="C6294" s="223"/>
      <c r="D6294" s="316"/>
      <c r="H6294" s="223">
        <v>0.0</v>
      </c>
      <c r="K6294" s="317"/>
    </row>
    <row r="6295">
      <c r="B6295" s="223" t="s">
        <v>200</v>
      </c>
      <c r="C6295" s="223"/>
      <c r="D6295" s="316"/>
      <c r="H6295" s="223">
        <v>0.0</v>
      </c>
      <c r="K6295" s="317"/>
    </row>
    <row r="6296">
      <c r="B6296" s="223" t="s">
        <v>200</v>
      </c>
      <c r="C6296" s="223"/>
      <c r="D6296" s="316"/>
      <c r="H6296" s="223">
        <v>0.0</v>
      </c>
      <c r="K6296" s="317"/>
    </row>
    <row r="6297">
      <c r="B6297" s="223" t="s">
        <v>200</v>
      </c>
      <c r="C6297" s="223"/>
      <c r="D6297" s="316"/>
      <c r="H6297" s="223">
        <v>0.0</v>
      </c>
      <c r="K6297" s="317"/>
    </row>
    <row r="6298">
      <c r="B6298" s="223" t="s">
        <v>200</v>
      </c>
      <c r="C6298" s="223"/>
      <c r="D6298" s="316"/>
      <c r="H6298" s="223">
        <v>0.0</v>
      </c>
      <c r="K6298" s="317"/>
    </row>
    <row r="6299">
      <c r="B6299" s="223" t="s">
        <v>200</v>
      </c>
      <c r="C6299" s="223"/>
      <c r="D6299" s="316"/>
      <c r="H6299" s="223">
        <v>0.0</v>
      </c>
      <c r="K6299" s="317"/>
    </row>
    <row r="6300">
      <c r="B6300" s="223" t="s">
        <v>200</v>
      </c>
      <c r="C6300" s="223"/>
      <c r="D6300" s="316"/>
      <c r="H6300" s="223">
        <v>0.0</v>
      </c>
      <c r="K6300" s="317"/>
    </row>
    <row r="6301">
      <c r="B6301" s="223" t="s">
        <v>200</v>
      </c>
      <c r="C6301" s="223"/>
      <c r="D6301" s="316"/>
      <c r="H6301" s="223">
        <v>0.0</v>
      </c>
      <c r="K6301" s="317"/>
    </row>
    <row r="6302">
      <c r="B6302" s="223" t="s">
        <v>200</v>
      </c>
      <c r="C6302" s="223"/>
      <c r="D6302" s="316"/>
      <c r="H6302" s="223">
        <v>0.0</v>
      </c>
      <c r="K6302" s="317"/>
    </row>
    <row r="6303">
      <c r="B6303" s="223" t="s">
        <v>200</v>
      </c>
      <c r="C6303" s="223"/>
      <c r="D6303" s="316"/>
      <c r="H6303" s="223">
        <v>0.0</v>
      </c>
      <c r="K6303" s="317"/>
    </row>
    <row r="6304">
      <c r="B6304" s="223" t="s">
        <v>200</v>
      </c>
      <c r="C6304" s="223"/>
      <c r="D6304" s="316"/>
      <c r="H6304" s="223">
        <v>0.0</v>
      </c>
      <c r="K6304" s="317"/>
    </row>
    <row r="6305">
      <c r="B6305" s="223" t="s">
        <v>200</v>
      </c>
      <c r="C6305" s="223"/>
      <c r="D6305" s="316"/>
      <c r="H6305" s="223">
        <v>0.0</v>
      </c>
      <c r="K6305" s="317"/>
    </row>
    <row r="6306">
      <c r="B6306" s="223" t="s">
        <v>200</v>
      </c>
      <c r="C6306" s="223"/>
      <c r="D6306" s="316"/>
      <c r="H6306" s="223">
        <v>0.0</v>
      </c>
      <c r="K6306" s="317"/>
    </row>
    <row r="6307">
      <c r="B6307" s="223" t="s">
        <v>200</v>
      </c>
      <c r="C6307" s="223"/>
      <c r="D6307" s="316"/>
      <c r="H6307" s="223">
        <v>0.0</v>
      </c>
      <c r="K6307" s="317"/>
    </row>
    <row r="6308">
      <c r="B6308" s="223" t="s">
        <v>200</v>
      </c>
      <c r="C6308" s="223"/>
      <c r="D6308" s="316"/>
      <c r="H6308" s="223">
        <v>0.0</v>
      </c>
      <c r="K6308" s="317"/>
    </row>
    <row r="6309">
      <c r="B6309" s="223" t="s">
        <v>200</v>
      </c>
      <c r="C6309" s="223"/>
      <c r="D6309" s="316"/>
      <c r="H6309" s="223">
        <v>0.0</v>
      </c>
      <c r="K6309" s="317"/>
    </row>
    <row r="6310">
      <c r="B6310" s="223" t="s">
        <v>200</v>
      </c>
      <c r="C6310" s="223"/>
      <c r="D6310" s="316"/>
      <c r="H6310" s="223">
        <v>0.0</v>
      </c>
      <c r="K6310" s="317"/>
    </row>
    <row r="6311">
      <c r="B6311" s="223" t="s">
        <v>200</v>
      </c>
      <c r="C6311" s="223"/>
      <c r="D6311" s="316"/>
      <c r="H6311" s="223">
        <v>0.0</v>
      </c>
      <c r="K6311" s="317"/>
    </row>
    <row r="6312">
      <c r="B6312" s="223" t="s">
        <v>200</v>
      </c>
      <c r="C6312" s="223"/>
      <c r="D6312" s="316"/>
      <c r="H6312" s="223">
        <v>0.0</v>
      </c>
      <c r="K6312" s="317"/>
    </row>
    <row r="6313">
      <c r="B6313" s="223" t="s">
        <v>200</v>
      </c>
      <c r="C6313" s="223"/>
      <c r="D6313" s="316"/>
      <c r="H6313" s="223">
        <v>0.0</v>
      </c>
      <c r="K6313" s="317"/>
    </row>
    <row r="6314">
      <c r="B6314" s="223" t="s">
        <v>200</v>
      </c>
      <c r="C6314" s="223"/>
      <c r="D6314" s="316"/>
      <c r="H6314" s="223">
        <v>0.0</v>
      </c>
      <c r="K6314" s="317"/>
    </row>
    <row r="6315">
      <c r="B6315" s="223" t="s">
        <v>200</v>
      </c>
      <c r="C6315" s="223"/>
      <c r="D6315" s="316"/>
      <c r="H6315" s="223">
        <v>0.0</v>
      </c>
      <c r="K6315" s="317"/>
    </row>
    <row r="6316">
      <c r="B6316" s="223" t="s">
        <v>200</v>
      </c>
      <c r="C6316" s="223"/>
      <c r="D6316" s="316"/>
      <c r="H6316" s="223">
        <v>0.0</v>
      </c>
      <c r="K6316" s="317"/>
    </row>
    <row r="6317">
      <c r="B6317" s="223" t="s">
        <v>200</v>
      </c>
      <c r="C6317" s="223"/>
      <c r="D6317" s="316"/>
      <c r="H6317" s="223">
        <v>0.0</v>
      </c>
      <c r="K6317" s="317"/>
    </row>
    <row r="6318">
      <c r="B6318" s="223" t="s">
        <v>200</v>
      </c>
      <c r="C6318" s="223"/>
      <c r="D6318" s="316"/>
      <c r="H6318" s="223">
        <v>0.0</v>
      </c>
      <c r="K6318" s="317"/>
    </row>
    <row r="6319">
      <c r="B6319" s="223" t="s">
        <v>200</v>
      </c>
      <c r="C6319" s="223"/>
      <c r="D6319" s="316"/>
      <c r="H6319" s="223">
        <v>0.0</v>
      </c>
      <c r="K6319" s="317"/>
    </row>
    <row r="6320">
      <c r="B6320" s="223" t="s">
        <v>200</v>
      </c>
      <c r="C6320" s="223"/>
      <c r="D6320" s="316"/>
      <c r="H6320" s="223">
        <v>0.0</v>
      </c>
      <c r="K6320" s="317"/>
    </row>
    <row r="6321">
      <c r="B6321" s="223" t="s">
        <v>200</v>
      </c>
      <c r="C6321" s="223"/>
      <c r="D6321" s="316"/>
      <c r="H6321" s="223">
        <v>0.0</v>
      </c>
      <c r="K6321" s="317"/>
    </row>
    <row r="6322">
      <c r="B6322" s="223" t="s">
        <v>200</v>
      </c>
      <c r="C6322" s="223"/>
      <c r="D6322" s="316"/>
      <c r="H6322" s="223">
        <v>0.0</v>
      </c>
      <c r="K6322" s="317"/>
    </row>
    <row r="6323">
      <c r="B6323" s="223" t="s">
        <v>200</v>
      </c>
      <c r="C6323" s="223"/>
      <c r="D6323" s="316"/>
      <c r="H6323" s="223">
        <v>0.0</v>
      </c>
      <c r="K6323" s="317"/>
    </row>
    <row r="6324">
      <c r="B6324" s="223" t="s">
        <v>200</v>
      </c>
      <c r="C6324" s="223"/>
      <c r="D6324" s="316"/>
      <c r="H6324" s="223">
        <v>0.0</v>
      </c>
      <c r="K6324" s="317"/>
    </row>
    <row r="6325">
      <c r="B6325" s="223" t="s">
        <v>200</v>
      </c>
      <c r="C6325" s="223"/>
      <c r="D6325" s="316"/>
      <c r="H6325" s="223">
        <v>0.0</v>
      </c>
      <c r="K6325" s="317"/>
    </row>
    <row r="6326">
      <c r="B6326" s="223" t="s">
        <v>200</v>
      </c>
      <c r="C6326" s="223"/>
      <c r="D6326" s="316"/>
      <c r="H6326" s="223">
        <v>0.0</v>
      </c>
      <c r="K6326" s="317"/>
    </row>
    <row r="6327">
      <c r="B6327" s="223" t="s">
        <v>200</v>
      </c>
      <c r="C6327" s="223"/>
      <c r="D6327" s="316"/>
      <c r="H6327" s="223">
        <v>0.0</v>
      </c>
      <c r="K6327" s="317"/>
    </row>
    <row r="6328">
      <c r="B6328" s="223" t="s">
        <v>200</v>
      </c>
      <c r="C6328" s="223"/>
      <c r="D6328" s="316"/>
      <c r="H6328" s="223">
        <v>0.0</v>
      </c>
      <c r="K6328" s="317"/>
    </row>
    <row r="6329">
      <c r="B6329" s="223" t="s">
        <v>200</v>
      </c>
      <c r="C6329" s="223"/>
      <c r="D6329" s="316"/>
      <c r="H6329" s="223">
        <v>0.0</v>
      </c>
      <c r="K6329" s="317"/>
    </row>
    <row r="6330">
      <c r="B6330" s="223" t="s">
        <v>200</v>
      </c>
      <c r="C6330" s="223"/>
      <c r="D6330" s="316"/>
      <c r="H6330" s="223">
        <v>0.0</v>
      </c>
      <c r="K6330" s="317"/>
    </row>
    <row r="6331">
      <c r="B6331" s="223" t="s">
        <v>200</v>
      </c>
      <c r="C6331" s="223"/>
      <c r="D6331" s="316"/>
      <c r="H6331" s="223">
        <v>0.0</v>
      </c>
      <c r="K6331" s="317"/>
    </row>
    <row r="6332">
      <c r="B6332" s="223" t="s">
        <v>200</v>
      </c>
      <c r="C6332" s="223"/>
      <c r="D6332" s="316"/>
      <c r="H6332" s="223">
        <v>0.0</v>
      </c>
      <c r="K6332" s="317"/>
    </row>
    <row r="6333">
      <c r="B6333" s="223" t="s">
        <v>200</v>
      </c>
      <c r="C6333" s="223"/>
      <c r="D6333" s="316"/>
      <c r="H6333" s="223">
        <v>0.0</v>
      </c>
      <c r="K6333" s="317"/>
    </row>
    <row r="6334">
      <c r="B6334" s="223" t="s">
        <v>200</v>
      </c>
      <c r="C6334" s="223"/>
      <c r="D6334" s="316"/>
      <c r="H6334" s="223">
        <v>0.0</v>
      </c>
      <c r="K6334" s="317"/>
    </row>
    <row r="6335">
      <c r="B6335" s="223" t="s">
        <v>200</v>
      </c>
      <c r="C6335" s="223"/>
      <c r="D6335" s="316"/>
      <c r="H6335" s="223">
        <v>0.0</v>
      </c>
      <c r="K6335" s="317"/>
    </row>
    <row r="6336">
      <c r="B6336" s="223" t="s">
        <v>200</v>
      </c>
      <c r="C6336" s="223"/>
      <c r="D6336" s="316"/>
      <c r="H6336" s="223">
        <v>0.0</v>
      </c>
      <c r="K6336" s="317"/>
    </row>
    <row r="6337">
      <c r="B6337" s="223" t="s">
        <v>200</v>
      </c>
      <c r="C6337" s="223"/>
      <c r="D6337" s="316"/>
      <c r="H6337" s="223">
        <v>0.0</v>
      </c>
      <c r="K6337" s="317"/>
    </row>
    <row r="6338">
      <c r="B6338" s="223" t="s">
        <v>200</v>
      </c>
      <c r="C6338" s="223"/>
      <c r="D6338" s="316"/>
      <c r="H6338" s="223">
        <v>0.0</v>
      </c>
      <c r="K6338" s="317"/>
    </row>
    <row r="6339">
      <c r="B6339" s="223" t="s">
        <v>200</v>
      </c>
      <c r="C6339" s="223"/>
      <c r="D6339" s="316"/>
      <c r="H6339" s="223">
        <v>0.0</v>
      </c>
      <c r="K6339" s="317"/>
    </row>
    <row r="6340">
      <c r="B6340" s="223" t="s">
        <v>200</v>
      </c>
      <c r="C6340" s="223"/>
      <c r="D6340" s="316"/>
      <c r="H6340" s="223">
        <v>0.0</v>
      </c>
      <c r="K6340" s="317"/>
    </row>
    <row r="6341">
      <c r="B6341" s="223" t="s">
        <v>200</v>
      </c>
      <c r="C6341" s="223"/>
      <c r="D6341" s="316"/>
      <c r="H6341" s="223">
        <v>0.0</v>
      </c>
      <c r="K6341" s="317"/>
    </row>
    <row r="6342">
      <c r="B6342" s="223" t="s">
        <v>200</v>
      </c>
      <c r="C6342" s="223"/>
      <c r="D6342" s="316"/>
      <c r="H6342" s="223">
        <v>0.0</v>
      </c>
      <c r="K6342" s="317"/>
    </row>
    <row r="6343">
      <c r="B6343" s="223" t="s">
        <v>200</v>
      </c>
      <c r="C6343" s="223"/>
      <c r="D6343" s="316"/>
      <c r="H6343" s="223">
        <v>0.0</v>
      </c>
      <c r="K6343" s="317"/>
    </row>
    <row r="6344">
      <c r="B6344" s="223" t="s">
        <v>200</v>
      </c>
      <c r="C6344" s="223"/>
      <c r="D6344" s="316"/>
      <c r="H6344" s="223">
        <v>0.0</v>
      </c>
      <c r="K6344" s="317"/>
    </row>
    <row r="6345">
      <c r="B6345" s="223" t="s">
        <v>200</v>
      </c>
      <c r="C6345" s="223"/>
      <c r="D6345" s="316"/>
      <c r="H6345" s="223">
        <v>0.0</v>
      </c>
      <c r="K6345" s="317"/>
    </row>
    <row r="6346">
      <c r="B6346" s="223" t="s">
        <v>200</v>
      </c>
      <c r="C6346" s="223"/>
      <c r="D6346" s="316"/>
      <c r="H6346" s="223">
        <v>0.0</v>
      </c>
      <c r="K6346" s="317"/>
    </row>
    <row r="6347">
      <c r="B6347" s="223" t="s">
        <v>200</v>
      </c>
      <c r="C6347" s="223"/>
      <c r="D6347" s="316"/>
      <c r="H6347" s="223">
        <v>0.0</v>
      </c>
      <c r="K6347" s="317"/>
    </row>
    <row r="6348">
      <c r="B6348" s="223" t="s">
        <v>200</v>
      </c>
      <c r="C6348" s="223"/>
      <c r="D6348" s="316"/>
      <c r="H6348" s="223">
        <v>0.0</v>
      </c>
      <c r="K6348" s="317"/>
    </row>
    <row r="6349">
      <c r="B6349" s="223" t="s">
        <v>200</v>
      </c>
      <c r="C6349" s="223"/>
      <c r="D6349" s="316"/>
      <c r="H6349" s="223">
        <v>0.0</v>
      </c>
      <c r="K6349" s="317"/>
    </row>
    <row r="6350">
      <c r="B6350" s="223" t="s">
        <v>200</v>
      </c>
      <c r="C6350" s="223"/>
      <c r="D6350" s="316"/>
      <c r="H6350" s="223">
        <v>0.0</v>
      </c>
      <c r="K6350" s="317"/>
    </row>
    <row r="6351">
      <c r="B6351" s="223" t="s">
        <v>200</v>
      </c>
      <c r="C6351" s="223"/>
      <c r="D6351" s="316"/>
      <c r="H6351" s="223">
        <v>0.0</v>
      </c>
      <c r="K6351" s="317"/>
    </row>
    <row r="6352">
      <c r="B6352" s="223" t="s">
        <v>200</v>
      </c>
      <c r="C6352" s="223"/>
      <c r="D6352" s="316"/>
      <c r="H6352" s="223">
        <v>0.0</v>
      </c>
      <c r="K6352" s="317"/>
    </row>
    <row r="6353">
      <c r="B6353" s="223" t="s">
        <v>200</v>
      </c>
      <c r="C6353" s="223"/>
      <c r="D6353" s="316"/>
      <c r="H6353" s="223">
        <v>0.0</v>
      </c>
      <c r="K6353" s="317"/>
    </row>
    <row r="6354">
      <c r="B6354" s="223" t="s">
        <v>200</v>
      </c>
      <c r="C6354" s="223"/>
      <c r="D6354" s="316"/>
      <c r="H6354" s="223">
        <v>0.0</v>
      </c>
      <c r="K6354" s="317"/>
    </row>
    <row r="6355">
      <c r="B6355" s="223" t="s">
        <v>200</v>
      </c>
      <c r="C6355" s="223"/>
      <c r="D6355" s="316"/>
      <c r="H6355" s="223">
        <v>0.0</v>
      </c>
      <c r="K6355" s="317"/>
    </row>
    <row r="6356">
      <c r="B6356" s="223" t="s">
        <v>200</v>
      </c>
      <c r="C6356" s="223"/>
      <c r="D6356" s="316"/>
      <c r="H6356" s="223">
        <v>0.0</v>
      </c>
      <c r="K6356" s="317"/>
    </row>
    <row r="6357">
      <c r="B6357" s="223" t="s">
        <v>200</v>
      </c>
      <c r="C6357" s="223"/>
      <c r="D6357" s="316"/>
      <c r="H6357" s="223">
        <v>0.0</v>
      </c>
      <c r="K6357" s="317"/>
    </row>
    <row r="6358">
      <c r="B6358" s="223" t="s">
        <v>200</v>
      </c>
      <c r="C6358" s="223"/>
      <c r="D6358" s="316"/>
      <c r="H6358" s="223">
        <v>0.0</v>
      </c>
      <c r="K6358" s="317"/>
    </row>
    <row r="6359">
      <c r="B6359" s="223" t="s">
        <v>200</v>
      </c>
      <c r="C6359" s="223"/>
      <c r="D6359" s="316"/>
      <c r="H6359" s="223">
        <v>0.0</v>
      </c>
      <c r="K6359" s="317"/>
    </row>
    <row r="6360">
      <c r="B6360" s="223" t="s">
        <v>200</v>
      </c>
      <c r="C6360" s="223"/>
      <c r="D6360" s="316"/>
      <c r="H6360" s="223">
        <v>0.0</v>
      </c>
      <c r="K6360" s="317"/>
    </row>
    <row r="6361">
      <c r="B6361" s="223" t="s">
        <v>200</v>
      </c>
      <c r="C6361" s="223"/>
      <c r="D6361" s="316"/>
      <c r="H6361" s="223">
        <v>0.0</v>
      </c>
      <c r="K6361" s="317"/>
    </row>
    <row r="6362">
      <c r="B6362" s="223" t="s">
        <v>200</v>
      </c>
      <c r="C6362" s="223"/>
      <c r="D6362" s="316"/>
      <c r="H6362" s="223">
        <v>0.0</v>
      </c>
      <c r="K6362" s="317"/>
    </row>
    <row r="6363">
      <c r="B6363" s="223" t="s">
        <v>200</v>
      </c>
      <c r="C6363" s="223"/>
      <c r="D6363" s="316"/>
      <c r="H6363" s="223">
        <v>0.0</v>
      </c>
      <c r="K6363" s="317"/>
    </row>
    <row r="6364">
      <c r="B6364" s="223" t="s">
        <v>200</v>
      </c>
      <c r="C6364" s="223"/>
      <c r="D6364" s="316"/>
      <c r="H6364" s="223">
        <v>0.0</v>
      </c>
      <c r="K6364" s="317"/>
    </row>
    <row r="6365">
      <c r="B6365" s="223" t="s">
        <v>200</v>
      </c>
      <c r="C6365" s="223"/>
      <c r="D6365" s="316"/>
      <c r="H6365" s="223">
        <v>0.0</v>
      </c>
      <c r="K6365" s="317"/>
    </row>
    <row r="6366">
      <c r="B6366" s="223" t="s">
        <v>200</v>
      </c>
      <c r="C6366" s="223"/>
      <c r="D6366" s="316"/>
      <c r="H6366" s="223">
        <v>0.0</v>
      </c>
      <c r="K6366" s="317"/>
    </row>
    <row r="6367">
      <c r="B6367" s="223" t="s">
        <v>200</v>
      </c>
      <c r="C6367" s="223"/>
      <c r="D6367" s="316"/>
      <c r="H6367" s="223">
        <v>0.0</v>
      </c>
      <c r="K6367" s="317"/>
    </row>
    <row r="6368">
      <c r="B6368" s="223" t="s">
        <v>200</v>
      </c>
      <c r="C6368" s="223"/>
      <c r="D6368" s="316"/>
      <c r="H6368" s="223">
        <v>0.0</v>
      </c>
      <c r="K6368" s="317"/>
    </row>
    <row r="6369">
      <c r="B6369" s="223" t="s">
        <v>200</v>
      </c>
      <c r="C6369" s="223"/>
      <c r="D6369" s="316"/>
      <c r="H6369" s="223">
        <v>0.0</v>
      </c>
      <c r="K6369" s="317"/>
    </row>
    <row r="6370">
      <c r="B6370" s="223" t="s">
        <v>200</v>
      </c>
      <c r="C6370" s="223"/>
      <c r="D6370" s="316"/>
      <c r="H6370" s="223">
        <v>0.0</v>
      </c>
      <c r="K6370" s="317"/>
    </row>
    <row r="6371">
      <c r="B6371" s="223" t="s">
        <v>200</v>
      </c>
      <c r="C6371" s="223"/>
      <c r="D6371" s="316"/>
      <c r="H6371" s="223">
        <v>0.0</v>
      </c>
      <c r="K6371" s="317"/>
    </row>
    <row r="6372">
      <c r="B6372" s="223" t="s">
        <v>200</v>
      </c>
      <c r="C6372" s="223"/>
      <c r="D6372" s="316"/>
      <c r="H6372" s="223">
        <v>0.0</v>
      </c>
      <c r="K6372" s="317"/>
    </row>
    <row r="6373">
      <c r="B6373" s="223" t="s">
        <v>200</v>
      </c>
      <c r="C6373" s="223"/>
      <c r="D6373" s="316"/>
      <c r="H6373" s="223">
        <v>0.0</v>
      </c>
      <c r="K6373" s="317"/>
    </row>
    <row r="6374">
      <c r="B6374" s="223" t="s">
        <v>200</v>
      </c>
      <c r="C6374" s="223"/>
      <c r="D6374" s="316"/>
      <c r="H6374" s="223">
        <v>0.0</v>
      </c>
      <c r="K6374" s="317"/>
    </row>
    <row r="6375">
      <c r="B6375" s="223" t="s">
        <v>200</v>
      </c>
      <c r="C6375" s="223"/>
      <c r="D6375" s="316"/>
      <c r="H6375" s="223">
        <v>0.0</v>
      </c>
      <c r="K6375" s="317"/>
    </row>
    <row r="6376">
      <c r="B6376" s="223" t="s">
        <v>200</v>
      </c>
      <c r="C6376" s="223"/>
      <c r="D6376" s="316"/>
      <c r="H6376" s="223">
        <v>0.0</v>
      </c>
      <c r="K6376" s="317"/>
    </row>
    <row r="6377">
      <c r="B6377" s="223" t="s">
        <v>200</v>
      </c>
      <c r="C6377" s="223"/>
      <c r="D6377" s="316"/>
      <c r="H6377" s="223">
        <v>0.0</v>
      </c>
      <c r="K6377" s="317"/>
    </row>
    <row r="6378">
      <c r="B6378" s="223" t="s">
        <v>200</v>
      </c>
      <c r="C6378" s="223"/>
      <c r="D6378" s="316"/>
      <c r="H6378" s="223">
        <v>0.0</v>
      </c>
      <c r="K6378" s="317"/>
    </row>
    <row r="6379">
      <c r="B6379" s="223" t="s">
        <v>200</v>
      </c>
      <c r="C6379" s="223"/>
      <c r="D6379" s="316"/>
      <c r="H6379" s="223">
        <v>0.0</v>
      </c>
      <c r="K6379" s="317"/>
    </row>
    <row r="6380">
      <c r="B6380" s="223" t="s">
        <v>200</v>
      </c>
      <c r="C6380" s="223"/>
      <c r="D6380" s="316"/>
      <c r="H6380" s="223">
        <v>0.0</v>
      </c>
      <c r="K6380" s="317"/>
    </row>
    <row r="6381">
      <c r="B6381" s="223" t="s">
        <v>200</v>
      </c>
      <c r="C6381" s="223"/>
      <c r="D6381" s="316"/>
      <c r="H6381" s="223">
        <v>0.0</v>
      </c>
      <c r="K6381" s="317"/>
    </row>
    <row r="6382">
      <c r="B6382" s="223" t="s">
        <v>200</v>
      </c>
      <c r="C6382" s="223"/>
      <c r="D6382" s="316"/>
      <c r="H6382" s="223">
        <v>0.0</v>
      </c>
      <c r="K6382" s="317"/>
    </row>
    <row r="6383">
      <c r="B6383" s="223" t="s">
        <v>200</v>
      </c>
      <c r="C6383" s="223"/>
      <c r="D6383" s="316"/>
      <c r="H6383" s="223">
        <v>0.0</v>
      </c>
      <c r="K6383" s="317"/>
    </row>
    <row r="6384">
      <c r="B6384" s="223" t="s">
        <v>200</v>
      </c>
      <c r="C6384" s="223"/>
      <c r="D6384" s="316"/>
      <c r="H6384" s="223">
        <v>0.0</v>
      </c>
      <c r="K6384" s="317"/>
    </row>
    <row r="6385">
      <c r="B6385" s="223" t="s">
        <v>200</v>
      </c>
      <c r="C6385" s="223"/>
      <c r="D6385" s="316"/>
      <c r="H6385" s="223">
        <v>0.0</v>
      </c>
      <c r="K6385" s="317"/>
    </row>
    <row r="6386">
      <c r="B6386" s="223" t="s">
        <v>200</v>
      </c>
      <c r="C6386" s="223"/>
      <c r="D6386" s="316"/>
      <c r="H6386" s="223">
        <v>0.0</v>
      </c>
      <c r="K6386" s="317"/>
    </row>
    <row r="6387">
      <c r="B6387" s="223" t="s">
        <v>200</v>
      </c>
      <c r="C6387" s="223"/>
      <c r="D6387" s="316"/>
      <c r="H6387" s="223">
        <v>0.0</v>
      </c>
      <c r="K6387" s="317"/>
    </row>
    <row r="6388">
      <c r="B6388" s="223" t="s">
        <v>200</v>
      </c>
      <c r="C6388" s="223"/>
      <c r="D6388" s="316"/>
      <c r="H6388" s="223">
        <v>0.0</v>
      </c>
      <c r="K6388" s="317"/>
    </row>
    <row r="6389">
      <c r="B6389" s="223" t="s">
        <v>200</v>
      </c>
      <c r="C6389" s="223"/>
      <c r="D6389" s="316"/>
      <c r="H6389" s="223">
        <v>0.0</v>
      </c>
      <c r="K6389" s="317"/>
    </row>
    <row r="6390">
      <c r="B6390" s="223" t="s">
        <v>200</v>
      </c>
      <c r="C6390" s="223"/>
      <c r="D6390" s="316"/>
      <c r="H6390" s="223">
        <v>0.0</v>
      </c>
      <c r="K6390" s="317"/>
    </row>
    <row r="6391">
      <c r="B6391" s="223" t="s">
        <v>200</v>
      </c>
      <c r="C6391" s="223"/>
      <c r="D6391" s="316"/>
      <c r="H6391" s="223">
        <v>0.0</v>
      </c>
      <c r="K6391" s="317"/>
    </row>
    <row r="6392">
      <c r="B6392" s="223" t="s">
        <v>200</v>
      </c>
      <c r="C6392" s="223"/>
      <c r="D6392" s="316"/>
      <c r="H6392" s="223">
        <v>0.0</v>
      </c>
      <c r="K6392" s="317"/>
    </row>
    <row r="6393">
      <c r="B6393" s="223" t="s">
        <v>200</v>
      </c>
      <c r="C6393" s="223"/>
      <c r="D6393" s="316"/>
      <c r="H6393" s="223">
        <v>0.0</v>
      </c>
      <c r="K6393" s="317"/>
    </row>
    <row r="6394">
      <c r="B6394" s="223" t="s">
        <v>200</v>
      </c>
      <c r="C6394" s="223"/>
      <c r="D6394" s="316"/>
      <c r="H6394" s="223">
        <v>0.0</v>
      </c>
      <c r="K6394" s="317"/>
    </row>
    <row r="6395">
      <c r="B6395" s="223" t="s">
        <v>200</v>
      </c>
      <c r="C6395" s="223"/>
      <c r="D6395" s="316"/>
      <c r="H6395" s="223">
        <v>0.0</v>
      </c>
      <c r="K6395" s="317"/>
    </row>
    <row r="6396">
      <c r="B6396" s="223" t="s">
        <v>200</v>
      </c>
      <c r="C6396" s="223"/>
      <c r="D6396" s="316"/>
      <c r="H6396" s="223">
        <v>0.0</v>
      </c>
      <c r="K6396" s="317"/>
    </row>
    <row r="6397">
      <c r="B6397" s="223" t="s">
        <v>200</v>
      </c>
      <c r="C6397" s="223"/>
      <c r="D6397" s="316"/>
      <c r="H6397" s="223">
        <v>0.0</v>
      </c>
      <c r="K6397" s="317"/>
    </row>
    <row r="6398">
      <c r="B6398" s="223" t="s">
        <v>200</v>
      </c>
      <c r="C6398" s="223"/>
      <c r="D6398" s="316"/>
      <c r="H6398" s="223">
        <v>0.0</v>
      </c>
      <c r="K6398" s="317"/>
    </row>
    <row r="6399">
      <c r="B6399" s="223" t="s">
        <v>200</v>
      </c>
      <c r="C6399" s="223"/>
      <c r="D6399" s="316"/>
      <c r="H6399" s="223">
        <v>0.0</v>
      </c>
      <c r="K6399" s="317"/>
    </row>
    <row r="6400">
      <c r="B6400" s="223" t="s">
        <v>200</v>
      </c>
      <c r="C6400" s="223"/>
      <c r="D6400" s="316"/>
      <c r="H6400" s="223">
        <v>0.0</v>
      </c>
      <c r="K6400" s="317"/>
    </row>
    <row r="6401">
      <c r="B6401" s="223" t="s">
        <v>200</v>
      </c>
      <c r="C6401" s="223"/>
      <c r="D6401" s="316"/>
      <c r="H6401" s="223">
        <v>0.0</v>
      </c>
      <c r="K6401" s="317"/>
    </row>
    <row r="6402">
      <c r="B6402" s="223" t="s">
        <v>200</v>
      </c>
      <c r="C6402" s="223"/>
      <c r="D6402" s="316"/>
      <c r="H6402" s="223">
        <v>0.0</v>
      </c>
      <c r="K6402" s="317"/>
    </row>
    <row r="6403">
      <c r="B6403" s="223" t="s">
        <v>200</v>
      </c>
      <c r="C6403" s="223"/>
      <c r="D6403" s="316"/>
      <c r="H6403" s="223">
        <v>0.0</v>
      </c>
      <c r="K6403" s="317"/>
    </row>
    <row r="6404">
      <c r="B6404" s="223" t="s">
        <v>200</v>
      </c>
      <c r="C6404" s="223"/>
      <c r="D6404" s="316"/>
      <c r="H6404" s="223">
        <v>0.0</v>
      </c>
      <c r="K6404" s="317"/>
    </row>
    <row r="6405">
      <c r="B6405" s="223" t="s">
        <v>200</v>
      </c>
      <c r="C6405" s="223"/>
      <c r="D6405" s="316"/>
      <c r="H6405" s="223">
        <v>0.0</v>
      </c>
      <c r="K6405" s="317"/>
    </row>
    <row r="6406">
      <c r="B6406" s="223" t="s">
        <v>200</v>
      </c>
      <c r="C6406" s="223"/>
      <c r="D6406" s="316"/>
      <c r="H6406" s="223">
        <v>0.0</v>
      </c>
      <c r="K6406" s="317"/>
    </row>
    <row r="6407">
      <c r="B6407" s="223" t="s">
        <v>200</v>
      </c>
      <c r="C6407" s="223"/>
      <c r="D6407" s="316"/>
      <c r="H6407" s="223">
        <v>0.0</v>
      </c>
      <c r="K6407" s="317"/>
    </row>
    <row r="6408">
      <c r="B6408" s="223" t="s">
        <v>200</v>
      </c>
      <c r="C6408" s="223"/>
      <c r="D6408" s="316"/>
      <c r="H6408" s="223">
        <v>0.0</v>
      </c>
      <c r="K6408" s="317"/>
    </row>
    <row r="6409">
      <c r="B6409" s="223" t="s">
        <v>200</v>
      </c>
      <c r="C6409" s="223"/>
      <c r="D6409" s="316"/>
      <c r="H6409" s="223">
        <v>0.0</v>
      </c>
      <c r="K6409" s="317"/>
    </row>
    <row r="6410">
      <c r="B6410" s="223" t="s">
        <v>200</v>
      </c>
      <c r="C6410" s="223"/>
      <c r="D6410" s="316"/>
      <c r="H6410" s="223">
        <v>0.0</v>
      </c>
      <c r="K6410" s="317"/>
    </row>
    <row r="6411">
      <c r="B6411" s="223" t="s">
        <v>200</v>
      </c>
      <c r="C6411" s="223"/>
      <c r="D6411" s="316"/>
      <c r="H6411" s="223">
        <v>0.0</v>
      </c>
      <c r="K6411" s="317"/>
    </row>
    <row r="6412">
      <c r="B6412" s="223" t="s">
        <v>200</v>
      </c>
      <c r="C6412" s="223"/>
      <c r="D6412" s="316"/>
      <c r="H6412" s="223">
        <v>0.0</v>
      </c>
      <c r="K6412" s="317"/>
    </row>
    <row r="6413">
      <c r="B6413" s="223" t="s">
        <v>200</v>
      </c>
      <c r="C6413" s="223"/>
      <c r="D6413" s="316"/>
      <c r="H6413" s="223">
        <v>0.0</v>
      </c>
      <c r="K6413" s="317"/>
    </row>
    <row r="6414">
      <c r="B6414" s="223" t="s">
        <v>200</v>
      </c>
      <c r="C6414" s="223"/>
      <c r="D6414" s="316"/>
      <c r="H6414" s="223">
        <v>0.0</v>
      </c>
      <c r="K6414" s="317"/>
    </row>
    <row r="6415">
      <c r="B6415" s="223" t="s">
        <v>200</v>
      </c>
      <c r="C6415" s="223"/>
      <c r="D6415" s="316"/>
      <c r="H6415" s="223">
        <v>0.0</v>
      </c>
      <c r="K6415" s="317"/>
    </row>
    <row r="6416">
      <c r="B6416" s="223" t="s">
        <v>200</v>
      </c>
      <c r="C6416" s="223"/>
      <c r="D6416" s="316"/>
      <c r="H6416" s="223">
        <v>0.0</v>
      </c>
      <c r="K6416" s="317"/>
    </row>
    <row r="6417">
      <c r="B6417" s="223" t="s">
        <v>200</v>
      </c>
      <c r="C6417" s="223"/>
      <c r="D6417" s="316"/>
      <c r="H6417" s="223">
        <v>0.0</v>
      </c>
      <c r="K6417" s="317"/>
    </row>
    <row r="6418">
      <c r="B6418" s="223" t="s">
        <v>200</v>
      </c>
      <c r="C6418" s="223"/>
      <c r="D6418" s="316"/>
      <c r="H6418" s="223">
        <v>0.0</v>
      </c>
      <c r="K6418" s="317"/>
    </row>
    <row r="6419">
      <c r="B6419" s="223" t="s">
        <v>200</v>
      </c>
      <c r="C6419" s="223"/>
      <c r="D6419" s="316"/>
      <c r="H6419" s="223">
        <v>0.0</v>
      </c>
      <c r="K6419" s="317"/>
    </row>
    <row r="6420">
      <c r="B6420" s="223" t="s">
        <v>200</v>
      </c>
      <c r="C6420" s="223"/>
      <c r="D6420" s="316"/>
      <c r="H6420" s="223">
        <v>0.0</v>
      </c>
      <c r="K6420" s="317"/>
    </row>
    <row r="6421">
      <c r="B6421" s="223" t="s">
        <v>200</v>
      </c>
      <c r="C6421" s="223"/>
      <c r="D6421" s="316"/>
      <c r="H6421" s="223">
        <v>0.0</v>
      </c>
      <c r="K6421" s="317"/>
    </row>
    <row r="6422">
      <c r="B6422" s="223" t="s">
        <v>200</v>
      </c>
      <c r="C6422" s="223"/>
      <c r="D6422" s="316"/>
      <c r="H6422" s="223">
        <v>0.0</v>
      </c>
      <c r="K6422" s="317"/>
    </row>
    <row r="6423">
      <c r="B6423" s="223" t="s">
        <v>200</v>
      </c>
      <c r="C6423" s="223"/>
      <c r="D6423" s="316"/>
      <c r="H6423" s="223">
        <v>0.0</v>
      </c>
      <c r="K6423" s="317"/>
    </row>
    <row r="6424">
      <c r="B6424" s="223" t="s">
        <v>200</v>
      </c>
      <c r="C6424" s="223"/>
      <c r="D6424" s="316"/>
      <c r="H6424" s="223">
        <v>0.0</v>
      </c>
      <c r="K6424" s="317"/>
    </row>
    <row r="6425">
      <c r="B6425" s="223" t="s">
        <v>200</v>
      </c>
      <c r="C6425" s="223"/>
      <c r="D6425" s="316"/>
      <c r="H6425" s="223">
        <v>0.0</v>
      </c>
      <c r="K6425" s="317"/>
    </row>
    <row r="6426">
      <c r="B6426" s="223" t="s">
        <v>200</v>
      </c>
      <c r="C6426" s="223"/>
      <c r="D6426" s="316"/>
      <c r="H6426" s="223">
        <v>0.0</v>
      </c>
      <c r="K6426" s="317"/>
    </row>
    <row r="6427">
      <c r="B6427" s="223" t="s">
        <v>200</v>
      </c>
      <c r="C6427" s="223"/>
      <c r="D6427" s="316"/>
      <c r="H6427" s="223">
        <v>0.0</v>
      </c>
      <c r="K6427" s="317"/>
    </row>
    <row r="6428">
      <c r="B6428" s="223" t="s">
        <v>200</v>
      </c>
      <c r="C6428" s="223"/>
      <c r="D6428" s="316"/>
      <c r="H6428" s="223">
        <v>0.0</v>
      </c>
      <c r="K6428" s="317"/>
    </row>
    <row r="6429">
      <c r="B6429" s="223" t="s">
        <v>200</v>
      </c>
      <c r="C6429" s="223"/>
      <c r="D6429" s="316"/>
      <c r="H6429" s="223">
        <v>0.0</v>
      </c>
      <c r="K6429" s="317"/>
    </row>
    <row r="6430">
      <c r="B6430" s="223" t="s">
        <v>200</v>
      </c>
      <c r="C6430" s="223"/>
      <c r="D6430" s="316"/>
      <c r="H6430" s="223">
        <v>0.0</v>
      </c>
      <c r="K6430" s="317"/>
    </row>
    <row r="6431">
      <c r="B6431" s="223" t="s">
        <v>200</v>
      </c>
      <c r="C6431" s="223"/>
      <c r="D6431" s="316"/>
      <c r="H6431" s="223">
        <v>0.0</v>
      </c>
      <c r="K6431" s="317"/>
    </row>
    <row r="6432">
      <c r="B6432" s="223" t="s">
        <v>200</v>
      </c>
      <c r="C6432" s="223"/>
      <c r="D6432" s="316"/>
      <c r="H6432" s="223">
        <v>0.0</v>
      </c>
      <c r="K6432" s="317"/>
    </row>
    <row r="6433">
      <c r="B6433" s="223" t="s">
        <v>200</v>
      </c>
      <c r="C6433" s="223"/>
      <c r="D6433" s="316"/>
      <c r="H6433" s="223">
        <v>0.0</v>
      </c>
      <c r="K6433" s="317"/>
    </row>
    <row r="6434">
      <c r="B6434" s="223" t="s">
        <v>200</v>
      </c>
      <c r="C6434" s="223"/>
      <c r="D6434" s="316"/>
      <c r="H6434" s="223">
        <v>0.0</v>
      </c>
      <c r="K6434" s="317"/>
    </row>
    <row r="6435">
      <c r="B6435" s="223" t="s">
        <v>200</v>
      </c>
      <c r="C6435" s="223"/>
      <c r="D6435" s="316"/>
      <c r="H6435" s="223">
        <v>0.0</v>
      </c>
      <c r="K6435" s="317"/>
    </row>
    <row r="6436">
      <c r="B6436" s="223" t="s">
        <v>200</v>
      </c>
      <c r="C6436" s="223"/>
      <c r="D6436" s="316"/>
      <c r="H6436" s="223">
        <v>0.0</v>
      </c>
      <c r="K6436" s="317"/>
    </row>
    <row r="6437">
      <c r="B6437" s="223" t="s">
        <v>200</v>
      </c>
      <c r="C6437" s="223"/>
      <c r="D6437" s="316"/>
      <c r="H6437" s="223">
        <v>0.0</v>
      </c>
      <c r="K6437" s="317"/>
    </row>
    <row r="6438">
      <c r="B6438" s="223" t="s">
        <v>200</v>
      </c>
      <c r="C6438" s="223"/>
      <c r="D6438" s="316"/>
      <c r="H6438" s="223">
        <v>0.0</v>
      </c>
      <c r="K6438" s="317"/>
    </row>
    <row r="6439">
      <c r="B6439" s="223" t="s">
        <v>200</v>
      </c>
      <c r="C6439" s="223"/>
      <c r="D6439" s="316"/>
      <c r="H6439" s="223">
        <v>0.0</v>
      </c>
      <c r="K6439" s="317"/>
    </row>
    <row r="6440">
      <c r="B6440" s="223" t="s">
        <v>200</v>
      </c>
      <c r="C6440" s="223"/>
      <c r="D6440" s="316"/>
      <c r="H6440" s="223">
        <v>0.0</v>
      </c>
      <c r="K6440" s="317"/>
    </row>
    <row r="6441">
      <c r="B6441" s="223" t="s">
        <v>200</v>
      </c>
      <c r="C6441" s="223"/>
      <c r="D6441" s="316"/>
      <c r="H6441" s="223">
        <v>0.0</v>
      </c>
      <c r="K6441" s="317"/>
    </row>
    <row r="6442">
      <c r="B6442" s="223" t="s">
        <v>200</v>
      </c>
      <c r="C6442" s="223"/>
      <c r="D6442" s="316"/>
      <c r="H6442" s="223">
        <v>0.0</v>
      </c>
      <c r="K6442" s="317"/>
    </row>
    <row r="6443">
      <c r="B6443" s="223" t="s">
        <v>200</v>
      </c>
      <c r="C6443" s="223"/>
      <c r="D6443" s="316"/>
      <c r="H6443" s="223">
        <v>0.0</v>
      </c>
      <c r="K6443" s="317"/>
    </row>
    <row r="6444">
      <c r="B6444" s="223" t="s">
        <v>200</v>
      </c>
      <c r="C6444" s="223"/>
      <c r="D6444" s="316"/>
      <c r="H6444" s="223">
        <v>0.0</v>
      </c>
      <c r="K6444" s="317"/>
    </row>
    <row r="6445">
      <c r="B6445" s="223" t="s">
        <v>200</v>
      </c>
      <c r="C6445" s="223"/>
      <c r="D6445" s="316"/>
      <c r="H6445" s="223">
        <v>0.0</v>
      </c>
      <c r="K6445" s="317"/>
    </row>
    <row r="6446">
      <c r="B6446" s="223" t="s">
        <v>200</v>
      </c>
      <c r="C6446" s="223"/>
      <c r="D6446" s="316"/>
      <c r="H6446" s="223">
        <v>0.0</v>
      </c>
      <c r="K6446" s="317"/>
    </row>
    <row r="6447">
      <c r="B6447" s="223" t="s">
        <v>200</v>
      </c>
      <c r="C6447" s="223"/>
      <c r="D6447" s="316"/>
      <c r="H6447" s="223">
        <v>0.0</v>
      </c>
      <c r="K6447" s="317"/>
    </row>
    <row r="6448">
      <c r="B6448" s="223" t="s">
        <v>200</v>
      </c>
      <c r="C6448" s="223"/>
      <c r="D6448" s="316"/>
      <c r="H6448" s="223">
        <v>0.0</v>
      </c>
      <c r="K6448" s="317"/>
    </row>
    <row r="6449">
      <c r="B6449" s="223" t="s">
        <v>200</v>
      </c>
      <c r="C6449" s="223"/>
      <c r="D6449" s="316"/>
      <c r="H6449" s="223">
        <v>0.0</v>
      </c>
      <c r="K6449" s="317"/>
    </row>
    <row r="6450">
      <c r="B6450" s="223" t="s">
        <v>200</v>
      </c>
      <c r="C6450" s="223"/>
      <c r="D6450" s="316"/>
      <c r="H6450" s="223">
        <v>0.0</v>
      </c>
      <c r="K6450" s="317"/>
    </row>
    <row r="6451">
      <c r="B6451" s="223" t="s">
        <v>200</v>
      </c>
      <c r="C6451" s="223"/>
      <c r="D6451" s="316"/>
      <c r="H6451" s="223">
        <v>0.0</v>
      </c>
      <c r="K6451" s="317"/>
    </row>
    <row r="6452">
      <c r="B6452" s="223" t="s">
        <v>200</v>
      </c>
      <c r="C6452" s="223"/>
      <c r="D6452" s="316"/>
      <c r="H6452" s="223">
        <v>0.0</v>
      </c>
      <c r="K6452" s="317"/>
    </row>
    <row r="6453">
      <c r="B6453" s="223" t="s">
        <v>200</v>
      </c>
      <c r="C6453" s="223"/>
      <c r="D6453" s="316"/>
      <c r="H6453" s="223">
        <v>0.0</v>
      </c>
      <c r="K6453" s="317"/>
    </row>
    <row r="6454">
      <c r="B6454" s="223" t="s">
        <v>200</v>
      </c>
      <c r="C6454" s="223"/>
      <c r="D6454" s="316"/>
      <c r="H6454" s="223">
        <v>0.0</v>
      </c>
      <c r="K6454" s="317"/>
    </row>
    <row r="6455">
      <c r="B6455" s="223" t="s">
        <v>200</v>
      </c>
      <c r="C6455" s="223"/>
      <c r="D6455" s="316"/>
      <c r="H6455" s="223">
        <v>0.0</v>
      </c>
      <c r="K6455" s="317"/>
    </row>
    <row r="6456">
      <c r="B6456" s="223" t="s">
        <v>200</v>
      </c>
      <c r="C6456" s="223"/>
      <c r="D6456" s="316"/>
      <c r="H6456" s="223">
        <v>0.0</v>
      </c>
      <c r="K6456" s="317"/>
    </row>
    <row r="6457">
      <c r="B6457" s="223" t="s">
        <v>200</v>
      </c>
      <c r="C6457" s="223"/>
      <c r="D6457" s="316"/>
      <c r="H6457" s="223">
        <v>0.0</v>
      </c>
      <c r="K6457" s="317"/>
    </row>
    <row r="6458">
      <c r="B6458" s="223" t="s">
        <v>200</v>
      </c>
      <c r="C6458" s="223"/>
      <c r="D6458" s="316"/>
      <c r="H6458" s="223">
        <v>0.0</v>
      </c>
      <c r="K6458" s="317"/>
    </row>
    <row r="6459">
      <c r="B6459" s="223" t="s">
        <v>200</v>
      </c>
      <c r="C6459" s="223"/>
      <c r="D6459" s="316"/>
      <c r="H6459" s="223">
        <v>0.0</v>
      </c>
      <c r="K6459" s="317"/>
    </row>
    <row r="6460">
      <c r="B6460" s="223" t="s">
        <v>200</v>
      </c>
      <c r="C6460" s="223"/>
      <c r="D6460" s="316"/>
      <c r="H6460" s="223">
        <v>0.0</v>
      </c>
      <c r="K6460" s="317"/>
    </row>
    <row r="6461">
      <c r="B6461" s="223" t="s">
        <v>200</v>
      </c>
      <c r="C6461" s="223"/>
      <c r="D6461" s="316"/>
      <c r="H6461" s="223">
        <v>0.0</v>
      </c>
      <c r="K6461" s="317"/>
    </row>
    <row r="6462">
      <c r="B6462" s="223" t="s">
        <v>200</v>
      </c>
      <c r="C6462" s="223"/>
      <c r="D6462" s="316"/>
      <c r="H6462" s="223">
        <v>0.0</v>
      </c>
      <c r="K6462" s="317"/>
    </row>
    <row r="6463">
      <c r="B6463" s="223" t="s">
        <v>200</v>
      </c>
      <c r="C6463" s="223"/>
      <c r="D6463" s="316"/>
      <c r="H6463" s="223">
        <v>0.0</v>
      </c>
      <c r="K6463" s="317"/>
    </row>
    <row r="6464">
      <c r="B6464" s="223" t="s">
        <v>200</v>
      </c>
      <c r="C6464" s="223"/>
      <c r="D6464" s="316"/>
      <c r="H6464" s="223">
        <v>0.0</v>
      </c>
      <c r="K6464" s="317"/>
    </row>
    <row r="6465">
      <c r="B6465" s="223" t="s">
        <v>200</v>
      </c>
      <c r="C6465" s="223"/>
      <c r="D6465" s="316"/>
      <c r="H6465" s="223">
        <v>0.0</v>
      </c>
      <c r="K6465" s="317"/>
    </row>
    <row r="6466">
      <c r="B6466" s="223" t="s">
        <v>200</v>
      </c>
      <c r="C6466" s="223"/>
      <c r="D6466" s="316"/>
      <c r="H6466" s="223">
        <v>0.0</v>
      </c>
      <c r="K6466" s="317"/>
    </row>
    <row r="6467">
      <c r="B6467" s="223" t="s">
        <v>200</v>
      </c>
      <c r="C6467" s="223"/>
      <c r="D6467" s="316"/>
      <c r="H6467" s="223">
        <v>0.0</v>
      </c>
      <c r="K6467" s="317"/>
    </row>
    <row r="6468">
      <c r="B6468" s="223" t="s">
        <v>200</v>
      </c>
      <c r="C6468" s="223"/>
      <c r="D6468" s="316"/>
      <c r="H6468" s="223">
        <v>0.0</v>
      </c>
      <c r="K6468" s="317"/>
    </row>
    <row r="6469">
      <c r="B6469" s="223" t="s">
        <v>200</v>
      </c>
      <c r="C6469" s="223"/>
      <c r="D6469" s="316"/>
      <c r="H6469" s="223">
        <v>0.0</v>
      </c>
      <c r="K6469" s="317"/>
    </row>
    <row r="6470">
      <c r="B6470" s="223" t="s">
        <v>200</v>
      </c>
      <c r="C6470" s="223"/>
      <c r="D6470" s="316"/>
      <c r="H6470" s="223">
        <v>0.0</v>
      </c>
      <c r="K6470" s="317"/>
    </row>
    <row r="6471">
      <c r="B6471" s="223" t="s">
        <v>200</v>
      </c>
      <c r="C6471" s="223"/>
      <c r="D6471" s="316"/>
      <c r="H6471" s="223">
        <v>0.0</v>
      </c>
      <c r="K6471" s="317"/>
    </row>
    <row r="6472">
      <c r="B6472" s="223" t="s">
        <v>200</v>
      </c>
      <c r="C6472" s="223"/>
      <c r="D6472" s="316"/>
      <c r="H6472" s="223">
        <v>0.0</v>
      </c>
      <c r="K6472" s="317"/>
    </row>
    <row r="6473">
      <c r="B6473" s="223" t="s">
        <v>200</v>
      </c>
      <c r="C6473" s="223"/>
      <c r="D6473" s="316"/>
      <c r="H6473" s="223">
        <v>0.0</v>
      </c>
      <c r="K6473" s="317"/>
    </row>
    <row r="6474">
      <c r="B6474" s="223" t="s">
        <v>200</v>
      </c>
      <c r="C6474" s="223"/>
      <c r="D6474" s="316"/>
      <c r="H6474" s="223">
        <v>0.0</v>
      </c>
      <c r="K6474" s="317"/>
    </row>
    <row r="6475">
      <c r="B6475" s="223" t="s">
        <v>200</v>
      </c>
      <c r="C6475" s="223"/>
      <c r="D6475" s="316"/>
      <c r="H6475" s="223">
        <v>0.0</v>
      </c>
      <c r="K6475" s="317"/>
    </row>
    <row r="6476">
      <c r="B6476" s="223" t="s">
        <v>200</v>
      </c>
      <c r="C6476" s="223"/>
      <c r="D6476" s="316"/>
      <c r="H6476" s="223">
        <v>0.0</v>
      </c>
      <c r="K6476" s="317"/>
    </row>
    <row r="6477">
      <c r="B6477" s="223" t="s">
        <v>200</v>
      </c>
      <c r="C6477" s="223"/>
      <c r="D6477" s="316"/>
      <c r="H6477" s="223">
        <v>0.0</v>
      </c>
      <c r="K6477" s="317"/>
    </row>
    <row r="6478">
      <c r="B6478" s="223" t="s">
        <v>200</v>
      </c>
      <c r="C6478" s="223"/>
      <c r="D6478" s="316"/>
      <c r="H6478" s="223">
        <v>0.0</v>
      </c>
      <c r="K6478" s="317"/>
    </row>
    <row r="6479">
      <c r="B6479" s="223" t="s">
        <v>200</v>
      </c>
      <c r="C6479" s="223"/>
      <c r="D6479" s="316"/>
      <c r="H6479" s="223">
        <v>0.0</v>
      </c>
      <c r="K6479" s="317"/>
    </row>
    <row r="6480">
      <c r="B6480" s="223" t="s">
        <v>200</v>
      </c>
      <c r="C6480" s="223"/>
      <c r="D6480" s="316"/>
      <c r="H6480" s="223">
        <v>0.0</v>
      </c>
      <c r="K6480" s="317"/>
    </row>
    <row r="6481">
      <c r="B6481" s="223" t="s">
        <v>200</v>
      </c>
      <c r="C6481" s="223"/>
      <c r="D6481" s="316"/>
      <c r="H6481" s="223">
        <v>0.0</v>
      </c>
      <c r="K6481" s="317"/>
    </row>
    <row r="6482">
      <c r="B6482" s="223" t="s">
        <v>200</v>
      </c>
      <c r="C6482" s="223"/>
      <c r="D6482" s="316"/>
      <c r="H6482" s="223">
        <v>0.0</v>
      </c>
      <c r="K6482" s="317"/>
    </row>
    <row r="6483">
      <c r="B6483" s="223" t="s">
        <v>200</v>
      </c>
      <c r="C6483" s="223"/>
      <c r="D6483" s="316"/>
      <c r="H6483" s="223">
        <v>0.0</v>
      </c>
      <c r="K6483" s="317"/>
    </row>
    <row r="6484">
      <c r="B6484" s="223" t="s">
        <v>200</v>
      </c>
      <c r="C6484" s="223"/>
      <c r="D6484" s="316"/>
      <c r="H6484" s="223">
        <v>0.0</v>
      </c>
      <c r="K6484" s="317"/>
    </row>
    <row r="6485">
      <c r="B6485" s="223" t="s">
        <v>200</v>
      </c>
      <c r="C6485" s="223"/>
      <c r="D6485" s="316"/>
      <c r="H6485" s="223">
        <v>0.0</v>
      </c>
      <c r="K6485" s="317"/>
    </row>
    <row r="6486">
      <c r="B6486" s="223" t="s">
        <v>200</v>
      </c>
      <c r="C6486" s="223"/>
      <c r="D6486" s="316"/>
      <c r="H6486" s="223">
        <v>0.0</v>
      </c>
      <c r="K6486" s="317"/>
    </row>
    <row r="6487">
      <c r="B6487" s="223" t="s">
        <v>200</v>
      </c>
      <c r="C6487" s="223"/>
      <c r="D6487" s="316"/>
      <c r="H6487" s="223">
        <v>0.0</v>
      </c>
      <c r="K6487" s="317"/>
    </row>
    <row r="6488">
      <c r="B6488" s="223" t="s">
        <v>200</v>
      </c>
      <c r="C6488" s="223"/>
      <c r="D6488" s="316"/>
      <c r="H6488" s="223">
        <v>0.0</v>
      </c>
      <c r="K6488" s="317"/>
    </row>
    <row r="6489">
      <c r="B6489" s="223" t="s">
        <v>200</v>
      </c>
      <c r="C6489" s="223"/>
      <c r="D6489" s="316"/>
      <c r="H6489" s="223">
        <v>0.0</v>
      </c>
      <c r="K6489" s="317"/>
    </row>
    <row r="6490">
      <c r="B6490" s="223" t="s">
        <v>200</v>
      </c>
      <c r="C6490" s="223"/>
      <c r="D6490" s="316"/>
      <c r="H6490" s="223">
        <v>0.0</v>
      </c>
      <c r="K6490" s="317"/>
    </row>
    <row r="6491">
      <c r="B6491" s="223" t="s">
        <v>200</v>
      </c>
      <c r="C6491" s="223"/>
      <c r="D6491" s="316"/>
      <c r="H6491" s="223">
        <v>0.0</v>
      </c>
      <c r="K6491" s="317"/>
    </row>
    <row r="6492">
      <c r="B6492" s="223" t="s">
        <v>200</v>
      </c>
      <c r="C6492" s="223"/>
      <c r="D6492" s="316"/>
      <c r="H6492" s="223">
        <v>0.0</v>
      </c>
      <c r="K6492" s="317"/>
    </row>
    <row r="6493">
      <c r="B6493" s="223" t="s">
        <v>200</v>
      </c>
      <c r="C6493" s="223"/>
      <c r="D6493" s="316"/>
      <c r="H6493" s="223">
        <v>0.0</v>
      </c>
      <c r="K6493" s="317"/>
    </row>
    <row r="6494">
      <c r="B6494" s="223" t="s">
        <v>200</v>
      </c>
      <c r="C6494" s="223"/>
      <c r="D6494" s="316"/>
      <c r="H6494" s="223">
        <v>0.0</v>
      </c>
      <c r="K6494" s="317"/>
    </row>
    <row r="6495">
      <c r="B6495" s="223" t="s">
        <v>200</v>
      </c>
      <c r="C6495" s="223"/>
      <c r="D6495" s="316"/>
      <c r="H6495" s="223">
        <v>0.0</v>
      </c>
      <c r="K6495" s="317"/>
    </row>
    <row r="6496">
      <c r="B6496" s="223" t="s">
        <v>200</v>
      </c>
      <c r="C6496" s="223"/>
      <c r="D6496" s="316"/>
      <c r="H6496" s="223">
        <v>0.0</v>
      </c>
      <c r="K6496" s="317"/>
    </row>
    <row r="6497">
      <c r="B6497" s="223" t="s">
        <v>200</v>
      </c>
      <c r="C6497" s="223"/>
      <c r="D6497" s="316"/>
      <c r="H6497" s="223">
        <v>0.0</v>
      </c>
      <c r="K6497" s="317"/>
    </row>
    <row r="6498">
      <c r="B6498" s="223" t="s">
        <v>200</v>
      </c>
      <c r="C6498" s="223"/>
      <c r="D6498" s="316"/>
      <c r="H6498" s="223">
        <v>0.0</v>
      </c>
      <c r="K6498" s="317"/>
    </row>
    <row r="6499">
      <c r="B6499" s="223" t="s">
        <v>200</v>
      </c>
      <c r="C6499" s="223"/>
      <c r="D6499" s="316"/>
      <c r="H6499" s="223">
        <v>0.0</v>
      </c>
      <c r="K6499" s="317"/>
    </row>
    <row r="6500">
      <c r="B6500" s="223" t="s">
        <v>200</v>
      </c>
      <c r="C6500" s="223"/>
      <c r="D6500" s="316"/>
      <c r="H6500" s="223">
        <v>0.0</v>
      </c>
      <c r="K6500" s="317"/>
    </row>
    <row r="6501">
      <c r="B6501" s="223" t="s">
        <v>200</v>
      </c>
      <c r="C6501" s="223"/>
      <c r="D6501" s="316"/>
      <c r="H6501" s="223">
        <v>0.0</v>
      </c>
      <c r="K6501" s="317"/>
    </row>
    <row r="6502">
      <c r="B6502" s="223" t="s">
        <v>200</v>
      </c>
      <c r="C6502" s="223"/>
      <c r="D6502" s="316"/>
      <c r="H6502" s="223">
        <v>0.0</v>
      </c>
      <c r="K6502" s="317"/>
    </row>
    <row r="6503">
      <c r="B6503" s="223" t="s">
        <v>200</v>
      </c>
      <c r="C6503" s="223"/>
      <c r="D6503" s="316"/>
      <c r="H6503" s="223">
        <v>0.0</v>
      </c>
      <c r="K6503" s="317"/>
    </row>
    <row r="6504">
      <c r="B6504" s="223" t="s">
        <v>200</v>
      </c>
      <c r="C6504" s="223"/>
      <c r="D6504" s="316"/>
      <c r="H6504" s="223">
        <v>0.0</v>
      </c>
      <c r="K6504" s="317"/>
    </row>
    <row r="6505">
      <c r="B6505" s="223" t="s">
        <v>200</v>
      </c>
      <c r="C6505" s="223"/>
      <c r="D6505" s="316"/>
      <c r="H6505" s="223">
        <v>0.0</v>
      </c>
      <c r="K6505" s="317"/>
    </row>
    <row r="6506">
      <c r="B6506" s="223" t="s">
        <v>200</v>
      </c>
      <c r="C6506" s="223"/>
      <c r="D6506" s="316"/>
      <c r="H6506" s="223">
        <v>0.0</v>
      </c>
      <c r="K6506" s="317"/>
    </row>
    <row r="6507">
      <c r="B6507" s="223" t="s">
        <v>200</v>
      </c>
      <c r="C6507" s="223"/>
      <c r="D6507" s="316"/>
      <c r="H6507" s="223">
        <v>0.0</v>
      </c>
      <c r="K6507" s="317"/>
    </row>
    <row r="6508">
      <c r="B6508" s="223" t="s">
        <v>200</v>
      </c>
      <c r="C6508" s="223"/>
      <c r="D6508" s="316"/>
      <c r="H6508" s="223">
        <v>0.0</v>
      </c>
      <c r="K6508" s="317"/>
    </row>
    <row r="6509">
      <c r="B6509" s="223" t="s">
        <v>200</v>
      </c>
      <c r="C6509" s="223"/>
      <c r="D6509" s="316"/>
      <c r="H6509" s="223">
        <v>0.0</v>
      </c>
      <c r="K6509" s="317"/>
    </row>
    <row r="6510">
      <c r="B6510" s="223" t="s">
        <v>200</v>
      </c>
      <c r="C6510" s="223"/>
      <c r="D6510" s="316"/>
      <c r="H6510" s="223">
        <v>0.0</v>
      </c>
      <c r="K6510" s="317"/>
    </row>
    <row r="6511">
      <c r="B6511" s="223" t="s">
        <v>200</v>
      </c>
      <c r="C6511" s="223"/>
      <c r="D6511" s="316"/>
      <c r="H6511" s="223">
        <v>0.0</v>
      </c>
      <c r="K6511" s="317"/>
    </row>
    <row r="6512">
      <c r="B6512" s="223" t="s">
        <v>200</v>
      </c>
      <c r="C6512" s="223"/>
      <c r="D6512" s="316"/>
      <c r="H6512" s="223">
        <v>0.0</v>
      </c>
      <c r="K6512" s="317"/>
    </row>
    <row r="6513">
      <c r="B6513" s="223" t="s">
        <v>200</v>
      </c>
      <c r="C6513" s="223"/>
      <c r="D6513" s="316"/>
      <c r="H6513" s="223">
        <v>0.0</v>
      </c>
      <c r="K6513" s="317"/>
    </row>
    <row r="6514">
      <c r="B6514" s="223" t="s">
        <v>200</v>
      </c>
      <c r="C6514" s="223"/>
      <c r="D6514" s="316"/>
      <c r="H6514" s="223">
        <v>0.0</v>
      </c>
      <c r="K6514" s="317"/>
    </row>
    <row r="6515">
      <c r="B6515" s="223" t="s">
        <v>200</v>
      </c>
      <c r="C6515" s="223"/>
      <c r="D6515" s="316"/>
      <c r="H6515" s="223">
        <v>0.0</v>
      </c>
      <c r="K6515" s="317"/>
    </row>
    <row r="6516">
      <c r="B6516" s="223" t="s">
        <v>200</v>
      </c>
      <c r="C6516" s="223"/>
      <c r="D6516" s="316"/>
      <c r="H6516" s="223">
        <v>0.0</v>
      </c>
      <c r="K6516" s="317"/>
    </row>
    <row r="6517">
      <c r="B6517" s="223" t="s">
        <v>200</v>
      </c>
      <c r="C6517" s="223"/>
      <c r="D6517" s="316"/>
      <c r="H6517" s="223">
        <v>0.0</v>
      </c>
      <c r="K6517" s="317"/>
    </row>
    <row r="6518">
      <c r="B6518" s="223" t="s">
        <v>200</v>
      </c>
      <c r="C6518" s="223"/>
      <c r="D6518" s="316"/>
      <c r="H6518" s="223">
        <v>0.0</v>
      </c>
      <c r="K6518" s="317"/>
    </row>
    <row r="6519">
      <c r="B6519" s="223" t="s">
        <v>200</v>
      </c>
      <c r="C6519" s="223"/>
      <c r="D6519" s="316"/>
      <c r="H6519" s="223">
        <v>0.0</v>
      </c>
      <c r="K6519" s="317"/>
    </row>
    <row r="6520">
      <c r="B6520" s="223" t="s">
        <v>200</v>
      </c>
      <c r="C6520" s="223"/>
      <c r="D6520" s="316"/>
      <c r="H6520" s="223">
        <v>0.0</v>
      </c>
      <c r="K6520" s="317"/>
    </row>
    <row r="6521">
      <c r="B6521" s="223" t="s">
        <v>200</v>
      </c>
      <c r="C6521" s="223"/>
      <c r="D6521" s="316"/>
      <c r="H6521" s="223">
        <v>0.0</v>
      </c>
      <c r="K6521" s="317"/>
    </row>
    <row r="6522">
      <c r="B6522" s="223" t="s">
        <v>200</v>
      </c>
      <c r="C6522" s="223"/>
      <c r="D6522" s="316"/>
      <c r="H6522" s="223">
        <v>0.0</v>
      </c>
      <c r="K6522" s="317"/>
    </row>
    <row r="6523">
      <c r="B6523" s="223" t="s">
        <v>200</v>
      </c>
      <c r="C6523" s="223"/>
      <c r="D6523" s="316"/>
      <c r="H6523" s="223">
        <v>0.0</v>
      </c>
      <c r="K6523" s="317"/>
    </row>
    <row r="6524">
      <c r="B6524" s="223" t="s">
        <v>200</v>
      </c>
      <c r="C6524" s="223"/>
      <c r="D6524" s="316"/>
      <c r="H6524" s="223">
        <v>0.0</v>
      </c>
      <c r="K6524" s="317"/>
    </row>
    <row r="6525">
      <c r="B6525" s="223" t="s">
        <v>200</v>
      </c>
      <c r="C6525" s="223"/>
      <c r="D6525" s="316"/>
      <c r="H6525" s="223">
        <v>0.0</v>
      </c>
      <c r="K6525" s="317"/>
    </row>
    <row r="6526">
      <c r="B6526" s="223" t="s">
        <v>200</v>
      </c>
      <c r="C6526" s="223"/>
      <c r="D6526" s="316"/>
      <c r="H6526" s="223">
        <v>0.0</v>
      </c>
      <c r="K6526" s="317"/>
    </row>
    <row r="6527">
      <c r="B6527" s="223" t="s">
        <v>200</v>
      </c>
      <c r="C6527" s="223"/>
      <c r="D6527" s="316"/>
      <c r="H6527" s="223">
        <v>0.0</v>
      </c>
      <c r="K6527" s="317"/>
    </row>
    <row r="6528">
      <c r="B6528" s="223" t="s">
        <v>200</v>
      </c>
      <c r="C6528" s="223"/>
      <c r="D6528" s="316"/>
      <c r="H6528" s="223">
        <v>0.0</v>
      </c>
      <c r="K6528" s="317"/>
    </row>
    <row r="6529">
      <c r="B6529" s="223" t="s">
        <v>200</v>
      </c>
      <c r="C6529" s="223"/>
      <c r="D6529" s="316"/>
      <c r="H6529" s="223">
        <v>0.0</v>
      </c>
      <c r="K6529" s="317"/>
    </row>
    <row r="6530">
      <c r="B6530" s="223" t="s">
        <v>200</v>
      </c>
      <c r="C6530" s="223"/>
      <c r="D6530" s="316"/>
      <c r="H6530" s="223">
        <v>0.0</v>
      </c>
      <c r="K6530" s="317"/>
    </row>
    <row r="6531">
      <c r="B6531" s="223" t="s">
        <v>200</v>
      </c>
      <c r="C6531" s="223"/>
      <c r="D6531" s="316"/>
      <c r="H6531" s="223">
        <v>0.0</v>
      </c>
      <c r="K6531" s="317"/>
    </row>
    <row r="6532">
      <c r="B6532" s="223" t="s">
        <v>200</v>
      </c>
      <c r="C6532" s="223"/>
      <c r="D6532" s="316"/>
      <c r="H6532" s="223">
        <v>0.0</v>
      </c>
      <c r="K6532" s="317"/>
    </row>
    <row r="6533">
      <c r="B6533" s="223" t="s">
        <v>200</v>
      </c>
      <c r="C6533" s="223"/>
      <c r="D6533" s="316"/>
      <c r="H6533" s="223">
        <v>0.0</v>
      </c>
      <c r="K6533" s="317"/>
    </row>
    <row r="6534">
      <c r="B6534" s="223" t="s">
        <v>200</v>
      </c>
      <c r="C6534" s="223"/>
      <c r="D6534" s="316"/>
      <c r="H6534" s="223">
        <v>0.0</v>
      </c>
      <c r="K6534" s="317"/>
    </row>
    <row r="6535">
      <c r="B6535" s="223" t="s">
        <v>200</v>
      </c>
      <c r="C6535" s="223"/>
      <c r="D6535" s="316"/>
      <c r="H6535" s="223">
        <v>0.0</v>
      </c>
      <c r="K6535" s="317"/>
    </row>
    <row r="6536">
      <c r="B6536" s="223" t="s">
        <v>200</v>
      </c>
      <c r="C6536" s="223"/>
      <c r="D6536" s="316"/>
      <c r="H6536" s="223">
        <v>0.0</v>
      </c>
      <c r="K6536" s="317"/>
    </row>
    <row r="6537">
      <c r="B6537" s="223" t="s">
        <v>200</v>
      </c>
      <c r="C6537" s="223"/>
      <c r="D6537" s="316"/>
      <c r="H6537" s="223">
        <v>0.0</v>
      </c>
      <c r="K6537" s="317"/>
    </row>
    <row r="6538">
      <c r="B6538" s="223" t="s">
        <v>200</v>
      </c>
      <c r="C6538" s="223"/>
      <c r="D6538" s="316"/>
      <c r="H6538" s="223">
        <v>0.0</v>
      </c>
      <c r="K6538" s="317"/>
    </row>
    <row r="6539">
      <c r="B6539" s="223" t="s">
        <v>200</v>
      </c>
      <c r="C6539" s="223"/>
      <c r="D6539" s="316"/>
      <c r="H6539" s="223">
        <v>0.0</v>
      </c>
      <c r="K6539" s="317"/>
    </row>
    <row r="6540">
      <c r="B6540" s="223" t="s">
        <v>200</v>
      </c>
      <c r="C6540" s="223"/>
      <c r="D6540" s="316"/>
      <c r="H6540" s="223">
        <v>0.0</v>
      </c>
      <c r="K6540" s="317"/>
    </row>
    <row r="6541">
      <c r="B6541" s="223" t="s">
        <v>200</v>
      </c>
      <c r="C6541" s="223"/>
      <c r="D6541" s="316"/>
      <c r="H6541" s="223">
        <v>0.0</v>
      </c>
      <c r="K6541" s="317"/>
    </row>
    <row r="6542">
      <c r="B6542" s="223" t="s">
        <v>200</v>
      </c>
      <c r="C6542" s="223"/>
      <c r="D6542" s="316"/>
      <c r="H6542" s="223">
        <v>0.0</v>
      </c>
      <c r="K6542" s="317"/>
    </row>
    <row r="6543">
      <c r="B6543" s="223" t="s">
        <v>200</v>
      </c>
      <c r="C6543" s="223"/>
      <c r="D6543" s="316"/>
      <c r="H6543" s="223">
        <v>0.0</v>
      </c>
      <c r="K6543" s="317"/>
    </row>
    <row r="6544">
      <c r="B6544" s="223" t="s">
        <v>200</v>
      </c>
      <c r="C6544" s="223"/>
      <c r="D6544" s="316"/>
      <c r="H6544" s="223">
        <v>0.0</v>
      </c>
      <c r="K6544" s="317"/>
    </row>
    <row r="6545">
      <c r="B6545" s="223" t="s">
        <v>200</v>
      </c>
      <c r="C6545" s="223"/>
      <c r="D6545" s="316"/>
      <c r="H6545" s="223">
        <v>0.0</v>
      </c>
      <c r="K6545" s="317"/>
    </row>
    <row r="6546">
      <c r="B6546" s="223" t="s">
        <v>200</v>
      </c>
      <c r="C6546" s="223"/>
      <c r="D6546" s="316"/>
      <c r="H6546" s="223">
        <v>0.0</v>
      </c>
      <c r="K6546" s="317"/>
    </row>
    <row r="6547">
      <c r="B6547" s="223" t="s">
        <v>200</v>
      </c>
      <c r="C6547" s="223"/>
      <c r="D6547" s="316"/>
      <c r="H6547" s="223">
        <v>0.0</v>
      </c>
      <c r="K6547" s="317"/>
    </row>
    <row r="6548">
      <c r="B6548" s="223" t="s">
        <v>200</v>
      </c>
      <c r="C6548" s="223"/>
      <c r="D6548" s="316"/>
      <c r="H6548" s="223">
        <v>0.0</v>
      </c>
      <c r="K6548" s="317"/>
    </row>
    <row r="6549">
      <c r="B6549" s="223" t="s">
        <v>200</v>
      </c>
      <c r="C6549" s="223"/>
      <c r="D6549" s="316"/>
      <c r="H6549" s="223">
        <v>0.0</v>
      </c>
      <c r="K6549" s="317"/>
    </row>
    <row r="6550">
      <c r="B6550" s="223" t="s">
        <v>200</v>
      </c>
      <c r="C6550" s="223"/>
      <c r="D6550" s="316"/>
      <c r="H6550" s="223">
        <v>0.0</v>
      </c>
      <c r="K6550" s="317"/>
    </row>
    <row r="6551">
      <c r="B6551" s="223" t="s">
        <v>200</v>
      </c>
      <c r="C6551" s="223"/>
      <c r="D6551" s="316"/>
      <c r="H6551" s="223">
        <v>0.0</v>
      </c>
      <c r="K6551" s="317"/>
    </row>
    <row r="6552">
      <c r="B6552" s="223" t="s">
        <v>200</v>
      </c>
      <c r="C6552" s="223"/>
      <c r="D6552" s="316"/>
      <c r="H6552" s="223">
        <v>0.0</v>
      </c>
      <c r="K6552" s="317"/>
    </row>
    <row r="6553">
      <c r="B6553" s="223" t="s">
        <v>200</v>
      </c>
      <c r="C6553" s="223"/>
      <c r="D6553" s="316"/>
      <c r="H6553" s="223">
        <v>0.0</v>
      </c>
      <c r="K6553" s="317"/>
    </row>
    <row r="6554">
      <c r="B6554" s="223" t="s">
        <v>200</v>
      </c>
      <c r="C6554" s="223"/>
      <c r="D6554" s="316"/>
      <c r="H6554" s="223">
        <v>0.0</v>
      </c>
      <c r="K6554" s="317"/>
    </row>
    <row r="6555">
      <c r="B6555" s="223" t="s">
        <v>200</v>
      </c>
      <c r="C6555" s="223"/>
      <c r="D6555" s="316"/>
      <c r="H6555" s="223">
        <v>0.0</v>
      </c>
      <c r="K6555" s="317"/>
    </row>
    <row r="6556">
      <c r="B6556" s="223" t="s">
        <v>200</v>
      </c>
      <c r="C6556" s="223"/>
      <c r="D6556" s="316"/>
      <c r="H6556" s="223">
        <v>0.0</v>
      </c>
      <c r="K6556" s="317"/>
    </row>
    <row r="6557">
      <c r="B6557" s="223" t="s">
        <v>200</v>
      </c>
      <c r="C6557" s="223"/>
      <c r="D6557" s="316"/>
      <c r="H6557" s="223">
        <v>0.0</v>
      </c>
      <c r="K6557" s="317"/>
    </row>
    <row r="6558">
      <c r="B6558" s="223" t="s">
        <v>200</v>
      </c>
      <c r="C6558" s="223"/>
      <c r="D6558" s="316"/>
      <c r="H6558" s="223">
        <v>0.0</v>
      </c>
      <c r="K6558" s="317"/>
    </row>
    <row r="6559">
      <c r="B6559" s="223" t="s">
        <v>200</v>
      </c>
      <c r="C6559" s="223"/>
      <c r="D6559" s="316"/>
      <c r="H6559" s="223">
        <v>0.0</v>
      </c>
      <c r="K6559" s="317"/>
    </row>
    <row r="6560">
      <c r="B6560" s="223" t="s">
        <v>200</v>
      </c>
      <c r="C6560" s="223"/>
      <c r="D6560" s="316"/>
      <c r="H6560" s="223">
        <v>0.0</v>
      </c>
      <c r="K6560" s="317"/>
    </row>
    <row r="6561">
      <c r="B6561" s="223" t="s">
        <v>200</v>
      </c>
      <c r="C6561" s="223"/>
      <c r="D6561" s="316"/>
      <c r="H6561" s="223">
        <v>0.0</v>
      </c>
      <c r="K6561" s="317"/>
    </row>
    <row r="6562">
      <c r="B6562" s="223" t="s">
        <v>200</v>
      </c>
      <c r="C6562" s="223"/>
      <c r="D6562" s="316"/>
      <c r="H6562" s="223">
        <v>0.0</v>
      </c>
      <c r="K6562" s="317"/>
    </row>
    <row r="6563">
      <c r="B6563" s="223" t="s">
        <v>200</v>
      </c>
      <c r="C6563" s="223"/>
      <c r="D6563" s="316"/>
      <c r="H6563" s="223">
        <v>0.0</v>
      </c>
      <c r="K6563" s="317"/>
    </row>
    <row r="6564">
      <c r="B6564" s="223" t="s">
        <v>200</v>
      </c>
      <c r="C6564" s="223"/>
      <c r="D6564" s="316"/>
      <c r="H6564" s="223">
        <v>0.0</v>
      </c>
      <c r="K6564" s="317"/>
    </row>
    <row r="6565">
      <c r="B6565" s="223" t="s">
        <v>200</v>
      </c>
      <c r="C6565" s="223"/>
      <c r="D6565" s="316"/>
      <c r="H6565" s="223">
        <v>0.0</v>
      </c>
      <c r="K6565" s="317"/>
    </row>
    <row r="6566">
      <c r="B6566" s="223" t="s">
        <v>200</v>
      </c>
      <c r="C6566" s="223"/>
      <c r="D6566" s="316"/>
      <c r="H6566" s="223">
        <v>0.0</v>
      </c>
      <c r="K6566" s="317"/>
    </row>
    <row r="6567">
      <c r="B6567" s="223" t="s">
        <v>200</v>
      </c>
      <c r="C6567" s="223"/>
      <c r="D6567" s="316"/>
      <c r="H6567" s="223">
        <v>0.0</v>
      </c>
      <c r="K6567" s="317"/>
    </row>
    <row r="6568">
      <c r="B6568" s="223" t="s">
        <v>200</v>
      </c>
      <c r="C6568" s="223"/>
      <c r="D6568" s="316"/>
      <c r="H6568" s="223">
        <v>0.0</v>
      </c>
      <c r="K6568" s="317"/>
    </row>
    <row r="6569">
      <c r="B6569" s="223" t="s">
        <v>200</v>
      </c>
      <c r="C6569" s="223"/>
      <c r="D6569" s="316"/>
      <c r="H6569" s="223">
        <v>0.0</v>
      </c>
      <c r="K6569" s="317"/>
    </row>
    <row r="6570">
      <c r="B6570" s="223" t="s">
        <v>200</v>
      </c>
      <c r="C6570" s="223"/>
      <c r="D6570" s="316"/>
      <c r="H6570" s="223">
        <v>0.0</v>
      </c>
      <c r="K6570" s="317"/>
    </row>
    <row r="6571">
      <c r="B6571" s="223" t="s">
        <v>200</v>
      </c>
      <c r="C6571" s="223"/>
      <c r="D6571" s="316"/>
      <c r="H6571" s="223">
        <v>0.0</v>
      </c>
      <c r="K6571" s="317"/>
    </row>
    <row r="6572">
      <c r="B6572" s="223" t="s">
        <v>200</v>
      </c>
      <c r="C6572" s="223"/>
      <c r="D6572" s="316"/>
      <c r="H6572" s="223">
        <v>0.0</v>
      </c>
      <c r="K6572" s="317"/>
    </row>
    <row r="6573">
      <c r="B6573" s="223" t="s">
        <v>200</v>
      </c>
      <c r="C6573" s="223"/>
      <c r="D6573" s="316"/>
      <c r="H6573" s="223">
        <v>0.0</v>
      </c>
      <c r="K6573" s="317"/>
    </row>
    <row r="6574">
      <c r="B6574" s="223" t="s">
        <v>200</v>
      </c>
      <c r="C6574" s="223"/>
      <c r="D6574" s="316"/>
      <c r="H6574" s="223">
        <v>0.0</v>
      </c>
      <c r="K6574" s="317"/>
    </row>
    <row r="6575">
      <c r="B6575" s="223" t="s">
        <v>200</v>
      </c>
      <c r="C6575" s="223"/>
      <c r="D6575" s="316"/>
      <c r="H6575" s="223">
        <v>0.0</v>
      </c>
      <c r="K6575" s="317"/>
    </row>
    <row r="6576">
      <c r="B6576" s="223" t="s">
        <v>200</v>
      </c>
      <c r="C6576" s="223"/>
      <c r="D6576" s="316"/>
      <c r="H6576" s="223">
        <v>0.0</v>
      </c>
      <c r="K6576" s="317"/>
    </row>
    <row r="6577">
      <c r="B6577" s="223" t="s">
        <v>200</v>
      </c>
      <c r="C6577" s="223"/>
      <c r="D6577" s="316"/>
      <c r="H6577" s="223">
        <v>0.0</v>
      </c>
      <c r="K6577" s="317"/>
    </row>
    <row r="6578">
      <c r="B6578" s="223" t="s">
        <v>200</v>
      </c>
      <c r="C6578" s="223"/>
      <c r="D6578" s="316"/>
      <c r="H6578" s="223">
        <v>0.0</v>
      </c>
      <c r="K6578" s="317"/>
    </row>
    <row r="6579">
      <c r="B6579" s="223" t="s">
        <v>200</v>
      </c>
      <c r="C6579" s="223"/>
      <c r="D6579" s="316"/>
      <c r="H6579" s="223">
        <v>0.0</v>
      </c>
      <c r="K6579" s="317"/>
    </row>
    <row r="6580">
      <c r="B6580" s="223" t="s">
        <v>200</v>
      </c>
      <c r="C6580" s="223"/>
      <c r="D6580" s="316"/>
      <c r="H6580" s="223">
        <v>0.0</v>
      </c>
      <c r="K6580" s="317"/>
    </row>
    <row r="6581">
      <c r="B6581" s="223" t="s">
        <v>200</v>
      </c>
      <c r="C6581" s="223"/>
      <c r="D6581" s="316"/>
      <c r="H6581" s="223">
        <v>0.0</v>
      </c>
      <c r="K6581" s="317"/>
    </row>
    <row r="6582">
      <c r="B6582" s="223" t="s">
        <v>200</v>
      </c>
      <c r="C6582" s="223"/>
      <c r="D6582" s="316"/>
      <c r="H6582" s="223">
        <v>0.0</v>
      </c>
      <c r="K6582" s="317"/>
    </row>
    <row r="6583">
      <c r="B6583" s="223" t="s">
        <v>200</v>
      </c>
      <c r="C6583" s="223"/>
      <c r="D6583" s="316"/>
      <c r="H6583" s="223">
        <v>0.0</v>
      </c>
      <c r="K6583" s="317"/>
    </row>
    <row r="6584">
      <c r="B6584" s="223" t="s">
        <v>200</v>
      </c>
      <c r="C6584" s="223"/>
      <c r="D6584" s="316"/>
      <c r="H6584" s="223">
        <v>0.0</v>
      </c>
      <c r="K6584" s="317"/>
    </row>
    <row r="6585">
      <c r="B6585" s="223" t="s">
        <v>200</v>
      </c>
      <c r="C6585" s="223"/>
      <c r="D6585" s="316"/>
      <c r="H6585" s="223">
        <v>0.0</v>
      </c>
      <c r="K6585" s="317"/>
    </row>
    <row r="6586">
      <c r="B6586" s="223" t="s">
        <v>200</v>
      </c>
      <c r="C6586" s="223"/>
      <c r="D6586" s="316"/>
      <c r="H6586" s="223">
        <v>0.0</v>
      </c>
      <c r="K6586" s="317"/>
    </row>
    <row r="6587">
      <c r="B6587" s="223" t="s">
        <v>200</v>
      </c>
      <c r="C6587" s="223"/>
      <c r="D6587" s="316"/>
      <c r="H6587" s="223">
        <v>0.0</v>
      </c>
      <c r="K6587" s="317"/>
    </row>
    <row r="6588">
      <c r="B6588" s="223" t="s">
        <v>200</v>
      </c>
      <c r="C6588" s="223"/>
      <c r="D6588" s="316"/>
      <c r="H6588" s="223">
        <v>0.0</v>
      </c>
      <c r="K6588" s="317"/>
    </row>
    <row r="6589">
      <c r="B6589" s="223" t="s">
        <v>200</v>
      </c>
      <c r="C6589" s="223"/>
      <c r="D6589" s="316"/>
      <c r="H6589" s="223">
        <v>0.0</v>
      </c>
      <c r="K6589" s="317"/>
    </row>
    <row r="6590">
      <c r="B6590" s="223" t="s">
        <v>200</v>
      </c>
      <c r="C6590" s="223"/>
      <c r="D6590" s="316"/>
      <c r="H6590" s="223">
        <v>0.0</v>
      </c>
      <c r="K6590" s="317"/>
    </row>
    <row r="6591">
      <c r="B6591" s="223" t="s">
        <v>200</v>
      </c>
      <c r="C6591" s="223"/>
      <c r="D6591" s="316"/>
      <c r="H6591" s="223">
        <v>0.0</v>
      </c>
      <c r="K6591" s="317"/>
    </row>
    <row r="6592">
      <c r="B6592" s="223" t="s">
        <v>200</v>
      </c>
      <c r="C6592" s="223"/>
      <c r="D6592" s="316"/>
      <c r="H6592" s="223">
        <v>0.0</v>
      </c>
      <c r="K6592" s="317"/>
    </row>
    <row r="6593">
      <c r="B6593" s="223" t="s">
        <v>200</v>
      </c>
      <c r="C6593" s="223"/>
      <c r="D6593" s="316"/>
      <c r="H6593" s="223">
        <v>0.0</v>
      </c>
      <c r="K6593" s="317"/>
    </row>
    <row r="6594">
      <c r="B6594" s="223" t="s">
        <v>200</v>
      </c>
      <c r="C6594" s="223"/>
      <c r="D6594" s="316"/>
      <c r="H6594" s="223">
        <v>0.0</v>
      </c>
      <c r="K6594" s="317"/>
    </row>
    <row r="6595">
      <c r="B6595" s="223" t="s">
        <v>200</v>
      </c>
      <c r="C6595" s="223"/>
      <c r="D6595" s="316"/>
      <c r="H6595" s="223">
        <v>0.0</v>
      </c>
      <c r="K6595" s="317"/>
    </row>
    <row r="6596">
      <c r="B6596" s="223" t="s">
        <v>200</v>
      </c>
      <c r="C6596" s="223"/>
      <c r="D6596" s="316"/>
      <c r="H6596" s="223">
        <v>0.0</v>
      </c>
      <c r="K6596" s="317"/>
    </row>
    <row r="6597">
      <c r="B6597" s="223" t="s">
        <v>200</v>
      </c>
      <c r="C6597" s="223"/>
      <c r="D6597" s="316"/>
      <c r="H6597" s="223">
        <v>0.0</v>
      </c>
      <c r="K6597" s="317"/>
    </row>
    <row r="6598">
      <c r="B6598" s="223" t="s">
        <v>200</v>
      </c>
      <c r="C6598" s="223"/>
      <c r="D6598" s="316"/>
      <c r="H6598" s="223">
        <v>0.0</v>
      </c>
      <c r="K6598" s="317"/>
    </row>
    <row r="6599">
      <c r="B6599" s="223" t="s">
        <v>200</v>
      </c>
      <c r="C6599" s="223"/>
      <c r="D6599" s="316"/>
      <c r="H6599" s="223">
        <v>0.0</v>
      </c>
      <c r="K6599" s="317"/>
    </row>
    <row r="6600">
      <c r="B6600" s="223" t="s">
        <v>200</v>
      </c>
      <c r="C6600" s="223"/>
      <c r="D6600" s="316"/>
      <c r="H6600" s="223">
        <v>0.0</v>
      </c>
      <c r="K6600" s="317"/>
    </row>
    <row r="6601">
      <c r="B6601" s="223" t="s">
        <v>200</v>
      </c>
      <c r="C6601" s="223"/>
      <c r="D6601" s="316"/>
      <c r="H6601" s="223">
        <v>0.0</v>
      </c>
      <c r="K6601" s="317"/>
    </row>
    <row r="6602">
      <c r="B6602" s="223" t="s">
        <v>200</v>
      </c>
      <c r="C6602" s="223"/>
      <c r="D6602" s="316"/>
      <c r="H6602" s="223">
        <v>0.0</v>
      </c>
      <c r="K6602" s="317"/>
    </row>
    <row r="6603">
      <c r="B6603" s="223" t="s">
        <v>200</v>
      </c>
      <c r="C6603" s="223"/>
      <c r="D6603" s="316"/>
      <c r="H6603" s="223">
        <v>0.0</v>
      </c>
      <c r="K6603" s="317"/>
    </row>
    <row r="6604">
      <c r="B6604" s="223" t="s">
        <v>200</v>
      </c>
      <c r="C6604" s="223"/>
      <c r="D6604" s="316"/>
      <c r="H6604" s="223">
        <v>0.0</v>
      </c>
      <c r="K6604" s="317"/>
    </row>
    <row r="6605">
      <c r="B6605" s="223" t="s">
        <v>200</v>
      </c>
      <c r="C6605" s="223"/>
      <c r="D6605" s="316"/>
      <c r="H6605" s="223">
        <v>0.0</v>
      </c>
      <c r="K6605" s="317"/>
    </row>
    <row r="6606">
      <c r="B6606" s="223" t="s">
        <v>200</v>
      </c>
      <c r="C6606" s="223"/>
      <c r="D6606" s="316"/>
      <c r="H6606" s="223">
        <v>0.0</v>
      </c>
      <c r="K6606" s="317"/>
    </row>
    <row r="6607">
      <c r="B6607" s="223" t="s">
        <v>200</v>
      </c>
      <c r="C6607" s="223"/>
      <c r="D6607" s="316"/>
      <c r="H6607" s="223">
        <v>0.0</v>
      </c>
      <c r="K6607" s="317"/>
    </row>
    <row r="6608">
      <c r="B6608" s="223" t="s">
        <v>200</v>
      </c>
      <c r="C6608" s="223"/>
      <c r="D6608" s="316"/>
      <c r="H6608" s="223">
        <v>0.0</v>
      </c>
      <c r="K6608" s="317"/>
    </row>
    <row r="6609">
      <c r="B6609" s="223" t="s">
        <v>200</v>
      </c>
      <c r="C6609" s="223"/>
      <c r="D6609" s="316"/>
      <c r="H6609" s="223">
        <v>0.0</v>
      </c>
      <c r="K6609" s="317"/>
    </row>
    <row r="6610">
      <c r="B6610" s="223" t="s">
        <v>200</v>
      </c>
      <c r="C6610" s="223"/>
      <c r="D6610" s="316"/>
      <c r="H6610" s="223">
        <v>0.0</v>
      </c>
      <c r="K6610" s="317"/>
    </row>
    <row r="6611">
      <c r="B6611" s="223" t="s">
        <v>200</v>
      </c>
      <c r="C6611" s="223"/>
      <c r="D6611" s="316"/>
      <c r="H6611" s="223">
        <v>0.0</v>
      </c>
      <c r="K6611" s="317"/>
    </row>
    <row r="6612">
      <c r="B6612" s="223" t="s">
        <v>200</v>
      </c>
      <c r="C6612" s="223"/>
      <c r="D6612" s="316"/>
      <c r="H6612" s="223">
        <v>0.0</v>
      </c>
      <c r="K6612" s="317"/>
    </row>
    <row r="6613">
      <c r="B6613" s="223" t="s">
        <v>200</v>
      </c>
      <c r="C6613" s="223"/>
      <c r="D6613" s="316"/>
      <c r="H6613" s="223">
        <v>0.0</v>
      </c>
      <c r="K6613" s="317"/>
    </row>
    <row r="6614">
      <c r="B6614" s="223" t="s">
        <v>200</v>
      </c>
      <c r="C6614" s="223"/>
      <c r="D6614" s="316"/>
      <c r="H6614" s="223">
        <v>0.0</v>
      </c>
      <c r="K6614" s="317"/>
    </row>
    <row r="6615">
      <c r="B6615" s="223" t="s">
        <v>200</v>
      </c>
      <c r="C6615" s="223"/>
      <c r="D6615" s="316"/>
      <c r="H6615" s="223">
        <v>0.0</v>
      </c>
      <c r="K6615" s="317"/>
    </row>
    <row r="6616">
      <c r="B6616" s="223" t="s">
        <v>200</v>
      </c>
      <c r="C6616" s="223"/>
      <c r="D6616" s="316"/>
      <c r="H6616" s="223">
        <v>0.0</v>
      </c>
      <c r="K6616" s="317"/>
    </row>
    <row r="6617">
      <c r="B6617" s="223" t="s">
        <v>200</v>
      </c>
      <c r="C6617" s="223"/>
      <c r="D6617" s="316"/>
      <c r="H6617" s="223">
        <v>0.0</v>
      </c>
      <c r="K6617" s="317"/>
    </row>
    <row r="6618">
      <c r="B6618" s="223" t="s">
        <v>200</v>
      </c>
      <c r="C6618" s="223"/>
      <c r="D6618" s="316"/>
      <c r="H6618" s="223">
        <v>0.0</v>
      </c>
      <c r="K6618" s="317"/>
    </row>
    <row r="6619">
      <c r="B6619" s="223" t="s">
        <v>200</v>
      </c>
      <c r="C6619" s="223"/>
      <c r="D6619" s="316"/>
      <c r="H6619" s="223">
        <v>0.0</v>
      </c>
      <c r="K6619" s="317"/>
    </row>
    <row r="6620">
      <c r="B6620" s="223" t="s">
        <v>200</v>
      </c>
      <c r="C6620" s="223"/>
      <c r="D6620" s="316"/>
      <c r="H6620" s="223">
        <v>0.0</v>
      </c>
      <c r="K6620" s="317"/>
    </row>
    <row r="6621">
      <c r="B6621" s="223" t="s">
        <v>200</v>
      </c>
      <c r="C6621" s="223"/>
      <c r="D6621" s="316"/>
      <c r="H6621" s="223">
        <v>0.0</v>
      </c>
      <c r="K6621" s="317"/>
    </row>
    <row r="6622">
      <c r="B6622" s="223" t="s">
        <v>200</v>
      </c>
      <c r="C6622" s="223"/>
      <c r="D6622" s="316"/>
      <c r="H6622" s="223">
        <v>0.0</v>
      </c>
      <c r="K6622" s="317"/>
    </row>
    <row r="6623">
      <c r="B6623" s="223" t="s">
        <v>200</v>
      </c>
      <c r="C6623" s="223"/>
      <c r="D6623" s="316"/>
      <c r="H6623" s="223">
        <v>0.0</v>
      </c>
      <c r="K6623" s="317"/>
    </row>
    <row r="6624">
      <c r="B6624" s="223" t="s">
        <v>200</v>
      </c>
      <c r="C6624" s="223"/>
      <c r="D6624" s="316"/>
      <c r="H6624" s="223">
        <v>0.0</v>
      </c>
      <c r="K6624" s="317"/>
    </row>
    <row r="6625">
      <c r="B6625" s="223" t="s">
        <v>200</v>
      </c>
      <c r="C6625" s="223"/>
      <c r="D6625" s="316"/>
      <c r="H6625" s="223">
        <v>0.0</v>
      </c>
      <c r="K6625" s="317"/>
    </row>
    <row r="6626">
      <c r="B6626" s="223" t="s">
        <v>200</v>
      </c>
      <c r="C6626" s="223"/>
      <c r="D6626" s="316"/>
      <c r="H6626" s="223">
        <v>0.0</v>
      </c>
      <c r="K6626" s="317"/>
    </row>
    <row r="6627">
      <c r="B6627" s="223" t="s">
        <v>200</v>
      </c>
      <c r="C6627" s="223"/>
      <c r="D6627" s="316"/>
      <c r="H6627" s="223">
        <v>0.0</v>
      </c>
      <c r="K6627" s="317"/>
    </row>
    <row r="6628">
      <c r="B6628" s="223" t="s">
        <v>200</v>
      </c>
      <c r="C6628" s="223"/>
      <c r="D6628" s="316"/>
      <c r="H6628" s="223">
        <v>0.0</v>
      </c>
      <c r="K6628" s="317"/>
    </row>
    <row r="6629">
      <c r="B6629" s="223" t="s">
        <v>200</v>
      </c>
      <c r="C6629" s="223"/>
      <c r="D6629" s="316"/>
      <c r="H6629" s="223">
        <v>0.0</v>
      </c>
      <c r="K6629" s="317"/>
    </row>
    <row r="6630">
      <c r="B6630" s="223" t="s">
        <v>200</v>
      </c>
      <c r="C6630" s="223"/>
      <c r="D6630" s="316"/>
      <c r="H6630" s="223">
        <v>0.0</v>
      </c>
      <c r="K6630" s="317"/>
    </row>
    <row r="6631">
      <c r="B6631" s="223" t="s">
        <v>200</v>
      </c>
      <c r="C6631" s="223"/>
      <c r="D6631" s="316"/>
      <c r="H6631" s="223">
        <v>0.0</v>
      </c>
      <c r="K6631" s="317"/>
    </row>
    <row r="6632">
      <c r="B6632" s="223" t="s">
        <v>200</v>
      </c>
      <c r="C6632" s="223"/>
      <c r="D6632" s="316"/>
      <c r="H6632" s="223">
        <v>0.0</v>
      </c>
      <c r="K6632" s="317"/>
    </row>
    <row r="6633">
      <c r="B6633" s="223" t="s">
        <v>200</v>
      </c>
      <c r="C6633" s="223"/>
      <c r="D6633" s="316"/>
      <c r="H6633" s="223">
        <v>0.0</v>
      </c>
      <c r="K6633" s="317"/>
    </row>
    <row r="6634">
      <c r="B6634" s="223" t="s">
        <v>200</v>
      </c>
      <c r="C6634" s="223"/>
      <c r="D6634" s="316"/>
      <c r="H6634" s="223">
        <v>0.0</v>
      </c>
      <c r="K6634" s="317"/>
    </row>
    <row r="6635">
      <c r="B6635" s="223" t="s">
        <v>200</v>
      </c>
      <c r="C6635" s="223"/>
      <c r="D6635" s="316"/>
      <c r="H6635" s="223">
        <v>0.0</v>
      </c>
      <c r="K6635" s="317"/>
    </row>
    <row r="6636">
      <c r="B6636" s="223" t="s">
        <v>200</v>
      </c>
      <c r="C6636" s="223"/>
      <c r="D6636" s="316"/>
      <c r="H6636" s="223">
        <v>0.0</v>
      </c>
      <c r="K6636" s="317"/>
    </row>
    <row r="6637">
      <c r="B6637" s="223" t="s">
        <v>200</v>
      </c>
      <c r="C6637" s="223"/>
      <c r="D6637" s="316"/>
      <c r="H6637" s="223">
        <v>0.0</v>
      </c>
      <c r="K6637" s="317"/>
    </row>
    <row r="6638">
      <c r="B6638" s="223" t="s">
        <v>200</v>
      </c>
      <c r="C6638" s="223"/>
      <c r="D6638" s="316"/>
      <c r="H6638" s="223">
        <v>0.0</v>
      </c>
      <c r="K6638" s="317"/>
    </row>
    <row r="6639">
      <c r="B6639" s="223" t="s">
        <v>200</v>
      </c>
      <c r="C6639" s="223"/>
      <c r="D6639" s="316"/>
      <c r="H6639" s="223">
        <v>0.0</v>
      </c>
      <c r="K6639" s="317"/>
    </row>
    <row r="6640">
      <c r="B6640" s="223" t="s">
        <v>200</v>
      </c>
      <c r="C6640" s="223"/>
      <c r="D6640" s="316"/>
      <c r="H6640" s="223">
        <v>0.0</v>
      </c>
      <c r="K6640" s="317"/>
    </row>
    <row r="6641">
      <c r="B6641" s="223" t="s">
        <v>200</v>
      </c>
      <c r="C6641" s="223"/>
      <c r="D6641" s="316"/>
      <c r="H6641" s="223">
        <v>0.0</v>
      </c>
      <c r="K6641" s="317"/>
    </row>
    <row r="6642">
      <c r="B6642" s="223" t="s">
        <v>200</v>
      </c>
      <c r="C6642" s="223"/>
      <c r="D6642" s="316"/>
      <c r="H6642" s="223">
        <v>0.0</v>
      </c>
      <c r="K6642" s="317"/>
    </row>
    <row r="6643">
      <c r="B6643" s="223" t="s">
        <v>200</v>
      </c>
      <c r="C6643" s="223"/>
      <c r="D6643" s="316"/>
      <c r="H6643" s="223">
        <v>0.0</v>
      </c>
      <c r="K6643" s="317"/>
    </row>
    <row r="6644">
      <c r="B6644" s="223" t="s">
        <v>200</v>
      </c>
      <c r="C6644" s="223"/>
      <c r="D6644" s="316"/>
      <c r="H6644" s="223">
        <v>0.0</v>
      </c>
      <c r="K6644" s="317"/>
    </row>
    <row r="6645">
      <c r="B6645" s="223" t="s">
        <v>200</v>
      </c>
      <c r="C6645" s="223"/>
      <c r="D6645" s="316"/>
      <c r="H6645" s="223">
        <v>0.0</v>
      </c>
      <c r="K6645" s="317"/>
    </row>
    <row r="6646">
      <c r="B6646" s="223" t="s">
        <v>200</v>
      </c>
      <c r="C6646" s="223"/>
      <c r="D6646" s="316"/>
      <c r="H6646" s="223">
        <v>0.0</v>
      </c>
      <c r="K6646" s="317"/>
    </row>
    <row r="6647">
      <c r="B6647" s="223" t="s">
        <v>200</v>
      </c>
      <c r="C6647" s="223"/>
      <c r="D6647" s="316"/>
      <c r="H6647" s="223">
        <v>0.0</v>
      </c>
      <c r="K6647" s="317"/>
    </row>
    <row r="6648">
      <c r="B6648" s="223" t="s">
        <v>200</v>
      </c>
      <c r="C6648" s="223"/>
      <c r="D6648" s="316"/>
      <c r="H6648" s="223">
        <v>0.0</v>
      </c>
      <c r="K6648" s="317"/>
    </row>
    <row r="6649">
      <c r="B6649" s="223" t="s">
        <v>200</v>
      </c>
      <c r="C6649" s="223"/>
      <c r="D6649" s="316"/>
      <c r="H6649" s="223">
        <v>0.0</v>
      </c>
      <c r="K6649" s="317"/>
    </row>
    <row r="6650">
      <c r="B6650" s="223" t="s">
        <v>200</v>
      </c>
      <c r="C6650" s="223"/>
      <c r="D6650" s="316"/>
      <c r="H6650" s="223">
        <v>0.0</v>
      </c>
      <c r="K6650" s="317"/>
    </row>
    <row r="6651">
      <c r="B6651" s="223" t="s">
        <v>200</v>
      </c>
      <c r="C6651" s="223"/>
      <c r="D6651" s="316"/>
      <c r="H6651" s="223">
        <v>0.0</v>
      </c>
      <c r="K6651" s="317"/>
    </row>
    <row r="6652">
      <c r="B6652" s="223" t="s">
        <v>200</v>
      </c>
      <c r="C6652" s="223"/>
      <c r="D6652" s="316"/>
      <c r="H6652" s="223">
        <v>0.0</v>
      </c>
      <c r="K6652" s="317"/>
    </row>
    <row r="6653">
      <c r="B6653" s="223" t="s">
        <v>200</v>
      </c>
      <c r="C6653" s="223"/>
      <c r="D6653" s="316"/>
      <c r="H6653" s="223">
        <v>0.0</v>
      </c>
      <c r="K6653" s="317"/>
    </row>
    <row r="6654">
      <c r="B6654" s="223" t="s">
        <v>200</v>
      </c>
      <c r="C6654" s="223"/>
      <c r="D6654" s="316"/>
      <c r="H6654" s="223">
        <v>0.0</v>
      </c>
      <c r="K6654" s="317"/>
    </row>
    <row r="6655">
      <c r="B6655" s="223" t="s">
        <v>200</v>
      </c>
      <c r="C6655" s="223"/>
      <c r="D6655" s="316"/>
      <c r="H6655" s="223">
        <v>0.0</v>
      </c>
      <c r="K6655" s="317"/>
    </row>
    <row r="6656">
      <c r="B6656" s="223" t="s">
        <v>200</v>
      </c>
      <c r="C6656" s="223"/>
      <c r="D6656" s="316"/>
      <c r="H6656" s="223">
        <v>0.0</v>
      </c>
      <c r="K6656" s="317"/>
    </row>
    <row r="6657">
      <c r="B6657" s="223" t="s">
        <v>200</v>
      </c>
      <c r="C6657" s="223"/>
      <c r="D6657" s="316"/>
      <c r="H6657" s="223">
        <v>0.0</v>
      </c>
      <c r="K6657" s="317"/>
    </row>
    <row r="6658">
      <c r="B6658" s="223" t="s">
        <v>200</v>
      </c>
      <c r="C6658" s="223"/>
      <c r="D6658" s="316"/>
      <c r="H6658" s="223">
        <v>0.0</v>
      </c>
      <c r="K6658" s="317"/>
    </row>
    <row r="6659">
      <c r="B6659" s="223" t="s">
        <v>200</v>
      </c>
      <c r="C6659" s="223"/>
      <c r="D6659" s="316"/>
      <c r="H6659" s="223">
        <v>0.0</v>
      </c>
      <c r="K6659" s="317"/>
    </row>
    <row r="6660">
      <c r="B6660" s="223" t="s">
        <v>200</v>
      </c>
      <c r="C6660" s="223"/>
      <c r="D6660" s="316"/>
      <c r="H6660" s="223">
        <v>0.0</v>
      </c>
      <c r="K6660" s="317"/>
    </row>
    <row r="6661">
      <c r="B6661" s="223" t="s">
        <v>200</v>
      </c>
      <c r="C6661" s="223"/>
      <c r="D6661" s="316"/>
      <c r="H6661" s="223">
        <v>0.0</v>
      </c>
      <c r="K6661" s="317"/>
    </row>
    <row r="6662">
      <c r="B6662" s="223" t="s">
        <v>200</v>
      </c>
      <c r="C6662" s="223"/>
      <c r="D6662" s="316"/>
      <c r="H6662" s="223">
        <v>0.0</v>
      </c>
      <c r="K6662" s="317"/>
    </row>
    <row r="6663">
      <c r="B6663" s="223" t="s">
        <v>200</v>
      </c>
      <c r="C6663" s="223"/>
      <c r="D6663" s="316"/>
      <c r="H6663" s="223">
        <v>0.0</v>
      </c>
      <c r="K6663" s="317"/>
    </row>
    <row r="6664">
      <c r="B6664" s="223" t="s">
        <v>200</v>
      </c>
      <c r="C6664" s="223"/>
      <c r="D6664" s="316"/>
      <c r="H6664" s="223">
        <v>0.0</v>
      </c>
      <c r="K6664" s="317"/>
    </row>
    <row r="6665">
      <c r="B6665" s="223" t="s">
        <v>200</v>
      </c>
      <c r="C6665" s="223"/>
      <c r="D6665" s="316"/>
      <c r="H6665" s="223">
        <v>0.0</v>
      </c>
      <c r="K6665" s="317"/>
    </row>
    <row r="6666">
      <c r="B6666" s="223" t="s">
        <v>200</v>
      </c>
      <c r="C6666" s="223"/>
      <c r="D6666" s="316"/>
      <c r="H6666" s="223">
        <v>0.0</v>
      </c>
      <c r="K6666" s="317"/>
    </row>
    <row r="6667">
      <c r="B6667" s="223" t="s">
        <v>200</v>
      </c>
      <c r="C6667" s="223"/>
      <c r="D6667" s="316"/>
      <c r="H6667" s="223">
        <v>0.0</v>
      </c>
      <c r="K6667" s="317"/>
    </row>
    <row r="6668">
      <c r="B6668" s="223" t="s">
        <v>200</v>
      </c>
      <c r="C6668" s="223"/>
      <c r="D6668" s="316"/>
      <c r="H6668" s="223">
        <v>0.0</v>
      </c>
      <c r="K6668" s="317"/>
    </row>
    <row r="6669">
      <c r="B6669" s="223" t="s">
        <v>200</v>
      </c>
      <c r="C6669" s="223"/>
      <c r="D6669" s="316"/>
      <c r="H6669" s="223">
        <v>0.0</v>
      </c>
      <c r="K6669" s="317"/>
    </row>
    <row r="6670">
      <c r="B6670" s="223" t="s">
        <v>200</v>
      </c>
      <c r="C6670" s="223"/>
      <c r="D6670" s="316"/>
      <c r="H6670" s="223">
        <v>0.0</v>
      </c>
      <c r="K6670" s="317"/>
    </row>
    <row r="6671">
      <c r="B6671" s="223" t="s">
        <v>200</v>
      </c>
      <c r="C6671" s="223"/>
      <c r="D6671" s="316"/>
      <c r="H6671" s="223">
        <v>0.0</v>
      </c>
      <c r="K6671" s="317"/>
    </row>
    <row r="6672">
      <c r="B6672" s="223" t="s">
        <v>200</v>
      </c>
      <c r="C6672" s="223"/>
      <c r="D6672" s="316"/>
      <c r="H6672" s="223">
        <v>0.0</v>
      </c>
      <c r="K6672" s="317"/>
    </row>
    <row r="6673">
      <c r="B6673" s="223" t="s">
        <v>200</v>
      </c>
      <c r="C6673" s="223"/>
      <c r="D6673" s="316"/>
      <c r="H6673" s="223">
        <v>0.0</v>
      </c>
      <c r="K6673" s="317"/>
    </row>
    <row r="6674">
      <c r="B6674" s="223" t="s">
        <v>200</v>
      </c>
      <c r="C6674" s="223"/>
      <c r="D6674" s="316"/>
      <c r="H6674" s="223">
        <v>0.0</v>
      </c>
      <c r="K6674" s="317"/>
    </row>
    <row r="6675">
      <c r="B6675" s="223" t="s">
        <v>200</v>
      </c>
      <c r="C6675" s="223"/>
      <c r="D6675" s="316"/>
      <c r="H6675" s="223">
        <v>0.0</v>
      </c>
      <c r="K6675" s="317"/>
    </row>
    <row r="6676">
      <c r="B6676" s="223" t="s">
        <v>200</v>
      </c>
      <c r="C6676" s="223"/>
      <c r="D6676" s="316"/>
      <c r="H6676" s="223">
        <v>0.0</v>
      </c>
      <c r="K6676" s="317"/>
    </row>
    <row r="6677">
      <c r="B6677" s="223" t="s">
        <v>200</v>
      </c>
      <c r="C6677" s="223"/>
      <c r="D6677" s="316"/>
      <c r="H6677" s="223">
        <v>0.0</v>
      </c>
      <c r="K6677" s="317"/>
    </row>
    <row r="6678">
      <c r="B6678" s="223" t="s">
        <v>200</v>
      </c>
      <c r="C6678" s="223"/>
      <c r="D6678" s="316"/>
      <c r="H6678" s="223">
        <v>0.0</v>
      </c>
      <c r="K6678" s="317"/>
    </row>
    <row r="6679">
      <c r="B6679" s="223" t="s">
        <v>200</v>
      </c>
      <c r="C6679" s="223"/>
      <c r="D6679" s="316"/>
      <c r="H6679" s="223">
        <v>0.0</v>
      </c>
      <c r="K6679" s="317"/>
    </row>
    <row r="6680">
      <c r="B6680" s="223" t="s">
        <v>200</v>
      </c>
      <c r="C6680" s="223"/>
      <c r="D6680" s="316"/>
      <c r="H6680" s="223">
        <v>0.0</v>
      </c>
      <c r="K6680" s="317"/>
    </row>
    <row r="6681">
      <c r="B6681" s="223" t="s">
        <v>200</v>
      </c>
      <c r="C6681" s="223"/>
      <c r="D6681" s="316"/>
      <c r="H6681" s="223">
        <v>0.0</v>
      </c>
      <c r="K6681" s="317"/>
    </row>
    <row r="6682">
      <c r="B6682" s="223" t="s">
        <v>200</v>
      </c>
      <c r="C6682" s="223"/>
      <c r="D6682" s="316"/>
      <c r="H6682" s="223">
        <v>0.0</v>
      </c>
      <c r="K6682" s="317"/>
    </row>
    <row r="6683">
      <c r="B6683" s="223" t="s">
        <v>200</v>
      </c>
      <c r="C6683" s="223"/>
      <c r="D6683" s="316"/>
      <c r="H6683" s="223">
        <v>0.0</v>
      </c>
      <c r="K6683" s="317"/>
    </row>
    <row r="6684">
      <c r="B6684" s="223" t="s">
        <v>200</v>
      </c>
      <c r="C6684" s="223"/>
      <c r="D6684" s="316"/>
      <c r="H6684" s="223">
        <v>0.0</v>
      </c>
      <c r="K6684" s="317"/>
    </row>
    <row r="6685">
      <c r="B6685" s="223" t="s">
        <v>200</v>
      </c>
      <c r="C6685" s="223"/>
      <c r="D6685" s="316"/>
      <c r="H6685" s="223">
        <v>0.0</v>
      </c>
      <c r="K6685" s="317"/>
    </row>
    <row r="6686">
      <c r="B6686" s="223" t="s">
        <v>200</v>
      </c>
      <c r="C6686" s="223"/>
      <c r="D6686" s="316"/>
      <c r="H6686" s="223">
        <v>0.0</v>
      </c>
      <c r="K6686" s="317"/>
    </row>
    <row r="6687">
      <c r="B6687" s="223" t="s">
        <v>200</v>
      </c>
      <c r="C6687" s="223"/>
      <c r="D6687" s="316"/>
      <c r="H6687" s="223">
        <v>0.0</v>
      </c>
      <c r="K6687" s="317"/>
    </row>
    <row r="6688">
      <c r="B6688" s="223" t="s">
        <v>200</v>
      </c>
      <c r="C6688" s="223"/>
      <c r="D6688" s="316"/>
      <c r="H6688" s="223">
        <v>0.0</v>
      </c>
      <c r="K6688" s="317"/>
    </row>
    <row r="6689">
      <c r="B6689" s="223" t="s">
        <v>200</v>
      </c>
      <c r="C6689" s="223"/>
      <c r="D6689" s="316"/>
      <c r="H6689" s="223">
        <v>0.0</v>
      </c>
      <c r="K6689" s="317"/>
    </row>
    <row r="6690">
      <c r="B6690" s="223" t="s">
        <v>200</v>
      </c>
      <c r="C6690" s="223"/>
      <c r="D6690" s="316"/>
      <c r="H6690" s="223">
        <v>0.0</v>
      </c>
      <c r="K6690" s="317"/>
    </row>
    <row r="6691">
      <c r="B6691" s="223" t="s">
        <v>200</v>
      </c>
      <c r="C6691" s="223"/>
      <c r="D6691" s="316"/>
      <c r="H6691" s="223">
        <v>0.0</v>
      </c>
      <c r="K6691" s="317"/>
    </row>
    <row r="6692">
      <c r="B6692" s="223" t="s">
        <v>200</v>
      </c>
      <c r="C6692" s="223"/>
      <c r="D6692" s="316"/>
      <c r="H6692" s="223">
        <v>0.0</v>
      </c>
      <c r="K6692" s="317"/>
    </row>
    <row r="6693">
      <c r="B6693" s="223" t="s">
        <v>200</v>
      </c>
      <c r="C6693" s="223"/>
      <c r="D6693" s="316"/>
      <c r="H6693" s="223">
        <v>0.0</v>
      </c>
      <c r="K6693" s="317"/>
    </row>
    <row r="6694">
      <c r="B6694" s="223" t="s">
        <v>200</v>
      </c>
      <c r="C6694" s="223"/>
      <c r="D6694" s="316"/>
      <c r="H6694" s="223">
        <v>0.0</v>
      </c>
      <c r="K6694" s="317"/>
    </row>
    <row r="6695">
      <c r="B6695" s="223" t="s">
        <v>200</v>
      </c>
      <c r="C6695" s="223"/>
      <c r="D6695" s="316"/>
      <c r="H6695" s="223">
        <v>0.0</v>
      </c>
      <c r="K6695" s="317"/>
    </row>
    <row r="6696">
      <c r="B6696" s="223" t="s">
        <v>200</v>
      </c>
      <c r="C6696" s="223"/>
      <c r="D6696" s="316"/>
      <c r="H6696" s="223">
        <v>0.0</v>
      </c>
      <c r="K6696" s="317"/>
    </row>
    <row r="6697">
      <c r="B6697" s="223" t="s">
        <v>200</v>
      </c>
      <c r="C6697" s="223"/>
      <c r="D6697" s="316"/>
      <c r="H6697" s="223">
        <v>0.0</v>
      </c>
      <c r="K6697" s="317"/>
    </row>
    <row r="6698">
      <c r="B6698" s="223" t="s">
        <v>200</v>
      </c>
      <c r="C6698" s="223"/>
      <c r="D6698" s="316"/>
      <c r="H6698" s="223">
        <v>0.0</v>
      </c>
      <c r="K6698" s="317"/>
    </row>
    <row r="6699">
      <c r="B6699" s="223" t="s">
        <v>200</v>
      </c>
      <c r="C6699" s="223"/>
      <c r="D6699" s="316"/>
      <c r="H6699" s="223">
        <v>0.0</v>
      </c>
      <c r="K6699" s="317"/>
    </row>
    <row r="6700">
      <c r="B6700" s="223" t="s">
        <v>200</v>
      </c>
      <c r="C6700" s="223"/>
      <c r="D6700" s="316"/>
      <c r="H6700" s="223">
        <v>0.0</v>
      </c>
      <c r="K6700" s="317"/>
    </row>
    <row r="6701">
      <c r="B6701" s="223" t="s">
        <v>200</v>
      </c>
      <c r="C6701" s="223"/>
      <c r="D6701" s="316"/>
      <c r="H6701" s="223">
        <v>0.0</v>
      </c>
      <c r="K6701" s="317"/>
    </row>
    <row r="6702">
      <c r="B6702" s="223" t="s">
        <v>200</v>
      </c>
      <c r="C6702" s="223"/>
      <c r="D6702" s="316"/>
      <c r="H6702" s="223">
        <v>0.0</v>
      </c>
      <c r="K6702" s="317"/>
    </row>
    <row r="6703">
      <c r="B6703" s="223" t="s">
        <v>200</v>
      </c>
      <c r="C6703" s="223"/>
      <c r="D6703" s="316"/>
      <c r="H6703" s="223">
        <v>0.0</v>
      </c>
      <c r="K6703" s="317"/>
    </row>
    <row r="6704">
      <c r="B6704" s="223" t="s">
        <v>200</v>
      </c>
      <c r="C6704" s="223"/>
      <c r="D6704" s="316"/>
      <c r="H6704" s="223">
        <v>0.0</v>
      </c>
      <c r="K6704" s="317"/>
    </row>
    <row r="6705">
      <c r="B6705" s="223" t="s">
        <v>200</v>
      </c>
      <c r="C6705" s="223"/>
      <c r="D6705" s="316"/>
      <c r="H6705" s="223">
        <v>0.0</v>
      </c>
      <c r="K6705" s="317"/>
    </row>
    <row r="6706">
      <c r="B6706" s="223" t="s">
        <v>200</v>
      </c>
      <c r="C6706" s="223"/>
      <c r="D6706" s="316"/>
      <c r="H6706" s="223">
        <v>0.0</v>
      </c>
      <c r="K6706" s="317"/>
    </row>
    <row r="6707">
      <c r="B6707" s="223" t="s">
        <v>200</v>
      </c>
      <c r="C6707" s="223"/>
      <c r="D6707" s="316"/>
      <c r="H6707" s="223">
        <v>0.0</v>
      </c>
      <c r="K6707" s="317"/>
    </row>
    <row r="6708">
      <c r="B6708" s="223" t="s">
        <v>200</v>
      </c>
      <c r="C6708" s="223"/>
      <c r="D6708" s="316"/>
      <c r="H6708" s="223">
        <v>0.0</v>
      </c>
      <c r="K6708" s="317"/>
    </row>
    <row r="6709">
      <c r="B6709" s="223" t="s">
        <v>200</v>
      </c>
      <c r="C6709" s="223"/>
      <c r="D6709" s="316"/>
      <c r="H6709" s="223">
        <v>0.0</v>
      </c>
      <c r="K6709" s="317"/>
    </row>
    <row r="6710">
      <c r="B6710" s="223" t="s">
        <v>200</v>
      </c>
      <c r="C6710" s="223"/>
      <c r="D6710" s="316"/>
      <c r="H6710" s="223">
        <v>0.0</v>
      </c>
      <c r="K6710" s="317"/>
    </row>
    <row r="6711">
      <c r="B6711" s="223" t="s">
        <v>200</v>
      </c>
      <c r="C6711" s="223"/>
      <c r="D6711" s="316"/>
      <c r="H6711" s="223">
        <v>0.0</v>
      </c>
      <c r="K6711" s="317"/>
    </row>
    <row r="6712">
      <c r="B6712" s="223" t="s">
        <v>200</v>
      </c>
      <c r="C6712" s="223"/>
      <c r="D6712" s="316"/>
      <c r="H6712" s="223">
        <v>0.0</v>
      </c>
      <c r="K6712" s="317"/>
    </row>
    <row r="6713">
      <c r="B6713" s="223" t="s">
        <v>200</v>
      </c>
      <c r="C6713" s="223"/>
      <c r="D6713" s="316"/>
      <c r="H6713" s="223">
        <v>0.0</v>
      </c>
      <c r="K6713" s="317"/>
    </row>
    <row r="6714">
      <c r="B6714" s="223" t="s">
        <v>200</v>
      </c>
      <c r="C6714" s="223"/>
      <c r="D6714" s="316"/>
      <c r="H6714" s="223">
        <v>0.0</v>
      </c>
      <c r="K6714" s="317"/>
    </row>
    <row r="6715">
      <c r="B6715" s="223" t="s">
        <v>200</v>
      </c>
      <c r="C6715" s="223"/>
      <c r="D6715" s="316"/>
      <c r="H6715" s="223">
        <v>0.0</v>
      </c>
      <c r="K6715" s="317"/>
    </row>
    <row r="6716">
      <c r="B6716" s="223" t="s">
        <v>200</v>
      </c>
      <c r="C6716" s="223"/>
      <c r="D6716" s="316"/>
      <c r="H6716" s="223">
        <v>0.0</v>
      </c>
      <c r="K6716" s="317"/>
    </row>
    <row r="6717">
      <c r="B6717" s="223" t="s">
        <v>200</v>
      </c>
      <c r="C6717" s="223"/>
      <c r="D6717" s="316"/>
      <c r="H6717" s="223">
        <v>0.0</v>
      </c>
      <c r="K6717" s="317"/>
    </row>
    <row r="6718">
      <c r="B6718" s="223" t="s">
        <v>200</v>
      </c>
      <c r="C6718" s="223"/>
      <c r="D6718" s="316"/>
      <c r="H6718" s="223">
        <v>0.0</v>
      </c>
      <c r="K6718" s="317"/>
    </row>
    <row r="6719">
      <c r="B6719" s="223" t="s">
        <v>200</v>
      </c>
      <c r="C6719" s="223"/>
      <c r="D6719" s="316"/>
      <c r="H6719" s="223">
        <v>0.0</v>
      </c>
      <c r="K6719" s="317"/>
    </row>
    <row r="6720">
      <c r="B6720" s="223" t="s">
        <v>200</v>
      </c>
      <c r="C6720" s="223"/>
      <c r="D6720" s="316"/>
      <c r="H6720" s="223">
        <v>0.0</v>
      </c>
      <c r="K6720" s="317"/>
    </row>
    <row r="6721">
      <c r="B6721" s="223" t="s">
        <v>200</v>
      </c>
      <c r="C6721" s="223"/>
      <c r="D6721" s="316"/>
      <c r="H6721" s="223">
        <v>0.0</v>
      </c>
      <c r="K6721" s="317"/>
    </row>
    <row r="6722">
      <c r="B6722" s="223" t="s">
        <v>200</v>
      </c>
      <c r="C6722" s="223"/>
      <c r="D6722" s="316"/>
      <c r="H6722" s="223">
        <v>0.0</v>
      </c>
      <c r="K6722" s="317"/>
    </row>
    <row r="6723">
      <c r="B6723" s="223" t="s">
        <v>200</v>
      </c>
      <c r="C6723" s="223"/>
      <c r="D6723" s="316"/>
      <c r="H6723" s="223">
        <v>0.0</v>
      </c>
      <c r="K6723" s="317"/>
    </row>
    <row r="6724">
      <c r="B6724" s="223" t="s">
        <v>200</v>
      </c>
      <c r="C6724" s="223"/>
      <c r="D6724" s="316"/>
      <c r="H6724" s="223">
        <v>0.0</v>
      </c>
      <c r="K6724" s="317"/>
    </row>
    <row r="6725">
      <c r="B6725" s="223" t="s">
        <v>200</v>
      </c>
      <c r="C6725" s="223"/>
      <c r="D6725" s="316"/>
      <c r="H6725" s="223">
        <v>0.0</v>
      </c>
      <c r="K6725" s="317"/>
    </row>
    <row r="6726">
      <c r="B6726" s="223" t="s">
        <v>200</v>
      </c>
      <c r="C6726" s="223"/>
      <c r="D6726" s="316"/>
      <c r="H6726" s="223">
        <v>0.0</v>
      </c>
      <c r="K6726" s="317"/>
    </row>
    <row r="6727">
      <c r="B6727" s="223" t="s">
        <v>200</v>
      </c>
      <c r="C6727" s="223"/>
      <c r="D6727" s="316"/>
      <c r="H6727" s="223">
        <v>0.0</v>
      </c>
      <c r="K6727" s="317"/>
    </row>
    <row r="6728">
      <c r="B6728" s="223" t="s">
        <v>200</v>
      </c>
      <c r="C6728" s="223"/>
      <c r="D6728" s="316"/>
      <c r="H6728" s="223">
        <v>0.0</v>
      </c>
      <c r="K6728" s="317"/>
    </row>
    <row r="6729">
      <c r="B6729" s="223" t="s">
        <v>200</v>
      </c>
      <c r="C6729" s="223"/>
      <c r="D6729" s="316"/>
      <c r="H6729" s="223">
        <v>0.0</v>
      </c>
      <c r="K6729" s="317"/>
    </row>
    <row r="6730">
      <c r="B6730" s="223" t="s">
        <v>200</v>
      </c>
      <c r="C6730" s="223"/>
      <c r="D6730" s="316"/>
      <c r="H6730" s="223">
        <v>0.0</v>
      </c>
      <c r="K6730" s="317"/>
    </row>
    <row r="6731">
      <c r="B6731" s="223" t="s">
        <v>200</v>
      </c>
      <c r="C6731" s="223"/>
      <c r="D6731" s="316"/>
      <c r="H6731" s="223">
        <v>0.0</v>
      </c>
      <c r="K6731" s="317"/>
    </row>
    <row r="6732">
      <c r="B6732" s="223" t="s">
        <v>200</v>
      </c>
      <c r="C6732" s="223"/>
      <c r="D6732" s="316"/>
      <c r="H6732" s="223">
        <v>0.0</v>
      </c>
      <c r="K6732" s="317"/>
    </row>
    <row r="6733">
      <c r="B6733" s="223" t="s">
        <v>200</v>
      </c>
      <c r="C6733" s="223"/>
      <c r="D6733" s="316"/>
      <c r="H6733" s="223">
        <v>0.0</v>
      </c>
      <c r="K6733" s="317"/>
    </row>
    <row r="6734">
      <c r="B6734" s="223" t="s">
        <v>200</v>
      </c>
      <c r="C6734" s="223"/>
      <c r="D6734" s="316"/>
      <c r="H6734" s="223">
        <v>0.0</v>
      </c>
      <c r="K6734" s="317"/>
    </row>
    <row r="6735">
      <c r="B6735" s="223" t="s">
        <v>200</v>
      </c>
      <c r="C6735" s="223"/>
      <c r="D6735" s="316"/>
      <c r="H6735" s="223">
        <v>0.0</v>
      </c>
      <c r="K6735" s="317"/>
    </row>
    <row r="6736">
      <c r="B6736" s="223" t="s">
        <v>200</v>
      </c>
      <c r="C6736" s="223"/>
      <c r="D6736" s="316"/>
      <c r="H6736" s="223">
        <v>0.0</v>
      </c>
      <c r="K6736" s="317"/>
    </row>
    <row r="6737">
      <c r="B6737" s="223" t="s">
        <v>200</v>
      </c>
      <c r="C6737" s="223"/>
      <c r="D6737" s="316"/>
      <c r="H6737" s="223">
        <v>0.0</v>
      </c>
      <c r="K6737" s="317"/>
    </row>
    <row r="6738">
      <c r="B6738" s="223" t="s">
        <v>200</v>
      </c>
      <c r="C6738" s="223"/>
      <c r="D6738" s="316"/>
      <c r="H6738" s="223">
        <v>0.0</v>
      </c>
      <c r="K6738" s="317"/>
    </row>
    <row r="6739">
      <c r="B6739" s="223" t="s">
        <v>200</v>
      </c>
      <c r="C6739" s="223"/>
      <c r="D6739" s="316"/>
      <c r="H6739" s="223">
        <v>0.0</v>
      </c>
      <c r="K6739" s="317"/>
    </row>
    <row r="6740">
      <c r="B6740" s="223" t="s">
        <v>200</v>
      </c>
      <c r="C6740" s="223"/>
      <c r="D6740" s="316"/>
      <c r="H6740" s="223">
        <v>0.0</v>
      </c>
      <c r="K6740" s="317"/>
    </row>
    <row r="6741">
      <c r="B6741" s="223" t="s">
        <v>200</v>
      </c>
      <c r="C6741" s="223"/>
      <c r="D6741" s="316"/>
      <c r="H6741" s="223">
        <v>0.0</v>
      </c>
      <c r="K6741" s="317"/>
    </row>
    <row r="6742">
      <c r="B6742" s="223" t="s">
        <v>200</v>
      </c>
      <c r="C6742" s="223"/>
      <c r="D6742" s="316"/>
      <c r="H6742" s="223">
        <v>0.0</v>
      </c>
      <c r="K6742" s="317"/>
    </row>
    <row r="6743">
      <c r="B6743" s="223" t="s">
        <v>200</v>
      </c>
      <c r="C6743" s="223"/>
      <c r="D6743" s="316"/>
      <c r="H6743" s="223">
        <v>0.0</v>
      </c>
      <c r="K6743" s="317"/>
    </row>
    <row r="6744">
      <c r="B6744" s="223" t="s">
        <v>200</v>
      </c>
      <c r="C6744" s="223"/>
      <c r="D6744" s="316"/>
      <c r="H6744" s="223">
        <v>0.0</v>
      </c>
      <c r="K6744" s="317"/>
    </row>
    <row r="6745">
      <c r="B6745" s="223" t="s">
        <v>200</v>
      </c>
      <c r="C6745" s="223"/>
      <c r="D6745" s="316"/>
      <c r="H6745" s="223">
        <v>0.0</v>
      </c>
      <c r="K6745" s="317"/>
    </row>
    <row r="6746">
      <c r="B6746" s="223" t="s">
        <v>200</v>
      </c>
      <c r="C6746" s="223"/>
      <c r="D6746" s="316"/>
      <c r="H6746" s="223">
        <v>0.0</v>
      </c>
      <c r="K6746" s="317"/>
    </row>
    <row r="6747">
      <c r="B6747" s="223" t="s">
        <v>200</v>
      </c>
      <c r="C6747" s="223"/>
      <c r="D6747" s="316"/>
      <c r="H6747" s="223">
        <v>0.0</v>
      </c>
      <c r="K6747" s="317"/>
    </row>
    <row r="6748">
      <c r="B6748" s="223" t="s">
        <v>200</v>
      </c>
      <c r="C6748" s="223"/>
      <c r="D6748" s="316"/>
      <c r="H6748" s="223">
        <v>0.0</v>
      </c>
      <c r="K6748" s="317"/>
    </row>
    <row r="6749">
      <c r="B6749" s="223" t="s">
        <v>200</v>
      </c>
      <c r="C6749" s="223"/>
      <c r="D6749" s="316"/>
      <c r="H6749" s="223">
        <v>0.0</v>
      </c>
      <c r="K6749" s="317"/>
    </row>
    <row r="6750">
      <c r="B6750" s="223" t="s">
        <v>200</v>
      </c>
      <c r="C6750" s="223"/>
      <c r="D6750" s="316"/>
      <c r="H6750" s="223">
        <v>0.0</v>
      </c>
      <c r="K6750" s="317"/>
    </row>
    <row r="6751">
      <c r="B6751" s="223" t="s">
        <v>200</v>
      </c>
      <c r="C6751" s="223"/>
      <c r="D6751" s="316"/>
      <c r="H6751" s="223">
        <v>0.0</v>
      </c>
      <c r="K6751" s="317"/>
    </row>
    <row r="6752">
      <c r="B6752" s="223" t="s">
        <v>200</v>
      </c>
      <c r="C6752" s="223"/>
      <c r="D6752" s="316"/>
      <c r="H6752" s="223">
        <v>0.0</v>
      </c>
      <c r="K6752" s="317"/>
    </row>
    <row r="6753">
      <c r="B6753" s="223" t="s">
        <v>200</v>
      </c>
      <c r="C6753" s="223"/>
      <c r="D6753" s="316"/>
      <c r="H6753" s="223">
        <v>0.0</v>
      </c>
      <c r="K6753" s="317"/>
    </row>
    <row r="6754">
      <c r="B6754" s="223" t="s">
        <v>200</v>
      </c>
      <c r="C6754" s="223"/>
      <c r="D6754" s="316"/>
      <c r="H6754" s="223">
        <v>0.0</v>
      </c>
      <c r="K6754" s="317"/>
    </row>
    <row r="6755">
      <c r="B6755" s="223" t="s">
        <v>200</v>
      </c>
      <c r="C6755" s="223"/>
      <c r="D6755" s="316"/>
      <c r="H6755" s="223">
        <v>0.0</v>
      </c>
      <c r="K6755" s="317"/>
    </row>
    <row r="6756">
      <c r="B6756" s="223" t="s">
        <v>200</v>
      </c>
      <c r="C6756" s="223"/>
      <c r="D6756" s="316"/>
      <c r="H6756" s="223">
        <v>0.0</v>
      </c>
      <c r="K6756" s="317"/>
    </row>
    <row r="6757">
      <c r="B6757" s="223" t="s">
        <v>200</v>
      </c>
      <c r="C6757" s="223"/>
      <c r="D6757" s="316"/>
      <c r="H6757" s="223">
        <v>0.0</v>
      </c>
      <c r="K6757" s="317"/>
    </row>
    <row r="6758">
      <c r="B6758" s="223" t="s">
        <v>200</v>
      </c>
      <c r="C6758" s="223"/>
      <c r="D6758" s="316"/>
      <c r="H6758" s="223">
        <v>0.0</v>
      </c>
      <c r="K6758" s="317"/>
    </row>
    <row r="6759">
      <c r="B6759" s="223" t="s">
        <v>200</v>
      </c>
      <c r="C6759" s="223"/>
      <c r="D6759" s="316"/>
      <c r="H6759" s="223">
        <v>0.0</v>
      </c>
      <c r="K6759" s="317"/>
    </row>
    <row r="6760">
      <c r="B6760" s="223" t="s">
        <v>200</v>
      </c>
      <c r="C6760" s="223"/>
      <c r="D6760" s="316"/>
      <c r="H6760" s="223">
        <v>0.0</v>
      </c>
      <c r="K6760" s="317"/>
    </row>
    <row r="6761">
      <c r="B6761" s="223" t="s">
        <v>200</v>
      </c>
      <c r="C6761" s="223"/>
      <c r="D6761" s="316"/>
      <c r="H6761" s="223">
        <v>0.0</v>
      </c>
      <c r="K6761" s="317"/>
    </row>
    <row r="6762">
      <c r="B6762" s="223" t="s">
        <v>200</v>
      </c>
      <c r="C6762" s="223"/>
      <c r="D6762" s="316"/>
      <c r="H6762" s="223">
        <v>0.0</v>
      </c>
      <c r="K6762" s="317"/>
    </row>
    <row r="6763">
      <c r="B6763" s="223" t="s">
        <v>200</v>
      </c>
      <c r="C6763" s="223"/>
      <c r="D6763" s="316"/>
      <c r="H6763" s="223">
        <v>0.0</v>
      </c>
      <c r="K6763" s="317"/>
    </row>
    <row r="6764">
      <c r="B6764" s="223" t="s">
        <v>200</v>
      </c>
      <c r="C6764" s="223"/>
      <c r="D6764" s="316"/>
      <c r="H6764" s="223">
        <v>0.0</v>
      </c>
      <c r="K6764" s="317"/>
    </row>
    <row r="6765">
      <c r="B6765" s="223" t="s">
        <v>200</v>
      </c>
      <c r="C6765" s="223"/>
      <c r="D6765" s="316"/>
      <c r="H6765" s="223">
        <v>0.0</v>
      </c>
      <c r="K6765" s="317"/>
    </row>
    <row r="6766">
      <c r="B6766" s="223" t="s">
        <v>200</v>
      </c>
      <c r="C6766" s="223"/>
      <c r="D6766" s="316"/>
      <c r="H6766" s="223">
        <v>0.0</v>
      </c>
      <c r="K6766" s="317"/>
    </row>
    <row r="6767">
      <c r="B6767" s="223" t="s">
        <v>200</v>
      </c>
      <c r="C6767" s="223"/>
      <c r="D6767" s="316"/>
      <c r="H6767" s="223">
        <v>0.0</v>
      </c>
      <c r="K6767" s="317"/>
    </row>
    <row r="6768">
      <c r="B6768" s="223" t="s">
        <v>200</v>
      </c>
      <c r="C6768" s="223"/>
      <c r="D6768" s="316"/>
      <c r="H6768" s="223">
        <v>0.0</v>
      </c>
      <c r="K6768" s="317"/>
    </row>
    <row r="6769">
      <c r="B6769" s="223" t="s">
        <v>200</v>
      </c>
      <c r="C6769" s="223"/>
      <c r="D6769" s="316"/>
      <c r="H6769" s="223">
        <v>0.0</v>
      </c>
      <c r="K6769" s="317"/>
    </row>
    <row r="6770">
      <c r="B6770" s="223" t="s">
        <v>200</v>
      </c>
      <c r="C6770" s="223"/>
      <c r="D6770" s="316"/>
      <c r="H6770" s="223">
        <v>0.0</v>
      </c>
      <c r="K6770" s="317"/>
    </row>
    <row r="6771">
      <c r="B6771" s="223" t="s">
        <v>200</v>
      </c>
      <c r="C6771" s="223"/>
      <c r="D6771" s="316"/>
      <c r="H6771" s="223">
        <v>0.0</v>
      </c>
      <c r="K6771" s="317"/>
    </row>
    <row r="6772">
      <c r="B6772" s="223" t="s">
        <v>200</v>
      </c>
      <c r="C6772" s="223"/>
      <c r="D6772" s="316"/>
      <c r="H6772" s="223">
        <v>0.0</v>
      </c>
      <c r="K6772" s="317"/>
    </row>
    <row r="6773">
      <c r="B6773" s="223" t="s">
        <v>200</v>
      </c>
      <c r="C6773" s="223"/>
      <c r="D6773" s="316"/>
      <c r="H6773" s="223">
        <v>0.0</v>
      </c>
      <c r="K6773" s="317"/>
    </row>
    <row r="6774">
      <c r="B6774" s="223" t="s">
        <v>200</v>
      </c>
      <c r="C6774" s="223"/>
      <c r="D6774" s="316"/>
      <c r="H6774" s="223">
        <v>0.0</v>
      </c>
      <c r="K6774" s="317"/>
    </row>
    <row r="6775">
      <c r="B6775" s="223" t="s">
        <v>200</v>
      </c>
      <c r="C6775" s="223"/>
      <c r="D6775" s="316"/>
      <c r="H6775" s="223">
        <v>0.0</v>
      </c>
      <c r="K6775" s="317"/>
    </row>
    <row r="6776">
      <c r="B6776" s="223" t="s">
        <v>200</v>
      </c>
      <c r="C6776" s="223"/>
      <c r="D6776" s="316"/>
      <c r="H6776" s="223">
        <v>0.0</v>
      </c>
      <c r="K6776" s="317"/>
    </row>
    <row r="6777">
      <c r="B6777" s="223" t="s">
        <v>200</v>
      </c>
      <c r="C6777" s="223"/>
      <c r="D6777" s="316"/>
      <c r="H6777" s="223">
        <v>0.0</v>
      </c>
      <c r="K6777" s="317"/>
    </row>
    <row r="6778">
      <c r="B6778" s="223" t="s">
        <v>200</v>
      </c>
      <c r="C6778" s="223"/>
      <c r="D6778" s="316"/>
      <c r="H6778" s="223">
        <v>0.0</v>
      </c>
      <c r="K6778" s="317"/>
    </row>
    <row r="6779">
      <c r="B6779" s="223" t="s">
        <v>200</v>
      </c>
      <c r="C6779" s="223"/>
      <c r="D6779" s="316"/>
      <c r="H6779" s="223">
        <v>0.0</v>
      </c>
      <c r="K6779" s="317"/>
    </row>
    <row r="6780">
      <c r="B6780" s="223" t="s">
        <v>200</v>
      </c>
      <c r="C6780" s="223"/>
      <c r="D6780" s="316"/>
      <c r="H6780" s="223">
        <v>0.0</v>
      </c>
      <c r="K6780" s="317"/>
    </row>
    <row r="6781">
      <c r="B6781" s="223" t="s">
        <v>200</v>
      </c>
      <c r="C6781" s="223"/>
      <c r="D6781" s="316"/>
      <c r="H6781" s="223">
        <v>0.0</v>
      </c>
      <c r="K6781" s="317"/>
    </row>
    <row r="6782">
      <c r="B6782" s="223" t="s">
        <v>200</v>
      </c>
      <c r="C6782" s="223"/>
      <c r="D6782" s="316"/>
      <c r="H6782" s="223">
        <v>0.0</v>
      </c>
      <c r="K6782" s="317"/>
    </row>
    <row r="6783">
      <c r="B6783" s="223" t="s">
        <v>200</v>
      </c>
      <c r="C6783" s="223"/>
      <c r="D6783" s="316"/>
      <c r="H6783" s="223">
        <v>0.0</v>
      </c>
      <c r="K6783" s="317"/>
    </row>
    <row r="6784">
      <c r="B6784" s="223" t="s">
        <v>200</v>
      </c>
      <c r="C6784" s="223"/>
      <c r="D6784" s="316"/>
      <c r="H6784" s="223">
        <v>0.0</v>
      </c>
      <c r="K6784" s="317"/>
    </row>
    <row r="6785">
      <c r="B6785" s="223" t="s">
        <v>200</v>
      </c>
      <c r="C6785" s="223"/>
      <c r="D6785" s="316"/>
      <c r="H6785" s="223">
        <v>0.0</v>
      </c>
      <c r="K6785" s="317"/>
    </row>
    <row r="6786">
      <c r="B6786" s="223" t="s">
        <v>200</v>
      </c>
      <c r="C6786" s="223"/>
      <c r="D6786" s="316"/>
      <c r="H6786" s="223">
        <v>0.0</v>
      </c>
      <c r="K6786" s="317"/>
    </row>
    <row r="6787">
      <c r="B6787" s="223" t="s">
        <v>200</v>
      </c>
      <c r="C6787" s="223"/>
      <c r="D6787" s="316"/>
      <c r="H6787" s="223">
        <v>0.0</v>
      </c>
      <c r="K6787" s="317"/>
    </row>
    <row r="6788">
      <c r="B6788" s="223" t="s">
        <v>200</v>
      </c>
      <c r="C6788" s="223"/>
      <c r="D6788" s="316"/>
      <c r="H6788" s="223">
        <v>0.0</v>
      </c>
      <c r="K6788" s="317"/>
    </row>
    <row r="6789">
      <c r="B6789" s="223" t="s">
        <v>200</v>
      </c>
      <c r="C6789" s="223"/>
      <c r="D6789" s="316"/>
      <c r="H6789" s="223">
        <v>0.0</v>
      </c>
      <c r="K6789" s="317"/>
    </row>
    <row r="6790">
      <c r="B6790" s="223" t="s">
        <v>200</v>
      </c>
      <c r="C6790" s="223"/>
      <c r="D6790" s="316"/>
      <c r="H6790" s="223">
        <v>0.0</v>
      </c>
      <c r="K6790" s="317"/>
    </row>
    <row r="6791">
      <c r="B6791" s="223" t="s">
        <v>200</v>
      </c>
      <c r="C6791" s="223"/>
      <c r="D6791" s="316"/>
      <c r="H6791" s="223">
        <v>0.0</v>
      </c>
      <c r="K6791" s="317"/>
    </row>
    <row r="6792">
      <c r="B6792" s="223" t="s">
        <v>200</v>
      </c>
      <c r="C6792" s="223"/>
      <c r="D6792" s="316"/>
      <c r="H6792" s="223">
        <v>0.0</v>
      </c>
      <c r="K6792" s="317"/>
    </row>
    <row r="6793">
      <c r="B6793" s="223" t="s">
        <v>200</v>
      </c>
      <c r="C6793" s="223"/>
      <c r="D6793" s="316"/>
      <c r="H6793" s="223">
        <v>0.0</v>
      </c>
      <c r="K6793" s="317"/>
    </row>
    <row r="6794">
      <c r="B6794" s="223" t="s">
        <v>200</v>
      </c>
      <c r="C6794" s="223"/>
      <c r="D6794" s="316"/>
      <c r="H6794" s="223">
        <v>0.0</v>
      </c>
      <c r="K6794" s="317"/>
    </row>
    <row r="6795">
      <c r="B6795" s="223" t="s">
        <v>200</v>
      </c>
      <c r="C6795" s="223"/>
      <c r="D6795" s="316"/>
      <c r="H6795" s="223">
        <v>0.0</v>
      </c>
      <c r="K6795" s="317"/>
    </row>
    <row r="6796">
      <c r="B6796" s="223" t="s">
        <v>200</v>
      </c>
      <c r="C6796" s="223"/>
      <c r="D6796" s="316"/>
      <c r="H6796" s="223">
        <v>0.0</v>
      </c>
      <c r="K6796" s="317"/>
    </row>
    <row r="6797">
      <c r="B6797" s="223" t="s">
        <v>200</v>
      </c>
      <c r="C6797" s="223"/>
      <c r="D6797" s="316"/>
      <c r="H6797" s="223">
        <v>0.0</v>
      </c>
      <c r="K6797" s="317"/>
    </row>
    <row r="6798">
      <c r="B6798" s="223" t="s">
        <v>200</v>
      </c>
      <c r="C6798" s="223"/>
      <c r="D6798" s="316"/>
      <c r="H6798" s="223">
        <v>0.0</v>
      </c>
      <c r="K6798" s="317"/>
    </row>
    <row r="6799">
      <c r="B6799" s="223" t="s">
        <v>200</v>
      </c>
      <c r="C6799" s="223"/>
      <c r="D6799" s="316"/>
      <c r="H6799" s="223">
        <v>0.0</v>
      </c>
      <c r="K6799" s="317"/>
    </row>
    <row r="6800">
      <c r="B6800" s="223" t="s">
        <v>200</v>
      </c>
      <c r="C6800" s="223"/>
      <c r="D6800" s="316"/>
      <c r="H6800" s="223">
        <v>0.0</v>
      </c>
      <c r="K6800" s="317"/>
    </row>
    <row r="6801">
      <c r="B6801" s="223" t="s">
        <v>200</v>
      </c>
      <c r="C6801" s="223"/>
      <c r="D6801" s="316"/>
      <c r="H6801" s="223">
        <v>0.0</v>
      </c>
      <c r="K6801" s="317"/>
    </row>
    <row r="6802">
      <c r="B6802" s="223" t="s">
        <v>200</v>
      </c>
      <c r="C6802" s="223"/>
      <c r="D6802" s="316"/>
      <c r="H6802" s="223">
        <v>0.0</v>
      </c>
      <c r="K6802" s="317"/>
    </row>
    <row r="6803">
      <c r="B6803" s="223" t="s">
        <v>200</v>
      </c>
      <c r="C6803" s="223"/>
      <c r="D6803" s="316"/>
      <c r="H6803" s="223">
        <v>0.0</v>
      </c>
      <c r="K6803" s="317"/>
    </row>
    <row r="6804">
      <c r="B6804" s="223" t="s">
        <v>200</v>
      </c>
      <c r="C6804" s="223"/>
      <c r="D6804" s="316"/>
      <c r="H6804" s="223">
        <v>0.0</v>
      </c>
      <c r="K6804" s="317"/>
    </row>
    <row r="6805">
      <c r="B6805" s="223" t="s">
        <v>200</v>
      </c>
      <c r="C6805" s="223"/>
      <c r="D6805" s="316"/>
      <c r="H6805" s="223">
        <v>0.0</v>
      </c>
      <c r="K6805" s="317"/>
    </row>
    <row r="6806">
      <c r="B6806" s="223" t="s">
        <v>200</v>
      </c>
      <c r="C6806" s="223"/>
      <c r="D6806" s="316"/>
      <c r="H6806" s="223">
        <v>0.0</v>
      </c>
      <c r="K6806" s="317"/>
    </row>
    <row r="6807">
      <c r="B6807" s="223" t="s">
        <v>200</v>
      </c>
      <c r="C6807" s="223"/>
      <c r="D6807" s="316"/>
      <c r="H6807" s="223">
        <v>0.0</v>
      </c>
      <c r="K6807" s="317"/>
    </row>
    <row r="6808">
      <c r="B6808" s="223" t="s">
        <v>200</v>
      </c>
      <c r="C6808" s="223"/>
      <c r="D6808" s="316"/>
      <c r="H6808" s="223">
        <v>0.0</v>
      </c>
      <c r="K6808" s="317"/>
    </row>
    <row r="6809">
      <c r="B6809" s="223" t="s">
        <v>200</v>
      </c>
      <c r="C6809" s="223"/>
      <c r="D6809" s="316"/>
      <c r="H6809" s="223">
        <v>0.0</v>
      </c>
      <c r="K6809" s="317"/>
    </row>
    <row r="6810">
      <c r="B6810" s="223" t="s">
        <v>200</v>
      </c>
      <c r="C6810" s="223"/>
      <c r="D6810" s="316"/>
      <c r="H6810" s="223">
        <v>0.0</v>
      </c>
      <c r="K6810" s="317"/>
    </row>
    <row r="6811">
      <c r="B6811" s="223" t="s">
        <v>200</v>
      </c>
      <c r="C6811" s="223"/>
      <c r="D6811" s="316"/>
      <c r="H6811" s="223">
        <v>0.0</v>
      </c>
      <c r="K6811" s="317"/>
    </row>
    <row r="6812">
      <c r="B6812" s="223" t="s">
        <v>200</v>
      </c>
      <c r="C6812" s="223"/>
      <c r="D6812" s="316"/>
      <c r="H6812" s="223">
        <v>0.0</v>
      </c>
      <c r="K6812" s="317"/>
    </row>
    <row r="6813">
      <c r="B6813" s="223" t="s">
        <v>200</v>
      </c>
      <c r="C6813" s="223"/>
      <c r="D6813" s="316"/>
      <c r="H6813" s="223">
        <v>0.0</v>
      </c>
      <c r="K6813" s="317"/>
    </row>
    <row r="6814">
      <c r="B6814" s="223" t="s">
        <v>200</v>
      </c>
      <c r="C6814" s="223"/>
      <c r="D6814" s="316"/>
      <c r="H6814" s="223">
        <v>0.0</v>
      </c>
      <c r="K6814" s="317"/>
    </row>
    <row r="6815">
      <c r="B6815" s="223" t="s">
        <v>200</v>
      </c>
      <c r="C6815" s="223"/>
      <c r="D6815" s="316"/>
      <c r="H6815" s="223">
        <v>0.0</v>
      </c>
      <c r="K6815" s="317"/>
    </row>
    <row r="6816">
      <c r="B6816" s="223" t="s">
        <v>200</v>
      </c>
      <c r="C6816" s="223"/>
      <c r="D6816" s="316"/>
      <c r="H6816" s="223">
        <v>0.0</v>
      </c>
      <c r="K6816" s="317"/>
    </row>
    <row r="6817">
      <c r="B6817" s="223" t="s">
        <v>200</v>
      </c>
      <c r="C6817" s="223"/>
      <c r="D6817" s="316"/>
      <c r="H6817" s="223">
        <v>0.0</v>
      </c>
      <c r="K6817" s="317"/>
    </row>
    <row r="6818">
      <c r="B6818" s="223" t="s">
        <v>200</v>
      </c>
      <c r="C6818" s="223"/>
      <c r="D6818" s="316"/>
      <c r="H6818" s="223">
        <v>0.0</v>
      </c>
      <c r="K6818" s="317"/>
    </row>
    <row r="6819">
      <c r="B6819" s="223" t="s">
        <v>200</v>
      </c>
      <c r="C6819" s="223"/>
      <c r="D6819" s="316"/>
      <c r="H6819" s="223">
        <v>0.0</v>
      </c>
      <c r="K6819" s="317"/>
    </row>
    <row r="6820">
      <c r="B6820" s="223" t="s">
        <v>200</v>
      </c>
      <c r="C6820" s="223"/>
      <c r="D6820" s="316"/>
      <c r="H6820" s="223">
        <v>0.0</v>
      </c>
      <c r="K6820" s="317"/>
    </row>
    <row r="6821">
      <c r="B6821" s="223" t="s">
        <v>200</v>
      </c>
      <c r="C6821" s="223"/>
      <c r="D6821" s="316"/>
      <c r="H6821" s="223">
        <v>0.0</v>
      </c>
      <c r="K6821" s="317"/>
    </row>
    <row r="6822">
      <c r="B6822" s="223" t="s">
        <v>200</v>
      </c>
      <c r="C6822" s="223"/>
      <c r="D6822" s="316"/>
      <c r="H6822" s="223">
        <v>0.0</v>
      </c>
      <c r="K6822" s="317"/>
    </row>
    <row r="6823">
      <c r="B6823" s="223" t="s">
        <v>200</v>
      </c>
      <c r="C6823" s="223"/>
      <c r="D6823" s="316"/>
      <c r="H6823" s="223">
        <v>0.0</v>
      </c>
      <c r="K6823" s="317"/>
    </row>
    <row r="6824">
      <c r="B6824" s="223" t="s">
        <v>200</v>
      </c>
      <c r="C6824" s="223"/>
      <c r="D6824" s="316"/>
      <c r="H6824" s="223">
        <v>0.0</v>
      </c>
      <c r="K6824" s="317"/>
    </row>
    <row r="6825">
      <c r="B6825" s="223" t="s">
        <v>200</v>
      </c>
      <c r="C6825" s="223"/>
      <c r="D6825" s="316"/>
      <c r="H6825" s="223">
        <v>0.0</v>
      </c>
      <c r="K6825" s="317"/>
    </row>
    <row r="6826">
      <c r="B6826" s="223" t="s">
        <v>200</v>
      </c>
      <c r="C6826" s="223"/>
      <c r="D6826" s="316"/>
      <c r="H6826" s="223">
        <v>0.0</v>
      </c>
      <c r="K6826" s="317"/>
    </row>
    <row r="6827">
      <c r="B6827" s="223" t="s">
        <v>200</v>
      </c>
      <c r="C6827" s="223"/>
      <c r="D6827" s="316"/>
      <c r="H6827" s="223">
        <v>0.0</v>
      </c>
      <c r="K6827" s="317"/>
    </row>
    <row r="6828">
      <c r="B6828" s="223" t="s">
        <v>200</v>
      </c>
      <c r="C6828" s="223"/>
      <c r="D6828" s="316"/>
      <c r="H6828" s="223">
        <v>0.0</v>
      </c>
      <c r="K6828" s="317"/>
    </row>
    <row r="6829">
      <c r="B6829" s="223" t="s">
        <v>200</v>
      </c>
      <c r="C6829" s="223"/>
      <c r="D6829" s="316"/>
      <c r="H6829" s="223">
        <v>0.0</v>
      </c>
      <c r="K6829" s="317"/>
    </row>
    <row r="6830">
      <c r="B6830" s="223" t="s">
        <v>200</v>
      </c>
      <c r="C6830" s="223"/>
      <c r="D6830" s="316"/>
      <c r="H6830" s="223">
        <v>0.0</v>
      </c>
      <c r="K6830" s="317"/>
    </row>
    <row r="6831">
      <c r="B6831" s="223" t="s">
        <v>200</v>
      </c>
      <c r="C6831" s="223"/>
      <c r="D6831" s="316"/>
      <c r="H6831" s="223">
        <v>0.0</v>
      </c>
      <c r="K6831" s="317"/>
    </row>
    <row r="6832">
      <c r="B6832" s="223" t="s">
        <v>200</v>
      </c>
      <c r="C6832" s="223"/>
      <c r="D6832" s="316"/>
      <c r="H6832" s="223">
        <v>0.0</v>
      </c>
      <c r="K6832" s="317"/>
    </row>
    <row r="6833">
      <c r="B6833" s="223" t="s">
        <v>200</v>
      </c>
      <c r="C6833" s="223"/>
      <c r="D6833" s="316"/>
      <c r="H6833" s="223">
        <v>0.0</v>
      </c>
      <c r="K6833" s="317"/>
    </row>
    <row r="6834">
      <c r="B6834" s="223" t="s">
        <v>200</v>
      </c>
      <c r="C6834" s="223"/>
      <c r="D6834" s="316"/>
      <c r="H6834" s="223">
        <v>0.0</v>
      </c>
      <c r="K6834" s="317"/>
    </row>
    <row r="6835">
      <c r="B6835" s="223" t="s">
        <v>200</v>
      </c>
      <c r="C6835" s="223"/>
      <c r="D6835" s="316"/>
      <c r="H6835" s="223">
        <v>0.0</v>
      </c>
      <c r="K6835" s="317"/>
    </row>
    <row r="6836">
      <c r="B6836" s="223" t="s">
        <v>200</v>
      </c>
      <c r="C6836" s="223"/>
      <c r="D6836" s="316"/>
      <c r="H6836" s="223">
        <v>0.0</v>
      </c>
      <c r="K6836" s="317"/>
    </row>
    <row r="6837">
      <c r="B6837" s="223" t="s">
        <v>200</v>
      </c>
      <c r="C6837" s="223"/>
      <c r="D6837" s="316"/>
      <c r="H6837" s="223">
        <v>0.0</v>
      </c>
      <c r="K6837" s="317"/>
    </row>
    <row r="6838">
      <c r="B6838" s="223" t="s">
        <v>200</v>
      </c>
      <c r="C6838" s="223"/>
      <c r="D6838" s="316"/>
      <c r="H6838" s="223">
        <v>0.0</v>
      </c>
      <c r="K6838" s="317"/>
    </row>
    <row r="6839">
      <c r="B6839" s="223" t="s">
        <v>200</v>
      </c>
      <c r="C6839" s="223"/>
      <c r="D6839" s="316"/>
      <c r="H6839" s="223">
        <v>0.0</v>
      </c>
      <c r="K6839" s="317"/>
    </row>
    <row r="6840">
      <c r="B6840" s="223" t="s">
        <v>200</v>
      </c>
      <c r="C6840" s="223"/>
      <c r="D6840" s="316"/>
      <c r="H6840" s="223">
        <v>0.0</v>
      </c>
      <c r="K6840" s="317"/>
    </row>
    <row r="6841">
      <c r="B6841" s="223" t="s">
        <v>200</v>
      </c>
      <c r="C6841" s="223"/>
      <c r="D6841" s="316"/>
      <c r="H6841" s="223">
        <v>0.0</v>
      </c>
      <c r="K6841" s="317"/>
    </row>
    <row r="6842">
      <c r="B6842" s="223" t="s">
        <v>200</v>
      </c>
      <c r="C6842" s="223"/>
      <c r="D6842" s="316"/>
      <c r="H6842" s="223">
        <v>0.0</v>
      </c>
      <c r="K6842" s="317"/>
    </row>
    <row r="6843">
      <c r="B6843" s="223" t="s">
        <v>200</v>
      </c>
      <c r="C6843" s="223"/>
      <c r="D6843" s="316"/>
      <c r="H6843" s="223">
        <v>0.0</v>
      </c>
      <c r="K6843" s="317"/>
    </row>
    <row r="6844">
      <c r="B6844" s="223" t="s">
        <v>200</v>
      </c>
      <c r="C6844" s="223"/>
      <c r="D6844" s="316"/>
      <c r="H6844" s="223">
        <v>0.0</v>
      </c>
      <c r="K6844" s="317"/>
    </row>
    <row r="6845">
      <c r="B6845" s="223" t="s">
        <v>200</v>
      </c>
      <c r="C6845" s="223"/>
      <c r="D6845" s="316"/>
      <c r="H6845" s="223">
        <v>0.0</v>
      </c>
      <c r="K6845" s="317"/>
    </row>
    <row r="6846">
      <c r="B6846" s="223" t="s">
        <v>200</v>
      </c>
      <c r="C6846" s="223"/>
      <c r="D6846" s="316"/>
      <c r="H6846" s="223">
        <v>0.0</v>
      </c>
      <c r="K6846" s="317"/>
    </row>
    <row r="6847">
      <c r="B6847" s="223" t="s">
        <v>200</v>
      </c>
      <c r="C6847" s="223"/>
      <c r="D6847" s="316"/>
      <c r="H6847" s="223">
        <v>0.0</v>
      </c>
      <c r="K6847" s="317"/>
    </row>
    <row r="6848">
      <c r="B6848" s="223" t="s">
        <v>200</v>
      </c>
      <c r="C6848" s="223"/>
      <c r="D6848" s="316"/>
      <c r="H6848" s="223">
        <v>0.0</v>
      </c>
      <c r="K6848" s="317"/>
    </row>
    <row r="6849">
      <c r="B6849" s="223" t="s">
        <v>200</v>
      </c>
      <c r="C6849" s="223"/>
      <c r="D6849" s="316"/>
      <c r="H6849" s="223">
        <v>0.0</v>
      </c>
      <c r="K6849" s="317"/>
    </row>
    <row r="6850">
      <c r="B6850" s="223" t="s">
        <v>200</v>
      </c>
      <c r="C6850" s="223"/>
      <c r="D6850" s="316"/>
      <c r="H6850" s="223">
        <v>0.0</v>
      </c>
      <c r="K6850" s="317"/>
    </row>
    <row r="6851">
      <c r="B6851" s="223" t="s">
        <v>200</v>
      </c>
      <c r="C6851" s="223"/>
      <c r="D6851" s="316"/>
      <c r="H6851" s="223">
        <v>0.0</v>
      </c>
      <c r="K6851" s="317"/>
    </row>
    <row r="6852">
      <c r="B6852" s="223" t="s">
        <v>200</v>
      </c>
      <c r="C6852" s="223"/>
      <c r="D6852" s="316"/>
      <c r="H6852" s="223">
        <v>0.0</v>
      </c>
      <c r="K6852" s="317"/>
    </row>
    <row r="6853">
      <c r="B6853" s="223" t="s">
        <v>200</v>
      </c>
      <c r="C6853" s="223"/>
      <c r="D6853" s="316"/>
      <c r="H6853" s="223">
        <v>0.0</v>
      </c>
      <c r="K6853" s="317"/>
    </row>
    <row r="6854">
      <c r="B6854" s="223" t="s">
        <v>200</v>
      </c>
      <c r="C6854" s="223"/>
      <c r="D6854" s="316"/>
      <c r="H6854" s="223">
        <v>0.0</v>
      </c>
      <c r="K6854" s="317"/>
    </row>
    <row r="6855">
      <c r="B6855" s="223" t="s">
        <v>200</v>
      </c>
      <c r="C6855" s="223"/>
      <c r="D6855" s="316"/>
      <c r="H6855" s="223">
        <v>0.0</v>
      </c>
      <c r="K6855" s="317"/>
    </row>
    <row r="6856">
      <c r="B6856" s="223" t="s">
        <v>200</v>
      </c>
      <c r="C6856" s="223"/>
      <c r="D6856" s="316"/>
      <c r="H6856" s="223">
        <v>0.0</v>
      </c>
      <c r="K6856" s="317"/>
    </row>
    <row r="6857">
      <c r="B6857" s="223" t="s">
        <v>200</v>
      </c>
      <c r="C6857" s="223"/>
      <c r="D6857" s="316"/>
      <c r="H6857" s="223">
        <v>0.0</v>
      </c>
      <c r="K6857" s="317"/>
    </row>
    <row r="6858">
      <c r="B6858" s="223" t="s">
        <v>200</v>
      </c>
      <c r="C6858" s="223"/>
      <c r="D6858" s="316"/>
      <c r="H6858" s="223">
        <v>0.0</v>
      </c>
      <c r="K6858" s="317"/>
    </row>
    <row r="6859">
      <c r="B6859" s="223" t="s">
        <v>200</v>
      </c>
      <c r="C6859" s="223"/>
      <c r="D6859" s="316"/>
      <c r="H6859" s="223">
        <v>0.0</v>
      </c>
      <c r="K6859" s="317"/>
    </row>
    <row r="6860">
      <c r="B6860" s="223" t="s">
        <v>200</v>
      </c>
      <c r="C6860" s="223"/>
      <c r="D6860" s="316"/>
      <c r="H6860" s="223">
        <v>0.0</v>
      </c>
      <c r="K6860" s="317"/>
    </row>
    <row r="6861">
      <c r="B6861" s="223" t="s">
        <v>200</v>
      </c>
      <c r="C6861" s="223"/>
      <c r="D6861" s="316"/>
      <c r="H6861" s="223">
        <v>0.0</v>
      </c>
      <c r="K6861" s="317"/>
    </row>
    <row r="6862">
      <c r="B6862" s="223" t="s">
        <v>200</v>
      </c>
      <c r="C6862" s="223"/>
      <c r="D6862" s="316"/>
      <c r="H6862" s="223">
        <v>0.0</v>
      </c>
      <c r="K6862" s="317"/>
    </row>
    <row r="6863">
      <c r="B6863" s="223" t="s">
        <v>200</v>
      </c>
      <c r="C6863" s="223"/>
      <c r="D6863" s="316"/>
      <c r="H6863" s="223">
        <v>0.0</v>
      </c>
      <c r="K6863" s="317"/>
    </row>
    <row r="6864">
      <c r="B6864" s="223" t="s">
        <v>200</v>
      </c>
      <c r="C6864" s="223"/>
      <c r="D6864" s="316"/>
      <c r="H6864" s="223">
        <v>0.0</v>
      </c>
      <c r="K6864" s="317"/>
    </row>
    <row r="6865">
      <c r="B6865" s="223" t="s">
        <v>200</v>
      </c>
      <c r="C6865" s="223"/>
      <c r="D6865" s="316"/>
      <c r="H6865" s="223">
        <v>0.0</v>
      </c>
      <c r="K6865" s="317"/>
    </row>
    <row r="6866">
      <c r="B6866" s="223" t="s">
        <v>200</v>
      </c>
      <c r="C6866" s="223"/>
      <c r="D6866" s="316"/>
      <c r="H6866" s="223">
        <v>0.0</v>
      </c>
      <c r="K6866" s="317"/>
    </row>
    <row r="6867">
      <c r="B6867" s="223" t="s">
        <v>200</v>
      </c>
      <c r="C6867" s="223"/>
      <c r="D6867" s="316"/>
      <c r="H6867" s="223">
        <v>0.0</v>
      </c>
      <c r="K6867" s="317"/>
    </row>
    <row r="6868">
      <c r="B6868" s="223" t="s">
        <v>200</v>
      </c>
      <c r="C6868" s="223"/>
      <c r="D6868" s="316"/>
      <c r="H6868" s="223">
        <v>0.0</v>
      </c>
      <c r="K6868" s="317"/>
    </row>
    <row r="6869">
      <c r="B6869" s="223" t="s">
        <v>200</v>
      </c>
      <c r="C6869" s="223"/>
      <c r="D6869" s="316"/>
      <c r="H6869" s="223">
        <v>0.0</v>
      </c>
      <c r="K6869" s="317"/>
    </row>
    <row r="6870">
      <c r="B6870" s="223" t="s">
        <v>200</v>
      </c>
      <c r="C6870" s="223"/>
      <c r="D6870" s="316"/>
      <c r="H6870" s="223">
        <v>0.0</v>
      </c>
      <c r="K6870" s="317"/>
    </row>
    <row r="6871">
      <c r="B6871" s="223" t="s">
        <v>200</v>
      </c>
      <c r="C6871" s="223"/>
      <c r="D6871" s="316"/>
      <c r="H6871" s="223">
        <v>0.0</v>
      </c>
      <c r="K6871" s="317"/>
    </row>
    <row r="6872">
      <c r="B6872" s="223" t="s">
        <v>200</v>
      </c>
      <c r="C6872" s="223"/>
      <c r="D6872" s="316"/>
      <c r="H6872" s="223">
        <v>0.0</v>
      </c>
      <c r="K6872" s="317"/>
    </row>
    <row r="6873">
      <c r="B6873" s="223" t="s">
        <v>200</v>
      </c>
      <c r="C6873" s="223"/>
      <c r="D6873" s="316"/>
      <c r="H6873" s="223">
        <v>0.0</v>
      </c>
      <c r="K6873" s="317"/>
    </row>
    <row r="6874">
      <c r="B6874" s="223" t="s">
        <v>200</v>
      </c>
      <c r="C6874" s="223"/>
      <c r="D6874" s="316"/>
      <c r="H6874" s="223">
        <v>0.0</v>
      </c>
      <c r="K6874" s="317"/>
    </row>
    <row r="6875">
      <c r="B6875" s="223" t="s">
        <v>200</v>
      </c>
      <c r="C6875" s="223"/>
      <c r="D6875" s="316"/>
      <c r="H6875" s="223">
        <v>0.0</v>
      </c>
      <c r="K6875" s="317"/>
    </row>
    <row r="6876">
      <c r="B6876" s="223" t="s">
        <v>200</v>
      </c>
      <c r="C6876" s="223"/>
      <c r="D6876" s="316"/>
      <c r="H6876" s="223">
        <v>0.0</v>
      </c>
      <c r="K6876" s="317"/>
    </row>
    <row r="6877">
      <c r="B6877" s="223" t="s">
        <v>200</v>
      </c>
      <c r="C6877" s="223"/>
      <c r="D6877" s="316"/>
      <c r="H6877" s="223">
        <v>0.0</v>
      </c>
      <c r="K6877" s="317"/>
    </row>
    <row r="6878">
      <c r="B6878" s="223" t="s">
        <v>200</v>
      </c>
      <c r="C6878" s="223"/>
      <c r="D6878" s="316"/>
      <c r="H6878" s="223">
        <v>0.0</v>
      </c>
      <c r="K6878" s="317"/>
    </row>
    <row r="6879">
      <c r="B6879" s="223" t="s">
        <v>200</v>
      </c>
      <c r="C6879" s="223"/>
      <c r="D6879" s="316"/>
      <c r="H6879" s="223">
        <v>0.0</v>
      </c>
      <c r="K6879" s="317"/>
    </row>
    <row r="6880">
      <c r="B6880" s="223" t="s">
        <v>200</v>
      </c>
      <c r="C6880" s="223"/>
      <c r="D6880" s="316"/>
      <c r="H6880" s="223">
        <v>0.0</v>
      </c>
      <c r="K6880" s="317"/>
    </row>
    <row r="6881">
      <c r="B6881" s="223" t="s">
        <v>200</v>
      </c>
      <c r="C6881" s="223"/>
      <c r="D6881" s="316"/>
      <c r="H6881" s="223">
        <v>0.0</v>
      </c>
      <c r="K6881" s="317"/>
    </row>
    <row r="6882">
      <c r="B6882" s="223" t="s">
        <v>200</v>
      </c>
      <c r="C6882" s="223"/>
      <c r="D6882" s="316"/>
      <c r="H6882" s="223">
        <v>0.0</v>
      </c>
      <c r="K6882" s="317"/>
    </row>
    <row r="6883">
      <c r="B6883" s="223" t="s">
        <v>200</v>
      </c>
      <c r="C6883" s="223"/>
      <c r="D6883" s="316"/>
      <c r="H6883" s="223">
        <v>0.0</v>
      </c>
      <c r="K6883" s="317"/>
    </row>
    <row r="6884">
      <c r="B6884" s="223" t="s">
        <v>200</v>
      </c>
      <c r="C6884" s="223"/>
      <c r="D6884" s="316"/>
      <c r="H6884" s="223">
        <v>0.0</v>
      </c>
      <c r="K6884" s="317"/>
    </row>
    <row r="6885">
      <c r="B6885" s="223" t="s">
        <v>200</v>
      </c>
      <c r="C6885" s="223"/>
      <c r="D6885" s="316"/>
      <c r="H6885" s="223">
        <v>0.0</v>
      </c>
      <c r="K6885" s="317"/>
    </row>
    <row r="6886">
      <c r="B6886" s="223" t="s">
        <v>200</v>
      </c>
      <c r="C6886" s="223"/>
      <c r="D6886" s="316"/>
      <c r="H6886" s="223">
        <v>0.0</v>
      </c>
      <c r="K6886" s="317"/>
    </row>
    <row r="6887">
      <c r="B6887" s="223" t="s">
        <v>200</v>
      </c>
      <c r="C6887" s="223"/>
      <c r="D6887" s="316"/>
      <c r="H6887" s="223">
        <v>0.0</v>
      </c>
      <c r="K6887" s="317"/>
    </row>
    <row r="6888">
      <c r="B6888" s="223" t="s">
        <v>200</v>
      </c>
      <c r="C6888" s="223"/>
      <c r="D6888" s="316"/>
      <c r="H6888" s="223">
        <v>0.0</v>
      </c>
      <c r="K6888" s="317"/>
    </row>
    <row r="6889">
      <c r="B6889" s="223" t="s">
        <v>200</v>
      </c>
      <c r="C6889" s="223"/>
      <c r="D6889" s="316"/>
      <c r="H6889" s="223">
        <v>0.0</v>
      </c>
      <c r="K6889" s="317"/>
    </row>
    <row r="6890">
      <c r="B6890" s="223" t="s">
        <v>200</v>
      </c>
      <c r="C6890" s="223"/>
      <c r="D6890" s="316"/>
      <c r="H6890" s="223">
        <v>0.0</v>
      </c>
      <c r="K6890" s="317"/>
    </row>
    <row r="6891">
      <c r="B6891" s="223" t="s">
        <v>200</v>
      </c>
      <c r="C6891" s="223"/>
      <c r="D6891" s="316"/>
      <c r="H6891" s="223">
        <v>0.0</v>
      </c>
      <c r="K6891" s="317"/>
    </row>
    <row r="6892">
      <c r="B6892" s="223" t="s">
        <v>200</v>
      </c>
      <c r="C6892" s="223"/>
      <c r="D6892" s="316"/>
      <c r="H6892" s="223">
        <v>0.0</v>
      </c>
      <c r="K6892" s="317"/>
    </row>
    <row r="6893">
      <c r="B6893" s="223" t="s">
        <v>200</v>
      </c>
      <c r="C6893" s="223"/>
      <c r="D6893" s="316"/>
      <c r="H6893" s="223">
        <v>0.0</v>
      </c>
      <c r="K6893" s="317"/>
    </row>
    <row r="6894">
      <c r="B6894" s="223" t="s">
        <v>200</v>
      </c>
      <c r="C6894" s="223"/>
      <c r="D6894" s="316"/>
      <c r="H6894" s="223">
        <v>0.0</v>
      </c>
      <c r="K6894" s="317"/>
    </row>
    <row r="6895">
      <c r="B6895" s="223" t="s">
        <v>200</v>
      </c>
      <c r="C6895" s="223"/>
      <c r="D6895" s="316"/>
      <c r="H6895" s="223">
        <v>0.0</v>
      </c>
      <c r="K6895" s="317"/>
    </row>
    <row r="6896">
      <c r="B6896" s="223" t="s">
        <v>200</v>
      </c>
      <c r="C6896" s="223"/>
      <c r="D6896" s="316"/>
      <c r="H6896" s="223">
        <v>0.0</v>
      </c>
      <c r="K6896" s="317"/>
    </row>
    <row r="6897">
      <c r="B6897" s="223" t="s">
        <v>200</v>
      </c>
      <c r="C6897" s="223"/>
      <c r="D6897" s="316"/>
      <c r="H6897" s="223">
        <v>0.0</v>
      </c>
      <c r="K6897" s="317"/>
    </row>
    <row r="6898">
      <c r="B6898" s="223" t="s">
        <v>200</v>
      </c>
      <c r="C6898" s="223"/>
      <c r="D6898" s="316"/>
      <c r="H6898" s="223">
        <v>0.0</v>
      </c>
      <c r="K6898" s="317"/>
    </row>
    <row r="6899">
      <c r="B6899" s="223" t="s">
        <v>200</v>
      </c>
      <c r="C6899" s="223"/>
      <c r="D6899" s="316"/>
      <c r="H6899" s="223">
        <v>0.0</v>
      </c>
      <c r="K6899" s="317"/>
    </row>
    <row r="6900">
      <c r="B6900" s="223" t="s">
        <v>200</v>
      </c>
      <c r="C6900" s="223"/>
      <c r="D6900" s="316"/>
      <c r="H6900" s="223">
        <v>0.0</v>
      </c>
      <c r="K6900" s="317"/>
    </row>
    <row r="6901">
      <c r="B6901" s="223" t="s">
        <v>200</v>
      </c>
      <c r="C6901" s="223"/>
      <c r="D6901" s="316"/>
      <c r="H6901" s="223">
        <v>0.0</v>
      </c>
      <c r="K6901" s="317"/>
    </row>
    <row r="6902">
      <c r="B6902" s="223" t="s">
        <v>200</v>
      </c>
      <c r="C6902" s="223"/>
      <c r="D6902" s="316"/>
      <c r="H6902" s="223">
        <v>0.0</v>
      </c>
      <c r="K6902" s="317"/>
    </row>
    <row r="6903">
      <c r="B6903" s="223" t="s">
        <v>200</v>
      </c>
      <c r="C6903" s="223"/>
      <c r="D6903" s="316"/>
      <c r="H6903" s="223">
        <v>0.0</v>
      </c>
      <c r="K6903" s="317"/>
    </row>
    <row r="6904">
      <c r="B6904" s="223" t="s">
        <v>200</v>
      </c>
      <c r="C6904" s="223"/>
      <c r="D6904" s="316"/>
      <c r="H6904" s="223">
        <v>0.0</v>
      </c>
      <c r="K6904" s="317"/>
    </row>
    <row r="6905">
      <c r="B6905" s="223" t="s">
        <v>200</v>
      </c>
      <c r="C6905" s="223"/>
      <c r="D6905" s="316"/>
      <c r="H6905" s="223">
        <v>0.0</v>
      </c>
      <c r="K6905" s="317"/>
    </row>
    <row r="6906">
      <c r="B6906" s="223" t="s">
        <v>200</v>
      </c>
      <c r="C6906" s="223"/>
      <c r="D6906" s="316"/>
      <c r="H6906" s="223">
        <v>0.0</v>
      </c>
      <c r="K6906" s="317"/>
    </row>
    <row r="6907">
      <c r="B6907" s="223" t="s">
        <v>200</v>
      </c>
      <c r="C6907" s="223"/>
      <c r="D6907" s="316"/>
      <c r="H6907" s="223">
        <v>0.0</v>
      </c>
      <c r="K6907" s="317"/>
    </row>
    <row r="6908">
      <c r="B6908" s="223" t="s">
        <v>200</v>
      </c>
      <c r="C6908" s="223"/>
      <c r="D6908" s="316"/>
      <c r="H6908" s="223">
        <v>0.0</v>
      </c>
      <c r="K6908" s="317"/>
    </row>
    <row r="6909">
      <c r="B6909" s="223" t="s">
        <v>200</v>
      </c>
      <c r="C6909" s="223"/>
      <c r="D6909" s="316"/>
      <c r="H6909" s="223">
        <v>0.0</v>
      </c>
      <c r="K6909" s="317"/>
    </row>
    <row r="6910">
      <c r="B6910" s="223" t="s">
        <v>200</v>
      </c>
      <c r="C6910" s="223"/>
      <c r="D6910" s="316"/>
      <c r="H6910" s="223">
        <v>0.0</v>
      </c>
      <c r="K6910" s="317"/>
    </row>
    <row r="6911">
      <c r="B6911" s="223" t="s">
        <v>200</v>
      </c>
      <c r="C6911" s="223"/>
      <c r="D6911" s="316"/>
      <c r="H6911" s="223">
        <v>0.0</v>
      </c>
      <c r="K6911" s="317"/>
    </row>
    <row r="6912">
      <c r="B6912" s="223" t="s">
        <v>200</v>
      </c>
      <c r="C6912" s="223"/>
      <c r="D6912" s="316"/>
      <c r="H6912" s="223">
        <v>0.0</v>
      </c>
      <c r="K6912" s="317"/>
    </row>
    <row r="6913">
      <c r="B6913" s="223" t="s">
        <v>200</v>
      </c>
      <c r="C6913" s="223"/>
      <c r="D6913" s="316"/>
      <c r="H6913" s="223">
        <v>0.0</v>
      </c>
      <c r="K6913" s="317"/>
    </row>
    <row r="6914">
      <c r="B6914" s="223" t="s">
        <v>200</v>
      </c>
      <c r="C6914" s="223"/>
      <c r="D6914" s="316"/>
      <c r="H6914" s="223">
        <v>0.0</v>
      </c>
      <c r="K6914" s="317"/>
    </row>
    <row r="6915">
      <c r="B6915" s="223" t="s">
        <v>200</v>
      </c>
      <c r="C6915" s="223"/>
      <c r="D6915" s="316"/>
      <c r="H6915" s="223">
        <v>0.0</v>
      </c>
      <c r="K6915" s="317"/>
    </row>
    <row r="6916">
      <c r="B6916" s="223" t="s">
        <v>200</v>
      </c>
      <c r="C6916" s="223"/>
      <c r="D6916" s="316"/>
      <c r="H6916" s="223">
        <v>0.0</v>
      </c>
      <c r="K6916" s="317"/>
    </row>
    <row r="6917">
      <c r="B6917" s="223" t="s">
        <v>200</v>
      </c>
      <c r="C6917" s="223"/>
      <c r="D6917" s="316"/>
      <c r="H6917" s="223">
        <v>0.0</v>
      </c>
      <c r="K6917" s="317"/>
    </row>
    <row r="6918">
      <c r="B6918" s="223" t="s">
        <v>200</v>
      </c>
      <c r="C6918" s="223"/>
      <c r="D6918" s="316"/>
      <c r="H6918" s="223">
        <v>0.0</v>
      </c>
      <c r="K6918" s="317"/>
    </row>
    <row r="6919">
      <c r="B6919" s="223" t="s">
        <v>200</v>
      </c>
      <c r="C6919" s="223"/>
      <c r="D6919" s="316"/>
      <c r="H6919" s="223">
        <v>0.0</v>
      </c>
      <c r="K6919" s="317"/>
    </row>
    <row r="6920">
      <c r="B6920" s="223" t="s">
        <v>200</v>
      </c>
      <c r="C6920" s="223"/>
      <c r="D6920" s="316"/>
      <c r="H6920" s="223">
        <v>0.0</v>
      </c>
      <c r="K6920" s="317"/>
    </row>
    <row r="6921">
      <c r="B6921" s="223" t="s">
        <v>200</v>
      </c>
      <c r="C6921" s="223"/>
      <c r="D6921" s="316"/>
      <c r="H6921" s="223">
        <v>0.0</v>
      </c>
      <c r="K6921" s="317"/>
    </row>
    <row r="6922">
      <c r="B6922" s="223" t="s">
        <v>200</v>
      </c>
      <c r="C6922" s="223"/>
      <c r="D6922" s="316"/>
      <c r="H6922" s="223">
        <v>0.0</v>
      </c>
      <c r="K6922" s="317"/>
    </row>
    <row r="6923">
      <c r="B6923" s="223" t="s">
        <v>200</v>
      </c>
      <c r="C6923" s="223"/>
      <c r="D6923" s="316"/>
      <c r="H6923" s="223">
        <v>0.0</v>
      </c>
      <c r="K6923" s="317"/>
    </row>
    <row r="6924">
      <c r="B6924" s="223" t="s">
        <v>200</v>
      </c>
      <c r="C6924" s="223"/>
      <c r="D6924" s="316"/>
      <c r="H6924" s="223">
        <v>0.0</v>
      </c>
      <c r="K6924" s="317"/>
    </row>
    <row r="6925">
      <c r="B6925" s="223" t="s">
        <v>200</v>
      </c>
      <c r="C6925" s="223"/>
      <c r="D6925" s="316"/>
      <c r="H6925" s="223">
        <v>0.0</v>
      </c>
      <c r="K6925" s="317"/>
    </row>
    <row r="6926">
      <c r="B6926" s="223" t="s">
        <v>200</v>
      </c>
      <c r="C6926" s="223"/>
      <c r="D6926" s="316"/>
      <c r="H6926" s="223">
        <v>0.0</v>
      </c>
      <c r="K6926" s="317"/>
    </row>
    <row r="6927">
      <c r="B6927" s="223" t="s">
        <v>200</v>
      </c>
      <c r="C6927" s="223"/>
      <c r="D6927" s="316"/>
      <c r="H6927" s="223">
        <v>0.0</v>
      </c>
      <c r="K6927" s="317"/>
    </row>
    <row r="6928">
      <c r="B6928" s="223" t="s">
        <v>200</v>
      </c>
      <c r="C6928" s="223"/>
      <c r="D6928" s="316"/>
      <c r="H6928" s="223">
        <v>0.0</v>
      </c>
      <c r="K6928" s="317"/>
    </row>
    <row r="6929">
      <c r="B6929" s="223" t="s">
        <v>200</v>
      </c>
      <c r="C6929" s="223"/>
      <c r="D6929" s="316"/>
      <c r="H6929" s="223">
        <v>0.0</v>
      </c>
      <c r="K6929" s="317"/>
    </row>
    <row r="6930">
      <c r="B6930" s="223" t="s">
        <v>200</v>
      </c>
      <c r="C6930" s="223"/>
      <c r="D6930" s="316"/>
      <c r="H6930" s="223">
        <v>0.0</v>
      </c>
      <c r="K6930" s="317"/>
    </row>
    <row r="6931">
      <c r="B6931" s="223" t="s">
        <v>200</v>
      </c>
      <c r="C6931" s="223"/>
      <c r="D6931" s="316"/>
      <c r="H6931" s="223">
        <v>0.0</v>
      </c>
      <c r="K6931" s="317"/>
    </row>
    <row r="6932">
      <c r="B6932" s="223" t="s">
        <v>200</v>
      </c>
      <c r="C6932" s="223"/>
      <c r="D6932" s="316"/>
      <c r="H6932" s="223">
        <v>0.0</v>
      </c>
      <c r="K6932" s="317"/>
    </row>
    <row r="6933">
      <c r="B6933" s="223" t="s">
        <v>200</v>
      </c>
      <c r="C6933" s="223"/>
      <c r="D6933" s="316"/>
      <c r="H6933" s="223">
        <v>0.0</v>
      </c>
      <c r="K6933" s="317"/>
    </row>
    <row r="6934">
      <c r="B6934" s="223" t="s">
        <v>200</v>
      </c>
      <c r="C6934" s="223"/>
      <c r="D6934" s="316"/>
      <c r="H6934" s="223">
        <v>0.0</v>
      </c>
      <c r="K6934" s="317"/>
    </row>
    <row r="6935">
      <c r="B6935" s="223" t="s">
        <v>200</v>
      </c>
      <c r="C6935" s="223"/>
      <c r="D6935" s="316"/>
      <c r="H6935" s="223">
        <v>0.0</v>
      </c>
      <c r="K6935" s="317"/>
    </row>
    <row r="6936">
      <c r="B6936" s="223" t="s">
        <v>200</v>
      </c>
      <c r="C6936" s="223"/>
      <c r="D6936" s="316"/>
      <c r="H6936" s="223">
        <v>0.0</v>
      </c>
      <c r="K6936" s="317"/>
    </row>
    <row r="6937">
      <c r="B6937" s="223" t="s">
        <v>200</v>
      </c>
      <c r="C6937" s="223"/>
      <c r="D6937" s="316"/>
      <c r="H6937" s="223">
        <v>0.0</v>
      </c>
      <c r="K6937" s="317"/>
    </row>
    <row r="6938">
      <c r="B6938" s="223" t="s">
        <v>200</v>
      </c>
      <c r="C6938" s="223"/>
      <c r="D6938" s="316"/>
      <c r="H6938" s="223">
        <v>0.0</v>
      </c>
      <c r="K6938" s="317"/>
    </row>
    <row r="6939">
      <c r="B6939" s="223" t="s">
        <v>200</v>
      </c>
      <c r="C6939" s="223"/>
      <c r="D6939" s="316"/>
      <c r="H6939" s="223">
        <v>0.0</v>
      </c>
      <c r="K6939" s="317"/>
    </row>
    <row r="6940">
      <c r="B6940" s="223" t="s">
        <v>200</v>
      </c>
      <c r="C6940" s="223"/>
      <c r="D6940" s="316"/>
      <c r="H6940" s="223">
        <v>0.0</v>
      </c>
      <c r="K6940" s="317"/>
    </row>
    <row r="6941">
      <c r="B6941" s="223" t="s">
        <v>200</v>
      </c>
      <c r="C6941" s="223"/>
      <c r="D6941" s="316"/>
      <c r="H6941" s="223">
        <v>0.0</v>
      </c>
      <c r="K6941" s="317"/>
    </row>
    <row r="6942">
      <c r="B6942" s="223" t="s">
        <v>200</v>
      </c>
      <c r="C6942" s="223"/>
      <c r="D6942" s="316"/>
      <c r="H6942" s="223">
        <v>0.0</v>
      </c>
      <c r="K6942" s="317"/>
    </row>
    <row r="6943">
      <c r="B6943" s="223" t="s">
        <v>200</v>
      </c>
      <c r="C6943" s="223"/>
      <c r="D6943" s="316"/>
      <c r="H6943" s="223">
        <v>0.0</v>
      </c>
      <c r="K6943" s="317"/>
    </row>
    <row r="6944">
      <c r="B6944" s="223" t="s">
        <v>200</v>
      </c>
      <c r="C6944" s="223"/>
      <c r="D6944" s="316"/>
      <c r="H6944" s="223">
        <v>0.0</v>
      </c>
      <c r="K6944" s="317"/>
    </row>
    <row r="6945">
      <c r="B6945" s="223" t="s">
        <v>200</v>
      </c>
      <c r="C6945" s="223"/>
      <c r="D6945" s="316"/>
      <c r="H6945" s="223">
        <v>0.0</v>
      </c>
      <c r="K6945" s="317"/>
    </row>
    <row r="6946">
      <c r="B6946" s="223" t="s">
        <v>200</v>
      </c>
      <c r="C6946" s="223"/>
      <c r="D6946" s="316"/>
      <c r="H6946" s="223">
        <v>0.0</v>
      </c>
      <c r="K6946" s="317"/>
    </row>
    <row r="6947">
      <c r="B6947" s="223" t="s">
        <v>200</v>
      </c>
      <c r="C6947" s="223"/>
      <c r="D6947" s="316"/>
      <c r="H6947" s="223">
        <v>0.0</v>
      </c>
      <c r="K6947" s="317"/>
    </row>
    <row r="6948">
      <c r="B6948" s="223" t="s">
        <v>200</v>
      </c>
      <c r="C6948" s="223"/>
      <c r="D6948" s="316"/>
      <c r="H6948" s="223">
        <v>0.0</v>
      </c>
      <c r="K6948" s="317"/>
    </row>
    <row r="6949">
      <c r="B6949" s="223" t="s">
        <v>200</v>
      </c>
      <c r="C6949" s="223"/>
      <c r="D6949" s="316"/>
      <c r="H6949" s="223">
        <v>0.0</v>
      </c>
      <c r="K6949" s="317"/>
    </row>
    <row r="6950">
      <c r="B6950" s="223" t="s">
        <v>200</v>
      </c>
      <c r="C6950" s="223"/>
      <c r="D6950" s="316"/>
      <c r="H6950" s="223">
        <v>0.0</v>
      </c>
      <c r="K6950" s="317"/>
    </row>
    <row r="6951">
      <c r="B6951" s="223" t="s">
        <v>200</v>
      </c>
      <c r="C6951" s="223"/>
      <c r="D6951" s="316"/>
      <c r="H6951" s="223">
        <v>0.0</v>
      </c>
      <c r="K6951" s="317"/>
    </row>
    <row r="6952">
      <c r="B6952" s="223" t="s">
        <v>200</v>
      </c>
      <c r="C6952" s="223"/>
      <c r="D6952" s="316"/>
      <c r="H6952" s="223">
        <v>0.0</v>
      </c>
      <c r="K6952" s="317"/>
    </row>
    <row r="6953">
      <c r="B6953" s="223" t="s">
        <v>200</v>
      </c>
      <c r="C6953" s="223"/>
      <c r="D6953" s="316"/>
      <c r="H6953" s="223">
        <v>0.0</v>
      </c>
      <c r="K6953" s="317"/>
    </row>
    <row r="6954">
      <c r="B6954" s="223" t="s">
        <v>200</v>
      </c>
      <c r="C6954" s="223"/>
      <c r="D6954" s="316"/>
      <c r="H6954" s="223">
        <v>0.0</v>
      </c>
      <c r="K6954" s="317"/>
    </row>
    <row r="6955">
      <c r="B6955" s="223" t="s">
        <v>200</v>
      </c>
      <c r="C6955" s="223"/>
      <c r="D6955" s="316"/>
      <c r="H6955" s="223">
        <v>0.0</v>
      </c>
      <c r="K6955" s="317"/>
    </row>
    <row r="6956">
      <c r="B6956" s="223" t="s">
        <v>200</v>
      </c>
      <c r="C6956" s="223"/>
      <c r="D6956" s="316"/>
      <c r="H6956" s="223">
        <v>0.0</v>
      </c>
      <c r="K6956" s="317"/>
    </row>
    <row r="6957">
      <c r="B6957" s="223" t="s">
        <v>200</v>
      </c>
      <c r="C6957" s="223"/>
      <c r="D6957" s="316"/>
      <c r="H6957" s="223">
        <v>0.0</v>
      </c>
      <c r="K6957" s="317"/>
    </row>
    <row r="6958">
      <c r="B6958" s="223" t="s">
        <v>200</v>
      </c>
      <c r="C6958" s="223"/>
      <c r="D6958" s="316"/>
      <c r="H6958" s="223">
        <v>0.0</v>
      </c>
      <c r="K6958" s="317"/>
    </row>
    <row r="6959">
      <c r="B6959" s="223" t="s">
        <v>200</v>
      </c>
      <c r="C6959" s="223"/>
      <c r="D6959" s="316"/>
      <c r="H6959" s="223">
        <v>0.0</v>
      </c>
      <c r="K6959" s="317"/>
    </row>
    <row r="6960">
      <c r="B6960" s="223" t="s">
        <v>200</v>
      </c>
      <c r="C6960" s="223"/>
      <c r="D6960" s="316"/>
      <c r="H6960" s="223">
        <v>0.0</v>
      </c>
      <c r="K6960" s="317"/>
    </row>
    <row r="6961">
      <c r="B6961" s="223" t="s">
        <v>200</v>
      </c>
      <c r="C6961" s="223"/>
      <c r="D6961" s="316"/>
      <c r="H6961" s="223">
        <v>0.0</v>
      </c>
      <c r="K6961" s="317"/>
    </row>
    <row r="6962">
      <c r="B6962" s="223" t="s">
        <v>200</v>
      </c>
      <c r="C6962" s="223"/>
      <c r="D6962" s="316"/>
      <c r="H6962" s="223">
        <v>0.0</v>
      </c>
      <c r="K6962" s="317"/>
    </row>
    <row r="6963">
      <c r="B6963" s="223" t="s">
        <v>200</v>
      </c>
      <c r="C6963" s="223"/>
      <c r="D6963" s="316"/>
      <c r="H6963" s="223">
        <v>0.0</v>
      </c>
      <c r="K6963" s="317"/>
    </row>
    <row r="6964">
      <c r="B6964" s="223" t="s">
        <v>200</v>
      </c>
      <c r="C6964" s="223"/>
      <c r="D6964" s="316"/>
      <c r="H6964" s="223">
        <v>0.0</v>
      </c>
      <c r="K6964" s="317"/>
    </row>
    <row r="6965">
      <c r="B6965" s="223" t="s">
        <v>200</v>
      </c>
      <c r="C6965" s="223"/>
      <c r="D6965" s="316"/>
      <c r="H6965" s="223">
        <v>0.0</v>
      </c>
      <c r="K6965" s="317"/>
    </row>
    <row r="6966">
      <c r="B6966" s="223" t="s">
        <v>200</v>
      </c>
      <c r="C6966" s="223"/>
      <c r="D6966" s="316"/>
      <c r="H6966" s="223">
        <v>0.0</v>
      </c>
      <c r="K6966" s="317"/>
    </row>
    <row r="6967">
      <c r="B6967" s="223" t="s">
        <v>200</v>
      </c>
      <c r="C6967" s="223"/>
      <c r="D6967" s="316"/>
      <c r="H6967" s="223">
        <v>0.0</v>
      </c>
      <c r="K6967" s="317"/>
    </row>
    <row r="6968">
      <c r="B6968" s="223" t="s">
        <v>200</v>
      </c>
      <c r="C6968" s="223"/>
      <c r="D6968" s="316"/>
      <c r="H6968" s="223">
        <v>0.0</v>
      </c>
      <c r="K6968" s="317"/>
    </row>
    <row r="6969">
      <c r="B6969" s="223" t="s">
        <v>200</v>
      </c>
      <c r="C6969" s="223"/>
      <c r="D6969" s="316"/>
      <c r="H6969" s="223">
        <v>0.0</v>
      </c>
      <c r="K6969" s="317"/>
    </row>
    <row r="6970">
      <c r="B6970" s="223" t="s">
        <v>200</v>
      </c>
      <c r="C6970" s="223"/>
      <c r="D6970" s="316"/>
      <c r="H6970" s="223">
        <v>0.0</v>
      </c>
      <c r="K6970" s="317"/>
    </row>
    <row r="6971">
      <c r="B6971" s="223" t="s">
        <v>200</v>
      </c>
      <c r="C6971" s="223"/>
      <c r="D6971" s="316"/>
      <c r="H6971" s="223">
        <v>0.0</v>
      </c>
      <c r="K6971" s="317"/>
    </row>
    <row r="6972">
      <c r="B6972" s="223" t="s">
        <v>200</v>
      </c>
      <c r="C6972" s="223"/>
      <c r="D6972" s="316"/>
      <c r="H6972" s="223">
        <v>0.0</v>
      </c>
      <c r="K6972" s="317"/>
    </row>
    <row r="6973">
      <c r="B6973" s="223" t="s">
        <v>200</v>
      </c>
      <c r="C6973" s="223"/>
      <c r="D6973" s="316"/>
      <c r="H6973" s="223">
        <v>0.0</v>
      </c>
      <c r="K6973" s="317"/>
    </row>
    <row r="6974">
      <c r="B6974" s="223" t="s">
        <v>200</v>
      </c>
      <c r="C6974" s="223"/>
      <c r="D6974" s="316"/>
      <c r="H6974" s="223">
        <v>0.0</v>
      </c>
      <c r="K6974" s="317"/>
    </row>
    <row r="6975">
      <c r="B6975" s="223" t="s">
        <v>200</v>
      </c>
      <c r="C6975" s="223"/>
      <c r="D6975" s="316"/>
      <c r="H6975" s="223">
        <v>0.0</v>
      </c>
      <c r="K6975" s="317"/>
    </row>
    <row r="6976">
      <c r="B6976" s="223" t="s">
        <v>200</v>
      </c>
      <c r="C6976" s="223"/>
      <c r="D6976" s="316"/>
      <c r="H6976" s="223">
        <v>0.0</v>
      </c>
      <c r="K6976" s="317"/>
    </row>
    <row r="6977">
      <c r="B6977" s="223" t="s">
        <v>200</v>
      </c>
      <c r="C6977" s="223"/>
      <c r="D6977" s="316"/>
      <c r="H6977" s="223">
        <v>0.0</v>
      </c>
      <c r="K6977" s="317"/>
    </row>
    <row r="6978">
      <c r="B6978" s="223" t="s">
        <v>200</v>
      </c>
      <c r="C6978" s="223"/>
      <c r="D6978" s="316"/>
      <c r="H6978" s="223">
        <v>0.0</v>
      </c>
      <c r="K6978" s="317"/>
    </row>
    <row r="6979">
      <c r="B6979" s="223" t="s">
        <v>200</v>
      </c>
      <c r="C6979" s="223"/>
      <c r="D6979" s="316"/>
      <c r="H6979" s="223">
        <v>0.0</v>
      </c>
      <c r="K6979" s="317"/>
    </row>
    <row r="6980">
      <c r="B6980" s="223" t="s">
        <v>200</v>
      </c>
      <c r="C6980" s="223"/>
      <c r="D6980" s="316"/>
      <c r="H6980" s="223">
        <v>0.0</v>
      </c>
      <c r="K6980" s="317"/>
    </row>
    <row r="6981">
      <c r="B6981" s="223" t="s">
        <v>200</v>
      </c>
      <c r="C6981" s="223"/>
      <c r="D6981" s="316"/>
      <c r="H6981" s="223">
        <v>0.0</v>
      </c>
      <c r="K6981" s="317"/>
    </row>
    <row r="6982">
      <c r="B6982" s="223" t="s">
        <v>200</v>
      </c>
      <c r="C6982" s="223"/>
      <c r="D6982" s="316"/>
      <c r="H6982" s="223">
        <v>0.0</v>
      </c>
      <c r="K6982" s="317"/>
    </row>
    <row r="6983">
      <c r="B6983" s="223" t="s">
        <v>200</v>
      </c>
      <c r="C6983" s="223"/>
      <c r="D6983" s="316"/>
      <c r="H6983" s="223">
        <v>0.0</v>
      </c>
      <c r="K6983" s="317"/>
    </row>
    <row r="6984">
      <c r="B6984" s="223" t="s">
        <v>200</v>
      </c>
      <c r="C6984" s="223"/>
      <c r="D6984" s="316"/>
      <c r="H6984" s="223">
        <v>0.0</v>
      </c>
      <c r="K6984" s="317"/>
    </row>
    <row r="6985">
      <c r="B6985" s="223" t="s">
        <v>200</v>
      </c>
      <c r="C6985" s="223"/>
      <c r="D6985" s="316"/>
      <c r="H6985" s="223">
        <v>0.0</v>
      </c>
      <c r="K6985" s="317"/>
    </row>
    <row r="6986">
      <c r="B6986" s="223" t="s">
        <v>200</v>
      </c>
      <c r="C6986" s="223"/>
      <c r="D6986" s="316"/>
      <c r="H6986" s="223">
        <v>0.0</v>
      </c>
      <c r="K6986" s="317"/>
    </row>
    <row r="6987">
      <c r="B6987" s="223" t="s">
        <v>200</v>
      </c>
      <c r="C6987" s="223"/>
      <c r="D6987" s="316"/>
      <c r="H6987" s="223">
        <v>0.0</v>
      </c>
      <c r="K6987" s="317"/>
    </row>
    <row r="6988">
      <c r="B6988" s="223" t="s">
        <v>200</v>
      </c>
      <c r="C6988" s="223"/>
      <c r="D6988" s="316"/>
      <c r="H6988" s="223">
        <v>0.0</v>
      </c>
      <c r="K6988" s="317"/>
    </row>
    <row r="6989">
      <c r="B6989" s="223" t="s">
        <v>200</v>
      </c>
      <c r="C6989" s="223"/>
      <c r="D6989" s="316"/>
      <c r="H6989" s="223">
        <v>0.0</v>
      </c>
      <c r="K6989" s="317"/>
    </row>
    <row r="6990">
      <c r="B6990" s="223" t="s">
        <v>200</v>
      </c>
      <c r="C6990" s="223"/>
      <c r="D6990" s="316"/>
      <c r="H6990" s="223">
        <v>0.0</v>
      </c>
      <c r="K6990" s="317"/>
    </row>
    <row r="6991">
      <c r="B6991" s="223" t="s">
        <v>200</v>
      </c>
      <c r="C6991" s="223"/>
      <c r="D6991" s="316"/>
      <c r="H6991" s="223">
        <v>0.0</v>
      </c>
      <c r="K6991" s="317"/>
    </row>
    <row r="6992">
      <c r="B6992" s="223" t="s">
        <v>200</v>
      </c>
      <c r="C6992" s="223"/>
      <c r="D6992" s="316"/>
      <c r="H6992" s="223">
        <v>0.0</v>
      </c>
      <c r="K6992" s="317"/>
    </row>
    <row r="6993">
      <c r="B6993" s="223" t="s">
        <v>200</v>
      </c>
      <c r="C6993" s="223"/>
      <c r="D6993" s="316"/>
      <c r="H6993" s="223">
        <v>0.0</v>
      </c>
      <c r="K6993" s="317"/>
    </row>
    <row r="6994">
      <c r="B6994" s="223" t="s">
        <v>200</v>
      </c>
      <c r="C6994" s="223"/>
      <c r="D6994" s="316"/>
      <c r="H6994" s="223">
        <v>0.0</v>
      </c>
      <c r="K6994" s="317"/>
    </row>
    <row r="6995">
      <c r="B6995" s="223" t="s">
        <v>200</v>
      </c>
      <c r="C6995" s="223"/>
      <c r="D6995" s="316"/>
      <c r="H6995" s="223">
        <v>0.0</v>
      </c>
      <c r="K6995" s="317"/>
    </row>
    <row r="6996">
      <c r="B6996" s="223" t="s">
        <v>200</v>
      </c>
      <c r="C6996" s="223"/>
      <c r="D6996" s="316"/>
      <c r="H6996" s="223">
        <v>0.0</v>
      </c>
      <c r="K6996" s="317"/>
    </row>
    <row r="6997">
      <c r="B6997" s="223" t="s">
        <v>200</v>
      </c>
      <c r="C6997" s="223"/>
      <c r="D6997" s="316"/>
      <c r="H6997" s="223">
        <v>0.0</v>
      </c>
      <c r="K6997" s="317"/>
    </row>
    <row r="6998">
      <c r="B6998" s="223" t="s">
        <v>200</v>
      </c>
      <c r="C6998" s="223"/>
      <c r="D6998" s="316"/>
      <c r="H6998" s="223">
        <v>0.0</v>
      </c>
      <c r="K6998" s="317"/>
    </row>
    <row r="6999">
      <c r="B6999" s="223" t="s">
        <v>200</v>
      </c>
      <c r="C6999" s="223"/>
      <c r="D6999" s="316"/>
      <c r="H6999" s="223">
        <v>0.0</v>
      </c>
      <c r="K6999" s="317"/>
    </row>
    <row r="7000">
      <c r="B7000" s="223" t="s">
        <v>200</v>
      </c>
      <c r="C7000" s="223"/>
      <c r="D7000" s="316"/>
      <c r="H7000" s="223">
        <v>0.0</v>
      </c>
      <c r="K7000" s="317"/>
    </row>
    <row r="7001">
      <c r="B7001" s="223" t="s">
        <v>200</v>
      </c>
      <c r="C7001" s="223"/>
      <c r="D7001" s="316"/>
      <c r="H7001" s="223">
        <v>0.0</v>
      </c>
      <c r="K7001" s="317"/>
    </row>
    <row r="7002">
      <c r="B7002" s="223" t="s">
        <v>200</v>
      </c>
      <c r="C7002" s="223"/>
      <c r="D7002" s="316"/>
      <c r="H7002" s="223">
        <v>0.0</v>
      </c>
      <c r="K7002" s="317"/>
    </row>
    <row r="7003">
      <c r="B7003" s="223" t="s">
        <v>200</v>
      </c>
      <c r="C7003" s="223"/>
      <c r="D7003" s="316"/>
      <c r="H7003" s="223">
        <v>0.0</v>
      </c>
      <c r="K7003" s="317"/>
    </row>
    <row r="7004">
      <c r="B7004" s="223" t="s">
        <v>200</v>
      </c>
      <c r="C7004" s="223"/>
      <c r="D7004" s="316"/>
      <c r="H7004" s="223">
        <v>0.0</v>
      </c>
      <c r="K7004" s="317"/>
    </row>
    <row r="7005">
      <c r="B7005" s="223" t="s">
        <v>200</v>
      </c>
      <c r="C7005" s="223"/>
      <c r="D7005" s="316"/>
      <c r="H7005" s="223">
        <v>0.0</v>
      </c>
      <c r="K7005" s="317"/>
    </row>
    <row r="7006">
      <c r="B7006" s="223" t="s">
        <v>200</v>
      </c>
      <c r="C7006" s="223"/>
      <c r="D7006" s="316"/>
      <c r="H7006" s="223">
        <v>0.0</v>
      </c>
      <c r="K7006" s="317"/>
    </row>
    <row r="7007">
      <c r="B7007" s="223" t="s">
        <v>200</v>
      </c>
      <c r="C7007" s="223"/>
      <c r="D7007" s="316"/>
      <c r="H7007" s="223">
        <v>0.0</v>
      </c>
      <c r="K7007" s="317"/>
    </row>
    <row r="7008">
      <c r="B7008" s="223" t="s">
        <v>200</v>
      </c>
      <c r="C7008" s="223"/>
      <c r="D7008" s="316"/>
      <c r="H7008" s="223">
        <v>0.0</v>
      </c>
      <c r="K7008" s="317"/>
    </row>
    <row r="7009">
      <c r="B7009" s="223" t="s">
        <v>200</v>
      </c>
      <c r="C7009" s="223"/>
      <c r="D7009" s="316"/>
      <c r="H7009" s="223">
        <v>0.0</v>
      </c>
      <c r="K7009" s="317"/>
    </row>
    <row r="7010">
      <c r="B7010" s="223" t="s">
        <v>200</v>
      </c>
      <c r="C7010" s="223"/>
      <c r="D7010" s="316"/>
      <c r="H7010" s="223">
        <v>0.0</v>
      </c>
      <c r="K7010" s="317"/>
    </row>
    <row r="7011">
      <c r="B7011" s="223" t="s">
        <v>200</v>
      </c>
      <c r="C7011" s="223"/>
      <c r="D7011" s="316"/>
      <c r="H7011" s="223">
        <v>0.0</v>
      </c>
      <c r="K7011" s="317"/>
    </row>
    <row r="7012">
      <c r="B7012" s="223" t="s">
        <v>200</v>
      </c>
      <c r="C7012" s="223"/>
      <c r="D7012" s="316"/>
      <c r="H7012" s="223">
        <v>0.0</v>
      </c>
      <c r="K7012" s="317"/>
    </row>
    <row r="7013">
      <c r="B7013" s="223" t="s">
        <v>200</v>
      </c>
      <c r="C7013" s="223"/>
      <c r="D7013" s="316"/>
      <c r="H7013" s="223">
        <v>0.0</v>
      </c>
      <c r="K7013" s="317"/>
    </row>
    <row r="7014">
      <c r="B7014" s="223" t="s">
        <v>200</v>
      </c>
      <c r="C7014" s="223"/>
      <c r="D7014" s="316"/>
      <c r="H7014" s="223">
        <v>0.0</v>
      </c>
      <c r="K7014" s="317"/>
    </row>
    <row r="7015">
      <c r="B7015" s="223" t="s">
        <v>200</v>
      </c>
      <c r="C7015" s="223"/>
      <c r="D7015" s="316"/>
      <c r="H7015" s="223">
        <v>0.0</v>
      </c>
      <c r="K7015" s="317"/>
    </row>
    <row r="7016">
      <c r="B7016" s="223" t="s">
        <v>200</v>
      </c>
      <c r="C7016" s="223"/>
      <c r="D7016" s="316"/>
      <c r="H7016" s="223">
        <v>0.0</v>
      </c>
      <c r="K7016" s="317"/>
    </row>
    <row r="7017">
      <c r="B7017" s="223" t="s">
        <v>200</v>
      </c>
      <c r="C7017" s="223"/>
      <c r="D7017" s="316"/>
      <c r="H7017" s="223">
        <v>0.0</v>
      </c>
      <c r="K7017" s="317"/>
    </row>
    <row r="7018">
      <c r="B7018" s="223" t="s">
        <v>200</v>
      </c>
      <c r="C7018" s="223"/>
      <c r="D7018" s="316"/>
      <c r="H7018" s="223">
        <v>0.0</v>
      </c>
      <c r="K7018" s="317"/>
    </row>
    <row r="7019">
      <c r="B7019" s="223" t="s">
        <v>200</v>
      </c>
      <c r="C7019" s="223"/>
      <c r="D7019" s="316"/>
      <c r="H7019" s="223">
        <v>0.0</v>
      </c>
      <c r="K7019" s="317"/>
    </row>
    <row r="7020">
      <c r="B7020" s="223" t="s">
        <v>200</v>
      </c>
      <c r="C7020" s="223"/>
      <c r="D7020" s="316"/>
      <c r="H7020" s="223">
        <v>0.0</v>
      </c>
      <c r="K7020" s="317"/>
    </row>
    <row r="7021">
      <c r="B7021" s="223" t="s">
        <v>200</v>
      </c>
      <c r="C7021" s="223"/>
      <c r="D7021" s="316"/>
      <c r="H7021" s="223">
        <v>0.0</v>
      </c>
      <c r="K7021" s="317"/>
    </row>
    <row r="7022">
      <c r="B7022" s="223" t="s">
        <v>200</v>
      </c>
      <c r="C7022" s="223"/>
      <c r="D7022" s="316"/>
      <c r="H7022" s="223">
        <v>0.0</v>
      </c>
      <c r="K7022" s="317"/>
    </row>
    <row r="7023">
      <c r="B7023" s="223" t="s">
        <v>200</v>
      </c>
      <c r="C7023" s="223"/>
      <c r="D7023" s="316"/>
      <c r="H7023" s="223">
        <v>0.0</v>
      </c>
      <c r="K7023" s="317"/>
    </row>
    <row r="7024">
      <c r="B7024" s="223" t="s">
        <v>200</v>
      </c>
      <c r="C7024" s="223"/>
      <c r="D7024" s="316"/>
      <c r="H7024" s="223">
        <v>0.0</v>
      </c>
      <c r="K7024" s="317"/>
    </row>
    <row r="7025">
      <c r="B7025" s="223" t="s">
        <v>200</v>
      </c>
      <c r="C7025" s="223"/>
      <c r="D7025" s="316"/>
      <c r="H7025" s="223">
        <v>0.0</v>
      </c>
      <c r="K7025" s="317"/>
    </row>
    <row r="7026">
      <c r="B7026" s="223" t="s">
        <v>200</v>
      </c>
      <c r="C7026" s="223"/>
      <c r="D7026" s="316"/>
      <c r="H7026" s="223">
        <v>0.0</v>
      </c>
      <c r="K7026" s="317"/>
    </row>
    <row r="7027">
      <c r="B7027" s="223" t="s">
        <v>200</v>
      </c>
      <c r="C7027" s="223"/>
      <c r="D7027" s="316"/>
      <c r="H7027" s="223">
        <v>0.0</v>
      </c>
      <c r="K7027" s="317"/>
    </row>
    <row r="7028">
      <c r="B7028" s="223" t="s">
        <v>200</v>
      </c>
      <c r="C7028" s="223"/>
      <c r="D7028" s="316"/>
      <c r="H7028" s="223">
        <v>0.0</v>
      </c>
      <c r="K7028" s="317"/>
    </row>
    <row r="7029">
      <c r="B7029" s="223" t="s">
        <v>200</v>
      </c>
      <c r="C7029" s="223"/>
      <c r="D7029" s="316"/>
      <c r="H7029" s="223">
        <v>0.0</v>
      </c>
      <c r="K7029" s="317"/>
    </row>
    <row r="7030">
      <c r="B7030" s="223" t="s">
        <v>200</v>
      </c>
      <c r="C7030" s="223"/>
      <c r="D7030" s="316"/>
      <c r="H7030" s="223">
        <v>0.0</v>
      </c>
      <c r="K7030" s="317"/>
    </row>
    <row r="7031">
      <c r="B7031" s="223" t="s">
        <v>200</v>
      </c>
      <c r="C7031" s="223"/>
      <c r="D7031" s="316"/>
      <c r="H7031" s="223">
        <v>0.0</v>
      </c>
      <c r="K7031" s="317"/>
    </row>
    <row r="7032">
      <c r="B7032" s="223" t="s">
        <v>200</v>
      </c>
      <c r="C7032" s="223"/>
      <c r="D7032" s="316"/>
      <c r="H7032" s="223">
        <v>0.0</v>
      </c>
      <c r="K7032" s="317"/>
    </row>
    <row r="7033">
      <c r="B7033" s="223" t="s">
        <v>200</v>
      </c>
      <c r="C7033" s="223"/>
      <c r="D7033" s="316"/>
      <c r="H7033" s="223">
        <v>0.0</v>
      </c>
      <c r="K7033" s="317"/>
    </row>
    <row r="7034">
      <c r="B7034" s="223" t="s">
        <v>200</v>
      </c>
      <c r="C7034" s="223"/>
      <c r="D7034" s="316"/>
      <c r="H7034" s="223">
        <v>0.0</v>
      </c>
      <c r="K7034" s="317"/>
    </row>
    <row r="7035">
      <c r="B7035" s="223" t="s">
        <v>200</v>
      </c>
      <c r="C7035" s="223"/>
      <c r="D7035" s="316"/>
      <c r="H7035" s="223">
        <v>0.0</v>
      </c>
      <c r="K7035" s="317"/>
    </row>
    <row r="7036">
      <c r="B7036" s="223" t="s">
        <v>200</v>
      </c>
      <c r="C7036" s="223"/>
      <c r="D7036" s="316"/>
      <c r="H7036" s="223">
        <v>0.0</v>
      </c>
      <c r="K7036" s="317"/>
    </row>
    <row r="7037">
      <c r="B7037" s="223" t="s">
        <v>200</v>
      </c>
      <c r="C7037" s="223"/>
      <c r="D7037" s="316"/>
      <c r="H7037" s="223">
        <v>0.0</v>
      </c>
      <c r="K7037" s="317"/>
    </row>
    <row r="7038">
      <c r="B7038" s="223" t="s">
        <v>200</v>
      </c>
      <c r="C7038" s="223"/>
      <c r="D7038" s="316"/>
      <c r="H7038" s="223">
        <v>0.0</v>
      </c>
      <c r="K7038" s="317"/>
    </row>
    <row r="7039">
      <c r="B7039" s="223" t="s">
        <v>200</v>
      </c>
      <c r="C7039" s="223"/>
      <c r="D7039" s="316"/>
      <c r="H7039" s="223">
        <v>0.0</v>
      </c>
      <c r="K7039" s="317"/>
    </row>
    <row r="7040">
      <c r="B7040" s="223" t="s">
        <v>200</v>
      </c>
      <c r="C7040" s="223"/>
      <c r="D7040" s="316"/>
      <c r="H7040" s="223">
        <v>0.0</v>
      </c>
      <c r="K7040" s="317"/>
    </row>
    <row r="7041">
      <c r="B7041" s="223" t="s">
        <v>200</v>
      </c>
      <c r="C7041" s="223"/>
      <c r="D7041" s="316"/>
      <c r="H7041" s="223">
        <v>0.0</v>
      </c>
      <c r="K7041" s="317"/>
    </row>
    <row r="7042">
      <c r="B7042" s="223" t="s">
        <v>200</v>
      </c>
      <c r="C7042" s="223"/>
      <c r="D7042" s="316"/>
      <c r="H7042" s="223">
        <v>0.0</v>
      </c>
      <c r="K7042" s="317"/>
    </row>
    <row r="7043">
      <c r="B7043" s="223" t="s">
        <v>200</v>
      </c>
      <c r="C7043" s="223"/>
      <c r="D7043" s="316"/>
      <c r="H7043" s="223">
        <v>0.0</v>
      </c>
      <c r="K7043" s="317"/>
    </row>
    <row r="7044">
      <c r="B7044" s="223" t="s">
        <v>200</v>
      </c>
      <c r="C7044" s="223"/>
      <c r="D7044" s="316"/>
      <c r="H7044" s="223">
        <v>0.0</v>
      </c>
      <c r="K7044" s="317"/>
    </row>
    <row r="7045">
      <c r="B7045" s="223" t="s">
        <v>200</v>
      </c>
      <c r="C7045" s="223"/>
      <c r="D7045" s="316"/>
      <c r="H7045" s="223">
        <v>0.0</v>
      </c>
      <c r="K7045" s="317"/>
    </row>
    <row r="7046">
      <c r="B7046" s="223" t="s">
        <v>200</v>
      </c>
      <c r="C7046" s="223"/>
      <c r="D7046" s="316"/>
      <c r="H7046" s="223">
        <v>0.0</v>
      </c>
      <c r="K7046" s="317"/>
    </row>
    <row r="7047">
      <c r="B7047" s="223" t="s">
        <v>200</v>
      </c>
      <c r="C7047" s="223"/>
      <c r="D7047" s="316"/>
      <c r="H7047" s="223">
        <v>0.0</v>
      </c>
      <c r="K7047" s="317"/>
    </row>
    <row r="7048">
      <c r="B7048" s="223" t="s">
        <v>200</v>
      </c>
      <c r="C7048" s="223"/>
      <c r="D7048" s="316"/>
      <c r="H7048" s="223">
        <v>0.0</v>
      </c>
      <c r="K7048" s="317"/>
    </row>
    <row r="7049">
      <c r="B7049" s="223" t="s">
        <v>200</v>
      </c>
      <c r="C7049" s="223"/>
      <c r="D7049" s="316"/>
      <c r="H7049" s="223">
        <v>0.0</v>
      </c>
      <c r="K7049" s="317"/>
    </row>
    <row r="7050">
      <c r="B7050" s="223" t="s">
        <v>200</v>
      </c>
      <c r="C7050" s="223"/>
      <c r="D7050" s="316"/>
      <c r="H7050" s="223">
        <v>0.0</v>
      </c>
      <c r="K7050" s="317"/>
    </row>
    <row r="7051">
      <c r="B7051" s="223" t="s">
        <v>200</v>
      </c>
      <c r="C7051" s="223"/>
      <c r="D7051" s="316"/>
      <c r="H7051" s="223">
        <v>0.0</v>
      </c>
      <c r="K7051" s="317"/>
    </row>
    <row r="7052">
      <c r="B7052" s="223" t="s">
        <v>200</v>
      </c>
      <c r="C7052" s="223"/>
      <c r="D7052" s="316"/>
      <c r="H7052" s="223">
        <v>0.0</v>
      </c>
      <c r="K7052" s="317"/>
    </row>
    <row r="7053">
      <c r="B7053" s="223" t="s">
        <v>200</v>
      </c>
      <c r="C7053" s="223"/>
      <c r="D7053" s="316"/>
      <c r="H7053" s="223">
        <v>0.0</v>
      </c>
      <c r="K7053" s="317"/>
    </row>
    <row r="7054">
      <c r="B7054" s="223" t="s">
        <v>200</v>
      </c>
      <c r="C7054" s="223"/>
      <c r="D7054" s="316"/>
      <c r="H7054" s="223">
        <v>0.0</v>
      </c>
      <c r="K7054" s="317"/>
    </row>
    <row r="7055">
      <c r="B7055" s="223" t="s">
        <v>200</v>
      </c>
      <c r="C7055" s="223"/>
      <c r="D7055" s="316"/>
      <c r="H7055" s="223">
        <v>0.0</v>
      </c>
      <c r="K7055" s="317"/>
    </row>
    <row r="7056">
      <c r="B7056" s="223" t="s">
        <v>200</v>
      </c>
      <c r="C7056" s="223"/>
      <c r="D7056" s="316"/>
      <c r="H7056" s="223">
        <v>0.0</v>
      </c>
      <c r="K7056" s="317"/>
    </row>
    <row r="7057">
      <c r="B7057" s="223" t="s">
        <v>200</v>
      </c>
      <c r="C7057" s="223"/>
      <c r="D7057" s="316"/>
      <c r="H7057" s="223">
        <v>0.0</v>
      </c>
      <c r="K7057" s="317"/>
    </row>
    <row r="7058">
      <c r="B7058" s="223" t="s">
        <v>200</v>
      </c>
      <c r="C7058" s="223"/>
      <c r="D7058" s="316"/>
      <c r="H7058" s="223">
        <v>0.0</v>
      </c>
      <c r="K7058" s="317"/>
    </row>
    <row r="7059">
      <c r="B7059" s="223" t="s">
        <v>200</v>
      </c>
      <c r="C7059" s="223"/>
      <c r="D7059" s="316"/>
      <c r="H7059" s="223">
        <v>0.0</v>
      </c>
      <c r="K7059" s="317"/>
    </row>
    <row r="7060">
      <c r="B7060" s="223" t="s">
        <v>200</v>
      </c>
      <c r="C7060" s="223"/>
      <c r="D7060" s="316"/>
      <c r="H7060" s="223">
        <v>0.0</v>
      </c>
      <c r="K7060" s="317"/>
    </row>
    <row r="7061">
      <c r="B7061" s="223" t="s">
        <v>200</v>
      </c>
      <c r="C7061" s="223"/>
      <c r="D7061" s="316"/>
      <c r="H7061" s="223">
        <v>0.0</v>
      </c>
      <c r="K7061" s="317"/>
    </row>
    <row r="7062">
      <c r="B7062" s="223" t="s">
        <v>200</v>
      </c>
      <c r="C7062" s="223"/>
      <c r="D7062" s="316"/>
      <c r="H7062" s="223">
        <v>0.0</v>
      </c>
      <c r="K7062" s="317"/>
    </row>
    <row r="7063">
      <c r="B7063" s="223" t="s">
        <v>200</v>
      </c>
      <c r="C7063" s="223"/>
      <c r="D7063" s="316"/>
      <c r="H7063" s="223">
        <v>0.0</v>
      </c>
      <c r="K7063" s="317"/>
    </row>
    <row r="7064">
      <c r="B7064" s="223" t="s">
        <v>200</v>
      </c>
      <c r="C7064" s="223"/>
      <c r="D7064" s="316"/>
      <c r="H7064" s="223">
        <v>0.0</v>
      </c>
      <c r="K7064" s="317"/>
    </row>
    <row r="7065">
      <c r="B7065" s="223" t="s">
        <v>200</v>
      </c>
      <c r="C7065" s="223"/>
      <c r="D7065" s="316"/>
      <c r="H7065" s="223">
        <v>0.0</v>
      </c>
      <c r="K7065" s="317"/>
    </row>
    <row r="7066">
      <c r="B7066" s="223" t="s">
        <v>200</v>
      </c>
      <c r="C7066" s="223"/>
      <c r="D7066" s="316"/>
      <c r="H7066" s="223">
        <v>0.0</v>
      </c>
      <c r="K7066" s="317"/>
    </row>
    <row r="7067">
      <c r="B7067" s="223" t="s">
        <v>200</v>
      </c>
      <c r="C7067" s="223"/>
      <c r="D7067" s="316"/>
      <c r="H7067" s="223">
        <v>0.0</v>
      </c>
      <c r="K7067" s="317"/>
    </row>
    <row r="7068">
      <c r="B7068" s="223" t="s">
        <v>200</v>
      </c>
      <c r="C7068" s="223"/>
      <c r="D7068" s="316"/>
      <c r="H7068" s="223">
        <v>0.0</v>
      </c>
      <c r="K7068" s="317"/>
    </row>
    <row r="7069">
      <c r="B7069" s="223" t="s">
        <v>200</v>
      </c>
      <c r="C7069" s="223"/>
      <c r="D7069" s="316"/>
      <c r="H7069" s="223">
        <v>0.0</v>
      </c>
      <c r="K7069" s="317"/>
    </row>
    <row r="7070">
      <c r="B7070" s="223" t="s">
        <v>200</v>
      </c>
      <c r="C7070" s="223"/>
      <c r="D7070" s="316"/>
      <c r="H7070" s="223">
        <v>0.0</v>
      </c>
      <c r="K7070" s="317"/>
    </row>
    <row r="7071">
      <c r="B7071" s="223" t="s">
        <v>200</v>
      </c>
      <c r="C7071" s="223"/>
      <c r="D7071" s="316"/>
      <c r="H7071" s="223">
        <v>0.0</v>
      </c>
      <c r="K7071" s="317"/>
    </row>
    <row r="7072">
      <c r="B7072" s="223" t="s">
        <v>200</v>
      </c>
      <c r="C7072" s="223"/>
      <c r="D7072" s="316"/>
      <c r="H7072" s="223">
        <v>0.0</v>
      </c>
      <c r="K7072" s="317"/>
    </row>
    <row r="7073">
      <c r="B7073" s="223" t="s">
        <v>200</v>
      </c>
      <c r="C7073" s="223"/>
      <c r="D7073" s="316"/>
      <c r="H7073" s="223">
        <v>0.0</v>
      </c>
      <c r="K7073" s="317"/>
    </row>
    <row r="7074">
      <c r="B7074" s="223" t="s">
        <v>200</v>
      </c>
      <c r="C7074" s="223"/>
      <c r="D7074" s="316"/>
      <c r="H7074" s="223">
        <v>0.0</v>
      </c>
      <c r="K7074" s="317"/>
    </row>
    <row r="7075">
      <c r="B7075" s="223" t="s">
        <v>200</v>
      </c>
      <c r="C7075" s="223"/>
      <c r="D7075" s="316"/>
      <c r="H7075" s="223">
        <v>0.0</v>
      </c>
      <c r="K7075" s="317"/>
    </row>
    <row r="7076">
      <c r="B7076" s="223" t="s">
        <v>200</v>
      </c>
      <c r="C7076" s="223"/>
      <c r="D7076" s="316"/>
      <c r="H7076" s="223">
        <v>0.0</v>
      </c>
      <c r="K7076" s="317"/>
    </row>
    <row r="7077">
      <c r="B7077" s="223" t="s">
        <v>200</v>
      </c>
      <c r="C7077" s="223"/>
      <c r="D7077" s="316"/>
      <c r="H7077" s="223">
        <v>0.0</v>
      </c>
      <c r="K7077" s="317"/>
    </row>
    <row r="7078">
      <c r="B7078" s="223" t="s">
        <v>200</v>
      </c>
      <c r="C7078" s="223"/>
      <c r="D7078" s="316"/>
      <c r="H7078" s="223">
        <v>0.0</v>
      </c>
      <c r="K7078" s="317"/>
    </row>
    <row r="7079">
      <c r="B7079" s="223" t="s">
        <v>200</v>
      </c>
      <c r="C7079" s="223"/>
      <c r="D7079" s="316"/>
      <c r="H7079" s="223">
        <v>0.0</v>
      </c>
      <c r="K7079" s="317"/>
    </row>
    <row r="7080">
      <c r="B7080" s="223" t="s">
        <v>200</v>
      </c>
      <c r="C7080" s="223"/>
      <c r="D7080" s="316"/>
      <c r="H7080" s="223">
        <v>0.0</v>
      </c>
      <c r="K7080" s="317"/>
    </row>
    <row r="7081">
      <c r="B7081" s="223" t="s">
        <v>200</v>
      </c>
      <c r="C7081" s="223"/>
      <c r="D7081" s="316"/>
      <c r="H7081" s="223">
        <v>0.0</v>
      </c>
      <c r="K7081" s="317"/>
    </row>
    <row r="7082">
      <c r="B7082" s="223" t="s">
        <v>200</v>
      </c>
      <c r="C7082" s="223"/>
      <c r="D7082" s="316"/>
      <c r="H7082" s="223">
        <v>0.0</v>
      </c>
      <c r="K7082" s="317"/>
    </row>
    <row r="7083">
      <c r="B7083" s="223" t="s">
        <v>200</v>
      </c>
      <c r="C7083" s="223"/>
      <c r="D7083" s="316"/>
      <c r="H7083" s="223">
        <v>0.0</v>
      </c>
      <c r="K7083" s="317"/>
    </row>
    <row r="7084">
      <c r="B7084" s="223" t="s">
        <v>200</v>
      </c>
      <c r="C7084" s="223"/>
      <c r="D7084" s="316"/>
      <c r="H7084" s="223">
        <v>0.0</v>
      </c>
      <c r="K7084" s="317"/>
    </row>
    <row r="7085">
      <c r="B7085" s="223" t="s">
        <v>200</v>
      </c>
      <c r="C7085" s="223"/>
      <c r="D7085" s="316"/>
      <c r="H7085" s="223">
        <v>0.0</v>
      </c>
      <c r="K7085" s="317"/>
    </row>
    <row r="7086">
      <c r="B7086" s="223" t="s">
        <v>200</v>
      </c>
      <c r="C7086" s="223"/>
      <c r="D7086" s="316"/>
      <c r="H7086" s="223">
        <v>0.0</v>
      </c>
      <c r="K7086" s="317"/>
    </row>
    <row r="7087">
      <c r="B7087" s="223" t="s">
        <v>200</v>
      </c>
      <c r="C7087" s="223"/>
      <c r="D7087" s="316"/>
      <c r="H7087" s="223">
        <v>0.0</v>
      </c>
      <c r="K7087" s="317"/>
    </row>
    <row r="7088">
      <c r="B7088" s="223" t="s">
        <v>200</v>
      </c>
      <c r="C7088" s="223"/>
      <c r="D7088" s="316"/>
      <c r="H7088" s="223">
        <v>0.0</v>
      </c>
      <c r="K7088" s="317"/>
    </row>
    <row r="7089">
      <c r="B7089" s="223" t="s">
        <v>200</v>
      </c>
      <c r="C7089" s="223"/>
      <c r="D7089" s="316"/>
      <c r="H7089" s="223">
        <v>0.0</v>
      </c>
      <c r="K7089" s="317"/>
    </row>
    <row r="7090">
      <c r="B7090" s="223" t="s">
        <v>200</v>
      </c>
      <c r="C7090" s="223"/>
      <c r="D7090" s="316"/>
      <c r="H7090" s="223">
        <v>0.0</v>
      </c>
      <c r="K7090" s="317"/>
    </row>
    <row r="7091">
      <c r="B7091" s="223" t="s">
        <v>200</v>
      </c>
      <c r="C7091" s="223"/>
      <c r="D7091" s="316"/>
      <c r="H7091" s="223">
        <v>0.0</v>
      </c>
      <c r="K7091" s="317"/>
    </row>
    <row r="7092">
      <c r="B7092" s="223" t="s">
        <v>200</v>
      </c>
      <c r="C7092" s="223"/>
      <c r="D7092" s="316"/>
      <c r="H7092" s="223">
        <v>0.0</v>
      </c>
      <c r="K7092" s="317"/>
    </row>
    <row r="7093">
      <c r="B7093" s="223" t="s">
        <v>200</v>
      </c>
      <c r="C7093" s="223"/>
      <c r="D7093" s="316"/>
      <c r="H7093" s="223">
        <v>0.0</v>
      </c>
      <c r="K7093" s="317"/>
    </row>
    <row r="7094">
      <c r="B7094" s="223" t="s">
        <v>200</v>
      </c>
      <c r="C7094" s="223"/>
      <c r="D7094" s="316"/>
      <c r="H7094" s="223">
        <v>0.0</v>
      </c>
      <c r="K7094" s="317"/>
    </row>
    <row r="7095">
      <c r="B7095" s="223" t="s">
        <v>200</v>
      </c>
      <c r="C7095" s="223"/>
      <c r="D7095" s="316"/>
      <c r="H7095" s="223">
        <v>0.0</v>
      </c>
      <c r="K7095" s="317"/>
    </row>
    <row r="7096">
      <c r="B7096" s="223" t="s">
        <v>200</v>
      </c>
      <c r="C7096" s="223"/>
      <c r="D7096" s="316"/>
      <c r="H7096" s="223">
        <v>0.0</v>
      </c>
      <c r="K7096" s="317"/>
    </row>
    <row r="7097">
      <c r="B7097" s="223" t="s">
        <v>200</v>
      </c>
      <c r="C7097" s="223"/>
      <c r="D7097" s="316"/>
      <c r="H7097" s="223">
        <v>0.0</v>
      </c>
      <c r="K7097" s="317"/>
    </row>
    <row r="7098">
      <c r="B7098" s="223" t="s">
        <v>200</v>
      </c>
      <c r="C7098" s="223"/>
      <c r="D7098" s="316"/>
      <c r="H7098" s="223">
        <v>0.0</v>
      </c>
      <c r="K7098" s="317"/>
    </row>
    <row r="7099">
      <c r="B7099" s="223" t="s">
        <v>200</v>
      </c>
      <c r="C7099" s="223"/>
      <c r="D7099" s="316"/>
      <c r="H7099" s="223">
        <v>0.0</v>
      </c>
      <c r="K7099" s="317"/>
    </row>
    <row r="7100">
      <c r="B7100" s="223" t="s">
        <v>200</v>
      </c>
      <c r="C7100" s="223"/>
      <c r="D7100" s="316"/>
      <c r="H7100" s="223">
        <v>0.0</v>
      </c>
      <c r="K7100" s="317"/>
    </row>
    <row r="7101">
      <c r="B7101" s="223" t="s">
        <v>200</v>
      </c>
      <c r="C7101" s="223"/>
      <c r="D7101" s="316"/>
      <c r="H7101" s="223">
        <v>0.0</v>
      </c>
      <c r="K7101" s="317"/>
    </row>
    <row r="7102">
      <c r="B7102" s="223" t="s">
        <v>200</v>
      </c>
      <c r="C7102" s="223"/>
      <c r="D7102" s="316"/>
      <c r="H7102" s="223">
        <v>0.0</v>
      </c>
      <c r="K7102" s="317"/>
    </row>
    <row r="7103">
      <c r="B7103" s="223" t="s">
        <v>200</v>
      </c>
      <c r="C7103" s="223"/>
      <c r="D7103" s="316"/>
      <c r="H7103" s="223">
        <v>0.0</v>
      </c>
      <c r="K7103" s="317"/>
    </row>
    <row r="7104">
      <c r="B7104" s="223" t="s">
        <v>200</v>
      </c>
      <c r="C7104" s="223"/>
      <c r="D7104" s="316"/>
      <c r="H7104" s="223">
        <v>0.0</v>
      </c>
      <c r="K7104" s="317"/>
    </row>
    <row r="7105">
      <c r="B7105" s="223" t="s">
        <v>200</v>
      </c>
      <c r="C7105" s="223"/>
      <c r="D7105" s="316"/>
      <c r="H7105" s="223">
        <v>0.0</v>
      </c>
      <c r="K7105" s="317"/>
    </row>
    <row r="7106">
      <c r="B7106" s="223" t="s">
        <v>200</v>
      </c>
      <c r="C7106" s="223"/>
      <c r="D7106" s="316"/>
      <c r="H7106" s="223">
        <v>0.0</v>
      </c>
      <c r="K7106" s="317"/>
    </row>
    <row r="7107">
      <c r="B7107" s="223" t="s">
        <v>200</v>
      </c>
      <c r="C7107" s="223"/>
      <c r="D7107" s="316"/>
      <c r="H7107" s="223">
        <v>0.0</v>
      </c>
      <c r="K7107" s="317"/>
    </row>
    <row r="7108">
      <c r="B7108" s="223" t="s">
        <v>200</v>
      </c>
      <c r="C7108" s="223"/>
      <c r="D7108" s="316"/>
      <c r="H7108" s="223">
        <v>0.0</v>
      </c>
      <c r="K7108" s="317"/>
    </row>
    <row r="7109">
      <c r="B7109" s="223" t="s">
        <v>200</v>
      </c>
      <c r="C7109" s="223"/>
      <c r="D7109" s="316"/>
      <c r="H7109" s="223">
        <v>0.0</v>
      </c>
      <c r="K7109" s="317"/>
    </row>
    <row r="7110">
      <c r="B7110" s="223" t="s">
        <v>200</v>
      </c>
      <c r="C7110" s="223"/>
      <c r="D7110" s="316"/>
      <c r="H7110" s="223">
        <v>0.0</v>
      </c>
      <c r="K7110" s="317"/>
    </row>
    <row r="7111">
      <c r="B7111" s="223" t="s">
        <v>200</v>
      </c>
      <c r="C7111" s="223"/>
      <c r="D7111" s="316"/>
      <c r="H7111" s="223">
        <v>0.0</v>
      </c>
      <c r="K7111" s="317"/>
    </row>
    <row r="7112">
      <c r="B7112" s="223" t="s">
        <v>200</v>
      </c>
      <c r="C7112" s="223"/>
      <c r="D7112" s="316"/>
      <c r="H7112" s="223">
        <v>0.0</v>
      </c>
      <c r="K7112" s="317"/>
    </row>
    <row r="7113">
      <c r="B7113" s="223" t="s">
        <v>200</v>
      </c>
      <c r="C7113" s="223"/>
      <c r="D7113" s="316"/>
      <c r="H7113" s="223">
        <v>0.0</v>
      </c>
      <c r="K7113" s="317"/>
    </row>
    <row r="7114">
      <c r="B7114" s="223" t="s">
        <v>200</v>
      </c>
      <c r="C7114" s="223"/>
      <c r="D7114" s="316"/>
      <c r="H7114" s="223">
        <v>0.0</v>
      </c>
      <c r="K7114" s="317"/>
    </row>
    <row r="7115">
      <c r="B7115" s="223" t="s">
        <v>200</v>
      </c>
      <c r="C7115" s="223"/>
      <c r="D7115" s="316"/>
      <c r="H7115" s="223">
        <v>0.0</v>
      </c>
      <c r="K7115" s="317"/>
    </row>
    <row r="7116">
      <c r="B7116" s="223" t="s">
        <v>200</v>
      </c>
      <c r="C7116" s="223"/>
      <c r="D7116" s="316"/>
      <c r="H7116" s="223">
        <v>0.0</v>
      </c>
      <c r="K7116" s="317"/>
    </row>
    <row r="7117">
      <c r="B7117" s="223" t="s">
        <v>200</v>
      </c>
      <c r="C7117" s="223"/>
      <c r="D7117" s="316"/>
      <c r="H7117" s="223">
        <v>0.0</v>
      </c>
      <c r="K7117" s="317"/>
    </row>
    <row r="7118">
      <c r="B7118" s="223" t="s">
        <v>200</v>
      </c>
      <c r="C7118" s="223"/>
      <c r="D7118" s="316"/>
      <c r="H7118" s="223">
        <v>0.0</v>
      </c>
      <c r="K7118" s="317"/>
    </row>
    <row r="7119">
      <c r="B7119" s="223" t="s">
        <v>200</v>
      </c>
      <c r="C7119" s="223"/>
      <c r="D7119" s="316"/>
      <c r="H7119" s="223">
        <v>0.0</v>
      </c>
      <c r="K7119" s="317"/>
    </row>
    <row r="7120">
      <c r="B7120" s="223" t="s">
        <v>200</v>
      </c>
      <c r="C7120" s="223"/>
      <c r="D7120" s="316"/>
      <c r="H7120" s="223">
        <v>0.0</v>
      </c>
      <c r="K7120" s="317"/>
    </row>
    <row r="7121">
      <c r="B7121" s="223" t="s">
        <v>200</v>
      </c>
      <c r="C7121" s="223"/>
      <c r="D7121" s="316"/>
      <c r="H7121" s="223">
        <v>0.0</v>
      </c>
      <c r="K7121" s="317"/>
    </row>
    <row r="7122">
      <c r="B7122" s="223" t="s">
        <v>200</v>
      </c>
      <c r="C7122" s="223"/>
      <c r="D7122" s="316"/>
      <c r="H7122" s="223">
        <v>0.0</v>
      </c>
      <c r="K7122" s="317"/>
    </row>
    <row r="7123">
      <c r="B7123" s="223" t="s">
        <v>200</v>
      </c>
      <c r="C7123" s="223"/>
      <c r="D7123" s="316"/>
      <c r="H7123" s="223">
        <v>0.0</v>
      </c>
      <c r="K7123" s="317"/>
    </row>
    <row r="7124">
      <c r="B7124" s="223" t="s">
        <v>200</v>
      </c>
      <c r="C7124" s="223"/>
      <c r="D7124" s="316"/>
      <c r="H7124" s="223">
        <v>0.0</v>
      </c>
      <c r="K7124" s="317"/>
    </row>
    <row r="7125">
      <c r="B7125" s="223" t="s">
        <v>200</v>
      </c>
      <c r="C7125" s="223"/>
      <c r="D7125" s="316"/>
      <c r="H7125" s="223">
        <v>0.0</v>
      </c>
      <c r="K7125" s="317"/>
    </row>
    <row r="7126">
      <c r="B7126" s="223" t="s">
        <v>200</v>
      </c>
      <c r="C7126" s="223"/>
      <c r="D7126" s="316"/>
      <c r="H7126" s="223">
        <v>0.0</v>
      </c>
      <c r="K7126" s="317"/>
    </row>
    <row r="7127">
      <c r="B7127" s="223" t="s">
        <v>200</v>
      </c>
      <c r="C7127" s="223"/>
      <c r="D7127" s="316"/>
      <c r="H7127" s="223">
        <v>0.0</v>
      </c>
      <c r="K7127" s="317"/>
    </row>
    <row r="7128">
      <c r="B7128" s="223" t="s">
        <v>200</v>
      </c>
      <c r="C7128" s="223"/>
      <c r="D7128" s="316"/>
      <c r="H7128" s="223">
        <v>0.0</v>
      </c>
      <c r="K7128" s="317"/>
    </row>
    <row r="7129">
      <c r="B7129" s="223" t="s">
        <v>200</v>
      </c>
      <c r="C7129" s="223"/>
      <c r="D7129" s="316"/>
      <c r="H7129" s="223">
        <v>0.0</v>
      </c>
      <c r="K7129" s="317"/>
    </row>
    <row r="7130">
      <c r="B7130" s="223" t="s">
        <v>200</v>
      </c>
      <c r="C7130" s="223"/>
      <c r="D7130" s="316"/>
      <c r="H7130" s="223">
        <v>0.0</v>
      </c>
      <c r="K7130" s="317"/>
    </row>
    <row r="7131">
      <c r="B7131" s="223" t="s">
        <v>200</v>
      </c>
      <c r="C7131" s="223"/>
      <c r="D7131" s="316"/>
      <c r="H7131" s="223">
        <v>0.0</v>
      </c>
      <c r="K7131" s="317"/>
    </row>
    <row r="7132">
      <c r="B7132" s="223" t="s">
        <v>200</v>
      </c>
      <c r="C7132" s="223"/>
      <c r="D7132" s="316"/>
      <c r="H7132" s="223">
        <v>0.0</v>
      </c>
      <c r="K7132" s="317"/>
    </row>
    <row r="7133">
      <c r="B7133" s="223" t="s">
        <v>200</v>
      </c>
      <c r="C7133" s="223"/>
      <c r="D7133" s="316"/>
      <c r="H7133" s="223">
        <v>0.0</v>
      </c>
      <c r="K7133" s="317"/>
    </row>
    <row r="7134">
      <c r="B7134" s="223" t="s">
        <v>200</v>
      </c>
      <c r="C7134" s="223"/>
      <c r="D7134" s="316"/>
      <c r="H7134" s="223">
        <v>0.0</v>
      </c>
      <c r="K7134" s="317"/>
    </row>
    <row r="7135">
      <c r="B7135" s="223" t="s">
        <v>200</v>
      </c>
      <c r="C7135" s="223"/>
      <c r="D7135" s="316"/>
      <c r="H7135" s="223">
        <v>0.0</v>
      </c>
      <c r="K7135" s="317"/>
    </row>
    <row r="7136">
      <c r="B7136" s="223" t="s">
        <v>200</v>
      </c>
      <c r="C7136" s="223"/>
      <c r="D7136" s="316"/>
      <c r="H7136" s="223">
        <v>0.0</v>
      </c>
      <c r="K7136" s="317"/>
    </row>
    <row r="7137">
      <c r="B7137" s="223" t="s">
        <v>200</v>
      </c>
      <c r="C7137" s="223"/>
      <c r="D7137" s="316"/>
      <c r="H7137" s="223">
        <v>0.0</v>
      </c>
      <c r="K7137" s="317"/>
    </row>
    <row r="7138">
      <c r="B7138" s="223" t="s">
        <v>200</v>
      </c>
      <c r="C7138" s="223"/>
      <c r="D7138" s="316"/>
      <c r="H7138" s="223">
        <v>0.0</v>
      </c>
      <c r="K7138" s="317"/>
    </row>
    <row r="7139">
      <c r="B7139" s="223" t="s">
        <v>200</v>
      </c>
      <c r="C7139" s="223"/>
      <c r="D7139" s="316"/>
      <c r="H7139" s="223">
        <v>0.0</v>
      </c>
      <c r="K7139" s="317"/>
    </row>
    <row r="7140">
      <c r="B7140" s="223" t="s">
        <v>200</v>
      </c>
      <c r="C7140" s="223"/>
      <c r="D7140" s="316"/>
      <c r="H7140" s="223">
        <v>0.0</v>
      </c>
      <c r="K7140" s="317"/>
    </row>
    <row r="7141">
      <c r="B7141" s="223" t="s">
        <v>200</v>
      </c>
      <c r="C7141" s="223"/>
      <c r="D7141" s="316"/>
      <c r="H7141" s="223">
        <v>0.0</v>
      </c>
      <c r="K7141" s="317"/>
    </row>
    <row r="7142">
      <c r="B7142" s="223" t="s">
        <v>200</v>
      </c>
      <c r="C7142" s="223"/>
      <c r="D7142" s="316"/>
      <c r="H7142" s="223">
        <v>0.0</v>
      </c>
      <c r="K7142" s="317"/>
    </row>
    <row r="7143">
      <c r="B7143" s="223" t="s">
        <v>200</v>
      </c>
      <c r="C7143" s="223"/>
      <c r="D7143" s="316"/>
      <c r="H7143" s="223">
        <v>0.0</v>
      </c>
      <c r="K7143" s="317"/>
    </row>
    <row r="7144">
      <c r="B7144" s="223" t="s">
        <v>200</v>
      </c>
      <c r="C7144" s="223"/>
      <c r="D7144" s="316"/>
      <c r="H7144" s="223">
        <v>0.0</v>
      </c>
      <c r="K7144" s="317"/>
    </row>
    <row r="7145">
      <c r="B7145" s="223" t="s">
        <v>200</v>
      </c>
      <c r="C7145" s="223"/>
      <c r="D7145" s="316"/>
      <c r="H7145" s="223">
        <v>0.0</v>
      </c>
      <c r="K7145" s="317"/>
    </row>
    <row r="7146">
      <c r="B7146" s="223" t="s">
        <v>200</v>
      </c>
      <c r="C7146" s="223"/>
      <c r="D7146" s="316"/>
      <c r="H7146" s="223">
        <v>0.0</v>
      </c>
      <c r="K7146" s="317"/>
    </row>
    <row r="7147">
      <c r="B7147" s="223" t="s">
        <v>200</v>
      </c>
      <c r="C7147" s="223"/>
      <c r="D7147" s="316"/>
      <c r="H7147" s="223">
        <v>0.0</v>
      </c>
      <c r="K7147" s="317"/>
    </row>
    <row r="7148">
      <c r="B7148" s="223" t="s">
        <v>200</v>
      </c>
      <c r="C7148" s="223"/>
      <c r="D7148" s="316"/>
      <c r="H7148" s="223">
        <v>0.0</v>
      </c>
      <c r="K7148" s="317"/>
    </row>
    <row r="7149">
      <c r="B7149" s="223" t="s">
        <v>200</v>
      </c>
      <c r="C7149" s="223"/>
      <c r="D7149" s="316"/>
      <c r="H7149" s="223">
        <v>0.0</v>
      </c>
      <c r="K7149" s="317"/>
    </row>
    <row r="7150">
      <c r="B7150" s="223" t="s">
        <v>200</v>
      </c>
      <c r="C7150" s="223"/>
      <c r="D7150" s="316"/>
      <c r="H7150" s="223">
        <v>0.0</v>
      </c>
      <c r="K7150" s="317"/>
    </row>
    <row r="7151">
      <c r="B7151" s="223" t="s">
        <v>200</v>
      </c>
      <c r="C7151" s="223"/>
      <c r="D7151" s="316"/>
      <c r="H7151" s="223">
        <v>0.0</v>
      </c>
      <c r="K7151" s="317"/>
    </row>
    <row r="7152">
      <c r="B7152" s="223" t="s">
        <v>200</v>
      </c>
      <c r="C7152" s="223"/>
      <c r="D7152" s="316"/>
      <c r="H7152" s="223">
        <v>0.0</v>
      </c>
      <c r="K7152" s="317"/>
    </row>
    <row r="7153">
      <c r="B7153" s="223" t="s">
        <v>200</v>
      </c>
      <c r="C7153" s="223"/>
      <c r="D7153" s="316"/>
      <c r="H7153" s="223">
        <v>0.0</v>
      </c>
      <c r="K7153" s="317"/>
    </row>
    <row r="7154">
      <c r="B7154" s="223" t="s">
        <v>200</v>
      </c>
      <c r="C7154" s="223"/>
      <c r="D7154" s="316"/>
      <c r="H7154" s="223">
        <v>0.0</v>
      </c>
      <c r="K7154" s="317"/>
    </row>
    <row r="7155">
      <c r="B7155" s="223" t="s">
        <v>200</v>
      </c>
      <c r="C7155" s="223"/>
      <c r="D7155" s="316"/>
      <c r="H7155" s="223">
        <v>0.0</v>
      </c>
      <c r="K7155" s="317"/>
    </row>
    <row r="7156">
      <c r="B7156" s="223" t="s">
        <v>200</v>
      </c>
      <c r="C7156" s="223"/>
      <c r="D7156" s="316"/>
      <c r="H7156" s="223">
        <v>0.0</v>
      </c>
      <c r="K7156" s="317"/>
    </row>
    <row r="7157">
      <c r="B7157" s="223" t="s">
        <v>200</v>
      </c>
      <c r="C7157" s="223"/>
      <c r="D7157" s="316"/>
      <c r="H7157" s="223">
        <v>0.0</v>
      </c>
      <c r="K7157" s="317"/>
    </row>
    <row r="7158">
      <c r="B7158" s="223" t="s">
        <v>200</v>
      </c>
      <c r="C7158" s="223"/>
      <c r="D7158" s="316"/>
      <c r="H7158" s="223">
        <v>0.0</v>
      </c>
      <c r="K7158" s="317"/>
    </row>
    <row r="7159">
      <c r="B7159" s="223" t="s">
        <v>200</v>
      </c>
      <c r="C7159" s="223"/>
      <c r="D7159" s="316"/>
      <c r="H7159" s="223">
        <v>0.0</v>
      </c>
      <c r="K7159" s="317"/>
    </row>
    <row r="7160">
      <c r="B7160" s="223" t="s">
        <v>200</v>
      </c>
      <c r="C7160" s="223"/>
      <c r="D7160" s="316"/>
      <c r="H7160" s="223">
        <v>0.0</v>
      </c>
      <c r="K7160" s="317"/>
    </row>
    <row r="7161">
      <c r="B7161" s="223" t="s">
        <v>200</v>
      </c>
      <c r="C7161" s="223"/>
      <c r="D7161" s="316"/>
      <c r="H7161" s="223">
        <v>0.0</v>
      </c>
      <c r="K7161" s="317"/>
    </row>
    <row r="7162">
      <c r="B7162" s="223" t="s">
        <v>200</v>
      </c>
      <c r="C7162" s="223"/>
      <c r="D7162" s="316"/>
      <c r="H7162" s="223">
        <v>0.0</v>
      </c>
      <c r="K7162" s="317"/>
    </row>
    <row r="7163">
      <c r="B7163" s="223" t="s">
        <v>200</v>
      </c>
      <c r="C7163" s="223"/>
      <c r="D7163" s="316"/>
      <c r="H7163" s="223">
        <v>0.0</v>
      </c>
      <c r="K7163" s="317"/>
    </row>
    <row r="7164">
      <c r="B7164" s="223" t="s">
        <v>200</v>
      </c>
      <c r="C7164" s="223"/>
      <c r="D7164" s="316"/>
      <c r="H7164" s="223">
        <v>0.0</v>
      </c>
      <c r="K7164" s="317"/>
    </row>
    <row r="7165">
      <c r="B7165" s="223" t="s">
        <v>200</v>
      </c>
      <c r="C7165" s="223"/>
      <c r="D7165" s="316"/>
      <c r="H7165" s="223">
        <v>0.0</v>
      </c>
      <c r="K7165" s="317"/>
    </row>
    <row r="7166">
      <c r="B7166" s="223" t="s">
        <v>200</v>
      </c>
      <c r="C7166" s="223"/>
      <c r="D7166" s="316"/>
      <c r="H7166" s="223">
        <v>0.0</v>
      </c>
      <c r="K7166" s="317"/>
    </row>
    <row r="7167">
      <c r="B7167" s="223" t="s">
        <v>200</v>
      </c>
      <c r="C7167" s="223"/>
      <c r="D7167" s="316"/>
      <c r="H7167" s="223">
        <v>0.0</v>
      </c>
      <c r="K7167" s="317"/>
    </row>
    <row r="7168">
      <c r="B7168" s="223" t="s">
        <v>200</v>
      </c>
      <c r="C7168" s="223"/>
      <c r="D7168" s="316"/>
      <c r="H7168" s="223">
        <v>0.0</v>
      </c>
      <c r="K7168" s="317"/>
    </row>
    <row r="7169">
      <c r="B7169" s="223" t="s">
        <v>200</v>
      </c>
      <c r="C7169" s="223"/>
      <c r="D7169" s="316"/>
      <c r="H7169" s="223">
        <v>0.0</v>
      </c>
      <c r="K7169" s="317"/>
    </row>
    <row r="7170">
      <c r="B7170" s="223" t="s">
        <v>200</v>
      </c>
      <c r="C7170" s="223"/>
      <c r="D7170" s="316"/>
      <c r="H7170" s="223">
        <v>0.0</v>
      </c>
      <c r="K7170" s="317"/>
    </row>
    <row r="7171">
      <c r="B7171" s="223" t="s">
        <v>200</v>
      </c>
      <c r="C7171" s="223"/>
      <c r="D7171" s="316"/>
      <c r="H7171" s="223">
        <v>0.0</v>
      </c>
      <c r="K7171" s="317"/>
    </row>
    <row r="7172">
      <c r="B7172" s="223" t="s">
        <v>200</v>
      </c>
      <c r="C7172" s="223"/>
      <c r="D7172" s="316"/>
      <c r="H7172" s="223">
        <v>0.0</v>
      </c>
      <c r="K7172" s="317"/>
    </row>
    <row r="7173">
      <c r="B7173" s="223" t="s">
        <v>200</v>
      </c>
      <c r="C7173" s="223"/>
      <c r="D7173" s="316"/>
      <c r="H7173" s="223">
        <v>0.0</v>
      </c>
      <c r="K7173" s="317"/>
    </row>
    <row r="7174">
      <c r="B7174" s="223" t="s">
        <v>200</v>
      </c>
      <c r="C7174" s="223"/>
      <c r="D7174" s="316"/>
      <c r="H7174" s="223">
        <v>0.0</v>
      </c>
      <c r="K7174" s="317"/>
    </row>
    <row r="7175">
      <c r="B7175" s="223" t="s">
        <v>200</v>
      </c>
      <c r="C7175" s="223"/>
      <c r="D7175" s="316"/>
      <c r="H7175" s="223">
        <v>0.0</v>
      </c>
      <c r="K7175" s="317"/>
    </row>
    <row r="7176">
      <c r="B7176" s="223" t="s">
        <v>200</v>
      </c>
      <c r="C7176" s="223"/>
      <c r="D7176" s="316"/>
      <c r="H7176" s="223">
        <v>0.0</v>
      </c>
      <c r="K7176" s="317"/>
    </row>
    <row r="7177">
      <c r="B7177" s="223" t="s">
        <v>200</v>
      </c>
      <c r="C7177" s="223"/>
      <c r="D7177" s="316"/>
      <c r="H7177" s="223">
        <v>0.0</v>
      </c>
      <c r="K7177" s="317"/>
    </row>
    <row r="7178">
      <c r="B7178" s="223" t="s">
        <v>200</v>
      </c>
      <c r="C7178" s="223"/>
      <c r="D7178" s="316"/>
      <c r="H7178" s="223">
        <v>0.0</v>
      </c>
      <c r="K7178" s="317"/>
    </row>
    <row r="7179">
      <c r="B7179" s="223" t="s">
        <v>200</v>
      </c>
      <c r="C7179" s="223"/>
      <c r="D7179" s="316"/>
      <c r="H7179" s="223">
        <v>0.0</v>
      </c>
      <c r="K7179" s="317"/>
    </row>
    <row r="7180">
      <c r="B7180" s="223" t="s">
        <v>200</v>
      </c>
      <c r="C7180" s="223"/>
      <c r="D7180" s="316"/>
      <c r="H7180" s="223">
        <v>0.0</v>
      </c>
      <c r="K7180" s="317"/>
    </row>
    <row r="7181">
      <c r="B7181" s="223" t="s">
        <v>200</v>
      </c>
      <c r="C7181" s="223"/>
      <c r="D7181" s="316"/>
      <c r="H7181" s="223">
        <v>0.0</v>
      </c>
      <c r="K7181" s="317"/>
    </row>
    <row r="7182">
      <c r="B7182" s="223" t="s">
        <v>200</v>
      </c>
      <c r="C7182" s="223"/>
      <c r="D7182" s="316"/>
      <c r="H7182" s="223">
        <v>0.0</v>
      </c>
      <c r="K7182" s="317"/>
    </row>
    <row r="7183">
      <c r="B7183" s="223" t="s">
        <v>200</v>
      </c>
      <c r="C7183" s="223"/>
      <c r="D7183" s="316"/>
      <c r="H7183" s="223">
        <v>0.0</v>
      </c>
      <c r="K7183" s="317"/>
    </row>
    <row r="7184">
      <c r="B7184" s="223" t="s">
        <v>200</v>
      </c>
      <c r="C7184" s="223"/>
      <c r="D7184" s="316"/>
      <c r="H7184" s="223">
        <v>0.0</v>
      </c>
      <c r="K7184" s="317"/>
    </row>
    <row r="7185">
      <c r="B7185" s="223" t="s">
        <v>200</v>
      </c>
      <c r="C7185" s="223"/>
      <c r="D7185" s="316"/>
      <c r="H7185" s="223">
        <v>0.0</v>
      </c>
      <c r="K7185" s="317"/>
    </row>
    <row r="7186">
      <c r="B7186" s="223" t="s">
        <v>200</v>
      </c>
      <c r="C7186" s="223"/>
      <c r="D7186" s="316"/>
      <c r="H7186" s="223">
        <v>0.0</v>
      </c>
      <c r="K7186" s="317"/>
    </row>
    <row r="7187">
      <c r="B7187" s="223" t="s">
        <v>200</v>
      </c>
      <c r="C7187" s="223"/>
      <c r="D7187" s="316"/>
      <c r="H7187" s="223">
        <v>0.0</v>
      </c>
      <c r="K7187" s="317"/>
    </row>
    <row r="7188">
      <c r="B7188" s="223" t="s">
        <v>200</v>
      </c>
      <c r="C7188" s="223"/>
      <c r="D7188" s="316"/>
      <c r="H7188" s="223">
        <v>0.0</v>
      </c>
      <c r="K7188" s="317"/>
    </row>
    <row r="7189">
      <c r="B7189" s="223" t="s">
        <v>200</v>
      </c>
      <c r="C7189" s="223"/>
      <c r="D7189" s="316"/>
      <c r="H7189" s="223">
        <v>0.0</v>
      </c>
      <c r="K7189" s="317"/>
    </row>
    <row r="7190">
      <c r="B7190" s="223" t="s">
        <v>200</v>
      </c>
      <c r="C7190" s="223"/>
      <c r="D7190" s="316"/>
      <c r="H7190" s="223">
        <v>0.0</v>
      </c>
      <c r="K7190" s="317"/>
    </row>
    <row r="7191">
      <c r="B7191" s="223" t="s">
        <v>200</v>
      </c>
      <c r="C7191" s="223"/>
      <c r="D7191" s="316"/>
      <c r="H7191" s="223">
        <v>0.0</v>
      </c>
      <c r="K7191" s="317"/>
    </row>
    <row r="7192">
      <c r="B7192" s="223" t="s">
        <v>200</v>
      </c>
      <c r="C7192" s="223"/>
      <c r="D7192" s="316"/>
      <c r="H7192" s="223">
        <v>0.0</v>
      </c>
      <c r="K7192" s="317"/>
    </row>
    <row r="7193">
      <c r="B7193" s="223" t="s">
        <v>200</v>
      </c>
      <c r="C7193" s="223"/>
      <c r="D7193" s="316"/>
      <c r="H7193" s="223">
        <v>0.0</v>
      </c>
      <c r="K7193" s="317"/>
    </row>
    <row r="7194">
      <c r="B7194" s="223" t="s">
        <v>200</v>
      </c>
      <c r="C7194" s="223"/>
      <c r="D7194" s="316"/>
      <c r="H7194" s="223">
        <v>0.0</v>
      </c>
      <c r="K7194" s="317"/>
    </row>
    <row r="7195">
      <c r="B7195" s="223" t="s">
        <v>200</v>
      </c>
      <c r="C7195" s="223"/>
      <c r="D7195" s="316"/>
      <c r="H7195" s="223">
        <v>0.0</v>
      </c>
      <c r="K7195" s="317"/>
    </row>
    <row r="7196">
      <c r="B7196" s="223" t="s">
        <v>200</v>
      </c>
      <c r="C7196" s="223"/>
      <c r="D7196" s="316"/>
      <c r="H7196" s="223">
        <v>0.0</v>
      </c>
      <c r="K7196" s="317"/>
    </row>
    <row r="7197">
      <c r="B7197" s="223" t="s">
        <v>200</v>
      </c>
      <c r="C7197" s="223"/>
      <c r="D7197" s="316"/>
      <c r="H7197" s="223">
        <v>0.0</v>
      </c>
      <c r="K7197" s="317"/>
    </row>
    <row r="7198">
      <c r="B7198" s="223" t="s">
        <v>200</v>
      </c>
      <c r="C7198" s="223"/>
      <c r="D7198" s="316"/>
      <c r="H7198" s="223">
        <v>0.0</v>
      </c>
      <c r="K7198" s="317"/>
    </row>
    <row r="7199">
      <c r="B7199" s="223" t="s">
        <v>200</v>
      </c>
      <c r="C7199" s="223"/>
      <c r="D7199" s="316"/>
      <c r="H7199" s="223">
        <v>0.0</v>
      </c>
      <c r="K7199" s="317"/>
    </row>
    <row r="7200">
      <c r="B7200" s="223" t="s">
        <v>200</v>
      </c>
      <c r="C7200" s="223"/>
      <c r="D7200" s="316"/>
      <c r="H7200" s="223">
        <v>0.0</v>
      </c>
      <c r="K7200" s="317"/>
    </row>
    <row r="7201">
      <c r="B7201" s="223" t="s">
        <v>200</v>
      </c>
      <c r="C7201" s="223"/>
      <c r="D7201" s="316"/>
      <c r="H7201" s="223">
        <v>0.0</v>
      </c>
      <c r="K7201" s="317"/>
    </row>
    <row r="7202">
      <c r="B7202" s="223" t="s">
        <v>200</v>
      </c>
      <c r="C7202" s="223"/>
      <c r="D7202" s="316"/>
      <c r="H7202" s="223">
        <v>0.0</v>
      </c>
      <c r="K7202" s="317"/>
    </row>
    <row r="7203">
      <c r="B7203" s="223" t="s">
        <v>200</v>
      </c>
      <c r="C7203" s="223"/>
      <c r="D7203" s="316"/>
      <c r="H7203" s="223">
        <v>0.0</v>
      </c>
      <c r="K7203" s="317"/>
    </row>
    <row r="7204">
      <c r="B7204" s="223" t="s">
        <v>200</v>
      </c>
      <c r="C7204" s="223"/>
      <c r="D7204" s="316"/>
      <c r="H7204" s="223">
        <v>0.0</v>
      </c>
      <c r="K7204" s="317"/>
    </row>
    <row r="7205">
      <c r="B7205" s="223" t="s">
        <v>200</v>
      </c>
      <c r="C7205" s="223"/>
      <c r="D7205" s="316"/>
      <c r="H7205" s="223">
        <v>0.0</v>
      </c>
      <c r="K7205" s="317"/>
    </row>
    <row r="7206">
      <c r="B7206" s="223" t="s">
        <v>200</v>
      </c>
      <c r="C7206" s="223"/>
      <c r="D7206" s="316"/>
      <c r="H7206" s="223">
        <v>0.0</v>
      </c>
      <c r="K7206" s="317"/>
    </row>
    <row r="7207">
      <c r="B7207" s="223" t="s">
        <v>200</v>
      </c>
      <c r="C7207" s="223"/>
      <c r="D7207" s="316"/>
      <c r="H7207" s="223">
        <v>0.0</v>
      </c>
      <c r="K7207" s="317"/>
    </row>
    <row r="7208">
      <c r="B7208" s="223" t="s">
        <v>200</v>
      </c>
      <c r="C7208" s="223"/>
      <c r="D7208" s="316"/>
      <c r="H7208" s="223">
        <v>0.0</v>
      </c>
      <c r="K7208" s="317"/>
    </row>
    <row r="7209">
      <c r="B7209" s="223" t="s">
        <v>200</v>
      </c>
      <c r="C7209" s="223"/>
      <c r="D7209" s="316"/>
      <c r="H7209" s="223">
        <v>0.0</v>
      </c>
      <c r="K7209" s="317"/>
    </row>
    <row r="7210">
      <c r="B7210" s="223" t="s">
        <v>200</v>
      </c>
      <c r="C7210" s="223"/>
      <c r="D7210" s="316"/>
      <c r="H7210" s="223">
        <v>0.0</v>
      </c>
      <c r="K7210" s="317"/>
    </row>
    <row r="7211">
      <c r="B7211" s="223" t="s">
        <v>200</v>
      </c>
      <c r="C7211" s="223"/>
      <c r="D7211" s="316"/>
      <c r="H7211" s="223">
        <v>0.0</v>
      </c>
      <c r="K7211" s="317"/>
    </row>
    <row r="7212">
      <c r="B7212" s="223" t="s">
        <v>200</v>
      </c>
      <c r="C7212" s="223"/>
      <c r="D7212" s="316"/>
      <c r="H7212" s="223">
        <v>0.0</v>
      </c>
      <c r="K7212" s="317"/>
    </row>
    <row r="7213">
      <c r="B7213" s="223" t="s">
        <v>200</v>
      </c>
      <c r="C7213" s="223"/>
      <c r="D7213" s="316"/>
      <c r="H7213" s="223">
        <v>0.0</v>
      </c>
      <c r="K7213" s="317"/>
    </row>
    <row r="7214">
      <c r="B7214" s="223" t="s">
        <v>200</v>
      </c>
      <c r="C7214" s="223"/>
      <c r="D7214" s="316"/>
      <c r="H7214" s="223">
        <v>0.0</v>
      </c>
      <c r="K7214" s="317"/>
    </row>
    <row r="7215">
      <c r="B7215" s="223" t="s">
        <v>200</v>
      </c>
      <c r="C7215" s="223"/>
      <c r="D7215" s="316"/>
      <c r="H7215" s="223">
        <v>0.0</v>
      </c>
      <c r="K7215" s="317"/>
    </row>
    <row r="7216">
      <c r="B7216" s="223" t="s">
        <v>200</v>
      </c>
      <c r="C7216" s="223"/>
      <c r="D7216" s="316"/>
      <c r="H7216" s="223">
        <v>0.0</v>
      </c>
      <c r="K7216" s="317"/>
    </row>
    <row r="7217">
      <c r="B7217" s="223" t="s">
        <v>200</v>
      </c>
      <c r="C7217" s="223"/>
      <c r="D7217" s="316"/>
      <c r="H7217" s="223">
        <v>0.0</v>
      </c>
      <c r="K7217" s="317"/>
    </row>
    <row r="7218">
      <c r="B7218" s="223" t="s">
        <v>200</v>
      </c>
      <c r="C7218" s="223"/>
      <c r="D7218" s="316"/>
      <c r="H7218" s="223">
        <v>0.0</v>
      </c>
      <c r="K7218" s="317"/>
    </row>
    <row r="7219">
      <c r="B7219" s="223" t="s">
        <v>200</v>
      </c>
      <c r="C7219" s="223"/>
      <c r="D7219" s="316"/>
      <c r="H7219" s="223">
        <v>0.0</v>
      </c>
      <c r="K7219" s="317"/>
    </row>
    <row r="7220">
      <c r="B7220" s="223" t="s">
        <v>200</v>
      </c>
      <c r="C7220" s="223"/>
      <c r="D7220" s="316"/>
      <c r="H7220" s="223">
        <v>0.0</v>
      </c>
      <c r="K7220" s="317"/>
    </row>
    <row r="7221">
      <c r="B7221" s="223" t="s">
        <v>200</v>
      </c>
      <c r="C7221" s="223"/>
      <c r="D7221" s="316"/>
      <c r="H7221" s="223">
        <v>0.0</v>
      </c>
      <c r="K7221" s="317"/>
    </row>
    <row r="7222">
      <c r="B7222" s="223" t="s">
        <v>200</v>
      </c>
      <c r="C7222" s="223"/>
      <c r="D7222" s="316"/>
      <c r="H7222" s="223">
        <v>0.0</v>
      </c>
      <c r="K7222" s="317"/>
    </row>
    <row r="7223">
      <c r="B7223" s="223" t="s">
        <v>200</v>
      </c>
      <c r="C7223" s="223"/>
      <c r="D7223" s="316"/>
      <c r="H7223" s="223">
        <v>0.0</v>
      </c>
      <c r="K7223" s="317"/>
    </row>
    <row r="7224">
      <c r="B7224" s="223" t="s">
        <v>200</v>
      </c>
      <c r="C7224" s="223"/>
      <c r="D7224" s="316"/>
      <c r="H7224" s="223">
        <v>0.0</v>
      </c>
      <c r="K7224" s="317"/>
    </row>
    <row r="7225">
      <c r="B7225" s="223" t="s">
        <v>200</v>
      </c>
      <c r="C7225" s="223"/>
      <c r="D7225" s="316"/>
      <c r="H7225" s="223">
        <v>0.0</v>
      </c>
      <c r="K7225" s="317"/>
    </row>
    <row r="7226">
      <c r="B7226" s="223" t="s">
        <v>200</v>
      </c>
      <c r="C7226" s="223"/>
      <c r="D7226" s="316"/>
      <c r="H7226" s="223">
        <v>0.0</v>
      </c>
      <c r="K7226" s="317"/>
    </row>
    <row r="7227">
      <c r="B7227" s="223" t="s">
        <v>200</v>
      </c>
      <c r="C7227" s="223"/>
      <c r="D7227" s="316"/>
      <c r="H7227" s="223">
        <v>0.0</v>
      </c>
      <c r="K7227" s="317"/>
    </row>
    <row r="7228">
      <c r="B7228" s="223" t="s">
        <v>200</v>
      </c>
      <c r="C7228" s="223"/>
      <c r="D7228" s="316"/>
      <c r="H7228" s="223">
        <v>0.0</v>
      </c>
      <c r="K7228" s="317"/>
    </row>
    <row r="7229">
      <c r="B7229" s="223" t="s">
        <v>200</v>
      </c>
      <c r="C7229" s="223"/>
      <c r="D7229" s="316"/>
      <c r="H7229" s="223">
        <v>0.0</v>
      </c>
      <c r="K7229" s="317"/>
    </row>
    <row r="7230">
      <c r="B7230" s="223" t="s">
        <v>200</v>
      </c>
      <c r="C7230" s="223"/>
      <c r="D7230" s="316"/>
      <c r="H7230" s="223">
        <v>0.0</v>
      </c>
      <c r="K7230" s="317"/>
    </row>
    <row r="7231">
      <c r="B7231" s="223" t="s">
        <v>200</v>
      </c>
      <c r="C7231" s="223"/>
      <c r="D7231" s="316"/>
      <c r="H7231" s="223">
        <v>0.0</v>
      </c>
      <c r="K7231" s="317"/>
    </row>
    <row r="7232">
      <c r="B7232" s="223" t="s">
        <v>200</v>
      </c>
      <c r="C7232" s="223"/>
      <c r="D7232" s="316"/>
      <c r="H7232" s="223">
        <v>0.0</v>
      </c>
      <c r="K7232" s="317"/>
    </row>
    <row r="7233">
      <c r="B7233" s="223" t="s">
        <v>200</v>
      </c>
      <c r="C7233" s="223"/>
      <c r="D7233" s="316"/>
      <c r="H7233" s="223">
        <v>0.0</v>
      </c>
      <c r="K7233" s="317"/>
    </row>
    <row r="7234">
      <c r="B7234" s="223" t="s">
        <v>200</v>
      </c>
      <c r="C7234" s="223"/>
      <c r="D7234" s="316"/>
      <c r="H7234" s="223">
        <v>0.0</v>
      </c>
      <c r="K7234" s="317"/>
    </row>
    <row r="7235">
      <c r="B7235" s="223" t="s">
        <v>200</v>
      </c>
      <c r="C7235" s="223"/>
      <c r="D7235" s="316"/>
      <c r="H7235" s="223">
        <v>0.0</v>
      </c>
      <c r="K7235" s="317"/>
    </row>
    <row r="7236">
      <c r="B7236" s="223" t="s">
        <v>200</v>
      </c>
      <c r="C7236" s="223"/>
      <c r="D7236" s="316"/>
      <c r="H7236" s="223">
        <v>0.0</v>
      </c>
      <c r="K7236" s="317"/>
    </row>
    <row r="7237">
      <c r="B7237" s="223" t="s">
        <v>200</v>
      </c>
      <c r="C7237" s="223"/>
      <c r="D7237" s="316"/>
      <c r="H7237" s="223">
        <v>0.0</v>
      </c>
      <c r="K7237" s="317"/>
    </row>
    <row r="7238">
      <c r="B7238" s="223" t="s">
        <v>200</v>
      </c>
      <c r="C7238" s="223"/>
      <c r="D7238" s="316"/>
      <c r="H7238" s="223">
        <v>0.0</v>
      </c>
      <c r="K7238" s="317"/>
    </row>
    <row r="7239">
      <c r="B7239" s="223" t="s">
        <v>200</v>
      </c>
      <c r="C7239" s="223"/>
      <c r="D7239" s="316"/>
      <c r="H7239" s="223">
        <v>0.0</v>
      </c>
      <c r="K7239" s="317"/>
    </row>
    <row r="7240">
      <c r="B7240" s="223" t="s">
        <v>200</v>
      </c>
      <c r="C7240" s="223"/>
      <c r="D7240" s="316"/>
      <c r="H7240" s="223">
        <v>0.0</v>
      </c>
      <c r="K7240" s="317"/>
    </row>
    <row r="7241">
      <c r="B7241" s="223" t="s">
        <v>200</v>
      </c>
      <c r="C7241" s="223"/>
      <c r="D7241" s="316"/>
      <c r="H7241" s="223">
        <v>0.0</v>
      </c>
      <c r="K7241" s="317"/>
    </row>
    <row r="7242">
      <c r="B7242" s="223" t="s">
        <v>200</v>
      </c>
      <c r="C7242" s="223"/>
      <c r="D7242" s="316"/>
      <c r="H7242" s="223">
        <v>0.0</v>
      </c>
      <c r="K7242" s="317"/>
    </row>
    <row r="7243">
      <c r="B7243" s="223" t="s">
        <v>200</v>
      </c>
      <c r="C7243" s="223"/>
      <c r="D7243" s="316"/>
      <c r="H7243" s="223">
        <v>0.0</v>
      </c>
      <c r="K7243" s="317"/>
    </row>
    <row r="7244">
      <c r="B7244" s="223" t="s">
        <v>200</v>
      </c>
      <c r="C7244" s="223"/>
      <c r="D7244" s="316"/>
      <c r="H7244" s="223">
        <v>0.0</v>
      </c>
      <c r="K7244" s="317"/>
    </row>
    <row r="7245">
      <c r="B7245" s="223" t="s">
        <v>200</v>
      </c>
      <c r="C7245" s="223"/>
      <c r="D7245" s="316"/>
      <c r="H7245" s="223">
        <v>0.0</v>
      </c>
      <c r="K7245" s="317"/>
    </row>
    <row r="7246">
      <c r="B7246" s="223" t="s">
        <v>200</v>
      </c>
      <c r="C7246" s="223"/>
      <c r="D7246" s="316"/>
      <c r="H7246" s="223">
        <v>0.0</v>
      </c>
      <c r="K7246" s="317"/>
    </row>
    <row r="7247">
      <c r="B7247" s="223" t="s">
        <v>200</v>
      </c>
      <c r="C7247" s="223"/>
      <c r="D7247" s="316"/>
      <c r="H7247" s="223">
        <v>0.0</v>
      </c>
      <c r="K7247" s="317"/>
    </row>
    <row r="7248">
      <c r="B7248" s="223" t="s">
        <v>200</v>
      </c>
      <c r="C7248" s="223"/>
      <c r="D7248" s="316"/>
      <c r="H7248" s="223">
        <v>0.0</v>
      </c>
      <c r="K7248" s="317"/>
    </row>
    <row r="7249">
      <c r="B7249" s="223" t="s">
        <v>200</v>
      </c>
      <c r="C7249" s="223"/>
      <c r="D7249" s="316"/>
      <c r="H7249" s="223">
        <v>0.0</v>
      </c>
      <c r="K7249" s="317"/>
    </row>
    <row r="7250">
      <c r="B7250" s="223" t="s">
        <v>200</v>
      </c>
      <c r="C7250" s="223"/>
      <c r="D7250" s="316"/>
      <c r="H7250" s="223">
        <v>0.0</v>
      </c>
      <c r="K7250" s="317"/>
    </row>
    <row r="7251">
      <c r="B7251" s="223" t="s">
        <v>200</v>
      </c>
      <c r="C7251" s="223"/>
      <c r="D7251" s="316"/>
      <c r="H7251" s="223">
        <v>0.0</v>
      </c>
      <c r="K7251" s="317"/>
    </row>
    <row r="7252">
      <c r="B7252" s="223" t="s">
        <v>200</v>
      </c>
      <c r="C7252" s="223"/>
      <c r="D7252" s="316"/>
      <c r="H7252" s="223">
        <v>0.0</v>
      </c>
      <c r="K7252" s="317"/>
    </row>
    <row r="7253">
      <c r="B7253" s="223" t="s">
        <v>200</v>
      </c>
      <c r="C7253" s="223"/>
      <c r="D7253" s="316"/>
      <c r="H7253" s="223">
        <v>0.0</v>
      </c>
      <c r="K7253" s="317"/>
    </row>
    <row r="7254">
      <c r="B7254" s="223" t="s">
        <v>200</v>
      </c>
      <c r="C7254" s="223"/>
      <c r="D7254" s="316"/>
      <c r="H7254" s="223">
        <v>0.0</v>
      </c>
      <c r="K7254" s="317"/>
    </row>
    <row r="7255">
      <c r="B7255" s="223" t="s">
        <v>200</v>
      </c>
      <c r="C7255" s="223"/>
      <c r="D7255" s="316"/>
      <c r="H7255" s="223">
        <v>0.0</v>
      </c>
      <c r="K7255" s="317"/>
    </row>
    <row r="7256">
      <c r="B7256" s="223" t="s">
        <v>200</v>
      </c>
      <c r="C7256" s="223"/>
      <c r="D7256" s="316"/>
      <c r="H7256" s="223">
        <v>0.0</v>
      </c>
      <c r="K7256" s="317"/>
    </row>
    <row r="7257">
      <c r="B7257" s="223" t="s">
        <v>200</v>
      </c>
      <c r="C7257" s="223"/>
      <c r="D7257" s="316"/>
      <c r="H7257" s="223">
        <v>0.0</v>
      </c>
      <c r="K7257" s="317"/>
    </row>
    <row r="7258">
      <c r="B7258" s="223" t="s">
        <v>200</v>
      </c>
      <c r="C7258" s="223"/>
      <c r="D7258" s="316"/>
      <c r="H7258" s="223">
        <v>0.0</v>
      </c>
      <c r="K7258" s="317"/>
    </row>
    <row r="7259">
      <c r="B7259" s="223" t="s">
        <v>200</v>
      </c>
      <c r="C7259" s="223"/>
      <c r="D7259" s="316"/>
      <c r="H7259" s="223">
        <v>0.0</v>
      </c>
      <c r="K7259" s="317"/>
    </row>
    <row r="7260">
      <c r="B7260" s="223" t="s">
        <v>200</v>
      </c>
      <c r="C7260" s="223"/>
      <c r="D7260" s="316"/>
      <c r="H7260" s="223">
        <v>0.0</v>
      </c>
      <c r="K7260" s="317"/>
    </row>
    <row r="7261">
      <c r="B7261" s="223" t="s">
        <v>200</v>
      </c>
      <c r="C7261" s="223"/>
      <c r="D7261" s="316"/>
      <c r="H7261" s="223">
        <v>0.0</v>
      </c>
      <c r="K7261" s="317"/>
    </row>
    <row r="7262">
      <c r="B7262" s="223" t="s">
        <v>200</v>
      </c>
      <c r="C7262" s="223"/>
      <c r="D7262" s="316"/>
      <c r="H7262" s="223">
        <v>0.0</v>
      </c>
      <c r="K7262" s="317"/>
    </row>
    <row r="7263">
      <c r="B7263" s="223" t="s">
        <v>200</v>
      </c>
      <c r="C7263" s="223"/>
      <c r="D7263" s="316"/>
      <c r="H7263" s="223">
        <v>0.0</v>
      </c>
      <c r="K7263" s="317"/>
    </row>
    <row r="7264">
      <c r="B7264" s="223" t="s">
        <v>200</v>
      </c>
      <c r="C7264" s="223"/>
      <c r="D7264" s="316"/>
      <c r="H7264" s="223">
        <v>0.0</v>
      </c>
      <c r="K7264" s="317"/>
    </row>
    <row r="7265">
      <c r="B7265" s="223" t="s">
        <v>200</v>
      </c>
      <c r="C7265" s="223"/>
      <c r="D7265" s="316"/>
      <c r="H7265" s="223">
        <v>0.0</v>
      </c>
      <c r="K7265" s="317"/>
    </row>
    <row r="7266">
      <c r="B7266" s="223" t="s">
        <v>200</v>
      </c>
      <c r="C7266" s="223"/>
      <c r="D7266" s="316"/>
      <c r="H7266" s="223">
        <v>0.0</v>
      </c>
      <c r="K7266" s="317"/>
    </row>
    <row r="7267">
      <c r="B7267" s="223" t="s">
        <v>200</v>
      </c>
      <c r="C7267" s="223"/>
      <c r="D7267" s="316"/>
      <c r="H7267" s="223">
        <v>0.0</v>
      </c>
      <c r="K7267" s="317"/>
    </row>
    <row r="7268">
      <c r="B7268" s="223" t="s">
        <v>200</v>
      </c>
      <c r="C7268" s="223"/>
      <c r="D7268" s="316"/>
      <c r="H7268" s="223">
        <v>0.0</v>
      </c>
      <c r="K7268" s="317"/>
    </row>
    <row r="7269">
      <c r="B7269" s="223" t="s">
        <v>200</v>
      </c>
      <c r="C7269" s="223"/>
      <c r="D7269" s="316"/>
      <c r="H7269" s="223">
        <v>0.0</v>
      </c>
      <c r="K7269" s="317"/>
    </row>
    <row r="7270">
      <c r="B7270" s="223" t="s">
        <v>200</v>
      </c>
      <c r="C7270" s="223"/>
      <c r="D7270" s="316"/>
      <c r="H7270" s="223">
        <v>0.0</v>
      </c>
      <c r="K7270" s="317"/>
    </row>
    <row r="7271">
      <c r="B7271" s="223" t="s">
        <v>200</v>
      </c>
      <c r="C7271" s="223"/>
      <c r="D7271" s="316"/>
      <c r="H7271" s="223">
        <v>0.0</v>
      </c>
      <c r="K7271" s="317"/>
    </row>
    <row r="7272">
      <c r="B7272" s="223" t="s">
        <v>200</v>
      </c>
      <c r="C7272" s="223"/>
      <c r="D7272" s="316"/>
      <c r="H7272" s="223">
        <v>0.0</v>
      </c>
      <c r="K7272" s="317"/>
    </row>
    <row r="7273">
      <c r="B7273" s="223" t="s">
        <v>200</v>
      </c>
      <c r="C7273" s="223"/>
      <c r="D7273" s="316"/>
      <c r="H7273" s="223">
        <v>0.0</v>
      </c>
      <c r="K7273" s="317"/>
    </row>
    <row r="7274">
      <c r="B7274" s="223" t="s">
        <v>200</v>
      </c>
      <c r="C7274" s="223"/>
      <c r="D7274" s="316"/>
      <c r="H7274" s="223">
        <v>0.0</v>
      </c>
      <c r="K7274" s="317"/>
    </row>
    <row r="7275">
      <c r="B7275" s="223" t="s">
        <v>200</v>
      </c>
      <c r="C7275" s="223"/>
      <c r="D7275" s="316"/>
      <c r="H7275" s="223">
        <v>0.0</v>
      </c>
      <c r="K7275" s="317"/>
    </row>
    <row r="7276">
      <c r="B7276" s="223" t="s">
        <v>200</v>
      </c>
      <c r="C7276" s="223"/>
      <c r="D7276" s="316"/>
      <c r="H7276" s="223">
        <v>0.0</v>
      </c>
      <c r="K7276" s="317"/>
    </row>
    <row r="7277">
      <c r="B7277" s="223" t="s">
        <v>200</v>
      </c>
      <c r="C7277" s="223"/>
      <c r="D7277" s="316"/>
      <c r="H7277" s="223">
        <v>0.0</v>
      </c>
      <c r="K7277" s="317"/>
    </row>
    <row r="7278">
      <c r="B7278" s="223" t="s">
        <v>200</v>
      </c>
      <c r="C7278" s="223"/>
      <c r="D7278" s="316"/>
      <c r="H7278" s="223">
        <v>0.0</v>
      </c>
      <c r="K7278" s="317"/>
    </row>
    <row r="7279">
      <c r="B7279" s="223" t="s">
        <v>200</v>
      </c>
      <c r="C7279" s="223"/>
      <c r="D7279" s="316"/>
      <c r="H7279" s="223">
        <v>0.0</v>
      </c>
      <c r="K7279" s="317"/>
    </row>
    <row r="7280">
      <c r="B7280" s="223" t="s">
        <v>200</v>
      </c>
      <c r="C7280" s="223"/>
      <c r="D7280" s="316"/>
      <c r="H7280" s="223">
        <v>0.0</v>
      </c>
      <c r="K7280" s="317"/>
    </row>
    <row r="7281">
      <c r="B7281" s="223" t="s">
        <v>200</v>
      </c>
      <c r="C7281" s="223"/>
      <c r="D7281" s="316"/>
      <c r="H7281" s="223">
        <v>0.0</v>
      </c>
      <c r="K7281" s="317"/>
    </row>
    <row r="7282">
      <c r="B7282" s="223" t="s">
        <v>200</v>
      </c>
      <c r="C7282" s="223"/>
      <c r="D7282" s="316"/>
      <c r="H7282" s="223">
        <v>0.0</v>
      </c>
      <c r="K7282" s="317"/>
    </row>
    <row r="7283">
      <c r="B7283" s="223" t="s">
        <v>200</v>
      </c>
      <c r="C7283" s="223"/>
      <c r="D7283" s="316"/>
      <c r="H7283" s="223">
        <v>0.0</v>
      </c>
      <c r="K7283" s="317"/>
    </row>
    <row r="7284">
      <c r="B7284" s="223" t="s">
        <v>200</v>
      </c>
      <c r="C7284" s="223"/>
      <c r="D7284" s="316"/>
      <c r="H7284" s="223">
        <v>0.0</v>
      </c>
      <c r="K7284" s="317"/>
    </row>
    <row r="7285">
      <c r="B7285" s="223" t="s">
        <v>200</v>
      </c>
      <c r="C7285" s="223"/>
      <c r="D7285" s="316"/>
      <c r="H7285" s="223">
        <v>0.0</v>
      </c>
      <c r="K7285" s="317"/>
    </row>
    <row r="7286">
      <c r="B7286" s="223" t="s">
        <v>200</v>
      </c>
      <c r="C7286" s="223"/>
      <c r="D7286" s="316"/>
      <c r="H7286" s="223">
        <v>0.0</v>
      </c>
      <c r="K7286" s="317"/>
    </row>
    <row r="7287">
      <c r="B7287" s="223" t="s">
        <v>200</v>
      </c>
      <c r="C7287" s="223"/>
      <c r="D7287" s="316"/>
      <c r="H7287" s="223">
        <v>0.0</v>
      </c>
      <c r="K7287" s="317"/>
    </row>
    <row r="7288">
      <c r="B7288" s="223" t="s">
        <v>200</v>
      </c>
      <c r="C7288" s="223"/>
      <c r="D7288" s="316"/>
      <c r="H7288" s="223">
        <v>0.0</v>
      </c>
      <c r="K7288" s="317"/>
    </row>
    <row r="7289">
      <c r="B7289" s="223" t="s">
        <v>200</v>
      </c>
      <c r="C7289" s="223"/>
      <c r="D7289" s="316"/>
      <c r="H7289" s="223">
        <v>0.0</v>
      </c>
      <c r="K7289" s="317"/>
    </row>
    <row r="7290">
      <c r="B7290" s="223" t="s">
        <v>200</v>
      </c>
      <c r="C7290" s="223"/>
      <c r="D7290" s="316"/>
      <c r="H7290" s="223">
        <v>0.0</v>
      </c>
      <c r="K7290" s="317"/>
    </row>
    <row r="7291">
      <c r="B7291" s="223" t="s">
        <v>200</v>
      </c>
      <c r="C7291" s="223"/>
      <c r="D7291" s="316"/>
      <c r="H7291" s="223">
        <v>0.0</v>
      </c>
      <c r="K7291" s="317"/>
    </row>
    <row r="7292">
      <c r="B7292" s="223" t="s">
        <v>200</v>
      </c>
      <c r="C7292" s="223"/>
      <c r="D7292" s="316"/>
      <c r="H7292" s="223">
        <v>0.0</v>
      </c>
      <c r="K7292" s="317"/>
    </row>
    <row r="7293">
      <c r="B7293" s="223" t="s">
        <v>200</v>
      </c>
      <c r="C7293" s="223"/>
      <c r="D7293" s="316"/>
      <c r="H7293" s="223">
        <v>0.0</v>
      </c>
      <c r="K7293" s="317"/>
    </row>
    <row r="7294">
      <c r="B7294" s="223" t="s">
        <v>200</v>
      </c>
      <c r="C7294" s="223"/>
      <c r="D7294" s="316"/>
      <c r="H7294" s="223">
        <v>0.0</v>
      </c>
      <c r="K7294" s="317"/>
    </row>
    <row r="7295">
      <c r="B7295" s="223" t="s">
        <v>200</v>
      </c>
      <c r="C7295" s="223"/>
      <c r="D7295" s="316"/>
      <c r="H7295" s="223">
        <v>0.0</v>
      </c>
      <c r="K7295" s="317"/>
    </row>
    <row r="7296">
      <c r="B7296" s="223" t="s">
        <v>200</v>
      </c>
      <c r="C7296" s="223"/>
      <c r="D7296" s="316"/>
      <c r="H7296" s="223">
        <v>0.0</v>
      </c>
      <c r="K7296" s="317"/>
    </row>
    <row r="7297">
      <c r="B7297" s="223" t="s">
        <v>200</v>
      </c>
      <c r="C7297" s="223"/>
      <c r="D7297" s="316"/>
      <c r="H7297" s="223">
        <v>0.0</v>
      </c>
      <c r="K7297" s="317"/>
    </row>
    <row r="7298">
      <c r="B7298" s="223" t="s">
        <v>200</v>
      </c>
      <c r="C7298" s="223"/>
      <c r="D7298" s="316"/>
      <c r="H7298" s="223">
        <v>0.0</v>
      </c>
      <c r="K7298" s="317"/>
    </row>
    <row r="7299">
      <c r="B7299" s="223" t="s">
        <v>200</v>
      </c>
      <c r="C7299" s="223"/>
      <c r="D7299" s="316"/>
      <c r="H7299" s="223">
        <v>0.0</v>
      </c>
      <c r="K7299" s="317"/>
    </row>
    <row r="7300">
      <c r="B7300" s="223" t="s">
        <v>200</v>
      </c>
      <c r="C7300" s="223"/>
      <c r="D7300" s="316"/>
      <c r="H7300" s="223">
        <v>0.0</v>
      </c>
      <c r="K7300" s="317"/>
    </row>
    <row r="7301">
      <c r="B7301" s="223" t="s">
        <v>200</v>
      </c>
      <c r="C7301" s="223"/>
      <c r="D7301" s="316"/>
      <c r="H7301" s="223">
        <v>0.0</v>
      </c>
      <c r="K7301" s="317"/>
    </row>
    <row r="7302">
      <c r="B7302" s="223" t="s">
        <v>200</v>
      </c>
      <c r="C7302" s="223"/>
      <c r="D7302" s="316"/>
      <c r="H7302" s="223">
        <v>0.0</v>
      </c>
      <c r="K7302" s="317"/>
    </row>
    <row r="7303">
      <c r="B7303" s="223" t="s">
        <v>200</v>
      </c>
      <c r="C7303" s="223"/>
      <c r="D7303" s="316"/>
      <c r="H7303" s="223">
        <v>0.0</v>
      </c>
      <c r="K7303" s="317"/>
    </row>
    <row r="7304">
      <c r="B7304" s="223" t="s">
        <v>200</v>
      </c>
      <c r="C7304" s="223"/>
      <c r="D7304" s="316"/>
      <c r="H7304" s="223">
        <v>0.0</v>
      </c>
      <c r="K7304" s="317"/>
    </row>
    <row r="7305">
      <c r="B7305" s="223" t="s">
        <v>200</v>
      </c>
      <c r="C7305" s="223"/>
      <c r="D7305" s="316"/>
      <c r="H7305" s="223">
        <v>0.0</v>
      </c>
      <c r="K7305" s="317"/>
    </row>
    <row r="7306">
      <c r="B7306" s="223" t="s">
        <v>200</v>
      </c>
      <c r="C7306" s="223"/>
      <c r="D7306" s="316"/>
      <c r="H7306" s="223">
        <v>0.0</v>
      </c>
      <c r="K7306" s="317"/>
    </row>
    <row r="7307">
      <c r="B7307" s="223" t="s">
        <v>200</v>
      </c>
      <c r="C7307" s="223"/>
      <c r="D7307" s="316"/>
      <c r="H7307" s="223">
        <v>0.0</v>
      </c>
      <c r="K7307" s="317"/>
    </row>
    <row r="7308">
      <c r="B7308" s="223" t="s">
        <v>200</v>
      </c>
      <c r="C7308" s="223"/>
      <c r="D7308" s="316"/>
      <c r="H7308" s="223">
        <v>0.0</v>
      </c>
      <c r="K7308" s="317"/>
    </row>
    <row r="7309">
      <c r="B7309" s="223" t="s">
        <v>200</v>
      </c>
      <c r="C7309" s="223"/>
      <c r="D7309" s="316"/>
      <c r="H7309" s="223">
        <v>0.0</v>
      </c>
      <c r="K7309" s="317"/>
    </row>
    <row r="7310">
      <c r="B7310" s="223" t="s">
        <v>200</v>
      </c>
      <c r="C7310" s="223"/>
      <c r="D7310" s="316"/>
      <c r="H7310" s="223">
        <v>0.0</v>
      </c>
      <c r="K7310" s="317"/>
    </row>
    <row r="7311">
      <c r="B7311" s="223" t="s">
        <v>200</v>
      </c>
      <c r="C7311" s="223"/>
      <c r="D7311" s="316"/>
      <c r="H7311" s="223">
        <v>0.0</v>
      </c>
      <c r="K7311" s="317"/>
    </row>
    <row r="7312">
      <c r="B7312" s="223" t="s">
        <v>200</v>
      </c>
      <c r="C7312" s="223"/>
      <c r="D7312" s="316"/>
      <c r="H7312" s="223">
        <v>0.0</v>
      </c>
      <c r="K7312" s="317"/>
    </row>
    <row r="7313">
      <c r="B7313" s="223" t="s">
        <v>200</v>
      </c>
      <c r="C7313" s="223"/>
      <c r="D7313" s="316"/>
      <c r="H7313" s="223">
        <v>0.0</v>
      </c>
      <c r="K7313" s="317"/>
    </row>
    <row r="7314">
      <c r="B7314" s="223" t="s">
        <v>200</v>
      </c>
      <c r="C7314" s="223"/>
      <c r="D7314" s="316"/>
      <c r="H7314" s="223">
        <v>0.0</v>
      </c>
      <c r="K7314" s="317"/>
    </row>
    <row r="7315">
      <c r="B7315" s="223" t="s">
        <v>200</v>
      </c>
      <c r="C7315" s="223"/>
      <c r="D7315" s="316"/>
      <c r="H7315" s="223">
        <v>0.0</v>
      </c>
      <c r="K7315" s="317"/>
    </row>
    <row r="7316">
      <c r="B7316" s="223" t="s">
        <v>200</v>
      </c>
      <c r="C7316" s="223"/>
      <c r="D7316" s="316"/>
      <c r="H7316" s="223">
        <v>0.0</v>
      </c>
      <c r="K7316" s="317"/>
    </row>
    <row r="7317">
      <c r="B7317" s="223" t="s">
        <v>200</v>
      </c>
      <c r="C7317" s="223"/>
      <c r="D7317" s="316"/>
      <c r="H7317" s="223">
        <v>0.0</v>
      </c>
      <c r="K7317" s="317"/>
    </row>
    <row r="7318">
      <c r="B7318" s="223" t="s">
        <v>200</v>
      </c>
      <c r="C7318" s="223"/>
      <c r="D7318" s="316"/>
      <c r="H7318" s="223">
        <v>0.0</v>
      </c>
      <c r="K7318" s="317"/>
    </row>
    <row r="7319">
      <c r="B7319" s="223" t="s">
        <v>200</v>
      </c>
      <c r="C7319" s="223"/>
      <c r="D7319" s="316"/>
      <c r="H7319" s="223">
        <v>0.0</v>
      </c>
      <c r="K7319" s="317"/>
    </row>
    <row r="7320">
      <c r="B7320" s="223" t="s">
        <v>200</v>
      </c>
      <c r="C7320" s="223"/>
      <c r="D7320" s="316"/>
      <c r="H7320" s="223">
        <v>0.0</v>
      </c>
      <c r="K7320" s="317"/>
    </row>
    <row r="7321">
      <c r="B7321" s="223" t="s">
        <v>200</v>
      </c>
      <c r="C7321" s="223"/>
      <c r="D7321" s="316"/>
      <c r="H7321" s="223">
        <v>0.0</v>
      </c>
      <c r="K7321" s="317"/>
    </row>
    <row r="7322">
      <c r="B7322" s="223" t="s">
        <v>200</v>
      </c>
      <c r="C7322" s="223"/>
      <c r="D7322" s="316"/>
      <c r="H7322" s="223">
        <v>0.0</v>
      </c>
      <c r="K7322" s="317"/>
    </row>
    <row r="7323">
      <c r="B7323" s="223" t="s">
        <v>200</v>
      </c>
      <c r="C7323" s="223"/>
      <c r="D7323" s="316"/>
      <c r="H7323" s="223">
        <v>0.0</v>
      </c>
      <c r="K7323" s="317"/>
    </row>
    <row r="7324">
      <c r="B7324" s="223" t="s">
        <v>200</v>
      </c>
      <c r="C7324" s="223"/>
      <c r="D7324" s="316"/>
      <c r="H7324" s="223">
        <v>0.0</v>
      </c>
      <c r="K7324" s="317"/>
    </row>
    <row r="7325">
      <c r="B7325" s="223" t="s">
        <v>200</v>
      </c>
      <c r="C7325" s="223"/>
      <c r="D7325" s="316"/>
      <c r="H7325" s="223">
        <v>0.0</v>
      </c>
      <c r="K7325" s="317"/>
    </row>
    <row r="7326">
      <c r="B7326" s="223" t="s">
        <v>200</v>
      </c>
      <c r="C7326" s="223"/>
      <c r="D7326" s="316"/>
      <c r="H7326" s="223">
        <v>0.0</v>
      </c>
      <c r="K7326" s="317"/>
    </row>
    <row r="7327">
      <c r="B7327" s="223" t="s">
        <v>200</v>
      </c>
      <c r="C7327" s="223"/>
      <c r="D7327" s="316"/>
      <c r="H7327" s="223">
        <v>0.0</v>
      </c>
      <c r="K7327" s="317"/>
    </row>
    <row r="7328">
      <c r="B7328" s="223" t="s">
        <v>200</v>
      </c>
      <c r="C7328" s="223"/>
      <c r="D7328" s="316"/>
      <c r="H7328" s="223">
        <v>0.0</v>
      </c>
      <c r="K7328" s="317"/>
    </row>
    <row r="7329">
      <c r="B7329" s="223" t="s">
        <v>200</v>
      </c>
      <c r="C7329" s="223"/>
      <c r="D7329" s="316"/>
      <c r="H7329" s="223">
        <v>0.0</v>
      </c>
      <c r="K7329" s="317"/>
    </row>
    <row r="7330">
      <c r="B7330" s="223" t="s">
        <v>200</v>
      </c>
      <c r="C7330" s="223"/>
      <c r="D7330" s="316"/>
      <c r="H7330" s="223">
        <v>0.0</v>
      </c>
      <c r="K7330" s="317"/>
    </row>
    <row r="7331">
      <c r="B7331" s="223" t="s">
        <v>200</v>
      </c>
      <c r="C7331" s="223"/>
      <c r="D7331" s="316"/>
      <c r="H7331" s="223">
        <v>0.0</v>
      </c>
      <c r="K7331" s="317"/>
    </row>
    <row r="7332">
      <c r="B7332" s="223" t="s">
        <v>200</v>
      </c>
      <c r="C7332" s="223"/>
      <c r="D7332" s="316"/>
      <c r="H7332" s="223">
        <v>0.0</v>
      </c>
      <c r="K7332" s="317"/>
    </row>
    <row r="7333">
      <c r="B7333" s="223" t="s">
        <v>200</v>
      </c>
      <c r="C7333" s="223"/>
      <c r="D7333" s="316"/>
      <c r="H7333" s="223">
        <v>0.0</v>
      </c>
      <c r="K7333" s="317"/>
    </row>
    <row r="7334">
      <c r="B7334" s="223" t="s">
        <v>200</v>
      </c>
      <c r="C7334" s="223"/>
      <c r="D7334" s="316"/>
      <c r="H7334" s="223">
        <v>0.0</v>
      </c>
      <c r="K7334" s="317"/>
    </row>
    <row r="7335">
      <c r="B7335" s="223" t="s">
        <v>200</v>
      </c>
      <c r="C7335" s="223"/>
      <c r="D7335" s="316"/>
      <c r="H7335" s="223">
        <v>0.0</v>
      </c>
      <c r="K7335" s="317"/>
    </row>
    <row r="7336">
      <c r="B7336" s="223" t="s">
        <v>200</v>
      </c>
      <c r="C7336" s="223"/>
      <c r="D7336" s="316"/>
      <c r="H7336" s="223">
        <v>0.0</v>
      </c>
      <c r="K7336" s="317"/>
    </row>
    <row r="7337">
      <c r="B7337" s="223" t="s">
        <v>200</v>
      </c>
      <c r="C7337" s="223"/>
      <c r="D7337" s="316"/>
      <c r="H7337" s="223">
        <v>0.0</v>
      </c>
      <c r="K7337" s="317"/>
    </row>
    <row r="7338">
      <c r="B7338" s="223" t="s">
        <v>200</v>
      </c>
      <c r="C7338" s="223"/>
      <c r="D7338" s="316"/>
      <c r="H7338" s="223">
        <v>0.0</v>
      </c>
      <c r="K7338" s="317"/>
    </row>
    <row r="7339">
      <c r="B7339" s="223" t="s">
        <v>200</v>
      </c>
      <c r="C7339" s="223"/>
      <c r="D7339" s="316"/>
      <c r="H7339" s="223">
        <v>0.0</v>
      </c>
      <c r="K7339" s="317"/>
    </row>
    <row r="7340">
      <c r="B7340" s="223" t="s">
        <v>200</v>
      </c>
      <c r="C7340" s="223"/>
      <c r="D7340" s="316"/>
      <c r="H7340" s="223">
        <v>0.0</v>
      </c>
      <c r="K7340" s="317"/>
    </row>
    <row r="7341">
      <c r="B7341" s="223" t="s">
        <v>200</v>
      </c>
      <c r="C7341" s="223"/>
      <c r="D7341" s="316"/>
      <c r="H7341" s="223">
        <v>0.0</v>
      </c>
      <c r="K7341" s="317"/>
    </row>
    <row r="7342">
      <c r="B7342" s="223" t="s">
        <v>200</v>
      </c>
      <c r="C7342" s="223"/>
      <c r="D7342" s="316"/>
      <c r="H7342" s="223">
        <v>0.0</v>
      </c>
      <c r="K7342" s="317"/>
    </row>
    <row r="7343">
      <c r="B7343" s="223" t="s">
        <v>200</v>
      </c>
      <c r="C7343" s="223"/>
      <c r="D7343" s="316"/>
      <c r="H7343" s="223">
        <v>0.0</v>
      </c>
      <c r="K7343" s="317"/>
    </row>
    <row r="7344">
      <c r="B7344" s="223" t="s">
        <v>200</v>
      </c>
      <c r="C7344" s="223"/>
      <c r="D7344" s="316"/>
      <c r="H7344" s="223">
        <v>0.0</v>
      </c>
      <c r="K7344" s="317"/>
    </row>
    <row r="7345">
      <c r="B7345" s="223" t="s">
        <v>200</v>
      </c>
      <c r="C7345" s="223"/>
      <c r="D7345" s="316"/>
      <c r="H7345" s="223">
        <v>0.0</v>
      </c>
      <c r="K7345" s="317"/>
    </row>
    <row r="7346">
      <c r="B7346" s="223" t="s">
        <v>200</v>
      </c>
      <c r="C7346" s="223"/>
      <c r="D7346" s="316"/>
      <c r="H7346" s="223">
        <v>0.0</v>
      </c>
      <c r="K7346" s="317"/>
    </row>
    <row r="7347">
      <c r="B7347" s="223" t="s">
        <v>200</v>
      </c>
      <c r="C7347" s="223"/>
      <c r="D7347" s="316"/>
      <c r="H7347" s="223">
        <v>0.0</v>
      </c>
      <c r="K7347" s="317"/>
    </row>
    <row r="7348">
      <c r="B7348" s="223" t="s">
        <v>200</v>
      </c>
      <c r="C7348" s="223"/>
      <c r="D7348" s="316"/>
      <c r="H7348" s="223">
        <v>0.0</v>
      </c>
      <c r="K7348" s="317"/>
    </row>
    <row r="7349">
      <c r="B7349" s="223" t="s">
        <v>200</v>
      </c>
      <c r="C7349" s="223"/>
      <c r="D7349" s="316"/>
      <c r="H7349" s="223">
        <v>0.0</v>
      </c>
      <c r="K7349" s="317"/>
    </row>
    <row r="7350">
      <c r="B7350" s="223" t="s">
        <v>200</v>
      </c>
      <c r="C7350" s="223"/>
      <c r="D7350" s="316"/>
      <c r="H7350" s="223">
        <v>0.0</v>
      </c>
      <c r="K7350" s="317"/>
    </row>
    <row r="7351">
      <c r="B7351" s="223" t="s">
        <v>200</v>
      </c>
      <c r="C7351" s="223"/>
      <c r="D7351" s="316"/>
      <c r="H7351" s="223">
        <v>0.0</v>
      </c>
      <c r="K7351" s="317"/>
    </row>
    <row r="7352">
      <c r="B7352" s="223" t="s">
        <v>200</v>
      </c>
      <c r="C7352" s="223"/>
      <c r="D7352" s="316"/>
      <c r="H7352" s="223">
        <v>0.0</v>
      </c>
      <c r="K7352" s="317"/>
    </row>
    <row r="7353">
      <c r="B7353" s="223" t="s">
        <v>200</v>
      </c>
      <c r="C7353" s="223"/>
      <c r="D7353" s="316"/>
      <c r="H7353" s="223">
        <v>0.0</v>
      </c>
      <c r="K7353" s="317"/>
    </row>
    <row r="7354">
      <c r="B7354" s="223" t="s">
        <v>200</v>
      </c>
      <c r="C7354" s="223"/>
      <c r="D7354" s="316"/>
      <c r="H7354" s="223">
        <v>0.0</v>
      </c>
      <c r="K7354" s="317"/>
    </row>
    <row r="7355">
      <c r="B7355" s="223" t="s">
        <v>200</v>
      </c>
      <c r="C7355" s="223"/>
      <c r="D7355" s="316"/>
      <c r="H7355" s="223">
        <v>0.0</v>
      </c>
      <c r="K7355" s="317"/>
    </row>
    <row r="7356">
      <c r="B7356" s="223" t="s">
        <v>200</v>
      </c>
      <c r="C7356" s="223"/>
      <c r="D7356" s="316"/>
      <c r="H7356" s="223">
        <v>0.0</v>
      </c>
      <c r="K7356" s="317"/>
    </row>
    <row r="7357">
      <c r="B7357" s="223" t="s">
        <v>200</v>
      </c>
      <c r="C7357" s="223"/>
      <c r="D7357" s="316"/>
      <c r="H7357" s="223">
        <v>0.0</v>
      </c>
      <c r="K7357" s="317"/>
    </row>
    <row r="7358">
      <c r="B7358" s="223" t="s">
        <v>200</v>
      </c>
      <c r="C7358" s="223"/>
      <c r="D7358" s="316"/>
      <c r="H7358" s="223">
        <v>0.0</v>
      </c>
      <c r="K7358" s="317"/>
    </row>
    <row r="7359">
      <c r="B7359" s="223" t="s">
        <v>200</v>
      </c>
      <c r="C7359" s="223"/>
      <c r="D7359" s="316"/>
      <c r="H7359" s="223">
        <v>0.0</v>
      </c>
      <c r="K7359" s="317"/>
    </row>
    <row r="7360">
      <c r="B7360" s="223" t="s">
        <v>200</v>
      </c>
      <c r="C7360" s="223"/>
      <c r="D7360" s="316"/>
      <c r="H7360" s="223">
        <v>0.0</v>
      </c>
      <c r="K7360" s="317"/>
    </row>
    <row r="7361">
      <c r="B7361" s="223" t="s">
        <v>200</v>
      </c>
      <c r="C7361" s="223"/>
      <c r="D7361" s="316"/>
      <c r="H7361" s="223">
        <v>0.0</v>
      </c>
      <c r="K7361" s="317"/>
    </row>
    <row r="7362">
      <c r="B7362" s="223" t="s">
        <v>200</v>
      </c>
      <c r="C7362" s="223"/>
      <c r="D7362" s="316"/>
      <c r="H7362" s="223">
        <v>0.0</v>
      </c>
      <c r="K7362" s="317"/>
    </row>
    <row r="7363">
      <c r="B7363" s="223" t="s">
        <v>200</v>
      </c>
      <c r="C7363" s="223"/>
      <c r="D7363" s="316"/>
      <c r="H7363" s="223">
        <v>0.0</v>
      </c>
      <c r="K7363" s="317"/>
    </row>
    <row r="7364">
      <c r="B7364" s="223" t="s">
        <v>200</v>
      </c>
      <c r="C7364" s="223"/>
      <c r="D7364" s="316"/>
      <c r="H7364" s="223">
        <v>0.0</v>
      </c>
      <c r="K7364" s="317"/>
    </row>
    <row r="7365">
      <c r="B7365" s="223" t="s">
        <v>200</v>
      </c>
      <c r="C7365" s="223"/>
      <c r="D7365" s="316"/>
      <c r="H7365" s="223">
        <v>0.0</v>
      </c>
      <c r="K7365" s="317"/>
    </row>
    <row r="7366">
      <c r="B7366" s="223" t="s">
        <v>200</v>
      </c>
      <c r="C7366" s="223"/>
      <c r="D7366" s="316"/>
      <c r="H7366" s="223">
        <v>0.0</v>
      </c>
      <c r="K7366" s="317"/>
    </row>
    <row r="7367">
      <c r="B7367" s="223" t="s">
        <v>200</v>
      </c>
      <c r="C7367" s="223"/>
      <c r="D7367" s="316"/>
      <c r="H7367" s="223">
        <v>0.0</v>
      </c>
      <c r="K7367" s="317"/>
    </row>
    <row r="7368">
      <c r="B7368" s="223" t="s">
        <v>200</v>
      </c>
      <c r="C7368" s="223"/>
      <c r="D7368" s="316"/>
      <c r="H7368" s="223">
        <v>0.0</v>
      </c>
      <c r="K7368" s="317"/>
    </row>
    <row r="7369">
      <c r="B7369" s="223" t="s">
        <v>200</v>
      </c>
      <c r="C7369" s="223"/>
      <c r="D7369" s="316"/>
      <c r="H7369" s="223">
        <v>0.0</v>
      </c>
      <c r="K7369" s="317"/>
    </row>
    <row r="7370">
      <c r="B7370" s="223" t="s">
        <v>200</v>
      </c>
      <c r="C7370" s="223"/>
      <c r="D7370" s="316"/>
      <c r="H7370" s="223">
        <v>0.0</v>
      </c>
      <c r="K7370" s="317"/>
    </row>
    <row r="7371">
      <c r="B7371" s="223" t="s">
        <v>200</v>
      </c>
      <c r="C7371" s="223"/>
      <c r="D7371" s="316"/>
      <c r="H7371" s="223">
        <v>0.0</v>
      </c>
      <c r="K7371" s="317"/>
    </row>
    <row r="7372">
      <c r="B7372" s="223" t="s">
        <v>200</v>
      </c>
      <c r="C7372" s="223"/>
      <c r="D7372" s="316"/>
      <c r="H7372" s="223">
        <v>0.0</v>
      </c>
      <c r="K7372" s="317"/>
    </row>
    <row r="7373">
      <c r="B7373" s="223" t="s">
        <v>200</v>
      </c>
      <c r="C7373" s="223"/>
      <c r="D7373" s="316"/>
      <c r="H7373" s="223">
        <v>0.0</v>
      </c>
      <c r="K7373" s="317"/>
    </row>
    <row r="7374">
      <c r="B7374" s="223" t="s">
        <v>200</v>
      </c>
      <c r="C7374" s="223"/>
      <c r="D7374" s="316"/>
      <c r="H7374" s="223">
        <v>0.0</v>
      </c>
      <c r="K7374" s="317"/>
    </row>
    <row r="7375">
      <c r="B7375" s="223" t="s">
        <v>200</v>
      </c>
      <c r="C7375" s="223"/>
      <c r="D7375" s="316"/>
      <c r="H7375" s="223">
        <v>0.0</v>
      </c>
      <c r="K7375" s="317"/>
    </row>
    <row r="7376">
      <c r="B7376" s="223" t="s">
        <v>200</v>
      </c>
      <c r="C7376" s="223"/>
      <c r="D7376" s="316"/>
      <c r="H7376" s="223">
        <v>0.0</v>
      </c>
      <c r="K7376" s="317"/>
    </row>
    <row r="7377">
      <c r="B7377" s="223" t="s">
        <v>200</v>
      </c>
      <c r="C7377" s="223"/>
      <c r="D7377" s="316"/>
      <c r="H7377" s="223">
        <v>0.0</v>
      </c>
      <c r="K7377" s="317"/>
    </row>
    <row r="7378">
      <c r="B7378" s="223" t="s">
        <v>200</v>
      </c>
      <c r="C7378" s="223"/>
      <c r="D7378" s="316"/>
      <c r="H7378" s="223">
        <v>0.0</v>
      </c>
      <c r="K7378" s="317"/>
    </row>
    <row r="7379">
      <c r="B7379" s="223" t="s">
        <v>200</v>
      </c>
      <c r="C7379" s="223"/>
      <c r="D7379" s="316"/>
      <c r="H7379" s="223">
        <v>0.0</v>
      </c>
      <c r="K7379" s="317"/>
    </row>
    <row r="7380">
      <c r="B7380" s="223" t="s">
        <v>200</v>
      </c>
      <c r="C7380" s="223"/>
      <c r="D7380" s="316"/>
      <c r="H7380" s="223">
        <v>0.0</v>
      </c>
      <c r="K7380" s="317"/>
    </row>
    <row r="7381">
      <c r="B7381" s="223" t="s">
        <v>200</v>
      </c>
      <c r="C7381" s="223"/>
      <c r="D7381" s="316"/>
      <c r="H7381" s="223">
        <v>0.0</v>
      </c>
      <c r="K7381" s="317"/>
    </row>
    <row r="7382">
      <c r="B7382" s="223" t="s">
        <v>200</v>
      </c>
      <c r="C7382" s="223"/>
      <c r="D7382" s="316"/>
      <c r="H7382" s="223">
        <v>0.0</v>
      </c>
      <c r="K7382" s="317"/>
    </row>
    <row r="7383">
      <c r="B7383" s="223" t="s">
        <v>200</v>
      </c>
      <c r="C7383" s="223"/>
      <c r="D7383" s="316"/>
      <c r="H7383" s="223">
        <v>0.0</v>
      </c>
      <c r="K7383" s="317"/>
    </row>
    <row r="7384">
      <c r="B7384" s="223" t="s">
        <v>200</v>
      </c>
      <c r="C7384" s="223"/>
      <c r="D7384" s="316"/>
      <c r="H7384" s="223">
        <v>0.0</v>
      </c>
      <c r="K7384" s="317"/>
    </row>
    <row r="7385">
      <c r="B7385" s="223" t="s">
        <v>200</v>
      </c>
      <c r="C7385" s="223"/>
      <c r="D7385" s="316"/>
      <c r="H7385" s="223">
        <v>0.0</v>
      </c>
      <c r="K7385" s="317"/>
    </row>
    <row r="7386">
      <c r="B7386" s="223" t="s">
        <v>200</v>
      </c>
      <c r="C7386" s="223"/>
      <c r="D7386" s="316"/>
      <c r="H7386" s="223">
        <v>0.0</v>
      </c>
      <c r="K7386" s="317"/>
    </row>
    <row r="7387">
      <c r="B7387" s="223" t="s">
        <v>200</v>
      </c>
      <c r="C7387" s="223"/>
      <c r="D7387" s="316"/>
      <c r="H7387" s="223">
        <v>0.0</v>
      </c>
      <c r="K7387" s="317"/>
    </row>
    <row r="7388">
      <c r="B7388" s="223" t="s">
        <v>200</v>
      </c>
      <c r="C7388" s="223"/>
      <c r="D7388" s="316"/>
      <c r="H7388" s="223">
        <v>0.0</v>
      </c>
      <c r="K7388" s="317"/>
    </row>
    <row r="7389">
      <c r="B7389" s="223" t="s">
        <v>200</v>
      </c>
      <c r="C7389" s="223"/>
      <c r="D7389" s="316"/>
      <c r="H7389" s="223">
        <v>0.0</v>
      </c>
      <c r="K7389" s="317"/>
    </row>
    <row r="7390">
      <c r="B7390" s="223" t="s">
        <v>200</v>
      </c>
      <c r="C7390" s="223"/>
      <c r="D7390" s="316"/>
      <c r="H7390" s="223">
        <v>0.0</v>
      </c>
      <c r="K7390" s="317"/>
    </row>
    <row r="7391">
      <c r="B7391" s="223" t="s">
        <v>200</v>
      </c>
      <c r="C7391" s="223"/>
      <c r="D7391" s="316"/>
      <c r="H7391" s="223">
        <v>0.0</v>
      </c>
      <c r="K7391" s="317"/>
    </row>
    <row r="7392">
      <c r="B7392" s="223" t="s">
        <v>200</v>
      </c>
      <c r="C7392" s="223"/>
      <c r="D7392" s="316"/>
      <c r="H7392" s="223">
        <v>0.0</v>
      </c>
      <c r="K7392" s="317"/>
    </row>
    <row r="7393">
      <c r="B7393" s="223" t="s">
        <v>200</v>
      </c>
      <c r="C7393" s="223"/>
      <c r="D7393" s="316"/>
      <c r="H7393" s="223">
        <v>0.0</v>
      </c>
      <c r="K7393" s="317"/>
    </row>
    <row r="7394">
      <c r="B7394" s="223" t="s">
        <v>200</v>
      </c>
      <c r="C7394" s="223"/>
      <c r="D7394" s="316"/>
      <c r="H7394" s="223">
        <v>0.0</v>
      </c>
      <c r="K7394" s="317"/>
    </row>
    <row r="7395">
      <c r="B7395" s="223" t="s">
        <v>200</v>
      </c>
      <c r="C7395" s="223"/>
      <c r="D7395" s="316"/>
      <c r="H7395" s="223">
        <v>0.0</v>
      </c>
      <c r="K7395" s="317"/>
    </row>
    <row r="7396">
      <c r="B7396" s="223" t="s">
        <v>200</v>
      </c>
      <c r="C7396" s="223"/>
      <c r="D7396" s="316"/>
      <c r="H7396" s="223">
        <v>0.0</v>
      </c>
      <c r="K7396" s="317"/>
    </row>
    <row r="7397">
      <c r="B7397" s="223" t="s">
        <v>200</v>
      </c>
      <c r="C7397" s="223"/>
      <c r="D7397" s="316"/>
      <c r="H7397" s="223">
        <v>0.0</v>
      </c>
      <c r="K7397" s="317"/>
    </row>
    <row r="7398">
      <c r="B7398" s="223" t="s">
        <v>200</v>
      </c>
      <c r="C7398" s="223"/>
      <c r="D7398" s="316"/>
      <c r="H7398" s="223">
        <v>0.0</v>
      </c>
      <c r="K7398" s="317"/>
    </row>
    <row r="7399">
      <c r="B7399" s="223" t="s">
        <v>200</v>
      </c>
      <c r="C7399" s="223"/>
      <c r="D7399" s="316"/>
      <c r="H7399" s="223">
        <v>0.0</v>
      </c>
      <c r="K7399" s="317"/>
    </row>
    <row r="7400">
      <c r="B7400" s="223" t="s">
        <v>200</v>
      </c>
      <c r="C7400" s="223"/>
      <c r="D7400" s="316"/>
      <c r="H7400" s="223">
        <v>0.0</v>
      </c>
      <c r="K7400" s="317"/>
    </row>
    <row r="7401">
      <c r="B7401" s="223" t="s">
        <v>200</v>
      </c>
      <c r="C7401" s="223"/>
      <c r="D7401" s="316"/>
      <c r="H7401" s="223">
        <v>0.0</v>
      </c>
      <c r="K7401" s="317"/>
    </row>
    <row r="7402">
      <c r="B7402" s="223" t="s">
        <v>200</v>
      </c>
      <c r="C7402" s="223"/>
      <c r="D7402" s="316"/>
      <c r="H7402" s="223">
        <v>0.0</v>
      </c>
      <c r="K7402" s="317"/>
    </row>
    <row r="7403">
      <c r="B7403" s="223" t="s">
        <v>200</v>
      </c>
      <c r="C7403" s="223"/>
      <c r="D7403" s="316"/>
      <c r="H7403" s="223">
        <v>0.0</v>
      </c>
      <c r="K7403" s="317"/>
    </row>
    <row r="7404">
      <c r="B7404" s="223" t="s">
        <v>200</v>
      </c>
      <c r="C7404" s="223"/>
      <c r="D7404" s="316"/>
      <c r="H7404" s="223">
        <v>0.0</v>
      </c>
      <c r="K7404" s="317"/>
    </row>
    <row r="7405">
      <c r="B7405" s="223" t="s">
        <v>200</v>
      </c>
      <c r="C7405" s="223"/>
      <c r="D7405" s="316"/>
      <c r="H7405" s="223">
        <v>0.0</v>
      </c>
      <c r="K7405" s="317"/>
    </row>
    <row r="7406">
      <c r="B7406" s="223" t="s">
        <v>200</v>
      </c>
      <c r="C7406" s="223"/>
      <c r="D7406" s="316"/>
      <c r="H7406" s="223">
        <v>0.0</v>
      </c>
      <c r="K7406" s="317"/>
    </row>
    <row r="7407">
      <c r="B7407" s="223" t="s">
        <v>200</v>
      </c>
      <c r="C7407" s="223"/>
      <c r="D7407" s="316"/>
      <c r="H7407" s="223">
        <v>0.0</v>
      </c>
      <c r="K7407" s="317"/>
    </row>
    <row r="7408">
      <c r="B7408" s="223" t="s">
        <v>200</v>
      </c>
      <c r="C7408" s="223"/>
      <c r="D7408" s="316"/>
      <c r="H7408" s="223">
        <v>0.0</v>
      </c>
      <c r="K7408" s="317"/>
    </row>
    <row r="7409">
      <c r="B7409" s="223" t="s">
        <v>200</v>
      </c>
      <c r="C7409" s="223"/>
      <c r="D7409" s="316"/>
      <c r="H7409" s="223">
        <v>0.0</v>
      </c>
      <c r="K7409" s="317"/>
    </row>
    <row r="7410">
      <c r="B7410" s="223" t="s">
        <v>200</v>
      </c>
      <c r="C7410" s="223"/>
      <c r="D7410" s="316"/>
      <c r="H7410" s="223">
        <v>0.0</v>
      </c>
      <c r="K7410" s="317"/>
    </row>
    <row r="7411">
      <c r="B7411" s="223" t="s">
        <v>200</v>
      </c>
      <c r="C7411" s="223"/>
      <c r="D7411" s="316"/>
      <c r="H7411" s="223">
        <v>0.0</v>
      </c>
      <c r="K7411" s="317"/>
    </row>
    <row r="7412">
      <c r="B7412" s="223" t="s">
        <v>200</v>
      </c>
      <c r="C7412" s="223"/>
      <c r="D7412" s="316"/>
      <c r="H7412" s="223">
        <v>0.0</v>
      </c>
      <c r="K7412" s="317"/>
    </row>
    <row r="7413">
      <c r="B7413" s="223" t="s">
        <v>200</v>
      </c>
      <c r="C7413" s="223"/>
      <c r="D7413" s="316"/>
      <c r="H7413" s="223">
        <v>0.0</v>
      </c>
      <c r="K7413" s="317"/>
    </row>
    <row r="7414">
      <c r="B7414" s="223" t="s">
        <v>200</v>
      </c>
      <c r="C7414" s="223"/>
      <c r="D7414" s="316"/>
      <c r="H7414" s="223">
        <v>0.0</v>
      </c>
      <c r="K7414" s="317"/>
    </row>
    <row r="7415">
      <c r="B7415" s="223" t="s">
        <v>200</v>
      </c>
      <c r="C7415" s="223"/>
      <c r="D7415" s="316"/>
      <c r="H7415" s="223">
        <v>0.0</v>
      </c>
      <c r="K7415" s="317"/>
    </row>
    <row r="7416">
      <c r="B7416" s="223" t="s">
        <v>200</v>
      </c>
      <c r="C7416" s="223"/>
      <c r="D7416" s="316"/>
      <c r="H7416" s="223">
        <v>0.0</v>
      </c>
      <c r="K7416" s="317"/>
    </row>
    <row r="7417">
      <c r="B7417" s="223" t="s">
        <v>200</v>
      </c>
      <c r="C7417" s="223"/>
      <c r="D7417" s="316"/>
      <c r="H7417" s="223">
        <v>0.0</v>
      </c>
      <c r="K7417" s="317"/>
    </row>
    <row r="7418">
      <c r="B7418" s="223" t="s">
        <v>200</v>
      </c>
      <c r="C7418" s="223"/>
      <c r="D7418" s="316"/>
      <c r="H7418" s="223">
        <v>0.0</v>
      </c>
      <c r="K7418" s="317"/>
    </row>
    <row r="7419">
      <c r="B7419" s="223" t="s">
        <v>200</v>
      </c>
      <c r="C7419" s="223"/>
      <c r="D7419" s="316"/>
      <c r="H7419" s="223">
        <v>0.0</v>
      </c>
      <c r="K7419" s="317"/>
    </row>
    <row r="7420">
      <c r="B7420" s="223" t="s">
        <v>200</v>
      </c>
      <c r="C7420" s="223"/>
      <c r="D7420" s="316"/>
      <c r="H7420" s="223">
        <v>0.0</v>
      </c>
      <c r="K7420" s="317"/>
    </row>
    <row r="7421">
      <c r="B7421" s="223" t="s">
        <v>200</v>
      </c>
      <c r="C7421" s="223"/>
      <c r="D7421" s="316"/>
      <c r="H7421" s="223">
        <v>0.0</v>
      </c>
      <c r="K7421" s="317"/>
    </row>
    <row r="7422">
      <c r="B7422" s="223" t="s">
        <v>200</v>
      </c>
      <c r="C7422" s="223"/>
      <c r="D7422" s="316"/>
      <c r="H7422" s="223">
        <v>0.0</v>
      </c>
      <c r="K7422" s="317"/>
    </row>
    <row r="7423">
      <c r="B7423" s="223" t="s">
        <v>200</v>
      </c>
      <c r="C7423" s="223"/>
      <c r="D7423" s="316"/>
      <c r="H7423" s="223">
        <v>0.0</v>
      </c>
      <c r="K7423" s="317"/>
    </row>
    <row r="7424">
      <c r="B7424" s="223" t="s">
        <v>200</v>
      </c>
      <c r="C7424" s="223"/>
      <c r="D7424" s="316"/>
      <c r="H7424" s="223">
        <v>0.0</v>
      </c>
      <c r="K7424" s="317"/>
    </row>
    <row r="7425">
      <c r="B7425" s="223" t="s">
        <v>200</v>
      </c>
      <c r="C7425" s="223"/>
      <c r="D7425" s="316"/>
      <c r="H7425" s="223">
        <v>0.0</v>
      </c>
      <c r="K7425" s="317"/>
    </row>
    <row r="7426">
      <c r="B7426" s="223" t="s">
        <v>200</v>
      </c>
      <c r="C7426" s="223"/>
      <c r="D7426" s="316"/>
      <c r="H7426" s="223">
        <v>0.0</v>
      </c>
      <c r="K7426" s="317"/>
    </row>
    <row r="7427">
      <c r="B7427" s="223" t="s">
        <v>200</v>
      </c>
      <c r="C7427" s="223"/>
      <c r="D7427" s="316"/>
      <c r="H7427" s="223">
        <v>0.0</v>
      </c>
      <c r="K7427" s="317"/>
    </row>
    <row r="7428">
      <c r="B7428" s="223" t="s">
        <v>200</v>
      </c>
      <c r="C7428" s="223"/>
      <c r="D7428" s="316"/>
      <c r="H7428" s="223">
        <v>0.0</v>
      </c>
      <c r="K7428" s="317"/>
    </row>
    <row r="7429">
      <c r="B7429" s="223" t="s">
        <v>200</v>
      </c>
      <c r="C7429" s="223"/>
      <c r="D7429" s="316"/>
      <c r="H7429" s="223">
        <v>0.0</v>
      </c>
      <c r="K7429" s="317"/>
    </row>
    <row r="7430">
      <c r="B7430" s="223" t="s">
        <v>200</v>
      </c>
      <c r="C7430" s="223"/>
      <c r="D7430" s="316"/>
      <c r="H7430" s="223">
        <v>0.0</v>
      </c>
      <c r="K7430" s="317"/>
    </row>
    <row r="7431">
      <c r="B7431" s="223" t="s">
        <v>200</v>
      </c>
      <c r="C7431" s="223"/>
      <c r="D7431" s="316"/>
      <c r="H7431" s="223">
        <v>0.0</v>
      </c>
      <c r="K7431" s="317"/>
    </row>
    <row r="7432">
      <c r="B7432" s="223" t="s">
        <v>200</v>
      </c>
      <c r="C7432" s="223"/>
      <c r="D7432" s="316"/>
      <c r="H7432" s="223">
        <v>0.0</v>
      </c>
      <c r="K7432" s="317"/>
    </row>
    <row r="7433">
      <c r="B7433" s="223" t="s">
        <v>200</v>
      </c>
      <c r="C7433" s="223"/>
      <c r="D7433" s="316"/>
      <c r="H7433" s="223">
        <v>0.0</v>
      </c>
      <c r="K7433" s="317"/>
    </row>
    <row r="7434">
      <c r="B7434" s="223" t="s">
        <v>200</v>
      </c>
      <c r="C7434" s="223"/>
      <c r="D7434" s="316"/>
      <c r="H7434" s="223">
        <v>0.0</v>
      </c>
      <c r="K7434" s="317"/>
    </row>
    <row r="7435">
      <c r="B7435" s="223" t="s">
        <v>200</v>
      </c>
      <c r="C7435" s="223"/>
      <c r="D7435" s="316"/>
      <c r="H7435" s="223">
        <v>0.0</v>
      </c>
      <c r="K7435" s="317"/>
    </row>
    <row r="7436">
      <c r="B7436" s="223" t="s">
        <v>200</v>
      </c>
      <c r="C7436" s="223"/>
      <c r="D7436" s="316"/>
      <c r="H7436" s="223">
        <v>0.0</v>
      </c>
      <c r="K7436" s="317"/>
    </row>
    <row r="7437">
      <c r="B7437" s="223" t="s">
        <v>200</v>
      </c>
      <c r="C7437" s="223"/>
      <c r="D7437" s="316"/>
      <c r="H7437" s="223">
        <v>0.0</v>
      </c>
      <c r="K7437" s="317"/>
    </row>
    <row r="7438">
      <c r="B7438" s="223" t="s">
        <v>200</v>
      </c>
      <c r="C7438" s="223"/>
      <c r="D7438" s="316"/>
      <c r="H7438" s="223">
        <v>0.0</v>
      </c>
      <c r="K7438" s="317"/>
    </row>
    <row r="7439">
      <c r="B7439" s="223" t="s">
        <v>200</v>
      </c>
      <c r="C7439" s="223"/>
      <c r="D7439" s="316"/>
      <c r="H7439" s="223">
        <v>0.0</v>
      </c>
      <c r="K7439" s="317"/>
    </row>
    <row r="7440">
      <c r="B7440" s="223" t="s">
        <v>200</v>
      </c>
      <c r="C7440" s="223"/>
      <c r="D7440" s="316"/>
      <c r="H7440" s="223">
        <v>0.0</v>
      </c>
      <c r="K7440" s="317"/>
    </row>
    <row r="7441">
      <c r="B7441" s="223" t="s">
        <v>200</v>
      </c>
      <c r="C7441" s="223"/>
      <c r="D7441" s="316"/>
      <c r="H7441" s="223">
        <v>0.0</v>
      </c>
      <c r="K7441" s="317"/>
    </row>
    <row r="7442">
      <c r="B7442" s="223" t="s">
        <v>200</v>
      </c>
      <c r="C7442" s="223"/>
      <c r="D7442" s="316"/>
      <c r="H7442" s="223">
        <v>0.0</v>
      </c>
      <c r="K7442" s="317"/>
    </row>
    <row r="7443">
      <c r="B7443" s="223" t="s">
        <v>200</v>
      </c>
      <c r="C7443" s="223"/>
      <c r="D7443" s="316"/>
      <c r="H7443" s="223">
        <v>0.0</v>
      </c>
      <c r="K7443" s="317"/>
    </row>
    <row r="7444">
      <c r="B7444" s="223" t="s">
        <v>200</v>
      </c>
      <c r="C7444" s="223"/>
      <c r="D7444" s="316"/>
      <c r="H7444" s="223">
        <v>0.0</v>
      </c>
      <c r="K7444" s="317"/>
    </row>
    <row r="7445">
      <c r="B7445" s="223" t="s">
        <v>200</v>
      </c>
      <c r="C7445" s="223"/>
      <c r="D7445" s="316"/>
      <c r="H7445" s="223">
        <v>0.0</v>
      </c>
      <c r="K7445" s="317"/>
    </row>
    <row r="7446">
      <c r="B7446" s="223" t="s">
        <v>200</v>
      </c>
      <c r="C7446" s="223"/>
      <c r="D7446" s="316"/>
      <c r="H7446" s="223">
        <v>0.0</v>
      </c>
      <c r="K7446" s="317"/>
    </row>
    <row r="7447">
      <c r="B7447" s="223" t="s">
        <v>200</v>
      </c>
      <c r="C7447" s="223"/>
      <c r="D7447" s="316"/>
      <c r="H7447" s="223">
        <v>0.0</v>
      </c>
      <c r="K7447" s="317"/>
    </row>
    <row r="7448">
      <c r="B7448" s="223" t="s">
        <v>200</v>
      </c>
      <c r="C7448" s="223"/>
      <c r="D7448" s="316"/>
      <c r="H7448" s="223">
        <v>0.0</v>
      </c>
      <c r="K7448" s="317"/>
    </row>
    <row r="7449">
      <c r="B7449" s="223" t="s">
        <v>200</v>
      </c>
      <c r="C7449" s="223"/>
      <c r="D7449" s="316"/>
      <c r="H7449" s="223">
        <v>0.0</v>
      </c>
      <c r="K7449" s="317"/>
    </row>
    <row r="7450">
      <c r="B7450" s="223" t="s">
        <v>200</v>
      </c>
      <c r="C7450" s="223"/>
      <c r="D7450" s="316"/>
      <c r="H7450" s="223">
        <v>0.0</v>
      </c>
      <c r="K7450" s="317"/>
    </row>
    <row r="7451">
      <c r="B7451" s="223" t="s">
        <v>200</v>
      </c>
      <c r="C7451" s="223"/>
      <c r="D7451" s="316"/>
      <c r="H7451" s="223">
        <v>0.0</v>
      </c>
      <c r="K7451" s="317"/>
    </row>
    <row r="7452">
      <c r="B7452" s="223" t="s">
        <v>200</v>
      </c>
      <c r="C7452" s="223"/>
      <c r="D7452" s="316"/>
      <c r="H7452" s="223">
        <v>0.0</v>
      </c>
      <c r="K7452" s="317"/>
    </row>
    <row r="7453">
      <c r="B7453" s="223" t="s">
        <v>200</v>
      </c>
      <c r="C7453" s="223"/>
      <c r="D7453" s="316"/>
      <c r="H7453" s="223">
        <v>0.0</v>
      </c>
      <c r="K7453" s="317"/>
    </row>
    <row r="7454">
      <c r="B7454" s="223" t="s">
        <v>200</v>
      </c>
      <c r="C7454" s="223"/>
      <c r="D7454" s="316"/>
      <c r="H7454" s="223">
        <v>0.0</v>
      </c>
      <c r="K7454" s="317"/>
    </row>
    <row r="7455">
      <c r="B7455" s="223" t="s">
        <v>200</v>
      </c>
      <c r="C7455" s="223"/>
      <c r="D7455" s="316"/>
      <c r="H7455" s="223">
        <v>0.0</v>
      </c>
      <c r="K7455" s="317"/>
    </row>
    <row r="7456">
      <c r="B7456" s="223" t="s">
        <v>200</v>
      </c>
      <c r="C7456" s="223"/>
      <c r="D7456" s="316"/>
      <c r="H7456" s="223">
        <v>0.0</v>
      </c>
      <c r="K7456" s="317"/>
    </row>
    <row r="7457">
      <c r="B7457" s="223" t="s">
        <v>200</v>
      </c>
      <c r="C7457" s="223"/>
      <c r="D7457" s="316"/>
      <c r="H7457" s="223">
        <v>0.0</v>
      </c>
      <c r="K7457" s="317"/>
    </row>
    <row r="7458">
      <c r="B7458" s="223" t="s">
        <v>200</v>
      </c>
      <c r="C7458" s="223"/>
      <c r="D7458" s="316"/>
      <c r="H7458" s="223">
        <v>0.0</v>
      </c>
      <c r="K7458" s="317"/>
    </row>
    <row r="7459">
      <c r="B7459" s="223" t="s">
        <v>200</v>
      </c>
      <c r="C7459" s="223"/>
      <c r="D7459" s="316"/>
      <c r="H7459" s="223">
        <v>0.0</v>
      </c>
      <c r="K7459" s="317"/>
    </row>
    <row r="7460">
      <c r="B7460" s="223" t="s">
        <v>200</v>
      </c>
      <c r="C7460" s="223"/>
      <c r="D7460" s="316"/>
      <c r="H7460" s="223">
        <v>0.0</v>
      </c>
      <c r="K7460" s="317"/>
    </row>
    <row r="7461">
      <c r="B7461" s="223" t="s">
        <v>200</v>
      </c>
      <c r="C7461" s="223"/>
      <c r="D7461" s="316"/>
      <c r="H7461" s="223">
        <v>0.0</v>
      </c>
      <c r="K7461" s="317"/>
    </row>
    <row r="7462">
      <c r="B7462" s="223" t="s">
        <v>200</v>
      </c>
      <c r="C7462" s="223"/>
      <c r="D7462" s="316"/>
      <c r="H7462" s="223">
        <v>0.0</v>
      </c>
      <c r="K7462" s="317"/>
    </row>
    <row r="7463">
      <c r="B7463" s="223" t="s">
        <v>200</v>
      </c>
      <c r="C7463" s="223"/>
      <c r="D7463" s="316"/>
      <c r="H7463" s="223">
        <v>0.0</v>
      </c>
      <c r="K7463" s="317"/>
    </row>
    <row r="7464">
      <c r="B7464" s="223" t="s">
        <v>200</v>
      </c>
      <c r="C7464" s="223"/>
      <c r="D7464" s="316"/>
      <c r="H7464" s="223">
        <v>0.0</v>
      </c>
      <c r="K7464" s="317"/>
    </row>
    <row r="7465">
      <c r="B7465" s="223" t="s">
        <v>200</v>
      </c>
      <c r="C7465" s="223"/>
      <c r="D7465" s="316"/>
      <c r="H7465" s="223">
        <v>0.0</v>
      </c>
      <c r="K7465" s="317"/>
    </row>
    <row r="7466">
      <c r="B7466" s="223" t="s">
        <v>200</v>
      </c>
      <c r="C7466" s="223"/>
      <c r="D7466" s="316"/>
      <c r="H7466" s="223">
        <v>0.0</v>
      </c>
      <c r="K7466" s="317"/>
    </row>
    <row r="7467">
      <c r="B7467" s="223" t="s">
        <v>200</v>
      </c>
      <c r="C7467" s="223"/>
      <c r="D7467" s="316"/>
      <c r="H7467" s="223">
        <v>0.0</v>
      </c>
      <c r="K7467" s="317"/>
    </row>
    <row r="7468">
      <c r="B7468" s="223" t="s">
        <v>200</v>
      </c>
      <c r="C7468" s="223"/>
      <c r="D7468" s="316"/>
      <c r="H7468" s="223">
        <v>0.0</v>
      </c>
      <c r="K7468" s="317"/>
    </row>
    <row r="7469">
      <c r="B7469" s="223" t="s">
        <v>200</v>
      </c>
      <c r="C7469" s="223"/>
      <c r="D7469" s="316"/>
      <c r="H7469" s="223">
        <v>0.0</v>
      </c>
      <c r="K7469" s="317"/>
    </row>
    <row r="7470">
      <c r="B7470" s="223" t="s">
        <v>200</v>
      </c>
      <c r="C7470" s="223"/>
      <c r="D7470" s="316"/>
      <c r="H7470" s="223">
        <v>0.0</v>
      </c>
      <c r="K7470" s="317"/>
    </row>
    <row r="7471">
      <c r="B7471" s="223" t="s">
        <v>200</v>
      </c>
      <c r="C7471" s="223"/>
      <c r="D7471" s="316"/>
      <c r="H7471" s="223">
        <v>0.0</v>
      </c>
      <c r="K7471" s="317"/>
    </row>
    <row r="7472">
      <c r="B7472" s="223" t="s">
        <v>200</v>
      </c>
      <c r="C7472" s="223"/>
      <c r="D7472" s="316"/>
      <c r="H7472" s="223">
        <v>0.0</v>
      </c>
      <c r="K7472" s="317"/>
    </row>
    <row r="7473">
      <c r="B7473" s="223" t="s">
        <v>200</v>
      </c>
      <c r="C7473" s="223"/>
      <c r="D7473" s="316"/>
      <c r="H7473" s="223">
        <v>0.0</v>
      </c>
      <c r="K7473" s="317"/>
    </row>
    <row r="7474">
      <c r="B7474" s="223" t="s">
        <v>200</v>
      </c>
      <c r="C7474" s="223"/>
      <c r="D7474" s="316"/>
      <c r="H7474" s="223">
        <v>0.0</v>
      </c>
      <c r="K7474" s="317"/>
    </row>
    <row r="7475">
      <c r="B7475" s="223" t="s">
        <v>200</v>
      </c>
      <c r="C7475" s="223"/>
      <c r="D7475" s="316"/>
      <c r="H7475" s="223">
        <v>0.0</v>
      </c>
      <c r="K7475" s="317"/>
    </row>
    <row r="7476">
      <c r="B7476" s="223" t="s">
        <v>200</v>
      </c>
      <c r="C7476" s="223"/>
      <c r="D7476" s="316"/>
      <c r="H7476" s="223">
        <v>0.0</v>
      </c>
      <c r="K7476" s="317"/>
    </row>
    <row r="7477">
      <c r="B7477" s="223" t="s">
        <v>200</v>
      </c>
      <c r="C7477" s="223"/>
      <c r="D7477" s="316"/>
      <c r="H7477" s="223">
        <v>0.0</v>
      </c>
      <c r="K7477" s="317"/>
    </row>
    <row r="7478">
      <c r="B7478" s="223" t="s">
        <v>200</v>
      </c>
      <c r="C7478" s="223"/>
      <c r="D7478" s="316"/>
      <c r="H7478" s="223">
        <v>0.0</v>
      </c>
      <c r="K7478" s="317"/>
    </row>
    <row r="7479">
      <c r="B7479" s="223" t="s">
        <v>200</v>
      </c>
      <c r="C7479" s="223"/>
      <c r="D7479" s="316"/>
      <c r="H7479" s="223">
        <v>0.0</v>
      </c>
      <c r="K7479" s="317"/>
    </row>
    <row r="7480">
      <c r="B7480" s="223" t="s">
        <v>200</v>
      </c>
      <c r="C7480" s="223"/>
      <c r="D7480" s="316"/>
      <c r="H7480" s="223">
        <v>0.0</v>
      </c>
      <c r="K7480" s="317"/>
    </row>
    <row r="7481">
      <c r="B7481" s="223" t="s">
        <v>200</v>
      </c>
      <c r="C7481" s="223"/>
      <c r="D7481" s="316"/>
      <c r="H7481" s="223">
        <v>0.0</v>
      </c>
      <c r="K7481" s="317"/>
    </row>
    <row r="7482">
      <c r="B7482" s="223" t="s">
        <v>200</v>
      </c>
      <c r="C7482" s="223"/>
      <c r="D7482" s="316"/>
      <c r="H7482" s="223">
        <v>0.0</v>
      </c>
      <c r="K7482" s="317"/>
    </row>
    <row r="7483">
      <c r="B7483" s="223" t="s">
        <v>200</v>
      </c>
      <c r="C7483" s="223"/>
      <c r="D7483" s="316"/>
      <c r="H7483" s="223">
        <v>0.0</v>
      </c>
      <c r="K7483" s="317"/>
    </row>
    <row r="7484">
      <c r="B7484" s="223" t="s">
        <v>200</v>
      </c>
      <c r="C7484" s="223"/>
      <c r="D7484" s="316"/>
      <c r="H7484" s="223">
        <v>0.0</v>
      </c>
      <c r="K7484" s="317"/>
    </row>
    <row r="7485">
      <c r="B7485" s="223" t="s">
        <v>200</v>
      </c>
      <c r="C7485" s="223"/>
      <c r="D7485" s="316"/>
      <c r="H7485" s="223">
        <v>0.0</v>
      </c>
      <c r="K7485" s="317"/>
    </row>
    <row r="7486">
      <c r="B7486" s="223" t="s">
        <v>200</v>
      </c>
      <c r="C7486" s="223"/>
      <c r="D7486" s="316"/>
      <c r="H7486" s="223">
        <v>0.0</v>
      </c>
      <c r="K7486" s="317"/>
    </row>
    <row r="7487">
      <c r="B7487" s="223" t="s">
        <v>200</v>
      </c>
      <c r="C7487" s="223"/>
      <c r="D7487" s="316"/>
      <c r="H7487" s="223">
        <v>0.0</v>
      </c>
      <c r="K7487" s="317"/>
    </row>
    <row r="7488">
      <c r="B7488" s="223" t="s">
        <v>200</v>
      </c>
      <c r="C7488" s="223"/>
      <c r="D7488" s="316"/>
      <c r="H7488" s="223">
        <v>0.0</v>
      </c>
      <c r="K7488" s="317"/>
    </row>
    <row r="7489">
      <c r="B7489" s="223" t="s">
        <v>200</v>
      </c>
      <c r="C7489" s="223"/>
      <c r="D7489" s="316"/>
      <c r="H7489" s="223">
        <v>0.0</v>
      </c>
      <c r="K7489" s="317"/>
    </row>
    <row r="7490">
      <c r="B7490" s="223" t="s">
        <v>200</v>
      </c>
      <c r="C7490" s="223"/>
      <c r="D7490" s="316"/>
      <c r="H7490" s="223">
        <v>0.0</v>
      </c>
      <c r="K7490" s="317"/>
    </row>
    <row r="7491">
      <c r="B7491" s="223" t="s">
        <v>200</v>
      </c>
      <c r="C7491" s="223"/>
      <c r="D7491" s="316"/>
      <c r="H7491" s="223">
        <v>0.0</v>
      </c>
      <c r="K7491" s="317"/>
    </row>
    <row r="7492">
      <c r="B7492" s="223" t="s">
        <v>200</v>
      </c>
      <c r="C7492" s="223"/>
      <c r="D7492" s="316"/>
      <c r="H7492" s="223">
        <v>0.0</v>
      </c>
      <c r="K7492" s="317"/>
    </row>
    <row r="7493">
      <c r="B7493" s="223" t="s">
        <v>200</v>
      </c>
      <c r="C7493" s="223"/>
      <c r="D7493" s="316"/>
      <c r="H7493" s="223">
        <v>0.0</v>
      </c>
      <c r="K7493" s="317"/>
    </row>
    <row r="7494">
      <c r="B7494" s="223" t="s">
        <v>200</v>
      </c>
      <c r="C7494" s="223"/>
      <c r="D7494" s="316"/>
      <c r="H7494" s="223">
        <v>0.0</v>
      </c>
      <c r="K7494" s="317"/>
    </row>
    <row r="7495">
      <c r="B7495" s="223" t="s">
        <v>200</v>
      </c>
      <c r="C7495" s="223"/>
      <c r="D7495" s="316"/>
      <c r="H7495" s="223">
        <v>0.0</v>
      </c>
      <c r="K7495" s="317"/>
    </row>
    <row r="7496">
      <c r="B7496" s="223" t="s">
        <v>200</v>
      </c>
      <c r="C7496" s="223"/>
      <c r="D7496" s="316"/>
      <c r="H7496" s="223">
        <v>0.0</v>
      </c>
      <c r="K7496" s="317"/>
    </row>
    <row r="7497">
      <c r="B7497" s="223" t="s">
        <v>200</v>
      </c>
      <c r="C7497" s="223"/>
      <c r="D7497" s="316"/>
      <c r="H7497" s="223">
        <v>0.0</v>
      </c>
      <c r="K7497" s="317"/>
    </row>
    <row r="7498">
      <c r="B7498" s="223" t="s">
        <v>200</v>
      </c>
      <c r="C7498" s="223"/>
      <c r="D7498" s="316"/>
      <c r="H7498" s="223">
        <v>0.0</v>
      </c>
      <c r="K7498" s="317"/>
    </row>
    <row r="7499">
      <c r="B7499" s="223" t="s">
        <v>200</v>
      </c>
      <c r="C7499" s="223"/>
      <c r="D7499" s="316"/>
      <c r="H7499" s="223">
        <v>0.0</v>
      </c>
      <c r="K7499" s="317"/>
    </row>
    <row r="7500">
      <c r="B7500" s="223" t="s">
        <v>200</v>
      </c>
      <c r="C7500" s="223"/>
      <c r="D7500" s="316"/>
      <c r="H7500" s="223">
        <v>0.0</v>
      </c>
      <c r="K7500" s="317"/>
    </row>
    <row r="7501">
      <c r="B7501" s="223" t="s">
        <v>200</v>
      </c>
      <c r="C7501" s="223"/>
      <c r="D7501" s="316"/>
      <c r="H7501" s="223">
        <v>0.0</v>
      </c>
      <c r="K7501" s="317"/>
    </row>
    <row r="7502">
      <c r="B7502" s="223" t="s">
        <v>200</v>
      </c>
      <c r="C7502" s="223"/>
      <c r="D7502" s="316"/>
      <c r="H7502" s="223">
        <v>0.0</v>
      </c>
      <c r="K7502" s="317"/>
    </row>
    <row r="7503">
      <c r="B7503" s="223" t="s">
        <v>200</v>
      </c>
      <c r="C7503" s="223"/>
      <c r="D7503" s="316"/>
      <c r="H7503" s="223">
        <v>0.0</v>
      </c>
      <c r="K7503" s="317"/>
    </row>
    <row r="7504">
      <c r="B7504" s="223" t="s">
        <v>200</v>
      </c>
      <c r="C7504" s="223"/>
      <c r="D7504" s="316"/>
      <c r="H7504" s="223">
        <v>0.0</v>
      </c>
      <c r="K7504" s="317"/>
    </row>
    <row r="7505">
      <c r="B7505" s="223" t="s">
        <v>200</v>
      </c>
      <c r="C7505" s="223"/>
      <c r="D7505" s="316"/>
      <c r="H7505" s="223">
        <v>0.0</v>
      </c>
      <c r="K7505" s="317"/>
    </row>
    <row r="7506">
      <c r="B7506" s="223" t="s">
        <v>200</v>
      </c>
      <c r="C7506" s="223"/>
      <c r="D7506" s="316"/>
      <c r="H7506" s="223">
        <v>0.0</v>
      </c>
      <c r="K7506" s="317"/>
    </row>
    <row r="7507">
      <c r="B7507" s="223" t="s">
        <v>200</v>
      </c>
      <c r="C7507" s="223"/>
      <c r="D7507" s="316"/>
      <c r="H7507" s="223">
        <v>0.0</v>
      </c>
      <c r="K7507" s="317"/>
    </row>
    <row r="7508">
      <c r="B7508" s="223" t="s">
        <v>200</v>
      </c>
      <c r="C7508" s="223"/>
      <c r="D7508" s="316"/>
      <c r="H7508" s="223">
        <v>0.0</v>
      </c>
      <c r="K7508" s="317"/>
    </row>
    <row r="7509">
      <c r="B7509" s="223" t="s">
        <v>200</v>
      </c>
      <c r="C7509" s="223"/>
      <c r="D7509" s="316"/>
      <c r="H7509" s="223">
        <v>0.0</v>
      </c>
      <c r="K7509" s="317"/>
    </row>
    <row r="7510">
      <c r="B7510" s="223" t="s">
        <v>200</v>
      </c>
      <c r="C7510" s="223"/>
      <c r="D7510" s="316"/>
      <c r="H7510" s="223">
        <v>0.0</v>
      </c>
      <c r="K7510" s="317"/>
    </row>
    <row r="7511">
      <c r="B7511" s="223" t="s">
        <v>200</v>
      </c>
      <c r="C7511" s="223"/>
      <c r="D7511" s="316"/>
      <c r="H7511" s="223">
        <v>0.0</v>
      </c>
      <c r="K7511" s="317"/>
    </row>
    <row r="7512">
      <c r="B7512" s="223" t="s">
        <v>200</v>
      </c>
      <c r="C7512" s="223"/>
      <c r="D7512" s="316"/>
      <c r="H7512" s="223">
        <v>0.0</v>
      </c>
      <c r="K7512" s="317"/>
    </row>
    <row r="7513">
      <c r="B7513" s="223" t="s">
        <v>200</v>
      </c>
      <c r="C7513" s="223"/>
      <c r="D7513" s="316"/>
      <c r="H7513" s="223">
        <v>0.0</v>
      </c>
      <c r="K7513" s="317"/>
    </row>
    <row r="7514">
      <c r="B7514" s="223" t="s">
        <v>200</v>
      </c>
      <c r="C7514" s="223"/>
      <c r="D7514" s="316"/>
      <c r="H7514" s="223">
        <v>0.0</v>
      </c>
      <c r="K7514" s="317"/>
    </row>
    <row r="7515">
      <c r="B7515" s="223" t="s">
        <v>200</v>
      </c>
      <c r="C7515" s="223"/>
      <c r="D7515" s="316"/>
      <c r="H7515" s="223">
        <v>0.0</v>
      </c>
      <c r="K7515" s="317"/>
    </row>
    <row r="7516">
      <c r="B7516" s="223" t="s">
        <v>200</v>
      </c>
      <c r="C7516" s="223"/>
      <c r="D7516" s="316"/>
      <c r="H7516" s="223">
        <v>0.0</v>
      </c>
      <c r="K7516" s="317"/>
    </row>
    <row r="7517">
      <c r="B7517" s="223" t="s">
        <v>200</v>
      </c>
      <c r="C7517" s="223"/>
      <c r="D7517" s="316"/>
      <c r="H7517" s="223">
        <v>0.0</v>
      </c>
      <c r="K7517" s="317"/>
    </row>
    <row r="7518">
      <c r="B7518" s="223" t="s">
        <v>200</v>
      </c>
      <c r="C7518" s="223"/>
      <c r="D7518" s="316"/>
      <c r="H7518" s="223">
        <v>0.0</v>
      </c>
      <c r="K7518" s="317"/>
    </row>
    <row r="7519">
      <c r="B7519" s="223" t="s">
        <v>200</v>
      </c>
      <c r="C7519" s="223"/>
      <c r="D7519" s="316"/>
      <c r="H7519" s="223">
        <v>0.0</v>
      </c>
      <c r="K7519" s="317"/>
    </row>
    <row r="7520">
      <c r="B7520" s="223" t="s">
        <v>200</v>
      </c>
      <c r="C7520" s="223"/>
      <c r="D7520" s="316"/>
      <c r="H7520" s="223">
        <v>0.0</v>
      </c>
      <c r="K7520" s="317"/>
    </row>
    <row r="7521">
      <c r="B7521" s="223" t="s">
        <v>200</v>
      </c>
      <c r="C7521" s="223"/>
      <c r="D7521" s="316"/>
      <c r="H7521" s="223">
        <v>0.0</v>
      </c>
      <c r="K7521" s="317"/>
    </row>
    <row r="7522">
      <c r="B7522" s="223" t="s">
        <v>200</v>
      </c>
      <c r="C7522" s="223"/>
      <c r="D7522" s="316"/>
      <c r="H7522" s="223">
        <v>0.0</v>
      </c>
      <c r="K7522" s="317"/>
    </row>
    <row r="7523">
      <c r="B7523" s="223" t="s">
        <v>200</v>
      </c>
      <c r="C7523" s="223"/>
      <c r="D7523" s="316"/>
      <c r="H7523" s="223">
        <v>0.0</v>
      </c>
      <c r="K7523" s="317"/>
    </row>
    <row r="7524">
      <c r="B7524" s="223" t="s">
        <v>200</v>
      </c>
      <c r="C7524" s="223"/>
      <c r="D7524" s="316"/>
      <c r="H7524" s="223">
        <v>0.0</v>
      </c>
      <c r="K7524" s="317"/>
    </row>
    <row r="7525">
      <c r="B7525" s="223" t="s">
        <v>200</v>
      </c>
      <c r="C7525" s="223"/>
      <c r="D7525" s="316"/>
      <c r="H7525" s="223">
        <v>0.0</v>
      </c>
      <c r="K7525" s="317"/>
    </row>
    <row r="7526">
      <c r="B7526" s="223" t="s">
        <v>200</v>
      </c>
      <c r="C7526" s="223"/>
      <c r="D7526" s="316"/>
      <c r="H7526" s="223">
        <v>0.0</v>
      </c>
      <c r="K7526" s="317"/>
    </row>
    <row r="7527">
      <c r="B7527" s="223" t="s">
        <v>200</v>
      </c>
      <c r="C7527" s="223"/>
      <c r="D7527" s="316"/>
      <c r="H7527" s="223">
        <v>0.0</v>
      </c>
      <c r="K7527" s="317"/>
    </row>
    <row r="7528">
      <c r="B7528" s="223" t="s">
        <v>200</v>
      </c>
      <c r="C7528" s="223"/>
      <c r="D7528" s="316"/>
      <c r="H7528" s="223">
        <v>0.0</v>
      </c>
      <c r="K7528" s="317"/>
    </row>
    <row r="7529">
      <c r="B7529" s="223" t="s">
        <v>200</v>
      </c>
      <c r="C7529" s="223"/>
      <c r="D7529" s="316"/>
      <c r="H7529" s="223">
        <v>0.0</v>
      </c>
      <c r="K7529" s="317"/>
    </row>
    <row r="7530">
      <c r="B7530" s="223" t="s">
        <v>200</v>
      </c>
      <c r="C7530" s="223"/>
      <c r="D7530" s="316"/>
      <c r="H7530" s="223">
        <v>0.0</v>
      </c>
      <c r="K7530" s="317"/>
    </row>
    <row r="7531">
      <c r="B7531" s="223" t="s">
        <v>200</v>
      </c>
      <c r="C7531" s="223"/>
      <c r="D7531" s="316"/>
      <c r="H7531" s="223">
        <v>0.0</v>
      </c>
      <c r="K7531" s="317"/>
    </row>
    <row r="7532">
      <c r="B7532" s="223" t="s">
        <v>200</v>
      </c>
      <c r="C7532" s="223"/>
      <c r="D7532" s="316"/>
      <c r="H7532" s="223">
        <v>0.0</v>
      </c>
      <c r="K7532" s="317"/>
    </row>
    <row r="7533">
      <c r="B7533" s="223" t="s">
        <v>200</v>
      </c>
      <c r="C7533" s="223"/>
      <c r="D7533" s="316"/>
      <c r="H7533" s="223">
        <v>0.0</v>
      </c>
      <c r="K7533" s="317"/>
    </row>
    <row r="7534">
      <c r="B7534" s="223" t="s">
        <v>200</v>
      </c>
      <c r="C7534" s="223"/>
      <c r="D7534" s="316"/>
      <c r="H7534" s="223">
        <v>0.0</v>
      </c>
      <c r="K7534" s="317"/>
    </row>
    <row r="7535">
      <c r="B7535" s="223" t="s">
        <v>200</v>
      </c>
      <c r="C7535" s="223"/>
      <c r="D7535" s="316"/>
      <c r="H7535" s="223">
        <v>0.0</v>
      </c>
      <c r="K7535" s="317"/>
    </row>
    <row r="7536">
      <c r="B7536" s="223" t="s">
        <v>200</v>
      </c>
      <c r="C7536" s="223"/>
      <c r="D7536" s="316"/>
      <c r="H7536" s="223">
        <v>0.0</v>
      </c>
      <c r="K7536" s="317"/>
    </row>
    <row r="7537">
      <c r="B7537" s="223" t="s">
        <v>200</v>
      </c>
      <c r="C7537" s="223"/>
      <c r="D7537" s="316"/>
      <c r="H7537" s="223">
        <v>0.0</v>
      </c>
      <c r="K7537" s="317"/>
    </row>
    <row r="7538">
      <c r="B7538" s="223" t="s">
        <v>200</v>
      </c>
      <c r="C7538" s="223"/>
      <c r="D7538" s="316"/>
      <c r="H7538" s="223">
        <v>0.0</v>
      </c>
      <c r="K7538" s="317"/>
    </row>
    <row r="7539">
      <c r="B7539" s="223" t="s">
        <v>200</v>
      </c>
      <c r="C7539" s="223"/>
      <c r="D7539" s="316"/>
      <c r="H7539" s="223">
        <v>0.0</v>
      </c>
      <c r="K7539" s="317"/>
    </row>
    <row r="7540">
      <c r="B7540" s="223" t="s">
        <v>200</v>
      </c>
      <c r="C7540" s="223"/>
      <c r="D7540" s="316"/>
      <c r="H7540" s="223">
        <v>0.0</v>
      </c>
      <c r="K7540" s="317"/>
    </row>
    <row r="7541">
      <c r="B7541" s="223" t="s">
        <v>200</v>
      </c>
      <c r="C7541" s="223"/>
      <c r="D7541" s="316"/>
      <c r="H7541" s="223">
        <v>0.0</v>
      </c>
      <c r="K7541" s="317"/>
    </row>
    <row r="7542">
      <c r="B7542" s="223" t="s">
        <v>200</v>
      </c>
      <c r="C7542" s="223"/>
      <c r="D7542" s="316"/>
      <c r="H7542" s="223">
        <v>0.0</v>
      </c>
      <c r="K7542" s="317"/>
    </row>
    <row r="7543">
      <c r="B7543" s="223" t="s">
        <v>200</v>
      </c>
      <c r="C7543" s="223"/>
      <c r="D7543" s="316"/>
      <c r="H7543" s="223">
        <v>0.0</v>
      </c>
      <c r="K7543" s="317"/>
    </row>
    <row r="7544">
      <c r="B7544" s="223" t="s">
        <v>200</v>
      </c>
      <c r="C7544" s="223"/>
      <c r="D7544" s="316"/>
      <c r="H7544" s="223">
        <v>0.0</v>
      </c>
      <c r="K7544" s="317"/>
    </row>
    <row r="7545">
      <c r="B7545" s="223" t="s">
        <v>200</v>
      </c>
      <c r="C7545" s="223"/>
      <c r="D7545" s="316"/>
      <c r="H7545" s="223">
        <v>0.0</v>
      </c>
      <c r="K7545" s="317"/>
    </row>
    <row r="7546">
      <c r="B7546" s="223" t="s">
        <v>200</v>
      </c>
      <c r="C7546" s="223"/>
      <c r="D7546" s="316"/>
      <c r="H7546" s="223">
        <v>0.0</v>
      </c>
      <c r="K7546" s="317"/>
    </row>
    <row r="7547">
      <c r="B7547" s="223" t="s">
        <v>200</v>
      </c>
      <c r="C7547" s="223"/>
      <c r="D7547" s="316"/>
      <c r="H7547" s="223">
        <v>0.0</v>
      </c>
      <c r="K7547" s="317"/>
    </row>
    <row r="7548">
      <c r="B7548" s="223" t="s">
        <v>200</v>
      </c>
      <c r="C7548" s="223"/>
      <c r="D7548" s="316"/>
      <c r="H7548" s="223">
        <v>0.0</v>
      </c>
      <c r="K7548" s="317"/>
    </row>
    <row r="7549">
      <c r="B7549" s="223" t="s">
        <v>200</v>
      </c>
      <c r="C7549" s="223"/>
      <c r="D7549" s="316"/>
      <c r="H7549" s="223">
        <v>0.0</v>
      </c>
      <c r="K7549" s="317"/>
    </row>
    <row r="7550">
      <c r="B7550" s="223" t="s">
        <v>200</v>
      </c>
      <c r="C7550" s="223"/>
      <c r="D7550" s="316"/>
      <c r="H7550" s="223">
        <v>0.0</v>
      </c>
      <c r="K7550" s="317"/>
    </row>
    <row r="7551">
      <c r="B7551" s="223" t="s">
        <v>200</v>
      </c>
      <c r="C7551" s="223"/>
      <c r="D7551" s="316"/>
      <c r="H7551" s="223">
        <v>0.0</v>
      </c>
      <c r="K7551" s="317"/>
    </row>
    <row r="7552">
      <c r="B7552" s="223" t="s">
        <v>200</v>
      </c>
      <c r="C7552" s="223"/>
      <c r="D7552" s="316"/>
      <c r="H7552" s="223">
        <v>0.0</v>
      </c>
      <c r="K7552" s="317"/>
    </row>
    <row r="7553">
      <c r="B7553" s="223" t="s">
        <v>200</v>
      </c>
      <c r="C7553" s="223"/>
      <c r="D7553" s="316"/>
      <c r="H7553" s="223">
        <v>0.0</v>
      </c>
      <c r="K7553" s="317"/>
    </row>
    <row r="7554">
      <c r="B7554" s="223" t="s">
        <v>200</v>
      </c>
      <c r="C7554" s="223"/>
      <c r="D7554" s="316"/>
      <c r="H7554" s="223">
        <v>0.0</v>
      </c>
      <c r="K7554" s="317"/>
    </row>
    <row r="7555">
      <c r="B7555" s="223" t="s">
        <v>200</v>
      </c>
      <c r="C7555" s="223"/>
      <c r="D7555" s="316"/>
      <c r="H7555" s="223">
        <v>0.0</v>
      </c>
      <c r="K7555" s="317"/>
    </row>
    <row r="7556">
      <c r="B7556" s="223" t="s">
        <v>200</v>
      </c>
      <c r="C7556" s="223"/>
      <c r="D7556" s="316"/>
      <c r="H7556" s="223">
        <v>0.0</v>
      </c>
      <c r="K7556" s="317"/>
    </row>
    <row r="7557">
      <c r="B7557" s="223" t="s">
        <v>200</v>
      </c>
      <c r="C7557" s="223"/>
      <c r="D7557" s="316"/>
      <c r="H7557" s="223">
        <v>0.0</v>
      </c>
      <c r="K7557" s="317"/>
    </row>
    <row r="7558">
      <c r="B7558" s="223" t="s">
        <v>200</v>
      </c>
      <c r="C7558" s="223"/>
      <c r="D7558" s="316"/>
      <c r="H7558" s="223">
        <v>0.0</v>
      </c>
      <c r="K7558" s="317"/>
    </row>
    <row r="7559">
      <c r="B7559" s="223" t="s">
        <v>200</v>
      </c>
      <c r="C7559" s="223"/>
      <c r="D7559" s="316"/>
      <c r="H7559" s="223">
        <v>0.0</v>
      </c>
      <c r="K7559" s="317"/>
    </row>
    <row r="7560">
      <c r="B7560" s="223" t="s">
        <v>200</v>
      </c>
      <c r="C7560" s="223"/>
      <c r="D7560" s="316"/>
      <c r="H7560" s="223">
        <v>0.0</v>
      </c>
      <c r="K7560" s="317"/>
    </row>
    <row r="7561">
      <c r="B7561" s="223" t="s">
        <v>200</v>
      </c>
      <c r="C7561" s="223"/>
      <c r="D7561" s="316"/>
      <c r="H7561" s="223">
        <v>0.0</v>
      </c>
      <c r="K7561" s="317"/>
    </row>
    <row r="7562">
      <c r="B7562" s="223" t="s">
        <v>200</v>
      </c>
      <c r="C7562" s="223"/>
      <c r="D7562" s="316"/>
      <c r="H7562" s="223">
        <v>0.0</v>
      </c>
      <c r="K7562" s="317"/>
    </row>
    <row r="7563">
      <c r="B7563" s="223" t="s">
        <v>200</v>
      </c>
      <c r="C7563" s="223"/>
      <c r="D7563" s="316"/>
      <c r="H7563" s="223">
        <v>0.0</v>
      </c>
      <c r="K7563" s="317"/>
    </row>
    <row r="7564">
      <c r="B7564" s="223" t="s">
        <v>200</v>
      </c>
      <c r="C7564" s="223"/>
      <c r="D7564" s="316"/>
      <c r="H7564" s="223">
        <v>0.0</v>
      </c>
      <c r="K7564" s="317"/>
    </row>
    <row r="7565">
      <c r="B7565" s="223" t="s">
        <v>200</v>
      </c>
      <c r="C7565" s="223"/>
      <c r="D7565" s="316"/>
      <c r="H7565" s="223">
        <v>0.0</v>
      </c>
      <c r="K7565" s="317"/>
    </row>
    <row r="7566">
      <c r="B7566" s="223" t="s">
        <v>200</v>
      </c>
      <c r="C7566" s="223"/>
      <c r="D7566" s="316"/>
      <c r="H7566" s="223">
        <v>0.0</v>
      </c>
      <c r="K7566" s="317"/>
    </row>
    <row r="7567">
      <c r="B7567" s="223" t="s">
        <v>200</v>
      </c>
      <c r="C7567" s="223"/>
      <c r="D7567" s="316"/>
      <c r="H7567" s="223">
        <v>0.0</v>
      </c>
      <c r="K7567" s="317"/>
    </row>
    <row r="7568">
      <c r="B7568" s="223" t="s">
        <v>200</v>
      </c>
      <c r="C7568" s="223"/>
      <c r="D7568" s="316"/>
      <c r="H7568" s="223">
        <v>0.0</v>
      </c>
      <c r="K7568" s="317"/>
    </row>
    <row r="7569">
      <c r="B7569" s="223" t="s">
        <v>200</v>
      </c>
      <c r="C7569" s="223"/>
      <c r="D7569" s="316"/>
      <c r="H7569" s="223">
        <v>0.0</v>
      </c>
      <c r="K7569" s="317"/>
    </row>
    <row r="7570">
      <c r="B7570" s="223" t="s">
        <v>200</v>
      </c>
      <c r="C7570" s="223"/>
      <c r="D7570" s="316"/>
      <c r="H7570" s="223">
        <v>0.0</v>
      </c>
      <c r="K7570" s="317"/>
    </row>
    <row r="7571">
      <c r="B7571" s="223" t="s">
        <v>200</v>
      </c>
      <c r="C7571" s="223"/>
      <c r="D7571" s="316"/>
      <c r="H7571" s="223">
        <v>0.0</v>
      </c>
      <c r="K7571" s="317"/>
    </row>
    <row r="7572">
      <c r="B7572" s="223" t="s">
        <v>200</v>
      </c>
      <c r="C7572" s="223"/>
      <c r="D7572" s="316"/>
      <c r="H7572" s="223">
        <v>0.0</v>
      </c>
      <c r="K7572" s="317"/>
    </row>
    <row r="7573">
      <c r="B7573" s="223" t="s">
        <v>200</v>
      </c>
      <c r="C7573" s="223"/>
      <c r="D7573" s="316"/>
      <c r="H7573" s="223">
        <v>0.0</v>
      </c>
      <c r="K7573" s="317"/>
    </row>
    <row r="7574">
      <c r="B7574" s="223" t="s">
        <v>200</v>
      </c>
      <c r="C7574" s="223"/>
      <c r="D7574" s="316"/>
      <c r="H7574" s="223">
        <v>0.0</v>
      </c>
      <c r="K7574" s="317"/>
    </row>
    <row r="7575">
      <c r="B7575" s="223" t="s">
        <v>200</v>
      </c>
      <c r="C7575" s="223"/>
      <c r="D7575" s="316"/>
      <c r="H7575" s="223">
        <v>0.0</v>
      </c>
      <c r="K7575" s="317"/>
    </row>
    <row r="7576">
      <c r="B7576" s="223" t="s">
        <v>200</v>
      </c>
      <c r="C7576" s="223"/>
      <c r="D7576" s="316"/>
      <c r="H7576" s="223">
        <v>0.0</v>
      </c>
      <c r="K7576" s="317"/>
    </row>
    <row r="7577">
      <c r="B7577" s="223" t="s">
        <v>200</v>
      </c>
      <c r="C7577" s="223"/>
      <c r="D7577" s="316"/>
      <c r="H7577" s="223">
        <v>0.0</v>
      </c>
      <c r="K7577" s="317"/>
    </row>
    <row r="7578">
      <c r="B7578" s="223" t="s">
        <v>200</v>
      </c>
      <c r="C7578" s="223"/>
      <c r="D7578" s="316"/>
      <c r="H7578" s="223">
        <v>0.0</v>
      </c>
      <c r="K7578" s="317"/>
    </row>
    <row r="7579">
      <c r="B7579" s="223" t="s">
        <v>200</v>
      </c>
      <c r="C7579" s="223"/>
      <c r="D7579" s="316"/>
      <c r="H7579" s="223">
        <v>0.0</v>
      </c>
      <c r="K7579" s="317"/>
    </row>
    <row r="7580">
      <c r="B7580" s="223" t="s">
        <v>200</v>
      </c>
      <c r="C7580" s="223"/>
      <c r="D7580" s="316"/>
      <c r="H7580" s="223">
        <v>0.0</v>
      </c>
      <c r="K7580" s="317"/>
    </row>
    <row r="7581">
      <c r="B7581" s="223" t="s">
        <v>200</v>
      </c>
      <c r="C7581" s="223"/>
      <c r="D7581" s="316"/>
      <c r="H7581" s="223">
        <v>0.0</v>
      </c>
      <c r="K7581" s="317"/>
    </row>
    <row r="7582">
      <c r="B7582" s="223" t="s">
        <v>200</v>
      </c>
      <c r="C7582" s="223"/>
      <c r="D7582" s="316"/>
      <c r="H7582" s="223">
        <v>0.0</v>
      </c>
      <c r="K7582" s="317"/>
    </row>
    <row r="7583">
      <c r="B7583" s="223" t="s">
        <v>200</v>
      </c>
      <c r="C7583" s="223"/>
      <c r="D7583" s="316"/>
      <c r="H7583" s="223">
        <v>0.0</v>
      </c>
      <c r="K7583" s="317"/>
    </row>
    <row r="7584">
      <c r="B7584" s="223" t="s">
        <v>200</v>
      </c>
      <c r="C7584" s="223"/>
      <c r="D7584" s="316"/>
      <c r="H7584" s="223">
        <v>0.0</v>
      </c>
      <c r="K7584" s="317"/>
    </row>
    <row r="7585">
      <c r="B7585" s="223" t="s">
        <v>200</v>
      </c>
      <c r="C7585" s="223"/>
      <c r="D7585" s="316"/>
      <c r="H7585" s="223">
        <v>0.0</v>
      </c>
      <c r="K7585" s="317"/>
    </row>
    <row r="7586">
      <c r="B7586" s="223" t="s">
        <v>200</v>
      </c>
      <c r="C7586" s="223"/>
      <c r="D7586" s="316"/>
      <c r="H7586" s="223">
        <v>0.0</v>
      </c>
      <c r="K7586" s="317"/>
    </row>
    <row r="7587">
      <c r="B7587" s="223" t="s">
        <v>200</v>
      </c>
      <c r="C7587" s="223"/>
      <c r="D7587" s="316"/>
      <c r="H7587" s="223">
        <v>0.0</v>
      </c>
      <c r="K7587" s="317"/>
    </row>
    <row r="7588">
      <c r="B7588" s="223" t="s">
        <v>200</v>
      </c>
      <c r="C7588" s="223"/>
      <c r="D7588" s="316"/>
      <c r="H7588" s="223">
        <v>0.0</v>
      </c>
      <c r="K7588" s="317"/>
    </row>
    <row r="7589">
      <c r="B7589" s="223" t="s">
        <v>200</v>
      </c>
      <c r="C7589" s="223"/>
      <c r="D7589" s="316"/>
      <c r="H7589" s="223">
        <v>0.0</v>
      </c>
      <c r="K7589" s="317"/>
    </row>
    <row r="7590">
      <c r="B7590" s="223" t="s">
        <v>200</v>
      </c>
      <c r="C7590" s="223"/>
      <c r="D7590" s="316"/>
      <c r="H7590" s="223">
        <v>0.0</v>
      </c>
      <c r="K7590" s="317"/>
    </row>
    <row r="7591">
      <c r="B7591" s="223" t="s">
        <v>200</v>
      </c>
      <c r="C7591" s="223"/>
      <c r="D7591" s="316"/>
      <c r="H7591" s="223">
        <v>0.0</v>
      </c>
      <c r="K7591" s="317"/>
    </row>
    <row r="7592">
      <c r="B7592" s="223" t="s">
        <v>200</v>
      </c>
      <c r="C7592" s="223"/>
      <c r="D7592" s="316"/>
      <c r="H7592" s="223">
        <v>0.0</v>
      </c>
      <c r="K7592" s="317"/>
    </row>
    <row r="7593">
      <c r="B7593" s="223" t="s">
        <v>200</v>
      </c>
      <c r="C7593" s="223"/>
      <c r="D7593" s="316"/>
      <c r="H7593" s="223">
        <v>0.0</v>
      </c>
      <c r="K7593" s="317"/>
    </row>
    <row r="7594">
      <c r="B7594" s="223" t="s">
        <v>200</v>
      </c>
      <c r="C7594" s="223"/>
      <c r="D7594" s="316"/>
      <c r="H7594" s="223">
        <v>0.0</v>
      </c>
      <c r="K7594" s="317"/>
    </row>
    <row r="7595">
      <c r="B7595" s="223" t="s">
        <v>200</v>
      </c>
      <c r="C7595" s="223"/>
      <c r="D7595" s="316"/>
      <c r="H7595" s="223">
        <v>0.0</v>
      </c>
      <c r="K7595" s="317"/>
    </row>
    <row r="7596">
      <c r="B7596" s="223" t="s">
        <v>200</v>
      </c>
      <c r="C7596" s="223"/>
      <c r="D7596" s="316"/>
      <c r="H7596" s="223">
        <v>0.0</v>
      </c>
      <c r="K7596" s="317"/>
    </row>
    <row r="7597">
      <c r="B7597" s="223" t="s">
        <v>200</v>
      </c>
      <c r="C7597" s="223"/>
      <c r="D7597" s="316"/>
      <c r="H7597" s="223">
        <v>0.0</v>
      </c>
      <c r="K7597" s="317"/>
    </row>
    <row r="7598">
      <c r="B7598" s="223" t="s">
        <v>200</v>
      </c>
      <c r="C7598" s="223"/>
      <c r="D7598" s="316"/>
      <c r="H7598" s="223">
        <v>0.0</v>
      </c>
      <c r="K7598" s="317"/>
    </row>
    <row r="7599">
      <c r="B7599" s="223" t="s">
        <v>200</v>
      </c>
      <c r="C7599" s="223"/>
      <c r="D7599" s="316"/>
      <c r="H7599" s="223">
        <v>0.0</v>
      </c>
      <c r="K7599" s="317"/>
    </row>
    <row r="7600">
      <c r="B7600" s="223" t="s">
        <v>200</v>
      </c>
      <c r="C7600" s="223"/>
      <c r="D7600" s="316"/>
      <c r="H7600" s="223">
        <v>0.0</v>
      </c>
      <c r="K7600" s="317"/>
    </row>
    <row r="7601">
      <c r="B7601" s="223" t="s">
        <v>200</v>
      </c>
      <c r="C7601" s="223"/>
      <c r="D7601" s="316"/>
      <c r="H7601" s="223">
        <v>0.0</v>
      </c>
      <c r="K7601" s="317"/>
    </row>
    <row r="7602">
      <c r="B7602" s="223" t="s">
        <v>200</v>
      </c>
      <c r="C7602" s="223"/>
      <c r="D7602" s="316"/>
      <c r="H7602" s="223">
        <v>0.0</v>
      </c>
      <c r="K7602" s="317"/>
    </row>
    <row r="7603">
      <c r="B7603" s="223" t="s">
        <v>200</v>
      </c>
      <c r="C7603" s="223"/>
      <c r="D7603" s="316"/>
      <c r="H7603" s="223">
        <v>0.0</v>
      </c>
      <c r="K7603" s="317"/>
    </row>
    <row r="7604">
      <c r="B7604" s="223" t="s">
        <v>200</v>
      </c>
      <c r="C7604" s="223"/>
      <c r="D7604" s="316"/>
      <c r="H7604" s="223">
        <v>0.0</v>
      </c>
      <c r="K7604" s="317"/>
    </row>
    <row r="7605">
      <c r="B7605" s="223" t="s">
        <v>200</v>
      </c>
      <c r="C7605" s="223"/>
      <c r="D7605" s="316"/>
      <c r="H7605" s="223">
        <v>0.0</v>
      </c>
      <c r="K7605" s="317"/>
    </row>
    <row r="7606">
      <c r="B7606" s="223" t="s">
        <v>200</v>
      </c>
      <c r="C7606" s="223"/>
      <c r="D7606" s="316"/>
      <c r="H7606" s="223">
        <v>0.0</v>
      </c>
      <c r="K7606" s="317"/>
    </row>
    <row r="7607">
      <c r="B7607" s="223" t="s">
        <v>200</v>
      </c>
      <c r="C7607" s="223"/>
      <c r="D7607" s="316"/>
      <c r="H7607" s="223">
        <v>0.0</v>
      </c>
      <c r="K7607" s="317"/>
    </row>
    <row r="7608">
      <c r="B7608" s="223" t="s">
        <v>200</v>
      </c>
      <c r="C7608" s="223"/>
      <c r="D7608" s="316"/>
      <c r="H7608" s="223">
        <v>0.0</v>
      </c>
      <c r="K7608" s="317"/>
    </row>
    <row r="7609">
      <c r="B7609" s="223" t="s">
        <v>200</v>
      </c>
      <c r="C7609" s="223"/>
      <c r="D7609" s="316"/>
      <c r="H7609" s="223">
        <v>0.0</v>
      </c>
      <c r="K7609" s="317"/>
    </row>
    <row r="7610">
      <c r="B7610" s="223" t="s">
        <v>200</v>
      </c>
      <c r="C7610" s="223"/>
      <c r="D7610" s="316"/>
      <c r="H7610" s="223">
        <v>0.0</v>
      </c>
      <c r="K7610" s="317"/>
    </row>
    <row r="7611">
      <c r="B7611" s="223" t="s">
        <v>200</v>
      </c>
      <c r="C7611" s="223"/>
      <c r="D7611" s="316"/>
      <c r="H7611" s="223">
        <v>0.0</v>
      </c>
      <c r="K7611" s="317"/>
    </row>
    <row r="7612">
      <c r="B7612" s="223" t="s">
        <v>200</v>
      </c>
      <c r="C7612" s="223"/>
      <c r="D7612" s="316"/>
      <c r="H7612" s="223">
        <v>0.0</v>
      </c>
      <c r="K7612" s="317"/>
    </row>
    <row r="7613">
      <c r="B7613" s="223" t="s">
        <v>200</v>
      </c>
      <c r="C7613" s="223"/>
      <c r="D7613" s="316"/>
      <c r="H7613" s="223">
        <v>0.0</v>
      </c>
      <c r="K7613" s="317"/>
    </row>
    <row r="7614">
      <c r="B7614" s="223" t="s">
        <v>200</v>
      </c>
      <c r="C7614" s="223"/>
      <c r="D7614" s="316"/>
      <c r="H7614" s="223">
        <v>0.0</v>
      </c>
      <c r="K7614" s="317"/>
    </row>
    <row r="7615">
      <c r="B7615" s="223" t="s">
        <v>200</v>
      </c>
      <c r="C7615" s="223"/>
      <c r="D7615" s="316"/>
      <c r="H7615" s="223">
        <v>0.0</v>
      </c>
      <c r="K7615" s="317"/>
    </row>
    <row r="7616">
      <c r="B7616" s="223" t="s">
        <v>200</v>
      </c>
      <c r="C7616" s="223"/>
      <c r="D7616" s="316"/>
      <c r="H7616" s="223">
        <v>0.0</v>
      </c>
      <c r="K7616" s="317"/>
    </row>
    <row r="7617">
      <c r="B7617" s="223" t="s">
        <v>200</v>
      </c>
      <c r="C7617" s="223"/>
      <c r="D7617" s="316"/>
      <c r="H7617" s="223">
        <v>0.0</v>
      </c>
      <c r="K7617" s="317"/>
    </row>
    <row r="7618">
      <c r="B7618" s="223" t="s">
        <v>200</v>
      </c>
      <c r="C7618" s="223"/>
      <c r="D7618" s="316"/>
      <c r="H7618" s="223">
        <v>0.0</v>
      </c>
      <c r="K7618" s="317"/>
    </row>
    <row r="7619">
      <c r="B7619" s="223" t="s">
        <v>200</v>
      </c>
      <c r="C7619" s="223"/>
      <c r="D7619" s="316"/>
      <c r="H7619" s="223">
        <v>0.0</v>
      </c>
      <c r="K7619" s="317"/>
    </row>
    <row r="7620">
      <c r="B7620" s="223" t="s">
        <v>200</v>
      </c>
      <c r="C7620" s="223"/>
      <c r="D7620" s="316"/>
      <c r="H7620" s="223">
        <v>0.0</v>
      </c>
      <c r="K7620" s="317"/>
    </row>
    <row r="7621">
      <c r="B7621" s="223" t="s">
        <v>200</v>
      </c>
      <c r="C7621" s="223"/>
      <c r="D7621" s="316"/>
      <c r="H7621" s="223">
        <v>0.0</v>
      </c>
      <c r="K7621" s="317"/>
    </row>
    <row r="7622">
      <c r="B7622" s="223" t="s">
        <v>200</v>
      </c>
      <c r="C7622" s="223"/>
      <c r="D7622" s="316"/>
      <c r="H7622" s="223">
        <v>0.0</v>
      </c>
      <c r="K7622" s="317"/>
    </row>
    <row r="7623">
      <c r="B7623" s="223" t="s">
        <v>200</v>
      </c>
      <c r="C7623" s="223"/>
      <c r="D7623" s="316"/>
      <c r="H7623" s="223">
        <v>0.0</v>
      </c>
      <c r="K7623" s="317"/>
    </row>
    <row r="7624">
      <c r="B7624" s="223" t="s">
        <v>200</v>
      </c>
      <c r="C7624" s="223"/>
      <c r="D7624" s="316"/>
      <c r="H7624" s="223">
        <v>0.0</v>
      </c>
      <c r="K7624" s="317"/>
    </row>
    <row r="7625">
      <c r="B7625" s="223" t="s">
        <v>200</v>
      </c>
      <c r="C7625" s="223"/>
      <c r="D7625" s="316"/>
      <c r="H7625" s="223">
        <v>0.0</v>
      </c>
      <c r="K7625" s="317"/>
    </row>
    <row r="7626">
      <c r="B7626" s="223" t="s">
        <v>200</v>
      </c>
      <c r="C7626" s="223"/>
      <c r="D7626" s="316"/>
      <c r="H7626" s="223">
        <v>0.0</v>
      </c>
      <c r="K7626" s="317"/>
    </row>
    <row r="7627">
      <c r="B7627" s="223" t="s">
        <v>200</v>
      </c>
      <c r="C7627" s="223"/>
      <c r="D7627" s="316"/>
      <c r="H7627" s="223">
        <v>0.0</v>
      </c>
      <c r="K7627" s="317"/>
    </row>
    <row r="7628">
      <c r="B7628" s="223" t="s">
        <v>200</v>
      </c>
      <c r="C7628" s="223"/>
      <c r="D7628" s="316"/>
      <c r="H7628" s="223">
        <v>0.0</v>
      </c>
      <c r="K7628" s="317"/>
    </row>
    <row r="7629">
      <c r="B7629" s="223" t="s">
        <v>200</v>
      </c>
      <c r="C7629" s="223"/>
      <c r="D7629" s="316"/>
      <c r="H7629" s="223">
        <v>0.0</v>
      </c>
      <c r="K7629" s="317"/>
    </row>
    <row r="7630">
      <c r="B7630" s="223" t="s">
        <v>200</v>
      </c>
      <c r="C7630" s="223"/>
      <c r="D7630" s="316"/>
      <c r="H7630" s="223">
        <v>0.0</v>
      </c>
      <c r="K7630" s="317"/>
    </row>
    <row r="7631">
      <c r="B7631" s="223" t="s">
        <v>200</v>
      </c>
      <c r="C7631" s="223"/>
      <c r="D7631" s="316"/>
      <c r="H7631" s="223">
        <v>0.0</v>
      </c>
      <c r="K7631" s="317"/>
    </row>
    <row r="7632">
      <c r="B7632" s="223" t="s">
        <v>200</v>
      </c>
      <c r="C7632" s="223"/>
      <c r="D7632" s="316"/>
      <c r="H7632" s="223">
        <v>0.0</v>
      </c>
      <c r="K7632" s="317"/>
    </row>
    <row r="7633">
      <c r="B7633" s="223" t="s">
        <v>200</v>
      </c>
      <c r="C7633" s="223"/>
      <c r="D7633" s="316"/>
      <c r="H7633" s="223">
        <v>0.0</v>
      </c>
      <c r="K7633" s="317"/>
    </row>
    <row r="7634">
      <c r="B7634" s="223" t="s">
        <v>200</v>
      </c>
      <c r="C7634" s="223"/>
      <c r="D7634" s="316"/>
      <c r="H7634" s="223">
        <v>0.0</v>
      </c>
      <c r="K7634" s="317"/>
    </row>
    <row r="7635">
      <c r="B7635" s="223" t="s">
        <v>200</v>
      </c>
      <c r="C7635" s="223"/>
      <c r="D7635" s="316"/>
      <c r="H7635" s="223">
        <v>0.0</v>
      </c>
      <c r="K7635" s="317"/>
    </row>
    <row r="7636">
      <c r="B7636" s="223" t="s">
        <v>200</v>
      </c>
      <c r="C7636" s="223"/>
      <c r="D7636" s="316"/>
      <c r="H7636" s="223">
        <v>0.0</v>
      </c>
      <c r="K7636" s="317"/>
    </row>
    <row r="7637">
      <c r="B7637" s="223" t="s">
        <v>200</v>
      </c>
      <c r="C7637" s="223"/>
      <c r="D7637" s="316"/>
      <c r="H7637" s="223">
        <v>0.0</v>
      </c>
      <c r="K7637" s="317"/>
    </row>
    <row r="7638">
      <c r="B7638" s="223" t="s">
        <v>200</v>
      </c>
      <c r="C7638" s="223"/>
      <c r="D7638" s="316"/>
      <c r="H7638" s="223">
        <v>0.0</v>
      </c>
      <c r="K7638" s="317"/>
    </row>
    <row r="7639">
      <c r="B7639" s="223" t="s">
        <v>200</v>
      </c>
      <c r="C7639" s="223"/>
      <c r="D7639" s="316"/>
      <c r="H7639" s="223">
        <v>0.0</v>
      </c>
      <c r="K7639" s="317"/>
    </row>
    <row r="7640">
      <c r="B7640" s="223" t="s">
        <v>200</v>
      </c>
      <c r="C7640" s="223"/>
      <c r="D7640" s="316"/>
      <c r="H7640" s="223">
        <v>0.0</v>
      </c>
      <c r="K7640" s="317"/>
    </row>
    <row r="7641">
      <c r="B7641" s="223" t="s">
        <v>200</v>
      </c>
      <c r="C7641" s="223"/>
      <c r="D7641" s="316"/>
      <c r="H7641" s="223">
        <v>0.0</v>
      </c>
      <c r="K7641" s="317"/>
    </row>
    <row r="7642">
      <c r="B7642" s="223" t="s">
        <v>200</v>
      </c>
      <c r="C7642" s="223"/>
      <c r="D7642" s="316"/>
      <c r="H7642" s="223">
        <v>0.0</v>
      </c>
      <c r="K7642" s="317"/>
    </row>
    <row r="7643">
      <c r="B7643" s="223" t="s">
        <v>200</v>
      </c>
      <c r="C7643" s="223"/>
      <c r="D7643" s="316"/>
      <c r="H7643" s="223">
        <v>0.0</v>
      </c>
      <c r="K7643" s="317"/>
    </row>
    <row r="7644">
      <c r="B7644" s="223" t="s">
        <v>200</v>
      </c>
      <c r="C7644" s="223"/>
      <c r="D7644" s="316"/>
      <c r="H7644" s="223">
        <v>0.0</v>
      </c>
      <c r="K7644" s="317"/>
    </row>
    <row r="7645">
      <c r="B7645" s="223" t="s">
        <v>200</v>
      </c>
      <c r="C7645" s="223"/>
      <c r="D7645" s="316"/>
      <c r="H7645" s="223">
        <v>0.0</v>
      </c>
      <c r="K7645" s="317"/>
    </row>
    <row r="7646">
      <c r="B7646" s="223" t="s">
        <v>200</v>
      </c>
      <c r="C7646" s="223"/>
      <c r="D7646" s="316"/>
      <c r="H7646" s="223">
        <v>0.0</v>
      </c>
      <c r="K7646" s="317"/>
    </row>
    <row r="7647">
      <c r="B7647" s="223" t="s">
        <v>200</v>
      </c>
      <c r="C7647" s="223"/>
      <c r="D7647" s="316"/>
      <c r="H7647" s="223">
        <v>0.0</v>
      </c>
      <c r="K7647" s="317"/>
    </row>
    <row r="7648">
      <c r="B7648" s="223" t="s">
        <v>200</v>
      </c>
      <c r="C7648" s="223"/>
      <c r="D7648" s="316"/>
      <c r="H7648" s="223">
        <v>0.0</v>
      </c>
      <c r="K7648" s="317"/>
    </row>
    <row r="7649">
      <c r="B7649" s="223" t="s">
        <v>200</v>
      </c>
      <c r="C7649" s="223"/>
      <c r="D7649" s="316"/>
      <c r="H7649" s="223">
        <v>0.0</v>
      </c>
      <c r="K7649" s="317"/>
    </row>
    <row r="7650">
      <c r="B7650" s="223" t="s">
        <v>200</v>
      </c>
      <c r="C7650" s="223"/>
      <c r="D7650" s="316"/>
      <c r="H7650" s="223">
        <v>0.0</v>
      </c>
      <c r="K7650" s="317"/>
    </row>
    <row r="7651">
      <c r="B7651" s="223" t="s">
        <v>200</v>
      </c>
      <c r="C7651" s="223"/>
      <c r="D7651" s="316"/>
      <c r="H7651" s="223">
        <v>0.0</v>
      </c>
      <c r="K7651" s="317"/>
    </row>
    <row r="7652">
      <c r="B7652" s="223" t="s">
        <v>200</v>
      </c>
      <c r="C7652" s="223"/>
      <c r="D7652" s="316"/>
      <c r="H7652" s="223">
        <v>0.0</v>
      </c>
      <c r="K7652" s="317"/>
    </row>
    <row r="7653">
      <c r="B7653" s="223" t="s">
        <v>200</v>
      </c>
      <c r="C7653" s="223"/>
      <c r="D7653" s="316"/>
      <c r="H7653" s="223">
        <v>0.0</v>
      </c>
      <c r="K7653" s="317"/>
    </row>
    <row r="7654">
      <c r="B7654" s="223" t="s">
        <v>200</v>
      </c>
      <c r="C7654" s="223"/>
      <c r="D7654" s="316"/>
      <c r="H7654" s="223">
        <v>0.0</v>
      </c>
      <c r="K7654" s="317"/>
    </row>
    <row r="7655">
      <c r="B7655" s="223" t="s">
        <v>200</v>
      </c>
      <c r="C7655" s="223"/>
      <c r="D7655" s="316"/>
      <c r="H7655" s="223">
        <v>0.0</v>
      </c>
      <c r="K7655" s="317"/>
    </row>
    <row r="7656">
      <c r="B7656" s="223" t="s">
        <v>200</v>
      </c>
      <c r="C7656" s="223"/>
      <c r="D7656" s="316"/>
      <c r="H7656" s="223">
        <v>0.0</v>
      </c>
      <c r="K7656" s="317"/>
    </row>
    <row r="7657">
      <c r="B7657" s="223" t="s">
        <v>200</v>
      </c>
      <c r="C7657" s="223"/>
      <c r="D7657" s="316"/>
      <c r="H7657" s="223">
        <v>0.0</v>
      </c>
      <c r="K7657" s="317"/>
    </row>
    <row r="7658">
      <c r="B7658" s="223" t="s">
        <v>200</v>
      </c>
      <c r="C7658" s="223"/>
      <c r="D7658" s="316"/>
      <c r="H7658" s="223">
        <v>0.0</v>
      </c>
      <c r="K7658" s="317"/>
    </row>
    <row r="7659">
      <c r="B7659" s="223" t="s">
        <v>200</v>
      </c>
      <c r="C7659" s="223"/>
      <c r="D7659" s="316"/>
      <c r="H7659" s="223">
        <v>0.0</v>
      </c>
      <c r="K7659" s="317"/>
    </row>
    <row r="7660">
      <c r="B7660" s="223" t="s">
        <v>200</v>
      </c>
      <c r="C7660" s="223"/>
      <c r="D7660" s="316"/>
      <c r="H7660" s="223">
        <v>0.0</v>
      </c>
      <c r="K7660" s="317"/>
    </row>
    <row r="7661">
      <c r="B7661" s="223" t="s">
        <v>200</v>
      </c>
      <c r="C7661" s="223"/>
      <c r="D7661" s="316"/>
      <c r="H7661" s="223">
        <v>0.0</v>
      </c>
      <c r="K7661" s="317"/>
    </row>
    <row r="7662">
      <c r="B7662" s="223" t="s">
        <v>200</v>
      </c>
      <c r="C7662" s="223"/>
      <c r="D7662" s="316"/>
      <c r="H7662" s="223">
        <v>0.0</v>
      </c>
      <c r="K7662" s="317"/>
    </row>
    <row r="7663">
      <c r="B7663" s="223" t="s">
        <v>200</v>
      </c>
      <c r="C7663" s="223"/>
      <c r="D7663" s="316"/>
      <c r="H7663" s="223">
        <v>0.0</v>
      </c>
      <c r="K7663" s="317"/>
    </row>
    <row r="7664">
      <c r="B7664" s="223" t="s">
        <v>200</v>
      </c>
      <c r="C7664" s="223"/>
      <c r="D7664" s="316"/>
      <c r="H7664" s="223">
        <v>0.0</v>
      </c>
      <c r="K7664" s="317"/>
    </row>
    <row r="7665">
      <c r="B7665" s="223" t="s">
        <v>200</v>
      </c>
      <c r="C7665" s="223"/>
      <c r="D7665" s="316"/>
      <c r="H7665" s="223">
        <v>0.0</v>
      </c>
      <c r="K7665" s="317"/>
    </row>
    <row r="7666">
      <c r="B7666" s="223" t="s">
        <v>200</v>
      </c>
      <c r="C7666" s="223"/>
      <c r="D7666" s="316"/>
      <c r="H7666" s="223">
        <v>0.0</v>
      </c>
      <c r="K7666" s="317"/>
    </row>
    <row r="7667">
      <c r="B7667" s="223" t="s">
        <v>200</v>
      </c>
      <c r="C7667" s="223"/>
      <c r="D7667" s="316"/>
      <c r="H7667" s="223">
        <v>0.0</v>
      </c>
      <c r="K7667" s="317"/>
    </row>
    <row r="7668">
      <c r="B7668" s="223" t="s">
        <v>200</v>
      </c>
      <c r="C7668" s="223"/>
      <c r="D7668" s="316"/>
      <c r="H7668" s="223">
        <v>0.0</v>
      </c>
      <c r="K7668" s="317"/>
    </row>
    <row r="7669">
      <c r="B7669" s="223" t="s">
        <v>200</v>
      </c>
      <c r="C7669" s="223"/>
      <c r="D7669" s="316"/>
      <c r="H7669" s="223">
        <v>0.0</v>
      </c>
      <c r="K7669" s="317"/>
    </row>
    <row r="7670">
      <c r="B7670" s="223" t="s">
        <v>200</v>
      </c>
      <c r="C7670" s="223"/>
      <c r="D7670" s="316"/>
      <c r="H7670" s="223">
        <v>0.0</v>
      </c>
      <c r="K7670" s="317"/>
    </row>
    <row r="7671">
      <c r="B7671" s="223" t="s">
        <v>200</v>
      </c>
      <c r="C7671" s="223"/>
      <c r="D7671" s="316"/>
      <c r="H7671" s="223">
        <v>0.0</v>
      </c>
      <c r="K7671" s="317"/>
    </row>
    <row r="7672">
      <c r="B7672" s="223" t="s">
        <v>200</v>
      </c>
      <c r="C7672" s="223"/>
      <c r="D7672" s="316"/>
      <c r="H7672" s="223">
        <v>0.0</v>
      </c>
      <c r="K7672" s="317"/>
    </row>
    <row r="7673">
      <c r="B7673" s="223" t="s">
        <v>200</v>
      </c>
      <c r="C7673" s="223"/>
      <c r="D7673" s="316"/>
      <c r="H7673" s="223">
        <v>0.0</v>
      </c>
      <c r="K7673" s="317"/>
    </row>
    <row r="7674">
      <c r="B7674" s="223" t="s">
        <v>200</v>
      </c>
      <c r="C7674" s="223"/>
      <c r="D7674" s="316"/>
      <c r="H7674" s="223">
        <v>0.0</v>
      </c>
      <c r="K7674" s="317"/>
    </row>
    <row r="7675">
      <c r="B7675" s="223" t="s">
        <v>200</v>
      </c>
      <c r="C7675" s="223"/>
      <c r="D7675" s="316"/>
      <c r="H7675" s="223">
        <v>0.0</v>
      </c>
      <c r="K7675" s="317"/>
    </row>
    <row r="7676">
      <c r="B7676" s="223" t="s">
        <v>200</v>
      </c>
      <c r="C7676" s="223"/>
      <c r="D7676" s="316"/>
      <c r="H7676" s="223">
        <v>0.0</v>
      </c>
      <c r="K7676" s="317"/>
    </row>
    <row r="7677">
      <c r="B7677" s="223" t="s">
        <v>200</v>
      </c>
      <c r="C7677" s="223"/>
      <c r="D7677" s="316"/>
      <c r="H7677" s="223">
        <v>0.0</v>
      </c>
      <c r="K7677" s="317"/>
    </row>
    <row r="7678">
      <c r="B7678" s="223" t="s">
        <v>200</v>
      </c>
      <c r="C7678" s="223"/>
      <c r="D7678" s="316"/>
      <c r="H7678" s="223">
        <v>0.0</v>
      </c>
      <c r="K7678" s="317"/>
    </row>
    <row r="7679">
      <c r="B7679" s="223" t="s">
        <v>200</v>
      </c>
      <c r="C7679" s="223"/>
      <c r="D7679" s="316"/>
      <c r="H7679" s="223">
        <v>0.0</v>
      </c>
      <c r="K7679" s="317"/>
    </row>
    <row r="7680">
      <c r="B7680" s="223" t="s">
        <v>200</v>
      </c>
      <c r="C7680" s="223"/>
      <c r="D7680" s="316"/>
      <c r="H7680" s="223">
        <v>0.0</v>
      </c>
      <c r="K7680" s="317"/>
    </row>
    <row r="7681">
      <c r="B7681" s="223" t="s">
        <v>200</v>
      </c>
      <c r="C7681" s="223"/>
      <c r="D7681" s="316"/>
      <c r="H7681" s="223">
        <v>0.0</v>
      </c>
      <c r="K7681" s="317"/>
    </row>
    <row r="7682">
      <c r="B7682" s="223" t="s">
        <v>200</v>
      </c>
      <c r="C7682" s="223"/>
      <c r="D7682" s="316"/>
      <c r="H7682" s="223">
        <v>0.0</v>
      </c>
      <c r="K7682" s="317"/>
    </row>
    <row r="7683">
      <c r="B7683" s="223" t="s">
        <v>200</v>
      </c>
      <c r="C7683" s="223"/>
      <c r="D7683" s="316"/>
      <c r="H7683" s="223">
        <v>0.0</v>
      </c>
      <c r="K7683" s="317"/>
    </row>
    <row r="7684">
      <c r="B7684" s="223" t="s">
        <v>200</v>
      </c>
      <c r="C7684" s="223"/>
      <c r="D7684" s="316"/>
      <c r="H7684" s="223">
        <v>0.0</v>
      </c>
      <c r="K7684" s="317"/>
    </row>
    <row r="7685">
      <c r="B7685" s="223" t="s">
        <v>200</v>
      </c>
      <c r="C7685" s="223"/>
      <c r="D7685" s="316"/>
      <c r="H7685" s="223">
        <v>0.0</v>
      </c>
      <c r="K7685" s="317"/>
    </row>
    <row r="7686">
      <c r="B7686" s="223" t="s">
        <v>200</v>
      </c>
      <c r="C7686" s="223"/>
      <c r="D7686" s="316"/>
      <c r="H7686" s="223">
        <v>0.0</v>
      </c>
      <c r="K7686" s="317"/>
    </row>
    <row r="7687">
      <c r="B7687" s="223" t="s">
        <v>200</v>
      </c>
      <c r="C7687" s="223"/>
      <c r="D7687" s="316"/>
      <c r="H7687" s="223">
        <v>0.0</v>
      </c>
      <c r="K7687" s="317"/>
    </row>
    <row r="7688">
      <c r="B7688" s="223" t="s">
        <v>200</v>
      </c>
      <c r="C7688" s="223"/>
      <c r="D7688" s="316"/>
      <c r="H7688" s="223">
        <v>0.0</v>
      </c>
      <c r="K7688" s="317"/>
    </row>
    <row r="7689">
      <c r="B7689" s="223" t="s">
        <v>200</v>
      </c>
      <c r="C7689" s="223"/>
      <c r="D7689" s="316"/>
      <c r="H7689" s="223">
        <v>0.0</v>
      </c>
      <c r="K7689" s="317"/>
    </row>
    <row r="7690">
      <c r="B7690" s="223" t="s">
        <v>200</v>
      </c>
      <c r="C7690" s="223"/>
      <c r="D7690" s="316"/>
      <c r="H7690" s="223">
        <v>0.0</v>
      </c>
      <c r="K7690" s="317"/>
    </row>
    <row r="7691">
      <c r="B7691" s="223" t="s">
        <v>200</v>
      </c>
      <c r="C7691" s="223"/>
      <c r="D7691" s="316"/>
      <c r="H7691" s="223">
        <v>0.0</v>
      </c>
      <c r="K7691" s="317"/>
    </row>
    <row r="7692">
      <c r="B7692" s="223" t="s">
        <v>200</v>
      </c>
      <c r="C7692" s="223"/>
      <c r="D7692" s="316"/>
      <c r="H7692" s="223">
        <v>0.0</v>
      </c>
      <c r="K7692" s="317"/>
    </row>
    <row r="7693">
      <c r="B7693" s="223" t="s">
        <v>200</v>
      </c>
      <c r="C7693" s="223"/>
      <c r="D7693" s="316"/>
      <c r="H7693" s="223">
        <v>0.0</v>
      </c>
      <c r="K7693" s="317"/>
    </row>
    <row r="7694">
      <c r="B7694" s="223" t="s">
        <v>200</v>
      </c>
      <c r="C7694" s="223"/>
      <c r="D7694" s="316"/>
      <c r="H7694" s="223">
        <v>0.0</v>
      </c>
      <c r="K7694" s="317"/>
    </row>
    <row r="7695">
      <c r="B7695" s="223" t="s">
        <v>200</v>
      </c>
      <c r="C7695" s="223"/>
      <c r="D7695" s="316"/>
      <c r="H7695" s="223">
        <v>0.0</v>
      </c>
      <c r="K7695" s="317"/>
    </row>
    <row r="7696">
      <c r="B7696" s="223" t="s">
        <v>200</v>
      </c>
      <c r="C7696" s="223"/>
      <c r="D7696" s="316"/>
      <c r="H7696" s="223">
        <v>0.0</v>
      </c>
      <c r="K7696" s="317"/>
    </row>
    <row r="7697">
      <c r="B7697" s="223" t="s">
        <v>200</v>
      </c>
      <c r="C7697" s="223"/>
      <c r="D7697" s="316"/>
      <c r="H7697" s="223">
        <v>0.0</v>
      </c>
      <c r="K7697" s="317"/>
    </row>
    <row r="7698">
      <c r="B7698" s="223" t="s">
        <v>200</v>
      </c>
      <c r="C7698" s="223"/>
      <c r="D7698" s="316"/>
      <c r="H7698" s="223">
        <v>0.0</v>
      </c>
      <c r="K7698" s="317"/>
    </row>
    <row r="7699">
      <c r="B7699" s="223" t="s">
        <v>200</v>
      </c>
      <c r="C7699" s="223"/>
      <c r="D7699" s="316"/>
      <c r="H7699" s="223">
        <v>0.0</v>
      </c>
      <c r="K7699" s="317"/>
    </row>
    <row r="7700">
      <c r="B7700" s="223" t="s">
        <v>200</v>
      </c>
      <c r="C7700" s="223"/>
      <c r="D7700" s="316"/>
      <c r="H7700" s="223">
        <v>0.0</v>
      </c>
      <c r="K7700" s="317"/>
    </row>
    <row r="7701">
      <c r="B7701" s="223" t="s">
        <v>200</v>
      </c>
      <c r="C7701" s="223"/>
      <c r="D7701" s="316"/>
      <c r="H7701" s="223">
        <v>0.0</v>
      </c>
      <c r="K7701" s="317"/>
    </row>
    <row r="7702">
      <c r="B7702" s="223" t="s">
        <v>200</v>
      </c>
      <c r="C7702" s="223"/>
      <c r="D7702" s="316"/>
      <c r="H7702" s="223">
        <v>0.0</v>
      </c>
      <c r="K7702" s="317"/>
    </row>
    <row r="7703">
      <c r="B7703" s="223" t="s">
        <v>200</v>
      </c>
      <c r="C7703" s="223"/>
      <c r="D7703" s="316"/>
      <c r="H7703" s="223">
        <v>0.0</v>
      </c>
      <c r="K7703" s="317"/>
    </row>
    <row r="7704">
      <c r="B7704" s="223" t="s">
        <v>200</v>
      </c>
      <c r="C7704" s="223"/>
      <c r="D7704" s="316"/>
      <c r="H7704" s="223">
        <v>0.0</v>
      </c>
      <c r="K7704" s="317"/>
    </row>
    <row r="7705">
      <c r="B7705" s="223" t="s">
        <v>200</v>
      </c>
      <c r="C7705" s="223"/>
      <c r="D7705" s="316"/>
      <c r="H7705" s="223">
        <v>0.0</v>
      </c>
      <c r="K7705" s="317"/>
    </row>
    <row r="7706">
      <c r="B7706" s="223" t="s">
        <v>200</v>
      </c>
      <c r="C7706" s="223"/>
      <c r="D7706" s="316"/>
      <c r="H7706" s="223">
        <v>0.0</v>
      </c>
      <c r="K7706" s="317"/>
    </row>
    <row r="7707">
      <c r="B7707" s="223" t="s">
        <v>200</v>
      </c>
      <c r="C7707" s="223"/>
      <c r="D7707" s="316"/>
      <c r="H7707" s="223">
        <v>0.0</v>
      </c>
      <c r="K7707" s="317"/>
    </row>
    <row r="7708">
      <c r="B7708" s="223" t="s">
        <v>200</v>
      </c>
      <c r="C7708" s="223"/>
      <c r="D7708" s="316"/>
      <c r="H7708" s="223">
        <v>0.0</v>
      </c>
      <c r="K7708" s="317"/>
    </row>
    <row r="7709">
      <c r="B7709" s="223" t="s">
        <v>200</v>
      </c>
      <c r="C7709" s="223"/>
      <c r="D7709" s="316"/>
      <c r="H7709" s="223">
        <v>0.0</v>
      </c>
      <c r="K7709" s="317"/>
    </row>
    <row r="7710">
      <c r="B7710" s="223" t="s">
        <v>200</v>
      </c>
      <c r="C7710" s="223"/>
      <c r="D7710" s="316"/>
      <c r="H7710" s="223">
        <v>0.0</v>
      </c>
      <c r="K7710" s="317"/>
    </row>
    <row r="7711">
      <c r="B7711" s="223" t="s">
        <v>200</v>
      </c>
      <c r="C7711" s="223"/>
      <c r="D7711" s="316"/>
      <c r="H7711" s="223">
        <v>0.0</v>
      </c>
      <c r="K7711" s="317"/>
    </row>
    <row r="7712">
      <c r="B7712" s="223" t="s">
        <v>200</v>
      </c>
      <c r="C7712" s="223"/>
      <c r="D7712" s="316"/>
      <c r="H7712" s="223">
        <v>0.0</v>
      </c>
      <c r="K7712" s="317"/>
    </row>
    <row r="7713">
      <c r="B7713" s="223" t="s">
        <v>200</v>
      </c>
      <c r="C7713" s="223"/>
      <c r="D7713" s="316"/>
      <c r="H7713" s="223">
        <v>0.0</v>
      </c>
      <c r="K7713" s="317"/>
    </row>
    <row r="7714">
      <c r="B7714" s="223" t="s">
        <v>200</v>
      </c>
      <c r="C7714" s="223"/>
      <c r="D7714" s="316"/>
      <c r="H7714" s="223">
        <v>0.0</v>
      </c>
      <c r="K7714" s="317"/>
    </row>
    <row r="7715">
      <c r="B7715" s="223" t="s">
        <v>200</v>
      </c>
      <c r="C7715" s="223"/>
      <c r="D7715" s="316"/>
      <c r="H7715" s="223">
        <v>0.0</v>
      </c>
      <c r="K7715" s="317"/>
    </row>
    <row r="7716">
      <c r="B7716" s="223" t="s">
        <v>200</v>
      </c>
      <c r="C7716" s="223"/>
      <c r="D7716" s="316"/>
      <c r="H7716" s="223">
        <v>0.0</v>
      </c>
      <c r="K7716" s="317"/>
    </row>
    <row r="7717">
      <c r="B7717" s="223" t="s">
        <v>200</v>
      </c>
      <c r="C7717" s="223"/>
      <c r="D7717" s="316"/>
      <c r="H7717" s="223">
        <v>0.0</v>
      </c>
      <c r="K7717" s="317"/>
    </row>
    <row r="7718">
      <c r="B7718" s="223" t="s">
        <v>200</v>
      </c>
      <c r="C7718" s="223"/>
      <c r="D7718" s="316"/>
      <c r="H7718" s="223">
        <v>0.0</v>
      </c>
      <c r="K7718" s="317"/>
    </row>
    <row r="7719">
      <c r="B7719" s="223" t="s">
        <v>200</v>
      </c>
      <c r="C7719" s="223"/>
      <c r="D7719" s="316"/>
      <c r="H7719" s="223">
        <v>0.0</v>
      </c>
      <c r="K7719" s="317"/>
    </row>
    <row r="7720">
      <c r="B7720" s="223" t="s">
        <v>200</v>
      </c>
      <c r="C7720" s="223"/>
      <c r="D7720" s="316"/>
      <c r="H7720" s="223">
        <v>0.0</v>
      </c>
      <c r="K7720" s="317"/>
    </row>
    <row r="7721">
      <c r="B7721" s="223" t="s">
        <v>200</v>
      </c>
      <c r="C7721" s="223"/>
      <c r="D7721" s="316"/>
      <c r="H7721" s="223">
        <v>0.0</v>
      </c>
      <c r="K7721" s="317"/>
    </row>
    <row r="7722">
      <c r="B7722" s="223" t="s">
        <v>200</v>
      </c>
      <c r="C7722" s="223"/>
      <c r="D7722" s="316"/>
      <c r="H7722" s="223">
        <v>0.0</v>
      </c>
      <c r="K7722" s="317"/>
    </row>
    <row r="7723">
      <c r="B7723" s="223" t="s">
        <v>200</v>
      </c>
      <c r="C7723" s="223"/>
      <c r="D7723" s="316"/>
      <c r="H7723" s="223">
        <v>0.0</v>
      </c>
      <c r="K7723" s="317"/>
    </row>
    <row r="7724">
      <c r="B7724" s="223" t="s">
        <v>200</v>
      </c>
      <c r="C7724" s="223"/>
      <c r="D7724" s="316"/>
      <c r="H7724" s="223">
        <v>0.0</v>
      </c>
      <c r="K7724" s="317"/>
    </row>
    <row r="7725">
      <c r="B7725" s="223" t="s">
        <v>200</v>
      </c>
      <c r="C7725" s="223"/>
      <c r="D7725" s="316"/>
      <c r="H7725" s="223">
        <v>0.0</v>
      </c>
      <c r="K7725" s="317"/>
    </row>
    <row r="7726">
      <c r="B7726" s="223" t="s">
        <v>200</v>
      </c>
      <c r="C7726" s="223"/>
      <c r="D7726" s="316"/>
      <c r="H7726" s="223">
        <v>0.0</v>
      </c>
      <c r="K7726" s="317"/>
    </row>
    <row r="7727">
      <c r="B7727" s="223" t="s">
        <v>200</v>
      </c>
      <c r="C7727" s="223"/>
      <c r="D7727" s="316"/>
      <c r="H7727" s="223">
        <v>0.0</v>
      </c>
      <c r="K7727" s="317"/>
    </row>
    <row r="7728">
      <c r="B7728" s="223" t="s">
        <v>200</v>
      </c>
      <c r="C7728" s="223"/>
      <c r="D7728" s="316"/>
      <c r="H7728" s="223">
        <v>0.0</v>
      </c>
      <c r="K7728" s="317"/>
    </row>
    <row r="7729">
      <c r="B7729" s="223" t="s">
        <v>200</v>
      </c>
      <c r="C7729" s="223"/>
      <c r="D7729" s="316"/>
      <c r="H7729" s="223">
        <v>0.0</v>
      </c>
      <c r="K7729" s="317"/>
    </row>
    <row r="7730">
      <c r="B7730" s="223" t="s">
        <v>200</v>
      </c>
      <c r="C7730" s="223"/>
      <c r="D7730" s="316"/>
      <c r="H7730" s="223">
        <v>0.0</v>
      </c>
      <c r="K7730" s="317"/>
    </row>
    <row r="7731">
      <c r="B7731" s="223" t="s">
        <v>200</v>
      </c>
      <c r="C7731" s="223"/>
      <c r="D7731" s="316"/>
      <c r="H7731" s="223">
        <v>0.0</v>
      </c>
      <c r="K7731" s="317"/>
    </row>
    <row r="7732">
      <c r="B7732" s="223" t="s">
        <v>200</v>
      </c>
      <c r="C7732" s="223"/>
      <c r="D7732" s="316"/>
      <c r="H7732" s="223">
        <v>0.0</v>
      </c>
      <c r="K7732" s="317"/>
    </row>
    <row r="7733">
      <c r="B7733" s="223" t="s">
        <v>200</v>
      </c>
      <c r="C7733" s="223"/>
      <c r="D7733" s="316"/>
      <c r="H7733" s="223">
        <v>0.0</v>
      </c>
      <c r="K7733" s="317"/>
    </row>
    <row r="7734">
      <c r="B7734" s="223" t="s">
        <v>200</v>
      </c>
      <c r="C7734" s="223"/>
      <c r="D7734" s="316"/>
      <c r="H7734" s="223">
        <v>0.0</v>
      </c>
      <c r="K7734" s="317"/>
    </row>
    <row r="7735">
      <c r="B7735" s="223" t="s">
        <v>200</v>
      </c>
      <c r="C7735" s="223"/>
      <c r="D7735" s="316"/>
      <c r="H7735" s="223">
        <v>0.0</v>
      </c>
      <c r="K7735" s="317"/>
    </row>
    <row r="7736">
      <c r="B7736" s="223" t="s">
        <v>200</v>
      </c>
      <c r="C7736" s="223"/>
      <c r="D7736" s="316"/>
      <c r="H7736" s="223">
        <v>0.0</v>
      </c>
      <c r="K7736" s="317"/>
    </row>
    <row r="7737">
      <c r="B7737" s="223" t="s">
        <v>200</v>
      </c>
      <c r="C7737" s="223"/>
      <c r="D7737" s="316"/>
      <c r="H7737" s="223">
        <v>0.0</v>
      </c>
      <c r="K7737" s="317"/>
    </row>
    <row r="7738">
      <c r="B7738" s="223" t="s">
        <v>200</v>
      </c>
      <c r="C7738" s="223"/>
      <c r="D7738" s="316"/>
      <c r="H7738" s="223">
        <v>0.0</v>
      </c>
      <c r="K7738" s="317"/>
    </row>
    <row r="7739">
      <c r="B7739" s="223" t="s">
        <v>200</v>
      </c>
      <c r="C7739" s="223"/>
      <c r="D7739" s="316"/>
      <c r="H7739" s="223">
        <v>0.0</v>
      </c>
      <c r="K7739" s="317"/>
    </row>
    <row r="7740">
      <c r="B7740" s="223" t="s">
        <v>200</v>
      </c>
      <c r="C7740" s="223"/>
      <c r="D7740" s="316"/>
      <c r="H7740" s="223">
        <v>0.0</v>
      </c>
      <c r="K7740" s="317"/>
    </row>
    <row r="7741">
      <c r="B7741" s="223" t="s">
        <v>200</v>
      </c>
      <c r="C7741" s="223"/>
      <c r="D7741" s="316"/>
      <c r="H7741" s="223">
        <v>0.0</v>
      </c>
      <c r="K7741" s="317"/>
    </row>
    <row r="7742">
      <c r="B7742" s="223" t="s">
        <v>200</v>
      </c>
      <c r="C7742" s="223"/>
      <c r="D7742" s="316"/>
      <c r="H7742" s="223">
        <v>0.0</v>
      </c>
      <c r="K7742" s="317"/>
    </row>
    <row r="7743">
      <c r="B7743" s="223" t="s">
        <v>200</v>
      </c>
      <c r="C7743" s="223"/>
      <c r="D7743" s="316"/>
      <c r="H7743" s="223">
        <v>0.0</v>
      </c>
      <c r="K7743" s="317"/>
    </row>
    <row r="7744">
      <c r="B7744" s="223" t="s">
        <v>200</v>
      </c>
      <c r="C7744" s="223"/>
      <c r="D7744" s="316"/>
      <c r="H7744" s="223">
        <v>0.0</v>
      </c>
      <c r="K7744" s="317"/>
    </row>
    <row r="7745">
      <c r="B7745" s="223" t="s">
        <v>200</v>
      </c>
      <c r="C7745" s="223"/>
      <c r="D7745" s="316"/>
      <c r="H7745" s="223">
        <v>0.0</v>
      </c>
      <c r="K7745" s="317"/>
    </row>
    <row r="7746">
      <c r="B7746" s="223" t="s">
        <v>200</v>
      </c>
      <c r="C7746" s="223"/>
      <c r="D7746" s="316"/>
      <c r="H7746" s="223">
        <v>0.0</v>
      </c>
      <c r="K7746" s="317"/>
    </row>
    <row r="7747">
      <c r="B7747" s="223" t="s">
        <v>200</v>
      </c>
      <c r="C7747" s="223"/>
      <c r="D7747" s="316"/>
      <c r="H7747" s="223">
        <v>0.0</v>
      </c>
      <c r="K7747" s="317"/>
    </row>
    <row r="7748">
      <c r="B7748" s="223" t="s">
        <v>200</v>
      </c>
      <c r="C7748" s="223"/>
      <c r="D7748" s="316"/>
      <c r="H7748" s="223">
        <v>0.0</v>
      </c>
      <c r="K7748" s="317"/>
    </row>
    <row r="7749">
      <c r="B7749" s="223" t="s">
        <v>200</v>
      </c>
      <c r="C7749" s="223"/>
      <c r="D7749" s="316"/>
      <c r="H7749" s="223">
        <v>0.0</v>
      </c>
      <c r="K7749" s="317"/>
    </row>
    <row r="7750">
      <c r="B7750" s="223" t="s">
        <v>200</v>
      </c>
      <c r="C7750" s="223"/>
      <c r="D7750" s="316"/>
      <c r="H7750" s="223">
        <v>0.0</v>
      </c>
      <c r="K7750" s="317"/>
    </row>
    <row r="7751">
      <c r="B7751" s="223" t="s">
        <v>200</v>
      </c>
      <c r="C7751" s="223"/>
      <c r="D7751" s="316"/>
      <c r="H7751" s="223">
        <v>0.0</v>
      </c>
      <c r="K7751" s="317"/>
    </row>
    <row r="7752">
      <c r="B7752" s="223" t="s">
        <v>200</v>
      </c>
      <c r="C7752" s="223"/>
      <c r="D7752" s="316"/>
      <c r="H7752" s="223">
        <v>0.0</v>
      </c>
      <c r="K7752" s="317"/>
    </row>
    <row r="7753">
      <c r="B7753" s="223" t="s">
        <v>200</v>
      </c>
      <c r="C7753" s="223"/>
      <c r="D7753" s="316"/>
      <c r="H7753" s="223">
        <v>0.0</v>
      </c>
      <c r="K7753" s="317"/>
    </row>
    <row r="7754">
      <c r="B7754" s="223" t="s">
        <v>200</v>
      </c>
      <c r="C7754" s="223"/>
      <c r="D7754" s="316"/>
      <c r="H7754" s="223">
        <v>0.0</v>
      </c>
      <c r="K7754" s="317"/>
    </row>
    <row r="7755">
      <c r="B7755" s="223" t="s">
        <v>200</v>
      </c>
      <c r="C7755" s="223"/>
      <c r="D7755" s="316"/>
      <c r="H7755" s="223">
        <v>0.0</v>
      </c>
      <c r="K7755" s="317"/>
    </row>
    <row r="7756">
      <c r="B7756" s="223" t="s">
        <v>200</v>
      </c>
      <c r="C7756" s="223"/>
      <c r="D7756" s="316"/>
      <c r="H7756" s="223">
        <v>0.0</v>
      </c>
      <c r="K7756" s="317"/>
    </row>
    <row r="7757">
      <c r="B7757" s="223" t="s">
        <v>200</v>
      </c>
      <c r="C7757" s="223"/>
      <c r="D7757" s="316"/>
      <c r="H7757" s="223">
        <v>0.0</v>
      </c>
      <c r="K7757" s="317"/>
    </row>
    <row r="7758">
      <c r="B7758" s="223" t="s">
        <v>200</v>
      </c>
      <c r="C7758" s="223"/>
      <c r="D7758" s="316"/>
      <c r="H7758" s="223">
        <v>0.0</v>
      </c>
      <c r="K7758" s="317"/>
    </row>
    <row r="7759">
      <c r="B7759" s="223" t="s">
        <v>200</v>
      </c>
      <c r="C7759" s="223"/>
      <c r="D7759" s="316"/>
      <c r="H7759" s="223">
        <v>0.0</v>
      </c>
      <c r="K7759" s="317"/>
    </row>
    <row r="7760">
      <c r="B7760" s="223" t="s">
        <v>200</v>
      </c>
      <c r="C7760" s="223"/>
      <c r="D7760" s="316"/>
      <c r="H7760" s="223">
        <v>0.0</v>
      </c>
      <c r="K7760" s="317"/>
    </row>
    <row r="7761">
      <c r="B7761" s="223" t="s">
        <v>200</v>
      </c>
      <c r="C7761" s="223"/>
      <c r="D7761" s="316"/>
      <c r="H7761" s="223">
        <v>0.0</v>
      </c>
      <c r="K7761" s="317"/>
    </row>
    <row r="7762">
      <c r="B7762" s="223" t="s">
        <v>200</v>
      </c>
      <c r="C7762" s="223"/>
      <c r="D7762" s="316"/>
      <c r="H7762" s="223">
        <v>0.0</v>
      </c>
      <c r="K7762" s="317"/>
    </row>
    <row r="7763">
      <c r="B7763" s="223" t="s">
        <v>200</v>
      </c>
      <c r="C7763" s="223"/>
      <c r="D7763" s="316"/>
      <c r="H7763" s="223">
        <v>0.0</v>
      </c>
      <c r="K7763" s="317"/>
    </row>
    <row r="7764">
      <c r="B7764" s="223" t="s">
        <v>200</v>
      </c>
      <c r="C7764" s="223"/>
      <c r="D7764" s="316"/>
      <c r="H7764" s="223">
        <v>0.0</v>
      </c>
      <c r="K7764" s="317"/>
    </row>
    <row r="7765">
      <c r="B7765" s="223" t="s">
        <v>200</v>
      </c>
      <c r="C7765" s="223"/>
      <c r="D7765" s="316"/>
      <c r="H7765" s="223">
        <v>0.0</v>
      </c>
      <c r="K7765" s="317"/>
    </row>
    <row r="7766">
      <c r="B7766" s="223" t="s">
        <v>200</v>
      </c>
      <c r="C7766" s="223"/>
      <c r="D7766" s="316"/>
      <c r="H7766" s="223">
        <v>0.0</v>
      </c>
      <c r="K7766" s="317"/>
    </row>
    <row r="7767">
      <c r="B7767" s="223" t="s">
        <v>200</v>
      </c>
      <c r="C7767" s="223"/>
      <c r="D7767" s="316"/>
      <c r="H7767" s="223">
        <v>0.0</v>
      </c>
      <c r="K7767" s="317"/>
    </row>
    <row r="7768">
      <c r="B7768" s="223" t="s">
        <v>200</v>
      </c>
      <c r="C7768" s="223"/>
      <c r="D7768" s="316"/>
      <c r="H7768" s="223">
        <v>0.0</v>
      </c>
      <c r="K7768" s="317"/>
    </row>
    <row r="7769">
      <c r="B7769" s="223" t="s">
        <v>200</v>
      </c>
      <c r="C7769" s="223"/>
      <c r="D7769" s="316"/>
      <c r="H7769" s="223">
        <v>0.0</v>
      </c>
      <c r="K7769" s="317"/>
    </row>
    <row r="7770">
      <c r="B7770" s="223" t="s">
        <v>200</v>
      </c>
      <c r="C7770" s="223"/>
      <c r="D7770" s="316"/>
      <c r="H7770" s="223">
        <v>0.0</v>
      </c>
      <c r="K7770" s="317"/>
    </row>
    <row r="7771">
      <c r="B7771" s="223" t="s">
        <v>200</v>
      </c>
      <c r="C7771" s="223"/>
      <c r="D7771" s="316"/>
      <c r="H7771" s="223">
        <v>0.0</v>
      </c>
      <c r="K7771" s="317"/>
    </row>
    <row r="7772">
      <c r="B7772" s="223" t="s">
        <v>200</v>
      </c>
      <c r="C7772" s="223"/>
      <c r="D7772" s="316"/>
      <c r="H7772" s="223">
        <v>0.0</v>
      </c>
      <c r="K7772" s="317"/>
    </row>
    <row r="7773">
      <c r="B7773" s="223" t="s">
        <v>200</v>
      </c>
      <c r="C7773" s="223"/>
      <c r="D7773" s="316"/>
      <c r="H7773" s="223">
        <v>0.0</v>
      </c>
      <c r="K7773" s="317"/>
    </row>
    <row r="7774">
      <c r="B7774" s="223" t="s">
        <v>200</v>
      </c>
      <c r="C7774" s="223"/>
      <c r="D7774" s="316"/>
      <c r="H7774" s="223">
        <v>0.0</v>
      </c>
      <c r="K7774" s="317"/>
    </row>
    <row r="7775">
      <c r="B7775" s="223" t="s">
        <v>200</v>
      </c>
      <c r="C7775" s="223"/>
      <c r="D7775" s="316"/>
      <c r="H7775" s="223">
        <v>0.0</v>
      </c>
      <c r="K7775" s="317"/>
    </row>
    <row r="7776">
      <c r="B7776" s="223" t="s">
        <v>200</v>
      </c>
      <c r="C7776" s="223"/>
      <c r="D7776" s="316"/>
      <c r="H7776" s="223">
        <v>0.0</v>
      </c>
      <c r="K7776" s="317"/>
    </row>
    <row r="7777">
      <c r="B7777" s="223" t="s">
        <v>200</v>
      </c>
      <c r="C7777" s="223"/>
      <c r="D7777" s="316"/>
      <c r="H7777" s="223">
        <v>0.0</v>
      </c>
      <c r="K7777" s="317"/>
    </row>
    <row r="7778">
      <c r="B7778" s="223" t="s">
        <v>200</v>
      </c>
      <c r="C7778" s="223"/>
      <c r="D7778" s="316"/>
      <c r="H7778" s="223">
        <v>0.0</v>
      </c>
      <c r="K7778" s="317"/>
    </row>
    <row r="7779">
      <c r="B7779" s="223" t="s">
        <v>200</v>
      </c>
      <c r="C7779" s="223"/>
      <c r="D7779" s="316"/>
      <c r="H7779" s="223">
        <v>0.0</v>
      </c>
      <c r="K7779" s="317"/>
    </row>
    <row r="7780">
      <c r="B7780" s="223" t="s">
        <v>200</v>
      </c>
      <c r="C7780" s="223"/>
      <c r="D7780" s="316"/>
      <c r="H7780" s="223">
        <v>0.0</v>
      </c>
      <c r="K7780" s="317"/>
    </row>
    <row r="7781">
      <c r="B7781" s="223" t="s">
        <v>200</v>
      </c>
      <c r="C7781" s="223"/>
      <c r="D7781" s="316"/>
      <c r="H7781" s="223">
        <v>0.0</v>
      </c>
      <c r="K7781" s="317"/>
    </row>
    <row r="7782">
      <c r="B7782" s="223" t="s">
        <v>200</v>
      </c>
      <c r="C7782" s="223"/>
      <c r="D7782" s="316"/>
      <c r="H7782" s="223">
        <v>0.0</v>
      </c>
      <c r="K7782" s="317"/>
    </row>
    <row r="7783">
      <c r="B7783" s="223" t="s">
        <v>200</v>
      </c>
      <c r="C7783" s="223"/>
      <c r="D7783" s="316"/>
      <c r="H7783" s="223">
        <v>0.0</v>
      </c>
      <c r="K7783" s="317"/>
    </row>
    <row r="7784">
      <c r="B7784" s="223" t="s">
        <v>200</v>
      </c>
      <c r="C7784" s="223"/>
      <c r="D7784" s="316"/>
      <c r="H7784" s="223">
        <v>0.0</v>
      </c>
      <c r="K7784" s="317"/>
    </row>
    <row r="7785">
      <c r="B7785" s="223" t="s">
        <v>200</v>
      </c>
      <c r="C7785" s="223"/>
      <c r="D7785" s="316"/>
      <c r="H7785" s="223">
        <v>0.0</v>
      </c>
      <c r="K7785" s="317"/>
    </row>
    <row r="7786">
      <c r="B7786" s="223" t="s">
        <v>200</v>
      </c>
      <c r="C7786" s="223"/>
      <c r="D7786" s="316"/>
      <c r="H7786" s="223">
        <v>0.0</v>
      </c>
      <c r="K7786" s="317"/>
    </row>
    <row r="7787">
      <c r="B7787" s="223" t="s">
        <v>200</v>
      </c>
      <c r="C7787" s="223"/>
      <c r="D7787" s="316"/>
      <c r="H7787" s="223">
        <v>0.0</v>
      </c>
      <c r="K7787" s="317"/>
    </row>
    <row r="7788">
      <c r="B7788" s="223" t="s">
        <v>200</v>
      </c>
      <c r="C7788" s="223"/>
      <c r="D7788" s="316"/>
      <c r="H7788" s="223">
        <v>0.0</v>
      </c>
      <c r="K7788" s="317"/>
    </row>
    <row r="7789">
      <c r="B7789" s="223" t="s">
        <v>200</v>
      </c>
      <c r="C7789" s="223"/>
      <c r="D7789" s="316"/>
      <c r="H7789" s="223">
        <v>0.0</v>
      </c>
      <c r="K7789" s="317"/>
    </row>
    <row r="7790">
      <c r="B7790" s="223" t="s">
        <v>200</v>
      </c>
      <c r="C7790" s="223"/>
      <c r="D7790" s="316"/>
      <c r="H7790" s="223">
        <v>0.0</v>
      </c>
      <c r="K7790" s="317"/>
    </row>
    <row r="7791">
      <c r="B7791" s="223" t="s">
        <v>200</v>
      </c>
      <c r="C7791" s="223"/>
      <c r="D7791" s="316"/>
      <c r="H7791" s="223">
        <v>0.0</v>
      </c>
      <c r="K7791" s="317"/>
    </row>
    <row r="7792">
      <c r="B7792" s="223" t="s">
        <v>200</v>
      </c>
      <c r="C7792" s="223"/>
      <c r="D7792" s="316"/>
      <c r="H7792" s="223">
        <v>0.0</v>
      </c>
      <c r="K7792" s="317"/>
    </row>
    <row r="7793">
      <c r="B7793" s="223" t="s">
        <v>200</v>
      </c>
      <c r="C7793" s="223"/>
      <c r="D7793" s="316"/>
      <c r="H7793" s="223">
        <v>0.0</v>
      </c>
      <c r="K7793" s="317"/>
    </row>
    <row r="7794">
      <c r="B7794" s="223" t="s">
        <v>200</v>
      </c>
      <c r="C7794" s="223"/>
      <c r="D7794" s="316"/>
      <c r="H7794" s="223">
        <v>0.0</v>
      </c>
      <c r="K7794" s="317"/>
    </row>
    <row r="7795">
      <c r="B7795" s="223" t="s">
        <v>200</v>
      </c>
      <c r="C7795" s="223"/>
      <c r="D7795" s="316"/>
      <c r="H7795" s="223">
        <v>0.0</v>
      </c>
      <c r="K7795" s="317"/>
    </row>
    <row r="7796">
      <c r="B7796" s="223" t="s">
        <v>200</v>
      </c>
      <c r="C7796" s="223"/>
      <c r="D7796" s="316"/>
      <c r="H7796" s="223">
        <v>0.0</v>
      </c>
      <c r="K7796" s="317"/>
    </row>
    <row r="7797">
      <c r="B7797" s="223" t="s">
        <v>200</v>
      </c>
      <c r="C7797" s="223"/>
      <c r="D7797" s="316"/>
      <c r="H7797" s="223">
        <v>0.0</v>
      </c>
      <c r="K7797" s="317"/>
    </row>
    <row r="7798">
      <c r="B7798" s="223" t="s">
        <v>200</v>
      </c>
      <c r="C7798" s="223"/>
      <c r="D7798" s="316"/>
      <c r="H7798" s="223">
        <v>0.0</v>
      </c>
      <c r="K7798" s="317"/>
    </row>
    <row r="7799">
      <c r="B7799" s="223" t="s">
        <v>200</v>
      </c>
      <c r="C7799" s="223"/>
      <c r="D7799" s="316"/>
      <c r="H7799" s="223">
        <v>0.0</v>
      </c>
      <c r="K7799" s="317"/>
    </row>
    <row r="7800">
      <c r="B7800" s="223" t="s">
        <v>200</v>
      </c>
      <c r="C7800" s="223"/>
      <c r="D7800" s="316"/>
      <c r="H7800" s="223">
        <v>0.0</v>
      </c>
      <c r="K7800" s="317"/>
    </row>
    <row r="7801">
      <c r="B7801" s="223" t="s">
        <v>200</v>
      </c>
      <c r="C7801" s="223"/>
      <c r="D7801" s="316"/>
      <c r="H7801" s="223">
        <v>0.0</v>
      </c>
      <c r="K7801" s="317"/>
    </row>
    <row r="7802">
      <c r="B7802" s="223" t="s">
        <v>200</v>
      </c>
      <c r="C7802" s="223"/>
      <c r="D7802" s="316"/>
      <c r="H7802" s="223">
        <v>0.0</v>
      </c>
      <c r="K7802" s="317"/>
    </row>
    <row r="7803">
      <c r="B7803" s="223" t="s">
        <v>200</v>
      </c>
      <c r="C7803" s="223"/>
      <c r="D7803" s="316"/>
      <c r="H7803" s="223">
        <v>0.0</v>
      </c>
      <c r="K7803" s="317"/>
    </row>
    <row r="7804">
      <c r="B7804" s="223" t="s">
        <v>200</v>
      </c>
      <c r="C7804" s="223"/>
      <c r="D7804" s="316"/>
      <c r="H7804" s="223">
        <v>0.0</v>
      </c>
      <c r="K7804" s="317"/>
    </row>
    <row r="7805">
      <c r="B7805" s="223" t="s">
        <v>200</v>
      </c>
      <c r="C7805" s="223"/>
      <c r="D7805" s="316"/>
      <c r="H7805" s="223">
        <v>0.0</v>
      </c>
      <c r="K7805" s="317"/>
    </row>
    <row r="7806">
      <c r="B7806" s="223" t="s">
        <v>200</v>
      </c>
      <c r="C7806" s="223"/>
      <c r="D7806" s="316"/>
      <c r="H7806" s="223">
        <v>0.0</v>
      </c>
      <c r="K7806" s="317"/>
    </row>
    <row r="7807">
      <c r="B7807" s="223" t="s">
        <v>200</v>
      </c>
      <c r="C7807" s="223"/>
      <c r="D7807" s="316"/>
      <c r="H7807" s="223">
        <v>0.0</v>
      </c>
      <c r="K7807" s="317"/>
    </row>
    <row r="7808">
      <c r="B7808" s="223" t="s">
        <v>200</v>
      </c>
      <c r="C7808" s="223"/>
      <c r="D7808" s="316"/>
      <c r="H7808" s="223">
        <v>0.0</v>
      </c>
      <c r="K7808" s="317"/>
    </row>
    <row r="7809">
      <c r="B7809" s="223" t="s">
        <v>200</v>
      </c>
      <c r="C7809" s="223"/>
      <c r="D7809" s="316"/>
      <c r="H7809" s="223">
        <v>0.0</v>
      </c>
      <c r="K7809" s="317"/>
    </row>
    <row r="7810">
      <c r="B7810" s="223" t="s">
        <v>200</v>
      </c>
      <c r="C7810" s="223"/>
      <c r="D7810" s="316"/>
      <c r="H7810" s="223">
        <v>0.0</v>
      </c>
      <c r="K7810" s="317"/>
    </row>
    <row r="7811">
      <c r="B7811" s="223" t="s">
        <v>200</v>
      </c>
      <c r="C7811" s="223"/>
      <c r="D7811" s="316"/>
      <c r="H7811" s="223">
        <v>0.0</v>
      </c>
      <c r="K7811" s="317"/>
    </row>
    <row r="7812">
      <c r="B7812" s="223" t="s">
        <v>200</v>
      </c>
      <c r="C7812" s="223"/>
      <c r="D7812" s="316"/>
      <c r="H7812" s="223">
        <v>0.0</v>
      </c>
      <c r="K7812" s="317"/>
    </row>
    <row r="7813">
      <c r="B7813" s="223" t="s">
        <v>200</v>
      </c>
      <c r="C7813" s="223"/>
      <c r="D7813" s="316"/>
      <c r="H7813" s="223">
        <v>0.0</v>
      </c>
      <c r="K7813" s="317"/>
    </row>
    <row r="7814">
      <c r="B7814" s="223" t="s">
        <v>200</v>
      </c>
      <c r="C7814" s="223"/>
      <c r="D7814" s="316"/>
      <c r="H7814" s="223">
        <v>0.0</v>
      </c>
      <c r="K7814" s="317"/>
    </row>
    <row r="7815">
      <c r="B7815" s="223" t="s">
        <v>200</v>
      </c>
      <c r="C7815" s="223"/>
      <c r="D7815" s="316"/>
      <c r="H7815" s="223">
        <v>0.0</v>
      </c>
      <c r="K7815" s="317"/>
    </row>
    <row r="7816">
      <c r="B7816" s="223" t="s">
        <v>200</v>
      </c>
      <c r="C7816" s="223"/>
      <c r="D7816" s="316"/>
      <c r="H7816" s="223">
        <v>0.0</v>
      </c>
      <c r="K7816" s="317"/>
    </row>
    <row r="7817">
      <c r="B7817" s="223" t="s">
        <v>200</v>
      </c>
      <c r="C7817" s="223"/>
      <c r="D7817" s="316"/>
      <c r="H7817" s="223">
        <v>0.0</v>
      </c>
      <c r="K7817" s="317"/>
    </row>
    <row r="7818">
      <c r="B7818" s="223" t="s">
        <v>200</v>
      </c>
      <c r="C7818" s="223"/>
      <c r="D7818" s="316"/>
      <c r="H7818" s="223">
        <v>0.0</v>
      </c>
      <c r="K7818" s="317"/>
    </row>
    <row r="7819">
      <c r="B7819" s="223" t="s">
        <v>200</v>
      </c>
      <c r="C7819" s="223"/>
      <c r="D7819" s="316"/>
      <c r="H7819" s="223">
        <v>0.0</v>
      </c>
      <c r="K7819" s="317"/>
    </row>
    <row r="7820">
      <c r="B7820" s="223" t="s">
        <v>200</v>
      </c>
      <c r="C7820" s="223"/>
      <c r="D7820" s="316"/>
      <c r="H7820" s="223">
        <v>0.0</v>
      </c>
      <c r="K7820" s="317"/>
    </row>
    <row r="7821">
      <c r="B7821" s="223" t="s">
        <v>200</v>
      </c>
      <c r="C7821" s="223"/>
      <c r="D7821" s="316"/>
      <c r="H7821" s="223">
        <v>0.0</v>
      </c>
      <c r="K7821" s="317"/>
    </row>
    <row r="7822">
      <c r="B7822" s="223" t="s">
        <v>200</v>
      </c>
      <c r="C7822" s="223"/>
      <c r="D7822" s="316"/>
      <c r="H7822" s="223">
        <v>0.0</v>
      </c>
      <c r="K7822" s="317"/>
    </row>
    <row r="7823">
      <c r="B7823" s="223" t="s">
        <v>200</v>
      </c>
      <c r="C7823" s="223"/>
      <c r="D7823" s="316"/>
      <c r="H7823" s="223">
        <v>0.0</v>
      </c>
      <c r="K7823" s="317"/>
    </row>
    <row r="7824">
      <c r="B7824" s="223" t="s">
        <v>200</v>
      </c>
      <c r="C7824" s="223"/>
      <c r="D7824" s="316"/>
      <c r="H7824" s="223">
        <v>0.0</v>
      </c>
      <c r="K7824" s="317"/>
    </row>
    <row r="7825">
      <c r="B7825" s="223" t="s">
        <v>200</v>
      </c>
      <c r="C7825" s="223"/>
      <c r="D7825" s="316"/>
      <c r="H7825" s="223">
        <v>0.0</v>
      </c>
      <c r="K7825" s="317"/>
    </row>
    <row r="7826">
      <c r="B7826" s="223" t="s">
        <v>200</v>
      </c>
      <c r="C7826" s="223"/>
      <c r="D7826" s="316"/>
      <c r="H7826" s="223">
        <v>0.0</v>
      </c>
      <c r="K7826" s="317"/>
    </row>
    <row r="7827">
      <c r="B7827" s="223" t="s">
        <v>200</v>
      </c>
      <c r="C7827" s="223"/>
      <c r="D7827" s="316"/>
      <c r="H7827" s="223">
        <v>0.0</v>
      </c>
      <c r="K7827" s="317"/>
    </row>
    <row r="7828">
      <c r="B7828" s="223" t="s">
        <v>200</v>
      </c>
      <c r="C7828" s="223"/>
      <c r="D7828" s="316"/>
      <c r="H7828" s="223">
        <v>0.0</v>
      </c>
      <c r="K7828" s="317"/>
    </row>
    <row r="7829">
      <c r="B7829" s="223" t="s">
        <v>200</v>
      </c>
      <c r="C7829" s="223"/>
      <c r="D7829" s="316"/>
      <c r="H7829" s="223">
        <v>0.0</v>
      </c>
      <c r="K7829" s="317"/>
    </row>
    <row r="7830">
      <c r="B7830" s="223" t="s">
        <v>200</v>
      </c>
      <c r="C7830" s="223"/>
      <c r="D7830" s="316"/>
      <c r="H7830" s="223">
        <v>0.0</v>
      </c>
      <c r="K7830" s="317"/>
    </row>
    <row r="7831">
      <c r="B7831" s="223" t="s">
        <v>200</v>
      </c>
      <c r="C7831" s="223"/>
      <c r="D7831" s="316"/>
      <c r="H7831" s="223">
        <v>0.0</v>
      </c>
      <c r="K7831" s="317"/>
    </row>
    <row r="7832">
      <c r="B7832" s="223" t="s">
        <v>200</v>
      </c>
      <c r="C7832" s="223"/>
      <c r="D7832" s="316"/>
      <c r="H7832" s="223">
        <v>0.0</v>
      </c>
      <c r="K7832" s="317"/>
    </row>
    <row r="7833">
      <c r="B7833" s="223" t="s">
        <v>200</v>
      </c>
      <c r="C7833" s="223"/>
      <c r="D7833" s="316"/>
      <c r="H7833" s="223">
        <v>0.0</v>
      </c>
      <c r="K7833" s="317"/>
    </row>
    <row r="7834">
      <c r="B7834" s="223" t="s">
        <v>200</v>
      </c>
      <c r="C7834" s="223"/>
      <c r="D7834" s="316"/>
      <c r="H7834" s="223">
        <v>0.0</v>
      </c>
      <c r="K7834" s="317"/>
    </row>
    <row r="7835">
      <c r="B7835" s="223" t="s">
        <v>200</v>
      </c>
      <c r="C7835" s="223"/>
      <c r="D7835" s="316"/>
      <c r="H7835" s="223">
        <v>0.0</v>
      </c>
      <c r="K7835" s="317"/>
    </row>
    <row r="7836">
      <c r="B7836" s="223" t="s">
        <v>200</v>
      </c>
      <c r="C7836" s="223"/>
      <c r="D7836" s="316"/>
      <c r="H7836" s="223">
        <v>0.0</v>
      </c>
      <c r="K7836" s="317"/>
    </row>
    <row r="7837">
      <c r="B7837" s="223" t="s">
        <v>200</v>
      </c>
      <c r="C7837" s="223"/>
      <c r="D7837" s="316"/>
      <c r="H7837" s="223">
        <v>0.0</v>
      </c>
      <c r="K7837" s="317"/>
    </row>
    <row r="7838">
      <c r="B7838" s="223" t="s">
        <v>200</v>
      </c>
      <c r="C7838" s="223"/>
      <c r="D7838" s="316"/>
      <c r="H7838" s="223">
        <v>0.0</v>
      </c>
      <c r="K7838" s="317"/>
    </row>
    <row r="7839">
      <c r="B7839" s="223" t="s">
        <v>200</v>
      </c>
      <c r="C7839" s="223"/>
      <c r="D7839" s="316"/>
      <c r="H7839" s="223">
        <v>0.0</v>
      </c>
      <c r="K7839" s="317"/>
    </row>
    <row r="7840">
      <c r="B7840" s="223" t="s">
        <v>200</v>
      </c>
      <c r="C7840" s="223"/>
      <c r="D7840" s="316"/>
      <c r="H7840" s="223">
        <v>0.0</v>
      </c>
      <c r="K7840" s="317"/>
    </row>
    <row r="7841">
      <c r="B7841" s="223" t="s">
        <v>200</v>
      </c>
      <c r="C7841" s="223"/>
      <c r="D7841" s="316"/>
      <c r="H7841" s="223">
        <v>0.0</v>
      </c>
      <c r="K7841" s="317"/>
    </row>
    <row r="7842">
      <c r="B7842" s="223" t="s">
        <v>200</v>
      </c>
      <c r="C7842" s="223"/>
      <c r="D7842" s="316"/>
      <c r="H7842" s="223">
        <v>0.0</v>
      </c>
      <c r="K7842" s="317"/>
    </row>
    <row r="7843">
      <c r="B7843" s="223" t="s">
        <v>200</v>
      </c>
      <c r="C7843" s="223"/>
      <c r="D7843" s="316"/>
      <c r="H7843" s="223">
        <v>0.0</v>
      </c>
      <c r="K7843" s="317"/>
    </row>
    <row r="7844">
      <c r="B7844" s="223" t="s">
        <v>200</v>
      </c>
      <c r="C7844" s="223"/>
      <c r="D7844" s="316"/>
      <c r="H7844" s="223">
        <v>0.0</v>
      </c>
      <c r="K7844" s="317"/>
    </row>
    <row r="7845">
      <c r="B7845" s="223" t="s">
        <v>200</v>
      </c>
      <c r="C7845" s="223"/>
      <c r="D7845" s="316"/>
      <c r="H7845" s="223">
        <v>0.0</v>
      </c>
      <c r="K7845" s="317"/>
    </row>
    <row r="7846">
      <c r="B7846" s="223" t="s">
        <v>200</v>
      </c>
      <c r="C7846" s="223"/>
      <c r="D7846" s="316"/>
      <c r="H7846" s="223">
        <v>0.0</v>
      </c>
      <c r="K7846" s="317"/>
    </row>
    <row r="7847">
      <c r="B7847" s="223" t="s">
        <v>200</v>
      </c>
      <c r="C7847" s="223"/>
      <c r="D7847" s="316"/>
      <c r="H7847" s="223">
        <v>0.0</v>
      </c>
      <c r="K7847" s="317"/>
    </row>
    <row r="7848">
      <c r="B7848" s="223" t="s">
        <v>200</v>
      </c>
      <c r="C7848" s="223"/>
      <c r="D7848" s="316"/>
      <c r="H7848" s="223">
        <v>0.0</v>
      </c>
      <c r="K7848" s="317"/>
    </row>
    <row r="7849">
      <c r="B7849" s="223" t="s">
        <v>200</v>
      </c>
      <c r="C7849" s="223"/>
      <c r="D7849" s="316"/>
      <c r="H7849" s="223">
        <v>0.0</v>
      </c>
      <c r="K7849" s="317"/>
    </row>
    <row r="7850">
      <c r="B7850" s="223" t="s">
        <v>200</v>
      </c>
      <c r="C7850" s="223"/>
      <c r="D7850" s="316"/>
      <c r="H7850" s="223">
        <v>0.0</v>
      </c>
      <c r="K7850" s="317"/>
    </row>
    <row r="7851">
      <c r="B7851" s="223" t="s">
        <v>200</v>
      </c>
      <c r="C7851" s="223"/>
      <c r="D7851" s="316"/>
      <c r="H7851" s="223">
        <v>0.0</v>
      </c>
      <c r="K7851" s="317"/>
    </row>
    <row r="7852">
      <c r="B7852" s="223" t="s">
        <v>200</v>
      </c>
      <c r="C7852" s="223"/>
      <c r="D7852" s="316"/>
      <c r="H7852" s="223">
        <v>0.0</v>
      </c>
      <c r="K7852" s="317"/>
    </row>
    <row r="7853">
      <c r="B7853" s="223" t="s">
        <v>200</v>
      </c>
      <c r="C7853" s="223"/>
      <c r="D7853" s="316"/>
      <c r="H7853" s="223">
        <v>0.0</v>
      </c>
      <c r="K7853" s="317"/>
    </row>
    <row r="7854">
      <c r="B7854" s="223" t="s">
        <v>200</v>
      </c>
      <c r="C7854" s="223"/>
      <c r="D7854" s="316"/>
      <c r="H7854" s="223">
        <v>0.0</v>
      </c>
      <c r="K7854" s="317"/>
    </row>
    <row r="7855">
      <c r="B7855" s="223" t="s">
        <v>200</v>
      </c>
      <c r="C7855" s="223"/>
      <c r="D7855" s="316"/>
      <c r="H7855" s="223">
        <v>0.0</v>
      </c>
      <c r="K7855" s="317"/>
    </row>
    <row r="7856">
      <c r="B7856" s="223" t="s">
        <v>200</v>
      </c>
      <c r="C7856" s="223"/>
      <c r="D7856" s="316"/>
      <c r="H7856" s="223">
        <v>0.0</v>
      </c>
      <c r="K7856" s="317"/>
    </row>
    <row r="7857">
      <c r="B7857" s="223" t="s">
        <v>200</v>
      </c>
      <c r="C7857" s="223"/>
      <c r="D7857" s="316"/>
      <c r="H7857" s="223">
        <v>0.0</v>
      </c>
      <c r="K7857" s="317"/>
    </row>
    <row r="7858">
      <c r="B7858" s="223" t="s">
        <v>200</v>
      </c>
      <c r="C7858" s="223"/>
      <c r="D7858" s="316"/>
      <c r="H7858" s="223">
        <v>0.0</v>
      </c>
      <c r="K7858" s="317"/>
    </row>
    <row r="7859">
      <c r="B7859" s="223" t="s">
        <v>200</v>
      </c>
      <c r="C7859" s="223"/>
      <c r="D7859" s="316"/>
      <c r="H7859" s="223">
        <v>0.0</v>
      </c>
      <c r="K7859" s="317"/>
    </row>
    <row r="7860">
      <c r="B7860" s="223" t="s">
        <v>200</v>
      </c>
      <c r="C7860" s="223"/>
      <c r="D7860" s="316"/>
      <c r="H7860" s="223">
        <v>0.0</v>
      </c>
      <c r="K7860" s="317"/>
    </row>
    <row r="7861">
      <c r="B7861" s="223" t="s">
        <v>200</v>
      </c>
      <c r="C7861" s="223"/>
      <c r="D7861" s="316"/>
      <c r="H7861" s="223">
        <v>0.0</v>
      </c>
      <c r="K7861" s="317"/>
    </row>
    <row r="7862">
      <c r="B7862" s="223" t="s">
        <v>200</v>
      </c>
      <c r="C7862" s="223"/>
      <c r="D7862" s="316"/>
      <c r="H7862" s="223">
        <v>0.0</v>
      </c>
      <c r="K7862" s="317"/>
    </row>
    <row r="7863">
      <c r="B7863" s="223" t="s">
        <v>200</v>
      </c>
      <c r="C7863" s="223"/>
      <c r="D7863" s="316"/>
      <c r="H7863" s="223">
        <v>0.0</v>
      </c>
      <c r="K7863" s="317"/>
    </row>
    <row r="7864">
      <c r="B7864" s="223" t="s">
        <v>200</v>
      </c>
      <c r="C7864" s="223"/>
      <c r="D7864" s="316"/>
      <c r="H7864" s="223">
        <v>0.0</v>
      </c>
      <c r="K7864" s="317"/>
    </row>
    <row r="7865">
      <c r="B7865" s="223" t="s">
        <v>200</v>
      </c>
      <c r="C7865" s="223"/>
      <c r="D7865" s="316"/>
      <c r="H7865" s="223">
        <v>0.0</v>
      </c>
      <c r="K7865" s="317"/>
    </row>
    <row r="7866">
      <c r="B7866" s="223" t="s">
        <v>200</v>
      </c>
      <c r="C7866" s="223"/>
      <c r="D7866" s="316"/>
      <c r="H7866" s="223">
        <v>0.0</v>
      </c>
      <c r="K7866" s="317"/>
    </row>
    <row r="7867">
      <c r="B7867" s="223" t="s">
        <v>200</v>
      </c>
      <c r="C7867" s="223"/>
      <c r="D7867" s="316"/>
      <c r="H7867" s="223">
        <v>0.0</v>
      </c>
      <c r="K7867" s="317"/>
    </row>
    <row r="7868">
      <c r="B7868" s="223" t="s">
        <v>200</v>
      </c>
      <c r="C7868" s="223"/>
      <c r="D7868" s="316"/>
      <c r="H7868" s="223">
        <v>0.0</v>
      </c>
      <c r="K7868" s="317"/>
    </row>
    <row r="7869">
      <c r="B7869" s="223" t="s">
        <v>200</v>
      </c>
      <c r="C7869" s="223"/>
      <c r="D7869" s="316"/>
      <c r="H7869" s="223">
        <v>0.0</v>
      </c>
      <c r="K7869" s="317"/>
    </row>
    <row r="7870">
      <c r="B7870" s="223" t="s">
        <v>200</v>
      </c>
      <c r="C7870" s="223"/>
      <c r="D7870" s="316"/>
      <c r="H7870" s="223">
        <v>0.0</v>
      </c>
      <c r="K7870" s="317"/>
    </row>
    <row r="7871">
      <c r="B7871" s="223" t="s">
        <v>200</v>
      </c>
      <c r="C7871" s="223"/>
      <c r="D7871" s="316"/>
      <c r="H7871" s="223">
        <v>0.0</v>
      </c>
      <c r="K7871" s="317"/>
    </row>
    <row r="7872">
      <c r="B7872" s="223" t="s">
        <v>200</v>
      </c>
      <c r="C7872" s="223"/>
      <c r="D7872" s="316"/>
      <c r="H7872" s="223">
        <v>0.0</v>
      </c>
      <c r="K7872" s="317"/>
    </row>
    <row r="7873">
      <c r="B7873" s="223" t="s">
        <v>200</v>
      </c>
      <c r="C7873" s="223"/>
      <c r="D7873" s="316"/>
      <c r="H7873" s="223">
        <v>0.0</v>
      </c>
      <c r="K7873" s="317"/>
    </row>
    <row r="7874">
      <c r="B7874" s="223" t="s">
        <v>200</v>
      </c>
      <c r="C7874" s="223"/>
      <c r="D7874" s="316"/>
      <c r="H7874" s="223">
        <v>0.0</v>
      </c>
      <c r="K7874" s="317"/>
    </row>
    <row r="7875">
      <c r="B7875" s="223" t="s">
        <v>200</v>
      </c>
      <c r="C7875" s="223"/>
      <c r="D7875" s="316"/>
      <c r="H7875" s="223">
        <v>0.0</v>
      </c>
      <c r="K7875" s="317"/>
    </row>
    <row r="7876">
      <c r="B7876" s="223" t="s">
        <v>200</v>
      </c>
      <c r="C7876" s="223"/>
      <c r="D7876" s="316"/>
      <c r="H7876" s="223">
        <v>0.0</v>
      </c>
      <c r="K7876" s="317"/>
    </row>
    <row r="7877">
      <c r="B7877" s="223" t="s">
        <v>200</v>
      </c>
      <c r="C7877" s="223"/>
      <c r="D7877" s="316"/>
      <c r="H7877" s="223">
        <v>0.0</v>
      </c>
      <c r="K7877" s="317"/>
    </row>
    <row r="7878">
      <c r="B7878" s="223" t="s">
        <v>200</v>
      </c>
      <c r="C7878" s="223"/>
      <c r="D7878" s="316"/>
      <c r="H7878" s="223">
        <v>0.0</v>
      </c>
      <c r="K7878" s="317"/>
    </row>
    <row r="7879">
      <c r="B7879" s="223" t="s">
        <v>200</v>
      </c>
      <c r="C7879" s="223"/>
      <c r="D7879" s="316"/>
      <c r="H7879" s="223">
        <v>0.0</v>
      </c>
      <c r="K7879" s="317"/>
    </row>
    <row r="7880">
      <c r="B7880" s="223" t="s">
        <v>200</v>
      </c>
      <c r="C7880" s="223"/>
      <c r="D7880" s="316"/>
      <c r="H7880" s="223">
        <v>0.0</v>
      </c>
      <c r="K7880" s="317"/>
    </row>
    <row r="7881">
      <c r="B7881" s="223" t="s">
        <v>200</v>
      </c>
      <c r="C7881" s="223"/>
      <c r="D7881" s="316"/>
      <c r="H7881" s="223">
        <v>0.0</v>
      </c>
      <c r="K7881" s="317"/>
    </row>
    <row r="7882">
      <c r="B7882" s="223" t="s">
        <v>200</v>
      </c>
      <c r="C7882" s="223"/>
      <c r="D7882" s="316"/>
      <c r="H7882" s="223">
        <v>0.0</v>
      </c>
      <c r="K7882" s="317"/>
    </row>
    <row r="7883">
      <c r="B7883" s="223" t="s">
        <v>200</v>
      </c>
      <c r="C7883" s="223"/>
      <c r="D7883" s="316"/>
      <c r="H7883" s="223">
        <v>0.0</v>
      </c>
      <c r="K7883" s="317"/>
    </row>
    <row r="7884">
      <c r="B7884" s="223" t="s">
        <v>200</v>
      </c>
      <c r="C7884" s="223"/>
      <c r="D7884" s="316"/>
      <c r="H7884" s="223">
        <v>0.0</v>
      </c>
      <c r="K7884" s="317"/>
    </row>
    <row r="7885">
      <c r="B7885" s="223" t="s">
        <v>200</v>
      </c>
      <c r="C7885" s="223"/>
      <c r="D7885" s="316"/>
      <c r="H7885" s="223">
        <v>0.0</v>
      </c>
      <c r="K7885" s="317"/>
    </row>
    <row r="7886">
      <c r="B7886" s="223" t="s">
        <v>200</v>
      </c>
      <c r="C7886" s="223"/>
      <c r="D7886" s="316"/>
      <c r="H7886" s="223">
        <v>0.0</v>
      </c>
      <c r="K7886" s="317"/>
    </row>
    <row r="7887">
      <c r="B7887" s="223" t="s">
        <v>200</v>
      </c>
      <c r="C7887" s="223"/>
      <c r="D7887" s="316"/>
      <c r="H7887" s="223">
        <v>0.0</v>
      </c>
      <c r="K7887" s="317"/>
    </row>
    <row r="7888">
      <c r="B7888" s="223" t="s">
        <v>200</v>
      </c>
      <c r="C7888" s="223"/>
      <c r="D7888" s="316"/>
      <c r="H7888" s="223">
        <v>0.0</v>
      </c>
      <c r="K7888" s="317"/>
    </row>
    <row r="7889">
      <c r="B7889" s="223" t="s">
        <v>200</v>
      </c>
      <c r="C7889" s="223"/>
      <c r="D7889" s="316"/>
      <c r="H7889" s="223">
        <v>0.0</v>
      </c>
      <c r="K7889" s="317"/>
    </row>
    <row r="7890">
      <c r="B7890" s="223" t="s">
        <v>200</v>
      </c>
      <c r="C7890" s="223"/>
      <c r="D7890" s="316"/>
      <c r="H7890" s="223">
        <v>0.0</v>
      </c>
      <c r="K7890" s="317"/>
    </row>
    <row r="7891">
      <c r="B7891" s="223" t="s">
        <v>200</v>
      </c>
      <c r="C7891" s="223"/>
      <c r="D7891" s="316"/>
      <c r="H7891" s="223">
        <v>0.0</v>
      </c>
      <c r="K7891" s="317"/>
    </row>
    <row r="7892">
      <c r="B7892" s="223" t="s">
        <v>200</v>
      </c>
      <c r="C7892" s="223"/>
      <c r="D7892" s="316"/>
      <c r="H7892" s="223">
        <v>0.0</v>
      </c>
      <c r="K7892" s="317"/>
    </row>
    <row r="7893">
      <c r="B7893" s="223" t="s">
        <v>200</v>
      </c>
      <c r="C7893" s="223"/>
      <c r="D7893" s="316"/>
      <c r="H7893" s="223">
        <v>0.0</v>
      </c>
      <c r="K7893" s="317"/>
    </row>
    <row r="7894">
      <c r="B7894" s="223" t="s">
        <v>200</v>
      </c>
      <c r="C7894" s="223"/>
      <c r="D7894" s="316"/>
      <c r="H7894" s="223">
        <v>0.0</v>
      </c>
      <c r="K7894" s="317"/>
    </row>
    <row r="7895">
      <c r="B7895" s="223" t="s">
        <v>200</v>
      </c>
      <c r="C7895" s="223"/>
      <c r="D7895" s="316"/>
      <c r="H7895" s="223">
        <v>0.0</v>
      </c>
      <c r="K7895" s="317"/>
    </row>
    <row r="7896">
      <c r="B7896" s="223" t="s">
        <v>200</v>
      </c>
      <c r="C7896" s="223"/>
      <c r="D7896" s="316"/>
      <c r="H7896" s="223">
        <v>0.0</v>
      </c>
      <c r="K7896" s="317"/>
    </row>
    <row r="7897">
      <c r="B7897" s="223" t="s">
        <v>200</v>
      </c>
      <c r="C7897" s="223"/>
      <c r="D7897" s="316"/>
      <c r="H7897" s="223">
        <v>0.0</v>
      </c>
      <c r="K7897" s="317"/>
    </row>
    <row r="7898">
      <c r="B7898" s="223" t="s">
        <v>200</v>
      </c>
      <c r="C7898" s="223"/>
      <c r="D7898" s="316"/>
      <c r="H7898" s="223">
        <v>0.0</v>
      </c>
      <c r="K7898" s="317"/>
    </row>
    <row r="7899">
      <c r="B7899" s="223" t="s">
        <v>200</v>
      </c>
      <c r="C7899" s="223"/>
      <c r="D7899" s="316"/>
      <c r="H7899" s="223">
        <v>0.0</v>
      </c>
      <c r="K7899" s="317"/>
    </row>
    <row r="7900">
      <c r="B7900" s="223" t="s">
        <v>200</v>
      </c>
      <c r="C7900" s="223"/>
      <c r="D7900" s="316"/>
      <c r="H7900" s="223">
        <v>0.0</v>
      </c>
      <c r="K7900" s="317"/>
    </row>
    <row r="7901">
      <c r="B7901" s="223" t="s">
        <v>200</v>
      </c>
      <c r="C7901" s="223"/>
      <c r="D7901" s="316"/>
      <c r="H7901" s="223">
        <v>0.0</v>
      </c>
      <c r="K7901" s="317"/>
    </row>
    <row r="7902">
      <c r="B7902" s="223" t="s">
        <v>200</v>
      </c>
      <c r="C7902" s="223"/>
      <c r="D7902" s="316"/>
      <c r="H7902" s="223">
        <v>0.0</v>
      </c>
      <c r="K7902" s="317"/>
    </row>
    <row r="7903">
      <c r="B7903" s="223" t="s">
        <v>200</v>
      </c>
      <c r="C7903" s="223"/>
      <c r="D7903" s="316"/>
      <c r="H7903" s="223">
        <v>0.0</v>
      </c>
      <c r="K7903" s="317"/>
    </row>
    <row r="7904">
      <c r="B7904" s="223" t="s">
        <v>200</v>
      </c>
      <c r="C7904" s="223"/>
      <c r="D7904" s="316"/>
      <c r="H7904" s="223">
        <v>0.0</v>
      </c>
      <c r="K7904" s="317"/>
    </row>
    <row r="7905">
      <c r="B7905" s="223" t="s">
        <v>200</v>
      </c>
      <c r="C7905" s="223"/>
      <c r="D7905" s="316"/>
      <c r="H7905" s="223">
        <v>0.0</v>
      </c>
      <c r="K7905" s="317"/>
    </row>
    <row r="7906">
      <c r="B7906" s="223" t="s">
        <v>200</v>
      </c>
      <c r="C7906" s="223"/>
      <c r="D7906" s="316"/>
      <c r="H7906" s="223">
        <v>0.0</v>
      </c>
      <c r="K7906" s="317"/>
    </row>
    <row r="7907">
      <c r="B7907" s="223" t="s">
        <v>200</v>
      </c>
      <c r="C7907" s="223"/>
      <c r="D7907" s="316"/>
      <c r="H7907" s="223">
        <v>0.0</v>
      </c>
      <c r="K7907" s="317"/>
    </row>
    <row r="7908">
      <c r="B7908" s="223" t="s">
        <v>200</v>
      </c>
      <c r="C7908" s="223"/>
      <c r="D7908" s="316"/>
      <c r="H7908" s="223">
        <v>0.0</v>
      </c>
      <c r="K7908" s="317"/>
    </row>
    <row r="7909">
      <c r="B7909" s="223" t="s">
        <v>200</v>
      </c>
      <c r="C7909" s="223"/>
      <c r="D7909" s="316"/>
      <c r="H7909" s="223">
        <v>0.0</v>
      </c>
      <c r="K7909" s="317"/>
    </row>
    <row r="7910">
      <c r="B7910" s="223" t="s">
        <v>200</v>
      </c>
      <c r="C7910" s="223"/>
      <c r="D7910" s="316"/>
      <c r="H7910" s="223">
        <v>0.0</v>
      </c>
      <c r="K7910" s="317"/>
    </row>
    <row r="7911">
      <c r="B7911" s="223" t="s">
        <v>200</v>
      </c>
      <c r="C7911" s="223"/>
      <c r="D7911" s="316"/>
      <c r="H7911" s="223">
        <v>0.0</v>
      </c>
      <c r="K7911" s="317"/>
    </row>
    <row r="7912">
      <c r="B7912" s="223" t="s">
        <v>200</v>
      </c>
      <c r="C7912" s="223"/>
      <c r="D7912" s="316"/>
      <c r="H7912" s="223">
        <v>0.0</v>
      </c>
      <c r="K7912" s="317"/>
    </row>
    <row r="7913">
      <c r="B7913" s="223" t="s">
        <v>200</v>
      </c>
      <c r="C7913" s="223"/>
      <c r="D7913" s="316"/>
      <c r="H7913" s="223">
        <v>0.0</v>
      </c>
      <c r="K7913" s="317"/>
    </row>
    <row r="7914">
      <c r="B7914" s="223" t="s">
        <v>200</v>
      </c>
      <c r="C7914" s="223"/>
      <c r="D7914" s="316"/>
      <c r="H7914" s="223">
        <v>0.0</v>
      </c>
      <c r="K7914" s="317"/>
    </row>
    <row r="7915">
      <c r="B7915" s="223" t="s">
        <v>200</v>
      </c>
      <c r="C7915" s="223"/>
      <c r="D7915" s="316"/>
      <c r="H7915" s="223">
        <v>0.0</v>
      </c>
      <c r="K7915" s="317"/>
    </row>
    <row r="7916">
      <c r="B7916" s="223" t="s">
        <v>200</v>
      </c>
      <c r="C7916" s="223"/>
      <c r="D7916" s="316"/>
      <c r="H7916" s="223">
        <v>0.0</v>
      </c>
      <c r="K7916" s="317"/>
    </row>
    <row r="7917">
      <c r="B7917" s="223" t="s">
        <v>200</v>
      </c>
      <c r="C7917" s="223"/>
      <c r="D7917" s="316"/>
      <c r="H7917" s="223">
        <v>0.0</v>
      </c>
      <c r="K7917" s="317"/>
    </row>
    <row r="7918">
      <c r="B7918" s="223" t="s">
        <v>200</v>
      </c>
      <c r="C7918" s="223"/>
      <c r="D7918" s="316"/>
      <c r="H7918" s="223">
        <v>0.0</v>
      </c>
      <c r="K7918" s="317"/>
    </row>
    <row r="7919">
      <c r="B7919" s="223" t="s">
        <v>200</v>
      </c>
      <c r="C7919" s="223"/>
      <c r="D7919" s="316"/>
      <c r="H7919" s="223">
        <v>0.0</v>
      </c>
      <c r="K7919" s="317"/>
    </row>
    <row r="7920">
      <c r="B7920" s="223" t="s">
        <v>200</v>
      </c>
      <c r="C7920" s="223"/>
      <c r="D7920" s="316"/>
      <c r="H7920" s="223">
        <v>0.0</v>
      </c>
      <c r="K7920" s="317"/>
    </row>
    <row r="7921">
      <c r="B7921" s="223" t="s">
        <v>200</v>
      </c>
      <c r="C7921" s="223"/>
      <c r="D7921" s="316"/>
      <c r="H7921" s="223">
        <v>0.0</v>
      </c>
      <c r="K7921" s="317"/>
    </row>
    <row r="7922">
      <c r="B7922" s="223" t="s">
        <v>200</v>
      </c>
      <c r="C7922" s="223"/>
      <c r="D7922" s="316"/>
      <c r="H7922" s="223">
        <v>0.0</v>
      </c>
      <c r="K7922" s="317"/>
    </row>
    <row r="7923">
      <c r="B7923" s="223" t="s">
        <v>200</v>
      </c>
      <c r="C7923" s="223"/>
      <c r="D7923" s="316"/>
      <c r="H7923" s="223">
        <v>0.0</v>
      </c>
      <c r="K7923" s="317"/>
    </row>
    <row r="7924">
      <c r="B7924" s="223" t="s">
        <v>200</v>
      </c>
      <c r="C7924" s="223"/>
      <c r="D7924" s="316"/>
      <c r="H7924" s="223">
        <v>0.0</v>
      </c>
      <c r="K7924" s="317"/>
    </row>
    <row r="7925">
      <c r="B7925" s="223" t="s">
        <v>200</v>
      </c>
      <c r="C7925" s="223"/>
      <c r="D7925" s="316"/>
      <c r="H7925" s="223">
        <v>0.0</v>
      </c>
      <c r="K7925" s="317"/>
    </row>
    <row r="7926">
      <c r="B7926" s="223" t="s">
        <v>200</v>
      </c>
      <c r="C7926" s="223"/>
      <c r="D7926" s="316"/>
      <c r="H7926" s="223">
        <v>0.0</v>
      </c>
      <c r="K7926" s="317"/>
    </row>
    <row r="7927">
      <c r="B7927" s="223" t="s">
        <v>200</v>
      </c>
      <c r="C7927" s="223"/>
      <c r="D7927" s="316"/>
      <c r="H7927" s="223">
        <v>0.0</v>
      </c>
      <c r="K7927" s="317"/>
    </row>
    <row r="7928">
      <c r="B7928" s="223" t="s">
        <v>200</v>
      </c>
      <c r="C7928" s="223"/>
      <c r="D7928" s="316"/>
      <c r="H7928" s="223">
        <v>0.0</v>
      </c>
      <c r="K7928" s="317"/>
    </row>
    <row r="7929">
      <c r="B7929" s="223" t="s">
        <v>200</v>
      </c>
      <c r="C7929" s="223"/>
      <c r="D7929" s="316"/>
      <c r="H7929" s="223">
        <v>0.0</v>
      </c>
      <c r="K7929" s="317"/>
    </row>
    <row r="7930">
      <c r="B7930" s="223" t="s">
        <v>200</v>
      </c>
      <c r="C7930" s="223"/>
      <c r="D7930" s="316"/>
      <c r="H7930" s="223">
        <v>0.0</v>
      </c>
      <c r="K7930" s="317"/>
    </row>
    <row r="7931">
      <c r="B7931" s="223" t="s">
        <v>200</v>
      </c>
      <c r="C7931" s="223"/>
      <c r="D7931" s="316"/>
      <c r="H7931" s="223">
        <v>0.0</v>
      </c>
      <c r="K7931" s="317"/>
    </row>
    <row r="7932">
      <c r="B7932" s="223" t="s">
        <v>200</v>
      </c>
      <c r="C7932" s="223"/>
      <c r="D7932" s="316"/>
      <c r="H7932" s="223">
        <v>0.0</v>
      </c>
      <c r="K7932" s="317"/>
    </row>
    <row r="7933">
      <c r="B7933" s="223" t="s">
        <v>200</v>
      </c>
      <c r="C7933" s="223"/>
      <c r="D7933" s="316"/>
      <c r="H7933" s="223">
        <v>0.0</v>
      </c>
      <c r="K7933" s="317"/>
    </row>
    <row r="7934">
      <c r="B7934" s="223" t="s">
        <v>200</v>
      </c>
      <c r="C7934" s="223"/>
      <c r="D7934" s="316"/>
      <c r="H7934" s="223">
        <v>0.0</v>
      </c>
      <c r="K7934" s="317"/>
    </row>
    <row r="7935">
      <c r="B7935" s="223" t="s">
        <v>200</v>
      </c>
      <c r="C7935" s="223"/>
      <c r="D7935" s="316"/>
      <c r="H7935" s="223">
        <v>0.0</v>
      </c>
      <c r="K7935" s="317"/>
    </row>
    <row r="7936">
      <c r="B7936" s="223" t="s">
        <v>200</v>
      </c>
      <c r="C7936" s="223"/>
      <c r="D7936" s="316"/>
      <c r="H7936" s="223">
        <v>0.0</v>
      </c>
      <c r="K7936" s="317"/>
    </row>
    <row r="7937">
      <c r="B7937" s="223" t="s">
        <v>200</v>
      </c>
      <c r="C7937" s="223"/>
      <c r="D7937" s="316"/>
      <c r="H7937" s="223">
        <v>0.0</v>
      </c>
      <c r="K7937" s="317"/>
    </row>
    <row r="7938">
      <c r="B7938" s="223" t="s">
        <v>200</v>
      </c>
      <c r="C7938" s="223"/>
      <c r="D7938" s="316"/>
      <c r="H7938" s="223">
        <v>0.0</v>
      </c>
      <c r="K7938" s="317"/>
    </row>
    <row r="7939">
      <c r="B7939" s="223" t="s">
        <v>200</v>
      </c>
      <c r="C7939" s="223"/>
      <c r="D7939" s="316"/>
      <c r="H7939" s="223">
        <v>0.0</v>
      </c>
      <c r="K7939" s="317"/>
    </row>
    <row r="7940">
      <c r="B7940" s="223" t="s">
        <v>200</v>
      </c>
      <c r="C7940" s="223"/>
      <c r="D7940" s="316"/>
      <c r="H7940" s="223">
        <v>0.0</v>
      </c>
      <c r="K7940" s="317"/>
    </row>
    <row r="7941">
      <c r="B7941" s="223" t="s">
        <v>200</v>
      </c>
      <c r="C7941" s="223"/>
      <c r="D7941" s="316"/>
      <c r="H7941" s="223">
        <v>0.0</v>
      </c>
      <c r="K7941" s="317"/>
    </row>
    <row r="7942">
      <c r="B7942" s="223" t="s">
        <v>200</v>
      </c>
      <c r="C7942" s="223"/>
      <c r="D7942" s="316"/>
      <c r="H7942" s="223">
        <v>0.0</v>
      </c>
      <c r="K7942" s="317"/>
    </row>
    <row r="7943">
      <c r="B7943" s="223" t="s">
        <v>200</v>
      </c>
      <c r="C7943" s="223"/>
      <c r="D7943" s="316"/>
      <c r="H7943" s="223">
        <v>0.0</v>
      </c>
      <c r="K7943" s="317"/>
    </row>
    <row r="7944">
      <c r="B7944" s="223" t="s">
        <v>200</v>
      </c>
      <c r="C7944" s="223"/>
      <c r="D7944" s="316"/>
      <c r="H7944" s="223">
        <v>0.0</v>
      </c>
      <c r="K7944" s="317"/>
    </row>
    <row r="7945">
      <c r="B7945" s="223" t="s">
        <v>200</v>
      </c>
      <c r="C7945" s="223"/>
      <c r="D7945" s="316"/>
      <c r="H7945" s="223">
        <v>0.0</v>
      </c>
      <c r="K7945" s="317"/>
    </row>
    <row r="7946">
      <c r="B7946" s="223" t="s">
        <v>200</v>
      </c>
      <c r="C7946" s="223"/>
      <c r="D7946" s="316"/>
      <c r="H7946" s="223">
        <v>0.0</v>
      </c>
      <c r="K7946" s="317"/>
    </row>
    <row r="7947">
      <c r="B7947" s="223" t="s">
        <v>200</v>
      </c>
      <c r="C7947" s="223"/>
      <c r="D7947" s="316"/>
      <c r="H7947" s="223">
        <v>0.0</v>
      </c>
      <c r="K7947" s="317"/>
    </row>
    <row r="7948">
      <c r="B7948" s="223" t="s">
        <v>200</v>
      </c>
      <c r="C7948" s="223"/>
      <c r="D7948" s="316"/>
      <c r="H7948" s="223">
        <v>0.0</v>
      </c>
      <c r="K7948" s="317"/>
    </row>
    <row r="7949">
      <c r="B7949" s="223" t="s">
        <v>200</v>
      </c>
      <c r="C7949" s="223"/>
      <c r="D7949" s="316"/>
      <c r="H7949" s="223">
        <v>0.0</v>
      </c>
      <c r="K7949" s="317"/>
    </row>
    <row r="7950">
      <c r="B7950" s="223" t="s">
        <v>200</v>
      </c>
      <c r="C7950" s="223"/>
      <c r="D7950" s="316"/>
      <c r="H7950" s="223">
        <v>0.0</v>
      </c>
      <c r="K7950" s="317"/>
    </row>
    <row r="7951">
      <c r="B7951" s="223" t="s">
        <v>200</v>
      </c>
      <c r="C7951" s="223"/>
      <c r="D7951" s="316"/>
      <c r="H7951" s="223">
        <v>0.0</v>
      </c>
      <c r="K7951" s="317"/>
    </row>
    <row r="7952">
      <c r="B7952" s="223" t="s">
        <v>200</v>
      </c>
      <c r="C7952" s="223"/>
      <c r="D7952" s="316"/>
      <c r="H7952" s="223">
        <v>0.0</v>
      </c>
      <c r="K7952" s="317"/>
    </row>
    <row r="7953">
      <c r="B7953" s="223" t="s">
        <v>200</v>
      </c>
      <c r="C7953" s="223"/>
      <c r="D7953" s="316"/>
      <c r="H7953" s="223">
        <v>0.0</v>
      </c>
      <c r="K7953" s="317"/>
    </row>
    <row r="7954">
      <c r="B7954" s="223" t="s">
        <v>200</v>
      </c>
      <c r="C7954" s="223"/>
      <c r="D7954" s="316"/>
      <c r="H7954" s="223">
        <v>0.0</v>
      </c>
      <c r="K7954" s="317"/>
    </row>
    <row r="7955">
      <c r="B7955" s="223" t="s">
        <v>200</v>
      </c>
      <c r="C7955" s="223"/>
      <c r="D7955" s="316"/>
      <c r="H7955" s="223">
        <v>0.0</v>
      </c>
      <c r="K7955" s="317"/>
    </row>
    <row r="7956">
      <c r="B7956" s="223" t="s">
        <v>200</v>
      </c>
      <c r="C7956" s="223"/>
      <c r="D7956" s="316"/>
      <c r="H7956" s="223">
        <v>0.0</v>
      </c>
      <c r="K7956" s="317"/>
    </row>
    <row r="7957">
      <c r="B7957" s="223" t="s">
        <v>200</v>
      </c>
      <c r="C7957" s="223"/>
      <c r="D7957" s="316"/>
      <c r="H7957" s="223">
        <v>0.0</v>
      </c>
      <c r="K7957" s="317"/>
    </row>
    <row r="7958">
      <c r="B7958" s="223" t="s">
        <v>200</v>
      </c>
      <c r="C7958" s="223"/>
      <c r="D7958" s="316"/>
      <c r="H7958" s="223">
        <v>0.0</v>
      </c>
      <c r="K7958" s="317"/>
    </row>
    <row r="7959">
      <c r="B7959" s="223" t="s">
        <v>200</v>
      </c>
      <c r="C7959" s="223"/>
      <c r="D7959" s="316"/>
      <c r="H7959" s="223">
        <v>0.0</v>
      </c>
      <c r="K7959" s="317"/>
    </row>
    <row r="7960">
      <c r="B7960" s="223" t="s">
        <v>200</v>
      </c>
      <c r="C7960" s="223"/>
      <c r="D7960" s="316"/>
      <c r="H7960" s="223">
        <v>0.0</v>
      </c>
      <c r="K7960" s="317"/>
    </row>
    <row r="7961">
      <c r="B7961" s="223" t="s">
        <v>200</v>
      </c>
      <c r="C7961" s="223"/>
      <c r="D7961" s="316"/>
      <c r="H7961" s="223">
        <v>0.0</v>
      </c>
      <c r="K7961" s="317"/>
    </row>
    <row r="7962">
      <c r="B7962" s="223" t="s">
        <v>200</v>
      </c>
      <c r="C7962" s="223"/>
      <c r="D7962" s="316"/>
      <c r="H7962" s="223">
        <v>0.0</v>
      </c>
      <c r="K7962" s="317"/>
    </row>
    <row r="7963">
      <c r="B7963" s="223" t="s">
        <v>200</v>
      </c>
      <c r="C7963" s="223"/>
      <c r="D7963" s="316"/>
      <c r="H7963" s="223">
        <v>0.0</v>
      </c>
      <c r="K7963" s="317"/>
    </row>
    <row r="7964">
      <c r="B7964" s="223" t="s">
        <v>200</v>
      </c>
      <c r="C7964" s="223"/>
      <c r="D7964" s="316"/>
      <c r="H7964" s="223">
        <v>0.0</v>
      </c>
      <c r="K7964" s="317"/>
    </row>
    <row r="7965">
      <c r="B7965" s="223" t="s">
        <v>200</v>
      </c>
      <c r="C7965" s="223"/>
      <c r="D7965" s="316"/>
      <c r="H7965" s="223">
        <v>0.0</v>
      </c>
      <c r="K7965" s="317"/>
    </row>
    <row r="7966">
      <c r="B7966" s="223" t="s">
        <v>200</v>
      </c>
      <c r="C7966" s="223"/>
      <c r="D7966" s="316"/>
      <c r="H7966" s="223">
        <v>0.0</v>
      </c>
      <c r="K7966" s="317"/>
    </row>
    <row r="7967">
      <c r="B7967" s="223" t="s">
        <v>200</v>
      </c>
      <c r="C7967" s="223"/>
      <c r="D7967" s="316"/>
      <c r="H7967" s="223">
        <v>0.0</v>
      </c>
      <c r="K7967" s="317"/>
    </row>
    <row r="7968">
      <c r="B7968" s="223" t="s">
        <v>200</v>
      </c>
      <c r="C7968" s="223"/>
      <c r="D7968" s="316"/>
      <c r="H7968" s="223">
        <v>0.0</v>
      </c>
      <c r="K7968" s="317"/>
    </row>
    <row r="7969">
      <c r="B7969" s="223" t="s">
        <v>200</v>
      </c>
      <c r="C7969" s="223"/>
      <c r="D7969" s="316"/>
      <c r="H7969" s="223">
        <v>0.0</v>
      </c>
      <c r="K7969" s="317"/>
    </row>
    <row r="7970">
      <c r="B7970" s="223" t="s">
        <v>200</v>
      </c>
      <c r="C7970" s="223"/>
      <c r="D7970" s="316"/>
      <c r="H7970" s="223">
        <v>0.0</v>
      </c>
      <c r="K7970" s="317"/>
    </row>
    <row r="7971">
      <c r="B7971" s="223" t="s">
        <v>200</v>
      </c>
      <c r="C7971" s="223"/>
      <c r="D7971" s="316"/>
      <c r="H7971" s="223">
        <v>0.0</v>
      </c>
      <c r="K7971" s="317"/>
    </row>
    <row r="7972">
      <c r="B7972" s="223" t="s">
        <v>200</v>
      </c>
      <c r="C7972" s="223"/>
      <c r="D7972" s="316"/>
      <c r="H7972" s="223">
        <v>0.0</v>
      </c>
      <c r="K7972" s="317"/>
    </row>
    <row r="7973">
      <c r="B7973" s="223" t="s">
        <v>200</v>
      </c>
      <c r="C7973" s="223"/>
      <c r="D7973" s="316"/>
      <c r="H7973" s="223">
        <v>0.0</v>
      </c>
      <c r="K7973" s="317"/>
    </row>
    <row r="7974">
      <c r="B7974" s="223" t="s">
        <v>200</v>
      </c>
      <c r="C7974" s="223"/>
      <c r="D7974" s="316"/>
      <c r="H7974" s="223">
        <v>0.0</v>
      </c>
      <c r="K7974" s="317"/>
    </row>
    <row r="7975">
      <c r="B7975" s="223" t="s">
        <v>200</v>
      </c>
      <c r="C7975" s="223"/>
      <c r="D7975" s="316"/>
      <c r="H7975" s="223">
        <v>0.0</v>
      </c>
      <c r="K7975" s="317"/>
    </row>
    <row r="7976">
      <c r="B7976" s="223" t="s">
        <v>200</v>
      </c>
      <c r="C7976" s="223"/>
      <c r="D7976" s="316"/>
      <c r="H7976" s="223">
        <v>0.0</v>
      </c>
      <c r="K7976" s="317"/>
    </row>
    <row r="7977">
      <c r="B7977" s="223" t="s">
        <v>200</v>
      </c>
      <c r="C7977" s="223"/>
      <c r="D7977" s="316"/>
      <c r="H7977" s="223">
        <v>0.0</v>
      </c>
      <c r="K7977" s="317"/>
    </row>
    <row r="7978">
      <c r="B7978" s="223" t="s">
        <v>200</v>
      </c>
      <c r="C7978" s="223"/>
      <c r="D7978" s="316"/>
      <c r="H7978" s="223">
        <v>0.0</v>
      </c>
      <c r="K7978" s="317"/>
    </row>
    <row r="7979">
      <c r="B7979" s="223" t="s">
        <v>200</v>
      </c>
      <c r="C7979" s="223"/>
      <c r="D7979" s="316"/>
      <c r="H7979" s="223">
        <v>0.0</v>
      </c>
      <c r="K7979" s="317"/>
    </row>
    <row r="7980">
      <c r="B7980" s="223" t="s">
        <v>200</v>
      </c>
      <c r="C7980" s="223"/>
      <c r="D7980" s="316"/>
      <c r="H7980" s="223">
        <v>0.0</v>
      </c>
      <c r="K7980" s="317"/>
    </row>
    <row r="7981">
      <c r="B7981" s="223" t="s">
        <v>200</v>
      </c>
      <c r="C7981" s="223"/>
      <c r="D7981" s="316"/>
      <c r="H7981" s="223">
        <v>0.0</v>
      </c>
      <c r="K7981" s="317"/>
    </row>
    <row r="7982">
      <c r="B7982" s="223" t="s">
        <v>200</v>
      </c>
      <c r="C7982" s="223"/>
      <c r="D7982" s="316"/>
      <c r="H7982" s="223">
        <v>0.0</v>
      </c>
      <c r="K7982" s="317"/>
    </row>
    <row r="7983">
      <c r="B7983" s="223" t="s">
        <v>200</v>
      </c>
      <c r="C7983" s="223"/>
      <c r="D7983" s="316"/>
      <c r="H7983" s="223">
        <v>0.0</v>
      </c>
      <c r="K7983" s="317"/>
    </row>
    <row r="7984">
      <c r="B7984" s="223" t="s">
        <v>200</v>
      </c>
      <c r="C7984" s="223"/>
      <c r="D7984" s="316"/>
      <c r="H7984" s="223">
        <v>0.0</v>
      </c>
      <c r="K7984" s="317"/>
    </row>
    <row r="7985">
      <c r="B7985" s="223" t="s">
        <v>200</v>
      </c>
      <c r="C7985" s="223"/>
      <c r="D7985" s="316"/>
      <c r="H7985" s="223">
        <v>0.0</v>
      </c>
      <c r="K7985" s="317"/>
    </row>
    <row r="7986">
      <c r="B7986" s="223" t="s">
        <v>200</v>
      </c>
      <c r="C7986" s="223"/>
      <c r="D7986" s="316"/>
      <c r="H7986" s="223">
        <v>0.0</v>
      </c>
      <c r="K7986" s="317"/>
    </row>
    <row r="7987">
      <c r="B7987" s="223" t="s">
        <v>200</v>
      </c>
      <c r="C7987" s="223"/>
      <c r="D7987" s="316"/>
      <c r="H7987" s="223">
        <v>0.0</v>
      </c>
      <c r="K7987" s="317"/>
    </row>
    <row r="7988">
      <c r="B7988" s="223" t="s">
        <v>200</v>
      </c>
      <c r="C7988" s="223"/>
      <c r="D7988" s="316"/>
      <c r="H7988" s="223">
        <v>0.0</v>
      </c>
      <c r="K7988" s="317"/>
    </row>
    <row r="7989">
      <c r="B7989" s="223" t="s">
        <v>200</v>
      </c>
      <c r="C7989" s="223"/>
      <c r="D7989" s="316"/>
      <c r="H7989" s="223">
        <v>0.0</v>
      </c>
      <c r="K7989" s="317"/>
    </row>
    <row r="7990">
      <c r="B7990" s="223" t="s">
        <v>200</v>
      </c>
      <c r="C7990" s="223"/>
      <c r="D7990" s="316"/>
      <c r="H7990" s="223">
        <v>0.0</v>
      </c>
      <c r="K7990" s="317"/>
    </row>
    <row r="7991">
      <c r="B7991" s="223" t="s">
        <v>200</v>
      </c>
      <c r="C7991" s="223"/>
      <c r="D7991" s="316"/>
      <c r="H7991" s="223">
        <v>0.0</v>
      </c>
      <c r="K7991" s="317"/>
    </row>
    <row r="7992">
      <c r="B7992" s="223" t="s">
        <v>200</v>
      </c>
      <c r="C7992" s="223"/>
      <c r="D7992" s="316"/>
      <c r="H7992" s="223">
        <v>0.0</v>
      </c>
      <c r="K7992" s="317"/>
    </row>
    <row r="7993">
      <c r="B7993" s="223" t="s">
        <v>200</v>
      </c>
      <c r="C7993" s="223"/>
      <c r="D7993" s="316"/>
      <c r="H7993" s="223">
        <v>0.0</v>
      </c>
      <c r="K7993" s="317"/>
    </row>
    <row r="7994">
      <c r="B7994" s="223" t="s">
        <v>200</v>
      </c>
      <c r="C7994" s="223"/>
      <c r="D7994" s="316"/>
      <c r="H7994" s="223">
        <v>0.0</v>
      </c>
      <c r="K7994" s="317"/>
    </row>
    <row r="7995">
      <c r="B7995" s="223" t="s">
        <v>200</v>
      </c>
      <c r="C7995" s="223"/>
      <c r="D7995" s="316"/>
      <c r="H7995" s="223">
        <v>0.0</v>
      </c>
      <c r="K7995" s="317"/>
    </row>
    <row r="7996">
      <c r="B7996" s="223" t="s">
        <v>200</v>
      </c>
      <c r="C7996" s="223"/>
      <c r="D7996" s="316"/>
      <c r="H7996" s="223">
        <v>0.0</v>
      </c>
      <c r="K7996" s="317"/>
    </row>
    <row r="7997">
      <c r="B7997" s="223" t="s">
        <v>200</v>
      </c>
      <c r="C7997" s="223"/>
      <c r="D7997" s="316"/>
      <c r="H7997" s="223">
        <v>0.0</v>
      </c>
      <c r="K7997" s="317"/>
    </row>
    <row r="7998">
      <c r="B7998" s="223" t="s">
        <v>200</v>
      </c>
      <c r="C7998" s="223"/>
      <c r="D7998" s="316"/>
      <c r="H7998" s="223">
        <v>0.0</v>
      </c>
      <c r="K7998" s="317"/>
    </row>
    <row r="7999">
      <c r="B7999" s="223" t="s">
        <v>200</v>
      </c>
      <c r="C7999" s="223"/>
      <c r="D7999" s="316"/>
      <c r="H7999" s="223">
        <v>0.0</v>
      </c>
      <c r="K7999" s="317"/>
    </row>
    <row r="8000">
      <c r="B8000" s="223" t="s">
        <v>200</v>
      </c>
      <c r="C8000" s="223"/>
      <c r="D8000" s="316"/>
      <c r="H8000" s="223">
        <v>0.0</v>
      </c>
      <c r="K8000" s="317"/>
    </row>
    <row r="8001">
      <c r="B8001" s="223" t="s">
        <v>200</v>
      </c>
      <c r="C8001" s="223"/>
      <c r="D8001" s="316"/>
      <c r="H8001" s="223">
        <v>0.0</v>
      </c>
      <c r="K8001" s="317"/>
    </row>
    <row r="8002">
      <c r="B8002" s="223" t="s">
        <v>200</v>
      </c>
      <c r="C8002" s="223"/>
      <c r="D8002" s="316"/>
      <c r="H8002" s="223">
        <v>0.0</v>
      </c>
      <c r="K8002" s="317"/>
    </row>
    <row r="8003">
      <c r="B8003" s="223" t="s">
        <v>200</v>
      </c>
      <c r="C8003" s="223"/>
      <c r="D8003" s="316"/>
      <c r="H8003" s="223">
        <v>0.0</v>
      </c>
      <c r="K8003" s="317"/>
    </row>
    <row r="8004">
      <c r="B8004" s="223" t="s">
        <v>200</v>
      </c>
      <c r="C8004" s="223"/>
      <c r="D8004" s="316"/>
      <c r="H8004" s="223">
        <v>0.0</v>
      </c>
      <c r="K8004" s="317"/>
    </row>
    <row r="8005">
      <c r="B8005" s="223" t="s">
        <v>200</v>
      </c>
      <c r="C8005" s="223"/>
      <c r="D8005" s="316"/>
      <c r="H8005" s="223">
        <v>0.0</v>
      </c>
      <c r="K8005" s="317"/>
    </row>
    <row r="8006">
      <c r="B8006" s="223" t="s">
        <v>200</v>
      </c>
      <c r="C8006" s="223"/>
      <c r="D8006" s="316"/>
      <c r="H8006" s="223">
        <v>0.0</v>
      </c>
      <c r="K8006" s="317"/>
    </row>
    <row r="8007">
      <c r="B8007" s="223" t="s">
        <v>200</v>
      </c>
      <c r="C8007" s="223"/>
      <c r="D8007" s="316"/>
      <c r="H8007" s="223">
        <v>0.0</v>
      </c>
      <c r="K8007" s="317"/>
    </row>
    <row r="8008">
      <c r="B8008" s="223" t="s">
        <v>200</v>
      </c>
      <c r="C8008" s="223"/>
      <c r="D8008" s="316"/>
      <c r="H8008" s="223">
        <v>0.0</v>
      </c>
      <c r="K8008" s="317"/>
    </row>
    <row r="8009">
      <c r="B8009" s="223" t="s">
        <v>200</v>
      </c>
      <c r="C8009" s="223"/>
      <c r="D8009" s="316"/>
      <c r="H8009" s="223">
        <v>0.0</v>
      </c>
      <c r="K8009" s="317"/>
    </row>
    <row r="8010">
      <c r="B8010" s="223" t="s">
        <v>200</v>
      </c>
      <c r="C8010" s="223"/>
      <c r="D8010" s="316"/>
      <c r="H8010" s="223">
        <v>0.0</v>
      </c>
      <c r="K8010" s="317"/>
    </row>
    <row r="8011">
      <c r="B8011" s="223" t="s">
        <v>200</v>
      </c>
      <c r="C8011" s="223"/>
      <c r="D8011" s="316"/>
      <c r="H8011" s="223">
        <v>0.0</v>
      </c>
      <c r="K8011" s="317"/>
    </row>
    <row r="8012">
      <c r="B8012" s="223" t="s">
        <v>200</v>
      </c>
      <c r="C8012" s="223"/>
      <c r="D8012" s="316"/>
      <c r="H8012" s="223">
        <v>0.0</v>
      </c>
      <c r="K8012" s="317"/>
    </row>
    <row r="8013">
      <c r="B8013" s="223" t="s">
        <v>200</v>
      </c>
      <c r="C8013" s="223"/>
      <c r="D8013" s="316"/>
      <c r="H8013" s="223">
        <v>0.0</v>
      </c>
      <c r="K8013" s="317"/>
    </row>
    <row r="8014">
      <c r="B8014" s="223" t="s">
        <v>200</v>
      </c>
      <c r="C8014" s="223"/>
      <c r="D8014" s="316"/>
      <c r="H8014" s="223">
        <v>0.0</v>
      </c>
      <c r="K8014" s="317"/>
    </row>
    <row r="8015">
      <c r="B8015" s="223" t="s">
        <v>200</v>
      </c>
      <c r="C8015" s="223"/>
      <c r="D8015" s="316"/>
      <c r="H8015" s="223">
        <v>0.0</v>
      </c>
      <c r="K8015" s="317"/>
    </row>
    <row r="8016">
      <c r="B8016" s="223" t="s">
        <v>200</v>
      </c>
      <c r="C8016" s="223"/>
      <c r="D8016" s="316"/>
      <c r="H8016" s="223">
        <v>0.0</v>
      </c>
      <c r="K8016" s="317"/>
    </row>
    <row r="8017">
      <c r="B8017" s="223" t="s">
        <v>200</v>
      </c>
      <c r="C8017" s="223"/>
      <c r="D8017" s="316"/>
      <c r="H8017" s="223">
        <v>0.0</v>
      </c>
      <c r="K8017" s="317"/>
    </row>
    <row r="8018">
      <c r="B8018" s="223" t="s">
        <v>200</v>
      </c>
      <c r="C8018" s="223"/>
      <c r="D8018" s="316"/>
      <c r="H8018" s="223">
        <v>0.0</v>
      </c>
      <c r="K8018" s="317"/>
    </row>
    <row r="8019">
      <c r="B8019" s="223" t="s">
        <v>200</v>
      </c>
      <c r="C8019" s="223"/>
      <c r="D8019" s="316"/>
      <c r="H8019" s="223">
        <v>0.0</v>
      </c>
      <c r="K8019" s="317"/>
    </row>
    <row r="8020">
      <c r="B8020" s="223" t="s">
        <v>200</v>
      </c>
      <c r="C8020" s="223"/>
      <c r="D8020" s="316"/>
      <c r="H8020" s="223">
        <v>0.0</v>
      </c>
      <c r="K8020" s="317"/>
    </row>
    <row r="8021">
      <c r="B8021" s="223" t="s">
        <v>200</v>
      </c>
      <c r="C8021" s="223"/>
      <c r="D8021" s="316"/>
      <c r="H8021" s="223">
        <v>0.0</v>
      </c>
      <c r="K8021" s="317"/>
    </row>
    <row r="8022">
      <c r="B8022" s="223" t="s">
        <v>200</v>
      </c>
      <c r="C8022" s="223"/>
      <c r="D8022" s="316"/>
      <c r="H8022" s="223">
        <v>0.0</v>
      </c>
      <c r="K8022" s="317"/>
    </row>
    <row r="8023">
      <c r="B8023" s="223" t="s">
        <v>200</v>
      </c>
      <c r="C8023" s="223"/>
      <c r="D8023" s="316"/>
      <c r="H8023" s="223">
        <v>0.0</v>
      </c>
      <c r="K8023" s="317"/>
    </row>
    <row r="8024">
      <c r="B8024" s="223" t="s">
        <v>200</v>
      </c>
      <c r="C8024" s="223"/>
      <c r="D8024" s="316"/>
      <c r="H8024" s="223">
        <v>0.0</v>
      </c>
      <c r="K8024" s="317"/>
    </row>
    <row r="8025">
      <c r="B8025" s="223" t="s">
        <v>200</v>
      </c>
      <c r="C8025" s="223"/>
      <c r="D8025" s="316"/>
      <c r="H8025" s="223">
        <v>0.0</v>
      </c>
      <c r="K8025" s="317"/>
    </row>
    <row r="8026">
      <c r="B8026" s="223" t="s">
        <v>200</v>
      </c>
      <c r="C8026" s="223"/>
      <c r="D8026" s="316"/>
      <c r="H8026" s="223">
        <v>0.0</v>
      </c>
      <c r="K8026" s="317"/>
    </row>
    <row r="8027">
      <c r="B8027" s="223" t="s">
        <v>200</v>
      </c>
      <c r="C8027" s="223"/>
      <c r="D8027" s="316"/>
      <c r="H8027" s="223">
        <v>0.0</v>
      </c>
      <c r="K8027" s="317"/>
    </row>
    <row r="8028">
      <c r="B8028" s="223" t="s">
        <v>200</v>
      </c>
      <c r="C8028" s="223"/>
      <c r="D8028" s="316"/>
      <c r="H8028" s="223">
        <v>0.0</v>
      </c>
      <c r="K8028" s="317"/>
    </row>
    <row r="8029">
      <c r="B8029" s="223" t="s">
        <v>200</v>
      </c>
      <c r="C8029" s="223"/>
      <c r="D8029" s="316"/>
      <c r="H8029" s="223">
        <v>0.0</v>
      </c>
      <c r="K8029" s="317"/>
    </row>
    <row r="8030">
      <c r="B8030" s="223" t="s">
        <v>200</v>
      </c>
      <c r="C8030" s="223"/>
      <c r="D8030" s="316"/>
      <c r="H8030" s="223">
        <v>0.0</v>
      </c>
      <c r="K8030" s="317"/>
    </row>
    <row r="8031">
      <c r="B8031" s="223" t="s">
        <v>200</v>
      </c>
      <c r="C8031" s="223"/>
      <c r="D8031" s="316"/>
      <c r="H8031" s="223">
        <v>0.0</v>
      </c>
      <c r="K8031" s="317"/>
    </row>
    <row r="8032">
      <c r="B8032" s="223" t="s">
        <v>200</v>
      </c>
      <c r="C8032" s="223"/>
      <c r="D8032" s="316"/>
      <c r="H8032" s="223">
        <v>0.0</v>
      </c>
      <c r="K8032" s="317"/>
    </row>
    <row r="8033">
      <c r="B8033" s="223" t="s">
        <v>200</v>
      </c>
      <c r="C8033" s="223"/>
      <c r="D8033" s="316"/>
      <c r="H8033" s="223">
        <v>0.0</v>
      </c>
      <c r="K8033" s="317"/>
    </row>
    <row r="8034">
      <c r="B8034" s="223" t="s">
        <v>200</v>
      </c>
      <c r="C8034" s="223"/>
      <c r="D8034" s="316"/>
      <c r="H8034" s="223">
        <v>0.0</v>
      </c>
      <c r="K8034" s="317"/>
    </row>
    <row r="8035">
      <c r="B8035" s="223" t="s">
        <v>200</v>
      </c>
      <c r="C8035" s="223"/>
      <c r="D8035" s="316"/>
      <c r="H8035" s="223">
        <v>0.0</v>
      </c>
      <c r="K8035" s="317"/>
    </row>
    <row r="8036">
      <c r="B8036" s="223" t="s">
        <v>200</v>
      </c>
      <c r="C8036" s="223"/>
      <c r="D8036" s="316"/>
      <c r="H8036" s="223">
        <v>0.0</v>
      </c>
      <c r="K8036" s="317"/>
    </row>
    <row r="8037">
      <c r="B8037" s="223" t="s">
        <v>200</v>
      </c>
      <c r="C8037" s="223"/>
      <c r="D8037" s="316"/>
      <c r="H8037" s="223">
        <v>0.0</v>
      </c>
      <c r="K8037" s="317"/>
    </row>
    <row r="8038">
      <c r="B8038" s="223" t="s">
        <v>200</v>
      </c>
      <c r="C8038" s="223"/>
      <c r="D8038" s="316"/>
      <c r="H8038" s="223">
        <v>0.0</v>
      </c>
      <c r="K8038" s="317"/>
    </row>
    <row r="8039">
      <c r="B8039" s="223" t="s">
        <v>200</v>
      </c>
      <c r="C8039" s="223"/>
      <c r="D8039" s="316"/>
      <c r="H8039" s="223">
        <v>0.0</v>
      </c>
      <c r="K8039" s="317"/>
    </row>
    <row r="8040">
      <c r="B8040" s="223" t="s">
        <v>200</v>
      </c>
      <c r="C8040" s="223"/>
      <c r="D8040" s="316"/>
      <c r="H8040" s="223">
        <v>0.0</v>
      </c>
      <c r="K8040" s="317"/>
    </row>
    <row r="8041">
      <c r="B8041" s="223" t="s">
        <v>200</v>
      </c>
      <c r="C8041" s="223"/>
      <c r="D8041" s="316"/>
      <c r="H8041" s="223">
        <v>0.0</v>
      </c>
      <c r="K8041" s="317"/>
    </row>
    <row r="8042">
      <c r="B8042" s="223" t="s">
        <v>200</v>
      </c>
      <c r="C8042" s="223"/>
      <c r="D8042" s="316"/>
      <c r="H8042" s="223">
        <v>0.0</v>
      </c>
      <c r="K8042" s="317"/>
    </row>
    <row r="8043">
      <c r="B8043" s="223" t="s">
        <v>200</v>
      </c>
      <c r="C8043" s="223"/>
      <c r="D8043" s="316"/>
      <c r="H8043" s="223">
        <v>0.0</v>
      </c>
      <c r="K8043" s="317"/>
    </row>
    <row r="8044">
      <c r="B8044" s="223" t="s">
        <v>200</v>
      </c>
      <c r="C8044" s="223"/>
      <c r="D8044" s="316"/>
      <c r="H8044" s="223">
        <v>0.0</v>
      </c>
      <c r="K8044" s="317"/>
    </row>
    <row r="8045">
      <c r="B8045" s="223" t="s">
        <v>200</v>
      </c>
      <c r="C8045" s="223"/>
      <c r="D8045" s="316"/>
      <c r="H8045" s="223">
        <v>0.0</v>
      </c>
      <c r="K8045" s="317"/>
    </row>
    <row r="8046">
      <c r="B8046" s="223" t="s">
        <v>200</v>
      </c>
      <c r="C8046" s="223"/>
      <c r="D8046" s="316"/>
      <c r="H8046" s="223">
        <v>0.0</v>
      </c>
      <c r="K8046" s="317"/>
    </row>
    <row r="8047">
      <c r="B8047" s="223" t="s">
        <v>200</v>
      </c>
      <c r="C8047" s="223"/>
      <c r="D8047" s="316"/>
      <c r="H8047" s="223">
        <v>0.0</v>
      </c>
      <c r="K8047" s="317"/>
    </row>
    <row r="8048">
      <c r="B8048" s="223" t="s">
        <v>200</v>
      </c>
      <c r="C8048" s="223"/>
      <c r="D8048" s="316"/>
      <c r="H8048" s="223">
        <v>0.0</v>
      </c>
      <c r="K8048" s="317"/>
    </row>
    <row r="8049">
      <c r="B8049" s="223" t="s">
        <v>200</v>
      </c>
      <c r="C8049" s="223"/>
      <c r="D8049" s="316"/>
      <c r="H8049" s="223">
        <v>0.0</v>
      </c>
      <c r="K8049" s="317"/>
    </row>
    <row r="8050">
      <c r="B8050" s="223" t="s">
        <v>200</v>
      </c>
      <c r="C8050" s="223"/>
      <c r="D8050" s="316"/>
      <c r="H8050" s="223">
        <v>0.0</v>
      </c>
      <c r="K8050" s="317"/>
    </row>
    <row r="8051">
      <c r="B8051" s="223" t="s">
        <v>200</v>
      </c>
      <c r="C8051" s="223"/>
      <c r="D8051" s="316"/>
      <c r="H8051" s="223">
        <v>0.0</v>
      </c>
      <c r="K8051" s="317"/>
    </row>
    <row r="8052">
      <c r="B8052" s="223" t="s">
        <v>200</v>
      </c>
      <c r="C8052" s="223"/>
      <c r="D8052" s="316"/>
      <c r="H8052" s="223">
        <v>0.0</v>
      </c>
      <c r="K8052" s="317"/>
    </row>
    <row r="8053">
      <c r="B8053" s="223" t="s">
        <v>200</v>
      </c>
      <c r="C8053" s="223"/>
      <c r="D8053" s="316"/>
      <c r="H8053" s="223">
        <v>0.0</v>
      </c>
      <c r="K8053" s="317"/>
    </row>
    <row r="8054">
      <c r="B8054" s="223" t="s">
        <v>200</v>
      </c>
      <c r="C8054" s="223"/>
      <c r="D8054" s="316"/>
      <c r="H8054" s="223">
        <v>0.0</v>
      </c>
      <c r="K8054" s="317"/>
    </row>
    <row r="8055">
      <c r="B8055" s="223" t="s">
        <v>200</v>
      </c>
      <c r="C8055" s="223"/>
      <c r="D8055" s="316"/>
      <c r="H8055" s="223">
        <v>0.0</v>
      </c>
      <c r="K8055" s="317"/>
    </row>
    <row r="8056">
      <c r="B8056" s="223" t="s">
        <v>200</v>
      </c>
      <c r="C8056" s="223"/>
      <c r="D8056" s="316"/>
      <c r="H8056" s="223">
        <v>0.0</v>
      </c>
      <c r="K8056" s="317"/>
    </row>
    <row r="8057">
      <c r="B8057" s="223" t="s">
        <v>200</v>
      </c>
      <c r="C8057" s="223"/>
      <c r="D8057" s="316"/>
      <c r="H8057" s="223">
        <v>0.0</v>
      </c>
      <c r="K8057" s="317"/>
    </row>
    <row r="8058">
      <c r="B8058" s="223" t="s">
        <v>200</v>
      </c>
      <c r="C8058" s="223"/>
      <c r="D8058" s="316"/>
      <c r="H8058" s="223">
        <v>0.0</v>
      </c>
      <c r="K8058" s="317"/>
    </row>
    <row r="8059">
      <c r="B8059" s="223" t="s">
        <v>200</v>
      </c>
      <c r="C8059" s="223"/>
      <c r="D8059" s="316"/>
      <c r="H8059" s="223">
        <v>0.0</v>
      </c>
      <c r="K8059" s="317"/>
    </row>
    <row r="8060">
      <c r="B8060" s="223" t="s">
        <v>200</v>
      </c>
      <c r="C8060" s="223"/>
      <c r="D8060" s="316"/>
      <c r="H8060" s="223">
        <v>0.0</v>
      </c>
      <c r="K8060" s="317"/>
    </row>
    <row r="8061">
      <c r="B8061" s="223" t="s">
        <v>200</v>
      </c>
      <c r="C8061" s="223"/>
      <c r="D8061" s="316"/>
      <c r="H8061" s="223">
        <v>0.0</v>
      </c>
      <c r="K8061" s="317"/>
    </row>
    <row r="8062">
      <c r="B8062" s="223" t="s">
        <v>200</v>
      </c>
      <c r="C8062" s="223"/>
      <c r="D8062" s="316"/>
      <c r="H8062" s="223">
        <v>0.0</v>
      </c>
      <c r="K8062" s="317"/>
    </row>
    <row r="8063">
      <c r="B8063" s="223" t="s">
        <v>200</v>
      </c>
      <c r="C8063" s="223"/>
      <c r="D8063" s="316"/>
      <c r="H8063" s="223">
        <v>0.0</v>
      </c>
      <c r="K8063" s="317"/>
    </row>
    <row r="8064">
      <c r="B8064" s="223" t="s">
        <v>200</v>
      </c>
      <c r="C8064" s="223"/>
      <c r="D8064" s="316"/>
      <c r="H8064" s="223">
        <v>0.0</v>
      </c>
      <c r="K8064" s="317"/>
    </row>
    <row r="8065">
      <c r="B8065" s="223" t="s">
        <v>200</v>
      </c>
      <c r="C8065" s="223"/>
      <c r="D8065" s="316"/>
      <c r="H8065" s="223">
        <v>0.0</v>
      </c>
      <c r="K8065" s="317"/>
    </row>
    <row r="8066">
      <c r="B8066" s="223" t="s">
        <v>200</v>
      </c>
      <c r="C8066" s="223"/>
      <c r="D8066" s="316"/>
      <c r="H8066" s="223">
        <v>0.0</v>
      </c>
      <c r="K8066" s="317"/>
    </row>
    <row r="8067">
      <c r="B8067" s="223" t="s">
        <v>200</v>
      </c>
      <c r="C8067" s="223"/>
      <c r="D8067" s="316"/>
      <c r="H8067" s="223">
        <v>0.0</v>
      </c>
      <c r="K8067" s="317"/>
    </row>
    <row r="8068">
      <c r="B8068" s="223" t="s">
        <v>200</v>
      </c>
      <c r="C8068" s="223"/>
      <c r="D8068" s="316"/>
      <c r="H8068" s="223">
        <v>0.0</v>
      </c>
      <c r="K8068" s="317"/>
    </row>
    <row r="8069">
      <c r="B8069" s="223" t="s">
        <v>200</v>
      </c>
      <c r="C8069" s="223"/>
      <c r="D8069" s="316"/>
      <c r="H8069" s="223">
        <v>0.0</v>
      </c>
      <c r="K8069" s="317"/>
    </row>
    <row r="8070">
      <c r="B8070" s="223" t="s">
        <v>200</v>
      </c>
      <c r="C8070" s="223"/>
      <c r="D8070" s="316"/>
      <c r="H8070" s="223">
        <v>0.0</v>
      </c>
      <c r="K8070" s="317"/>
    </row>
    <row r="8071">
      <c r="B8071" s="223" t="s">
        <v>200</v>
      </c>
      <c r="C8071" s="223"/>
      <c r="D8071" s="316"/>
      <c r="H8071" s="223">
        <v>0.0</v>
      </c>
      <c r="K8071" s="317"/>
    </row>
    <row r="8072">
      <c r="B8072" s="223" t="s">
        <v>200</v>
      </c>
      <c r="C8072" s="223"/>
      <c r="D8072" s="316"/>
      <c r="H8072" s="223">
        <v>0.0</v>
      </c>
      <c r="K8072" s="317"/>
    </row>
    <row r="8073">
      <c r="B8073" s="223" t="s">
        <v>200</v>
      </c>
      <c r="C8073" s="223"/>
      <c r="D8073" s="316"/>
      <c r="H8073" s="223">
        <v>0.0</v>
      </c>
      <c r="K8073" s="317"/>
    </row>
    <row r="8074">
      <c r="B8074" s="223" t="s">
        <v>200</v>
      </c>
      <c r="C8074" s="223"/>
      <c r="D8074" s="316"/>
      <c r="H8074" s="223">
        <v>0.0</v>
      </c>
      <c r="K8074" s="317"/>
    </row>
    <row r="8075">
      <c r="B8075" s="223" t="s">
        <v>200</v>
      </c>
      <c r="C8075" s="223"/>
      <c r="D8075" s="316"/>
      <c r="H8075" s="223">
        <v>0.0</v>
      </c>
      <c r="K8075" s="317"/>
    </row>
    <row r="8076">
      <c r="B8076" s="223" t="s">
        <v>200</v>
      </c>
      <c r="C8076" s="223"/>
      <c r="D8076" s="316"/>
      <c r="H8076" s="223">
        <v>0.0</v>
      </c>
      <c r="K8076" s="317"/>
    </row>
    <row r="8077">
      <c r="B8077" s="223" t="s">
        <v>200</v>
      </c>
      <c r="C8077" s="223"/>
      <c r="D8077" s="316"/>
      <c r="H8077" s="223">
        <v>0.0</v>
      </c>
      <c r="K8077" s="317"/>
    </row>
    <row r="8078">
      <c r="B8078" s="223" t="s">
        <v>200</v>
      </c>
      <c r="C8078" s="223"/>
      <c r="D8078" s="316"/>
      <c r="H8078" s="223">
        <v>0.0</v>
      </c>
      <c r="K8078" s="317"/>
    </row>
    <row r="8079">
      <c r="B8079" s="223" t="s">
        <v>200</v>
      </c>
      <c r="C8079" s="223"/>
      <c r="D8079" s="316"/>
      <c r="H8079" s="223">
        <v>0.0</v>
      </c>
      <c r="K8079" s="317"/>
    </row>
    <row r="8080">
      <c r="B8080" s="223" t="s">
        <v>200</v>
      </c>
      <c r="C8080" s="223"/>
      <c r="D8080" s="316"/>
      <c r="H8080" s="223">
        <v>0.0</v>
      </c>
      <c r="K8080" s="317"/>
    </row>
    <row r="8081">
      <c r="B8081" s="223" t="s">
        <v>200</v>
      </c>
      <c r="C8081" s="223"/>
      <c r="D8081" s="316"/>
      <c r="H8081" s="223">
        <v>0.0</v>
      </c>
      <c r="K8081" s="317"/>
    </row>
    <row r="8082">
      <c r="B8082" s="223" t="s">
        <v>200</v>
      </c>
      <c r="C8082" s="223"/>
      <c r="D8082" s="316"/>
      <c r="H8082" s="223">
        <v>0.0</v>
      </c>
      <c r="K8082" s="317"/>
    </row>
    <row r="8083">
      <c r="B8083" s="223" t="s">
        <v>200</v>
      </c>
      <c r="C8083" s="223"/>
      <c r="D8083" s="316"/>
      <c r="H8083" s="223">
        <v>0.0</v>
      </c>
      <c r="K8083" s="317"/>
    </row>
    <row r="8084">
      <c r="B8084" s="223" t="s">
        <v>200</v>
      </c>
      <c r="C8084" s="223"/>
      <c r="D8084" s="316"/>
      <c r="H8084" s="223">
        <v>0.0</v>
      </c>
      <c r="K8084" s="317"/>
    </row>
    <row r="8085">
      <c r="B8085" s="223" t="s">
        <v>200</v>
      </c>
      <c r="C8085" s="223"/>
      <c r="D8085" s="316"/>
      <c r="H8085" s="223">
        <v>0.0</v>
      </c>
      <c r="K8085" s="317"/>
    </row>
    <row r="8086">
      <c r="B8086" s="223" t="s">
        <v>200</v>
      </c>
      <c r="C8086" s="223"/>
      <c r="D8086" s="316"/>
      <c r="H8086" s="223">
        <v>0.0</v>
      </c>
      <c r="K8086" s="317"/>
    </row>
    <row r="8087">
      <c r="B8087" s="223" t="s">
        <v>200</v>
      </c>
      <c r="C8087" s="223"/>
      <c r="D8087" s="316"/>
      <c r="H8087" s="223">
        <v>0.0</v>
      </c>
      <c r="K8087" s="317"/>
    </row>
    <row r="8088">
      <c r="B8088" s="223" t="s">
        <v>200</v>
      </c>
      <c r="C8088" s="223"/>
      <c r="D8088" s="316"/>
      <c r="H8088" s="223">
        <v>0.0</v>
      </c>
      <c r="K8088" s="317"/>
    </row>
    <row r="8089">
      <c r="B8089" s="223" t="s">
        <v>200</v>
      </c>
      <c r="C8089" s="223"/>
      <c r="D8089" s="316"/>
      <c r="H8089" s="223">
        <v>0.0</v>
      </c>
      <c r="K8089" s="317"/>
    </row>
    <row r="8090">
      <c r="B8090" s="223" t="s">
        <v>200</v>
      </c>
      <c r="C8090" s="223"/>
      <c r="D8090" s="316"/>
      <c r="H8090" s="223">
        <v>0.0</v>
      </c>
      <c r="K8090" s="317"/>
    </row>
    <row r="8091">
      <c r="B8091" s="223" t="s">
        <v>200</v>
      </c>
      <c r="C8091" s="223"/>
      <c r="D8091" s="316"/>
      <c r="H8091" s="223">
        <v>0.0</v>
      </c>
      <c r="K8091" s="317"/>
    </row>
    <row r="8092">
      <c r="B8092" s="223" t="s">
        <v>200</v>
      </c>
      <c r="C8092" s="223"/>
      <c r="D8092" s="316"/>
      <c r="H8092" s="223">
        <v>0.0</v>
      </c>
      <c r="K8092" s="317"/>
    </row>
    <row r="8093">
      <c r="B8093" s="223" t="s">
        <v>200</v>
      </c>
      <c r="C8093" s="223"/>
      <c r="D8093" s="316"/>
      <c r="H8093" s="223">
        <v>0.0</v>
      </c>
      <c r="K8093" s="317"/>
    </row>
    <row r="8094">
      <c r="B8094" s="223" t="s">
        <v>200</v>
      </c>
      <c r="C8094" s="223"/>
      <c r="D8094" s="316"/>
      <c r="H8094" s="223">
        <v>0.0</v>
      </c>
      <c r="K8094" s="317"/>
    </row>
    <row r="8095">
      <c r="B8095" s="223" t="s">
        <v>200</v>
      </c>
      <c r="C8095" s="223"/>
      <c r="D8095" s="316"/>
      <c r="H8095" s="223">
        <v>0.0</v>
      </c>
      <c r="K8095" s="317"/>
    </row>
    <row r="8096">
      <c r="B8096" s="223" t="s">
        <v>200</v>
      </c>
      <c r="C8096" s="223"/>
      <c r="D8096" s="316"/>
      <c r="H8096" s="223">
        <v>0.0</v>
      </c>
      <c r="K8096" s="317"/>
    </row>
    <row r="8097">
      <c r="B8097" s="223" t="s">
        <v>200</v>
      </c>
      <c r="C8097" s="223"/>
      <c r="D8097" s="316"/>
      <c r="H8097" s="223">
        <v>0.0</v>
      </c>
      <c r="K8097" s="317"/>
    </row>
    <row r="8098">
      <c r="B8098" s="223" t="s">
        <v>200</v>
      </c>
      <c r="C8098" s="223"/>
      <c r="D8098" s="316"/>
      <c r="H8098" s="223">
        <v>0.0</v>
      </c>
      <c r="K8098" s="317"/>
    </row>
    <row r="8099">
      <c r="B8099" s="223" t="s">
        <v>200</v>
      </c>
      <c r="C8099" s="223"/>
      <c r="D8099" s="316"/>
      <c r="H8099" s="223">
        <v>0.0</v>
      </c>
      <c r="K8099" s="317"/>
    </row>
    <row r="8100">
      <c r="B8100" s="223" t="s">
        <v>200</v>
      </c>
      <c r="C8100" s="223"/>
      <c r="D8100" s="316"/>
      <c r="H8100" s="223">
        <v>0.0</v>
      </c>
      <c r="K8100" s="317"/>
    </row>
    <row r="8101">
      <c r="B8101" s="223" t="s">
        <v>200</v>
      </c>
      <c r="C8101" s="223"/>
      <c r="D8101" s="316"/>
      <c r="H8101" s="223">
        <v>0.0</v>
      </c>
      <c r="K8101" s="317"/>
    </row>
    <row r="8102">
      <c r="B8102" s="223" t="s">
        <v>200</v>
      </c>
      <c r="C8102" s="223"/>
      <c r="D8102" s="316"/>
      <c r="H8102" s="223">
        <v>0.0</v>
      </c>
      <c r="K8102" s="317"/>
    </row>
    <row r="8103">
      <c r="B8103" s="223" t="s">
        <v>200</v>
      </c>
      <c r="C8103" s="223"/>
      <c r="D8103" s="316"/>
      <c r="H8103" s="223">
        <v>0.0</v>
      </c>
      <c r="K8103" s="317"/>
    </row>
    <row r="8104">
      <c r="B8104" s="223" t="s">
        <v>200</v>
      </c>
      <c r="C8104" s="223"/>
      <c r="D8104" s="316"/>
      <c r="H8104" s="223">
        <v>0.0</v>
      </c>
      <c r="K8104" s="317"/>
    </row>
    <row r="8105">
      <c r="B8105" s="223" t="s">
        <v>200</v>
      </c>
      <c r="C8105" s="223"/>
      <c r="D8105" s="316"/>
      <c r="H8105" s="223">
        <v>0.0</v>
      </c>
      <c r="K8105" s="317"/>
    </row>
    <row r="8106">
      <c r="B8106" s="223" t="s">
        <v>200</v>
      </c>
      <c r="C8106" s="223"/>
      <c r="D8106" s="316"/>
      <c r="H8106" s="223">
        <v>0.0</v>
      </c>
      <c r="K8106" s="317"/>
    </row>
    <row r="8107">
      <c r="B8107" s="223" t="s">
        <v>200</v>
      </c>
      <c r="C8107" s="223"/>
      <c r="D8107" s="316"/>
      <c r="H8107" s="223">
        <v>0.0</v>
      </c>
      <c r="K8107" s="317"/>
    </row>
    <row r="8108">
      <c r="B8108" s="223" t="s">
        <v>200</v>
      </c>
      <c r="C8108" s="223"/>
      <c r="D8108" s="316"/>
      <c r="H8108" s="223">
        <v>0.0</v>
      </c>
      <c r="K8108" s="317"/>
    </row>
    <row r="8109">
      <c r="B8109" s="223" t="s">
        <v>200</v>
      </c>
      <c r="C8109" s="223"/>
      <c r="D8109" s="316"/>
      <c r="H8109" s="223">
        <v>0.0</v>
      </c>
      <c r="K8109" s="317"/>
    </row>
    <row r="8110">
      <c r="B8110" s="223" t="s">
        <v>200</v>
      </c>
      <c r="C8110" s="223"/>
      <c r="D8110" s="316"/>
      <c r="H8110" s="223">
        <v>0.0</v>
      </c>
      <c r="K8110" s="317"/>
    </row>
    <row r="8111">
      <c r="B8111" s="223" t="s">
        <v>200</v>
      </c>
      <c r="C8111" s="223"/>
      <c r="D8111" s="316"/>
      <c r="H8111" s="223">
        <v>0.0</v>
      </c>
      <c r="K8111" s="317"/>
    </row>
    <row r="8112">
      <c r="B8112" s="223" t="s">
        <v>200</v>
      </c>
      <c r="C8112" s="223"/>
      <c r="D8112" s="316"/>
      <c r="H8112" s="223">
        <v>0.0</v>
      </c>
      <c r="K8112" s="317"/>
    </row>
    <row r="8113">
      <c r="B8113" s="223" t="s">
        <v>200</v>
      </c>
      <c r="C8113" s="223"/>
      <c r="D8113" s="316"/>
      <c r="H8113" s="223">
        <v>0.0</v>
      </c>
      <c r="K8113" s="317"/>
    </row>
    <row r="8114">
      <c r="B8114" s="223" t="s">
        <v>200</v>
      </c>
      <c r="C8114" s="223"/>
      <c r="D8114" s="316"/>
      <c r="H8114" s="223">
        <v>0.0</v>
      </c>
      <c r="K8114" s="317"/>
    </row>
    <row r="8115">
      <c r="B8115" s="223" t="s">
        <v>200</v>
      </c>
      <c r="C8115" s="223"/>
      <c r="D8115" s="316"/>
      <c r="H8115" s="223">
        <v>0.0</v>
      </c>
      <c r="K8115" s="317"/>
    </row>
    <row r="8116">
      <c r="B8116" s="223" t="s">
        <v>200</v>
      </c>
      <c r="C8116" s="223"/>
      <c r="D8116" s="316"/>
      <c r="H8116" s="223">
        <v>0.0</v>
      </c>
      <c r="K8116" s="317"/>
    </row>
    <row r="8117">
      <c r="B8117" s="223" t="s">
        <v>200</v>
      </c>
      <c r="C8117" s="223"/>
      <c r="D8117" s="316"/>
      <c r="H8117" s="223">
        <v>0.0</v>
      </c>
      <c r="K8117" s="317"/>
    </row>
    <row r="8118">
      <c r="B8118" s="223" t="s">
        <v>200</v>
      </c>
      <c r="C8118" s="223"/>
      <c r="D8118" s="316"/>
      <c r="H8118" s="223">
        <v>0.0</v>
      </c>
      <c r="K8118" s="317"/>
    </row>
    <row r="8119">
      <c r="B8119" s="223" t="s">
        <v>200</v>
      </c>
      <c r="C8119" s="223"/>
      <c r="D8119" s="316"/>
      <c r="H8119" s="223">
        <v>0.0</v>
      </c>
      <c r="K8119" s="317"/>
    </row>
    <row r="8120">
      <c r="B8120" s="223" t="s">
        <v>200</v>
      </c>
      <c r="C8120" s="223"/>
      <c r="D8120" s="316"/>
      <c r="H8120" s="223">
        <v>0.0</v>
      </c>
      <c r="K8120" s="317"/>
    </row>
    <row r="8121">
      <c r="B8121" s="223" t="s">
        <v>200</v>
      </c>
      <c r="C8121" s="223"/>
      <c r="D8121" s="316"/>
      <c r="H8121" s="223">
        <v>0.0</v>
      </c>
      <c r="K8121" s="317"/>
    </row>
    <row r="8122">
      <c r="B8122" s="223" t="s">
        <v>200</v>
      </c>
      <c r="C8122" s="223"/>
      <c r="D8122" s="316"/>
      <c r="H8122" s="223">
        <v>0.0</v>
      </c>
      <c r="K8122" s="317"/>
    </row>
    <row r="8123">
      <c r="B8123" s="223" t="s">
        <v>200</v>
      </c>
      <c r="C8123" s="223"/>
      <c r="D8123" s="316"/>
      <c r="H8123" s="223">
        <v>0.0</v>
      </c>
      <c r="K8123" s="317"/>
    </row>
    <row r="8124">
      <c r="B8124" s="223" t="s">
        <v>200</v>
      </c>
      <c r="C8124" s="223"/>
      <c r="D8124" s="316"/>
      <c r="H8124" s="223">
        <v>0.0</v>
      </c>
      <c r="K8124" s="317"/>
    </row>
    <row r="8125">
      <c r="B8125" s="223" t="s">
        <v>200</v>
      </c>
      <c r="C8125" s="223"/>
      <c r="D8125" s="316"/>
      <c r="H8125" s="223">
        <v>0.0</v>
      </c>
      <c r="K8125" s="317"/>
    </row>
    <row r="8126">
      <c r="B8126" s="223" t="s">
        <v>200</v>
      </c>
      <c r="C8126" s="223"/>
      <c r="D8126" s="316"/>
      <c r="H8126" s="223">
        <v>0.0</v>
      </c>
      <c r="K8126" s="317"/>
    </row>
    <row r="8127">
      <c r="B8127" s="223" t="s">
        <v>200</v>
      </c>
      <c r="C8127" s="223"/>
      <c r="D8127" s="316"/>
      <c r="H8127" s="223">
        <v>0.0</v>
      </c>
      <c r="K8127" s="317"/>
    </row>
    <row r="8128">
      <c r="B8128" s="223" t="s">
        <v>200</v>
      </c>
      <c r="C8128" s="223"/>
      <c r="D8128" s="316"/>
      <c r="H8128" s="223">
        <v>0.0</v>
      </c>
      <c r="K8128" s="317"/>
    </row>
    <row r="8129">
      <c r="B8129" s="223" t="s">
        <v>200</v>
      </c>
      <c r="C8129" s="223"/>
      <c r="D8129" s="316"/>
      <c r="H8129" s="223">
        <v>0.0</v>
      </c>
      <c r="K8129" s="317"/>
    </row>
    <row r="8130">
      <c r="B8130" s="223" t="s">
        <v>200</v>
      </c>
      <c r="C8130" s="223"/>
      <c r="D8130" s="316"/>
      <c r="H8130" s="223">
        <v>0.0</v>
      </c>
      <c r="K8130" s="317"/>
    </row>
    <row r="8131">
      <c r="B8131" s="223" t="s">
        <v>200</v>
      </c>
      <c r="C8131" s="223"/>
      <c r="D8131" s="316"/>
      <c r="H8131" s="223">
        <v>0.0</v>
      </c>
      <c r="K8131" s="317"/>
    </row>
    <row r="8132">
      <c r="B8132" s="223" t="s">
        <v>200</v>
      </c>
      <c r="C8132" s="223"/>
      <c r="D8132" s="316"/>
      <c r="H8132" s="223">
        <v>0.0</v>
      </c>
      <c r="K8132" s="317"/>
    </row>
    <row r="8133">
      <c r="B8133" s="223" t="s">
        <v>200</v>
      </c>
      <c r="C8133" s="223"/>
      <c r="D8133" s="316"/>
      <c r="H8133" s="223">
        <v>0.0</v>
      </c>
      <c r="K8133" s="317"/>
    </row>
    <row r="8134">
      <c r="B8134" s="223" t="s">
        <v>200</v>
      </c>
      <c r="C8134" s="223"/>
      <c r="D8134" s="316"/>
      <c r="H8134" s="223">
        <v>0.0</v>
      </c>
      <c r="K8134" s="317"/>
    </row>
    <row r="8135">
      <c r="B8135" s="223" t="s">
        <v>200</v>
      </c>
      <c r="C8135" s="223"/>
      <c r="D8135" s="316"/>
      <c r="H8135" s="223">
        <v>0.0</v>
      </c>
      <c r="K8135" s="317"/>
    </row>
    <row r="8136">
      <c r="B8136" s="223" t="s">
        <v>200</v>
      </c>
      <c r="C8136" s="223"/>
      <c r="D8136" s="316"/>
      <c r="H8136" s="223">
        <v>0.0</v>
      </c>
      <c r="K8136" s="317"/>
    </row>
    <row r="8137">
      <c r="B8137" s="223" t="s">
        <v>200</v>
      </c>
      <c r="C8137" s="223"/>
      <c r="D8137" s="316"/>
      <c r="H8137" s="223">
        <v>0.0</v>
      </c>
      <c r="K8137" s="317"/>
    </row>
    <row r="8138">
      <c r="B8138" s="223" t="s">
        <v>200</v>
      </c>
      <c r="C8138" s="223"/>
      <c r="D8138" s="316"/>
      <c r="H8138" s="223">
        <v>0.0</v>
      </c>
      <c r="K8138" s="317"/>
    </row>
    <row r="8139">
      <c r="B8139" s="223" t="s">
        <v>200</v>
      </c>
      <c r="C8139" s="223"/>
      <c r="D8139" s="316"/>
      <c r="H8139" s="223">
        <v>0.0</v>
      </c>
      <c r="K8139" s="317"/>
    </row>
    <row r="8140">
      <c r="B8140" s="223" t="s">
        <v>200</v>
      </c>
      <c r="C8140" s="223"/>
      <c r="D8140" s="316"/>
      <c r="H8140" s="223">
        <v>0.0</v>
      </c>
      <c r="K8140" s="317"/>
    </row>
    <row r="8141">
      <c r="B8141" s="223" t="s">
        <v>200</v>
      </c>
      <c r="C8141" s="223"/>
      <c r="D8141" s="316"/>
      <c r="H8141" s="223">
        <v>0.0</v>
      </c>
      <c r="K8141" s="317"/>
    </row>
    <row r="8142">
      <c r="B8142" s="223" t="s">
        <v>200</v>
      </c>
      <c r="C8142" s="223"/>
      <c r="D8142" s="316"/>
      <c r="H8142" s="223">
        <v>0.0</v>
      </c>
      <c r="K8142" s="317"/>
    </row>
    <row r="8143">
      <c r="B8143" s="223" t="s">
        <v>200</v>
      </c>
      <c r="C8143" s="223"/>
      <c r="D8143" s="316"/>
      <c r="H8143" s="223">
        <v>0.0</v>
      </c>
      <c r="K8143" s="317"/>
    </row>
    <row r="8144">
      <c r="B8144" s="223" t="s">
        <v>200</v>
      </c>
      <c r="C8144" s="223"/>
      <c r="D8144" s="316"/>
      <c r="H8144" s="223">
        <v>0.0</v>
      </c>
      <c r="K8144" s="317"/>
    </row>
    <row r="8145">
      <c r="B8145" s="223" t="s">
        <v>200</v>
      </c>
      <c r="C8145" s="223"/>
      <c r="D8145" s="316"/>
      <c r="H8145" s="223">
        <v>0.0</v>
      </c>
      <c r="K8145" s="317"/>
    </row>
    <row r="8146">
      <c r="B8146" s="223" t="s">
        <v>200</v>
      </c>
      <c r="C8146" s="223"/>
      <c r="D8146" s="316"/>
      <c r="H8146" s="223">
        <v>0.0</v>
      </c>
      <c r="K8146" s="317"/>
    </row>
    <row r="8147">
      <c r="B8147" s="223" t="s">
        <v>200</v>
      </c>
      <c r="C8147" s="223"/>
      <c r="D8147" s="316"/>
      <c r="H8147" s="223">
        <v>0.0</v>
      </c>
      <c r="K8147" s="317"/>
    </row>
    <row r="8148">
      <c r="B8148" s="223" t="s">
        <v>200</v>
      </c>
      <c r="C8148" s="223"/>
      <c r="D8148" s="316"/>
      <c r="H8148" s="223">
        <v>0.0</v>
      </c>
      <c r="K8148" s="317"/>
    </row>
    <row r="8149">
      <c r="B8149" s="223" t="s">
        <v>200</v>
      </c>
      <c r="C8149" s="223"/>
      <c r="D8149" s="316"/>
      <c r="H8149" s="223">
        <v>0.0</v>
      </c>
      <c r="K8149" s="317"/>
    </row>
    <row r="8150">
      <c r="B8150" s="223" t="s">
        <v>200</v>
      </c>
      <c r="C8150" s="223"/>
      <c r="D8150" s="316"/>
      <c r="H8150" s="223">
        <v>0.0</v>
      </c>
      <c r="K8150" s="317"/>
    </row>
    <row r="8151">
      <c r="B8151" s="223" t="s">
        <v>200</v>
      </c>
      <c r="C8151" s="223"/>
      <c r="D8151" s="316"/>
      <c r="H8151" s="223">
        <v>0.0</v>
      </c>
      <c r="K8151" s="317"/>
    </row>
    <row r="8152">
      <c r="B8152" s="223" t="s">
        <v>200</v>
      </c>
      <c r="C8152" s="223"/>
      <c r="D8152" s="316"/>
      <c r="H8152" s="223">
        <v>0.0</v>
      </c>
      <c r="K8152" s="317"/>
    </row>
    <row r="8153">
      <c r="B8153" s="223" t="s">
        <v>200</v>
      </c>
      <c r="C8153" s="223"/>
      <c r="D8153" s="316"/>
      <c r="H8153" s="223">
        <v>0.0</v>
      </c>
      <c r="K8153" s="317"/>
    </row>
    <row r="8154">
      <c r="B8154" s="223" t="s">
        <v>200</v>
      </c>
      <c r="C8154" s="223"/>
      <c r="D8154" s="316"/>
      <c r="H8154" s="223">
        <v>0.0</v>
      </c>
      <c r="K8154" s="317"/>
    </row>
    <row r="8155">
      <c r="B8155" s="223" t="s">
        <v>200</v>
      </c>
      <c r="C8155" s="223"/>
      <c r="D8155" s="316"/>
      <c r="H8155" s="223">
        <v>0.0</v>
      </c>
      <c r="K8155" s="317"/>
    </row>
    <row r="8156">
      <c r="B8156" s="223" t="s">
        <v>200</v>
      </c>
      <c r="C8156" s="223"/>
      <c r="D8156" s="316"/>
      <c r="H8156" s="223">
        <v>0.0</v>
      </c>
      <c r="K8156" s="317"/>
    </row>
    <row r="8157">
      <c r="B8157" s="223" t="s">
        <v>200</v>
      </c>
      <c r="C8157" s="223"/>
      <c r="D8157" s="316"/>
      <c r="H8157" s="223">
        <v>0.0</v>
      </c>
      <c r="K8157" s="317"/>
    </row>
    <row r="8158">
      <c r="B8158" s="223" t="s">
        <v>200</v>
      </c>
      <c r="C8158" s="223"/>
      <c r="D8158" s="316"/>
      <c r="H8158" s="223">
        <v>0.0</v>
      </c>
      <c r="K8158" s="317"/>
    </row>
    <row r="8159">
      <c r="B8159" s="223" t="s">
        <v>200</v>
      </c>
      <c r="C8159" s="223"/>
      <c r="D8159" s="316"/>
      <c r="H8159" s="223">
        <v>0.0</v>
      </c>
      <c r="K8159" s="317"/>
    </row>
    <row r="8160">
      <c r="B8160" s="223" t="s">
        <v>200</v>
      </c>
      <c r="C8160" s="223"/>
      <c r="D8160" s="316"/>
      <c r="H8160" s="223">
        <v>0.0</v>
      </c>
      <c r="K8160" s="317"/>
    </row>
    <row r="8161">
      <c r="B8161" s="223" t="s">
        <v>200</v>
      </c>
      <c r="C8161" s="223"/>
      <c r="D8161" s="316"/>
      <c r="H8161" s="223">
        <v>0.0</v>
      </c>
      <c r="K8161" s="317"/>
    </row>
    <row r="8162">
      <c r="B8162" s="223" t="s">
        <v>200</v>
      </c>
      <c r="C8162" s="223"/>
      <c r="D8162" s="316"/>
      <c r="H8162" s="223">
        <v>0.0</v>
      </c>
      <c r="K8162" s="317"/>
    </row>
    <row r="8163">
      <c r="B8163" s="223" t="s">
        <v>200</v>
      </c>
      <c r="C8163" s="223"/>
      <c r="D8163" s="316"/>
      <c r="H8163" s="223">
        <v>0.0</v>
      </c>
      <c r="K8163" s="317"/>
    </row>
    <row r="8164">
      <c r="B8164" s="223" t="s">
        <v>200</v>
      </c>
      <c r="C8164" s="223"/>
      <c r="D8164" s="316"/>
      <c r="H8164" s="223">
        <v>0.0</v>
      </c>
      <c r="K8164" s="317"/>
    </row>
    <row r="8165">
      <c r="B8165" s="223" t="s">
        <v>200</v>
      </c>
      <c r="C8165" s="223"/>
      <c r="D8165" s="316"/>
      <c r="H8165" s="223">
        <v>0.0</v>
      </c>
      <c r="K8165" s="317"/>
    </row>
    <row r="8166">
      <c r="B8166" s="223" t="s">
        <v>200</v>
      </c>
      <c r="C8166" s="223"/>
      <c r="D8166" s="316"/>
      <c r="H8166" s="223">
        <v>0.0</v>
      </c>
      <c r="K8166" s="317"/>
    </row>
    <row r="8167">
      <c r="B8167" s="223" t="s">
        <v>200</v>
      </c>
      <c r="C8167" s="223"/>
      <c r="D8167" s="316"/>
      <c r="H8167" s="223">
        <v>0.0</v>
      </c>
      <c r="K8167" s="317"/>
    </row>
    <row r="8168">
      <c r="B8168" s="223" t="s">
        <v>200</v>
      </c>
      <c r="C8168" s="223"/>
      <c r="D8168" s="316"/>
      <c r="H8168" s="223">
        <v>0.0</v>
      </c>
      <c r="K8168" s="317"/>
    </row>
    <row r="8169">
      <c r="B8169" s="223" t="s">
        <v>200</v>
      </c>
      <c r="C8169" s="223"/>
      <c r="D8169" s="316"/>
      <c r="H8169" s="223">
        <v>0.0</v>
      </c>
      <c r="K8169" s="317"/>
    </row>
    <row r="8170">
      <c r="B8170" s="223" t="s">
        <v>200</v>
      </c>
      <c r="C8170" s="223"/>
      <c r="D8170" s="316"/>
      <c r="H8170" s="223">
        <v>0.0</v>
      </c>
      <c r="K8170" s="317"/>
    </row>
    <row r="8171">
      <c r="B8171" s="223" t="s">
        <v>200</v>
      </c>
      <c r="C8171" s="223"/>
      <c r="D8171" s="316"/>
      <c r="H8171" s="223">
        <v>0.0</v>
      </c>
      <c r="K8171" s="317"/>
    </row>
    <row r="8172">
      <c r="B8172" s="223" t="s">
        <v>200</v>
      </c>
      <c r="C8172" s="223"/>
      <c r="D8172" s="316"/>
      <c r="H8172" s="223">
        <v>0.0</v>
      </c>
      <c r="K8172" s="317"/>
    </row>
    <row r="8173">
      <c r="B8173" s="223" t="s">
        <v>200</v>
      </c>
      <c r="C8173" s="223"/>
      <c r="D8173" s="316"/>
      <c r="H8173" s="223">
        <v>0.0</v>
      </c>
      <c r="K8173" s="317"/>
    </row>
    <row r="8174">
      <c r="B8174" s="223" t="s">
        <v>200</v>
      </c>
      <c r="C8174" s="223"/>
      <c r="D8174" s="316"/>
      <c r="H8174" s="223">
        <v>0.0</v>
      </c>
      <c r="K8174" s="317"/>
    </row>
    <row r="8175">
      <c r="B8175" s="223" t="s">
        <v>200</v>
      </c>
      <c r="C8175" s="223"/>
      <c r="D8175" s="316"/>
      <c r="H8175" s="223">
        <v>0.0</v>
      </c>
      <c r="K8175" s="317"/>
    </row>
    <row r="8176">
      <c r="B8176" s="223" t="s">
        <v>200</v>
      </c>
      <c r="C8176" s="223"/>
      <c r="D8176" s="316"/>
      <c r="H8176" s="223">
        <v>0.0</v>
      </c>
      <c r="K8176" s="317"/>
    </row>
    <row r="8177">
      <c r="B8177" s="223" t="s">
        <v>200</v>
      </c>
      <c r="C8177" s="223"/>
      <c r="D8177" s="316"/>
      <c r="H8177" s="223">
        <v>0.0</v>
      </c>
      <c r="K8177" s="317"/>
    </row>
    <row r="8178">
      <c r="B8178" s="223" t="s">
        <v>200</v>
      </c>
      <c r="C8178" s="223"/>
      <c r="D8178" s="316"/>
      <c r="H8178" s="223">
        <v>0.0</v>
      </c>
      <c r="K8178" s="317"/>
    </row>
    <row r="8179">
      <c r="B8179" s="223" t="s">
        <v>200</v>
      </c>
      <c r="C8179" s="223"/>
      <c r="D8179" s="316"/>
      <c r="H8179" s="223">
        <v>0.0</v>
      </c>
      <c r="K8179" s="317"/>
    </row>
    <row r="8180">
      <c r="B8180" s="223" t="s">
        <v>200</v>
      </c>
      <c r="C8180" s="223"/>
      <c r="D8180" s="316"/>
      <c r="H8180" s="223">
        <v>0.0</v>
      </c>
      <c r="K8180" s="317"/>
    </row>
    <row r="8181">
      <c r="B8181" s="223" t="s">
        <v>200</v>
      </c>
      <c r="C8181" s="223"/>
      <c r="D8181" s="316"/>
      <c r="H8181" s="223">
        <v>0.0</v>
      </c>
      <c r="K8181" s="317"/>
    </row>
    <row r="8182">
      <c r="B8182" s="223" t="s">
        <v>200</v>
      </c>
      <c r="C8182" s="223"/>
      <c r="D8182" s="316"/>
      <c r="H8182" s="223">
        <v>0.0</v>
      </c>
      <c r="K8182" s="317"/>
    </row>
    <row r="8183">
      <c r="B8183" s="223" t="s">
        <v>200</v>
      </c>
      <c r="C8183" s="223"/>
      <c r="D8183" s="316"/>
      <c r="H8183" s="223">
        <v>0.0</v>
      </c>
      <c r="K8183" s="317"/>
    </row>
    <row r="8184">
      <c r="B8184" s="223" t="s">
        <v>200</v>
      </c>
      <c r="C8184" s="223"/>
      <c r="D8184" s="316"/>
      <c r="H8184" s="223">
        <v>0.0</v>
      </c>
      <c r="K8184" s="317"/>
    </row>
    <row r="8185">
      <c r="B8185" s="223" t="s">
        <v>200</v>
      </c>
      <c r="C8185" s="223"/>
      <c r="D8185" s="316"/>
      <c r="H8185" s="223">
        <v>0.0</v>
      </c>
      <c r="K8185" s="317"/>
    </row>
    <row r="8186">
      <c r="B8186" s="223" t="s">
        <v>200</v>
      </c>
      <c r="C8186" s="223"/>
      <c r="D8186" s="316"/>
      <c r="H8186" s="223">
        <v>0.0</v>
      </c>
      <c r="K8186" s="317"/>
    </row>
    <row r="8187">
      <c r="B8187" s="223" t="s">
        <v>200</v>
      </c>
      <c r="C8187" s="223"/>
      <c r="D8187" s="316"/>
      <c r="H8187" s="223">
        <v>0.0</v>
      </c>
      <c r="K8187" s="317"/>
    </row>
    <row r="8188">
      <c r="B8188" s="223" t="s">
        <v>200</v>
      </c>
      <c r="C8188" s="223"/>
      <c r="D8188" s="316"/>
      <c r="H8188" s="223">
        <v>0.0</v>
      </c>
      <c r="K8188" s="317"/>
    </row>
    <row r="8189">
      <c r="B8189" s="223" t="s">
        <v>200</v>
      </c>
      <c r="C8189" s="223"/>
      <c r="D8189" s="316"/>
      <c r="H8189" s="223">
        <v>0.0</v>
      </c>
      <c r="K8189" s="317"/>
    </row>
    <row r="8190">
      <c r="B8190" s="223" t="s">
        <v>200</v>
      </c>
      <c r="C8190" s="223"/>
      <c r="D8190" s="316"/>
      <c r="H8190" s="223">
        <v>0.0</v>
      </c>
      <c r="K8190" s="317"/>
    </row>
    <row r="8191">
      <c r="B8191" s="223" t="s">
        <v>200</v>
      </c>
      <c r="C8191" s="223"/>
      <c r="D8191" s="316"/>
      <c r="H8191" s="223">
        <v>0.0</v>
      </c>
      <c r="K8191" s="317"/>
    </row>
    <row r="8192">
      <c r="B8192" s="223" t="s">
        <v>200</v>
      </c>
      <c r="C8192" s="223"/>
      <c r="D8192" s="316"/>
      <c r="H8192" s="223">
        <v>0.0</v>
      </c>
      <c r="K8192" s="317"/>
    </row>
    <row r="8193">
      <c r="B8193" s="223" t="s">
        <v>200</v>
      </c>
      <c r="C8193" s="223"/>
      <c r="D8193" s="316"/>
      <c r="H8193" s="223">
        <v>0.0</v>
      </c>
      <c r="K8193" s="317"/>
    </row>
    <row r="8194">
      <c r="B8194" s="223" t="s">
        <v>200</v>
      </c>
      <c r="C8194" s="223"/>
      <c r="D8194" s="316"/>
      <c r="H8194" s="223">
        <v>0.0</v>
      </c>
      <c r="K8194" s="317"/>
    </row>
    <row r="8195">
      <c r="B8195" s="223" t="s">
        <v>200</v>
      </c>
      <c r="C8195" s="223"/>
      <c r="D8195" s="316"/>
      <c r="H8195" s="223">
        <v>0.0</v>
      </c>
      <c r="K8195" s="317"/>
    </row>
    <row r="8196">
      <c r="B8196" s="223" t="s">
        <v>200</v>
      </c>
      <c r="C8196" s="223"/>
      <c r="D8196" s="316"/>
      <c r="H8196" s="223">
        <v>0.0</v>
      </c>
      <c r="K8196" s="317"/>
    </row>
    <row r="8197">
      <c r="B8197" s="223" t="s">
        <v>200</v>
      </c>
      <c r="C8197" s="223"/>
      <c r="D8197" s="316"/>
      <c r="H8197" s="223">
        <v>0.0</v>
      </c>
      <c r="K8197" s="317"/>
    </row>
    <row r="8198">
      <c r="B8198" s="223" t="s">
        <v>200</v>
      </c>
      <c r="C8198" s="223"/>
      <c r="D8198" s="316"/>
      <c r="H8198" s="223">
        <v>0.0</v>
      </c>
      <c r="K8198" s="317"/>
    </row>
    <row r="8199">
      <c r="B8199" s="223" t="s">
        <v>200</v>
      </c>
      <c r="C8199" s="223"/>
      <c r="D8199" s="316"/>
      <c r="H8199" s="223">
        <v>0.0</v>
      </c>
      <c r="K8199" s="317"/>
    </row>
    <row r="8200">
      <c r="B8200" s="223" t="s">
        <v>200</v>
      </c>
      <c r="C8200" s="223"/>
      <c r="D8200" s="316"/>
      <c r="H8200" s="223">
        <v>0.0</v>
      </c>
      <c r="K8200" s="317"/>
    </row>
    <row r="8201">
      <c r="B8201" s="223" t="s">
        <v>200</v>
      </c>
      <c r="C8201" s="223"/>
      <c r="D8201" s="316"/>
      <c r="H8201" s="223">
        <v>0.0</v>
      </c>
      <c r="K8201" s="317"/>
    </row>
    <row r="8202">
      <c r="B8202" s="223" t="s">
        <v>200</v>
      </c>
      <c r="C8202" s="223"/>
      <c r="D8202" s="316"/>
      <c r="H8202" s="223">
        <v>0.0</v>
      </c>
      <c r="K8202" s="317"/>
    </row>
    <row r="8203">
      <c r="B8203" s="223" t="s">
        <v>200</v>
      </c>
      <c r="C8203" s="223"/>
      <c r="D8203" s="316"/>
      <c r="H8203" s="223">
        <v>0.0</v>
      </c>
      <c r="K8203" s="317"/>
    </row>
    <row r="8204">
      <c r="B8204" s="223" t="s">
        <v>200</v>
      </c>
      <c r="C8204" s="223"/>
      <c r="D8204" s="316"/>
      <c r="H8204" s="223">
        <v>0.0</v>
      </c>
      <c r="K8204" s="317"/>
    </row>
    <row r="8205">
      <c r="B8205" s="223" t="s">
        <v>200</v>
      </c>
      <c r="C8205" s="223"/>
      <c r="D8205" s="316"/>
      <c r="H8205" s="223">
        <v>0.0</v>
      </c>
      <c r="K8205" s="317"/>
    </row>
    <row r="8206">
      <c r="B8206" s="223" t="s">
        <v>200</v>
      </c>
      <c r="C8206" s="223"/>
      <c r="D8206" s="316"/>
      <c r="H8206" s="223">
        <v>0.0</v>
      </c>
      <c r="K8206" s="317"/>
    </row>
    <row r="8207">
      <c r="B8207" s="223" t="s">
        <v>200</v>
      </c>
      <c r="C8207" s="223"/>
      <c r="D8207" s="316"/>
      <c r="H8207" s="223">
        <v>0.0</v>
      </c>
      <c r="K8207" s="317"/>
    </row>
    <row r="8208">
      <c r="B8208" s="223" t="s">
        <v>200</v>
      </c>
      <c r="C8208" s="223"/>
      <c r="D8208" s="316"/>
      <c r="H8208" s="223">
        <v>0.0</v>
      </c>
      <c r="K8208" s="317"/>
    </row>
    <row r="8209">
      <c r="B8209" s="223" t="s">
        <v>200</v>
      </c>
      <c r="C8209" s="223"/>
      <c r="D8209" s="316"/>
      <c r="H8209" s="223">
        <v>0.0</v>
      </c>
      <c r="K8209" s="317"/>
    </row>
    <row r="8210">
      <c r="B8210" s="223" t="s">
        <v>200</v>
      </c>
      <c r="C8210" s="223"/>
      <c r="D8210" s="316"/>
      <c r="H8210" s="223">
        <v>0.0</v>
      </c>
      <c r="K8210" s="317"/>
    </row>
    <row r="8211">
      <c r="B8211" s="223" t="s">
        <v>200</v>
      </c>
      <c r="C8211" s="223"/>
      <c r="D8211" s="316"/>
      <c r="H8211" s="223">
        <v>0.0</v>
      </c>
      <c r="K8211" s="317"/>
    </row>
    <row r="8212">
      <c r="B8212" s="223" t="s">
        <v>200</v>
      </c>
      <c r="C8212" s="223"/>
      <c r="D8212" s="316"/>
      <c r="H8212" s="223">
        <v>0.0</v>
      </c>
      <c r="K8212" s="317"/>
    </row>
    <row r="8213">
      <c r="B8213" s="223" t="s">
        <v>200</v>
      </c>
      <c r="C8213" s="223"/>
      <c r="D8213" s="316"/>
      <c r="H8213" s="223">
        <v>0.0</v>
      </c>
      <c r="K8213" s="317"/>
    </row>
    <row r="8214">
      <c r="B8214" s="223" t="s">
        <v>200</v>
      </c>
      <c r="C8214" s="223"/>
      <c r="D8214" s="316"/>
      <c r="H8214" s="223">
        <v>0.0</v>
      </c>
      <c r="K8214" s="317"/>
    </row>
    <row r="8215">
      <c r="B8215" s="223" t="s">
        <v>200</v>
      </c>
      <c r="C8215" s="223"/>
      <c r="D8215" s="316"/>
      <c r="H8215" s="223">
        <v>0.0</v>
      </c>
      <c r="K8215" s="317"/>
    </row>
    <row r="8216">
      <c r="B8216" s="223" t="s">
        <v>200</v>
      </c>
      <c r="C8216" s="223"/>
      <c r="D8216" s="316"/>
      <c r="H8216" s="223">
        <v>0.0</v>
      </c>
      <c r="K8216" s="317"/>
    </row>
    <row r="8217">
      <c r="B8217" s="223" t="s">
        <v>200</v>
      </c>
      <c r="C8217" s="223"/>
      <c r="D8217" s="316"/>
      <c r="H8217" s="223">
        <v>0.0</v>
      </c>
      <c r="K8217" s="317"/>
    </row>
    <row r="8218">
      <c r="B8218" s="223" t="s">
        <v>200</v>
      </c>
      <c r="C8218" s="223"/>
      <c r="D8218" s="316"/>
      <c r="H8218" s="223">
        <v>0.0</v>
      </c>
      <c r="K8218" s="317"/>
    </row>
    <row r="8219">
      <c r="B8219" s="223" t="s">
        <v>200</v>
      </c>
      <c r="C8219" s="223"/>
      <c r="D8219" s="316"/>
      <c r="H8219" s="223">
        <v>0.0</v>
      </c>
      <c r="K8219" s="317"/>
    </row>
    <row r="8220">
      <c r="B8220" s="223" t="s">
        <v>200</v>
      </c>
      <c r="C8220" s="223"/>
      <c r="D8220" s="316"/>
      <c r="H8220" s="223">
        <v>0.0</v>
      </c>
      <c r="K8220" s="317"/>
    </row>
    <row r="8221">
      <c r="B8221" s="223" t="s">
        <v>200</v>
      </c>
      <c r="C8221" s="223"/>
      <c r="D8221" s="316"/>
      <c r="H8221" s="223">
        <v>0.0</v>
      </c>
      <c r="K8221" s="317"/>
    </row>
    <row r="8222">
      <c r="B8222" s="223" t="s">
        <v>200</v>
      </c>
      <c r="C8222" s="223"/>
      <c r="D8222" s="316"/>
      <c r="H8222" s="223">
        <v>0.0</v>
      </c>
      <c r="K8222" s="317"/>
    </row>
    <row r="8223">
      <c r="B8223" s="223" t="s">
        <v>200</v>
      </c>
      <c r="C8223" s="223"/>
      <c r="D8223" s="316"/>
      <c r="H8223" s="223">
        <v>0.0</v>
      </c>
      <c r="K8223" s="317"/>
    </row>
    <row r="8224">
      <c r="B8224" s="223" t="s">
        <v>200</v>
      </c>
      <c r="C8224" s="223"/>
      <c r="D8224" s="316"/>
      <c r="H8224" s="223">
        <v>0.0</v>
      </c>
      <c r="K8224" s="317"/>
    </row>
    <row r="8225">
      <c r="B8225" s="223" t="s">
        <v>200</v>
      </c>
      <c r="C8225" s="223"/>
      <c r="D8225" s="316"/>
      <c r="H8225" s="223">
        <v>0.0</v>
      </c>
      <c r="K8225" s="317"/>
    </row>
    <row r="8226">
      <c r="B8226" s="223" t="s">
        <v>200</v>
      </c>
      <c r="C8226" s="223"/>
      <c r="D8226" s="316"/>
      <c r="H8226" s="223">
        <v>0.0</v>
      </c>
      <c r="K8226" s="317"/>
    </row>
    <row r="8227">
      <c r="B8227" s="223" t="s">
        <v>200</v>
      </c>
      <c r="C8227" s="223"/>
      <c r="D8227" s="316"/>
      <c r="H8227" s="223">
        <v>0.0</v>
      </c>
      <c r="K8227" s="317"/>
    </row>
    <row r="8228">
      <c r="B8228" s="223" t="s">
        <v>200</v>
      </c>
      <c r="C8228" s="223"/>
      <c r="D8228" s="316"/>
      <c r="H8228" s="223">
        <v>0.0</v>
      </c>
      <c r="K8228" s="317"/>
    </row>
    <row r="8229">
      <c r="B8229" s="223" t="s">
        <v>200</v>
      </c>
      <c r="C8229" s="223"/>
      <c r="D8229" s="316"/>
      <c r="H8229" s="223">
        <v>0.0</v>
      </c>
      <c r="K8229" s="317"/>
    </row>
    <row r="8230">
      <c r="B8230" s="223" t="s">
        <v>200</v>
      </c>
      <c r="C8230" s="223"/>
      <c r="D8230" s="316"/>
      <c r="H8230" s="223">
        <v>0.0</v>
      </c>
      <c r="K8230" s="317"/>
    </row>
    <row r="8231">
      <c r="B8231" s="223" t="s">
        <v>200</v>
      </c>
      <c r="C8231" s="223"/>
      <c r="D8231" s="316"/>
      <c r="H8231" s="223">
        <v>0.0</v>
      </c>
      <c r="K8231" s="317"/>
    </row>
    <row r="8232">
      <c r="B8232" s="223" t="s">
        <v>200</v>
      </c>
      <c r="C8232" s="223"/>
      <c r="D8232" s="316"/>
      <c r="H8232" s="223">
        <v>0.0</v>
      </c>
      <c r="K8232" s="317"/>
    </row>
    <row r="8233">
      <c r="B8233" s="223" t="s">
        <v>200</v>
      </c>
      <c r="C8233" s="223"/>
      <c r="D8233" s="316"/>
      <c r="H8233" s="223">
        <v>0.0</v>
      </c>
      <c r="K8233" s="317"/>
    </row>
    <row r="8234">
      <c r="B8234" s="223" t="s">
        <v>200</v>
      </c>
      <c r="C8234" s="223"/>
      <c r="D8234" s="316"/>
      <c r="H8234" s="223">
        <v>0.0</v>
      </c>
      <c r="K8234" s="317"/>
    </row>
    <row r="8235">
      <c r="B8235" s="223" t="s">
        <v>200</v>
      </c>
      <c r="C8235" s="223"/>
      <c r="D8235" s="316"/>
      <c r="H8235" s="223">
        <v>0.0</v>
      </c>
      <c r="K8235" s="317"/>
    </row>
    <row r="8236">
      <c r="B8236" s="223" t="s">
        <v>200</v>
      </c>
      <c r="C8236" s="223"/>
      <c r="D8236" s="316"/>
      <c r="H8236" s="223">
        <v>0.0</v>
      </c>
      <c r="K8236" s="317"/>
    </row>
    <row r="8237">
      <c r="B8237" s="223" t="s">
        <v>200</v>
      </c>
      <c r="C8237" s="223"/>
      <c r="D8237" s="316"/>
      <c r="H8237" s="223">
        <v>0.0</v>
      </c>
      <c r="K8237" s="317"/>
    </row>
    <row r="8238">
      <c r="B8238" s="223" t="s">
        <v>200</v>
      </c>
      <c r="C8238" s="223"/>
      <c r="D8238" s="316"/>
      <c r="H8238" s="223">
        <v>0.0</v>
      </c>
      <c r="K8238" s="317"/>
    </row>
    <row r="8239">
      <c r="B8239" s="223" t="s">
        <v>200</v>
      </c>
      <c r="C8239" s="223"/>
      <c r="D8239" s="316"/>
      <c r="H8239" s="223">
        <v>0.0</v>
      </c>
      <c r="K8239" s="317"/>
    </row>
    <row r="8240">
      <c r="B8240" s="223" t="s">
        <v>200</v>
      </c>
      <c r="C8240" s="223"/>
      <c r="D8240" s="316"/>
      <c r="H8240" s="223">
        <v>0.0</v>
      </c>
      <c r="K8240" s="317"/>
    </row>
    <row r="8241">
      <c r="B8241" s="223" t="s">
        <v>200</v>
      </c>
      <c r="C8241" s="223"/>
      <c r="D8241" s="316"/>
      <c r="H8241" s="223">
        <v>0.0</v>
      </c>
      <c r="K8241" s="317"/>
    </row>
    <row r="8242">
      <c r="B8242" s="223" t="s">
        <v>200</v>
      </c>
      <c r="C8242" s="223"/>
      <c r="D8242" s="316"/>
      <c r="H8242" s="223">
        <v>0.0</v>
      </c>
      <c r="K8242" s="317"/>
    </row>
    <row r="8243">
      <c r="B8243" s="223" t="s">
        <v>200</v>
      </c>
      <c r="C8243" s="223"/>
      <c r="D8243" s="316"/>
      <c r="H8243" s="223">
        <v>0.0</v>
      </c>
      <c r="K8243" s="317"/>
    </row>
    <row r="8244">
      <c r="B8244" s="223" t="s">
        <v>200</v>
      </c>
      <c r="C8244" s="223"/>
      <c r="D8244" s="316"/>
      <c r="H8244" s="223">
        <v>0.0</v>
      </c>
      <c r="K8244" s="317"/>
    </row>
    <row r="8245">
      <c r="B8245" s="223" t="s">
        <v>200</v>
      </c>
      <c r="C8245" s="223"/>
      <c r="D8245" s="316"/>
      <c r="H8245" s="223">
        <v>0.0</v>
      </c>
      <c r="K8245" s="317"/>
    </row>
    <row r="8246">
      <c r="B8246" s="223" t="s">
        <v>200</v>
      </c>
      <c r="C8246" s="223"/>
      <c r="D8246" s="316"/>
      <c r="H8246" s="223">
        <v>0.0</v>
      </c>
      <c r="K8246" s="317"/>
    </row>
    <row r="8247">
      <c r="B8247" s="223" t="s">
        <v>200</v>
      </c>
      <c r="C8247" s="223"/>
      <c r="D8247" s="316"/>
      <c r="H8247" s="223">
        <v>0.0</v>
      </c>
      <c r="K8247" s="317"/>
    </row>
    <row r="8248">
      <c r="B8248" s="223" t="s">
        <v>200</v>
      </c>
      <c r="C8248" s="223"/>
      <c r="D8248" s="316"/>
      <c r="H8248" s="223">
        <v>0.0</v>
      </c>
      <c r="K8248" s="317"/>
    </row>
    <row r="8249">
      <c r="B8249" s="223" t="s">
        <v>200</v>
      </c>
      <c r="C8249" s="223"/>
      <c r="D8249" s="316"/>
      <c r="H8249" s="223">
        <v>0.0</v>
      </c>
      <c r="K8249" s="317"/>
    </row>
    <row r="8250">
      <c r="B8250" s="223" t="s">
        <v>200</v>
      </c>
      <c r="C8250" s="223"/>
      <c r="D8250" s="316"/>
      <c r="H8250" s="223">
        <v>0.0</v>
      </c>
      <c r="K8250" s="317"/>
    </row>
    <row r="8251">
      <c r="B8251" s="223" t="s">
        <v>200</v>
      </c>
      <c r="C8251" s="223"/>
      <c r="D8251" s="316"/>
      <c r="H8251" s="223">
        <v>0.0</v>
      </c>
      <c r="K8251" s="317"/>
    </row>
    <row r="8252">
      <c r="B8252" s="223" t="s">
        <v>200</v>
      </c>
      <c r="C8252" s="223"/>
      <c r="D8252" s="316"/>
      <c r="H8252" s="223">
        <v>0.0</v>
      </c>
      <c r="K8252" s="317"/>
    </row>
    <row r="8253">
      <c r="B8253" s="223" t="s">
        <v>200</v>
      </c>
      <c r="C8253" s="223"/>
      <c r="D8253" s="316"/>
      <c r="H8253" s="223">
        <v>0.0</v>
      </c>
      <c r="K8253" s="317"/>
    </row>
    <row r="8254">
      <c r="B8254" s="223" t="s">
        <v>200</v>
      </c>
      <c r="C8254" s="223"/>
      <c r="D8254" s="316"/>
      <c r="H8254" s="223">
        <v>0.0</v>
      </c>
      <c r="K8254" s="317"/>
    </row>
    <row r="8255">
      <c r="B8255" s="223" t="s">
        <v>200</v>
      </c>
      <c r="C8255" s="223"/>
      <c r="D8255" s="316"/>
      <c r="H8255" s="223">
        <v>0.0</v>
      </c>
      <c r="K8255" s="317"/>
    </row>
    <row r="8256">
      <c r="B8256" s="223" t="s">
        <v>200</v>
      </c>
      <c r="C8256" s="223"/>
      <c r="D8256" s="316"/>
      <c r="H8256" s="223">
        <v>0.0</v>
      </c>
      <c r="K8256" s="317"/>
    </row>
    <row r="8257">
      <c r="B8257" s="223" t="s">
        <v>200</v>
      </c>
      <c r="C8257" s="223"/>
      <c r="D8257" s="316"/>
      <c r="H8257" s="223">
        <v>0.0</v>
      </c>
      <c r="K8257" s="317"/>
    </row>
    <row r="8258">
      <c r="B8258" s="223" t="s">
        <v>200</v>
      </c>
      <c r="C8258" s="223"/>
      <c r="D8258" s="316"/>
      <c r="H8258" s="223">
        <v>0.0</v>
      </c>
      <c r="K8258" s="317"/>
    </row>
    <row r="8259">
      <c r="B8259" s="223" t="s">
        <v>200</v>
      </c>
      <c r="C8259" s="223"/>
      <c r="D8259" s="316"/>
      <c r="H8259" s="223">
        <v>0.0</v>
      </c>
      <c r="K8259" s="317"/>
    </row>
    <row r="8260">
      <c r="B8260" s="223" t="s">
        <v>200</v>
      </c>
      <c r="C8260" s="223"/>
      <c r="D8260" s="316"/>
      <c r="H8260" s="223">
        <v>0.0</v>
      </c>
      <c r="K8260" s="317"/>
    </row>
    <row r="8261">
      <c r="B8261" s="223" t="s">
        <v>200</v>
      </c>
      <c r="C8261" s="223"/>
      <c r="D8261" s="316"/>
      <c r="H8261" s="223">
        <v>0.0</v>
      </c>
      <c r="K8261" s="317"/>
    </row>
    <row r="8262">
      <c r="B8262" s="223" t="s">
        <v>200</v>
      </c>
      <c r="C8262" s="223"/>
      <c r="D8262" s="316"/>
      <c r="H8262" s="223">
        <v>0.0</v>
      </c>
      <c r="K8262" s="317"/>
    </row>
    <row r="8263">
      <c r="B8263" s="223" t="s">
        <v>200</v>
      </c>
      <c r="C8263" s="223"/>
      <c r="D8263" s="316"/>
      <c r="H8263" s="223">
        <v>0.0</v>
      </c>
      <c r="K8263" s="317"/>
    </row>
    <row r="8264">
      <c r="B8264" s="223" t="s">
        <v>200</v>
      </c>
      <c r="C8264" s="223"/>
      <c r="D8264" s="316"/>
      <c r="H8264" s="223">
        <v>0.0</v>
      </c>
      <c r="K8264" s="317"/>
    </row>
    <row r="8265">
      <c r="B8265" s="223" t="s">
        <v>200</v>
      </c>
      <c r="C8265" s="223"/>
      <c r="D8265" s="316"/>
      <c r="H8265" s="223">
        <v>0.0</v>
      </c>
      <c r="K8265" s="317"/>
    </row>
    <row r="8266">
      <c r="B8266" s="223" t="s">
        <v>200</v>
      </c>
      <c r="C8266" s="223"/>
      <c r="D8266" s="316"/>
      <c r="H8266" s="223">
        <v>0.0</v>
      </c>
      <c r="K8266" s="317"/>
    </row>
    <row r="8267">
      <c r="B8267" s="223" t="s">
        <v>200</v>
      </c>
      <c r="C8267" s="223"/>
      <c r="D8267" s="316"/>
      <c r="H8267" s="223">
        <v>0.0</v>
      </c>
      <c r="K8267" s="317"/>
    </row>
    <row r="8268">
      <c r="B8268" s="223" t="s">
        <v>200</v>
      </c>
      <c r="C8268" s="223"/>
      <c r="D8268" s="316"/>
      <c r="H8268" s="223">
        <v>0.0</v>
      </c>
      <c r="K8268" s="317"/>
    </row>
    <row r="8269">
      <c r="B8269" s="223" t="s">
        <v>200</v>
      </c>
      <c r="C8269" s="223"/>
      <c r="D8269" s="316"/>
      <c r="H8269" s="223">
        <v>0.0</v>
      </c>
      <c r="K8269" s="317"/>
    </row>
    <row r="8270">
      <c r="B8270" s="223" t="s">
        <v>200</v>
      </c>
      <c r="C8270" s="223"/>
      <c r="D8270" s="316"/>
      <c r="H8270" s="223">
        <v>0.0</v>
      </c>
      <c r="K8270" s="317"/>
    </row>
    <row r="8271">
      <c r="B8271" s="223" t="s">
        <v>200</v>
      </c>
      <c r="C8271" s="223"/>
      <c r="D8271" s="316"/>
      <c r="H8271" s="223">
        <v>0.0</v>
      </c>
      <c r="K8271" s="317"/>
    </row>
    <row r="8272">
      <c r="B8272" s="223" t="s">
        <v>200</v>
      </c>
      <c r="C8272" s="223"/>
      <c r="D8272" s="316"/>
      <c r="H8272" s="223">
        <v>0.0</v>
      </c>
      <c r="K8272" s="317"/>
    </row>
    <row r="8273">
      <c r="B8273" s="223" t="s">
        <v>200</v>
      </c>
      <c r="C8273" s="223"/>
      <c r="D8273" s="316"/>
      <c r="H8273" s="223">
        <v>0.0</v>
      </c>
      <c r="K8273" s="317"/>
    </row>
    <row r="8274">
      <c r="B8274" s="223" t="s">
        <v>200</v>
      </c>
      <c r="C8274" s="223"/>
      <c r="D8274" s="316"/>
      <c r="H8274" s="223">
        <v>0.0</v>
      </c>
      <c r="K8274" s="317"/>
    </row>
    <row r="8275">
      <c r="B8275" s="223" t="s">
        <v>200</v>
      </c>
      <c r="C8275" s="223"/>
      <c r="D8275" s="316"/>
      <c r="H8275" s="223">
        <v>0.0</v>
      </c>
      <c r="K8275" s="317"/>
    </row>
    <row r="8276">
      <c r="B8276" s="223" t="s">
        <v>200</v>
      </c>
      <c r="C8276" s="223"/>
      <c r="D8276" s="316"/>
      <c r="H8276" s="223">
        <v>0.0</v>
      </c>
      <c r="K8276" s="317"/>
    </row>
    <row r="8277">
      <c r="B8277" s="223" t="s">
        <v>200</v>
      </c>
      <c r="C8277" s="223"/>
      <c r="D8277" s="316"/>
      <c r="H8277" s="223">
        <v>0.0</v>
      </c>
      <c r="K8277" s="317"/>
    </row>
    <row r="8278">
      <c r="B8278" s="223" t="s">
        <v>200</v>
      </c>
      <c r="C8278" s="223"/>
      <c r="D8278" s="316"/>
      <c r="H8278" s="223">
        <v>0.0</v>
      </c>
      <c r="K8278" s="317"/>
    </row>
    <row r="8279">
      <c r="B8279" s="223" t="s">
        <v>200</v>
      </c>
      <c r="C8279" s="223"/>
      <c r="D8279" s="316"/>
      <c r="H8279" s="223">
        <v>0.0</v>
      </c>
      <c r="K8279" s="317"/>
    </row>
    <row r="8280">
      <c r="B8280" s="223" t="s">
        <v>200</v>
      </c>
      <c r="C8280" s="223"/>
      <c r="D8280" s="316"/>
      <c r="H8280" s="223">
        <v>0.0</v>
      </c>
      <c r="K8280" s="317"/>
    </row>
    <row r="8281">
      <c r="B8281" s="223" t="s">
        <v>200</v>
      </c>
      <c r="C8281" s="223"/>
      <c r="D8281" s="316"/>
      <c r="H8281" s="223">
        <v>0.0</v>
      </c>
      <c r="K8281" s="317"/>
    </row>
    <row r="8282">
      <c r="B8282" s="223" t="s">
        <v>200</v>
      </c>
      <c r="C8282" s="223"/>
      <c r="D8282" s="316"/>
      <c r="H8282" s="223">
        <v>0.0</v>
      </c>
      <c r="K8282" s="317"/>
    </row>
    <row r="8283">
      <c r="B8283" s="223" t="s">
        <v>200</v>
      </c>
      <c r="C8283" s="223"/>
      <c r="D8283" s="316"/>
      <c r="H8283" s="223">
        <v>0.0</v>
      </c>
      <c r="K8283" s="317"/>
    </row>
    <row r="8284">
      <c r="B8284" s="223" t="s">
        <v>200</v>
      </c>
      <c r="C8284" s="223"/>
      <c r="D8284" s="316"/>
      <c r="H8284" s="223">
        <v>0.0</v>
      </c>
      <c r="K8284" s="317"/>
    </row>
    <row r="8285">
      <c r="B8285" s="223" t="s">
        <v>200</v>
      </c>
      <c r="C8285" s="223"/>
      <c r="D8285" s="316"/>
      <c r="H8285" s="223">
        <v>0.0</v>
      </c>
      <c r="K8285" s="317"/>
    </row>
    <row r="8286">
      <c r="B8286" s="223" t="s">
        <v>200</v>
      </c>
      <c r="C8286" s="223"/>
      <c r="D8286" s="316"/>
      <c r="H8286" s="223">
        <v>0.0</v>
      </c>
      <c r="K8286" s="317"/>
    </row>
    <row r="8287">
      <c r="B8287" s="223" t="s">
        <v>200</v>
      </c>
      <c r="C8287" s="223"/>
      <c r="D8287" s="316"/>
      <c r="H8287" s="223">
        <v>0.0</v>
      </c>
      <c r="K8287" s="317"/>
    </row>
    <row r="8288">
      <c r="B8288" s="223" t="s">
        <v>200</v>
      </c>
      <c r="C8288" s="223"/>
      <c r="D8288" s="316"/>
      <c r="H8288" s="223">
        <v>0.0</v>
      </c>
      <c r="K8288" s="317"/>
    </row>
    <row r="8289">
      <c r="B8289" s="223" t="s">
        <v>200</v>
      </c>
      <c r="C8289" s="223"/>
      <c r="D8289" s="316"/>
      <c r="H8289" s="223">
        <v>0.0</v>
      </c>
      <c r="K8289" s="317"/>
    </row>
    <row r="8290">
      <c r="B8290" s="223" t="s">
        <v>200</v>
      </c>
      <c r="C8290" s="223"/>
      <c r="D8290" s="316"/>
      <c r="H8290" s="223">
        <v>0.0</v>
      </c>
      <c r="K8290" s="317"/>
    </row>
    <row r="8291">
      <c r="B8291" s="223" t="s">
        <v>200</v>
      </c>
      <c r="C8291" s="223"/>
      <c r="D8291" s="316"/>
      <c r="H8291" s="223">
        <v>0.0</v>
      </c>
      <c r="K8291" s="317"/>
    </row>
    <row r="8292">
      <c r="B8292" s="223" t="s">
        <v>200</v>
      </c>
      <c r="C8292" s="223"/>
      <c r="D8292" s="316"/>
      <c r="H8292" s="223">
        <v>0.0</v>
      </c>
      <c r="K8292" s="317"/>
    </row>
    <row r="8293">
      <c r="B8293" s="223" t="s">
        <v>200</v>
      </c>
      <c r="C8293" s="223"/>
      <c r="D8293" s="316"/>
      <c r="H8293" s="223">
        <v>0.0</v>
      </c>
      <c r="K8293" s="317"/>
    </row>
    <row r="8294">
      <c r="B8294" s="223" t="s">
        <v>200</v>
      </c>
      <c r="C8294" s="223"/>
      <c r="D8294" s="316"/>
      <c r="H8294" s="223">
        <v>0.0</v>
      </c>
      <c r="K8294" s="317"/>
    </row>
    <row r="8295">
      <c r="B8295" s="223" t="s">
        <v>200</v>
      </c>
      <c r="C8295" s="223"/>
      <c r="D8295" s="316"/>
      <c r="H8295" s="223">
        <v>0.0</v>
      </c>
      <c r="K8295" s="317"/>
    </row>
    <row r="8296">
      <c r="B8296" s="223" t="s">
        <v>200</v>
      </c>
      <c r="C8296" s="223"/>
      <c r="D8296" s="316"/>
      <c r="H8296" s="223">
        <v>0.0</v>
      </c>
      <c r="K8296" s="317"/>
    </row>
    <row r="8297">
      <c r="B8297" s="223" t="s">
        <v>200</v>
      </c>
      <c r="C8297" s="223"/>
      <c r="D8297" s="316"/>
      <c r="H8297" s="223">
        <v>0.0</v>
      </c>
      <c r="K8297" s="317"/>
    </row>
    <row r="8298">
      <c r="B8298" s="223" t="s">
        <v>200</v>
      </c>
      <c r="C8298" s="223"/>
      <c r="D8298" s="316"/>
      <c r="H8298" s="223">
        <v>0.0</v>
      </c>
      <c r="K8298" s="317"/>
    </row>
    <row r="8299">
      <c r="B8299" s="223" t="s">
        <v>200</v>
      </c>
      <c r="C8299" s="223"/>
      <c r="D8299" s="316"/>
      <c r="H8299" s="223">
        <v>0.0</v>
      </c>
      <c r="K8299" s="317"/>
    </row>
    <row r="8300">
      <c r="B8300" s="223" t="s">
        <v>200</v>
      </c>
      <c r="C8300" s="223"/>
      <c r="D8300" s="316"/>
      <c r="H8300" s="223">
        <v>0.0</v>
      </c>
      <c r="K8300" s="317"/>
    </row>
    <row r="8301">
      <c r="B8301" s="223" t="s">
        <v>200</v>
      </c>
      <c r="C8301" s="223"/>
      <c r="D8301" s="316"/>
      <c r="H8301" s="223">
        <v>0.0</v>
      </c>
      <c r="K8301" s="317"/>
    </row>
    <row r="8302">
      <c r="B8302" s="223" t="s">
        <v>200</v>
      </c>
      <c r="C8302" s="223"/>
      <c r="D8302" s="316"/>
      <c r="H8302" s="223">
        <v>0.0</v>
      </c>
      <c r="K8302" s="317"/>
    </row>
    <row r="8303">
      <c r="B8303" s="223" t="s">
        <v>200</v>
      </c>
      <c r="C8303" s="223"/>
      <c r="D8303" s="316"/>
      <c r="H8303" s="223">
        <v>0.0</v>
      </c>
      <c r="K8303" s="317"/>
    </row>
    <row r="8304">
      <c r="B8304" s="223" t="s">
        <v>200</v>
      </c>
      <c r="C8304" s="223"/>
      <c r="D8304" s="316"/>
      <c r="H8304" s="223">
        <v>0.0</v>
      </c>
      <c r="K8304" s="317"/>
    </row>
    <row r="8305">
      <c r="B8305" s="223" t="s">
        <v>200</v>
      </c>
      <c r="C8305" s="223"/>
      <c r="D8305" s="316"/>
      <c r="H8305" s="223">
        <v>0.0</v>
      </c>
      <c r="K8305" s="317"/>
    </row>
    <row r="8306">
      <c r="B8306" s="223" t="s">
        <v>200</v>
      </c>
      <c r="C8306" s="223"/>
      <c r="D8306" s="316"/>
      <c r="H8306" s="223">
        <v>0.0</v>
      </c>
      <c r="K8306" s="317"/>
    </row>
    <row r="8307">
      <c r="B8307" s="223" t="s">
        <v>200</v>
      </c>
      <c r="C8307" s="223"/>
      <c r="D8307" s="316"/>
      <c r="H8307" s="223">
        <v>0.0</v>
      </c>
      <c r="K8307" s="317"/>
    </row>
    <row r="8308">
      <c r="B8308" s="223" t="s">
        <v>200</v>
      </c>
      <c r="C8308" s="223"/>
      <c r="D8308" s="316"/>
      <c r="H8308" s="223">
        <v>0.0</v>
      </c>
      <c r="K8308" s="317"/>
    </row>
    <row r="8309">
      <c r="B8309" s="223" t="s">
        <v>200</v>
      </c>
      <c r="C8309" s="223"/>
      <c r="D8309" s="316"/>
      <c r="H8309" s="223">
        <v>0.0</v>
      </c>
      <c r="K8309" s="317"/>
    </row>
    <row r="8310">
      <c r="B8310" s="223" t="s">
        <v>200</v>
      </c>
      <c r="C8310" s="223"/>
      <c r="D8310" s="316"/>
      <c r="H8310" s="223">
        <v>0.0</v>
      </c>
      <c r="K8310" s="317"/>
    </row>
    <row r="8311">
      <c r="B8311" s="223" t="s">
        <v>200</v>
      </c>
      <c r="C8311" s="223"/>
      <c r="D8311" s="316"/>
      <c r="H8311" s="223">
        <v>0.0</v>
      </c>
      <c r="K8311" s="317"/>
    </row>
    <row r="8312">
      <c r="B8312" s="223" t="s">
        <v>200</v>
      </c>
      <c r="C8312" s="223"/>
      <c r="D8312" s="316"/>
      <c r="H8312" s="223">
        <v>0.0</v>
      </c>
      <c r="K8312" s="317"/>
    </row>
    <row r="8313">
      <c r="B8313" s="223" t="s">
        <v>200</v>
      </c>
      <c r="C8313" s="223"/>
      <c r="D8313" s="316"/>
      <c r="H8313" s="223">
        <v>0.0</v>
      </c>
      <c r="K8313" s="317"/>
    </row>
    <row r="8314">
      <c r="B8314" s="223" t="s">
        <v>200</v>
      </c>
      <c r="C8314" s="223"/>
      <c r="D8314" s="316"/>
      <c r="H8314" s="223">
        <v>0.0</v>
      </c>
      <c r="K8314" s="317"/>
    </row>
    <row r="8315">
      <c r="B8315" s="223" t="s">
        <v>200</v>
      </c>
      <c r="C8315" s="223"/>
      <c r="D8315" s="316"/>
      <c r="H8315" s="223">
        <v>0.0</v>
      </c>
      <c r="K8315" s="317"/>
    </row>
    <row r="8316">
      <c r="B8316" s="223" t="s">
        <v>200</v>
      </c>
      <c r="C8316" s="223"/>
      <c r="D8316" s="316"/>
      <c r="H8316" s="223">
        <v>0.0</v>
      </c>
      <c r="K8316" s="317"/>
    </row>
    <row r="8317">
      <c r="B8317" s="223" t="s">
        <v>200</v>
      </c>
      <c r="C8317" s="223"/>
      <c r="D8317" s="316"/>
      <c r="H8317" s="223">
        <v>0.0</v>
      </c>
      <c r="K8317" s="317"/>
    </row>
    <row r="8318">
      <c r="B8318" s="223" t="s">
        <v>200</v>
      </c>
      <c r="C8318" s="223"/>
      <c r="D8318" s="316"/>
      <c r="H8318" s="223">
        <v>0.0</v>
      </c>
      <c r="K8318" s="317"/>
    </row>
    <row r="8319">
      <c r="B8319" s="223" t="s">
        <v>200</v>
      </c>
      <c r="C8319" s="223"/>
      <c r="D8319" s="316"/>
      <c r="H8319" s="223">
        <v>0.0</v>
      </c>
      <c r="K8319" s="317"/>
    </row>
    <row r="8320">
      <c r="B8320" s="223" t="s">
        <v>200</v>
      </c>
      <c r="C8320" s="223"/>
      <c r="D8320" s="316"/>
      <c r="H8320" s="223">
        <v>0.0</v>
      </c>
      <c r="K8320" s="317"/>
    </row>
    <row r="8321">
      <c r="B8321" s="223" t="s">
        <v>200</v>
      </c>
      <c r="C8321" s="223"/>
      <c r="D8321" s="316"/>
      <c r="H8321" s="223">
        <v>0.0</v>
      </c>
      <c r="K8321" s="317"/>
    </row>
    <row r="8322">
      <c r="B8322" s="223" t="s">
        <v>200</v>
      </c>
      <c r="C8322" s="223"/>
      <c r="D8322" s="316"/>
      <c r="H8322" s="223">
        <v>0.0</v>
      </c>
      <c r="K8322" s="317"/>
    </row>
    <row r="8323">
      <c r="B8323" s="223" t="s">
        <v>200</v>
      </c>
      <c r="C8323" s="223"/>
      <c r="D8323" s="316"/>
      <c r="H8323" s="223">
        <v>0.0</v>
      </c>
      <c r="K8323" s="317"/>
    </row>
    <row r="8324">
      <c r="B8324" s="223" t="s">
        <v>200</v>
      </c>
      <c r="C8324" s="223"/>
      <c r="D8324" s="316"/>
      <c r="H8324" s="223">
        <v>0.0</v>
      </c>
      <c r="K8324" s="317"/>
    </row>
    <row r="8325">
      <c r="B8325" s="223" t="s">
        <v>200</v>
      </c>
      <c r="C8325" s="223"/>
      <c r="D8325" s="316"/>
      <c r="H8325" s="223">
        <v>0.0</v>
      </c>
      <c r="K8325" s="317"/>
    </row>
    <row r="8326">
      <c r="B8326" s="223" t="s">
        <v>200</v>
      </c>
      <c r="C8326" s="223"/>
      <c r="D8326" s="316"/>
      <c r="H8326" s="223">
        <v>0.0</v>
      </c>
      <c r="K8326" s="317"/>
    </row>
    <row r="8327">
      <c r="B8327" s="223" t="s">
        <v>200</v>
      </c>
      <c r="C8327" s="223"/>
      <c r="D8327" s="316"/>
      <c r="H8327" s="223">
        <v>0.0</v>
      </c>
      <c r="K8327" s="317"/>
    </row>
    <row r="8328">
      <c r="B8328" s="223" t="s">
        <v>200</v>
      </c>
      <c r="C8328" s="223"/>
      <c r="D8328" s="316"/>
      <c r="H8328" s="223">
        <v>0.0</v>
      </c>
      <c r="K8328" s="317"/>
    </row>
    <row r="8329">
      <c r="B8329" s="223" t="s">
        <v>200</v>
      </c>
      <c r="C8329" s="223"/>
      <c r="D8329" s="316"/>
      <c r="H8329" s="223">
        <v>0.0</v>
      </c>
      <c r="K8329" s="317"/>
    </row>
    <row r="8330">
      <c r="B8330" s="223" t="s">
        <v>200</v>
      </c>
      <c r="C8330" s="223"/>
      <c r="D8330" s="316"/>
      <c r="H8330" s="223">
        <v>0.0</v>
      </c>
      <c r="K8330" s="317"/>
    </row>
    <row r="8331">
      <c r="B8331" s="223" t="s">
        <v>200</v>
      </c>
      <c r="C8331" s="223"/>
      <c r="D8331" s="316"/>
      <c r="H8331" s="223">
        <v>0.0</v>
      </c>
      <c r="K8331" s="317"/>
    </row>
    <row r="8332">
      <c r="B8332" s="223" t="s">
        <v>200</v>
      </c>
      <c r="C8332" s="223"/>
      <c r="D8332" s="316"/>
      <c r="H8332" s="223">
        <v>0.0</v>
      </c>
      <c r="K8332" s="317"/>
    </row>
    <row r="8333">
      <c r="B8333" s="223" t="s">
        <v>200</v>
      </c>
      <c r="C8333" s="223"/>
      <c r="D8333" s="316"/>
      <c r="H8333" s="223">
        <v>0.0</v>
      </c>
      <c r="K8333" s="317"/>
    </row>
    <row r="8334">
      <c r="B8334" s="223" t="s">
        <v>200</v>
      </c>
      <c r="C8334" s="223"/>
      <c r="D8334" s="316"/>
      <c r="H8334" s="223">
        <v>0.0</v>
      </c>
      <c r="K8334" s="317"/>
    </row>
    <row r="8335">
      <c r="B8335" s="223" t="s">
        <v>200</v>
      </c>
      <c r="C8335" s="223"/>
      <c r="D8335" s="316"/>
      <c r="H8335" s="223">
        <v>0.0</v>
      </c>
      <c r="K8335" s="317"/>
    </row>
    <row r="8336">
      <c r="B8336" s="223" t="s">
        <v>200</v>
      </c>
      <c r="C8336" s="223"/>
      <c r="D8336" s="316"/>
      <c r="H8336" s="223">
        <v>0.0</v>
      </c>
      <c r="K8336" s="317"/>
    </row>
    <row r="8337">
      <c r="B8337" s="223" t="s">
        <v>200</v>
      </c>
      <c r="C8337" s="223"/>
      <c r="D8337" s="316"/>
      <c r="H8337" s="223">
        <v>0.0</v>
      </c>
      <c r="K8337" s="317"/>
    </row>
    <row r="8338">
      <c r="B8338" s="223" t="s">
        <v>200</v>
      </c>
      <c r="C8338" s="223"/>
      <c r="D8338" s="316"/>
      <c r="H8338" s="223">
        <v>0.0</v>
      </c>
      <c r="K8338" s="317"/>
    </row>
    <row r="8339">
      <c r="B8339" s="223" t="s">
        <v>200</v>
      </c>
      <c r="C8339" s="223"/>
      <c r="D8339" s="316"/>
      <c r="H8339" s="223">
        <v>0.0</v>
      </c>
      <c r="K8339" s="317"/>
    </row>
    <row r="8340">
      <c r="B8340" s="223" t="s">
        <v>200</v>
      </c>
      <c r="C8340" s="223"/>
      <c r="D8340" s="316"/>
      <c r="H8340" s="223">
        <v>0.0</v>
      </c>
      <c r="K8340" s="317"/>
    </row>
    <row r="8341">
      <c r="B8341" s="223" t="s">
        <v>200</v>
      </c>
      <c r="C8341" s="223"/>
      <c r="D8341" s="316"/>
      <c r="H8341" s="223">
        <v>0.0</v>
      </c>
      <c r="K8341" s="317"/>
    </row>
    <row r="8342">
      <c r="B8342" s="223" t="s">
        <v>200</v>
      </c>
      <c r="C8342" s="223"/>
      <c r="D8342" s="316"/>
      <c r="H8342" s="223">
        <v>0.0</v>
      </c>
      <c r="K8342" s="317"/>
    </row>
    <row r="8343">
      <c r="B8343" s="223" t="s">
        <v>200</v>
      </c>
      <c r="C8343" s="223"/>
      <c r="D8343" s="316"/>
      <c r="H8343" s="223">
        <v>0.0</v>
      </c>
      <c r="K8343" s="317"/>
    </row>
    <row r="8344">
      <c r="B8344" s="223" t="s">
        <v>200</v>
      </c>
      <c r="C8344" s="223"/>
      <c r="D8344" s="316"/>
      <c r="H8344" s="223">
        <v>0.0</v>
      </c>
      <c r="K8344" s="317"/>
    </row>
    <row r="8345">
      <c r="B8345" s="223" t="s">
        <v>200</v>
      </c>
      <c r="C8345" s="223"/>
      <c r="D8345" s="316"/>
      <c r="H8345" s="223">
        <v>0.0</v>
      </c>
      <c r="K8345" s="317"/>
    </row>
    <row r="8346">
      <c r="B8346" s="223" t="s">
        <v>200</v>
      </c>
      <c r="C8346" s="223"/>
      <c r="D8346" s="316"/>
      <c r="H8346" s="223">
        <v>0.0</v>
      </c>
      <c r="K8346" s="317"/>
    </row>
    <row r="8347">
      <c r="B8347" s="223" t="s">
        <v>200</v>
      </c>
      <c r="C8347" s="223"/>
      <c r="D8347" s="316"/>
      <c r="H8347" s="223">
        <v>0.0</v>
      </c>
      <c r="K8347" s="317"/>
    </row>
    <row r="8348">
      <c r="B8348" s="223" t="s">
        <v>200</v>
      </c>
      <c r="C8348" s="223"/>
      <c r="D8348" s="316"/>
      <c r="H8348" s="223">
        <v>0.0</v>
      </c>
      <c r="K8348" s="317"/>
    </row>
    <row r="8349">
      <c r="B8349" s="223" t="s">
        <v>200</v>
      </c>
      <c r="C8349" s="223"/>
      <c r="D8349" s="316"/>
      <c r="H8349" s="223">
        <v>0.0</v>
      </c>
      <c r="K8349" s="317"/>
    </row>
    <row r="8350">
      <c r="B8350" s="223" t="s">
        <v>200</v>
      </c>
      <c r="C8350" s="223"/>
      <c r="D8350" s="316"/>
      <c r="H8350" s="223">
        <v>0.0</v>
      </c>
      <c r="K8350" s="317"/>
    </row>
    <row r="8351">
      <c r="B8351" s="223" t="s">
        <v>200</v>
      </c>
      <c r="C8351" s="223"/>
      <c r="D8351" s="316"/>
      <c r="H8351" s="223">
        <v>0.0</v>
      </c>
      <c r="K8351" s="317"/>
    </row>
    <row r="8352">
      <c r="B8352" s="223" t="s">
        <v>200</v>
      </c>
      <c r="C8352" s="223"/>
      <c r="D8352" s="316"/>
      <c r="H8352" s="223">
        <v>0.0</v>
      </c>
      <c r="K8352" s="317"/>
    </row>
    <row r="8353">
      <c r="B8353" s="223" t="s">
        <v>200</v>
      </c>
      <c r="C8353" s="223"/>
      <c r="D8353" s="316"/>
      <c r="H8353" s="223">
        <v>0.0</v>
      </c>
      <c r="K8353" s="317"/>
    </row>
    <row r="8354">
      <c r="B8354" s="223" t="s">
        <v>200</v>
      </c>
      <c r="C8354" s="223"/>
      <c r="D8354" s="316"/>
      <c r="H8354" s="223">
        <v>0.0</v>
      </c>
      <c r="K8354" s="317"/>
    </row>
    <row r="8355">
      <c r="B8355" s="223" t="s">
        <v>200</v>
      </c>
      <c r="C8355" s="223"/>
      <c r="D8355" s="316"/>
      <c r="H8355" s="223">
        <v>0.0</v>
      </c>
      <c r="K8355" s="317"/>
    </row>
    <row r="8356">
      <c r="B8356" s="223" t="s">
        <v>200</v>
      </c>
      <c r="C8356" s="223"/>
      <c r="D8356" s="316"/>
      <c r="H8356" s="223">
        <v>0.0</v>
      </c>
      <c r="K8356" s="317"/>
    </row>
    <row r="8357">
      <c r="B8357" s="223" t="s">
        <v>200</v>
      </c>
      <c r="C8357" s="223"/>
      <c r="D8357" s="316"/>
      <c r="H8357" s="223">
        <v>0.0</v>
      </c>
      <c r="K8357" s="317"/>
    </row>
    <row r="8358">
      <c r="B8358" s="223" t="s">
        <v>200</v>
      </c>
      <c r="C8358" s="223"/>
      <c r="D8358" s="316"/>
      <c r="H8358" s="223">
        <v>0.0</v>
      </c>
      <c r="K8358" s="317"/>
    </row>
    <row r="8359">
      <c r="B8359" s="223" t="s">
        <v>200</v>
      </c>
      <c r="C8359" s="223"/>
      <c r="D8359" s="316"/>
      <c r="H8359" s="223">
        <v>0.0</v>
      </c>
      <c r="K8359" s="317"/>
    </row>
    <row r="8360">
      <c r="B8360" s="223" t="s">
        <v>200</v>
      </c>
      <c r="C8360" s="223"/>
      <c r="D8360" s="316"/>
      <c r="H8360" s="223">
        <v>0.0</v>
      </c>
      <c r="K8360" s="317"/>
    </row>
    <row r="8361">
      <c r="B8361" s="223" t="s">
        <v>200</v>
      </c>
      <c r="C8361" s="223"/>
      <c r="D8361" s="316"/>
      <c r="H8361" s="223">
        <v>0.0</v>
      </c>
      <c r="K8361" s="317"/>
    </row>
    <row r="8362">
      <c r="B8362" s="223" t="s">
        <v>200</v>
      </c>
      <c r="C8362" s="223"/>
      <c r="D8362" s="316"/>
      <c r="H8362" s="223">
        <v>0.0</v>
      </c>
      <c r="K8362" s="317"/>
    </row>
    <row r="8363">
      <c r="B8363" s="223" t="s">
        <v>200</v>
      </c>
      <c r="C8363" s="223"/>
      <c r="D8363" s="316"/>
      <c r="H8363" s="223">
        <v>0.0</v>
      </c>
      <c r="K8363" s="317"/>
    </row>
    <row r="8364">
      <c r="B8364" s="223" t="s">
        <v>200</v>
      </c>
      <c r="C8364" s="223"/>
      <c r="D8364" s="316"/>
      <c r="H8364" s="223">
        <v>0.0</v>
      </c>
      <c r="K8364" s="317"/>
    </row>
    <row r="8365">
      <c r="B8365" s="223" t="s">
        <v>200</v>
      </c>
      <c r="C8365" s="223"/>
      <c r="D8365" s="316"/>
      <c r="H8365" s="223">
        <v>0.0</v>
      </c>
      <c r="K8365" s="317"/>
    </row>
    <row r="8366">
      <c r="B8366" s="223" t="s">
        <v>200</v>
      </c>
      <c r="C8366" s="223"/>
      <c r="D8366" s="316"/>
      <c r="H8366" s="223">
        <v>0.0</v>
      </c>
      <c r="K8366" s="317"/>
    </row>
    <row r="8367">
      <c r="B8367" s="223" t="s">
        <v>200</v>
      </c>
      <c r="C8367" s="223"/>
      <c r="D8367" s="316"/>
      <c r="H8367" s="223">
        <v>0.0</v>
      </c>
      <c r="K8367" s="317"/>
    </row>
    <row r="8368">
      <c r="B8368" s="223" t="s">
        <v>200</v>
      </c>
      <c r="C8368" s="223"/>
      <c r="D8368" s="316"/>
      <c r="H8368" s="223">
        <v>0.0</v>
      </c>
      <c r="K8368" s="317"/>
    </row>
    <row r="8369">
      <c r="B8369" s="223" t="s">
        <v>200</v>
      </c>
      <c r="C8369" s="223"/>
      <c r="D8369" s="316"/>
      <c r="H8369" s="223">
        <v>0.0</v>
      </c>
      <c r="K8369" s="317"/>
    </row>
    <row r="8370">
      <c r="B8370" s="223" t="s">
        <v>200</v>
      </c>
      <c r="C8370" s="223"/>
      <c r="D8370" s="316"/>
      <c r="H8370" s="223">
        <v>0.0</v>
      </c>
      <c r="K8370" s="317"/>
    </row>
    <row r="8371">
      <c r="B8371" s="223" t="s">
        <v>200</v>
      </c>
      <c r="C8371" s="223"/>
      <c r="D8371" s="316"/>
      <c r="H8371" s="223">
        <v>0.0</v>
      </c>
      <c r="K8371" s="317"/>
    </row>
    <row r="8372">
      <c r="B8372" s="223" t="s">
        <v>200</v>
      </c>
      <c r="C8372" s="223"/>
      <c r="D8372" s="316"/>
      <c r="H8372" s="223">
        <v>0.0</v>
      </c>
      <c r="K8372" s="317"/>
    </row>
    <row r="8373">
      <c r="B8373" s="223" t="s">
        <v>200</v>
      </c>
      <c r="C8373" s="223"/>
      <c r="D8373" s="316"/>
      <c r="H8373" s="223">
        <v>0.0</v>
      </c>
      <c r="K8373" s="317"/>
    </row>
    <row r="8374">
      <c r="B8374" s="223" t="s">
        <v>200</v>
      </c>
      <c r="C8374" s="223"/>
      <c r="D8374" s="316"/>
      <c r="H8374" s="223">
        <v>0.0</v>
      </c>
      <c r="K8374" s="317"/>
    </row>
    <row r="8375">
      <c r="B8375" s="223" t="s">
        <v>200</v>
      </c>
      <c r="C8375" s="223"/>
      <c r="D8375" s="316"/>
      <c r="H8375" s="223">
        <v>0.0</v>
      </c>
      <c r="K8375" s="317"/>
    </row>
    <row r="8376">
      <c r="B8376" s="223" t="s">
        <v>200</v>
      </c>
      <c r="C8376" s="223"/>
      <c r="D8376" s="316"/>
      <c r="H8376" s="223">
        <v>0.0</v>
      </c>
      <c r="K8376" s="317"/>
    </row>
    <row r="8377">
      <c r="B8377" s="223" t="s">
        <v>200</v>
      </c>
      <c r="C8377" s="223"/>
      <c r="D8377" s="316"/>
      <c r="H8377" s="223">
        <v>0.0</v>
      </c>
      <c r="K8377" s="317"/>
    </row>
    <row r="8378">
      <c r="B8378" s="223" t="s">
        <v>200</v>
      </c>
      <c r="C8378" s="223"/>
      <c r="D8378" s="316"/>
      <c r="H8378" s="223">
        <v>0.0</v>
      </c>
      <c r="K8378" s="317"/>
    </row>
    <row r="8379">
      <c r="B8379" s="223" t="s">
        <v>200</v>
      </c>
      <c r="C8379" s="223"/>
      <c r="D8379" s="316"/>
      <c r="H8379" s="223">
        <v>0.0</v>
      </c>
      <c r="K8379" s="317"/>
    </row>
    <row r="8380">
      <c r="B8380" s="223" t="s">
        <v>200</v>
      </c>
      <c r="C8380" s="223"/>
      <c r="D8380" s="316"/>
      <c r="H8380" s="223">
        <v>0.0</v>
      </c>
      <c r="K8380" s="317"/>
    </row>
    <row r="8381">
      <c r="B8381" s="223" t="s">
        <v>200</v>
      </c>
      <c r="C8381" s="223"/>
      <c r="D8381" s="316"/>
      <c r="H8381" s="223">
        <v>0.0</v>
      </c>
      <c r="K8381" s="317"/>
    </row>
    <row r="8382">
      <c r="B8382" s="223" t="s">
        <v>200</v>
      </c>
      <c r="C8382" s="223"/>
      <c r="D8382" s="316"/>
      <c r="H8382" s="223">
        <v>0.0</v>
      </c>
      <c r="K8382" s="317"/>
    </row>
    <row r="8383">
      <c r="B8383" s="223" t="s">
        <v>200</v>
      </c>
      <c r="C8383" s="223"/>
      <c r="D8383" s="316"/>
      <c r="H8383" s="223">
        <v>0.0</v>
      </c>
      <c r="K8383" s="317"/>
    </row>
    <row r="8384">
      <c r="B8384" s="223" t="s">
        <v>200</v>
      </c>
      <c r="C8384" s="223"/>
      <c r="D8384" s="316"/>
      <c r="H8384" s="223">
        <v>0.0</v>
      </c>
      <c r="K8384" s="317"/>
    </row>
    <row r="8385">
      <c r="B8385" s="223" t="s">
        <v>200</v>
      </c>
      <c r="C8385" s="223"/>
      <c r="D8385" s="316"/>
      <c r="H8385" s="223">
        <v>0.0</v>
      </c>
      <c r="K8385" s="317"/>
    </row>
    <row r="8386">
      <c r="B8386" s="223" t="s">
        <v>200</v>
      </c>
      <c r="C8386" s="223"/>
      <c r="D8386" s="316"/>
      <c r="H8386" s="223">
        <v>0.0</v>
      </c>
      <c r="K8386" s="317"/>
    </row>
    <row r="8387">
      <c r="B8387" s="223" t="s">
        <v>200</v>
      </c>
      <c r="C8387" s="223"/>
      <c r="D8387" s="316"/>
      <c r="H8387" s="223">
        <v>0.0</v>
      </c>
      <c r="K8387" s="317"/>
    </row>
    <row r="8388">
      <c r="B8388" s="223" t="s">
        <v>200</v>
      </c>
      <c r="C8388" s="223"/>
      <c r="D8388" s="316"/>
      <c r="H8388" s="223">
        <v>0.0</v>
      </c>
      <c r="K8388" s="317"/>
    </row>
    <row r="8389">
      <c r="B8389" s="223" t="s">
        <v>200</v>
      </c>
      <c r="C8389" s="223"/>
      <c r="D8389" s="316"/>
      <c r="H8389" s="223">
        <v>0.0</v>
      </c>
      <c r="K8389" s="317"/>
    </row>
    <row r="8390">
      <c r="B8390" s="223" t="s">
        <v>200</v>
      </c>
      <c r="C8390" s="223"/>
      <c r="D8390" s="316"/>
      <c r="H8390" s="223">
        <v>0.0</v>
      </c>
      <c r="K8390" s="317"/>
    </row>
    <row r="8391">
      <c r="B8391" s="223" t="s">
        <v>200</v>
      </c>
      <c r="C8391" s="223"/>
      <c r="D8391" s="316"/>
      <c r="H8391" s="223">
        <v>0.0</v>
      </c>
      <c r="K8391" s="317"/>
    </row>
    <row r="8392">
      <c r="B8392" s="223" t="s">
        <v>200</v>
      </c>
      <c r="C8392" s="223"/>
      <c r="D8392" s="316"/>
      <c r="H8392" s="223">
        <v>0.0</v>
      </c>
      <c r="K8392" s="317"/>
    </row>
    <row r="8393">
      <c r="B8393" s="223" t="s">
        <v>200</v>
      </c>
      <c r="C8393" s="223"/>
      <c r="D8393" s="316"/>
      <c r="H8393" s="223">
        <v>0.0</v>
      </c>
      <c r="K8393" s="317"/>
    </row>
    <row r="8394">
      <c r="B8394" s="223" t="s">
        <v>200</v>
      </c>
      <c r="C8394" s="223"/>
      <c r="D8394" s="316"/>
      <c r="H8394" s="223">
        <v>0.0</v>
      </c>
      <c r="K8394" s="317"/>
    </row>
    <row r="8395">
      <c r="B8395" s="223" t="s">
        <v>200</v>
      </c>
      <c r="C8395" s="223"/>
      <c r="D8395" s="316"/>
      <c r="H8395" s="223">
        <v>0.0</v>
      </c>
      <c r="K8395" s="317"/>
    </row>
    <row r="8396">
      <c r="B8396" s="223" t="s">
        <v>200</v>
      </c>
      <c r="C8396" s="223"/>
      <c r="D8396" s="316"/>
      <c r="H8396" s="223">
        <v>0.0</v>
      </c>
      <c r="K8396" s="317"/>
    </row>
    <row r="8397">
      <c r="B8397" s="223" t="s">
        <v>200</v>
      </c>
      <c r="C8397" s="223"/>
      <c r="D8397" s="316"/>
      <c r="H8397" s="223">
        <v>0.0</v>
      </c>
      <c r="K8397" s="317"/>
    </row>
    <row r="8398">
      <c r="B8398" s="223" t="s">
        <v>200</v>
      </c>
      <c r="C8398" s="223"/>
      <c r="D8398" s="316"/>
      <c r="H8398" s="223">
        <v>0.0</v>
      </c>
      <c r="K8398" s="317"/>
    </row>
    <row r="8399">
      <c r="B8399" s="223" t="s">
        <v>200</v>
      </c>
      <c r="C8399" s="223"/>
      <c r="D8399" s="316"/>
      <c r="H8399" s="223">
        <v>0.0</v>
      </c>
      <c r="K8399" s="317"/>
    </row>
    <row r="8400">
      <c r="B8400" s="223" t="s">
        <v>200</v>
      </c>
      <c r="C8400" s="223"/>
      <c r="D8400" s="316"/>
      <c r="H8400" s="223">
        <v>0.0</v>
      </c>
      <c r="K8400" s="317"/>
    </row>
    <row r="8401">
      <c r="B8401" s="223" t="s">
        <v>200</v>
      </c>
      <c r="C8401" s="223"/>
      <c r="D8401" s="316"/>
      <c r="H8401" s="223">
        <v>0.0</v>
      </c>
      <c r="K8401" s="317"/>
    </row>
    <row r="8402">
      <c r="B8402" s="223" t="s">
        <v>200</v>
      </c>
      <c r="C8402" s="223"/>
      <c r="D8402" s="316"/>
      <c r="H8402" s="223">
        <v>0.0</v>
      </c>
      <c r="K8402" s="317"/>
    </row>
    <row r="8403">
      <c r="B8403" s="223" t="s">
        <v>200</v>
      </c>
      <c r="C8403" s="223"/>
      <c r="D8403" s="316"/>
      <c r="H8403" s="223">
        <v>0.0</v>
      </c>
      <c r="K8403" s="317"/>
    </row>
    <row r="8404">
      <c r="B8404" s="223" t="s">
        <v>200</v>
      </c>
      <c r="C8404" s="223"/>
      <c r="D8404" s="316"/>
      <c r="H8404" s="223">
        <v>0.0</v>
      </c>
      <c r="K8404" s="317"/>
    </row>
    <row r="8405">
      <c r="B8405" s="223" t="s">
        <v>200</v>
      </c>
      <c r="C8405" s="223"/>
      <c r="D8405" s="316"/>
      <c r="H8405" s="223">
        <v>0.0</v>
      </c>
      <c r="K8405" s="317"/>
    </row>
    <row r="8406">
      <c r="B8406" s="223" t="s">
        <v>200</v>
      </c>
      <c r="C8406" s="223"/>
      <c r="D8406" s="316"/>
      <c r="H8406" s="223">
        <v>0.0</v>
      </c>
      <c r="K8406" s="317"/>
    </row>
    <row r="8407">
      <c r="B8407" s="223" t="s">
        <v>200</v>
      </c>
      <c r="C8407" s="223"/>
      <c r="D8407" s="316"/>
      <c r="H8407" s="223">
        <v>0.0</v>
      </c>
      <c r="K8407" s="317"/>
    </row>
    <row r="8408">
      <c r="B8408" s="223" t="s">
        <v>200</v>
      </c>
      <c r="C8408" s="223"/>
      <c r="D8408" s="316"/>
      <c r="H8408" s="223">
        <v>0.0</v>
      </c>
      <c r="K8408" s="317"/>
    </row>
    <row r="8409">
      <c r="B8409" s="223" t="s">
        <v>200</v>
      </c>
      <c r="C8409" s="223"/>
      <c r="D8409" s="316"/>
      <c r="H8409" s="223">
        <v>0.0</v>
      </c>
      <c r="K8409" s="317"/>
    </row>
    <row r="8410">
      <c r="B8410" s="223" t="s">
        <v>200</v>
      </c>
      <c r="C8410" s="223"/>
      <c r="D8410" s="316"/>
      <c r="H8410" s="223">
        <v>0.0</v>
      </c>
      <c r="K8410" s="317"/>
    </row>
    <row r="8411">
      <c r="B8411" s="223" t="s">
        <v>200</v>
      </c>
      <c r="C8411" s="223"/>
      <c r="D8411" s="316"/>
      <c r="H8411" s="223">
        <v>0.0</v>
      </c>
      <c r="K8411" s="317"/>
    </row>
    <row r="8412">
      <c r="B8412" s="223" t="s">
        <v>200</v>
      </c>
      <c r="C8412" s="223"/>
      <c r="D8412" s="316"/>
      <c r="H8412" s="223">
        <v>0.0</v>
      </c>
      <c r="K8412" s="317"/>
    </row>
    <row r="8413">
      <c r="B8413" s="223" t="s">
        <v>200</v>
      </c>
      <c r="C8413" s="223"/>
      <c r="D8413" s="316"/>
      <c r="H8413" s="223">
        <v>0.0</v>
      </c>
      <c r="K8413" s="317"/>
    </row>
    <row r="8414">
      <c r="B8414" s="223" t="s">
        <v>200</v>
      </c>
      <c r="C8414" s="223"/>
      <c r="D8414" s="316"/>
      <c r="H8414" s="223">
        <v>0.0</v>
      </c>
      <c r="K8414" s="317"/>
    </row>
    <row r="8415">
      <c r="B8415" s="223" t="s">
        <v>200</v>
      </c>
      <c r="C8415" s="223"/>
      <c r="D8415" s="316"/>
      <c r="H8415" s="223">
        <v>0.0</v>
      </c>
      <c r="K8415" s="317"/>
    </row>
    <row r="8416">
      <c r="B8416" s="223" t="s">
        <v>200</v>
      </c>
      <c r="C8416" s="223"/>
      <c r="D8416" s="316"/>
      <c r="H8416" s="223">
        <v>0.0</v>
      </c>
      <c r="K8416" s="317"/>
    </row>
    <row r="8417">
      <c r="B8417" s="223" t="s">
        <v>200</v>
      </c>
      <c r="C8417" s="223"/>
      <c r="D8417" s="316"/>
      <c r="H8417" s="223">
        <v>0.0</v>
      </c>
      <c r="K8417" s="317"/>
    </row>
    <row r="8418">
      <c r="B8418" s="223" t="s">
        <v>200</v>
      </c>
      <c r="C8418" s="223"/>
      <c r="D8418" s="316"/>
      <c r="H8418" s="223">
        <v>0.0</v>
      </c>
      <c r="K8418" s="317"/>
    </row>
    <row r="8419">
      <c r="B8419" s="223" t="s">
        <v>200</v>
      </c>
      <c r="C8419" s="223"/>
      <c r="D8419" s="316"/>
      <c r="H8419" s="223">
        <v>0.0</v>
      </c>
      <c r="K8419" s="317"/>
    </row>
    <row r="8420">
      <c r="B8420" s="223" t="s">
        <v>200</v>
      </c>
      <c r="C8420" s="223"/>
      <c r="D8420" s="316"/>
      <c r="H8420" s="223">
        <v>0.0</v>
      </c>
      <c r="K8420" s="317"/>
    </row>
    <row r="8421">
      <c r="B8421" s="223" t="s">
        <v>200</v>
      </c>
      <c r="C8421" s="223"/>
      <c r="D8421" s="316"/>
      <c r="H8421" s="223">
        <v>0.0</v>
      </c>
      <c r="K8421" s="317"/>
    </row>
    <row r="8422">
      <c r="B8422" s="223" t="s">
        <v>200</v>
      </c>
      <c r="C8422" s="223"/>
      <c r="D8422" s="316"/>
      <c r="H8422" s="223">
        <v>0.0</v>
      </c>
      <c r="K8422" s="317"/>
    </row>
    <row r="8423">
      <c r="B8423" s="223" t="s">
        <v>200</v>
      </c>
      <c r="C8423" s="223"/>
      <c r="D8423" s="316"/>
      <c r="H8423" s="223">
        <v>0.0</v>
      </c>
      <c r="K8423" s="317"/>
    </row>
    <row r="8424">
      <c r="B8424" s="223" t="s">
        <v>200</v>
      </c>
      <c r="C8424" s="223"/>
      <c r="D8424" s="316"/>
      <c r="H8424" s="223">
        <v>0.0</v>
      </c>
      <c r="K8424" s="317"/>
    </row>
    <row r="8425">
      <c r="B8425" s="223" t="s">
        <v>200</v>
      </c>
      <c r="C8425" s="223"/>
      <c r="D8425" s="316"/>
      <c r="H8425" s="223">
        <v>0.0</v>
      </c>
      <c r="K8425" s="317"/>
    </row>
    <row r="8426">
      <c r="B8426" s="223" t="s">
        <v>200</v>
      </c>
      <c r="C8426" s="223"/>
      <c r="D8426" s="316"/>
      <c r="H8426" s="223">
        <v>0.0</v>
      </c>
      <c r="K8426" s="317"/>
    </row>
    <row r="8427">
      <c r="B8427" s="223" t="s">
        <v>200</v>
      </c>
      <c r="C8427" s="223"/>
      <c r="D8427" s="316"/>
      <c r="H8427" s="223">
        <v>0.0</v>
      </c>
      <c r="K8427" s="317"/>
    </row>
    <row r="8428">
      <c r="B8428" s="223" t="s">
        <v>200</v>
      </c>
      <c r="C8428" s="223"/>
      <c r="D8428" s="316"/>
      <c r="H8428" s="223">
        <v>0.0</v>
      </c>
      <c r="K8428" s="317"/>
    </row>
    <row r="8429">
      <c r="B8429" s="223" t="s">
        <v>200</v>
      </c>
      <c r="C8429" s="223"/>
      <c r="D8429" s="316"/>
      <c r="H8429" s="223">
        <v>0.0</v>
      </c>
      <c r="K8429" s="317"/>
    </row>
    <row r="8430">
      <c r="B8430" s="223" t="s">
        <v>200</v>
      </c>
      <c r="C8430" s="223"/>
      <c r="D8430" s="316"/>
      <c r="H8430" s="223">
        <v>0.0</v>
      </c>
      <c r="K8430" s="317"/>
    </row>
    <row r="8431">
      <c r="B8431" s="223" t="s">
        <v>200</v>
      </c>
      <c r="C8431" s="223"/>
      <c r="D8431" s="316"/>
      <c r="H8431" s="223">
        <v>0.0</v>
      </c>
      <c r="K8431" s="317"/>
    </row>
    <row r="8432">
      <c r="B8432" s="223" t="s">
        <v>200</v>
      </c>
      <c r="C8432" s="223"/>
      <c r="D8432" s="316"/>
      <c r="H8432" s="223">
        <v>0.0</v>
      </c>
      <c r="K8432" s="317"/>
    </row>
    <row r="8433">
      <c r="B8433" s="223" t="s">
        <v>200</v>
      </c>
      <c r="C8433" s="223"/>
      <c r="D8433" s="316"/>
      <c r="H8433" s="223">
        <v>0.0</v>
      </c>
      <c r="K8433" s="317"/>
    </row>
    <row r="8434">
      <c r="B8434" s="223" t="s">
        <v>200</v>
      </c>
      <c r="C8434" s="223"/>
      <c r="D8434" s="316"/>
      <c r="H8434" s="223">
        <v>0.0</v>
      </c>
      <c r="K8434" s="317"/>
    </row>
    <row r="8435">
      <c r="B8435" s="223" t="s">
        <v>200</v>
      </c>
      <c r="C8435" s="223"/>
      <c r="D8435" s="316"/>
      <c r="H8435" s="223">
        <v>0.0</v>
      </c>
      <c r="K8435" s="317"/>
    </row>
    <row r="8436">
      <c r="B8436" s="223" t="s">
        <v>200</v>
      </c>
      <c r="C8436" s="223"/>
      <c r="D8436" s="316"/>
      <c r="H8436" s="223">
        <v>0.0</v>
      </c>
      <c r="K8436" s="317"/>
    </row>
    <row r="8437">
      <c r="B8437" s="223" t="s">
        <v>200</v>
      </c>
      <c r="C8437" s="223"/>
      <c r="D8437" s="316"/>
      <c r="H8437" s="223">
        <v>0.0</v>
      </c>
      <c r="K8437" s="317"/>
    </row>
    <row r="8438">
      <c r="B8438" s="223" t="s">
        <v>200</v>
      </c>
      <c r="C8438" s="223"/>
      <c r="D8438" s="316"/>
      <c r="H8438" s="223">
        <v>0.0</v>
      </c>
      <c r="K8438" s="317"/>
    </row>
    <row r="8439">
      <c r="B8439" s="223" t="s">
        <v>200</v>
      </c>
      <c r="C8439" s="223"/>
      <c r="D8439" s="316"/>
      <c r="H8439" s="223">
        <v>0.0</v>
      </c>
      <c r="K8439" s="317"/>
    </row>
    <row r="8440">
      <c r="B8440" s="223" t="s">
        <v>200</v>
      </c>
      <c r="C8440" s="223"/>
      <c r="D8440" s="316"/>
      <c r="H8440" s="223">
        <v>0.0</v>
      </c>
      <c r="K8440" s="317"/>
    </row>
    <row r="8441">
      <c r="B8441" s="223" t="s">
        <v>200</v>
      </c>
      <c r="C8441" s="223"/>
      <c r="D8441" s="316"/>
      <c r="H8441" s="223">
        <v>0.0</v>
      </c>
      <c r="K8441" s="317"/>
    </row>
    <row r="8442">
      <c r="B8442" s="223" t="s">
        <v>200</v>
      </c>
      <c r="C8442" s="223"/>
      <c r="D8442" s="316"/>
      <c r="H8442" s="223">
        <v>0.0</v>
      </c>
      <c r="K8442" s="317"/>
    </row>
    <row r="8443">
      <c r="B8443" s="223" t="s">
        <v>200</v>
      </c>
      <c r="C8443" s="223"/>
      <c r="D8443" s="316"/>
      <c r="H8443" s="223">
        <v>0.0</v>
      </c>
      <c r="K8443" s="317"/>
    </row>
    <row r="8444">
      <c r="B8444" s="223" t="s">
        <v>200</v>
      </c>
      <c r="C8444" s="223"/>
      <c r="D8444" s="316"/>
      <c r="H8444" s="223">
        <v>0.0</v>
      </c>
      <c r="K8444" s="317"/>
    </row>
    <row r="8445">
      <c r="B8445" s="223" t="s">
        <v>200</v>
      </c>
      <c r="C8445" s="223"/>
      <c r="D8445" s="316"/>
      <c r="H8445" s="223">
        <v>0.0</v>
      </c>
      <c r="K8445" s="317"/>
    </row>
    <row r="8446">
      <c r="B8446" s="223" t="s">
        <v>200</v>
      </c>
      <c r="C8446" s="223"/>
      <c r="D8446" s="316"/>
      <c r="H8446" s="223">
        <v>0.0</v>
      </c>
      <c r="K8446" s="317"/>
    </row>
    <row r="8447">
      <c r="B8447" s="223" t="s">
        <v>200</v>
      </c>
      <c r="C8447" s="223"/>
      <c r="D8447" s="316"/>
      <c r="H8447" s="223">
        <v>0.0</v>
      </c>
      <c r="K8447" s="317"/>
    </row>
    <row r="8448">
      <c r="B8448" s="223" t="s">
        <v>200</v>
      </c>
      <c r="C8448" s="223"/>
      <c r="D8448" s="316"/>
      <c r="H8448" s="223">
        <v>0.0</v>
      </c>
      <c r="K8448" s="317"/>
    </row>
    <row r="8449">
      <c r="B8449" s="223" t="s">
        <v>200</v>
      </c>
      <c r="C8449" s="223"/>
      <c r="D8449" s="316"/>
      <c r="H8449" s="223">
        <v>0.0</v>
      </c>
      <c r="K8449" s="317"/>
    </row>
    <row r="8450">
      <c r="B8450" s="223" t="s">
        <v>200</v>
      </c>
      <c r="C8450" s="223"/>
      <c r="D8450" s="316"/>
      <c r="H8450" s="223">
        <v>0.0</v>
      </c>
      <c r="K8450" s="317"/>
    </row>
    <row r="8451">
      <c r="B8451" s="223" t="s">
        <v>200</v>
      </c>
      <c r="C8451" s="223"/>
      <c r="D8451" s="316"/>
      <c r="H8451" s="223">
        <v>0.0</v>
      </c>
      <c r="K8451" s="317"/>
    </row>
    <row r="8452">
      <c r="B8452" s="223" t="s">
        <v>200</v>
      </c>
      <c r="C8452" s="223"/>
      <c r="D8452" s="316"/>
      <c r="H8452" s="223">
        <v>0.0</v>
      </c>
      <c r="K8452" s="317"/>
    </row>
    <row r="8453">
      <c r="B8453" s="223" t="s">
        <v>200</v>
      </c>
      <c r="C8453" s="223"/>
      <c r="D8453" s="316"/>
      <c r="H8453" s="223">
        <v>0.0</v>
      </c>
      <c r="K8453" s="317"/>
    </row>
    <row r="8454">
      <c r="B8454" s="223" t="s">
        <v>200</v>
      </c>
      <c r="C8454" s="223"/>
      <c r="D8454" s="316"/>
      <c r="H8454" s="223">
        <v>0.0</v>
      </c>
      <c r="K8454" s="317"/>
    </row>
    <row r="8455">
      <c r="B8455" s="223" t="s">
        <v>200</v>
      </c>
      <c r="C8455" s="223"/>
      <c r="D8455" s="316"/>
      <c r="H8455" s="223">
        <v>0.0</v>
      </c>
      <c r="K8455" s="317"/>
    </row>
    <row r="8456">
      <c r="B8456" s="223" t="s">
        <v>200</v>
      </c>
      <c r="C8456" s="223"/>
      <c r="D8456" s="316"/>
      <c r="H8456" s="223">
        <v>0.0</v>
      </c>
      <c r="K8456" s="317"/>
    </row>
    <row r="8457">
      <c r="B8457" s="223" t="s">
        <v>200</v>
      </c>
      <c r="C8457" s="223"/>
      <c r="D8457" s="316"/>
      <c r="H8457" s="223">
        <v>0.0</v>
      </c>
      <c r="K8457" s="317"/>
    </row>
    <row r="8458">
      <c r="B8458" s="223" t="s">
        <v>200</v>
      </c>
      <c r="C8458" s="223"/>
      <c r="D8458" s="316"/>
      <c r="H8458" s="223">
        <v>0.0</v>
      </c>
      <c r="K8458" s="317"/>
    </row>
    <row r="8459">
      <c r="B8459" s="223" t="s">
        <v>200</v>
      </c>
      <c r="C8459" s="223"/>
      <c r="D8459" s="316"/>
      <c r="H8459" s="223">
        <v>0.0</v>
      </c>
      <c r="K8459" s="317"/>
    </row>
    <row r="8460">
      <c r="B8460" s="223" t="s">
        <v>200</v>
      </c>
      <c r="C8460" s="223"/>
      <c r="D8460" s="316"/>
      <c r="H8460" s="223">
        <v>0.0</v>
      </c>
      <c r="K8460" s="317"/>
    </row>
    <row r="8461">
      <c r="B8461" s="223" t="s">
        <v>200</v>
      </c>
      <c r="C8461" s="223"/>
      <c r="D8461" s="316"/>
      <c r="H8461" s="223">
        <v>0.0</v>
      </c>
      <c r="K8461" s="317"/>
    </row>
    <row r="8462">
      <c r="B8462" s="223" t="s">
        <v>200</v>
      </c>
      <c r="C8462" s="223"/>
      <c r="D8462" s="316"/>
      <c r="H8462" s="223">
        <v>0.0</v>
      </c>
      <c r="K8462" s="317"/>
    </row>
    <row r="8463">
      <c r="B8463" s="223" t="s">
        <v>200</v>
      </c>
      <c r="C8463" s="223"/>
      <c r="D8463" s="316"/>
      <c r="H8463" s="223">
        <v>0.0</v>
      </c>
      <c r="K8463" s="317"/>
    </row>
    <row r="8464">
      <c r="B8464" s="223" t="s">
        <v>200</v>
      </c>
      <c r="C8464" s="223"/>
      <c r="D8464" s="316"/>
      <c r="H8464" s="223">
        <v>0.0</v>
      </c>
      <c r="K8464" s="317"/>
    </row>
    <row r="8465">
      <c r="B8465" s="223" t="s">
        <v>200</v>
      </c>
      <c r="C8465" s="223"/>
      <c r="D8465" s="316"/>
      <c r="H8465" s="223">
        <v>0.0</v>
      </c>
      <c r="K8465" s="317"/>
    </row>
    <row r="8466">
      <c r="B8466" s="223" t="s">
        <v>200</v>
      </c>
      <c r="C8466" s="223"/>
      <c r="D8466" s="316"/>
      <c r="H8466" s="223">
        <v>0.0</v>
      </c>
      <c r="K8466" s="317"/>
    </row>
    <row r="8467">
      <c r="B8467" s="223" t="s">
        <v>200</v>
      </c>
      <c r="C8467" s="223"/>
      <c r="D8467" s="316"/>
      <c r="H8467" s="223">
        <v>0.0</v>
      </c>
      <c r="K8467" s="317"/>
    </row>
    <row r="8468">
      <c r="B8468" s="223" t="s">
        <v>200</v>
      </c>
      <c r="C8468" s="223"/>
      <c r="D8468" s="316"/>
      <c r="H8468" s="223">
        <v>0.0</v>
      </c>
      <c r="K8468" s="317"/>
    </row>
    <row r="8469">
      <c r="B8469" s="223" t="s">
        <v>200</v>
      </c>
      <c r="C8469" s="223"/>
      <c r="D8469" s="316"/>
      <c r="H8469" s="223">
        <v>0.0</v>
      </c>
      <c r="K8469" s="317"/>
    </row>
    <row r="8470">
      <c r="B8470" s="223" t="s">
        <v>200</v>
      </c>
      <c r="C8470" s="223"/>
      <c r="D8470" s="316"/>
      <c r="H8470" s="223">
        <v>0.0</v>
      </c>
      <c r="K8470" s="317"/>
    </row>
    <row r="8471">
      <c r="B8471" s="223" t="s">
        <v>200</v>
      </c>
      <c r="C8471" s="223"/>
      <c r="D8471" s="316"/>
      <c r="H8471" s="223">
        <v>0.0</v>
      </c>
      <c r="K8471" s="317"/>
    </row>
    <row r="8472">
      <c r="B8472" s="223" t="s">
        <v>200</v>
      </c>
      <c r="C8472" s="223"/>
      <c r="D8472" s="316"/>
      <c r="H8472" s="223">
        <v>0.0</v>
      </c>
      <c r="K8472" s="317"/>
    </row>
    <row r="8473">
      <c r="B8473" s="223" t="s">
        <v>200</v>
      </c>
      <c r="C8473" s="223"/>
      <c r="D8473" s="316"/>
      <c r="H8473" s="223">
        <v>0.0</v>
      </c>
      <c r="K8473" s="317"/>
    </row>
    <row r="8474">
      <c r="B8474" s="223" t="s">
        <v>200</v>
      </c>
      <c r="C8474" s="223"/>
      <c r="D8474" s="316"/>
      <c r="H8474" s="223">
        <v>0.0</v>
      </c>
      <c r="K8474" s="317"/>
    </row>
    <row r="8475">
      <c r="B8475" s="223" t="s">
        <v>200</v>
      </c>
      <c r="C8475" s="223"/>
      <c r="D8475" s="316"/>
      <c r="H8475" s="223">
        <v>0.0</v>
      </c>
      <c r="K8475" s="317"/>
    </row>
    <row r="8476">
      <c r="B8476" s="223" t="s">
        <v>200</v>
      </c>
      <c r="C8476" s="223"/>
      <c r="D8476" s="316"/>
      <c r="H8476" s="223">
        <v>0.0</v>
      </c>
      <c r="K8476" s="317"/>
    </row>
    <row r="8477">
      <c r="B8477" s="223" t="s">
        <v>200</v>
      </c>
      <c r="C8477" s="223"/>
      <c r="D8477" s="316"/>
      <c r="H8477" s="223">
        <v>0.0</v>
      </c>
      <c r="K8477" s="317"/>
    </row>
    <row r="8478">
      <c r="B8478" s="223" t="s">
        <v>200</v>
      </c>
      <c r="C8478" s="223"/>
      <c r="D8478" s="316"/>
      <c r="H8478" s="223">
        <v>0.0</v>
      </c>
      <c r="K8478" s="317"/>
    </row>
    <row r="8479">
      <c r="B8479" s="223" t="s">
        <v>200</v>
      </c>
      <c r="C8479" s="223"/>
      <c r="D8479" s="316"/>
      <c r="H8479" s="223">
        <v>0.0</v>
      </c>
      <c r="K8479" s="317"/>
    </row>
    <row r="8480">
      <c r="B8480" s="223" t="s">
        <v>200</v>
      </c>
      <c r="C8480" s="223"/>
      <c r="D8480" s="316"/>
      <c r="H8480" s="223">
        <v>0.0</v>
      </c>
      <c r="K8480" s="317"/>
    </row>
    <row r="8481">
      <c r="B8481" s="223" t="s">
        <v>200</v>
      </c>
      <c r="C8481" s="223"/>
      <c r="D8481" s="316"/>
      <c r="H8481" s="223">
        <v>0.0</v>
      </c>
      <c r="K8481" s="317"/>
    </row>
    <row r="8482">
      <c r="B8482" s="223" t="s">
        <v>200</v>
      </c>
      <c r="C8482" s="223"/>
      <c r="D8482" s="316"/>
      <c r="H8482" s="223">
        <v>0.0</v>
      </c>
      <c r="K8482" s="317"/>
    </row>
    <row r="8483">
      <c r="B8483" s="223" t="s">
        <v>200</v>
      </c>
      <c r="C8483" s="223"/>
      <c r="D8483" s="316"/>
      <c r="H8483" s="223">
        <v>0.0</v>
      </c>
      <c r="K8483" s="317"/>
    </row>
    <row r="8484">
      <c r="B8484" s="223" t="s">
        <v>200</v>
      </c>
      <c r="C8484" s="223"/>
      <c r="D8484" s="316"/>
      <c r="H8484" s="223">
        <v>0.0</v>
      </c>
      <c r="K8484" s="317"/>
    </row>
    <row r="8485">
      <c r="B8485" s="223" t="s">
        <v>200</v>
      </c>
      <c r="C8485" s="223"/>
      <c r="D8485" s="316"/>
      <c r="H8485" s="223">
        <v>0.0</v>
      </c>
      <c r="K8485" s="317"/>
    </row>
    <row r="8486">
      <c r="B8486" s="223" t="s">
        <v>200</v>
      </c>
      <c r="C8486" s="223"/>
      <c r="D8486" s="316"/>
      <c r="H8486" s="223">
        <v>0.0</v>
      </c>
      <c r="K8486" s="317"/>
    </row>
    <row r="8487">
      <c r="B8487" s="223" t="s">
        <v>200</v>
      </c>
      <c r="C8487" s="223"/>
      <c r="D8487" s="316"/>
      <c r="H8487" s="223">
        <v>0.0</v>
      </c>
      <c r="K8487" s="317"/>
    </row>
    <row r="8488">
      <c r="B8488" s="223" t="s">
        <v>200</v>
      </c>
      <c r="C8488" s="223"/>
      <c r="D8488" s="316"/>
      <c r="H8488" s="223">
        <v>0.0</v>
      </c>
      <c r="K8488" s="317"/>
    </row>
    <row r="8489">
      <c r="B8489" s="223" t="s">
        <v>200</v>
      </c>
      <c r="C8489" s="223"/>
      <c r="D8489" s="316"/>
      <c r="H8489" s="223">
        <v>0.0</v>
      </c>
      <c r="K8489" s="317"/>
    </row>
    <row r="8490">
      <c r="B8490" s="223" t="s">
        <v>200</v>
      </c>
      <c r="C8490" s="223"/>
      <c r="D8490" s="316"/>
      <c r="H8490" s="223">
        <v>0.0</v>
      </c>
      <c r="K8490" s="317"/>
    </row>
    <row r="8491">
      <c r="B8491" s="223" t="s">
        <v>200</v>
      </c>
      <c r="C8491" s="223"/>
      <c r="D8491" s="316"/>
      <c r="H8491" s="223">
        <v>0.0</v>
      </c>
      <c r="K8491" s="317"/>
    </row>
    <row r="8492">
      <c r="B8492" s="223" t="s">
        <v>200</v>
      </c>
      <c r="C8492" s="223"/>
      <c r="D8492" s="316"/>
      <c r="H8492" s="223">
        <v>0.0</v>
      </c>
      <c r="K8492" s="317"/>
    </row>
    <row r="8493">
      <c r="B8493" s="223" t="s">
        <v>200</v>
      </c>
      <c r="C8493" s="223"/>
      <c r="D8493" s="316"/>
      <c r="H8493" s="223">
        <v>0.0</v>
      </c>
      <c r="K8493" s="317"/>
    </row>
    <row r="8494">
      <c r="B8494" s="223" t="s">
        <v>200</v>
      </c>
      <c r="C8494" s="223"/>
      <c r="D8494" s="316"/>
      <c r="H8494" s="223">
        <v>0.0</v>
      </c>
      <c r="K8494" s="317"/>
    </row>
    <row r="8495">
      <c r="B8495" s="223" t="s">
        <v>200</v>
      </c>
      <c r="C8495" s="223"/>
      <c r="D8495" s="316"/>
      <c r="H8495" s="223">
        <v>0.0</v>
      </c>
      <c r="K8495" s="317"/>
    </row>
    <row r="8496">
      <c r="B8496" s="223" t="s">
        <v>200</v>
      </c>
      <c r="C8496" s="223"/>
      <c r="D8496" s="316"/>
      <c r="H8496" s="223">
        <v>0.0</v>
      </c>
      <c r="K8496" s="317"/>
    </row>
    <row r="8497">
      <c r="B8497" s="223" t="s">
        <v>200</v>
      </c>
      <c r="C8497" s="223"/>
      <c r="D8497" s="316"/>
      <c r="H8497" s="223">
        <v>0.0</v>
      </c>
      <c r="K8497" s="317"/>
    </row>
    <row r="8498">
      <c r="B8498" s="223" t="s">
        <v>200</v>
      </c>
      <c r="C8498" s="223"/>
      <c r="D8498" s="316"/>
      <c r="H8498" s="223">
        <v>0.0</v>
      </c>
      <c r="K8498" s="317"/>
    </row>
    <row r="8499">
      <c r="B8499" s="223" t="s">
        <v>200</v>
      </c>
      <c r="C8499" s="223"/>
      <c r="D8499" s="316"/>
      <c r="H8499" s="223">
        <v>0.0</v>
      </c>
      <c r="K8499" s="317"/>
    </row>
    <row r="8500">
      <c r="B8500" s="223" t="s">
        <v>200</v>
      </c>
      <c r="C8500" s="223"/>
      <c r="D8500" s="316"/>
      <c r="H8500" s="223">
        <v>0.0</v>
      </c>
      <c r="K8500" s="317"/>
    </row>
    <row r="8501">
      <c r="B8501" s="223" t="s">
        <v>200</v>
      </c>
      <c r="C8501" s="223"/>
      <c r="D8501" s="316"/>
      <c r="H8501" s="223">
        <v>0.0</v>
      </c>
      <c r="K8501" s="317"/>
    </row>
    <row r="8502">
      <c r="B8502" s="223" t="s">
        <v>200</v>
      </c>
      <c r="C8502" s="223"/>
      <c r="D8502" s="316"/>
      <c r="H8502" s="223">
        <v>0.0</v>
      </c>
      <c r="K8502" s="317"/>
    </row>
    <row r="8503">
      <c r="B8503" s="223" t="s">
        <v>200</v>
      </c>
      <c r="C8503" s="223"/>
      <c r="D8503" s="316"/>
      <c r="H8503" s="223">
        <v>0.0</v>
      </c>
      <c r="K8503" s="317"/>
    </row>
    <row r="8504">
      <c r="B8504" s="223" t="s">
        <v>200</v>
      </c>
      <c r="C8504" s="223"/>
      <c r="D8504" s="316"/>
      <c r="H8504" s="223">
        <v>0.0</v>
      </c>
      <c r="K8504" s="317"/>
    </row>
    <row r="8505">
      <c r="B8505" s="223" t="s">
        <v>200</v>
      </c>
      <c r="C8505" s="223"/>
      <c r="D8505" s="316"/>
      <c r="H8505" s="223">
        <v>0.0</v>
      </c>
      <c r="K8505" s="317"/>
    </row>
    <row r="8506">
      <c r="B8506" s="223" t="s">
        <v>200</v>
      </c>
      <c r="C8506" s="223"/>
      <c r="D8506" s="316"/>
      <c r="H8506" s="223">
        <v>0.0</v>
      </c>
      <c r="K8506" s="317"/>
    </row>
    <row r="8507">
      <c r="B8507" s="223" t="s">
        <v>200</v>
      </c>
      <c r="C8507" s="223"/>
      <c r="D8507" s="316"/>
      <c r="H8507" s="223">
        <v>0.0</v>
      </c>
      <c r="K8507" s="317"/>
    </row>
    <row r="8508">
      <c r="B8508" s="223" t="s">
        <v>200</v>
      </c>
      <c r="C8508" s="223"/>
      <c r="D8508" s="316"/>
      <c r="H8508" s="223">
        <v>0.0</v>
      </c>
      <c r="K8508" s="317"/>
    </row>
    <row r="8509">
      <c r="B8509" s="223" t="s">
        <v>200</v>
      </c>
      <c r="C8509" s="223"/>
      <c r="D8509" s="316"/>
      <c r="H8509" s="223">
        <v>0.0</v>
      </c>
      <c r="K8509" s="317"/>
    </row>
    <row r="8510">
      <c r="B8510" s="223" t="s">
        <v>200</v>
      </c>
      <c r="C8510" s="223"/>
      <c r="D8510" s="316"/>
      <c r="H8510" s="223">
        <v>0.0</v>
      </c>
      <c r="K8510" s="317"/>
    </row>
    <row r="8511">
      <c r="B8511" s="223" t="s">
        <v>200</v>
      </c>
      <c r="C8511" s="223"/>
      <c r="D8511" s="316"/>
      <c r="H8511" s="223">
        <v>0.0</v>
      </c>
      <c r="K8511" s="317"/>
    </row>
    <row r="8512">
      <c r="B8512" s="223" t="s">
        <v>200</v>
      </c>
      <c r="C8512" s="223"/>
      <c r="D8512" s="316"/>
      <c r="H8512" s="223">
        <v>0.0</v>
      </c>
      <c r="K8512" s="317"/>
    </row>
    <row r="8513">
      <c r="B8513" s="223" t="s">
        <v>200</v>
      </c>
      <c r="C8513" s="223"/>
      <c r="D8513" s="316"/>
      <c r="H8513" s="223">
        <v>0.0</v>
      </c>
      <c r="K8513" s="317"/>
    </row>
    <row r="8514">
      <c r="B8514" s="223" t="s">
        <v>200</v>
      </c>
      <c r="C8514" s="223"/>
      <c r="D8514" s="316"/>
      <c r="H8514" s="223">
        <v>0.0</v>
      </c>
      <c r="K8514" s="317"/>
    </row>
    <row r="8515">
      <c r="B8515" s="223" t="s">
        <v>200</v>
      </c>
      <c r="C8515" s="223"/>
      <c r="D8515" s="316"/>
      <c r="H8515" s="223">
        <v>0.0</v>
      </c>
      <c r="K8515" s="317"/>
    </row>
    <row r="8516">
      <c r="B8516" s="223" t="s">
        <v>200</v>
      </c>
      <c r="C8516" s="223"/>
      <c r="D8516" s="316"/>
      <c r="H8516" s="223">
        <v>0.0</v>
      </c>
      <c r="K8516" s="317"/>
    </row>
    <row r="8517">
      <c r="B8517" s="223" t="s">
        <v>200</v>
      </c>
      <c r="C8517" s="223"/>
      <c r="D8517" s="316"/>
      <c r="H8517" s="223">
        <v>0.0</v>
      </c>
      <c r="K8517" s="317"/>
    </row>
    <row r="8518">
      <c r="B8518" s="223" t="s">
        <v>200</v>
      </c>
      <c r="C8518" s="223"/>
      <c r="D8518" s="316"/>
      <c r="H8518" s="223">
        <v>0.0</v>
      </c>
      <c r="K8518" s="317"/>
    </row>
    <row r="8519">
      <c r="B8519" s="223" t="s">
        <v>200</v>
      </c>
      <c r="C8519" s="223"/>
      <c r="D8519" s="316"/>
      <c r="H8519" s="223">
        <v>0.0</v>
      </c>
      <c r="K8519" s="317"/>
    </row>
    <row r="8520">
      <c r="B8520" s="223" t="s">
        <v>200</v>
      </c>
      <c r="C8520" s="223"/>
      <c r="D8520" s="316"/>
      <c r="H8520" s="223">
        <v>0.0</v>
      </c>
      <c r="K8520" s="317"/>
    </row>
    <row r="8521">
      <c r="B8521" s="223" t="s">
        <v>200</v>
      </c>
      <c r="C8521" s="223"/>
      <c r="D8521" s="316"/>
      <c r="H8521" s="223">
        <v>0.0</v>
      </c>
      <c r="K8521" s="317"/>
    </row>
    <row r="8522">
      <c r="B8522" s="223" t="s">
        <v>200</v>
      </c>
      <c r="C8522" s="223"/>
      <c r="D8522" s="316"/>
      <c r="H8522" s="223">
        <v>0.0</v>
      </c>
      <c r="K8522" s="317"/>
    </row>
    <row r="8523">
      <c r="B8523" s="223" t="s">
        <v>200</v>
      </c>
      <c r="C8523" s="223"/>
      <c r="D8523" s="316"/>
      <c r="H8523" s="223">
        <v>0.0</v>
      </c>
      <c r="K8523" s="317"/>
    </row>
    <row r="8524">
      <c r="B8524" s="223" t="s">
        <v>200</v>
      </c>
      <c r="C8524" s="223"/>
      <c r="D8524" s="316"/>
      <c r="H8524" s="223">
        <v>0.0</v>
      </c>
      <c r="K8524" s="317"/>
    </row>
    <row r="8525">
      <c r="B8525" s="223" t="s">
        <v>200</v>
      </c>
      <c r="C8525" s="223"/>
      <c r="D8525" s="316"/>
      <c r="H8525" s="223">
        <v>0.0</v>
      </c>
      <c r="K8525" s="317"/>
    </row>
    <row r="8526">
      <c r="B8526" s="223" t="s">
        <v>200</v>
      </c>
      <c r="C8526" s="223"/>
      <c r="D8526" s="316"/>
      <c r="H8526" s="223">
        <v>0.0</v>
      </c>
      <c r="K8526" s="317"/>
    </row>
    <row r="8527">
      <c r="B8527" s="223" t="s">
        <v>200</v>
      </c>
      <c r="C8527" s="223"/>
      <c r="D8527" s="316"/>
      <c r="H8527" s="223">
        <v>0.0</v>
      </c>
      <c r="K8527" s="317"/>
    </row>
    <row r="8528">
      <c r="B8528" s="223" t="s">
        <v>200</v>
      </c>
      <c r="C8528" s="223"/>
      <c r="D8528" s="316"/>
      <c r="H8528" s="223">
        <v>0.0</v>
      </c>
      <c r="K8528" s="317"/>
    </row>
    <row r="8529">
      <c r="B8529" s="223" t="s">
        <v>200</v>
      </c>
      <c r="C8529" s="223"/>
      <c r="D8529" s="316"/>
      <c r="H8529" s="223">
        <v>0.0</v>
      </c>
      <c r="K8529" s="317"/>
    </row>
    <row r="8530">
      <c r="B8530" s="223" t="s">
        <v>200</v>
      </c>
      <c r="C8530" s="223"/>
      <c r="D8530" s="316"/>
      <c r="H8530" s="223">
        <v>0.0</v>
      </c>
      <c r="K8530" s="317"/>
    </row>
    <row r="8531">
      <c r="B8531" s="223" t="s">
        <v>200</v>
      </c>
      <c r="C8531" s="223"/>
      <c r="D8531" s="316"/>
      <c r="H8531" s="223">
        <v>0.0</v>
      </c>
      <c r="K8531" s="317"/>
    </row>
    <row r="8532">
      <c r="B8532" s="223" t="s">
        <v>200</v>
      </c>
      <c r="C8532" s="223"/>
      <c r="D8532" s="316"/>
      <c r="H8532" s="223">
        <v>0.0</v>
      </c>
      <c r="K8532" s="317"/>
    </row>
    <row r="8533">
      <c r="B8533" s="223" t="s">
        <v>200</v>
      </c>
      <c r="C8533" s="223"/>
      <c r="D8533" s="316"/>
      <c r="H8533" s="223">
        <v>0.0</v>
      </c>
      <c r="K8533" s="317"/>
    </row>
    <row r="8534">
      <c r="B8534" s="223" t="s">
        <v>200</v>
      </c>
      <c r="C8534" s="223"/>
      <c r="D8534" s="316"/>
      <c r="H8534" s="223">
        <v>0.0</v>
      </c>
      <c r="K8534" s="317"/>
    </row>
    <row r="8535">
      <c r="B8535" s="223" t="s">
        <v>200</v>
      </c>
      <c r="C8535" s="223"/>
      <c r="D8535" s="316"/>
      <c r="H8535" s="223">
        <v>0.0</v>
      </c>
      <c r="K8535" s="317"/>
    </row>
    <row r="8536">
      <c r="B8536" s="223" t="s">
        <v>200</v>
      </c>
      <c r="C8536" s="223"/>
      <c r="D8536" s="316"/>
      <c r="H8536" s="223">
        <v>0.0</v>
      </c>
      <c r="K8536" s="317"/>
    </row>
    <row r="8537">
      <c r="B8537" s="223" t="s">
        <v>200</v>
      </c>
      <c r="C8537" s="223"/>
      <c r="D8537" s="316"/>
      <c r="H8537" s="223">
        <v>0.0</v>
      </c>
      <c r="K8537" s="317"/>
    </row>
    <row r="8538">
      <c r="B8538" s="223" t="s">
        <v>200</v>
      </c>
      <c r="C8538" s="223"/>
      <c r="D8538" s="316"/>
      <c r="H8538" s="223">
        <v>0.0</v>
      </c>
      <c r="K8538" s="317"/>
    </row>
    <row r="8539">
      <c r="B8539" s="223" t="s">
        <v>200</v>
      </c>
      <c r="C8539" s="223"/>
      <c r="D8539" s="316"/>
      <c r="H8539" s="223">
        <v>0.0</v>
      </c>
      <c r="K8539" s="317"/>
    </row>
    <row r="8540">
      <c r="B8540" s="223" t="s">
        <v>200</v>
      </c>
      <c r="C8540" s="223"/>
      <c r="D8540" s="316"/>
      <c r="H8540" s="223">
        <v>0.0</v>
      </c>
      <c r="K8540" s="317"/>
    </row>
    <row r="8541">
      <c r="B8541" s="223" t="s">
        <v>200</v>
      </c>
      <c r="C8541" s="223"/>
      <c r="D8541" s="316"/>
      <c r="H8541" s="223">
        <v>0.0</v>
      </c>
      <c r="K8541" s="317"/>
    </row>
    <row r="8542">
      <c r="B8542" s="223" t="s">
        <v>200</v>
      </c>
      <c r="C8542" s="223"/>
      <c r="D8542" s="316"/>
      <c r="H8542" s="223">
        <v>0.0</v>
      </c>
      <c r="K8542" s="317"/>
    </row>
    <row r="8543">
      <c r="B8543" s="223" t="s">
        <v>200</v>
      </c>
      <c r="C8543" s="223"/>
      <c r="D8543" s="316"/>
      <c r="H8543" s="223">
        <v>0.0</v>
      </c>
      <c r="K8543" s="317"/>
    </row>
    <row r="8544">
      <c r="B8544" s="223" t="s">
        <v>200</v>
      </c>
      <c r="C8544" s="223"/>
      <c r="D8544" s="316"/>
      <c r="H8544" s="223">
        <v>0.0</v>
      </c>
      <c r="K8544" s="317"/>
    </row>
    <row r="8545">
      <c r="B8545" s="223" t="s">
        <v>200</v>
      </c>
      <c r="C8545" s="223"/>
      <c r="D8545" s="316"/>
      <c r="H8545" s="223">
        <v>0.0</v>
      </c>
      <c r="K8545" s="317"/>
    </row>
    <row r="8546">
      <c r="B8546" s="223" t="s">
        <v>200</v>
      </c>
      <c r="C8546" s="223"/>
      <c r="D8546" s="316"/>
      <c r="H8546" s="223">
        <v>0.0</v>
      </c>
      <c r="K8546" s="317"/>
    </row>
    <row r="8547">
      <c r="B8547" s="223" t="s">
        <v>200</v>
      </c>
      <c r="C8547" s="223"/>
      <c r="D8547" s="316"/>
      <c r="H8547" s="223">
        <v>0.0</v>
      </c>
      <c r="K8547" s="317"/>
    </row>
    <row r="8548">
      <c r="B8548" s="223" t="s">
        <v>200</v>
      </c>
      <c r="C8548" s="223"/>
      <c r="D8548" s="316"/>
      <c r="H8548" s="223">
        <v>0.0</v>
      </c>
      <c r="K8548" s="317"/>
    </row>
    <row r="8549">
      <c r="B8549" s="223" t="s">
        <v>200</v>
      </c>
      <c r="C8549" s="223"/>
      <c r="D8549" s="316"/>
      <c r="H8549" s="223">
        <v>0.0</v>
      </c>
      <c r="K8549" s="317"/>
    </row>
    <row r="8550">
      <c r="B8550" s="223" t="s">
        <v>200</v>
      </c>
      <c r="C8550" s="223"/>
      <c r="D8550" s="316"/>
      <c r="H8550" s="223">
        <v>0.0</v>
      </c>
      <c r="K8550" s="317"/>
    </row>
    <row r="8551">
      <c r="B8551" s="223" t="s">
        <v>200</v>
      </c>
      <c r="C8551" s="223"/>
      <c r="D8551" s="316"/>
      <c r="H8551" s="223">
        <v>0.0</v>
      </c>
      <c r="K8551" s="317"/>
    </row>
    <row r="8552">
      <c r="B8552" s="223" t="s">
        <v>200</v>
      </c>
      <c r="C8552" s="223"/>
      <c r="D8552" s="316"/>
      <c r="H8552" s="223">
        <v>0.0</v>
      </c>
      <c r="K8552" s="317"/>
    </row>
    <row r="8553">
      <c r="B8553" s="223" t="s">
        <v>200</v>
      </c>
      <c r="C8553" s="223"/>
      <c r="D8553" s="316"/>
      <c r="H8553" s="223">
        <v>0.0</v>
      </c>
      <c r="K8553" s="317"/>
    </row>
    <row r="8554">
      <c r="B8554" s="223" t="s">
        <v>200</v>
      </c>
      <c r="C8554" s="223"/>
      <c r="D8554" s="316"/>
      <c r="H8554" s="223">
        <v>0.0</v>
      </c>
      <c r="K8554" s="317"/>
    </row>
    <row r="8555">
      <c r="B8555" s="223" t="s">
        <v>200</v>
      </c>
      <c r="C8555" s="223"/>
      <c r="D8555" s="316"/>
      <c r="H8555" s="223">
        <v>0.0</v>
      </c>
      <c r="K8555" s="317"/>
    </row>
    <row r="8556">
      <c r="B8556" s="223" t="s">
        <v>200</v>
      </c>
      <c r="C8556" s="223"/>
      <c r="D8556" s="316"/>
      <c r="H8556" s="223">
        <v>0.0</v>
      </c>
      <c r="K8556" s="317"/>
    </row>
    <row r="8557">
      <c r="B8557" s="223" t="s">
        <v>200</v>
      </c>
      <c r="C8557" s="223"/>
      <c r="D8557" s="316"/>
      <c r="H8557" s="223">
        <v>0.0</v>
      </c>
      <c r="K8557" s="317"/>
    </row>
    <row r="8558">
      <c r="B8558" s="223" t="s">
        <v>200</v>
      </c>
      <c r="C8558" s="223"/>
      <c r="D8558" s="316"/>
      <c r="H8558" s="223">
        <v>0.0</v>
      </c>
      <c r="K8558" s="317"/>
    </row>
    <row r="8559">
      <c r="B8559" s="223" t="s">
        <v>200</v>
      </c>
      <c r="C8559" s="223"/>
      <c r="D8559" s="316"/>
      <c r="H8559" s="223">
        <v>0.0</v>
      </c>
      <c r="K8559" s="317"/>
    </row>
    <row r="8560">
      <c r="B8560" s="223" t="s">
        <v>200</v>
      </c>
      <c r="C8560" s="223"/>
      <c r="D8560" s="316"/>
      <c r="H8560" s="223">
        <v>0.0</v>
      </c>
      <c r="K8560" s="317"/>
    </row>
    <row r="8561">
      <c r="B8561" s="223" t="s">
        <v>200</v>
      </c>
      <c r="C8561" s="223"/>
      <c r="D8561" s="316"/>
      <c r="H8561" s="223">
        <v>0.0</v>
      </c>
      <c r="K8561" s="317"/>
    </row>
    <row r="8562">
      <c r="B8562" s="223" t="s">
        <v>200</v>
      </c>
      <c r="C8562" s="223"/>
      <c r="D8562" s="316"/>
      <c r="H8562" s="223">
        <v>0.0</v>
      </c>
      <c r="K8562" s="317"/>
    </row>
    <row r="8563">
      <c r="B8563" s="223" t="s">
        <v>200</v>
      </c>
      <c r="C8563" s="223"/>
      <c r="D8563" s="316"/>
      <c r="H8563" s="223">
        <v>0.0</v>
      </c>
      <c r="K8563" s="317"/>
    </row>
    <row r="8564">
      <c r="B8564" s="223" t="s">
        <v>200</v>
      </c>
      <c r="C8564" s="223"/>
      <c r="D8564" s="316"/>
      <c r="H8564" s="223">
        <v>0.0</v>
      </c>
      <c r="K8564" s="317"/>
    </row>
    <row r="8565">
      <c r="B8565" s="223" t="s">
        <v>200</v>
      </c>
      <c r="C8565" s="223"/>
      <c r="D8565" s="316"/>
      <c r="H8565" s="223">
        <v>0.0</v>
      </c>
      <c r="K8565" s="317"/>
    </row>
    <row r="8566">
      <c r="B8566" s="223" t="s">
        <v>200</v>
      </c>
      <c r="C8566" s="223"/>
      <c r="D8566" s="316"/>
      <c r="H8566" s="223">
        <v>0.0</v>
      </c>
      <c r="K8566" s="317"/>
    </row>
    <row r="8567">
      <c r="B8567" s="223" t="s">
        <v>200</v>
      </c>
      <c r="C8567" s="223"/>
      <c r="D8567" s="316"/>
      <c r="H8567" s="223">
        <v>0.0</v>
      </c>
      <c r="K8567" s="317"/>
    </row>
    <row r="8568">
      <c r="B8568" s="223" t="s">
        <v>200</v>
      </c>
      <c r="C8568" s="223"/>
      <c r="D8568" s="316"/>
      <c r="H8568" s="223">
        <v>0.0</v>
      </c>
      <c r="K8568" s="317"/>
    </row>
    <row r="8569">
      <c r="B8569" s="223" t="s">
        <v>200</v>
      </c>
      <c r="C8569" s="223"/>
      <c r="D8569" s="316"/>
      <c r="H8569" s="223">
        <v>0.0</v>
      </c>
      <c r="K8569" s="317"/>
    </row>
    <row r="8570">
      <c r="B8570" s="223" t="s">
        <v>200</v>
      </c>
      <c r="C8570" s="223"/>
      <c r="D8570" s="316"/>
      <c r="H8570" s="223">
        <v>0.0</v>
      </c>
      <c r="K8570" s="317"/>
    </row>
    <row r="8571">
      <c r="B8571" s="223" t="s">
        <v>200</v>
      </c>
      <c r="C8571" s="223"/>
      <c r="D8571" s="316"/>
      <c r="H8571" s="223">
        <v>0.0</v>
      </c>
      <c r="K8571" s="317"/>
    </row>
    <row r="8572">
      <c r="B8572" s="223" t="s">
        <v>200</v>
      </c>
      <c r="C8572" s="223"/>
      <c r="D8572" s="316"/>
      <c r="H8572" s="223">
        <v>0.0</v>
      </c>
      <c r="K8572" s="317"/>
    </row>
    <row r="8573">
      <c r="B8573" s="223" t="s">
        <v>200</v>
      </c>
      <c r="C8573" s="223"/>
      <c r="D8573" s="316"/>
      <c r="H8573" s="223">
        <v>0.0</v>
      </c>
      <c r="K8573" s="317"/>
    </row>
    <row r="8574">
      <c r="B8574" s="223" t="s">
        <v>200</v>
      </c>
      <c r="C8574" s="223"/>
      <c r="D8574" s="316"/>
      <c r="H8574" s="223">
        <v>0.0</v>
      </c>
      <c r="K8574" s="317"/>
    </row>
    <row r="8575">
      <c r="B8575" s="223" t="s">
        <v>200</v>
      </c>
      <c r="C8575" s="223"/>
      <c r="D8575" s="316"/>
      <c r="H8575" s="223">
        <v>0.0</v>
      </c>
      <c r="K8575" s="317"/>
    </row>
    <row r="8576">
      <c r="B8576" s="223" t="s">
        <v>200</v>
      </c>
      <c r="C8576" s="223"/>
      <c r="D8576" s="316"/>
      <c r="H8576" s="223">
        <v>0.0</v>
      </c>
      <c r="K8576" s="317"/>
    </row>
    <row r="8577">
      <c r="B8577" s="223" t="s">
        <v>200</v>
      </c>
      <c r="C8577" s="223"/>
      <c r="D8577" s="316"/>
      <c r="H8577" s="223">
        <v>0.0</v>
      </c>
      <c r="K8577" s="317"/>
    </row>
    <row r="8578">
      <c r="B8578" s="223" t="s">
        <v>200</v>
      </c>
      <c r="C8578" s="223"/>
      <c r="D8578" s="316"/>
      <c r="H8578" s="223">
        <v>0.0</v>
      </c>
      <c r="K8578" s="317"/>
    </row>
    <row r="8579">
      <c r="B8579" s="223" t="s">
        <v>200</v>
      </c>
      <c r="C8579" s="223"/>
      <c r="D8579" s="316"/>
      <c r="H8579" s="223">
        <v>0.0</v>
      </c>
      <c r="K8579" s="317"/>
    </row>
    <row r="8580">
      <c r="B8580" s="223" t="s">
        <v>200</v>
      </c>
      <c r="C8580" s="223"/>
      <c r="D8580" s="316"/>
      <c r="H8580" s="223">
        <v>0.0</v>
      </c>
      <c r="K8580" s="317"/>
    </row>
    <row r="8581">
      <c r="B8581" s="223" t="s">
        <v>200</v>
      </c>
      <c r="C8581" s="223"/>
      <c r="D8581" s="316"/>
      <c r="H8581" s="223">
        <v>0.0</v>
      </c>
      <c r="K8581" s="317"/>
    </row>
    <row r="8582">
      <c r="B8582" s="223" t="s">
        <v>200</v>
      </c>
      <c r="C8582" s="223"/>
      <c r="D8582" s="316"/>
      <c r="H8582" s="223">
        <v>0.0</v>
      </c>
      <c r="K8582" s="317"/>
    </row>
    <row r="8583">
      <c r="B8583" s="223" t="s">
        <v>200</v>
      </c>
      <c r="C8583" s="223"/>
      <c r="D8583" s="316"/>
      <c r="H8583" s="223">
        <v>0.0</v>
      </c>
      <c r="K8583" s="317"/>
    </row>
    <row r="8584">
      <c r="B8584" s="223" t="s">
        <v>200</v>
      </c>
      <c r="C8584" s="223"/>
      <c r="D8584" s="316"/>
      <c r="H8584" s="223">
        <v>0.0</v>
      </c>
      <c r="K8584" s="317"/>
    </row>
    <row r="8585">
      <c r="B8585" s="223" t="s">
        <v>200</v>
      </c>
      <c r="C8585" s="223"/>
      <c r="D8585" s="316"/>
      <c r="H8585" s="223">
        <v>0.0</v>
      </c>
      <c r="K8585" s="317"/>
    </row>
    <row r="8586">
      <c r="B8586" s="223" t="s">
        <v>200</v>
      </c>
      <c r="C8586" s="223"/>
      <c r="D8586" s="316"/>
      <c r="H8586" s="223">
        <v>0.0</v>
      </c>
      <c r="K8586" s="317"/>
    </row>
    <row r="8587">
      <c r="B8587" s="223" t="s">
        <v>200</v>
      </c>
      <c r="C8587" s="223"/>
      <c r="D8587" s="316"/>
      <c r="H8587" s="223">
        <v>0.0</v>
      </c>
      <c r="K8587" s="317"/>
    </row>
    <row r="8588">
      <c r="B8588" s="223" t="s">
        <v>200</v>
      </c>
      <c r="C8588" s="223"/>
      <c r="D8588" s="316"/>
      <c r="H8588" s="223">
        <v>0.0</v>
      </c>
      <c r="K8588" s="317"/>
    </row>
    <row r="8589">
      <c r="B8589" s="223" t="s">
        <v>200</v>
      </c>
      <c r="C8589" s="223"/>
      <c r="D8589" s="316"/>
      <c r="H8589" s="223">
        <v>0.0</v>
      </c>
      <c r="K8589" s="317"/>
    </row>
    <row r="8590">
      <c r="B8590" s="223" t="s">
        <v>200</v>
      </c>
      <c r="C8590" s="223"/>
      <c r="D8590" s="316"/>
      <c r="H8590" s="223">
        <v>0.0</v>
      </c>
      <c r="K8590" s="317"/>
    </row>
    <row r="8591">
      <c r="B8591" s="223" t="s">
        <v>200</v>
      </c>
      <c r="C8591" s="223"/>
      <c r="D8591" s="316"/>
      <c r="H8591" s="223">
        <v>0.0</v>
      </c>
      <c r="K8591" s="317"/>
    </row>
    <row r="8592">
      <c r="B8592" s="223" t="s">
        <v>200</v>
      </c>
      <c r="C8592" s="223"/>
      <c r="D8592" s="316"/>
      <c r="H8592" s="223">
        <v>0.0</v>
      </c>
      <c r="K8592" s="317"/>
    </row>
    <row r="8593">
      <c r="B8593" s="223" t="s">
        <v>200</v>
      </c>
      <c r="C8593" s="223"/>
      <c r="D8593" s="316"/>
      <c r="H8593" s="223">
        <v>0.0</v>
      </c>
      <c r="K8593" s="317"/>
    </row>
    <row r="8594">
      <c r="B8594" s="223" t="s">
        <v>200</v>
      </c>
      <c r="C8594" s="223"/>
      <c r="D8594" s="316"/>
      <c r="H8594" s="223">
        <v>0.0</v>
      </c>
      <c r="K8594" s="317"/>
    </row>
    <row r="8595">
      <c r="B8595" s="223" t="s">
        <v>200</v>
      </c>
      <c r="C8595" s="223"/>
      <c r="D8595" s="316"/>
      <c r="H8595" s="223">
        <v>0.0</v>
      </c>
      <c r="K8595" s="317"/>
    </row>
    <row r="8596">
      <c r="B8596" s="223" t="s">
        <v>200</v>
      </c>
      <c r="C8596" s="223"/>
      <c r="D8596" s="316"/>
      <c r="H8596" s="223">
        <v>0.0</v>
      </c>
      <c r="K8596" s="317"/>
    </row>
    <row r="8597">
      <c r="B8597" s="223" t="s">
        <v>200</v>
      </c>
      <c r="C8597" s="223"/>
      <c r="D8597" s="316"/>
      <c r="H8597" s="223">
        <v>0.0</v>
      </c>
      <c r="K8597" s="317"/>
    </row>
    <row r="8598">
      <c r="B8598" s="223" t="s">
        <v>200</v>
      </c>
      <c r="C8598" s="223"/>
      <c r="D8598" s="316"/>
      <c r="H8598" s="223">
        <v>0.0</v>
      </c>
      <c r="K8598" s="317"/>
    </row>
    <row r="8599">
      <c r="B8599" s="223" t="s">
        <v>200</v>
      </c>
      <c r="C8599" s="223"/>
      <c r="D8599" s="316"/>
      <c r="H8599" s="223">
        <v>0.0</v>
      </c>
      <c r="K8599" s="317"/>
    </row>
    <row r="8600">
      <c r="B8600" s="223" t="s">
        <v>200</v>
      </c>
      <c r="C8600" s="223"/>
      <c r="D8600" s="316"/>
      <c r="H8600" s="223">
        <v>0.0</v>
      </c>
      <c r="K8600" s="317"/>
    </row>
    <row r="8601">
      <c r="B8601" s="223" t="s">
        <v>200</v>
      </c>
      <c r="C8601" s="223"/>
      <c r="D8601" s="316"/>
      <c r="H8601" s="223">
        <v>0.0</v>
      </c>
      <c r="K8601" s="317"/>
    </row>
    <row r="8602">
      <c r="B8602" s="223" t="s">
        <v>200</v>
      </c>
      <c r="C8602" s="223"/>
      <c r="D8602" s="316"/>
      <c r="H8602" s="223">
        <v>0.0</v>
      </c>
      <c r="K8602" s="317"/>
    </row>
    <row r="8603">
      <c r="B8603" s="223" t="s">
        <v>200</v>
      </c>
      <c r="C8603" s="223"/>
      <c r="D8603" s="316"/>
      <c r="H8603" s="223">
        <v>0.0</v>
      </c>
      <c r="K8603" s="317"/>
    </row>
    <row r="8604">
      <c r="B8604" s="223" t="s">
        <v>200</v>
      </c>
      <c r="C8604" s="223"/>
      <c r="D8604" s="316"/>
      <c r="H8604" s="223">
        <v>0.0</v>
      </c>
      <c r="K8604" s="317"/>
    </row>
    <row r="8605">
      <c r="B8605" s="223" t="s">
        <v>200</v>
      </c>
      <c r="C8605" s="223"/>
      <c r="D8605" s="316"/>
      <c r="H8605" s="223">
        <v>0.0</v>
      </c>
      <c r="K8605" s="317"/>
    </row>
    <row r="8606">
      <c r="B8606" s="223" t="s">
        <v>200</v>
      </c>
      <c r="C8606" s="223"/>
      <c r="D8606" s="316"/>
      <c r="H8606" s="223">
        <v>0.0</v>
      </c>
      <c r="K8606" s="317"/>
    </row>
    <row r="8607">
      <c r="B8607" s="223" t="s">
        <v>200</v>
      </c>
      <c r="C8607" s="223"/>
      <c r="D8607" s="316"/>
      <c r="H8607" s="223">
        <v>0.0</v>
      </c>
      <c r="K8607" s="317"/>
    </row>
    <row r="8608">
      <c r="B8608" s="223" t="s">
        <v>200</v>
      </c>
      <c r="C8608" s="223"/>
      <c r="D8608" s="316"/>
      <c r="H8608" s="223">
        <v>0.0</v>
      </c>
      <c r="K8608" s="317"/>
    </row>
    <row r="8609">
      <c r="B8609" s="223" t="s">
        <v>200</v>
      </c>
      <c r="C8609" s="223"/>
      <c r="D8609" s="316"/>
      <c r="H8609" s="223">
        <v>0.0</v>
      </c>
      <c r="K8609" s="317"/>
    </row>
    <row r="8610">
      <c r="B8610" s="223" t="s">
        <v>200</v>
      </c>
      <c r="C8610" s="223"/>
      <c r="D8610" s="316"/>
      <c r="H8610" s="223">
        <v>0.0</v>
      </c>
      <c r="K8610" s="317"/>
    </row>
    <row r="8611">
      <c r="B8611" s="223" t="s">
        <v>200</v>
      </c>
      <c r="C8611" s="223"/>
      <c r="D8611" s="316"/>
      <c r="H8611" s="223">
        <v>0.0</v>
      </c>
      <c r="K8611" s="317"/>
    </row>
    <row r="8612">
      <c r="B8612" s="223" t="s">
        <v>200</v>
      </c>
      <c r="C8612" s="223"/>
      <c r="D8612" s="316"/>
      <c r="H8612" s="223">
        <v>0.0</v>
      </c>
      <c r="K8612" s="317"/>
    </row>
    <row r="8613">
      <c r="B8613" s="223" t="s">
        <v>200</v>
      </c>
      <c r="C8613" s="223"/>
      <c r="D8613" s="316"/>
      <c r="H8613" s="223">
        <v>0.0</v>
      </c>
      <c r="K8613" s="317"/>
    </row>
    <row r="8614">
      <c r="B8614" s="223" t="s">
        <v>200</v>
      </c>
      <c r="C8614" s="223"/>
      <c r="D8614" s="316"/>
      <c r="H8614" s="223">
        <v>0.0</v>
      </c>
      <c r="K8614" s="317"/>
    </row>
    <row r="8615">
      <c r="B8615" s="223" t="s">
        <v>200</v>
      </c>
      <c r="C8615" s="223"/>
      <c r="D8615" s="316"/>
      <c r="H8615" s="223">
        <v>0.0</v>
      </c>
      <c r="K8615" s="317"/>
    </row>
    <row r="8616">
      <c r="B8616" s="223" t="s">
        <v>200</v>
      </c>
      <c r="C8616" s="223"/>
      <c r="D8616" s="316"/>
      <c r="H8616" s="223">
        <v>0.0</v>
      </c>
      <c r="K8616" s="317"/>
    </row>
    <row r="8617">
      <c r="B8617" s="223" t="s">
        <v>200</v>
      </c>
      <c r="C8617" s="223"/>
      <c r="D8617" s="316"/>
      <c r="H8617" s="223">
        <v>0.0</v>
      </c>
      <c r="K8617" s="317"/>
    </row>
    <row r="8618">
      <c r="B8618" s="223" t="s">
        <v>200</v>
      </c>
      <c r="C8618" s="223"/>
      <c r="D8618" s="316"/>
      <c r="H8618" s="223">
        <v>0.0</v>
      </c>
      <c r="K8618" s="317"/>
    </row>
    <row r="8619">
      <c r="B8619" s="223" t="s">
        <v>200</v>
      </c>
      <c r="C8619" s="223"/>
      <c r="D8619" s="316"/>
      <c r="H8619" s="223">
        <v>0.0</v>
      </c>
      <c r="K8619" s="317"/>
    </row>
    <row r="8620">
      <c r="B8620" s="223" t="s">
        <v>200</v>
      </c>
      <c r="C8620" s="223"/>
      <c r="D8620" s="316"/>
      <c r="H8620" s="223">
        <v>0.0</v>
      </c>
      <c r="K8620" s="317"/>
    </row>
    <row r="8621">
      <c r="B8621" s="223" t="s">
        <v>200</v>
      </c>
      <c r="C8621" s="223"/>
      <c r="D8621" s="316"/>
      <c r="H8621" s="223">
        <v>0.0</v>
      </c>
      <c r="K8621" s="317"/>
    </row>
    <row r="8622">
      <c r="B8622" s="223" t="s">
        <v>200</v>
      </c>
      <c r="C8622" s="223"/>
      <c r="D8622" s="316"/>
      <c r="H8622" s="223">
        <v>0.0</v>
      </c>
      <c r="K8622" s="317"/>
    </row>
    <row r="8623">
      <c r="B8623" s="223" t="s">
        <v>200</v>
      </c>
      <c r="C8623" s="223"/>
      <c r="D8623" s="316"/>
      <c r="H8623" s="223">
        <v>0.0</v>
      </c>
      <c r="K8623" s="317"/>
    </row>
    <row r="8624">
      <c r="B8624" s="223" t="s">
        <v>200</v>
      </c>
      <c r="C8624" s="223"/>
      <c r="D8624" s="316"/>
      <c r="H8624" s="223">
        <v>0.0</v>
      </c>
      <c r="K8624" s="317"/>
    </row>
    <row r="8625">
      <c r="B8625" s="223" t="s">
        <v>200</v>
      </c>
      <c r="C8625" s="223"/>
      <c r="D8625" s="316"/>
      <c r="H8625" s="223">
        <v>0.0</v>
      </c>
      <c r="K8625" s="317"/>
    </row>
    <row r="8626">
      <c r="B8626" s="223" t="s">
        <v>200</v>
      </c>
      <c r="C8626" s="223"/>
      <c r="D8626" s="316"/>
      <c r="H8626" s="223">
        <v>0.0</v>
      </c>
      <c r="K8626" s="317"/>
    </row>
    <row r="8627">
      <c r="B8627" s="223" t="s">
        <v>200</v>
      </c>
      <c r="C8627" s="223"/>
      <c r="D8627" s="316"/>
      <c r="H8627" s="223">
        <v>0.0</v>
      </c>
      <c r="K8627" s="317"/>
    </row>
    <row r="8628">
      <c r="B8628" s="223" t="s">
        <v>200</v>
      </c>
      <c r="C8628" s="223"/>
      <c r="D8628" s="316"/>
      <c r="H8628" s="223">
        <v>0.0</v>
      </c>
      <c r="K8628" s="317"/>
    </row>
    <row r="8629">
      <c r="B8629" s="223" t="s">
        <v>200</v>
      </c>
      <c r="C8629" s="223"/>
      <c r="D8629" s="316"/>
      <c r="H8629" s="223">
        <v>0.0</v>
      </c>
      <c r="K8629" s="317"/>
    </row>
    <row r="8630">
      <c r="B8630" s="223" t="s">
        <v>200</v>
      </c>
      <c r="C8630" s="223"/>
      <c r="D8630" s="316"/>
      <c r="H8630" s="223">
        <v>0.0</v>
      </c>
      <c r="K8630" s="317"/>
    </row>
    <row r="8631">
      <c r="B8631" s="223" t="s">
        <v>200</v>
      </c>
      <c r="C8631" s="223"/>
      <c r="D8631" s="316"/>
      <c r="H8631" s="223">
        <v>0.0</v>
      </c>
      <c r="K8631" s="317"/>
    </row>
    <row r="8632">
      <c r="B8632" s="223" t="s">
        <v>200</v>
      </c>
      <c r="C8632" s="223"/>
      <c r="D8632" s="316"/>
      <c r="H8632" s="223">
        <v>0.0</v>
      </c>
      <c r="K8632" s="317"/>
    </row>
    <row r="8633">
      <c r="B8633" s="223" t="s">
        <v>200</v>
      </c>
      <c r="C8633" s="223"/>
      <c r="D8633" s="316"/>
      <c r="H8633" s="223">
        <v>0.0</v>
      </c>
      <c r="K8633" s="317"/>
    </row>
    <row r="8634">
      <c r="B8634" s="223" t="s">
        <v>200</v>
      </c>
      <c r="C8634" s="223"/>
      <c r="D8634" s="316"/>
      <c r="H8634" s="223">
        <v>0.0</v>
      </c>
      <c r="K8634" s="317"/>
    </row>
    <row r="8635">
      <c r="B8635" s="223" t="s">
        <v>200</v>
      </c>
      <c r="C8635" s="223"/>
      <c r="D8635" s="316"/>
      <c r="H8635" s="223">
        <v>0.0</v>
      </c>
      <c r="K8635" s="317"/>
    </row>
    <row r="8636">
      <c r="B8636" s="223" t="s">
        <v>200</v>
      </c>
      <c r="C8636" s="223"/>
      <c r="D8636" s="316"/>
      <c r="H8636" s="223">
        <v>0.0</v>
      </c>
      <c r="K8636" s="317"/>
    </row>
    <row r="8637">
      <c r="B8637" s="223" t="s">
        <v>200</v>
      </c>
      <c r="C8637" s="223"/>
      <c r="D8637" s="316"/>
      <c r="H8637" s="223">
        <v>0.0</v>
      </c>
      <c r="K8637" s="317"/>
    </row>
    <row r="8638">
      <c r="B8638" s="223" t="s">
        <v>200</v>
      </c>
      <c r="C8638" s="223"/>
      <c r="D8638" s="316"/>
      <c r="H8638" s="223">
        <v>0.0</v>
      </c>
      <c r="K8638" s="317"/>
    </row>
    <row r="8639">
      <c r="B8639" s="223" t="s">
        <v>200</v>
      </c>
      <c r="C8639" s="223"/>
      <c r="D8639" s="316"/>
      <c r="H8639" s="223">
        <v>0.0</v>
      </c>
      <c r="K8639" s="317"/>
    </row>
    <row r="8640">
      <c r="B8640" s="223" t="s">
        <v>200</v>
      </c>
      <c r="C8640" s="223"/>
      <c r="D8640" s="316"/>
      <c r="H8640" s="223">
        <v>0.0</v>
      </c>
      <c r="K8640" s="317"/>
    </row>
    <row r="8641">
      <c r="B8641" s="223" t="s">
        <v>200</v>
      </c>
      <c r="C8641" s="223"/>
      <c r="D8641" s="316"/>
      <c r="H8641" s="223">
        <v>0.0</v>
      </c>
      <c r="K8641" s="317"/>
    </row>
    <row r="8642">
      <c r="B8642" s="223" t="s">
        <v>200</v>
      </c>
      <c r="C8642" s="223"/>
      <c r="D8642" s="316"/>
      <c r="H8642" s="223">
        <v>0.0</v>
      </c>
      <c r="K8642" s="317"/>
    </row>
    <row r="8643">
      <c r="B8643" s="223" t="s">
        <v>200</v>
      </c>
      <c r="C8643" s="223"/>
      <c r="D8643" s="316"/>
      <c r="H8643" s="223">
        <v>0.0</v>
      </c>
      <c r="K8643" s="317"/>
    </row>
    <row r="8644">
      <c r="B8644" s="223" t="s">
        <v>200</v>
      </c>
      <c r="C8644" s="223"/>
      <c r="D8644" s="316"/>
      <c r="H8644" s="223">
        <v>0.0</v>
      </c>
      <c r="K8644" s="317"/>
    </row>
    <row r="8645">
      <c r="B8645" s="223" t="s">
        <v>200</v>
      </c>
      <c r="C8645" s="223"/>
      <c r="D8645" s="316"/>
      <c r="H8645" s="223">
        <v>0.0</v>
      </c>
      <c r="K8645" s="317"/>
    </row>
    <row r="8646">
      <c r="B8646" s="223" t="s">
        <v>200</v>
      </c>
      <c r="C8646" s="223"/>
      <c r="D8646" s="316"/>
      <c r="H8646" s="223">
        <v>0.0</v>
      </c>
      <c r="K8646" s="317"/>
    </row>
    <row r="8647">
      <c r="B8647" s="223" t="s">
        <v>200</v>
      </c>
      <c r="C8647" s="223"/>
      <c r="D8647" s="316"/>
      <c r="H8647" s="223">
        <v>0.0</v>
      </c>
      <c r="K8647" s="317"/>
    </row>
    <row r="8648">
      <c r="B8648" s="223" t="s">
        <v>200</v>
      </c>
      <c r="C8648" s="223"/>
      <c r="D8648" s="316"/>
      <c r="H8648" s="223">
        <v>0.0</v>
      </c>
      <c r="K8648" s="317"/>
    </row>
    <row r="8649">
      <c r="B8649" s="223" t="s">
        <v>200</v>
      </c>
      <c r="C8649" s="223"/>
      <c r="D8649" s="316"/>
      <c r="H8649" s="223">
        <v>0.0</v>
      </c>
      <c r="K8649" s="317"/>
    </row>
    <row r="8650">
      <c r="B8650" s="223" t="s">
        <v>200</v>
      </c>
      <c r="C8650" s="223"/>
      <c r="D8650" s="316"/>
      <c r="H8650" s="223">
        <v>0.0</v>
      </c>
      <c r="K8650" s="317"/>
    </row>
    <row r="8651">
      <c r="B8651" s="223" t="s">
        <v>200</v>
      </c>
      <c r="C8651" s="223"/>
      <c r="D8651" s="316"/>
      <c r="H8651" s="223">
        <v>0.0</v>
      </c>
      <c r="K8651" s="317"/>
    </row>
    <row r="8652">
      <c r="B8652" s="223" t="s">
        <v>200</v>
      </c>
      <c r="C8652" s="223"/>
      <c r="D8652" s="316"/>
      <c r="H8652" s="223">
        <v>0.0</v>
      </c>
      <c r="K8652" s="317"/>
    </row>
    <row r="8653">
      <c r="B8653" s="223" t="s">
        <v>200</v>
      </c>
      <c r="C8653" s="223"/>
      <c r="D8653" s="316"/>
      <c r="H8653" s="223">
        <v>0.0</v>
      </c>
      <c r="K8653" s="317"/>
    </row>
    <row r="8654">
      <c r="B8654" s="223" t="s">
        <v>200</v>
      </c>
      <c r="C8654" s="223"/>
      <c r="D8654" s="316"/>
      <c r="H8654" s="223">
        <v>0.0</v>
      </c>
      <c r="K8654" s="317"/>
    </row>
    <row r="8655">
      <c r="B8655" s="223" t="s">
        <v>200</v>
      </c>
      <c r="C8655" s="223"/>
      <c r="D8655" s="316"/>
      <c r="H8655" s="223">
        <v>0.0</v>
      </c>
      <c r="K8655" s="317"/>
    </row>
    <row r="8656">
      <c r="B8656" s="223" t="s">
        <v>200</v>
      </c>
      <c r="C8656" s="223"/>
      <c r="D8656" s="316"/>
      <c r="H8656" s="223">
        <v>0.0</v>
      </c>
      <c r="K8656" s="317"/>
    </row>
    <row r="8657">
      <c r="B8657" s="223" t="s">
        <v>200</v>
      </c>
      <c r="C8657" s="223"/>
      <c r="D8657" s="316"/>
      <c r="H8657" s="223">
        <v>0.0</v>
      </c>
      <c r="K8657" s="317"/>
    </row>
    <row r="8658">
      <c r="B8658" s="223" t="s">
        <v>200</v>
      </c>
      <c r="C8658" s="223"/>
      <c r="D8658" s="316"/>
      <c r="H8658" s="223">
        <v>0.0</v>
      </c>
      <c r="K8658" s="317"/>
    </row>
    <row r="8659">
      <c r="B8659" s="223" t="s">
        <v>200</v>
      </c>
      <c r="C8659" s="223"/>
      <c r="D8659" s="316"/>
      <c r="H8659" s="223">
        <v>0.0</v>
      </c>
      <c r="K8659" s="317"/>
    </row>
    <row r="8660">
      <c r="B8660" s="223" t="s">
        <v>200</v>
      </c>
      <c r="C8660" s="223"/>
      <c r="D8660" s="316"/>
      <c r="H8660" s="223">
        <v>0.0</v>
      </c>
      <c r="K8660" s="317"/>
    </row>
    <row r="8661">
      <c r="B8661" s="223" t="s">
        <v>200</v>
      </c>
      <c r="C8661" s="223"/>
      <c r="D8661" s="316"/>
      <c r="H8661" s="223">
        <v>0.0</v>
      </c>
      <c r="K8661" s="317"/>
    </row>
    <row r="8662">
      <c r="B8662" s="223" t="s">
        <v>200</v>
      </c>
      <c r="C8662" s="223"/>
      <c r="D8662" s="316"/>
      <c r="H8662" s="223">
        <v>0.0</v>
      </c>
      <c r="K8662" s="317"/>
    </row>
    <row r="8663">
      <c r="B8663" s="223" t="s">
        <v>200</v>
      </c>
      <c r="C8663" s="223"/>
      <c r="D8663" s="316"/>
      <c r="H8663" s="223">
        <v>0.0</v>
      </c>
      <c r="K8663" s="317"/>
    </row>
    <row r="8664">
      <c r="B8664" s="223" t="s">
        <v>200</v>
      </c>
      <c r="C8664" s="223"/>
      <c r="D8664" s="316"/>
      <c r="H8664" s="223">
        <v>0.0</v>
      </c>
      <c r="K8664" s="317"/>
    </row>
    <row r="8665">
      <c r="B8665" s="223" t="s">
        <v>200</v>
      </c>
      <c r="C8665" s="223"/>
      <c r="D8665" s="316"/>
      <c r="H8665" s="223">
        <v>0.0</v>
      </c>
      <c r="K8665" s="317"/>
    </row>
    <row r="8666">
      <c r="B8666" s="223" t="s">
        <v>200</v>
      </c>
      <c r="C8666" s="223"/>
      <c r="D8666" s="316"/>
      <c r="H8666" s="223">
        <v>0.0</v>
      </c>
      <c r="K8666" s="317"/>
    </row>
    <row r="8667">
      <c r="B8667" s="223" t="s">
        <v>200</v>
      </c>
      <c r="C8667" s="223"/>
      <c r="D8667" s="316"/>
      <c r="H8667" s="223">
        <v>0.0</v>
      </c>
      <c r="K8667" s="317"/>
    </row>
    <row r="8668">
      <c r="B8668" s="223" t="s">
        <v>200</v>
      </c>
      <c r="C8668" s="223"/>
      <c r="D8668" s="316"/>
      <c r="H8668" s="223">
        <v>0.0</v>
      </c>
      <c r="K8668" s="317"/>
    </row>
    <row r="8669">
      <c r="B8669" s="223" t="s">
        <v>200</v>
      </c>
      <c r="C8669" s="223"/>
      <c r="D8669" s="316"/>
      <c r="H8669" s="223">
        <v>0.0</v>
      </c>
      <c r="K8669" s="317"/>
    </row>
    <row r="8670">
      <c r="B8670" s="223" t="s">
        <v>200</v>
      </c>
      <c r="C8670" s="223"/>
      <c r="D8670" s="316"/>
      <c r="H8670" s="223">
        <v>0.0</v>
      </c>
      <c r="K8670" s="317"/>
    </row>
    <row r="8671">
      <c r="B8671" s="223" t="s">
        <v>200</v>
      </c>
      <c r="C8671" s="223"/>
      <c r="D8671" s="316"/>
      <c r="H8671" s="223">
        <v>0.0</v>
      </c>
      <c r="K8671" s="317"/>
    </row>
    <row r="8672">
      <c r="B8672" s="223" t="s">
        <v>200</v>
      </c>
      <c r="C8672" s="223"/>
      <c r="D8672" s="316"/>
      <c r="H8672" s="223">
        <v>0.0</v>
      </c>
      <c r="K8672" s="317"/>
    </row>
    <row r="8673">
      <c r="B8673" s="223" t="s">
        <v>200</v>
      </c>
      <c r="C8673" s="223"/>
      <c r="D8673" s="316"/>
      <c r="H8673" s="223">
        <v>0.0</v>
      </c>
      <c r="K8673" s="317"/>
    </row>
    <row r="8674">
      <c r="B8674" s="223" t="s">
        <v>200</v>
      </c>
      <c r="C8674" s="223"/>
      <c r="D8674" s="316"/>
      <c r="H8674" s="223">
        <v>0.0</v>
      </c>
      <c r="K8674" s="317"/>
    </row>
    <row r="8675">
      <c r="B8675" s="223" t="s">
        <v>200</v>
      </c>
      <c r="C8675" s="223"/>
      <c r="D8675" s="316"/>
      <c r="H8675" s="223">
        <v>0.0</v>
      </c>
      <c r="K8675" s="317"/>
    </row>
    <row r="8676">
      <c r="B8676" s="223" t="s">
        <v>200</v>
      </c>
      <c r="C8676" s="223"/>
      <c r="D8676" s="316"/>
      <c r="H8676" s="223">
        <v>0.0</v>
      </c>
      <c r="K8676" s="317"/>
    </row>
    <row r="8677">
      <c r="B8677" s="223" t="s">
        <v>200</v>
      </c>
      <c r="C8677" s="223"/>
      <c r="D8677" s="316"/>
      <c r="H8677" s="223">
        <v>0.0</v>
      </c>
      <c r="K8677" s="317"/>
    </row>
    <row r="8678">
      <c r="B8678" s="223" t="s">
        <v>200</v>
      </c>
      <c r="C8678" s="223"/>
      <c r="D8678" s="316"/>
      <c r="H8678" s="223">
        <v>0.0</v>
      </c>
      <c r="K8678" s="317"/>
    </row>
    <row r="8679">
      <c r="B8679" s="223" t="s">
        <v>200</v>
      </c>
      <c r="C8679" s="223"/>
      <c r="D8679" s="316"/>
      <c r="H8679" s="223">
        <v>0.0</v>
      </c>
      <c r="K8679" s="317"/>
    </row>
    <row r="8680">
      <c r="B8680" s="223" t="s">
        <v>200</v>
      </c>
      <c r="C8680" s="223"/>
      <c r="D8680" s="316"/>
      <c r="H8680" s="223">
        <v>0.0</v>
      </c>
      <c r="K8680" s="317"/>
    </row>
    <row r="8681">
      <c r="B8681" s="223" t="s">
        <v>200</v>
      </c>
      <c r="C8681" s="223"/>
      <c r="D8681" s="316"/>
      <c r="H8681" s="223">
        <v>0.0</v>
      </c>
      <c r="K8681" s="317"/>
    </row>
    <row r="8682">
      <c r="B8682" s="223" t="s">
        <v>200</v>
      </c>
      <c r="C8682" s="223"/>
      <c r="D8682" s="316"/>
      <c r="H8682" s="223">
        <v>0.0</v>
      </c>
      <c r="K8682" s="317"/>
    </row>
    <row r="8683">
      <c r="B8683" s="223" t="s">
        <v>200</v>
      </c>
      <c r="C8683" s="223"/>
      <c r="D8683" s="316"/>
      <c r="H8683" s="223">
        <v>0.0</v>
      </c>
      <c r="K8683" s="317"/>
    </row>
    <row r="8684">
      <c r="B8684" s="223" t="s">
        <v>200</v>
      </c>
      <c r="C8684" s="223"/>
      <c r="D8684" s="316"/>
      <c r="H8684" s="223">
        <v>0.0</v>
      </c>
      <c r="K8684" s="317"/>
    </row>
    <row r="8685">
      <c r="B8685" s="223" t="s">
        <v>200</v>
      </c>
      <c r="C8685" s="223"/>
      <c r="D8685" s="316"/>
      <c r="H8685" s="223">
        <v>0.0</v>
      </c>
      <c r="K8685" s="317"/>
    </row>
    <row r="8686">
      <c r="B8686" s="223" t="s">
        <v>200</v>
      </c>
      <c r="C8686" s="223"/>
      <c r="D8686" s="316"/>
      <c r="H8686" s="223">
        <v>0.0</v>
      </c>
      <c r="K8686" s="317"/>
    </row>
    <row r="8687">
      <c r="B8687" s="223" t="s">
        <v>200</v>
      </c>
      <c r="C8687" s="223"/>
      <c r="D8687" s="316"/>
      <c r="H8687" s="223">
        <v>0.0</v>
      </c>
      <c r="K8687" s="317"/>
    </row>
    <row r="8688">
      <c r="B8688" s="223" t="s">
        <v>200</v>
      </c>
      <c r="C8688" s="223"/>
      <c r="D8688" s="316"/>
      <c r="H8688" s="223">
        <v>0.0</v>
      </c>
      <c r="K8688" s="317"/>
    </row>
    <row r="8689">
      <c r="B8689" s="223" t="s">
        <v>200</v>
      </c>
      <c r="C8689" s="223"/>
      <c r="D8689" s="316"/>
      <c r="H8689" s="223">
        <v>0.0</v>
      </c>
      <c r="K8689" s="317"/>
    </row>
    <row r="8690">
      <c r="B8690" s="223" t="s">
        <v>200</v>
      </c>
      <c r="C8690" s="223"/>
      <c r="D8690" s="316"/>
      <c r="H8690" s="223">
        <v>0.0</v>
      </c>
      <c r="K8690" s="317"/>
    </row>
    <row r="8691">
      <c r="B8691" s="223" t="s">
        <v>200</v>
      </c>
      <c r="C8691" s="223"/>
      <c r="D8691" s="316"/>
      <c r="H8691" s="223">
        <v>0.0</v>
      </c>
      <c r="K8691" s="317"/>
    </row>
    <row r="8692">
      <c r="B8692" s="223" t="s">
        <v>200</v>
      </c>
      <c r="C8692" s="223"/>
      <c r="D8692" s="316"/>
      <c r="H8692" s="223">
        <v>0.0</v>
      </c>
      <c r="K8692" s="317"/>
    </row>
    <row r="8693">
      <c r="B8693" s="223" t="s">
        <v>200</v>
      </c>
      <c r="C8693" s="223"/>
      <c r="D8693" s="316"/>
      <c r="H8693" s="223">
        <v>0.0</v>
      </c>
      <c r="K8693" s="317"/>
    </row>
    <row r="8694">
      <c r="B8694" s="223" t="s">
        <v>200</v>
      </c>
      <c r="C8694" s="223"/>
      <c r="D8694" s="316"/>
      <c r="H8694" s="223">
        <v>0.0</v>
      </c>
      <c r="K8694" s="317"/>
    </row>
    <row r="8695">
      <c r="B8695" s="223" t="s">
        <v>200</v>
      </c>
      <c r="C8695" s="223"/>
      <c r="D8695" s="316"/>
      <c r="H8695" s="223">
        <v>0.0</v>
      </c>
      <c r="K8695" s="317"/>
    </row>
    <row r="8696">
      <c r="B8696" s="223" t="s">
        <v>200</v>
      </c>
      <c r="C8696" s="223"/>
      <c r="D8696" s="316"/>
      <c r="H8696" s="223">
        <v>0.0</v>
      </c>
      <c r="K8696" s="317"/>
    </row>
    <row r="8697">
      <c r="B8697" s="223" t="s">
        <v>200</v>
      </c>
      <c r="C8697" s="223"/>
      <c r="D8697" s="316"/>
      <c r="H8697" s="223">
        <v>0.0</v>
      </c>
      <c r="K8697" s="317"/>
    </row>
    <row r="8698">
      <c r="B8698" s="223" t="s">
        <v>200</v>
      </c>
      <c r="C8698" s="223"/>
      <c r="D8698" s="316"/>
      <c r="H8698" s="223">
        <v>0.0</v>
      </c>
      <c r="K8698" s="317"/>
    </row>
    <row r="8699">
      <c r="B8699" s="223" t="s">
        <v>200</v>
      </c>
      <c r="C8699" s="223"/>
      <c r="D8699" s="316"/>
      <c r="H8699" s="223">
        <v>0.0</v>
      </c>
      <c r="K8699" s="317"/>
    </row>
    <row r="8700">
      <c r="B8700" s="223" t="s">
        <v>200</v>
      </c>
      <c r="C8700" s="223"/>
      <c r="D8700" s="316"/>
      <c r="H8700" s="223">
        <v>0.0</v>
      </c>
      <c r="K8700" s="317"/>
    </row>
    <row r="8701">
      <c r="B8701" s="223" t="s">
        <v>200</v>
      </c>
      <c r="C8701" s="223"/>
      <c r="D8701" s="316"/>
      <c r="H8701" s="223">
        <v>0.0</v>
      </c>
      <c r="K8701" s="317"/>
    </row>
    <row r="8702">
      <c r="B8702" s="223" t="s">
        <v>200</v>
      </c>
      <c r="C8702" s="223"/>
      <c r="D8702" s="316"/>
      <c r="H8702" s="223">
        <v>0.0</v>
      </c>
      <c r="K8702" s="317"/>
    </row>
    <row r="8703">
      <c r="B8703" s="223" t="s">
        <v>200</v>
      </c>
      <c r="C8703" s="223"/>
      <c r="D8703" s="316"/>
      <c r="H8703" s="223">
        <v>0.0</v>
      </c>
      <c r="K8703" s="317"/>
    </row>
    <row r="8704">
      <c r="B8704" s="223" t="s">
        <v>200</v>
      </c>
      <c r="C8704" s="223"/>
      <c r="D8704" s="316"/>
      <c r="H8704" s="223">
        <v>0.0</v>
      </c>
      <c r="K8704" s="317"/>
    </row>
    <row r="8705">
      <c r="B8705" s="223" t="s">
        <v>200</v>
      </c>
      <c r="C8705" s="223"/>
      <c r="D8705" s="316"/>
      <c r="H8705" s="223">
        <v>0.0</v>
      </c>
      <c r="K8705" s="317"/>
    </row>
    <row r="8706">
      <c r="B8706" s="223" t="s">
        <v>200</v>
      </c>
      <c r="C8706" s="223"/>
      <c r="D8706" s="316"/>
      <c r="H8706" s="223">
        <v>0.0</v>
      </c>
      <c r="K8706" s="317"/>
    </row>
    <row r="8707">
      <c r="B8707" s="223" t="s">
        <v>200</v>
      </c>
      <c r="C8707" s="223"/>
      <c r="D8707" s="316"/>
      <c r="H8707" s="223">
        <v>0.0</v>
      </c>
      <c r="K8707" s="317"/>
    </row>
    <row r="8708">
      <c r="B8708" s="223" t="s">
        <v>200</v>
      </c>
      <c r="C8708" s="223"/>
      <c r="D8708" s="316"/>
      <c r="H8708" s="223">
        <v>0.0</v>
      </c>
      <c r="K8708" s="317"/>
    </row>
    <row r="8709">
      <c r="B8709" s="223" t="s">
        <v>200</v>
      </c>
      <c r="C8709" s="223"/>
      <c r="D8709" s="316"/>
      <c r="H8709" s="223">
        <v>0.0</v>
      </c>
      <c r="K8709" s="317"/>
    </row>
    <row r="8710">
      <c r="B8710" s="223" t="s">
        <v>200</v>
      </c>
      <c r="C8710" s="223"/>
      <c r="D8710" s="316"/>
      <c r="H8710" s="223">
        <v>0.0</v>
      </c>
      <c r="K8710" s="317"/>
    </row>
    <row r="8711">
      <c r="B8711" s="223" t="s">
        <v>200</v>
      </c>
      <c r="C8711" s="223"/>
      <c r="D8711" s="316"/>
      <c r="H8711" s="223">
        <v>0.0</v>
      </c>
      <c r="K8711" s="317"/>
    </row>
    <row r="8712">
      <c r="B8712" s="223" t="s">
        <v>200</v>
      </c>
      <c r="C8712" s="223"/>
      <c r="D8712" s="316"/>
      <c r="H8712" s="223">
        <v>0.0</v>
      </c>
      <c r="K8712" s="317"/>
    </row>
    <row r="8713">
      <c r="B8713" s="223" t="s">
        <v>200</v>
      </c>
      <c r="C8713" s="223"/>
      <c r="D8713" s="316"/>
      <c r="H8713" s="223">
        <v>0.0</v>
      </c>
      <c r="K8713" s="317"/>
    </row>
    <row r="8714">
      <c r="B8714" s="223" t="s">
        <v>200</v>
      </c>
      <c r="C8714" s="223"/>
      <c r="D8714" s="316"/>
      <c r="H8714" s="223">
        <v>0.0</v>
      </c>
      <c r="K8714" s="317"/>
    </row>
    <row r="8715">
      <c r="B8715" s="223" t="s">
        <v>200</v>
      </c>
      <c r="C8715" s="223"/>
      <c r="D8715" s="316"/>
      <c r="H8715" s="223">
        <v>0.0</v>
      </c>
      <c r="K8715" s="317"/>
    </row>
    <row r="8716">
      <c r="B8716" s="223" t="s">
        <v>200</v>
      </c>
      <c r="C8716" s="223"/>
      <c r="D8716" s="316"/>
      <c r="H8716" s="223">
        <v>0.0</v>
      </c>
      <c r="K8716" s="317"/>
    </row>
    <row r="8717">
      <c r="B8717" s="223" t="s">
        <v>200</v>
      </c>
      <c r="C8717" s="223"/>
      <c r="D8717" s="316"/>
      <c r="H8717" s="223">
        <v>0.0</v>
      </c>
      <c r="K8717" s="317"/>
    </row>
    <row r="8718">
      <c r="B8718" s="223" t="s">
        <v>200</v>
      </c>
      <c r="C8718" s="223"/>
      <c r="D8718" s="316"/>
      <c r="H8718" s="223">
        <v>0.0</v>
      </c>
      <c r="K8718" s="317"/>
    </row>
    <row r="8719">
      <c r="B8719" s="223" t="s">
        <v>200</v>
      </c>
      <c r="C8719" s="223"/>
      <c r="D8719" s="316"/>
      <c r="H8719" s="223">
        <v>0.0</v>
      </c>
      <c r="K8719" s="317"/>
    </row>
    <row r="8720">
      <c r="B8720" s="223" t="s">
        <v>200</v>
      </c>
      <c r="C8720" s="223"/>
      <c r="D8720" s="316"/>
      <c r="H8720" s="223">
        <v>0.0</v>
      </c>
      <c r="K8720" s="317"/>
    </row>
    <row r="8721">
      <c r="B8721" s="223" t="s">
        <v>200</v>
      </c>
      <c r="C8721" s="223"/>
      <c r="D8721" s="316"/>
      <c r="H8721" s="223">
        <v>0.0</v>
      </c>
      <c r="K8721" s="317"/>
    </row>
    <row r="8722">
      <c r="B8722" s="223" t="s">
        <v>200</v>
      </c>
      <c r="C8722" s="223"/>
      <c r="D8722" s="316"/>
      <c r="H8722" s="223">
        <v>0.0</v>
      </c>
      <c r="K8722" s="317"/>
    </row>
    <row r="8723">
      <c r="B8723" s="223" t="s">
        <v>200</v>
      </c>
      <c r="C8723" s="223"/>
      <c r="D8723" s="316"/>
      <c r="H8723" s="223">
        <v>0.0</v>
      </c>
      <c r="K8723" s="317"/>
    </row>
    <row r="8724">
      <c r="B8724" s="223" t="s">
        <v>200</v>
      </c>
      <c r="C8724" s="223"/>
      <c r="D8724" s="316"/>
      <c r="H8724" s="223">
        <v>0.0</v>
      </c>
      <c r="K8724" s="317"/>
    </row>
    <row r="8725">
      <c r="B8725" s="223" t="s">
        <v>200</v>
      </c>
      <c r="C8725" s="223"/>
      <c r="D8725" s="316"/>
      <c r="H8725" s="223">
        <v>0.0</v>
      </c>
      <c r="K8725" s="317"/>
    </row>
    <row r="8726">
      <c r="B8726" s="223" t="s">
        <v>200</v>
      </c>
      <c r="C8726" s="223"/>
      <c r="D8726" s="316"/>
      <c r="H8726" s="223">
        <v>0.0</v>
      </c>
      <c r="K8726" s="317"/>
    </row>
    <row r="8727">
      <c r="B8727" s="223" t="s">
        <v>200</v>
      </c>
      <c r="C8727" s="223"/>
      <c r="D8727" s="316"/>
      <c r="H8727" s="223">
        <v>0.0</v>
      </c>
      <c r="K8727" s="317"/>
    </row>
    <row r="8728">
      <c r="B8728" s="223" t="s">
        <v>200</v>
      </c>
      <c r="C8728" s="223"/>
      <c r="D8728" s="316"/>
      <c r="H8728" s="223">
        <v>0.0</v>
      </c>
      <c r="K8728" s="317"/>
    </row>
    <row r="8729">
      <c r="B8729" s="223" t="s">
        <v>200</v>
      </c>
      <c r="C8729" s="223"/>
      <c r="D8729" s="316"/>
      <c r="H8729" s="223">
        <v>0.0</v>
      </c>
      <c r="K8729" s="317"/>
    </row>
    <row r="8730">
      <c r="B8730" s="223" t="s">
        <v>200</v>
      </c>
      <c r="C8730" s="223"/>
      <c r="D8730" s="316"/>
      <c r="H8730" s="223">
        <v>0.0</v>
      </c>
      <c r="K8730" s="317"/>
    </row>
    <row r="8731">
      <c r="B8731" s="223" t="s">
        <v>200</v>
      </c>
      <c r="C8731" s="223"/>
      <c r="D8731" s="316"/>
      <c r="H8731" s="223">
        <v>0.0</v>
      </c>
      <c r="K8731" s="317"/>
    </row>
    <row r="8732">
      <c r="B8732" s="223" t="s">
        <v>200</v>
      </c>
      <c r="C8732" s="223"/>
      <c r="D8732" s="316"/>
      <c r="H8732" s="223">
        <v>0.0</v>
      </c>
      <c r="K8732" s="317"/>
    </row>
    <row r="8733">
      <c r="B8733" s="223" t="s">
        <v>200</v>
      </c>
      <c r="C8733" s="223"/>
      <c r="D8733" s="316"/>
      <c r="H8733" s="223">
        <v>0.0</v>
      </c>
      <c r="K8733" s="317"/>
    </row>
    <row r="8734">
      <c r="B8734" s="223" t="s">
        <v>200</v>
      </c>
      <c r="C8734" s="223"/>
      <c r="D8734" s="316"/>
      <c r="H8734" s="223">
        <v>0.0</v>
      </c>
      <c r="K8734" s="317"/>
    </row>
    <row r="8735">
      <c r="B8735" s="223" t="s">
        <v>200</v>
      </c>
      <c r="C8735" s="223"/>
      <c r="D8735" s="316"/>
      <c r="H8735" s="223">
        <v>0.0</v>
      </c>
      <c r="K8735" s="317"/>
    </row>
    <row r="8736">
      <c r="B8736" s="223" t="s">
        <v>200</v>
      </c>
      <c r="C8736" s="223"/>
      <c r="D8736" s="316"/>
      <c r="H8736" s="223">
        <v>0.0</v>
      </c>
      <c r="K8736" s="317"/>
    </row>
    <row r="8737">
      <c r="B8737" s="223" t="s">
        <v>200</v>
      </c>
      <c r="C8737" s="223"/>
      <c r="D8737" s="316"/>
      <c r="H8737" s="223">
        <v>0.0</v>
      </c>
      <c r="K8737" s="317"/>
    </row>
    <row r="8738">
      <c r="B8738" s="223" t="s">
        <v>200</v>
      </c>
      <c r="C8738" s="223"/>
      <c r="D8738" s="316"/>
      <c r="H8738" s="223">
        <v>0.0</v>
      </c>
      <c r="K8738" s="317"/>
    </row>
    <row r="8739">
      <c r="B8739" s="223" t="s">
        <v>200</v>
      </c>
      <c r="C8739" s="223"/>
      <c r="D8739" s="316"/>
      <c r="H8739" s="223">
        <v>0.0</v>
      </c>
      <c r="K8739" s="317"/>
    </row>
    <row r="8740">
      <c r="B8740" s="223" t="s">
        <v>200</v>
      </c>
      <c r="C8740" s="223"/>
      <c r="D8740" s="316"/>
      <c r="H8740" s="223">
        <v>0.0</v>
      </c>
      <c r="K8740" s="317"/>
    </row>
    <row r="8741">
      <c r="B8741" s="223" t="s">
        <v>200</v>
      </c>
      <c r="C8741" s="223"/>
      <c r="D8741" s="316"/>
      <c r="H8741" s="223">
        <v>0.0</v>
      </c>
      <c r="K8741" s="317"/>
    </row>
    <row r="8742">
      <c r="B8742" s="223" t="s">
        <v>200</v>
      </c>
      <c r="C8742" s="223"/>
      <c r="D8742" s="316"/>
      <c r="H8742" s="223">
        <v>0.0</v>
      </c>
      <c r="K8742" s="317"/>
    </row>
    <row r="8743">
      <c r="B8743" s="223" t="s">
        <v>200</v>
      </c>
      <c r="C8743" s="223"/>
      <c r="D8743" s="316"/>
      <c r="H8743" s="223">
        <v>0.0</v>
      </c>
      <c r="K8743" s="317"/>
    </row>
    <row r="8744">
      <c r="B8744" s="223" t="s">
        <v>200</v>
      </c>
      <c r="C8744" s="223"/>
      <c r="D8744" s="316"/>
      <c r="H8744" s="223">
        <v>0.0</v>
      </c>
      <c r="K8744" s="317"/>
    </row>
    <row r="8745">
      <c r="B8745" s="223" t="s">
        <v>200</v>
      </c>
      <c r="C8745" s="223"/>
      <c r="D8745" s="316"/>
      <c r="H8745" s="223">
        <v>0.0</v>
      </c>
      <c r="K8745" s="317"/>
    </row>
    <row r="8746">
      <c r="B8746" s="223" t="s">
        <v>200</v>
      </c>
      <c r="C8746" s="223"/>
      <c r="D8746" s="316"/>
      <c r="H8746" s="223">
        <v>0.0</v>
      </c>
      <c r="K8746" s="317"/>
    </row>
    <row r="8747">
      <c r="B8747" s="223" t="s">
        <v>200</v>
      </c>
      <c r="C8747" s="223"/>
      <c r="D8747" s="316"/>
      <c r="H8747" s="223">
        <v>0.0</v>
      </c>
      <c r="K8747" s="317"/>
    </row>
    <row r="8748">
      <c r="B8748" s="223" t="s">
        <v>200</v>
      </c>
      <c r="C8748" s="223"/>
      <c r="D8748" s="316"/>
      <c r="H8748" s="223">
        <v>0.0</v>
      </c>
      <c r="K8748" s="317"/>
    </row>
    <row r="8749">
      <c r="B8749" s="223" t="s">
        <v>200</v>
      </c>
      <c r="C8749" s="223"/>
      <c r="D8749" s="316"/>
      <c r="H8749" s="223">
        <v>0.0</v>
      </c>
      <c r="K8749" s="317"/>
    </row>
    <row r="8750">
      <c r="B8750" s="223" t="s">
        <v>200</v>
      </c>
      <c r="C8750" s="223"/>
      <c r="D8750" s="316"/>
      <c r="H8750" s="223">
        <v>0.0</v>
      </c>
      <c r="K8750" s="317"/>
    </row>
    <row r="8751">
      <c r="B8751" s="223" t="s">
        <v>200</v>
      </c>
      <c r="C8751" s="223"/>
      <c r="D8751" s="316"/>
      <c r="H8751" s="223">
        <v>0.0</v>
      </c>
      <c r="K8751" s="317"/>
    </row>
    <row r="8752">
      <c r="B8752" s="223" t="s">
        <v>200</v>
      </c>
      <c r="C8752" s="223"/>
      <c r="D8752" s="316"/>
      <c r="H8752" s="223">
        <v>0.0</v>
      </c>
      <c r="K8752" s="317"/>
    </row>
    <row r="8753">
      <c r="B8753" s="223" t="s">
        <v>200</v>
      </c>
      <c r="C8753" s="223"/>
      <c r="D8753" s="316"/>
      <c r="H8753" s="223">
        <v>0.0</v>
      </c>
      <c r="K8753" s="317"/>
    </row>
    <row r="8754">
      <c r="B8754" s="223" t="s">
        <v>200</v>
      </c>
      <c r="C8754" s="223"/>
      <c r="D8754" s="316"/>
      <c r="H8754" s="223">
        <v>0.0</v>
      </c>
      <c r="K8754" s="317"/>
    </row>
    <row r="8755">
      <c r="B8755" s="223" t="s">
        <v>200</v>
      </c>
      <c r="C8755" s="223"/>
      <c r="D8755" s="316"/>
      <c r="H8755" s="223">
        <v>0.0</v>
      </c>
      <c r="K8755" s="317"/>
    </row>
    <row r="8756">
      <c r="B8756" s="223" t="s">
        <v>200</v>
      </c>
      <c r="C8756" s="223"/>
      <c r="D8756" s="316"/>
      <c r="H8756" s="223">
        <v>0.0</v>
      </c>
      <c r="K8756" s="317"/>
    </row>
    <row r="8757">
      <c r="B8757" s="223" t="s">
        <v>200</v>
      </c>
      <c r="C8757" s="223"/>
      <c r="D8757" s="316"/>
      <c r="H8757" s="223">
        <v>0.0</v>
      </c>
      <c r="K8757" s="317"/>
    </row>
    <row r="8758">
      <c r="B8758" s="223" t="s">
        <v>200</v>
      </c>
      <c r="C8758" s="223"/>
      <c r="D8758" s="316"/>
      <c r="H8758" s="223">
        <v>0.0</v>
      </c>
      <c r="K8758" s="317"/>
    </row>
    <row r="8759">
      <c r="B8759" s="223" t="s">
        <v>200</v>
      </c>
      <c r="C8759" s="223"/>
      <c r="D8759" s="316"/>
      <c r="H8759" s="223">
        <v>0.0</v>
      </c>
      <c r="K8759" s="317"/>
    </row>
    <row r="8760">
      <c r="B8760" s="223" t="s">
        <v>200</v>
      </c>
      <c r="C8760" s="223"/>
      <c r="D8760" s="316"/>
      <c r="H8760" s="223">
        <v>0.0</v>
      </c>
      <c r="K8760" s="317"/>
    </row>
    <row r="8761">
      <c r="B8761" s="223" t="s">
        <v>200</v>
      </c>
      <c r="C8761" s="223"/>
      <c r="D8761" s="316"/>
      <c r="H8761" s="223">
        <v>0.0</v>
      </c>
      <c r="K8761" s="317"/>
    </row>
    <row r="8762">
      <c r="B8762" s="223" t="s">
        <v>200</v>
      </c>
      <c r="C8762" s="223"/>
      <c r="D8762" s="316"/>
      <c r="H8762" s="223">
        <v>0.0</v>
      </c>
      <c r="K8762" s="317"/>
    </row>
    <row r="8763">
      <c r="B8763" s="223" t="s">
        <v>200</v>
      </c>
      <c r="C8763" s="223"/>
      <c r="D8763" s="316"/>
      <c r="H8763" s="223">
        <v>0.0</v>
      </c>
      <c r="K8763" s="317"/>
    </row>
    <row r="8764">
      <c r="B8764" s="223" t="s">
        <v>200</v>
      </c>
      <c r="C8764" s="223"/>
      <c r="D8764" s="316"/>
      <c r="H8764" s="223">
        <v>0.0</v>
      </c>
      <c r="K8764" s="317"/>
    </row>
    <row r="8765">
      <c r="B8765" s="223" t="s">
        <v>200</v>
      </c>
      <c r="C8765" s="223"/>
      <c r="D8765" s="316"/>
      <c r="H8765" s="223">
        <v>0.0</v>
      </c>
      <c r="K8765" s="317"/>
    </row>
    <row r="8766">
      <c r="B8766" s="223" t="s">
        <v>200</v>
      </c>
      <c r="C8766" s="223"/>
      <c r="D8766" s="316"/>
      <c r="H8766" s="223">
        <v>0.0</v>
      </c>
      <c r="K8766" s="317"/>
    </row>
    <row r="8767">
      <c r="B8767" s="223" t="s">
        <v>200</v>
      </c>
      <c r="C8767" s="223"/>
      <c r="D8767" s="316"/>
      <c r="H8767" s="223">
        <v>0.0</v>
      </c>
      <c r="K8767" s="317"/>
    </row>
    <row r="8768">
      <c r="B8768" s="223" t="s">
        <v>200</v>
      </c>
      <c r="C8768" s="223"/>
      <c r="D8768" s="316"/>
      <c r="H8768" s="223">
        <v>0.0</v>
      </c>
      <c r="K8768" s="317"/>
    </row>
    <row r="8769">
      <c r="B8769" s="223" t="s">
        <v>200</v>
      </c>
      <c r="C8769" s="223"/>
      <c r="D8769" s="316"/>
      <c r="H8769" s="223">
        <v>0.0</v>
      </c>
      <c r="K8769" s="317"/>
    </row>
    <row r="8770">
      <c r="B8770" s="223" t="s">
        <v>200</v>
      </c>
      <c r="C8770" s="223"/>
      <c r="D8770" s="316"/>
      <c r="H8770" s="223">
        <v>0.0</v>
      </c>
      <c r="K8770" s="317"/>
    </row>
    <row r="8771">
      <c r="B8771" s="223" t="s">
        <v>200</v>
      </c>
      <c r="C8771" s="223"/>
      <c r="D8771" s="316"/>
      <c r="H8771" s="223">
        <v>0.0</v>
      </c>
      <c r="K8771" s="317"/>
    </row>
    <row r="8772">
      <c r="B8772" s="223" t="s">
        <v>200</v>
      </c>
      <c r="C8772" s="223"/>
      <c r="D8772" s="316"/>
      <c r="H8772" s="223">
        <v>0.0</v>
      </c>
      <c r="K8772" s="317"/>
    </row>
    <row r="8773">
      <c r="B8773" s="223" t="s">
        <v>200</v>
      </c>
      <c r="C8773" s="223"/>
      <c r="D8773" s="316"/>
      <c r="H8773" s="223">
        <v>0.0</v>
      </c>
      <c r="K8773" s="317"/>
    </row>
    <row r="8774">
      <c r="B8774" s="223" t="s">
        <v>200</v>
      </c>
      <c r="C8774" s="223"/>
      <c r="D8774" s="316"/>
      <c r="H8774" s="223">
        <v>0.0</v>
      </c>
      <c r="K8774" s="317"/>
    </row>
    <row r="8775">
      <c r="B8775" s="223" t="s">
        <v>200</v>
      </c>
      <c r="C8775" s="223"/>
      <c r="D8775" s="316"/>
      <c r="H8775" s="223">
        <v>0.0</v>
      </c>
      <c r="K8775" s="317"/>
    </row>
    <row r="8776">
      <c r="B8776" s="223" t="s">
        <v>200</v>
      </c>
      <c r="C8776" s="223"/>
      <c r="D8776" s="316"/>
      <c r="H8776" s="223">
        <v>0.0</v>
      </c>
      <c r="K8776" s="317"/>
    </row>
    <row r="8777">
      <c r="B8777" s="223" t="s">
        <v>200</v>
      </c>
      <c r="C8777" s="223"/>
      <c r="D8777" s="316"/>
      <c r="H8777" s="223">
        <v>0.0</v>
      </c>
      <c r="K8777" s="317"/>
    </row>
    <row r="8778">
      <c r="B8778" s="223" t="s">
        <v>200</v>
      </c>
      <c r="C8778" s="223"/>
      <c r="D8778" s="316"/>
      <c r="H8778" s="223">
        <v>0.0</v>
      </c>
      <c r="K8778" s="317"/>
    </row>
    <row r="8779">
      <c r="B8779" s="223" t="s">
        <v>200</v>
      </c>
      <c r="C8779" s="223"/>
      <c r="D8779" s="316"/>
      <c r="H8779" s="223">
        <v>0.0</v>
      </c>
      <c r="K8779" s="317"/>
    </row>
    <row r="8780">
      <c r="B8780" s="223" t="s">
        <v>200</v>
      </c>
      <c r="C8780" s="223"/>
      <c r="D8780" s="316"/>
      <c r="H8780" s="223">
        <v>0.0</v>
      </c>
      <c r="K8780" s="317"/>
    </row>
    <row r="8781">
      <c r="B8781" s="223" t="s">
        <v>200</v>
      </c>
      <c r="C8781" s="223"/>
      <c r="D8781" s="316"/>
      <c r="H8781" s="223">
        <v>0.0</v>
      </c>
      <c r="K8781" s="317"/>
    </row>
    <row r="8782">
      <c r="B8782" s="223" t="s">
        <v>200</v>
      </c>
      <c r="C8782" s="223"/>
      <c r="D8782" s="316"/>
      <c r="H8782" s="223">
        <v>0.0</v>
      </c>
      <c r="K8782" s="317"/>
    </row>
    <row r="8783">
      <c r="B8783" s="223" t="s">
        <v>200</v>
      </c>
      <c r="C8783" s="223"/>
      <c r="D8783" s="316"/>
      <c r="H8783" s="223">
        <v>0.0</v>
      </c>
      <c r="K8783" s="317"/>
    </row>
    <row r="8784">
      <c r="B8784" s="223" t="s">
        <v>200</v>
      </c>
      <c r="C8784" s="223"/>
      <c r="D8784" s="316"/>
      <c r="H8784" s="223">
        <v>0.0</v>
      </c>
      <c r="K8784" s="317"/>
    </row>
    <row r="8785">
      <c r="B8785" s="223" t="s">
        <v>200</v>
      </c>
      <c r="C8785" s="223"/>
      <c r="D8785" s="316"/>
      <c r="H8785" s="223">
        <v>0.0</v>
      </c>
      <c r="K8785" s="317"/>
    </row>
    <row r="8786">
      <c r="B8786" s="223" t="s">
        <v>200</v>
      </c>
      <c r="C8786" s="223"/>
      <c r="D8786" s="316"/>
      <c r="H8786" s="223">
        <v>0.0</v>
      </c>
      <c r="K8786" s="317"/>
    </row>
    <row r="8787">
      <c r="B8787" s="223" t="s">
        <v>200</v>
      </c>
      <c r="C8787" s="223"/>
      <c r="D8787" s="316"/>
      <c r="H8787" s="223">
        <v>0.0</v>
      </c>
      <c r="K8787" s="317"/>
    </row>
    <row r="8788">
      <c r="B8788" s="223" t="s">
        <v>200</v>
      </c>
      <c r="C8788" s="223"/>
      <c r="D8788" s="316"/>
      <c r="H8788" s="223">
        <v>0.0</v>
      </c>
      <c r="K8788" s="317"/>
    </row>
    <row r="8789">
      <c r="B8789" s="223" t="s">
        <v>200</v>
      </c>
      <c r="C8789" s="223"/>
      <c r="D8789" s="316"/>
      <c r="H8789" s="223">
        <v>0.0</v>
      </c>
      <c r="K8789" s="317"/>
    </row>
    <row r="8790">
      <c r="B8790" s="223" t="s">
        <v>200</v>
      </c>
      <c r="C8790" s="223"/>
      <c r="D8790" s="316"/>
      <c r="H8790" s="223">
        <v>0.0</v>
      </c>
      <c r="K8790" s="317"/>
    </row>
    <row r="8791">
      <c r="B8791" s="223" t="s">
        <v>200</v>
      </c>
      <c r="C8791" s="223"/>
      <c r="D8791" s="316"/>
      <c r="H8791" s="223">
        <v>0.0</v>
      </c>
      <c r="K8791" s="317"/>
    </row>
    <row r="8792">
      <c r="B8792" s="223" t="s">
        <v>200</v>
      </c>
      <c r="C8792" s="223"/>
      <c r="D8792" s="316"/>
      <c r="H8792" s="223">
        <v>0.0</v>
      </c>
      <c r="K8792" s="317"/>
    </row>
    <row r="8793">
      <c r="B8793" s="223" t="s">
        <v>200</v>
      </c>
      <c r="C8793" s="223"/>
      <c r="D8793" s="316"/>
      <c r="H8793" s="223">
        <v>0.0</v>
      </c>
      <c r="K8793" s="317"/>
    </row>
    <row r="8794">
      <c r="B8794" s="223" t="s">
        <v>200</v>
      </c>
      <c r="C8794" s="223"/>
      <c r="D8794" s="316"/>
      <c r="H8794" s="223">
        <v>0.0</v>
      </c>
      <c r="K8794" s="317"/>
    </row>
    <row r="8795">
      <c r="B8795" s="223" t="s">
        <v>200</v>
      </c>
      <c r="C8795" s="223"/>
      <c r="D8795" s="316"/>
      <c r="H8795" s="223">
        <v>0.0</v>
      </c>
      <c r="K8795" s="317"/>
    </row>
    <row r="8796">
      <c r="B8796" s="223" t="s">
        <v>200</v>
      </c>
      <c r="C8796" s="223"/>
      <c r="D8796" s="316"/>
      <c r="H8796" s="223">
        <v>0.0</v>
      </c>
      <c r="K8796" s="317"/>
    </row>
    <row r="8797">
      <c r="B8797" s="223" t="s">
        <v>200</v>
      </c>
      <c r="C8797" s="223"/>
      <c r="D8797" s="316"/>
      <c r="H8797" s="223">
        <v>0.0</v>
      </c>
      <c r="K8797" s="317"/>
    </row>
    <row r="8798">
      <c r="B8798" s="223" t="s">
        <v>200</v>
      </c>
      <c r="C8798" s="223"/>
      <c r="D8798" s="316"/>
      <c r="H8798" s="223">
        <v>0.0</v>
      </c>
      <c r="K8798" s="317"/>
    </row>
    <row r="8799">
      <c r="B8799" s="223" t="s">
        <v>200</v>
      </c>
      <c r="C8799" s="223"/>
      <c r="D8799" s="316"/>
      <c r="H8799" s="223">
        <v>0.0</v>
      </c>
      <c r="K8799" s="317"/>
    </row>
    <row r="8800">
      <c r="B8800" s="223" t="s">
        <v>200</v>
      </c>
      <c r="C8800" s="223"/>
      <c r="D8800" s="316"/>
      <c r="H8800" s="223">
        <v>0.0</v>
      </c>
      <c r="K8800" s="317"/>
    </row>
    <row r="8801">
      <c r="B8801" s="223" t="s">
        <v>200</v>
      </c>
      <c r="C8801" s="223"/>
      <c r="D8801" s="316"/>
      <c r="H8801" s="223">
        <v>0.0</v>
      </c>
      <c r="K8801" s="317"/>
    </row>
    <row r="8802">
      <c r="B8802" s="223" t="s">
        <v>200</v>
      </c>
      <c r="C8802" s="223"/>
      <c r="D8802" s="316"/>
      <c r="H8802" s="223">
        <v>0.0</v>
      </c>
      <c r="K8802" s="317"/>
    </row>
    <row r="8803">
      <c r="B8803" s="223" t="s">
        <v>200</v>
      </c>
      <c r="C8803" s="223"/>
      <c r="D8803" s="316"/>
      <c r="H8803" s="223">
        <v>0.0</v>
      </c>
      <c r="K8803" s="317"/>
    </row>
    <row r="8804">
      <c r="B8804" s="223" t="s">
        <v>200</v>
      </c>
      <c r="C8804" s="223"/>
      <c r="D8804" s="316"/>
      <c r="H8804" s="223">
        <v>0.0</v>
      </c>
      <c r="K8804" s="317"/>
    </row>
    <row r="8805">
      <c r="B8805" s="223" t="s">
        <v>200</v>
      </c>
      <c r="C8805" s="223"/>
      <c r="D8805" s="316"/>
      <c r="H8805" s="223">
        <v>0.0</v>
      </c>
      <c r="K8805" s="317"/>
    </row>
    <row r="8806">
      <c r="B8806" s="223" t="s">
        <v>200</v>
      </c>
      <c r="C8806" s="223"/>
      <c r="D8806" s="316"/>
      <c r="H8806" s="223">
        <v>0.0</v>
      </c>
      <c r="K8806" s="317"/>
    </row>
    <row r="8807">
      <c r="B8807" s="223" t="s">
        <v>200</v>
      </c>
      <c r="C8807" s="223"/>
      <c r="D8807" s="316"/>
      <c r="H8807" s="223">
        <v>0.0</v>
      </c>
      <c r="K8807" s="317"/>
    </row>
    <row r="8808">
      <c r="B8808" s="223" t="s">
        <v>200</v>
      </c>
      <c r="C8808" s="223"/>
      <c r="D8808" s="316"/>
      <c r="H8808" s="223">
        <v>0.0</v>
      </c>
      <c r="K8808" s="317"/>
    </row>
    <row r="8809">
      <c r="B8809" s="223" t="s">
        <v>200</v>
      </c>
      <c r="C8809" s="223"/>
      <c r="D8809" s="316"/>
      <c r="H8809" s="223">
        <v>0.0</v>
      </c>
      <c r="K8809" s="317"/>
    </row>
    <row r="8810">
      <c r="B8810" s="223" t="s">
        <v>200</v>
      </c>
      <c r="C8810" s="223"/>
      <c r="D8810" s="316"/>
      <c r="H8810" s="223">
        <v>0.0</v>
      </c>
      <c r="K8810" s="317"/>
    </row>
    <row r="8811">
      <c r="B8811" s="223" t="s">
        <v>200</v>
      </c>
      <c r="C8811" s="223"/>
      <c r="D8811" s="316"/>
      <c r="H8811" s="223">
        <v>0.0</v>
      </c>
      <c r="K8811" s="317"/>
    </row>
    <row r="8812">
      <c r="B8812" s="223" t="s">
        <v>200</v>
      </c>
      <c r="C8812" s="223"/>
      <c r="D8812" s="316"/>
      <c r="H8812" s="223">
        <v>0.0</v>
      </c>
      <c r="K8812" s="317"/>
    </row>
    <row r="8813">
      <c r="B8813" s="223" t="s">
        <v>200</v>
      </c>
      <c r="C8813" s="223"/>
      <c r="D8813" s="316"/>
      <c r="H8813" s="223">
        <v>0.0</v>
      </c>
      <c r="K8813" s="317"/>
    </row>
    <row r="8814">
      <c r="B8814" s="223" t="s">
        <v>200</v>
      </c>
      <c r="C8814" s="223"/>
      <c r="D8814" s="316"/>
      <c r="H8814" s="223">
        <v>0.0</v>
      </c>
      <c r="K8814" s="317"/>
    </row>
    <row r="8815">
      <c r="B8815" s="223" t="s">
        <v>200</v>
      </c>
      <c r="C8815" s="223"/>
      <c r="D8815" s="316"/>
      <c r="H8815" s="223">
        <v>0.0</v>
      </c>
      <c r="K8815" s="317"/>
    </row>
    <row r="8816">
      <c r="B8816" s="223" t="s">
        <v>200</v>
      </c>
      <c r="C8816" s="223"/>
      <c r="D8816" s="316"/>
      <c r="H8816" s="223">
        <v>0.0</v>
      </c>
      <c r="K8816" s="317"/>
    </row>
    <row r="8817">
      <c r="B8817" s="223" t="s">
        <v>200</v>
      </c>
      <c r="C8817" s="223"/>
      <c r="D8817" s="316"/>
      <c r="H8817" s="223">
        <v>0.0</v>
      </c>
      <c r="K8817" s="317"/>
    </row>
    <row r="8818">
      <c r="B8818" s="223" t="s">
        <v>200</v>
      </c>
      <c r="C8818" s="223"/>
      <c r="D8818" s="316"/>
      <c r="H8818" s="223">
        <v>0.0</v>
      </c>
      <c r="K8818" s="317"/>
    </row>
    <row r="8819">
      <c r="B8819" s="223" t="s">
        <v>200</v>
      </c>
      <c r="C8819" s="223"/>
      <c r="D8819" s="316"/>
      <c r="H8819" s="223">
        <v>0.0</v>
      </c>
      <c r="K8819" s="317"/>
    </row>
    <row r="8820">
      <c r="B8820" s="223" t="s">
        <v>200</v>
      </c>
      <c r="C8820" s="223"/>
      <c r="D8820" s="316"/>
      <c r="H8820" s="223">
        <v>0.0</v>
      </c>
      <c r="K8820" s="317"/>
    </row>
    <row r="8821">
      <c r="B8821" s="223" t="s">
        <v>200</v>
      </c>
      <c r="C8821" s="223"/>
      <c r="D8821" s="316"/>
      <c r="H8821" s="223">
        <v>0.0</v>
      </c>
      <c r="K8821" s="317"/>
    </row>
    <row r="8822">
      <c r="B8822" s="223" t="s">
        <v>200</v>
      </c>
      <c r="C8822" s="223"/>
      <c r="D8822" s="316"/>
      <c r="H8822" s="223">
        <v>0.0</v>
      </c>
      <c r="K8822" s="317"/>
    </row>
    <row r="8823">
      <c r="B8823" s="223" t="s">
        <v>200</v>
      </c>
      <c r="C8823" s="223"/>
      <c r="D8823" s="316"/>
      <c r="H8823" s="223">
        <v>0.0</v>
      </c>
      <c r="K8823" s="317"/>
    </row>
    <row r="8824">
      <c r="B8824" s="223" t="s">
        <v>200</v>
      </c>
      <c r="C8824" s="223"/>
      <c r="D8824" s="316"/>
      <c r="H8824" s="223">
        <v>0.0</v>
      </c>
      <c r="K8824" s="317"/>
    </row>
    <row r="8825">
      <c r="B8825" s="223" t="s">
        <v>200</v>
      </c>
      <c r="C8825" s="223"/>
      <c r="D8825" s="316"/>
      <c r="H8825" s="223">
        <v>0.0</v>
      </c>
      <c r="K8825" s="317"/>
    </row>
    <row r="8826">
      <c r="B8826" s="223" t="s">
        <v>200</v>
      </c>
      <c r="C8826" s="223"/>
      <c r="D8826" s="316"/>
      <c r="H8826" s="223">
        <v>0.0</v>
      </c>
      <c r="K8826" s="317"/>
    </row>
    <row r="8827">
      <c r="B8827" s="223" t="s">
        <v>200</v>
      </c>
      <c r="C8827" s="223"/>
      <c r="D8827" s="316"/>
      <c r="H8827" s="223">
        <v>0.0</v>
      </c>
      <c r="K8827" s="317"/>
    </row>
    <row r="8828">
      <c r="B8828" s="223" t="s">
        <v>200</v>
      </c>
      <c r="C8828" s="223"/>
      <c r="D8828" s="316"/>
      <c r="H8828" s="223">
        <v>0.0</v>
      </c>
      <c r="K8828" s="317"/>
    </row>
    <row r="8829">
      <c r="B8829" s="223" t="s">
        <v>200</v>
      </c>
      <c r="C8829" s="223"/>
      <c r="D8829" s="316"/>
      <c r="H8829" s="223">
        <v>0.0</v>
      </c>
      <c r="K8829" s="317"/>
    </row>
    <row r="8830">
      <c r="B8830" s="223" t="s">
        <v>200</v>
      </c>
      <c r="C8830" s="223"/>
      <c r="D8830" s="316"/>
      <c r="H8830" s="223">
        <v>0.0</v>
      </c>
      <c r="K8830" s="317"/>
    </row>
    <row r="8831">
      <c r="B8831" s="223" t="s">
        <v>200</v>
      </c>
      <c r="C8831" s="223"/>
      <c r="D8831" s="316"/>
      <c r="H8831" s="223">
        <v>0.0</v>
      </c>
      <c r="K8831" s="317"/>
    </row>
    <row r="8832">
      <c r="B8832" s="223" t="s">
        <v>200</v>
      </c>
      <c r="C8832" s="223"/>
      <c r="D8832" s="316"/>
      <c r="H8832" s="223">
        <v>0.0</v>
      </c>
      <c r="K8832" s="317"/>
    </row>
    <row r="8833">
      <c r="B8833" s="223" t="s">
        <v>200</v>
      </c>
      <c r="C8833" s="223"/>
      <c r="D8833" s="316"/>
      <c r="H8833" s="223">
        <v>0.0</v>
      </c>
      <c r="K8833" s="317"/>
    </row>
    <row r="8834">
      <c r="B8834" s="223" t="s">
        <v>200</v>
      </c>
      <c r="C8834" s="223"/>
      <c r="D8834" s="316"/>
      <c r="H8834" s="223">
        <v>0.0</v>
      </c>
      <c r="K8834" s="317"/>
    </row>
    <row r="8835">
      <c r="B8835" s="223" t="s">
        <v>200</v>
      </c>
      <c r="C8835" s="223"/>
      <c r="D8835" s="316"/>
      <c r="H8835" s="223">
        <v>0.0</v>
      </c>
      <c r="K8835" s="317"/>
    </row>
    <row r="8836">
      <c r="B8836" s="223" t="s">
        <v>200</v>
      </c>
      <c r="C8836" s="223"/>
      <c r="D8836" s="316"/>
      <c r="H8836" s="223">
        <v>0.0</v>
      </c>
      <c r="K8836" s="317"/>
    </row>
    <row r="8837">
      <c r="B8837" s="223" t="s">
        <v>200</v>
      </c>
      <c r="C8837" s="223"/>
      <c r="D8837" s="316"/>
      <c r="H8837" s="223">
        <v>0.0</v>
      </c>
      <c r="K8837" s="317"/>
    </row>
    <row r="8838">
      <c r="B8838" s="223" t="s">
        <v>200</v>
      </c>
      <c r="C8838" s="223"/>
      <c r="D8838" s="316"/>
      <c r="H8838" s="223">
        <v>0.0</v>
      </c>
      <c r="K8838" s="317"/>
    </row>
    <row r="8839">
      <c r="B8839" s="223" t="s">
        <v>200</v>
      </c>
      <c r="C8839" s="223"/>
      <c r="D8839" s="316"/>
      <c r="H8839" s="223">
        <v>0.0</v>
      </c>
      <c r="K8839" s="317"/>
    </row>
    <row r="8840">
      <c r="B8840" s="223" t="s">
        <v>200</v>
      </c>
      <c r="C8840" s="223"/>
      <c r="D8840" s="316"/>
      <c r="H8840" s="223">
        <v>0.0</v>
      </c>
      <c r="K8840" s="317"/>
    </row>
    <row r="8841">
      <c r="B8841" s="223" t="s">
        <v>200</v>
      </c>
      <c r="C8841" s="223"/>
      <c r="D8841" s="316"/>
      <c r="H8841" s="223">
        <v>0.0</v>
      </c>
      <c r="K8841" s="317"/>
    </row>
    <row r="8842">
      <c r="B8842" s="223" t="s">
        <v>200</v>
      </c>
      <c r="C8842" s="223"/>
      <c r="D8842" s="316"/>
      <c r="H8842" s="223">
        <v>0.0</v>
      </c>
      <c r="K8842" s="317"/>
    </row>
    <row r="8843">
      <c r="B8843" s="223" t="s">
        <v>200</v>
      </c>
      <c r="C8843" s="223"/>
      <c r="D8843" s="316"/>
      <c r="H8843" s="223">
        <v>0.0</v>
      </c>
      <c r="K8843" s="317"/>
    </row>
    <row r="8844">
      <c r="B8844" s="223" t="s">
        <v>200</v>
      </c>
      <c r="C8844" s="223"/>
      <c r="D8844" s="316"/>
      <c r="H8844" s="223">
        <v>0.0</v>
      </c>
      <c r="K8844" s="317"/>
    </row>
    <row r="8845">
      <c r="B8845" s="223" t="s">
        <v>200</v>
      </c>
      <c r="C8845" s="223"/>
      <c r="D8845" s="316"/>
      <c r="H8845" s="223">
        <v>0.0</v>
      </c>
      <c r="K8845" s="317"/>
    </row>
    <row r="8846">
      <c r="B8846" s="223" t="s">
        <v>200</v>
      </c>
      <c r="C8846" s="223"/>
      <c r="D8846" s="316"/>
      <c r="H8846" s="223">
        <v>0.0</v>
      </c>
      <c r="K8846" s="317"/>
    </row>
    <row r="8847">
      <c r="B8847" s="223" t="s">
        <v>200</v>
      </c>
      <c r="C8847" s="223"/>
      <c r="D8847" s="316"/>
      <c r="H8847" s="223">
        <v>0.0</v>
      </c>
      <c r="K8847" s="317"/>
    </row>
    <row r="8848">
      <c r="B8848" s="223" t="s">
        <v>200</v>
      </c>
      <c r="C8848" s="223"/>
      <c r="D8848" s="316"/>
      <c r="H8848" s="223">
        <v>0.0</v>
      </c>
      <c r="K8848" s="317"/>
    </row>
    <row r="8849">
      <c r="B8849" s="223" t="s">
        <v>200</v>
      </c>
      <c r="C8849" s="223"/>
      <c r="D8849" s="316"/>
      <c r="H8849" s="223">
        <v>0.0</v>
      </c>
      <c r="K8849" s="317"/>
    </row>
    <row r="8850">
      <c r="B8850" s="223" t="s">
        <v>200</v>
      </c>
      <c r="C8850" s="223"/>
      <c r="D8850" s="316"/>
      <c r="H8850" s="223">
        <v>0.0</v>
      </c>
      <c r="K8850" s="317"/>
    </row>
    <row r="8851">
      <c r="B8851" s="223" t="s">
        <v>200</v>
      </c>
      <c r="C8851" s="223"/>
      <c r="D8851" s="316"/>
      <c r="H8851" s="223">
        <v>0.0</v>
      </c>
      <c r="K8851" s="317"/>
    </row>
    <row r="8852">
      <c r="B8852" s="223" t="s">
        <v>200</v>
      </c>
      <c r="C8852" s="223"/>
      <c r="D8852" s="316"/>
      <c r="H8852" s="223">
        <v>0.0</v>
      </c>
      <c r="K8852" s="317"/>
    </row>
    <row r="8853">
      <c r="B8853" s="223" t="s">
        <v>200</v>
      </c>
      <c r="C8853" s="223"/>
      <c r="D8853" s="316"/>
      <c r="H8853" s="223">
        <v>0.0</v>
      </c>
      <c r="K8853" s="317"/>
    </row>
    <row r="8854">
      <c r="B8854" s="223" t="s">
        <v>200</v>
      </c>
      <c r="C8854" s="223"/>
      <c r="D8854" s="316"/>
      <c r="H8854" s="223">
        <v>0.0</v>
      </c>
      <c r="K8854" s="317"/>
    </row>
    <row r="8855">
      <c r="B8855" s="223" t="s">
        <v>200</v>
      </c>
      <c r="C8855" s="223"/>
      <c r="D8855" s="316"/>
      <c r="H8855" s="223">
        <v>0.0</v>
      </c>
      <c r="K8855" s="317"/>
    </row>
    <row r="8856">
      <c r="B8856" s="223" t="s">
        <v>200</v>
      </c>
      <c r="C8856" s="223"/>
      <c r="D8856" s="316"/>
      <c r="H8856" s="223">
        <v>0.0</v>
      </c>
      <c r="K8856" s="317"/>
    </row>
    <row r="8857">
      <c r="B8857" s="223" t="s">
        <v>200</v>
      </c>
      <c r="C8857" s="223"/>
      <c r="D8857" s="316"/>
      <c r="H8857" s="223">
        <v>0.0</v>
      </c>
      <c r="K8857" s="317"/>
    </row>
    <row r="8858">
      <c r="B8858" s="223" t="s">
        <v>200</v>
      </c>
      <c r="C8858" s="223"/>
      <c r="D8858" s="316"/>
      <c r="H8858" s="223">
        <v>0.0</v>
      </c>
      <c r="K8858" s="317"/>
    </row>
    <row r="8859">
      <c r="B8859" s="223" t="s">
        <v>200</v>
      </c>
      <c r="C8859" s="223"/>
      <c r="D8859" s="316"/>
      <c r="H8859" s="223">
        <v>0.0</v>
      </c>
      <c r="K8859" s="317"/>
    </row>
    <row r="8860">
      <c r="B8860" s="223" t="s">
        <v>200</v>
      </c>
      <c r="C8860" s="223"/>
      <c r="D8860" s="316"/>
      <c r="H8860" s="223">
        <v>0.0</v>
      </c>
      <c r="K8860" s="317"/>
    </row>
    <row r="8861">
      <c r="B8861" s="223" t="s">
        <v>200</v>
      </c>
      <c r="C8861" s="223"/>
      <c r="D8861" s="316"/>
      <c r="H8861" s="223">
        <v>0.0</v>
      </c>
      <c r="K8861" s="317"/>
    </row>
    <row r="8862">
      <c r="B8862" s="223" t="s">
        <v>200</v>
      </c>
      <c r="C8862" s="223"/>
      <c r="D8862" s="316"/>
      <c r="H8862" s="223">
        <v>0.0</v>
      </c>
      <c r="K8862" s="317"/>
    </row>
    <row r="8863">
      <c r="B8863" s="223" t="s">
        <v>200</v>
      </c>
      <c r="C8863" s="223"/>
      <c r="D8863" s="316"/>
      <c r="H8863" s="223">
        <v>0.0</v>
      </c>
      <c r="K8863" s="317"/>
    </row>
    <row r="8864">
      <c r="B8864" s="223" t="s">
        <v>200</v>
      </c>
      <c r="C8864" s="223"/>
      <c r="D8864" s="316"/>
      <c r="H8864" s="223">
        <v>0.0</v>
      </c>
      <c r="K8864" s="317"/>
    </row>
    <row r="8865">
      <c r="B8865" s="223" t="s">
        <v>200</v>
      </c>
      <c r="C8865" s="223"/>
      <c r="D8865" s="316"/>
      <c r="H8865" s="223">
        <v>0.0</v>
      </c>
      <c r="K8865" s="317"/>
    </row>
    <row r="8866">
      <c r="B8866" s="223" t="s">
        <v>200</v>
      </c>
      <c r="C8866" s="223"/>
      <c r="D8866" s="316"/>
      <c r="H8866" s="223">
        <v>0.0</v>
      </c>
      <c r="K8866" s="317"/>
    </row>
    <row r="8867">
      <c r="B8867" s="223" t="s">
        <v>200</v>
      </c>
      <c r="C8867" s="223"/>
      <c r="D8867" s="316"/>
      <c r="H8867" s="223">
        <v>0.0</v>
      </c>
      <c r="K8867" s="317"/>
    </row>
    <row r="8868">
      <c r="B8868" s="223" t="s">
        <v>200</v>
      </c>
      <c r="C8868" s="223"/>
      <c r="D8868" s="316"/>
      <c r="H8868" s="223">
        <v>0.0</v>
      </c>
      <c r="K8868" s="317"/>
    </row>
    <row r="8869">
      <c r="B8869" s="223" t="s">
        <v>200</v>
      </c>
      <c r="C8869" s="223"/>
      <c r="D8869" s="316"/>
      <c r="H8869" s="223">
        <v>0.0</v>
      </c>
      <c r="K8869" s="317"/>
    </row>
    <row r="8870">
      <c r="B8870" s="223" t="s">
        <v>200</v>
      </c>
      <c r="C8870" s="223"/>
      <c r="D8870" s="316"/>
      <c r="H8870" s="223">
        <v>0.0</v>
      </c>
      <c r="K8870" s="317"/>
    </row>
    <row r="8871">
      <c r="B8871" s="223" t="s">
        <v>200</v>
      </c>
      <c r="C8871" s="223"/>
      <c r="D8871" s="316"/>
      <c r="H8871" s="223">
        <v>0.0</v>
      </c>
      <c r="K8871" s="317"/>
    </row>
    <row r="8872">
      <c r="B8872" s="223" t="s">
        <v>200</v>
      </c>
      <c r="C8872" s="223"/>
      <c r="D8872" s="316"/>
      <c r="H8872" s="223">
        <v>0.0</v>
      </c>
      <c r="K8872" s="317"/>
    </row>
    <row r="8873">
      <c r="B8873" s="223" t="s">
        <v>200</v>
      </c>
      <c r="C8873" s="223"/>
      <c r="D8873" s="316"/>
      <c r="H8873" s="223">
        <v>0.0</v>
      </c>
      <c r="K8873" s="317"/>
    </row>
    <row r="8874">
      <c r="B8874" s="223" t="s">
        <v>200</v>
      </c>
      <c r="C8874" s="223"/>
      <c r="D8874" s="316"/>
      <c r="H8874" s="223">
        <v>0.0</v>
      </c>
      <c r="K8874" s="317"/>
    </row>
    <row r="8875">
      <c r="B8875" s="223" t="s">
        <v>200</v>
      </c>
      <c r="C8875" s="223"/>
      <c r="D8875" s="316"/>
      <c r="H8875" s="223">
        <v>0.0</v>
      </c>
      <c r="K8875" s="317"/>
    </row>
    <row r="8876">
      <c r="B8876" s="223" t="s">
        <v>200</v>
      </c>
      <c r="C8876" s="223"/>
      <c r="D8876" s="316"/>
      <c r="H8876" s="223">
        <v>0.0</v>
      </c>
      <c r="K8876" s="317"/>
    </row>
    <row r="8877">
      <c r="B8877" s="223" t="s">
        <v>200</v>
      </c>
      <c r="C8877" s="223"/>
      <c r="D8877" s="316"/>
      <c r="H8877" s="223">
        <v>0.0</v>
      </c>
      <c r="K8877" s="317"/>
    </row>
    <row r="8878">
      <c r="B8878" s="223" t="s">
        <v>200</v>
      </c>
      <c r="C8878" s="223"/>
      <c r="D8878" s="316"/>
      <c r="H8878" s="223">
        <v>0.0</v>
      </c>
      <c r="K8878" s="317"/>
    </row>
    <row r="8879">
      <c r="B8879" s="223" t="s">
        <v>200</v>
      </c>
      <c r="C8879" s="223"/>
      <c r="D8879" s="316"/>
      <c r="H8879" s="223">
        <v>0.0</v>
      </c>
      <c r="K8879" s="317"/>
    </row>
    <row r="8880">
      <c r="B8880" s="223" t="s">
        <v>200</v>
      </c>
      <c r="C8880" s="223"/>
      <c r="D8880" s="316"/>
      <c r="H8880" s="223">
        <v>0.0</v>
      </c>
      <c r="K8880" s="317"/>
    </row>
    <row r="8881">
      <c r="B8881" s="223" t="s">
        <v>200</v>
      </c>
      <c r="C8881" s="223"/>
      <c r="D8881" s="316"/>
      <c r="H8881" s="223">
        <v>0.0</v>
      </c>
      <c r="K8881" s="317"/>
    </row>
    <row r="8882">
      <c r="B8882" s="223" t="s">
        <v>200</v>
      </c>
      <c r="C8882" s="223"/>
      <c r="D8882" s="316"/>
      <c r="H8882" s="223">
        <v>0.0</v>
      </c>
      <c r="K8882" s="317"/>
    </row>
    <row r="8883">
      <c r="B8883" s="223" t="s">
        <v>200</v>
      </c>
      <c r="C8883" s="223"/>
      <c r="D8883" s="316"/>
      <c r="H8883" s="223">
        <v>0.0</v>
      </c>
      <c r="K8883" s="317"/>
    </row>
    <row r="8884">
      <c r="B8884" s="223" t="s">
        <v>200</v>
      </c>
      <c r="C8884" s="223"/>
      <c r="D8884" s="316"/>
      <c r="H8884" s="223">
        <v>0.0</v>
      </c>
      <c r="K8884" s="317"/>
    </row>
    <row r="8885">
      <c r="B8885" s="223" t="s">
        <v>200</v>
      </c>
      <c r="C8885" s="223"/>
      <c r="D8885" s="316"/>
      <c r="H8885" s="223">
        <v>0.0</v>
      </c>
      <c r="K8885" s="317"/>
    </row>
    <row r="8886">
      <c r="B8886" s="223" t="s">
        <v>200</v>
      </c>
      <c r="C8886" s="223"/>
      <c r="D8886" s="316"/>
      <c r="H8886" s="223">
        <v>0.0</v>
      </c>
      <c r="K8886" s="317"/>
    </row>
    <row r="8887">
      <c r="B8887" s="223" t="s">
        <v>200</v>
      </c>
      <c r="C8887" s="223"/>
      <c r="D8887" s="316"/>
      <c r="H8887" s="223">
        <v>0.0</v>
      </c>
      <c r="K8887" s="317"/>
    </row>
    <row r="8888">
      <c r="B8888" s="223" t="s">
        <v>200</v>
      </c>
      <c r="C8888" s="223"/>
      <c r="D8888" s="316"/>
      <c r="H8888" s="223">
        <v>0.0</v>
      </c>
      <c r="K8888" s="317"/>
    </row>
    <row r="8889">
      <c r="B8889" s="223" t="s">
        <v>200</v>
      </c>
      <c r="C8889" s="223"/>
      <c r="D8889" s="316"/>
      <c r="H8889" s="223">
        <v>0.0</v>
      </c>
      <c r="K8889" s="317"/>
    </row>
    <row r="8890">
      <c r="B8890" s="223" t="s">
        <v>200</v>
      </c>
      <c r="C8890" s="223"/>
      <c r="D8890" s="316"/>
      <c r="H8890" s="223">
        <v>0.0</v>
      </c>
      <c r="K8890" s="317"/>
    </row>
    <row r="8891">
      <c r="B8891" s="223" t="s">
        <v>200</v>
      </c>
      <c r="C8891" s="223"/>
      <c r="D8891" s="316"/>
      <c r="H8891" s="223">
        <v>0.0</v>
      </c>
      <c r="K8891" s="317"/>
    </row>
    <row r="8892">
      <c r="B8892" s="223" t="s">
        <v>200</v>
      </c>
      <c r="C8892" s="223"/>
      <c r="D8892" s="316"/>
      <c r="H8892" s="223">
        <v>0.0</v>
      </c>
      <c r="K8892" s="317"/>
    </row>
    <row r="8893">
      <c r="B8893" s="223" t="s">
        <v>200</v>
      </c>
      <c r="C8893" s="223"/>
      <c r="D8893" s="316"/>
      <c r="H8893" s="223">
        <v>0.0</v>
      </c>
      <c r="K8893" s="317"/>
    </row>
    <row r="8894">
      <c r="B8894" s="223" t="s">
        <v>200</v>
      </c>
      <c r="C8894" s="223"/>
      <c r="D8894" s="316"/>
      <c r="H8894" s="223">
        <v>0.0</v>
      </c>
      <c r="K8894" s="317"/>
    </row>
    <row r="8895">
      <c r="B8895" s="223" t="s">
        <v>200</v>
      </c>
      <c r="C8895" s="223"/>
      <c r="D8895" s="316"/>
      <c r="H8895" s="223">
        <v>0.0</v>
      </c>
      <c r="K8895" s="317"/>
    </row>
    <row r="8896">
      <c r="B8896" s="223" t="s">
        <v>200</v>
      </c>
      <c r="C8896" s="223"/>
      <c r="D8896" s="316"/>
      <c r="H8896" s="223">
        <v>0.0</v>
      </c>
      <c r="K8896" s="317"/>
    </row>
    <row r="8897">
      <c r="B8897" s="223" t="s">
        <v>200</v>
      </c>
      <c r="C8897" s="223"/>
      <c r="D8897" s="316"/>
      <c r="H8897" s="223">
        <v>0.0</v>
      </c>
      <c r="K8897" s="317"/>
    </row>
    <row r="8898">
      <c r="B8898" s="223" t="s">
        <v>200</v>
      </c>
      <c r="C8898" s="223"/>
      <c r="D8898" s="316"/>
      <c r="H8898" s="223">
        <v>0.0</v>
      </c>
      <c r="K8898" s="317"/>
    </row>
    <row r="8899">
      <c r="B8899" s="223" t="s">
        <v>200</v>
      </c>
      <c r="C8899" s="223"/>
      <c r="D8899" s="316"/>
      <c r="H8899" s="223">
        <v>0.0</v>
      </c>
      <c r="K8899" s="317"/>
    </row>
    <row r="8900">
      <c r="B8900" s="223" t="s">
        <v>200</v>
      </c>
      <c r="C8900" s="223"/>
      <c r="D8900" s="316"/>
      <c r="H8900" s="223">
        <v>0.0</v>
      </c>
      <c r="K8900" s="317"/>
    </row>
    <row r="8901">
      <c r="B8901" s="223" t="s">
        <v>200</v>
      </c>
      <c r="C8901" s="223"/>
      <c r="D8901" s="316"/>
      <c r="H8901" s="223">
        <v>0.0</v>
      </c>
      <c r="K8901" s="317"/>
    </row>
    <row r="8902">
      <c r="B8902" s="223" t="s">
        <v>200</v>
      </c>
      <c r="C8902" s="223"/>
      <c r="D8902" s="316"/>
      <c r="H8902" s="223">
        <v>0.0</v>
      </c>
      <c r="K8902" s="317"/>
    </row>
    <row r="8903">
      <c r="B8903" s="223" t="s">
        <v>200</v>
      </c>
      <c r="C8903" s="223"/>
      <c r="D8903" s="316"/>
      <c r="H8903" s="223">
        <v>0.0</v>
      </c>
      <c r="K8903" s="317"/>
    </row>
    <row r="8904">
      <c r="B8904" s="223" t="s">
        <v>200</v>
      </c>
      <c r="C8904" s="223"/>
      <c r="D8904" s="316"/>
      <c r="H8904" s="223">
        <v>0.0</v>
      </c>
      <c r="K8904" s="317"/>
    </row>
    <row r="8905">
      <c r="B8905" s="223" t="s">
        <v>200</v>
      </c>
      <c r="C8905" s="223"/>
      <c r="D8905" s="316"/>
      <c r="H8905" s="223">
        <v>0.0</v>
      </c>
      <c r="K8905" s="317"/>
    </row>
    <row r="8906">
      <c r="B8906" s="223" t="s">
        <v>200</v>
      </c>
      <c r="C8906" s="223"/>
      <c r="D8906" s="316"/>
      <c r="H8906" s="223">
        <v>0.0</v>
      </c>
      <c r="K8906" s="317"/>
    </row>
    <row r="8907">
      <c r="B8907" s="223" t="s">
        <v>200</v>
      </c>
      <c r="C8907" s="223"/>
      <c r="D8907" s="316"/>
      <c r="H8907" s="223">
        <v>0.0</v>
      </c>
      <c r="K8907" s="317"/>
    </row>
    <row r="8908">
      <c r="B8908" s="223" t="s">
        <v>200</v>
      </c>
      <c r="C8908" s="223"/>
      <c r="D8908" s="316"/>
      <c r="H8908" s="223">
        <v>0.0</v>
      </c>
      <c r="K8908" s="317"/>
    </row>
    <row r="8909">
      <c r="B8909" s="223" t="s">
        <v>200</v>
      </c>
      <c r="C8909" s="223"/>
      <c r="D8909" s="316"/>
      <c r="H8909" s="223">
        <v>0.0</v>
      </c>
      <c r="K8909" s="317"/>
    </row>
    <row r="8910">
      <c r="B8910" s="223" t="s">
        <v>200</v>
      </c>
      <c r="C8910" s="223"/>
      <c r="D8910" s="316"/>
      <c r="H8910" s="223">
        <v>0.0</v>
      </c>
      <c r="K8910" s="317"/>
    </row>
    <row r="8911">
      <c r="B8911" s="223" t="s">
        <v>200</v>
      </c>
      <c r="C8911" s="223"/>
      <c r="D8911" s="316"/>
      <c r="H8911" s="223">
        <v>0.0</v>
      </c>
      <c r="K8911" s="317"/>
    </row>
    <row r="8912">
      <c r="B8912" s="223" t="s">
        <v>200</v>
      </c>
      <c r="C8912" s="223"/>
      <c r="D8912" s="316"/>
      <c r="H8912" s="223">
        <v>0.0</v>
      </c>
      <c r="K8912" s="317"/>
    </row>
    <row r="8913">
      <c r="B8913" s="223" t="s">
        <v>200</v>
      </c>
      <c r="C8913" s="223"/>
      <c r="D8913" s="316"/>
      <c r="H8913" s="223">
        <v>0.0</v>
      </c>
      <c r="K8913" s="317"/>
    </row>
    <row r="8914">
      <c r="B8914" s="223" t="s">
        <v>200</v>
      </c>
      <c r="C8914" s="223"/>
      <c r="D8914" s="316"/>
      <c r="H8914" s="223">
        <v>0.0</v>
      </c>
      <c r="K8914" s="317"/>
    </row>
    <row r="8915">
      <c r="B8915" s="223" t="s">
        <v>200</v>
      </c>
      <c r="C8915" s="223"/>
      <c r="D8915" s="316"/>
      <c r="H8915" s="223">
        <v>0.0</v>
      </c>
      <c r="K8915" s="317"/>
    </row>
    <row r="8916">
      <c r="B8916" s="223" t="s">
        <v>200</v>
      </c>
      <c r="C8916" s="223"/>
      <c r="D8916" s="316"/>
      <c r="H8916" s="223">
        <v>0.0</v>
      </c>
      <c r="K8916" s="317"/>
    </row>
    <row r="8917">
      <c r="B8917" s="223" t="s">
        <v>200</v>
      </c>
      <c r="C8917" s="223"/>
      <c r="D8917" s="316"/>
      <c r="H8917" s="223">
        <v>0.0</v>
      </c>
      <c r="K8917" s="317"/>
    </row>
    <row r="8918">
      <c r="B8918" s="223" t="s">
        <v>200</v>
      </c>
      <c r="C8918" s="223"/>
      <c r="D8918" s="316"/>
      <c r="H8918" s="223">
        <v>0.0</v>
      </c>
      <c r="K8918" s="317"/>
    </row>
    <row r="8919">
      <c r="B8919" s="223" t="s">
        <v>200</v>
      </c>
      <c r="C8919" s="223"/>
      <c r="D8919" s="316"/>
      <c r="H8919" s="223">
        <v>0.0</v>
      </c>
      <c r="K8919" s="317"/>
    </row>
    <row r="8920">
      <c r="B8920" s="223" t="s">
        <v>200</v>
      </c>
      <c r="C8920" s="223"/>
      <c r="D8920" s="316"/>
      <c r="H8920" s="223">
        <v>0.0</v>
      </c>
      <c r="K8920" s="317"/>
    </row>
    <row r="8921">
      <c r="B8921" s="223" t="s">
        <v>200</v>
      </c>
      <c r="C8921" s="223"/>
      <c r="D8921" s="316"/>
      <c r="H8921" s="223">
        <v>0.0</v>
      </c>
      <c r="K8921" s="317"/>
    </row>
    <row r="8922">
      <c r="B8922" s="223" t="s">
        <v>200</v>
      </c>
      <c r="C8922" s="223"/>
      <c r="D8922" s="316"/>
      <c r="H8922" s="223">
        <v>0.0</v>
      </c>
      <c r="K8922" s="317"/>
    </row>
    <row r="8923">
      <c r="B8923" s="223" t="s">
        <v>200</v>
      </c>
      <c r="C8923" s="223"/>
      <c r="D8923" s="316"/>
      <c r="H8923" s="223">
        <v>0.0</v>
      </c>
      <c r="K8923" s="317"/>
    </row>
    <row r="8924">
      <c r="B8924" s="223" t="s">
        <v>200</v>
      </c>
      <c r="C8924" s="223"/>
      <c r="D8924" s="316"/>
      <c r="H8924" s="223">
        <v>0.0</v>
      </c>
      <c r="K8924" s="317"/>
    </row>
    <row r="8925">
      <c r="B8925" s="223" t="s">
        <v>200</v>
      </c>
      <c r="C8925" s="223"/>
      <c r="D8925" s="316"/>
      <c r="H8925" s="223">
        <v>0.0</v>
      </c>
      <c r="K8925" s="317"/>
    </row>
    <row r="8926">
      <c r="B8926" s="223" t="s">
        <v>200</v>
      </c>
      <c r="C8926" s="223"/>
      <c r="D8926" s="316"/>
      <c r="H8926" s="223">
        <v>0.0</v>
      </c>
      <c r="K8926" s="317"/>
    </row>
    <row r="8927">
      <c r="B8927" s="223" t="s">
        <v>200</v>
      </c>
      <c r="C8927" s="223"/>
      <c r="D8927" s="316"/>
      <c r="H8927" s="223">
        <v>0.0</v>
      </c>
      <c r="K8927" s="317"/>
    </row>
    <row r="8928">
      <c r="B8928" s="223" t="s">
        <v>200</v>
      </c>
      <c r="C8928" s="223"/>
      <c r="D8928" s="316"/>
      <c r="H8928" s="223">
        <v>0.0</v>
      </c>
      <c r="K8928" s="317"/>
    </row>
    <row r="8929">
      <c r="B8929" s="223" t="s">
        <v>200</v>
      </c>
      <c r="C8929" s="223"/>
      <c r="D8929" s="316"/>
      <c r="H8929" s="223">
        <v>0.0</v>
      </c>
      <c r="K8929" s="317"/>
    </row>
    <row r="8930">
      <c r="B8930" s="223" t="s">
        <v>200</v>
      </c>
      <c r="C8930" s="223"/>
      <c r="D8930" s="316"/>
      <c r="H8930" s="223">
        <v>0.0</v>
      </c>
      <c r="K8930" s="317"/>
    </row>
    <row r="8931">
      <c r="B8931" s="223" t="s">
        <v>200</v>
      </c>
      <c r="C8931" s="223"/>
      <c r="D8931" s="316"/>
      <c r="H8931" s="223">
        <v>0.0</v>
      </c>
      <c r="K8931" s="317"/>
    </row>
    <row r="8932">
      <c r="B8932" s="223" t="s">
        <v>200</v>
      </c>
      <c r="C8932" s="223"/>
      <c r="D8932" s="316"/>
      <c r="H8932" s="223">
        <v>0.0</v>
      </c>
      <c r="K8932" s="317"/>
    </row>
    <row r="8933">
      <c r="B8933" s="223" t="s">
        <v>200</v>
      </c>
      <c r="C8933" s="223"/>
      <c r="D8933" s="316"/>
      <c r="H8933" s="223">
        <v>0.0</v>
      </c>
      <c r="K8933" s="317"/>
    </row>
    <row r="8934">
      <c r="B8934" s="223" t="s">
        <v>200</v>
      </c>
      <c r="C8934" s="223"/>
      <c r="D8934" s="316"/>
      <c r="H8934" s="223">
        <v>0.0</v>
      </c>
      <c r="K8934" s="317"/>
    </row>
    <row r="8935">
      <c r="B8935" s="223" t="s">
        <v>200</v>
      </c>
      <c r="C8935" s="223"/>
      <c r="D8935" s="316"/>
      <c r="H8935" s="223">
        <v>0.0</v>
      </c>
      <c r="K8935" s="317"/>
    </row>
    <row r="8936">
      <c r="B8936" s="223" t="s">
        <v>200</v>
      </c>
      <c r="C8936" s="223"/>
      <c r="D8936" s="316"/>
      <c r="H8936" s="223">
        <v>0.0</v>
      </c>
      <c r="K8936" s="317"/>
    </row>
    <row r="8937">
      <c r="B8937" s="223" t="s">
        <v>200</v>
      </c>
      <c r="C8937" s="223"/>
      <c r="D8937" s="316"/>
      <c r="H8937" s="223">
        <v>0.0</v>
      </c>
      <c r="K8937" s="317"/>
    </row>
    <row r="8938">
      <c r="B8938" s="223" t="s">
        <v>200</v>
      </c>
      <c r="C8938" s="223"/>
      <c r="D8938" s="316"/>
      <c r="H8938" s="223">
        <v>0.0</v>
      </c>
      <c r="K8938" s="317"/>
    </row>
    <row r="8939">
      <c r="B8939" s="223" t="s">
        <v>200</v>
      </c>
      <c r="C8939" s="223"/>
      <c r="D8939" s="316"/>
      <c r="H8939" s="223">
        <v>0.0</v>
      </c>
      <c r="K8939" s="317"/>
    </row>
    <row r="8940">
      <c r="B8940" s="223" t="s">
        <v>200</v>
      </c>
      <c r="C8940" s="223"/>
      <c r="D8940" s="316"/>
      <c r="H8940" s="223">
        <v>0.0</v>
      </c>
      <c r="K8940" s="317"/>
    </row>
    <row r="8941">
      <c r="B8941" s="223" t="s">
        <v>200</v>
      </c>
      <c r="C8941" s="223"/>
      <c r="D8941" s="316"/>
      <c r="H8941" s="223">
        <v>0.0</v>
      </c>
      <c r="K8941" s="317"/>
    </row>
    <row r="8942">
      <c r="B8942" s="223" t="s">
        <v>200</v>
      </c>
      <c r="C8942" s="223"/>
      <c r="D8942" s="316"/>
      <c r="H8942" s="223">
        <v>0.0</v>
      </c>
      <c r="K8942" s="317"/>
    </row>
    <row r="8943">
      <c r="B8943" s="223" t="s">
        <v>200</v>
      </c>
      <c r="C8943" s="223"/>
      <c r="D8943" s="316"/>
      <c r="H8943" s="223">
        <v>0.0</v>
      </c>
      <c r="K8943" s="317"/>
    </row>
    <row r="8944">
      <c r="B8944" s="223" t="s">
        <v>200</v>
      </c>
      <c r="C8944" s="223"/>
      <c r="D8944" s="316"/>
      <c r="H8944" s="223">
        <v>0.0</v>
      </c>
      <c r="K8944" s="317"/>
    </row>
    <row r="8945">
      <c r="B8945" s="223" t="s">
        <v>200</v>
      </c>
      <c r="C8945" s="223"/>
      <c r="D8945" s="316"/>
      <c r="H8945" s="223">
        <v>0.0</v>
      </c>
      <c r="K8945" s="317"/>
    </row>
    <row r="8946">
      <c r="B8946" s="223" t="s">
        <v>200</v>
      </c>
      <c r="C8946" s="223"/>
      <c r="D8946" s="316"/>
      <c r="H8946" s="223">
        <v>0.0</v>
      </c>
      <c r="K8946" s="317"/>
    </row>
    <row r="8947">
      <c r="B8947" s="223" t="s">
        <v>200</v>
      </c>
      <c r="C8947" s="223"/>
      <c r="D8947" s="316"/>
      <c r="H8947" s="223">
        <v>0.0</v>
      </c>
      <c r="K8947" s="317"/>
    </row>
    <row r="8948">
      <c r="B8948" s="223" t="s">
        <v>200</v>
      </c>
      <c r="C8948" s="223"/>
      <c r="D8948" s="316"/>
      <c r="H8948" s="223">
        <v>0.0</v>
      </c>
      <c r="K8948" s="317"/>
    </row>
    <row r="8949">
      <c r="B8949" s="223" t="s">
        <v>200</v>
      </c>
      <c r="C8949" s="223"/>
      <c r="D8949" s="316"/>
      <c r="H8949" s="223">
        <v>0.0</v>
      </c>
      <c r="K8949" s="317"/>
    </row>
    <row r="8950">
      <c r="B8950" s="223" t="s">
        <v>200</v>
      </c>
      <c r="C8950" s="223"/>
      <c r="D8950" s="316"/>
      <c r="H8950" s="223">
        <v>0.0</v>
      </c>
      <c r="K8950" s="317"/>
    </row>
    <row r="8951">
      <c r="B8951" s="223" t="s">
        <v>200</v>
      </c>
      <c r="C8951" s="223"/>
      <c r="D8951" s="316"/>
      <c r="H8951" s="223">
        <v>0.0</v>
      </c>
      <c r="K8951" s="317"/>
    </row>
    <row r="8952">
      <c r="B8952" s="223" t="s">
        <v>200</v>
      </c>
      <c r="C8952" s="223"/>
      <c r="D8952" s="316"/>
      <c r="H8952" s="223">
        <v>0.0</v>
      </c>
      <c r="K8952" s="317"/>
    </row>
    <row r="8953">
      <c r="B8953" s="223" t="s">
        <v>200</v>
      </c>
      <c r="C8953" s="223"/>
      <c r="D8953" s="316"/>
      <c r="H8953" s="223">
        <v>0.0</v>
      </c>
      <c r="K8953" s="317"/>
    </row>
    <row r="8954">
      <c r="B8954" s="223" t="s">
        <v>200</v>
      </c>
      <c r="C8954" s="223"/>
      <c r="D8954" s="316"/>
      <c r="H8954" s="223">
        <v>0.0</v>
      </c>
      <c r="K8954" s="317"/>
    </row>
    <row r="8955">
      <c r="B8955" s="223" t="s">
        <v>200</v>
      </c>
      <c r="C8955" s="223"/>
      <c r="D8955" s="316"/>
      <c r="H8955" s="223">
        <v>0.0</v>
      </c>
      <c r="K8955" s="317"/>
    </row>
    <row r="8956">
      <c r="B8956" s="223" t="s">
        <v>200</v>
      </c>
      <c r="C8956" s="223"/>
      <c r="D8956" s="316"/>
      <c r="H8956" s="223">
        <v>0.0</v>
      </c>
      <c r="K8956" s="317"/>
    </row>
    <row r="8957">
      <c r="B8957" s="223" t="s">
        <v>200</v>
      </c>
      <c r="C8957" s="223"/>
      <c r="D8957" s="316"/>
      <c r="H8957" s="223">
        <v>0.0</v>
      </c>
      <c r="K8957" s="317"/>
    </row>
    <row r="8958">
      <c r="B8958" s="223" t="s">
        <v>200</v>
      </c>
      <c r="C8958" s="223"/>
      <c r="D8958" s="316"/>
      <c r="H8958" s="223">
        <v>0.0</v>
      </c>
      <c r="K8958" s="317"/>
    </row>
    <row r="8959">
      <c r="B8959" s="223" t="s">
        <v>200</v>
      </c>
      <c r="C8959" s="223"/>
      <c r="D8959" s="316"/>
      <c r="H8959" s="223">
        <v>0.0</v>
      </c>
      <c r="K8959" s="317"/>
    </row>
    <row r="8960">
      <c r="B8960" s="223" t="s">
        <v>200</v>
      </c>
      <c r="C8960" s="223"/>
      <c r="D8960" s="316"/>
      <c r="H8960" s="223">
        <v>0.0</v>
      </c>
      <c r="K8960" s="317"/>
    </row>
    <row r="8961">
      <c r="B8961" s="223" t="s">
        <v>200</v>
      </c>
      <c r="C8961" s="223"/>
      <c r="D8961" s="316"/>
      <c r="H8961" s="223">
        <v>0.0</v>
      </c>
      <c r="K8961" s="317"/>
    </row>
    <row r="8962">
      <c r="B8962" s="223" t="s">
        <v>200</v>
      </c>
      <c r="C8962" s="223"/>
      <c r="D8962" s="316"/>
      <c r="H8962" s="223">
        <v>0.0</v>
      </c>
      <c r="K8962" s="317"/>
    </row>
    <row r="8963">
      <c r="B8963" s="223" t="s">
        <v>200</v>
      </c>
      <c r="C8963" s="223"/>
      <c r="D8963" s="316"/>
      <c r="H8963" s="223">
        <v>0.0</v>
      </c>
      <c r="K8963" s="317"/>
    </row>
    <row r="8964">
      <c r="B8964" s="223" t="s">
        <v>200</v>
      </c>
      <c r="C8964" s="223"/>
      <c r="D8964" s="316"/>
      <c r="H8964" s="223">
        <v>0.0</v>
      </c>
      <c r="K8964" s="317"/>
    </row>
    <row r="8965">
      <c r="B8965" s="223" t="s">
        <v>200</v>
      </c>
      <c r="C8965" s="223"/>
      <c r="D8965" s="316"/>
      <c r="H8965" s="223">
        <v>0.0</v>
      </c>
      <c r="K8965" s="317"/>
    </row>
    <row r="8966">
      <c r="B8966" s="223" t="s">
        <v>200</v>
      </c>
      <c r="C8966" s="223"/>
      <c r="D8966" s="316"/>
      <c r="H8966" s="223">
        <v>0.0</v>
      </c>
      <c r="K8966" s="317"/>
    </row>
    <row r="8967">
      <c r="B8967" s="223" t="s">
        <v>200</v>
      </c>
      <c r="C8967" s="223"/>
      <c r="D8967" s="316"/>
      <c r="H8967" s="223">
        <v>0.0</v>
      </c>
      <c r="K8967" s="317"/>
    </row>
    <row r="8968">
      <c r="B8968" s="223" t="s">
        <v>200</v>
      </c>
      <c r="C8968" s="223"/>
      <c r="D8968" s="316"/>
      <c r="H8968" s="223">
        <v>0.0</v>
      </c>
      <c r="K8968" s="317"/>
    </row>
    <row r="8969">
      <c r="B8969" s="223" t="s">
        <v>200</v>
      </c>
      <c r="C8969" s="223"/>
      <c r="D8969" s="316"/>
      <c r="H8969" s="223">
        <v>0.0</v>
      </c>
      <c r="K8969" s="317"/>
    </row>
    <row r="8970">
      <c r="B8970" s="223" t="s">
        <v>200</v>
      </c>
      <c r="C8970" s="223"/>
      <c r="D8970" s="316"/>
      <c r="H8970" s="223">
        <v>0.0</v>
      </c>
      <c r="K8970" s="317"/>
    </row>
    <row r="8971">
      <c r="B8971" s="223" t="s">
        <v>200</v>
      </c>
      <c r="C8971" s="223"/>
      <c r="D8971" s="316"/>
      <c r="H8971" s="223">
        <v>0.0</v>
      </c>
      <c r="K8971" s="317"/>
    </row>
    <row r="8972">
      <c r="B8972" s="223" t="s">
        <v>200</v>
      </c>
      <c r="C8972" s="223"/>
      <c r="D8972" s="316"/>
      <c r="H8972" s="223">
        <v>0.0</v>
      </c>
      <c r="K8972" s="317"/>
    </row>
    <row r="8973">
      <c r="B8973" s="223" t="s">
        <v>200</v>
      </c>
      <c r="C8973" s="223"/>
      <c r="D8973" s="316"/>
      <c r="H8973" s="223">
        <v>0.0</v>
      </c>
      <c r="K8973" s="317"/>
    </row>
    <row r="8974">
      <c r="B8974" s="223" t="s">
        <v>200</v>
      </c>
      <c r="C8974" s="223"/>
      <c r="D8974" s="316"/>
      <c r="H8974" s="223">
        <v>0.0</v>
      </c>
      <c r="K8974" s="317"/>
    </row>
    <row r="8975">
      <c r="B8975" s="223" t="s">
        <v>200</v>
      </c>
      <c r="C8975" s="223"/>
      <c r="D8975" s="316"/>
      <c r="H8975" s="223">
        <v>0.0</v>
      </c>
      <c r="K8975" s="317"/>
    </row>
    <row r="8976">
      <c r="B8976" s="223" t="s">
        <v>200</v>
      </c>
      <c r="C8976" s="223"/>
      <c r="D8976" s="316"/>
      <c r="H8976" s="223">
        <v>0.0</v>
      </c>
      <c r="K8976" s="317"/>
    </row>
    <row r="8977">
      <c r="B8977" s="223" t="s">
        <v>200</v>
      </c>
      <c r="C8977" s="223"/>
      <c r="D8977" s="316"/>
      <c r="H8977" s="223">
        <v>0.0</v>
      </c>
      <c r="K8977" s="317"/>
    </row>
    <row r="8978">
      <c r="B8978" s="223" t="s">
        <v>200</v>
      </c>
      <c r="C8978" s="223"/>
      <c r="D8978" s="316"/>
      <c r="H8978" s="223">
        <v>0.0</v>
      </c>
      <c r="K8978" s="317"/>
    </row>
    <row r="8979">
      <c r="B8979" s="223" t="s">
        <v>200</v>
      </c>
      <c r="C8979" s="223"/>
      <c r="D8979" s="316"/>
      <c r="H8979" s="223">
        <v>0.0</v>
      </c>
      <c r="K8979" s="317"/>
    </row>
    <row r="8980">
      <c r="B8980" s="223" t="s">
        <v>200</v>
      </c>
      <c r="C8980" s="223"/>
      <c r="D8980" s="316"/>
      <c r="H8980" s="223">
        <v>0.0</v>
      </c>
      <c r="K8980" s="317"/>
    </row>
    <row r="8981">
      <c r="B8981" s="223" t="s">
        <v>200</v>
      </c>
      <c r="C8981" s="223"/>
      <c r="D8981" s="316"/>
      <c r="H8981" s="223">
        <v>0.0</v>
      </c>
      <c r="K8981" s="317"/>
    </row>
    <row r="8982">
      <c r="B8982" s="223" t="s">
        <v>200</v>
      </c>
      <c r="C8982" s="223"/>
      <c r="D8982" s="316"/>
      <c r="H8982" s="223">
        <v>0.0</v>
      </c>
      <c r="K8982" s="317"/>
    </row>
    <row r="8983">
      <c r="B8983" s="223" t="s">
        <v>200</v>
      </c>
      <c r="C8983" s="223"/>
      <c r="D8983" s="316"/>
      <c r="H8983" s="223">
        <v>0.0</v>
      </c>
      <c r="K8983" s="317"/>
    </row>
    <row r="8984">
      <c r="B8984" s="223" t="s">
        <v>200</v>
      </c>
      <c r="C8984" s="223"/>
      <c r="D8984" s="316"/>
      <c r="H8984" s="223">
        <v>0.0</v>
      </c>
      <c r="K8984" s="317"/>
    </row>
    <row r="8985">
      <c r="B8985" s="223" t="s">
        <v>200</v>
      </c>
      <c r="C8985" s="223"/>
      <c r="D8985" s="316"/>
      <c r="H8985" s="223">
        <v>0.0</v>
      </c>
      <c r="K8985" s="317"/>
    </row>
    <row r="8986">
      <c r="B8986" s="223" t="s">
        <v>200</v>
      </c>
      <c r="C8986" s="223"/>
      <c r="D8986" s="316"/>
      <c r="H8986" s="223">
        <v>0.0</v>
      </c>
      <c r="K8986" s="317"/>
    </row>
    <row r="8987">
      <c r="B8987" s="223" t="s">
        <v>200</v>
      </c>
      <c r="C8987" s="223"/>
      <c r="D8987" s="316"/>
      <c r="H8987" s="223">
        <v>0.0</v>
      </c>
      <c r="K8987" s="317"/>
    </row>
    <row r="8988">
      <c r="B8988" s="223" t="s">
        <v>200</v>
      </c>
      <c r="C8988" s="223"/>
      <c r="D8988" s="316"/>
      <c r="H8988" s="223">
        <v>0.0</v>
      </c>
      <c r="K8988" s="317"/>
    </row>
    <row r="8989">
      <c r="B8989" s="223" t="s">
        <v>200</v>
      </c>
      <c r="C8989" s="223"/>
      <c r="D8989" s="316"/>
      <c r="H8989" s="223">
        <v>0.0</v>
      </c>
      <c r="K8989" s="317"/>
    </row>
    <row r="8990">
      <c r="B8990" s="223" t="s">
        <v>200</v>
      </c>
      <c r="C8990" s="223"/>
      <c r="D8990" s="316"/>
      <c r="H8990" s="223">
        <v>0.0</v>
      </c>
      <c r="K8990" s="317"/>
    </row>
    <row r="8991">
      <c r="B8991" s="223" t="s">
        <v>200</v>
      </c>
      <c r="C8991" s="223"/>
      <c r="D8991" s="316"/>
      <c r="H8991" s="223">
        <v>0.0</v>
      </c>
      <c r="K8991" s="317"/>
    </row>
    <row r="8992">
      <c r="B8992" s="223" t="s">
        <v>200</v>
      </c>
      <c r="C8992" s="223"/>
      <c r="D8992" s="316"/>
      <c r="H8992" s="223">
        <v>0.0</v>
      </c>
      <c r="K8992" s="317"/>
    </row>
    <row r="8993">
      <c r="B8993" s="223" t="s">
        <v>200</v>
      </c>
      <c r="C8993" s="223"/>
      <c r="D8993" s="316"/>
      <c r="H8993" s="223">
        <v>0.0</v>
      </c>
      <c r="K8993" s="317"/>
    </row>
    <row r="8994">
      <c r="B8994" s="223" t="s">
        <v>200</v>
      </c>
      <c r="C8994" s="223"/>
      <c r="D8994" s="316"/>
      <c r="H8994" s="223">
        <v>0.0</v>
      </c>
      <c r="K8994" s="317"/>
    </row>
    <row r="8995">
      <c r="B8995" s="223" t="s">
        <v>200</v>
      </c>
      <c r="C8995" s="223"/>
      <c r="D8995" s="316"/>
      <c r="H8995" s="223">
        <v>0.0</v>
      </c>
      <c r="K8995" s="317"/>
    </row>
    <row r="8996">
      <c r="B8996" s="223" t="s">
        <v>200</v>
      </c>
      <c r="C8996" s="223"/>
      <c r="D8996" s="316"/>
      <c r="H8996" s="223">
        <v>0.0</v>
      </c>
      <c r="K8996" s="317"/>
    </row>
    <row r="8997">
      <c r="B8997" s="223" t="s">
        <v>200</v>
      </c>
      <c r="C8997" s="223"/>
      <c r="D8997" s="316"/>
      <c r="H8997" s="223">
        <v>0.0</v>
      </c>
      <c r="K8997" s="317"/>
    </row>
    <row r="8998">
      <c r="B8998" s="223" t="s">
        <v>200</v>
      </c>
      <c r="C8998" s="223"/>
      <c r="D8998" s="316"/>
      <c r="H8998" s="223">
        <v>0.0</v>
      </c>
      <c r="K8998" s="317"/>
    </row>
    <row r="8999">
      <c r="B8999" s="223" t="s">
        <v>200</v>
      </c>
      <c r="C8999" s="223"/>
      <c r="D8999" s="316"/>
      <c r="H8999" s="223">
        <v>0.0</v>
      </c>
      <c r="K8999" s="317"/>
    </row>
    <row r="9000">
      <c r="B9000" s="223" t="s">
        <v>200</v>
      </c>
      <c r="C9000" s="223"/>
      <c r="D9000" s="316"/>
      <c r="H9000" s="223">
        <v>0.0</v>
      </c>
      <c r="K9000" s="317"/>
    </row>
    <row r="9001">
      <c r="B9001" s="223" t="s">
        <v>200</v>
      </c>
      <c r="C9001" s="223"/>
      <c r="D9001" s="316"/>
      <c r="H9001" s="223">
        <v>0.0</v>
      </c>
      <c r="K9001" s="317"/>
    </row>
    <row r="9002">
      <c r="B9002" s="223" t="s">
        <v>200</v>
      </c>
      <c r="C9002" s="223"/>
      <c r="D9002" s="316"/>
      <c r="H9002" s="223">
        <v>0.0</v>
      </c>
      <c r="K9002" s="317"/>
    </row>
    <row r="9003">
      <c r="B9003" s="223" t="s">
        <v>200</v>
      </c>
      <c r="C9003" s="223"/>
      <c r="D9003" s="316"/>
      <c r="H9003" s="223">
        <v>0.0</v>
      </c>
      <c r="K9003" s="317"/>
    </row>
    <row r="9004">
      <c r="B9004" s="223" t="s">
        <v>200</v>
      </c>
      <c r="C9004" s="223"/>
      <c r="D9004" s="316"/>
      <c r="H9004" s="223">
        <v>0.0</v>
      </c>
      <c r="K9004" s="317"/>
    </row>
    <row r="9005">
      <c r="B9005" s="223" t="s">
        <v>200</v>
      </c>
      <c r="C9005" s="223"/>
      <c r="D9005" s="316"/>
      <c r="H9005" s="223">
        <v>0.0</v>
      </c>
      <c r="K9005" s="317"/>
    </row>
    <row r="9006">
      <c r="B9006" s="223" t="s">
        <v>200</v>
      </c>
      <c r="C9006" s="223"/>
      <c r="D9006" s="316"/>
      <c r="H9006" s="223">
        <v>0.0</v>
      </c>
      <c r="K9006" s="317"/>
    </row>
    <row r="9007">
      <c r="B9007" s="223" t="s">
        <v>200</v>
      </c>
      <c r="C9007" s="223"/>
      <c r="D9007" s="316"/>
      <c r="H9007" s="223">
        <v>0.0</v>
      </c>
      <c r="K9007" s="317"/>
    </row>
    <row r="9008">
      <c r="B9008" s="223" t="s">
        <v>200</v>
      </c>
      <c r="C9008" s="223"/>
      <c r="D9008" s="316"/>
      <c r="H9008" s="223">
        <v>0.0</v>
      </c>
      <c r="K9008" s="317"/>
    </row>
    <row r="9009">
      <c r="B9009" s="223" t="s">
        <v>200</v>
      </c>
      <c r="C9009" s="223"/>
      <c r="D9009" s="316"/>
      <c r="H9009" s="223">
        <v>0.0</v>
      </c>
      <c r="K9009" s="317"/>
    </row>
    <row r="9010">
      <c r="B9010" s="223" t="s">
        <v>200</v>
      </c>
      <c r="C9010" s="223"/>
      <c r="D9010" s="316"/>
      <c r="H9010" s="223">
        <v>0.0</v>
      </c>
      <c r="K9010" s="317"/>
    </row>
    <row r="9011">
      <c r="B9011" s="223" t="s">
        <v>200</v>
      </c>
      <c r="C9011" s="223"/>
      <c r="D9011" s="316"/>
      <c r="H9011" s="223">
        <v>0.0</v>
      </c>
      <c r="K9011" s="317"/>
    </row>
    <row r="9012">
      <c r="B9012" s="223" t="s">
        <v>200</v>
      </c>
      <c r="C9012" s="223"/>
      <c r="D9012" s="316"/>
      <c r="H9012" s="223">
        <v>0.0</v>
      </c>
      <c r="K9012" s="317"/>
    </row>
    <row r="9013">
      <c r="B9013" s="223" t="s">
        <v>200</v>
      </c>
      <c r="C9013" s="223"/>
      <c r="D9013" s="316"/>
      <c r="H9013" s="223">
        <v>0.0</v>
      </c>
      <c r="K9013" s="317"/>
    </row>
    <row r="9014">
      <c r="B9014" s="223" t="s">
        <v>200</v>
      </c>
      <c r="C9014" s="223"/>
      <c r="D9014" s="316"/>
      <c r="H9014" s="223">
        <v>0.0</v>
      </c>
      <c r="K9014" s="317"/>
    </row>
    <row r="9015">
      <c r="B9015" s="223" t="s">
        <v>200</v>
      </c>
      <c r="C9015" s="223"/>
      <c r="D9015" s="316"/>
      <c r="H9015" s="223">
        <v>0.0</v>
      </c>
      <c r="K9015" s="317"/>
    </row>
    <row r="9016">
      <c r="B9016" s="223" t="s">
        <v>200</v>
      </c>
      <c r="C9016" s="223"/>
      <c r="D9016" s="316"/>
      <c r="H9016" s="223">
        <v>0.0</v>
      </c>
      <c r="K9016" s="317"/>
    </row>
    <row r="9017">
      <c r="B9017" s="223" t="s">
        <v>200</v>
      </c>
      <c r="C9017" s="223"/>
      <c r="D9017" s="316"/>
      <c r="H9017" s="223">
        <v>0.0</v>
      </c>
      <c r="K9017" s="317"/>
    </row>
    <row r="9018">
      <c r="B9018" s="223" t="s">
        <v>200</v>
      </c>
      <c r="C9018" s="223"/>
      <c r="D9018" s="316"/>
      <c r="H9018" s="223">
        <v>0.0</v>
      </c>
      <c r="K9018" s="317"/>
    </row>
    <row r="9019">
      <c r="B9019" s="223" t="s">
        <v>200</v>
      </c>
      <c r="C9019" s="223"/>
      <c r="D9019" s="316"/>
      <c r="H9019" s="223">
        <v>0.0</v>
      </c>
      <c r="K9019" s="317"/>
    </row>
    <row r="9020">
      <c r="B9020" s="223" t="s">
        <v>200</v>
      </c>
      <c r="C9020" s="223"/>
      <c r="D9020" s="316"/>
      <c r="H9020" s="223">
        <v>0.0</v>
      </c>
      <c r="K9020" s="317"/>
    </row>
    <row r="9021">
      <c r="B9021" s="223" t="s">
        <v>200</v>
      </c>
      <c r="C9021" s="223"/>
      <c r="D9021" s="316"/>
      <c r="H9021" s="223">
        <v>0.0</v>
      </c>
      <c r="K9021" s="317"/>
    </row>
    <row r="9022">
      <c r="B9022" s="223" t="s">
        <v>200</v>
      </c>
      <c r="C9022" s="223"/>
      <c r="D9022" s="316"/>
      <c r="H9022" s="223">
        <v>0.0</v>
      </c>
      <c r="K9022" s="317"/>
    </row>
    <row r="9023">
      <c r="B9023" s="223" t="s">
        <v>200</v>
      </c>
      <c r="C9023" s="223"/>
      <c r="D9023" s="316"/>
      <c r="H9023" s="223">
        <v>0.0</v>
      </c>
      <c r="K9023" s="317"/>
    </row>
    <row r="9024">
      <c r="B9024" s="223" t="s">
        <v>200</v>
      </c>
      <c r="C9024" s="223"/>
      <c r="D9024" s="316"/>
      <c r="H9024" s="223">
        <v>0.0</v>
      </c>
      <c r="K9024" s="317"/>
    </row>
    <row r="9025">
      <c r="B9025" s="223" t="s">
        <v>200</v>
      </c>
      <c r="C9025" s="223"/>
      <c r="D9025" s="316"/>
      <c r="H9025" s="223">
        <v>0.0</v>
      </c>
      <c r="K9025" s="317"/>
    </row>
    <row r="9026">
      <c r="B9026" s="223" t="s">
        <v>200</v>
      </c>
      <c r="C9026" s="223"/>
      <c r="D9026" s="316"/>
      <c r="H9026" s="223">
        <v>0.0</v>
      </c>
      <c r="K9026" s="317"/>
    </row>
    <row r="9027">
      <c r="B9027" s="223" t="s">
        <v>200</v>
      </c>
      <c r="C9027" s="223"/>
      <c r="D9027" s="316"/>
      <c r="H9027" s="223">
        <v>0.0</v>
      </c>
      <c r="K9027" s="317"/>
    </row>
    <row r="9028">
      <c r="B9028" s="223" t="s">
        <v>200</v>
      </c>
      <c r="C9028" s="223"/>
      <c r="D9028" s="316"/>
      <c r="H9028" s="223">
        <v>0.0</v>
      </c>
      <c r="K9028" s="317"/>
    </row>
    <row r="9029">
      <c r="B9029" s="223" t="s">
        <v>200</v>
      </c>
      <c r="C9029" s="223"/>
      <c r="D9029" s="316"/>
      <c r="H9029" s="223">
        <v>0.0</v>
      </c>
      <c r="K9029" s="317"/>
    </row>
    <row r="9030">
      <c r="B9030" s="223" t="s">
        <v>200</v>
      </c>
      <c r="C9030" s="223"/>
      <c r="D9030" s="316"/>
      <c r="H9030" s="223">
        <v>0.0</v>
      </c>
      <c r="K9030" s="317"/>
    </row>
    <row r="9031">
      <c r="B9031" s="223" t="s">
        <v>200</v>
      </c>
      <c r="C9031" s="223"/>
      <c r="D9031" s="316"/>
      <c r="H9031" s="223">
        <v>0.0</v>
      </c>
      <c r="K9031" s="317"/>
    </row>
    <row r="9032">
      <c r="B9032" s="223" t="s">
        <v>200</v>
      </c>
      <c r="C9032" s="223"/>
      <c r="D9032" s="316"/>
      <c r="H9032" s="223">
        <v>0.0</v>
      </c>
      <c r="K9032" s="317"/>
    </row>
    <row r="9033">
      <c r="B9033" s="223" t="s">
        <v>200</v>
      </c>
      <c r="C9033" s="223"/>
      <c r="D9033" s="316"/>
      <c r="H9033" s="223">
        <v>0.0</v>
      </c>
      <c r="K9033" s="317"/>
    </row>
    <row r="9034">
      <c r="B9034" s="223" t="s">
        <v>200</v>
      </c>
      <c r="C9034" s="223"/>
      <c r="D9034" s="316"/>
      <c r="H9034" s="223">
        <v>0.0</v>
      </c>
      <c r="K9034" s="317"/>
    </row>
    <row r="9035">
      <c r="B9035" s="223" t="s">
        <v>200</v>
      </c>
      <c r="C9035" s="223"/>
      <c r="D9035" s="316"/>
      <c r="H9035" s="223">
        <v>0.0</v>
      </c>
      <c r="K9035" s="317"/>
    </row>
    <row r="9036">
      <c r="B9036" s="223" t="s">
        <v>200</v>
      </c>
      <c r="C9036" s="223"/>
      <c r="D9036" s="316"/>
      <c r="H9036" s="223">
        <v>0.0</v>
      </c>
      <c r="K9036" s="317"/>
    </row>
    <row r="9037">
      <c r="B9037" s="223" t="s">
        <v>200</v>
      </c>
      <c r="C9037" s="223"/>
      <c r="D9037" s="316"/>
      <c r="H9037" s="223">
        <v>0.0</v>
      </c>
      <c r="K9037" s="317"/>
    </row>
    <row r="9038">
      <c r="B9038" s="223" t="s">
        <v>200</v>
      </c>
      <c r="C9038" s="223"/>
      <c r="D9038" s="316"/>
      <c r="H9038" s="223">
        <v>0.0</v>
      </c>
      <c r="K9038" s="317"/>
    </row>
    <row r="9039">
      <c r="B9039" s="223" t="s">
        <v>200</v>
      </c>
      <c r="C9039" s="223"/>
      <c r="D9039" s="316"/>
      <c r="H9039" s="223">
        <v>0.0</v>
      </c>
      <c r="K9039" s="317"/>
    </row>
    <row r="9040">
      <c r="B9040" s="223" t="s">
        <v>200</v>
      </c>
      <c r="C9040" s="223"/>
      <c r="D9040" s="316"/>
      <c r="H9040" s="223">
        <v>0.0</v>
      </c>
      <c r="K9040" s="317"/>
    </row>
    <row r="9041">
      <c r="B9041" s="223" t="s">
        <v>200</v>
      </c>
      <c r="C9041" s="223"/>
      <c r="D9041" s="316"/>
      <c r="H9041" s="223">
        <v>0.0</v>
      </c>
      <c r="K9041" s="317"/>
    </row>
    <row r="9042">
      <c r="B9042" s="223" t="s">
        <v>200</v>
      </c>
      <c r="C9042" s="223"/>
      <c r="D9042" s="316"/>
      <c r="H9042" s="223">
        <v>0.0</v>
      </c>
      <c r="K9042" s="317"/>
    </row>
    <row r="9043">
      <c r="B9043" s="223" t="s">
        <v>200</v>
      </c>
      <c r="C9043" s="223"/>
      <c r="D9043" s="316"/>
      <c r="H9043" s="223">
        <v>0.0</v>
      </c>
      <c r="K9043" s="317"/>
    </row>
    <row r="9044">
      <c r="B9044" s="223" t="s">
        <v>200</v>
      </c>
      <c r="C9044" s="223"/>
      <c r="D9044" s="316"/>
      <c r="H9044" s="223">
        <v>0.0</v>
      </c>
      <c r="K9044" s="317"/>
    </row>
    <row r="9045">
      <c r="B9045" s="223" t="s">
        <v>200</v>
      </c>
      <c r="C9045" s="223"/>
      <c r="D9045" s="316"/>
      <c r="H9045" s="223">
        <v>0.0</v>
      </c>
      <c r="K9045" s="317"/>
    </row>
    <row r="9046">
      <c r="B9046" s="223" t="s">
        <v>200</v>
      </c>
      <c r="C9046" s="223"/>
      <c r="D9046" s="316"/>
      <c r="H9046" s="223">
        <v>0.0</v>
      </c>
      <c r="K9046" s="317"/>
    </row>
    <row r="9047">
      <c r="B9047" s="223" t="s">
        <v>200</v>
      </c>
      <c r="C9047" s="223"/>
      <c r="D9047" s="316"/>
      <c r="H9047" s="223">
        <v>0.0</v>
      </c>
      <c r="K9047" s="317"/>
    </row>
    <row r="9048">
      <c r="B9048" s="223" t="s">
        <v>200</v>
      </c>
      <c r="C9048" s="223"/>
      <c r="D9048" s="316"/>
      <c r="H9048" s="223">
        <v>0.0</v>
      </c>
      <c r="K9048" s="317"/>
    </row>
    <row r="9049">
      <c r="B9049" s="223" t="s">
        <v>200</v>
      </c>
      <c r="C9049" s="223"/>
      <c r="D9049" s="316"/>
      <c r="H9049" s="223">
        <v>0.0</v>
      </c>
      <c r="K9049" s="317"/>
    </row>
    <row r="9050">
      <c r="B9050" s="223" t="s">
        <v>200</v>
      </c>
      <c r="C9050" s="223"/>
      <c r="D9050" s="316"/>
      <c r="H9050" s="223">
        <v>0.0</v>
      </c>
      <c r="K9050" s="317"/>
    </row>
    <row r="9051">
      <c r="B9051" s="223" t="s">
        <v>200</v>
      </c>
      <c r="C9051" s="223"/>
      <c r="D9051" s="316"/>
      <c r="H9051" s="223">
        <v>0.0</v>
      </c>
      <c r="K9051" s="317"/>
    </row>
    <row r="9052">
      <c r="B9052" s="223" t="s">
        <v>200</v>
      </c>
      <c r="C9052" s="223"/>
      <c r="D9052" s="316"/>
      <c r="H9052" s="223">
        <v>0.0</v>
      </c>
      <c r="K9052" s="317"/>
    </row>
    <row r="9053">
      <c r="B9053" s="223" t="s">
        <v>200</v>
      </c>
      <c r="C9053" s="223"/>
      <c r="D9053" s="316"/>
      <c r="H9053" s="223">
        <v>0.0</v>
      </c>
      <c r="K9053" s="317"/>
    </row>
    <row r="9054">
      <c r="B9054" s="223" t="s">
        <v>200</v>
      </c>
      <c r="C9054" s="223"/>
      <c r="D9054" s="316"/>
      <c r="H9054" s="223">
        <v>0.0</v>
      </c>
      <c r="K9054" s="317"/>
    </row>
    <row r="9055">
      <c r="B9055" s="223" t="s">
        <v>200</v>
      </c>
      <c r="C9055" s="223"/>
      <c r="D9055" s="316"/>
      <c r="H9055" s="223">
        <v>0.0</v>
      </c>
      <c r="K9055" s="317"/>
    </row>
    <row r="9056">
      <c r="B9056" s="223" t="s">
        <v>200</v>
      </c>
      <c r="C9056" s="223"/>
      <c r="D9056" s="316"/>
      <c r="H9056" s="223">
        <v>0.0</v>
      </c>
      <c r="K9056" s="317"/>
    </row>
    <row r="9057">
      <c r="B9057" s="223" t="s">
        <v>200</v>
      </c>
      <c r="C9057" s="223"/>
      <c r="D9057" s="316"/>
      <c r="H9057" s="223">
        <v>0.0</v>
      </c>
      <c r="K9057" s="317"/>
    </row>
    <row r="9058">
      <c r="B9058" s="223" t="s">
        <v>200</v>
      </c>
      <c r="C9058" s="223"/>
      <c r="D9058" s="316"/>
      <c r="H9058" s="223">
        <v>0.0</v>
      </c>
      <c r="K9058" s="317"/>
    </row>
    <row r="9059">
      <c r="B9059" s="223" t="s">
        <v>200</v>
      </c>
      <c r="C9059" s="223"/>
      <c r="D9059" s="316"/>
      <c r="H9059" s="223">
        <v>0.0</v>
      </c>
      <c r="K9059" s="317"/>
    </row>
    <row r="9060">
      <c r="B9060" s="223" t="s">
        <v>200</v>
      </c>
      <c r="C9060" s="223"/>
      <c r="D9060" s="316"/>
      <c r="H9060" s="223">
        <v>0.0</v>
      </c>
      <c r="K9060" s="317"/>
    </row>
    <row r="9061">
      <c r="B9061" s="223" t="s">
        <v>200</v>
      </c>
      <c r="C9061" s="223"/>
      <c r="D9061" s="316"/>
      <c r="H9061" s="223">
        <v>0.0</v>
      </c>
      <c r="K9061" s="317"/>
    </row>
    <row r="9062">
      <c r="B9062" s="223" t="s">
        <v>200</v>
      </c>
      <c r="C9062" s="223"/>
      <c r="D9062" s="316"/>
      <c r="H9062" s="223">
        <v>0.0</v>
      </c>
      <c r="K9062" s="317"/>
    </row>
    <row r="9063">
      <c r="B9063" s="223" t="s">
        <v>200</v>
      </c>
      <c r="C9063" s="223"/>
      <c r="D9063" s="316"/>
      <c r="H9063" s="223">
        <v>0.0</v>
      </c>
      <c r="K9063" s="317"/>
    </row>
    <row r="9064">
      <c r="B9064" s="223" t="s">
        <v>200</v>
      </c>
      <c r="C9064" s="223"/>
      <c r="D9064" s="316"/>
      <c r="H9064" s="223">
        <v>0.0</v>
      </c>
      <c r="K9064" s="317"/>
    </row>
    <row r="9065">
      <c r="B9065" s="223" t="s">
        <v>200</v>
      </c>
      <c r="C9065" s="223"/>
      <c r="D9065" s="316"/>
      <c r="H9065" s="223">
        <v>0.0</v>
      </c>
      <c r="K9065" s="317"/>
    </row>
    <row r="9066">
      <c r="B9066" s="223" t="s">
        <v>200</v>
      </c>
      <c r="C9066" s="223"/>
      <c r="D9066" s="316"/>
      <c r="H9066" s="223">
        <v>0.0</v>
      </c>
      <c r="K9066" s="317"/>
    </row>
    <row r="9067">
      <c r="B9067" s="223" t="s">
        <v>200</v>
      </c>
      <c r="C9067" s="223"/>
      <c r="D9067" s="316"/>
      <c r="H9067" s="223">
        <v>0.0</v>
      </c>
      <c r="K9067" s="317"/>
    </row>
    <row r="9068">
      <c r="B9068" s="223" t="s">
        <v>200</v>
      </c>
      <c r="C9068" s="223"/>
      <c r="D9068" s="316"/>
      <c r="H9068" s="223">
        <v>0.0</v>
      </c>
      <c r="K9068" s="317"/>
    </row>
    <row r="9069">
      <c r="B9069" s="223" t="s">
        <v>200</v>
      </c>
      <c r="C9069" s="223"/>
      <c r="D9069" s="316"/>
      <c r="H9069" s="223">
        <v>0.0</v>
      </c>
      <c r="K9069" s="317"/>
    </row>
    <row r="9070">
      <c r="B9070" s="223" t="s">
        <v>200</v>
      </c>
      <c r="C9070" s="223"/>
      <c r="D9070" s="316"/>
      <c r="H9070" s="223">
        <v>0.0</v>
      </c>
      <c r="K9070" s="317"/>
    </row>
    <row r="9071">
      <c r="B9071" s="223" t="s">
        <v>200</v>
      </c>
      <c r="C9071" s="223"/>
      <c r="D9071" s="316"/>
      <c r="H9071" s="223">
        <v>0.0</v>
      </c>
      <c r="K9071" s="317"/>
    </row>
    <row r="9072">
      <c r="B9072" s="223" t="s">
        <v>200</v>
      </c>
      <c r="C9072" s="223"/>
      <c r="D9072" s="316"/>
      <c r="H9072" s="223">
        <v>0.0</v>
      </c>
      <c r="K9072" s="317"/>
    </row>
    <row r="9073">
      <c r="B9073" s="223" t="s">
        <v>200</v>
      </c>
      <c r="C9073" s="223"/>
      <c r="D9073" s="316"/>
      <c r="H9073" s="223">
        <v>0.0</v>
      </c>
      <c r="K9073" s="317"/>
    </row>
    <row r="9074">
      <c r="B9074" s="223" t="s">
        <v>200</v>
      </c>
      <c r="C9074" s="223"/>
      <c r="D9074" s="316"/>
      <c r="H9074" s="223">
        <v>0.0</v>
      </c>
      <c r="K9074" s="317"/>
    </row>
    <row r="9075">
      <c r="B9075" s="223" t="s">
        <v>200</v>
      </c>
      <c r="C9075" s="223"/>
      <c r="D9075" s="316"/>
      <c r="H9075" s="223">
        <v>0.0</v>
      </c>
      <c r="K9075" s="317"/>
    </row>
    <row r="9076">
      <c r="B9076" s="223" t="s">
        <v>200</v>
      </c>
      <c r="C9076" s="223"/>
      <c r="D9076" s="316"/>
      <c r="H9076" s="223">
        <v>0.0</v>
      </c>
      <c r="K9076" s="317"/>
    </row>
    <row r="9077">
      <c r="B9077" s="223" t="s">
        <v>200</v>
      </c>
      <c r="C9077" s="223"/>
      <c r="D9077" s="316"/>
      <c r="H9077" s="223">
        <v>0.0</v>
      </c>
      <c r="K9077" s="317"/>
    </row>
    <row r="9078">
      <c r="B9078" s="223" t="s">
        <v>200</v>
      </c>
      <c r="C9078" s="223"/>
      <c r="D9078" s="316"/>
      <c r="H9078" s="223">
        <v>0.0</v>
      </c>
      <c r="K9078" s="317"/>
    </row>
    <row r="9079">
      <c r="B9079" s="223" t="s">
        <v>200</v>
      </c>
      <c r="C9079" s="223"/>
      <c r="D9079" s="316"/>
      <c r="H9079" s="223">
        <v>0.0</v>
      </c>
      <c r="K9079" s="317"/>
    </row>
    <row r="9080">
      <c r="B9080" s="223" t="s">
        <v>200</v>
      </c>
      <c r="C9080" s="223"/>
      <c r="D9080" s="316"/>
      <c r="H9080" s="223">
        <v>0.0</v>
      </c>
      <c r="K9080" s="317"/>
    </row>
    <row r="9081">
      <c r="B9081" s="223" t="s">
        <v>200</v>
      </c>
      <c r="C9081" s="223"/>
      <c r="D9081" s="316"/>
      <c r="H9081" s="223">
        <v>0.0</v>
      </c>
      <c r="K9081" s="317"/>
    </row>
    <row r="9082">
      <c r="B9082" s="223" t="s">
        <v>200</v>
      </c>
      <c r="C9082" s="223"/>
      <c r="D9082" s="316"/>
      <c r="H9082" s="223">
        <v>0.0</v>
      </c>
      <c r="K9082" s="317"/>
    </row>
    <row r="9083">
      <c r="B9083" s="223" t="s">
        <v>200</v>
      </c>
      <c r="C9083" s="223"/>
      <c r="D9083" s="316"/>
      <c r="H9083" s="223">
        <v>0.0</v>
      </c>
      <c r="K9083" s="317"/>
    </row>
    <row r="9084">
      <c r="B9084" s="223" t="s">
        <v>200</v>
      </c>
      <c r="C9084" s="223"/>
      <c r="D9084" s="316"/>
      <c r="H9084" s="223">
        <v>0.0</v>
      </c>
      <c r="K9084" s="317"/>
    </row>
    <row r="9085">
      <c r="B9085" s="223" t="s">
        <v>200</v>
      </c>
      <c r="C9085" s="223"/>
      <c r="D9085" s="316"/>
      <c r="H9085" s="223">
        <v>0.0</v>
      </c>
      <c r="K9085" s="317"/>
    </row>
    <row r="9086">
      <c r="B9086" s="223" t="s">
        <v>200</v>
      </c>
      <c r="C9086" s="223"/>
      <c r="D9086" s="316"/>
      <c r="H9086" s="223">
        <v>0.0</v>
      </c>
      <c r="K9086" s="317"/>
    </row>
    <row r="9087">
      <c r="B9087" s="223" t="s">
        <v>200</v>
      </c>
      <c r="C9087" s="223"/>
      <c r="D9087" s="316"/>
      <c r="H9087" s="223">
        <v>0.0</v>
      </c>
      <c r="K9087" s="317"/>
    </row>
    <row r="9088">
      <c r="B9088" s="223" t="s">
        <v>200</v>
      </c>
      <c r="C9088" s="223"/>
      <c r="D9088" s="316"/>
      <c r="H9088" s="223">
        <v>0.0</v>
      </c>
      <c r="K9088" s="317"/>
    </row>
    <row r="9089">
      <c r="B9089" s="223" t="s">
        <v>200</v>
      </c>
      <c r="C9089" s="223"/>
      <c r="D9089" s="316"/>
      <c r="H9089" s="223">
        <v>0.0</v>
      </c>
      <c r="K9089" s="317"/>
    </row>
    <row r="9090">
      <c r="B9090" s="223" t="s">
        <v>200</v>
      </c>
      <c r="C9090" s="223"/>
      <c r="D9090" s="316"/>
      <c r="H9090" s="223">
        <v>0.0</v>
      </c>
      <c r="K9090" s="317"/>
    </row>
    <row r="9091">
      <c r="B9091" s="223" t="s">
        <v>200</v>
      </c>
      <c r="C9091" s="223"/>
      <c r="D9091" s="316"/>
      <c r="H9091" s="223">
        <v>0.0</v>
      </c>
      <c r="K9091" s="317"/>
    </row>
    <row r="9092">
      <c r="B9092" s="223" t="s">
        <v>200</v>
      </c>
      <c r="C9092" s="223"/>
      <c r="D9092" s="316"/>
      <c r="H9092" s="223">
        <v>0.0</v>
      </c>
      <c r="K9092" s="317"/>
    </row>
    <row r="9093">
      <c r="B9093" s="223" t="s">
        <v>200</v>
      </c>
      <c r="C9093" s="223"/>
      <c r="D9093" s="316"/>
      <c r="H9093" s="223">
        <v>0.0</v>
      </c>
      <c r="K9093" s="317"/>
    </row>
    <row r="9094">
      <c r="B9094" s="223" t="s">
        <v>200</v>
      </c>
      <c r="C9094" s="223"/>
      <c r="D9094" s="316"/>
      <c r="H9094" s="223">
        <v>0.0</v>
      </c>
      <c r="K9094" s="317"/>
    </row>
    <row r="9095">
      <c r="B9095" s="223" t="s">
        <v>200</v>
      </c>
      <c r="C9095" s="223"/>
      <c r="D9095" s="316"/>
      <c r="H9095" s="223">
        <v>0.0</v>
      </c>
      <c r="K9095" s="317"/>
    </row>
    <row r="9096">
      <c r="B9096" s="223" t="s">
        <v>200</v>
      </c>
      <c r="C9096" s="223"/>
      <c r="D9096" s="316"/>
      <c r="H9096" s="223">
        <v>0.0</v>
      </c>
      <c r="K9096" s="317"/>
    </row>
    <row r="9097">
      <c r="B9097" s="223" t="s">
        <v>200</v>
      </c>
      <c r="C9097" s="223"/>
      <c r="D9097" s="316"/>
      <c r="H9097" s="223">
        <v>0.0</v>
      </c>
      <c r="K9097" s="317"/>
    </row>
    <row r="9098">
      <c r="B9098" s="223" t="s">
        <v>200</v>
      </c>
      <c r="C9098" s="223"/>
      <c r="D9098" s="316"/>
      <c r="H9098" s="223">
        <v>0.0</v>
      </c>
      <c r="K9098" s="317"/>
    </row>
    <row r="9099">
      <c r="B9099" s="223" t="s">
        <v>200</v>
      </c>
      <c r="C9099" s="223"/>
      <c r="D9099" s="316"/>
      <c r="H9099" s="223">
        <v>0.0</v>
      </c>
      <c r="K9099" s="317"/>
    </row>
    <row r="9100">
      <c r="B9100" s="223" t="s">
        <v>200</v>
      </c>
      <c r="C9100" s="223"/>
      <c r="D9100" s="316"/>
      <c r="H9100" s="223">
        <v>0.0</v>
      </c>
      <c r="K9100" s="317"/>
    </row>
    <row r="9101">
      <c r="B9101" s="223" t="s">
        <v>200</v>
      </c>
      <c r="C9101" s="223"/>
      <c r="D9101" s="316"/>
      <c r="H9101" s="223">
        <v>0.0</v>
      </c>
      <c r="K9101" s="317"/>
    </row>
    <row r="9102">
      <c r="B9102" s="223" t="s">
        <v>200</v>
      </c>
      <c r="C9102" s="223"/>
      <c r="D9102" s="316"/>
      <c r="H9102" s="223">
        <v>0.0</v>
      </c>
      <c r="K9102" s="317"/>
    </row>
    <row r="9103">
      <c r="B9103" s="223" t="s">
        <v>200</v>
      </c>
      <c r="C9103" s="223"/>
      <c r="D9103" s="316"/>
      <c r="H9103" s="223">
        <v>0.0</v>
      </c>
      <c r="K9103" s="317"/>
    </row>
    <row r="9104">
      <c r="B9104" s="223" t="s">
        <v>200</v>
      </c>
      <c r="C9104" s="223"/>
      <c r="D9104" s="316"/>
      <c r="H9104" s="223">
        <v>0.0</v>
      </c>
      <c r="K9104" s="317"/>
    </row>
    <row r="9105">
      <c r="B9105" s="223" t="s">
        <v>200</v>
      </c>
      <c r="C9105" s="223"/>
      <c r="D9105" s="316"/>
      <c r="H9105" s="223">
        <v>0.0</v>
      </c>
      <c r="K9105" s="317"/>
    </row>
    <row r="9106">
      <c r="B9106" s="223" t="s">
        <v>200</v>
      </c>
      <c r="C9106" s="223"/>
      <c r="D9106" s="316"/>
      <c r="H9106" s="223">
        <v>0.0</v>
      </c>
      <c r="K9106" s="317"/>
    </row>
    <row r="9107">
      <c r="B9107" s="223" t="s">
        <v>200</v>
      </c>
      <c r="C9107" s="223"/>
      <c r="D9107" s="316"/>
      <c r="H9107" s="223">
        <v>0.0</v>
      </c>
      <c r="K9107" s="317"/>
    </row>
    <row r="9108">
      <c r="B9108" s="223" t="s">
        <v>200</v>
      </c>
      <c r="C9108" s="223"/>
      <c r="D9108" s="316"/>
      <c r="H9108" s="223">
        <v>0.0</v>
      </c>
      <c r="K9108" s="317"/>
    </row>
    <row r="9109">
      <c r="B9109" s="223" t="s">
        <v>200</v>
      </c>
      <c r="C9109" s="223"/>
      <c r="D9109" s="316"/>
      <c r="H9109" s="223">
        <v>0.0</v>
      </c>
      <c r="K9109" s="317"/>
    </row>
    <row r="9110">
      <c r="B9110" s="223" t="s">
        <v>200</v>
      </c>
      <c r="C9110" s="223"/>
      <c r="D9110" s="316"/>
      <c r="H9110" s="223">
        <v>0.0</v>
      </c>
      <c r="K9110" s="317"/>
    </row>
    <row r="9111">
      <c r="B9111" s="223" t="s">
        <v>200</v>
      </c>
      <c r="C9111" s="223"/>
      <c r="D9111" s="316"/>
      <c r="H9111" s="223">
        <v>0.0</v>
      </c>
      <c r="K9111" s="317"/>
    </row>
    <row r="9112">
      <c r="B9112" s="223" t="s">
        <v>200</v>
      </c>
      <c r="C9112" s="223"/>
      <c r="D9112" s="316"/>
      <c r="H9112" s="223">
        <v>0.0</v>
      </c>
      <c r="K9112" s="317"/>
    </row>
    <row r="9113">
      <c r="B9113" s="223" t="s">
        <v>200</v>
      </c>
      <c r="C9113" s="223"/>
      <c r="D9113" s="316"/>
      <c r="H9113" s="223">
        <v>0.0</v>
      </c>
      <c r="K9113" s="317"/>
    </row>
    <row r="9114">
      <c r="B9114" s="223" t="s">
        <v>200</v>
      </c>
      <c r="C9114" s="223"/>
      <c r="D9114" s="316"/>
      <c r="H9114" s="223">
        <v>0.0</v>
      </c>
      <c r="K9114" s="317"/>
    </row>
    <row r="9115">
      <c r="B9115" s="223" t="s">
        <v>200</v>
      </c>
      <c r="C9115" s="223"/>
      <c r="D9115" s="316"/>
      <c r="H9115" s="223">
        <v>0.0</v>
      </c>
      <c r="K9115" s="317"/>
    </row>
    <row r="9116">
      <c r="B9116" s="223" t="s">
        <v>200</v>
      </c>
      <c r="C9116" s="223"/>
      <c r="D9116" s="316"/>
      <c r="H9116" s="223">
        <v>0.0</v>
      </c>
      <c r="K9116" s="317"/>
    </row>
    <row r="9117">
      <c r="B9117" s="223" t="s">
        <v>200</v>
      </c>
      <c r="C9117" s="223"/>
      <c r="D9117" s="316"/>
      <c r="H9117" s="223">
        <v>0.0</v>
      </c>
      <c r="K9117" s="317"/>
    </row>
    <row r="9118">
      <c r="B9118" s="223" t="s">
        <v>200</v>
      </c>
      <c r="C9118" s="223"/>
      <c r="D9118" s="316"/>
      <c r="H9118" s="223">
        <v>0.0</v>
      </c>
      <c r="K9118" s="317"/>
    </row>
    <row r="9119">
      <c r="B9119" s="223" t="s">
        <v>200</v>
      </c>
      <c r="C9119" s="223"/>
      <c r="D9119" s="316"/>
      <c r="H9119" s="223">
        <v>0.0</v>
      </c>
      <c r="K9119" s="317"/>
    </row>
    <row r="9120">
      <c r="B9120" s="223" t="s">
        <v>200</v>
      </c>
      <c r="C9120" s="223"/>
      <c r="D9120" s="316"/>
      <c r="H9120" s="223">
        <v>0.0</v>
      </c>
      <c r="K9120" s="317"/>
    </row>
    <row r="9121">
      <c r="B9121" s="223" t="s">
        <v>200</v>
      </c>
      <c r="C9121" s="223"/>
      <c r="D9121" s="316"/>
      <c r="H9121" s="223">
        <v>0.0</v>
      </c>
      <c r="K9121" s="317"/>
    </row>
    <row r="9122">
      <c r="B9122" s="223" t="s">
        <v>200</v>
      </c>
      <c r="C9122" s="223"/>
      <c r="D9122" s="316"/>
      <c r="H9122" s="223">
        <v>0.0</v>
      </c>
      <c r="K9122" s="317"/>
    </row>
    <row r="9123">
      <c r="B9123" s="223" t="s">
        <v>200</v>
      </c>
      <c r="C9123" s="223"/>
      <c r="D9123" s="316"/>
      <c r="H9123" s="223">
        <v>0.0</v>
      </c>
      <c r="K9123" s="317"/>
    </row>
    <row r="9124">
      <c r="B9124" s="223" t="s">
        <v>200</v>
      </c>
      <c r="C9124" s="223"/>
      <c r="D9124" s="316"/>
      <c r="H9124" s="223">
        <v>0.0</v>
      </c>
      <c r="K9124" s="317"/>
    </row>
    <row r="9125">
      <c r="B9125" s="223" t="s">
        <v>200</v>
      </c>
      <c r="C9125" s="223"/>
      <c r="D9125" s="316"/>
      <c r="H9125" s="223">
        <v>0.0</v>
      </c>
      <c r="K9125" s="317"/>
    </row>
    <row r="9126">
      <c r="B9126" s="223" t="s">
        <v>200</v>
      </c>
      <c r="C9126" s="223"/>
      <c r="D9126" s="316"/>
      <c r="H9126" s="223">
        <v>0.0</v>
      </c>
      <c r="K9126" s="317"/>
    </row>
    <row r="9127">
      <c r="B9127" s="223" t="s">
        <v>200</v>
      </c>
      <c r="C9127" s="223"/>
      <c r="D9127" s="316"/>
      <c r="H9127" s="223">
        <v>0.0</v>
      </c>
      <c r="K9127" s="317"/>
    </row>
    <row r="9128">
      <c r="B9128" s="223" t="s">
        <v>200</v>
      </c>
      <c r="C9128" s="223"/>
      <c r="D9128" s="316"/>
      <c r="H9128" s="223">
        <v>0.0</v>
      </c>
      <c r="K9128" s="317"/>
    </row>
    <row r="9129">
      <c r="B9129" s="223" t="s">
        <v>200</v>
      </c>
      <c r="C9129" s="223"/>
      <c r="D9129" s="316"/>
      <c r="H9129" s="223">
        <v>0.0</v>
      </c>
      <c r="K9129" s="317"/>
    </row>
    <row r="9130">
      <c r="B9130" s="223" t="s">
        <v>200</v>
      </c>
      <c r="C9130" s="223"/>
      <c r="D9130" s="316"/>
      <c r="H9130" s="223">
        <v>0.0</v>
      </c>
      <c r="K9130" s="317"/>
    </row>
    <row r="9131">
      <c r="B9131" s="223" t="s">
        <v>200</v>
      </c>
      <c r="C9131" s="223"/>
      <c r="D9131" s="316"/>
      <c r="H9131" s="223">
        <v>0.0</v>
      </c>
      <c r="K9131" s="317"/>
    </row>
    <row r="9132">
      <c r="B9132" s="223" t="s">
        <v>200</v>
      </c>
      <c r="C9132" s="223"/>
      <c r="D9132" s="316"/>
      <c r="H9132" s="223">
        <v>0.0</v>
      </c>
      <c r="K9132" s="317"/>
    </row>
    <row r="9133">
      <c r="B9133" s="223" t="s">
        <v>200</v>
      </c>
      <c r="C9133" s="223"/>
      <c r="D9133" s="316"/>
      <c r="H9133" s="223">
        <v>0.0</v>
      </c>
      <c r="K9133" s="317"/>
    </row>
    <row r="9134">
      <c r="B9134" s="223" t="s">
        <v>200</v>
      </c>
      <c r="C9134" s="223"/>
      <c r="D9134" s="316"/>
      <c r="H9134" s="223">
        <v>0.0</v>
      </c>
      <c r="K9134" s="317"/>
    </row>
    <row r="9135">
      <c r="B9135" s="223" t="s">
        <v>200</v>
      </c>
      <c r="C9135" s="223"/>
      <c r="D9135" s="316"/>
      <c r="H9135" s="223">
        <v>0.0</v>
      </c>
      <c r="K9135" s="317"/>
    </row>
    <row r="9136">
      <c r="B9136" s="223" t="s">
        <v>200</v>
      </c>
      <c r="C9136" s="223"/>
      <c r="D9136" s="316"/>
      <c r="H9136" s="223">
        <v>0.0</v>
      </c>
      <c r="K9136" s="317"/>
    </row>
    <row r="9137">
      <c r="B9137" s="223" t="s">
        <v>200</v>
      </c>
      <c r="C9137" s="223"/>
      <c r="D9137" s="316"/>
      <c r="H9137" s="223">
        <v>0.0</v>
      </c>
      <c r="K9137" s="317"/>
    </row>
    <row r="9138">
      <c r="B9138" s="223" t="s">
        <v>200</v>
      </c>
      <c r="C9138" s="223"/>
      <c r="D9138" s="316"/>
      <c r="H9138" s="223">
        <v>0.0</v>
      </c>
      <c r="K9138" s="317"/>
    </row>
    <row r="9139">
      <c r="B9139" s="223" t="s">
        <v>200</v>
      </c>
      <c r="C9139" s="223"/>
      <c r="D9139" s="316"/>
      <c r="H9139" s="223">
        <v>0.0</v>
      </c>
      <c r="K9139" s="317"/>
    </row>
    <row r="9140">
      <c r="B9140" s="223" t="s">
        <v>200</v>
      </c>
      <c r="C9140" s="223"/>
      <c r="D9140" s="316"/>
      <c r="H9140" s="223">
        <v>0.0</v>
      </c>
      <c r="K9140" s="317"/>
    </row>
    <row r="9141">
      <c r="B9141" s="223" t="s">
        <v>200</v>
      </c>
      <c r="C9141" s="223"/>
      <c r="D9141" s="316"/>
      <c r="H9141" s="223">
        <v>0.0</v>
      </c>
      <c r="K9141" s="317"/>
    </row>
    <row r="9142">
      <c r="B9142" s="223" t="s">
        <v>200</v>
      </c>
      <c r="C9142" s="223"/>
      <c r="D9142" s="316"/>
      <c r="H9142" s="223">
        <v>0.0</v>
      </c>
      <c r="K9142" s="317"/>
    </row>
    <row r="9143">
      <c r="B9143" s="223" t="s">
        <v>200</v>
      </c>
      <c r="C9143" s="223"/>
      <c r="D9143" s="316"/>
      <c r="H9143" s="223">
        <v>0.0</v>
      </c>
      <c r="K9143" s="317"/>
    </row>
    <row r="9144">
      <c r="B9144" s="223" t="s">
        <v>200</v>
      </c>
      <c r="C9144" s="223"/>
      <c r="D9144" s="316"/>
      <c r="H9144" s="223">
        <v>0.0</v>
      </c>
      <c r="K9144" s="317"/>
    </row>
    <row r="9145">
      <c r="B9145" s="223" t="s">
        <v>200</v>
      </c>
      <c r="C9145" s="223"/>
      <c r="D9145" s="316"/>
      <c r="H9145" s="223">
        <v>0.0</v>
      </c>
      <c r="K9145" s="317"/>
    </row>
    <row r="9146">
      <c r="B9146" s="223" t="s">
        <v>200</v>
      </c>
      <c r="C9146" s="223"/>
      <c r="D9146" s="316"/>
      <c r="H9146" s="223">
        <v>0.0</v>
      </c>
      <c r="K9146" s="317"/>
    </row>
    <row r="9147">
      <c r="B9147" s="223" t="s">
        <v>200</v>
      </c>
      <c r="C9147" s="223"/>
      <c r="D9147" s="316"/>
      <c r="H9147" s="223">
        <v>0.0</v>
      </c>
      <c r="K9147" s="317"/>
    </row>
    <row r="9148">
      <c r="B9148" s="223" t="s">
        <v>200</v>
      </c>
      <c r="C9148" s="223"/>
      <c r="D9148" s="316"/>
      <c r="H9148" s="223">
        <v>0.0</v>
      </c>
      <c r="K9148" s="317"/>
    </row>
    <row r="9149">
      <c r="B9149" s="223" t="s">
        <v>200</v>
      </c>
      <c r="C9149" s="223"/>
      <c r="D9149" s="316"/>
      <c r="H9149" s="223">
        <v>0.0</v>
      </c>
      <c r="K9149" s="317"/>
    </row>
    <row r="9150">
      <c r="B9150" s="223" t="s">
        <v>200</v>
      </c>
      <c r="C9150" s="223"/>
      <c r="D9150" s="316"/>
      <c r="H9150" s="223">
        <v>0.0</v>
      </c>
      <c r="K9150" s="317"/>
    </row>
    <row r="9151">
      <c r="B9151" s="223" t="s">
        <v>200</v>
      </c>
      <c r="C9151" s="223"/>
      <c r="D9151" s="316"/>
      <c r="H9151" s="223">
        <v>0.0</v>
      </c>
      <c r="K9151" s="317"/>
    </row>
    <row r="9152">
      <c r="B9152" s="223" t="s">
        <v>200</v>
      </c>
      <c r="C9152" s="223"/>
      <c r="D9152" s="316"/>
      <c r="H9152" s="223">
        <v>0.0</v>
      </c>
      <c r="K9152" s="317"/>
    </row>
    <row r="9153">
      <c r="B9153" s="223" t="s">
        <v>200</v>
      </c>
      <c r="C9153" s="223"/>
      <c r="D9153" s="316"/>
      <c r="H9153" s="223">
        <v>0.0</v>
      </c>
      <c r="K9153" s="317"/>
    </row>
    <row r="9154">
      <c r="B9154" s="223" t="s">
        <v>200</v>
      </c>
      <c r="C9154" s="223"/>
      <c r="D9154" s="316"/>
      <c r="H9154" s="223">
        <v>0.0</v>
      </c>
      <c r="K9154" s="317"/>
    </row>
    <row r="9155">
      <c r="B9155" s="223" t="s">
        <v>200</v>
      </c>
      <c r="C9155" s="223"/>
      <c r="D9155" s="316"/>
      <c r="H9155" s="223">
        <v>0.0</v>
      </c>
      <c r="K9155" s="317"/>
    </row>
    <row r="9156">
      <c r="B9156" s="223" t="s">
        <v>200</v>
      </c>
      <c r="C9156" s="223"/>
      <c r="D9156" s="316"/>
      <c r="H9156" s="223">
        <v>0.0</v>
      </c>
      <c r="K9156" s="317"/>
    </row>
    <row r="9157">
      <c r="B9157" s="223" t="s">
        <v>200</v>
      </c>
      <c r="C9157" s="223"/>
      <c r="D9157" s="316"/>
      <c r="H9157" s="223">
        <v>0.0</v>
      </c>
      <c r="K9157" s="317"/>
    </row>
    <row r="9158">
      <c r="B9158" s="223" t="s">
        <v>200</v>
      </c>
      <c r="C9158" s="223"/>
      <c r="D9158" s="316"/>
      <c r="H9158" s="223">
        <v>0.0</v>
      </c>
      <c r="K9158" s="317"/>
    </row>
    <row r="9159">
      <c r="B9159" s="223" t="s">
        <v>200</v>
      </c>
      <c r="C9159" s="223"/>
      <c r="D9159" s="316"/>
      <c r="H9159" s="223">
        <v>0.0</v>
      </c>
      <c r="K9159" s="317"/>
    </row>
    <row r="9160">
      <c r="B9160" s="223" t="s">
        <v>200</v>
      </c>
      <c r="C9160" s="223"/>
      <c r="D9160" s="316"/>
      <c r="H9160" s="223">
        <v>0.0</v>
      </c>
      <c r="K9160" s="317"/>
    </row>
    <row r="9161">
      <c r="B9161" s="223" t="s">
        <v>200</v>
      </c>
      <c r="C9161" s="223"/>
      <c r="D9161" s="316"/>
      <c r="H9161" s="223">
        <v>0.0</v>
      </c>
      <c r="K9161" s="317"/>
    </row>
    <row r="9162">
      <c r="B9162" s="223" t="s">
        <v>200</v>
      </c>
      <c r="C9162" s="223"/>
      <c r="D9162" s="316"/>
      <c r="H9162" s="223">
        <v>0.0</v>
      </c>
      <c r="K9162" s="317"/>
    </row>
    <row r="9163">
      <c r="B9163" s="223" t="s">
        <v>200</v>
      </c>
      <c r="C9163" s="223"/>
      <c r="D9163" s="316"/>
      <c r="H9163" s="223">
        <v>0.0</v>
      </c>
      <c r="K9163" s="317"/>
    </row>
    <row r="9164">
      <c r="B9164" s="223" t="s">
        <v>200</v>
      </c>
      <c r="C9164" s="223"/>
      <c r="D9164" s="316"/>
      <c r="H9164" s="223">
        <v>0.0</v>
      </c>
      <c r="K9164" s="317"/>
    </row>
    <row r="9165">
      <c r="B9165" s="223" t="s">
        <v>200</v>
      </c>
      <c r="C9165" s="223"/>
      <c r="D9165" s="316"/>
      <c r="H9165" s="223">
        <v>0.0</v>
      </c>
      <c r="K9165" s="317"/>
    </row>
    <row r="9166">
      <c r="B9166" s="223" t="s">
        <v>200</v>
      </c>
      <c r="C9166" s="223"/>
      <c r="D9166" s="316"/>
      <c r="H9166" s="223">
        <v>0.0</v>
      </c>
      <c r="K9166" s="317"/>
    </row>
    <row r="9167">
      <c r="B9167" s="223" t="s">
        <v>200</v>
      </c>
      <c r="C9167" s="223"/>
      <c r="D9167" s="316"/>
      <c r="H9167" s="223">
        <v>0.0</v>
      </c>
      <c r="K9167" s="317"/>
    </row>
    <row r="9168">
      <c r="B9168" s="223" t="s">
        <v>200</v>
      </c>
      <c r="C9168" s="223"/>
      <c r="D9168" s="316"/>
      <c r="H9168" s="223">
        <v>0.0</v>
      </c>
      <c r="K9168" s="317"/>
    </row>
    <row r="9169">
      <c r="B9169" s="223" t="s">
        <v>200</v>
      </c>
      <c r="C9169" s="223"/>
      <c r="D9169" s="316"/>
      <c r="H9169" s="223">
        <v>0.0</v>
      </c>
      <c r="K9169" s="317"/>
    </row>
    <row r="9170">
      <c r="B9170" s="223" t="s">
        <v>200</v>
      </c>
      <c r="C9170" s="223"/>
      <c r="D9170" s="316"/>
      <c r="H9170" s="223">
        <v>0.0</v>
      </c>
      <c r="K9170" s="317"/>
    </row>
    <row r="9171">
      <c r="B9171" s="223" t="s">
        <v>200</v>
      </c>
      <c r="C9171" s="223"/>
      <c r="D9171" s="316"/>
      <c r="H9171" s="223">
        <v>0.0</v>
      </c>
      <c r="K9171" s="317"/>
    </row>
    <row r="9172">
      <c r="B9172" s="223" t="s">
        <v>200</v>
      </c>
      <c r="C9172" s="223"/>
      <c r="D9172" s="316"/>
      <c r="H9172" s="223">
        <v>0.0</v>
      </c>
      <c r="K9172" s="317"/>
    </row>
    <row r="9173">
      <c r="B9173" s="223" t="s">
        <v>200</v>
      </c>
      <c r="C9173" s="223"/>
      <c r="D9173" s="316"/>
      <c r="H9173" s="223">
        <v>0.0</v>
      </c>
      <c r="K9173" s="317"/>
    </row>
    <row r="9174">
      <c r="B9174" s="223" t="s">
        <v>200</v>
      </c>
      <c r="C9174" s="223"/>
      <c r="D9174" s="316"/>
      <c r="H9174" s="223">
        <v>0.0</v>
      </c>
      <c r="K9174" s="317"/>
    </row>
    <row r="9175">
      <c r="B9175" s="223" t="s">
        <v>200</v>
      </c>
      <c r="C9175" s="223"/>
      <c r="D9175" s="316"/>
      <c r="H9175" s="223">
        <v>0.0</v>
      </c>
      <c r="K9175" s="317"/>
    </row>
    <row r="9176">
      <c r="B9176" s="223" t="s">
        <v>200</v>
      </c>
      <c r="C9176" s="223"/>
      <c r="D9176" s="316"/>
      <c r="H9176" s="223">
        <v>0.0</v>
      </c>
      <c r="K9176" s="317"/>
    </row>
    <row r="9177">
      <c r="B9177" s="223" t="s">
        <v>200</v>
      </c>
      <c r="C9177" s="223"/>
      <c r="D9177" s="316"/>
      <c r="H9177" s="223">
        <v>0.0</v>
      </c>
      <c r="K9177" s="317"/>
    </row>
    <row r="9178">
      <c r="B9178" s="223" t="s">
        <v>200</v>
      </c>
      <c r="C9178" s="223"/>
      <c r="D9178" s="316"/>
      <c r="H9178" s="223">
        <v>0.0</v>
      </c>
      <c r="K9178" s="317"/>
    </row>
    <row r="9179">
      <c r="B9179" s="223" t="s">
        <v>200</v>
      </c>
      <c r="C9179" s="223"/>
      <c r="D9179" s="316"/>
      <c r="H9179" s="223">
        <v>0.0</v>
      </c>
      <c r="K9179" s="317"/>
    </row>
    <row r="9180">
      <c r="B9180" s="223" t="s">
        <v>200</v>
      </c>
      <c r="C9180" s="223"/>
      <c r="D9180" s="316"/>
      <c r="H9180" s="223">
        <v>0.0</v>
      </c>
      <c r="K9180" s="317"/>
    </row>
    <row r="9181">
      <c r="B9181" s="223" t="s">
        <v>200</v>
      </c>
      <c r="C9181" s="223"/>
      <c r="D9181" s="316"/>
      <c r="H9181" s="223">
        <v>0.0</v>
      </c>
      <c r="K9181" s="317"/>
    </row>
    <row r="9182">
      <c r="B9182" s="223" t="s">
        <v>200</v>
      </c>
      <c r="C9182" s="223"/>
      <c r="D9182" s="316"/>
      <c r="H9182" s="223">
        <v>0.0</v>
      </c>
      <c r="K9182" s="317"/>
    </row>
    <row r="9183">
      <c r="B9183" s="223" t="s">
        <v>200</v>
      </c>
      <c r="C9183" s="223"/>
      <c r="D9183" s="316"/>
      <c r="H9183" s="223">
        <v>0.0</v>
      </c>
      <c r="K9183" s="317"/>
    </row>
    <row r="9184">
      <c r="B9184" s="223" t="s">
        <v>200</v>
      </c>
      <c r="C9184" s="223"/>
      <c r="D9184" s="316"/>
      <c r="H9184" s="223">
        <v>0.0</v>
      </c>
      <c r="K9184" s="317"/>
    </row>
    <row r="9185">
      <c r="B9185" s="223" t="s">
        <v>200</v>
      </c>
      <c r="C9185" s="223"/>
      <c r="D9185" s="316"/>
      <c r="H9185" s="223">
        <v>0.0</v>
      </c>
      <c r="K9185" s="317"/>
    </row>
    <row r="9186">
      <c r="B9186" s="223" t="s">
        <v>200</v>
      </c>
      <c r="C9186" s="223"/>
      <c r="D9186" s="316"/>
      <c r="H9186" s="223">
        <v>0.0</v>
      </c>
      <c r="K9186" s="317"/>
    </row>
    <row r="9187">
      <c r="B9187" s="223" t="s">
        <v>200</v>
      </c>
      <c r="C9187" s="223"/>
      <c r="D9187" s="316"/>
      <c r="H9187" s="223">
        <v>0.0</v>
      </c>
      <c r="K9187" s="317"/>
    </row>
    <row r="9188">
      <c r="B9188" s="223" t="s">
        <v>200</v>
      </c>
      <c r="C9188" s="223"/>
      <c r="D9188" s="316"/>
      <c r="H9188" s="223">
        <v>0.0</v>
      </c>
      <c r="K9188" s="317"/>
    </row>
    <row r="9189">
      <c r="B9189" s="223" t="s">
        <v>200</v>
      </c>
      <c r="C9189" s="223"/>
      <c r="D9189" s="316"/>
      <c r="H9189" s="223">
        <v>0.0</v>
      </c>
      <c r="K9189" s="317"/>
    </row>
    <row r="9190">
      <c r="B9190" s="223" t="s">
        <v>200</v>
      </c>
      <c r="C9190" s="223"/>
      <c r="D9190" s="316"/>
      <c r="H9190" s="223">
        <v>0.0</v>
      </c>
      <c r="K9190" s="317"/>
    </row>
    <row r="9191">
      <c r="B9191" s="223" t="s">
        <v>200</v>
      </c>
      <c r="C9191" s="223"/>
      <c r="D9191" s="316"/>
      <c r="H9191" s="223">
        <v>0.0</v>
      </c>
      <c r="K9191" s="317"/>
    </row>
    <row r="9192">
      <c r="B9192" s="223" t="s">
        <v>200</v>
      </c>
      <c r="C9192" s="223"/>
      <c r="D9192" s="316"/>
      <c r="H9192" s="223">
        <v>0.0</v>
      </c>
      <c r="K9192" s="317"/>
    </row>
    <row r="9193">
      <c r="B9193" s="223" t="s">
        <v>200</v>
      </c>
      <c r="C9193" s="223"/>
      <c r="D9193" s="316"/>
      <c r="H9193" s="223">
        <v>0.0</v>
      </c>
      <c r="K9193" s="317"/>
    </row>
    <row r="9194">
      <c r="B9194" s="223" t="s">
        <v>200</v>
      </c>
      <c r="C9194" s="223"/>
      <c r="D9194" s="316"/>
      <c r="H9194" s="223">
        <v>0.0</v>
      </c>
      <c r="K9194" s="317"/>
    </row>
    <row r="9195">
      <c r="B9195" s="223" t="s">
        <v>200</v>
      </c>
      <c r="C9195" s="223"/>
      <c r="D9195" s="316"/>
      <c r="H9195" s="223">
        <v>0.0</v>
      </c>
      <c r="K9195" s="317"/>
    </row>
    <row r="9196">
      <c r="B9196" s="223" t="s">
        <v>200</v>
      </c>
      <c r="C9196" s="223"/>
      <c r="D9196" s="316"/>
      <c r="H9196" s="223">
        <v>0.0</v>
      </c>
      <c r="K9196" s="317"/>
    </row>
    <row r="9197">
      <c r="B9197" s="223" t="s">
        <v>200</v>
      </c>
      <c r="C9197" s="223"/>
      <c r="D9197" s="316"/>
      <c r="H9197" s="223">
        <v>0.0</v>
      </c>
      <c r="K9197" s="317"/>
    </row>
    <row r="9198">
      <c r="B9198" s="223" t="s">
        <v>200</v>
      </c>
      <c r="C9198" s="223"/>
      <c r="D9198" s="316"/>
      <c r="H9198" s="223">
        <v>0.0</v>
      </c>
      <c r="K9198" s="317"/>
    </row>
    <row r="9199">
      <c r="B9199" s="223" t="s">
        <v>200</v>
      </c>
      <c r="C9199" s="223"/>
      <c r="D9199" s="316"/>
      <c r="H9199" s="223">
        <v>0.0</v>
      </c>
      <c r="K9199" s="317"/>
    </row>
    <row r="9200">
      <c r="B9200" s="223" t="s">
        <v>200</v>
      </c>
      <c r="C9200" s="223"/>
      <c r="D9200" s="316"/>
      <c r="H9200" s="223">
        <v>0.0</v>
      </c>
      <c r="K9200" s="317"/>
    </row>
    <row r="9201">
      <c r="B9201" s="223" t="s">
        <v>200</v>
      </c>
      <c r="C9201" s="223"/>
      <c r="D9201" s="316"/>
      <c r="H9201" s="223">
        <v>0.0</v>
      </c>
      <c r="K9201" s="317"/>
    </row>
    <row r="9202">
      <c r="B9202" s="223" t="s">
        <v>200</v>
      </c>
      <c r="C9202" s="223"/>
      <c r="D9202" s="316"/>
      <c r="H9202" s="223">
        <v>0.0</v>
      </c>
      <c r="K9202" s="317"/>
    </row>
    <row r="9203">
      <c r="B9203" s="223" t="s">
        <v>200</v>
      </c>
      <c r="C9203" s="223"/>
      <c r="D9203" s="316"/>
      <c r="H9203" s="223">
        <v>0.0</v>
      </c>
      <c r="K9203" s="317"/>
    </row>
    <row r="9204">
      <c r="B9204" s="223" t="s">
        <v>200</v>
      </c>
      <c r="C9204" s="223"/>
      <c r="D9204" s="316"/>
      <c r="H9204" s="223">
        <v>0.0</v>
      </c>
      <c r="K9204" s="317"/>
    </row>
    <row r="9205">
      <c r="B9205" s="223" t="s">
        <v>200</v>
      </c>
      <c r="C9205" s="223"/>
      <c r="D9205" s="316"/>
      <c r="H9205" s="223">
        <v>0.0</v>
      </c>
      <c r="K9205" s="317"/>
    </row>
    <row r="9206">
      <c r="B9206" s="223" t="s">
        <v>200</v>
      </c>
      <c r="C9206" s="223"/>
      <c r="D9206" s="316"/>
      <c r="H9206" s="223">
        <v>0.0</v>
      </c>
      <c r="K9206" s="317"/>
    </row>
    <row r="9207">
      <c r="B9207" s="223" t="s">
        <v>200</v>
      </c>
      <c r="C9207" s="223"/>
      <c r="D9207" s="316"/>
      <c r="H9207" s="223">
        <v>0.0</v>
      </c>
      <c r="K9207" s="317"/>
    </row>
    <row r="9208">
      <c r="B9208" s="223" t="s">
        <v>200</v>
      </c>
      <c r="C9208" s="223"/>
      <c r="D9208" s="316"/>
      <c r="H9208" s="223">
        <v>0.0</v>
      </c>
      <c r="K9208" s="317"/>
    </row>
    <row r="9209">
      <c r="B9209" s="223" t="s">
        <v>200</v>
      </c>
      <c r="C9209" s="223"/>
      <c r="D9209" s="316"/>
      <c r="H9209" s="223">
        <v>0.0</v>
      </c>
      <c r="K9209" s="317"/>
    </row>
    <row r="9210">
      <c r="B9210" s="223" t="s">
        <v>200</v>
      </c>
      <c r="C9210" s="223"/>
      <c r="D9210" s="316"/>
      <c r="H9210" s="223">
        <v>0.0</v>
      </c>
      <c r="K9210" s="317"/>
    </row>
    <row r="9211">
      <c r="B9211" s="223" t="s">
        <v>200</v>
      </c>
      <c r="C9211" s="223"/>
      <c r="D9211" s="316"/>
      <c r="H9211" s="223">
        <v>0.0</v>
      </c>
      <c r="K9211" s="317"/>
    </row>
    <row r="9212">
      <c r="B9212" s="223" t="s">
        <v>200</v>
      </c>
      <c r="C9212" s="223"/>
      <c r="D9212" s="316"/>
      <c r="H9212" s="223">
        <v>0.0</v>
      </c>
      <c r="K9212" s="317"/>
    </row>
    <row r="9213">
      <c r="B9213" s="223" t="s">
        <v>200</v>
      </c>
      <c r="C9213" s="223"/>
      <c r="D9213" s="316"/>
      <c r="H9213" s="223">
        <v>0.0</v>
      </c>
      <c r="K9213" s="317"/>
    </row>
    <row r="9214">
      <c r="B9214" s="223" t="s">
        <v>200</v>
      </c>
      <c r="C9214" s="223"/>
      <c r="D9214" s="316"/>
      <c r="H9214" s="223">
        <v>0.0</v>
      </c>
      <c r="K9214" s="317"/>
    </row>
    <row r="9215">
      <c r="B9215" s="223" t="s">
        <v>200</v>
      </c>
      <c r="C9215" s="223"/>
      <c r="D9215" s="316"/>
      <c r="H9215" s="223">
        <v>0.0</v>
      </c>
      <c r="K9215" s="317"/>
    </row>
    <row r="9216">
      <c r="B9216" s="223" t="s">
        <v>200</v>
      </c>
      <c r="C9216" s="223"/>
      <c r="D9216" s="316"/>
      <c r="H9216" s="223">
        <v>0.0</v>
      </c>
      <c r="K9216" s="317"/>
    </row>
    <row r="9217">
      <c r="B9217" s="223" t="s">
        <v>200</v>
      </c>
      <c r="C9217" s="223"/>
      <c r="D9217" s="316"/>
      <c r="H9217" s="223">
        <v>0.0</v>
      </c>
      <c r="K9217" s="317"/>
    </row>
    <row r="9218">
      <c r="B9218" s="223" t="s">
        <v>200</v>
      </c>
      <c r="C9218" s="223"/>
      <c r="D9218" s="316"/>
      <c r="H9218" s="223">
        <v>0.0</v>
      </c>
      <c r="K9218" s="317"/>
    </row>
    <row r="9219">
      <c r="B9219" s="223" t="s">
        <v>200</v>
      </c>
      <c r="C9219" s="223"/>
      <c r="D9219" s="316"/>
      <c r="H9219" s="223">
        <v>0.0</v>
      </c>
      <c r="K9219" s="317"/>
    </row>
    <row r="9220">
      <c r="B9220" s="223" t="s">
        <v>200</v>
      </c>
      <c r="C9220" s="223"/>
      <c r="D9220" s="316"/>
      <c r="H9220" s="223">
        <v>0.0</v>
      </c>
      <c r="K9220" s="317"/>
    </row>
    <row r="9221">
      <c r="B9221" s="223" t="s">
        <v>200</v>
      </c>
      <c r="C9221" s="223"/>
      <c r="D9221" s="316"/>
      <c r="H9221" s="223">
        <v>0.0</v>
      </c>
      <c r="K9221" s="317"/>
    </row>
    <row r="9222">
      <c r="B9222" s="223" t="s">
        <v>200</v>
      </c>
      <c r="C9222" s="223"/>
      <c r="D9222" s="316"/>
      <c r="H9222" s="223">
        <v>0.0</v>
      </c>
      <c r="K9222" s="317"/>
    </row>
    <row r="9223">
      <c r="B9223" s="223" t="s">
        <v>200</v>
      </c>
      <c r="C9223" s="223"/>
      <c r="D9223" s="316"/>
      <c r="H9223" s="223">
        <v>0.0</v>
      </c>
      <c r="K9223" s="317"/>
    </row>
    <row r="9224">
      <c r="B9224" s="223" t="s">
        <v>200</v>
      </c>
      <c r="C9224" s="223"/>
      <c r="D9224" s="316"/>
      <c r="H9224" s="223">
        <v>0.0</v>
      </c>
      <c r="K9224" s="317"/>
    </row>
    <row r="9225">
      <c r="B9225" s="223" t="s">
        <v>200</v>
      </c>
      <c r="C9225" s="223"/>
      <c r="D9225" s="316"/>
      <c r="H9225" s="223">
        <v>0.0</v>
      </c>
      <c r="K9225" s="317"/>
    </row>
    <row r="9226">
      <c r="B9226" s="223" t="s">
        <v>200</v>
      </c>
      <c r="C9226" s="223"/>
      <c r="D9226" s="316"/>
      <c r="H9226" s="223">
        <v>0.0</v>
      </c>
      <c r="K9226" s="317"/>
    </row>
    <row r="9227">
      <c r="B9227" s="223" t="s">
        <v>200</v>
      </c>
      <c r="C9227" s="223"/>
      <c r="D9227" s="316"/>
      <c r="H9227" s="223">
        <v>0.0</v>
      </c>
      <c r="K9227" s="317"/>
    </row>
    <row r="9228">
      <c r="B9228" s="223" t="s">
        <v>200</v>
      </c>
      <c r="C9228" s="223"/>
      <c r="D9228" s="316"/>
      <c r="H9228" s="223">
        <v>0.0</v>
      </c>
      <c r="K9228" s="317"/>
    </row>
    <row r="9229">
      <c r="B9229" s="223" t="s">
        <v>200</v>
      </c>
      <c r="C9229" s="223"/>
      <c r="D9229" s="316"/>
      <c r="H9229" s="223">
        <v>0.0</v>
      </c>
      <c r="K9229" s="317"/>
    </row>
    <row r="9230">
      <c r="B9230" s="223" t="s">
        <v>200</v>
      </c>
      <c r="C9230" s="223"/>
      <c r="D9230" s="316"/>
      <c r="H9230" s="223">
        <v>0.0</v>
      </c>
      <c r="K9230" s="317"/>
    </row>
    <row r="9231">
      <c r="B9231" s="223" t="s">
        <v>200</v>
      </c>
      <c r="C9231" s="223"/>
      <c r="D9231" s="316"/>
      <c r="H9231" s="223">
        <v>0.0</v>
      </c>
      <c r="K9231" s="317"/>
    </row>
    <row r="9232">
      <c r="B9232" s="223" t="s">
        <v>200</v>
      </c>
      <c r="C9232" s="223"/>
      <c r="D9232" s="316"/>
      <c r="H9232" s="223">
        <v>0.0</v>
      </c>
      <c r="K9232" s="317"/>
    </row>
    <row r="9233">
      <c r="B9233" s="223" t="s">
        <v>200</v>
      </c>
      <c r="C9233" s="223"/>
      <c r="D9233" s="316"/>
      <c r="H9233" s="223">
        <v>0.0</v>
      </c>
      <c r="K9233" s="317"/>
    </row>
    <row r="9234">
      <c r="B9234" s="223" t="s">
        <v>200</v>
      </c>
      <c r="C9234" s="223"/>
      <c r="D9234" s="316"/>
      <c r="H9234" s="223">
        <v>0.0</v>
      </c>
      <c r="K9234" s="317"/>
    </row>
    <row r="9235">
      <c r="B9235" s="223" t="s">
        <v>200</v>
      </c>
      <c r="C9235" s="223"/>
      <c r="D9235" s="316"/>
      <c r="H9235" s="223">
        <v>0.0</v>
      </c>
      <c r="K9235" s="317"/>
    </row>
    <row r="9236">
      <c r="B9236" s="223" t="s">
        <v>200</v>
      </c>
      <c r="C9236" s="223"/>
      <c r="D9236" s="316"/>
      <c r="H9236" s="223">
        <v>0.0</v>
      </c>
      <c r="K9236" s="317"/>
    </row>
    <row r="9237">
      <c r="B9237" s="223" t="s">
        <v>200</v>
      </c>
      <c r="C9237" s="223"/>
      <c r="D9237" s="316"/>
      <c r="H9237" s="223">
        <v>0.0</v>
      </c>
      <c r="K9237" s="317"/>
    </row>
    <row r="9238">
      <c r="B9238" s="223" t="s">
        <v>200</v>
      </c>
      <c r="C9238" s="223"/>
      <c r="D9238" s="316"/>
      <c r="H9238" s="223">
        <v>0.0</v>
      </c>
      <c r="K9238" s="317"/>
    </row>
    <row r="9239">
      <c r="B9239" s="223" t="s">
        <v>200</v>
      </c>
      <c r="C9239" s="223"/>
      <c r="D9239" s="316"/>
      <c r="H9239" s="223">
        <v>0.0</v>
      </c>
      <c r="K9239" s="317"/>
    </row>
    <row r="9240">
      <c r="B9240" s="223" t="s">
        <v>200</v>
      </c>
      <c r="C9240" s="223"/>
      <c r="D9240" s="316"/>
      <c r="H9240" s="223">
        <v>0.0</v>
      </c>
      <c r="K9240" s="317"/>
    </row>
    <row r="9241">
      <c r="B9241" s="223" t="s">
        <v>200</v>
      </c>
      <c r="C9241" s="223"/>
      <c r="D9241" s="316"/>
      <c r="H9241" s="223">
        <v>0.0</v>
      </c>
      <c r="K9241" s="317"/>
    </row>
    <row r="9242">
      <c r="B9242" s="223" t="s">
        <v>200</v>
      </c>
      <c r="C9242" s="223"/>
      <c r="D9242" s="316"/>
      <c r="H9242" s="223">
        <v>0.0</v>
      </c>
      <c r="K9242" s="317"/>
    </row>
    <row r="9243">
      <c r="B9243" s="223" t="s">
        <v>200</v>
      </c>
      <c r="C9243" s="223"/>
      <c r="D9243" s="316"/>
      <c r="H9243" s="223">
        <v>0.0</v>
      </c>
      <c r="K9243" s="317"/>
    </row>
    <row r="9244">
      <c r="B9244" s="223" t="s">
        <v>200</v>
      </c>
      <c r="C9244" s="223"/>
      <c r="D9244" s="316"/>
      <c r="H9244" s="223">
        <v>0.0</v>
      </c>
      <c r="K9244" s="317"/>
    </row>
    <row r="9245">
      <c r="B9245" s="223" t="s">
        <v>200</v>
      </c>
      <c r="C9245" s="223"/>
      <c r="D9245" s="316"/>
      <c r="H9245" s="223">
        <v>0.0</v>
      </c>
      <c r="K9245" s="317"/>
    </row>
    <row r="9246">
      <c r="B9246" s="223" t="s">
        <v>200</v>
      </c>
      <c r="C9246" s="223"/>
      <c r="D9246" s="316"/>
      <c r="H9246" s="223">
        <v>0.0</v>
      </c>
      <c r="K9246" s="317"/>
    </row>
    <row r="9247">
      <c r="B9247" s="223" t="s">
        <v>200</v>
      </c>
      <c r="C9247" s="223"/>
      <c r="D9247" s="316"/>
      <c r="H9247" s="223">
        <v>0.0</v>
      </c>
      <c r="K9247" s="317"/>
    </row>
    <row r="9248">
      <c r="B9248" s="223" t="s">
        <v>200</v>
      </c>
      <c r="C9248" s="223"/>
      <c r="D9248" s="316"/>
      <c r="H9248" s="223">
        <v>0.0</v>
      </c>
      <c r="K9248" s="317"/>
    </row>
    <row r="9249">
      <c r="B9249" s="223" t="s">
        <v>200</v>
      </c>
      <c r="C9249" s="223"/>
      <c r="D9249" s="316"/>
      <c r="H9249" s="223">
        <v>0.0</v>
      </c>
      <c r="K9249" s="317"/>
    </row>
    <row r="9250">
      <c r="B9250" s="223" t="s">
        <v>200</v>
      </c>
      <c r="C9250" s="223"/>
      <c r="D9250" s="316"/>
      <c r="H9250" s="223">
        <v>0.0</v>
      </c>
      <c r="K9250" s="317"/>
    </row>
    <row r="9251">
      <c r="B9251" s="223" t="s">
        <v>200</v>
      </c>
      <c r="C9251" s="223"/>
      <c r="D9251" s="316"/>
      <c r="H9251" s="223">
        <v>0.0</v>
      </c>
      <c r="K9251" s="317"/>
    </row>
    <row r="9252">
      <c r="B9252" s="223" t="s">
        <v>200</v>
      </c>
      <c r="C9252" s="223"/>
      <c r="D9252" s="316"/>
      <c r="H9252" s="223">
        <v>0.0</v>
      </c>
      <c r="K9252" s="317"/>
    </row>
    <row r="9253">
      <c r="B9253" s="223" t="s">
        <v>200</v>
      </c>
      <c r="C9253" s="223"/>
      <c r="D9253" s="316"/>
      <c r="H9253" s="223">
        <v>0.0</v>
      </c>
      <c r="K9253" s="317"/>
    </row>
    <row r="9254">
      <c r="B9254" s="223" t="s">
        <v>200</v>
      </c>
      <c r="C9254" s="223"/>
      <c r="D9254" s="316"/>
      <c r="H9254" s="223">
        <v>0.0</v>
      </c>
      <c r="K9254" s="317"/>
    </row>
    <row r="9255">
      <c r="B9255" s="223" t="s">
        <v>200</v>
      </c>
      <c r="C9255" s="223"/>
      <c r="D9255" s="316"/>
      <c r="H9255" s="223">
        <v>0.0</v>
      </c>
      <c r="K9255" s="317"/>
    </row>
    <row r="9256">
      <c r="B9256" s="223" t="s">
        <v>200</v>
      </c>
      <c r="C9256" s="223"/>
      <c r="D9256" s="316"/>
      <c r="H9256" s="223">
        <v>0.0</v>
      </c>
      <c r="K9256" s="317"/>
    </row>
    <row r="9257">
      <c r="B9257" s="223" t="s">
        <v>200</v>
      </c>
      <c r="C9257" s="223"/>
      <c r="D9257" s="316"/>
      <c r="H9257" s="223">
        <v>0.0</v>
      </c>
      <c r="K9257" s="317"/>
    </row>
    <row r="9258">
      <c r="B9258" s="223" t="s">
        <v>200</v>
      </c>
      <c r="C9258" s="223"/>
      <c r="D9258" s="316"/>
      <c r="H9258" s="223">
        <v>0.0</v>
      </c>
      <c r="K9258" s="317"/>
    </row>
    <row r="9259">
      <c r="B9259" s="223" t="s">
        <v>200</v>
      </c>
      <c r="C9259" s="223"/>
      <c r="D9259" s="316"/>
      <c r="H9259" s="223">
        <v>0.0</v>
      </c>
      <c r="K9259" s="317"/>
    </row>
    <row r="9260">
      <c r="B9260" s="223" t="s">
        <v>200</v>
      </c>
      <c r="C9260" s="223"/>
      <c r="D9260" s="316"/>
      <c r="H9260" s="223">
        <v>0.0</v>
      </c>
      <c r="K9260" s="317"/>
    </row>
    <row r="9261">
      <c r="B9261" s="223" t="s">
        <v>200</v>
      </c>
      <c r="C9261" s="223"/>
      <c r="D9261" s="316"/>
      <c r="H9261" s="223">
        <v>0.0</v>
      </c>
      <c r="K9261" s="317"/>
    </row>
    <row r="9262">
      <c r="B9262" s="223" t="s">
        <v>200</v>
      </c>
      <c r="C9262" s="223"/>
      <c r="D9262" s="316"/>
      <c r="H9262" s="223">
        <v>0.0</v>
      </c>
      <c r="K9262" s="317"/>
    </row>
    <row r="9263">
      <c r="B9263" s="223" t="s">
        <v>200</v>
      </c>
      <c r="C9263" s="223"/>
      <c r="D9263" s="316"/>
      <c r="H9263" s="223">
        <v>0.0</v>
      </c>
      <c r="K9263" s="317"/>
    </row>
    <row r="9264">
      <c r="B9264" s="223" t="s">
        <v>200</v>
      </c>
      <c r="C9264" s="223"/>
      <c r="D9264" s="316"/>
      <c r="H9264" s="223">
        <v>0.0</v>
      </c>
      <c r="K9264" s="317"/>
    </row>
    <row r="9265">
      <c r="B9265" s="223" t="s">
        <v>200</v>
      </c>
      <c r="C9265" s="223"/>
      <c r="D9265" s="316"/>
      <c r="H9265" s="223">
        <v>0.0</v>
      </c>
      <c r="K9265" s="317"/>
    </row>
    <row r="9266">
      <c r="B9266" s="223" t="s">
        <v>200</v>
      </c>
      <c r="C9266" s="223"/>
      <c r="D9266" s="316"/>
      <c r="H9266" s="223">
        <v>0.0</v>
      </c>
      <c r="K9266" s="317"/>
    </row>
    <row r="9267">
      <c r="B9267" s="223" t="s">
        <v>200</v>
      </c>
      <c r="C9267" s="223"/>
      <c r="D9267" s="316"/>
      <c r="H9267" s="223">
        <v>0.0</v>
      </c>
      <c r="K9267" s="317"/>
    </row>
    <row r="9268">
      <c r="B9268" s="223" t="s">
        <v>200</v>
      </c>
      <c r="C9268" s="223"/>
      <c r="D9268" s="316"/>
      <c r="H9268" s="223">
        <v>0.0</v>
      </c>
      <c r="K9268" s="317"/>
    </row>
    <row r="9269">
      <c r="B9269" s="223" t="s">
        <v>200</v>
      </c>
      <c r="C9269" s="223"/>
      <c r="D9269" s="316"/>
      <c r="H9269" s="223">
        <v>0.0</v>
      </c>
      <c r="K9269" s="317"/>
    </row>
    <row r="9270">
      <c r="B9270" s="223" t="s">
        <v>200</v>
      </c>
      <c r="C9270" s="223"/>
      <c r="D9270" s="316"/>
      <c r="H9270" s="223">
        <v>0.0</v>
      </c>
      <c r="K9270" s="317"/>
    </row>
    <row r="9271">
      <c r="B9271" s="223" t="s">
        <v>200</v>
      </c>
      <c r="C9271" s="223"/>
      <c r="D9271" s="316"/>
      <c r="H9271" s="223">
        <v>0.0</v>
      </c>
      <c r="K9271" s="317"/>
    </row>
    <row r="9272">
      <c r="B9272" s="223" t="s">
        <v>200</v>
      </c>
      <c r="C9272" s="223"/>
      <c r="D9272" s="316"/>
      <c r="H9272" s="223">
        <v>0.0</v>
      </c>
      <c r="K9272" s="317"/>
    </row>
    <row r="9273">
      <c r="B9273" s="223" t="s">
        <v>200</v>
      </c>
      <c r="C9273" s="223"/>
      <c r="D9273" s="316"/>
      <c r="H9273" s="223">
        <v>0.0</v>
      </c>
      <c r="K9273" s="317"/>
    </row>
    <row r="9274">
      <c r="B9274" s="223" t="s">
        <v>200</v>
      </c>
      <c r="C9274" s="223"/>
      <c r="D9274" s="316"/>
      <c r="H9274" s="223">
        <v>0.0</v>
      </c>
      <c r="K9274" s="317"/>
    </row>
    <row r="9275">
      <c r="B9275" s="223" t="s">
        <v>200</v>
      </c>
      <c r="C9275" s="223"/>
      <c r="D9275" s="316"/>
      <c r="H9275" s="223">
        <v>0.0</v>
      </c>
      <c r="K9275" s="317"/>
    </row>
    <row r="9276">
      <c r="B9276" s="223" t="s">
        <v>200</v>
      </c>
      <c r="C9276" s="223"/>
      <c r="D9276" s="316"/>
      <c r="H9276" s="223">
        <v>0.0</v>
      </c>
      <c r="K9276" s="317"/>
    </row>
    <row r="9277">
      <c r="B9277" s="223" t="s">
        <v>200</v>
      </c>
      <c r="C9277" s="223"/>
      <c r="D9277" s="316"/>
      <c r="H9277" s="223">
        <v>0.0</v>
      </c>
      <c r="K9277" s="317"/>
    </row>
    <row r="9278">
      <c r="B9278" s="223" t="s">
        <v>200</v>
      </c>
      <c r="C9278" s="223"/>
      <c r="D9278" s="316"/>
      <c r="H9278" s="223">
        <v>0.0</v>
      </c>
      <c r="K9278" s="317"/>
    </row>
    <row r="9279">
      <c r="B9279" s="223" t="s">
        <v>200</v>
      </c>
      <c r="C9279" s="223"/>
      <c r="D9279" s="316"/>
      <c r="H9279" s="223">
        <v>0.0</v>
      </c>
      <c r="K9279" s="317"/>
    </row>
    <row r="9280">
      <c r="B9280" s="223" t="s">
        <v>200</v>
      </c>
      <c r="C9280" s="223"/>
      <c r="D9280" s="316"/>
      <c r="H9280" s="223">
        <v>0.0</v>
      </c>
      <c r="K9280" s="317"/>
    </row>
    <row r="9281">
      <c r="B9281" s="223" t="s">
        <v>200</v>
      </c>
      <c r="C9281" s="223"/>
      <c r="D9281" s="316"/>
      <c r="H9281" s="223">
        <v>0.0</v>
      </c>
      <c r="K9281" s="317"/>
    </row>
    <row r="9282">
      <c r="B9282" s="223" t="s">
        <v>200</v>
      </c>
      <c r="C9282" s="223"/>
      <c r="D9282" s="316"/>
      <c r="H9282" s="223">
        <v>0.0</v>
      </c>
      <c r="K9282" s="317"/>
    </row>
    <row r="9283">
      <c r="B9283" s="223" t="s">
        <v>200</v>
      </c>
      <c r="C9283" s="223"/>
      <c r="D9283" s="316"/>
      <c r="H9283" s="223">
        <v>0.0</v>
      </c>
      <c r="K9283" s="317"/>
    </row>
    <row r="9284">
      <c r="B9284" s="223" t="s">
        <v>200</v>
      </c>
      <c r="C9284" s="223"/>
      <c r="D9284" s="316"/>
      <c r="H9284" s="223">
        <v>0.0</v>
      </c>
      <c r="K9284" s="317"/>
    </row>
    <row r="9285">
      <c r="B9285" s="223" t="s">
        <v>200</v>
      </c>
      <c r="C9285" s="223"/>
      <c r="D9285" s="316"/>
      <c r="H9285" s="223">
        <v>0.0</v>
      </c>
      <c r="K9285" s="317"/>
    </row>
    <row r="9286">
      <c r="B9286" s="223" t="s">
        <v>200</v>
      </c>
      <c r="C9286" s="223"/>
      <c r="D9286" s="316"/>
      <c r="H9286" s="223">
        <v>0.0</v>
      </c>
      <c r="K9286" s="317"/>
    </row>
    <row r="9287">
      <c r="B9287" s="223" t="s">
        <v>200</v>
      </c>
      <c r="C9287" s="223"/>
      <c r="D9287" s="316"/>
      <c r="H9287" s="223">
        <v>0.0</v>
      </c>
      <c r="K9287" s="317"/>
    </row>
    <row r="9288">
      <c r="B9288" s="223" t="s">
        <v>200</v>
      </c>
      <c r="C9288" s="223"/>
      <c r="D9288" s="316"/>
      <c r="H9288" s="223">
        <v>0.0</v>
      </c>
      <c r="K9288" s="317"/>
    </row>
    <row r="9289">
      <c r="B9289" s="223" t="s">
        <v>200</v>
      </c>
      <c r="C9289" s="223"/>
      <c r="D9289" s="316"/>
      <c r="H9289" s="223">
        <v>0.0</v>
      </c>
      <c r="K9289" s="317"/>
    </row>
    <row r="9290">
      <c r="B9290" s="223" t="s">
        <v>200</v>
      </c>
      <c r="C9290" s="223"/>
      <c r="D9290" s="316"/>
      <c r="H9290" s="223">
        <v>0.0</v>
      </c>
      <c r="K9290" s="317"/>
    </row>
    <row r="9291">
      <c r="B9291" s="223" t="s">
        <v>200</v>
      </c>
      <c r="C9291" s="223"/>
      <c r="D9291" s="316"/>
      <c r="H9291" s="223">
        <v>0.0</v>
      </c>
      <c r="K9291" s="317"/>
    </row>
    <row r="9292">
      <c r="B9292" s="223" t="s">
        <v>200</v>
      </c>
      <c r="C9292" s="223"/>
      <c r="D9292" s="316"/>
      <c r="H9292" s="223">
        <v>0.0</v>
      </c>
      <c r="K9292" s="317"/>
    </row>
    <row r="9293">
      <c r="B9293" s="223" t="s">
        <v>200</v>
      </c>
      <c r="C9293" s="223"/>
      <c r="D9293" s="316"/>
      <c r="H9293" s="223">
        <v>0.0</v>
      </c>
      <c r="K9293" s="317"/>
    </row>
    <row r="9294">
      <c r="B9294" s="223" t="s">
        <v>200</v>
      </c>
      <c r="C9294" s="223"/>
      <c r="D9294" s="316"/>
      <c r="H9294" s="223">
        <v>0.0</v>
      </c>
      <c r="K9294" s="317"/>
    </row>
    <row r="9295">
      <c r="B9295" s="223" t="s">
        <v>200</v>
      </c>
      <c r="C9295" s="223"/>
      <c r="D9295" s="316"/>
      <c r="H9295" s="223">
        <v>0.0</v>
      </c>
      <c r="K9295" s="317"/>
    </row>
    <row r="9296">
      <c r="B9296" s="223" t="s">
        <v>200</v>
      </c>
      <c r="C9296" s="223"/>
      <c r="D9296" s="316"/>
      <c r="H9296" s="223">
        <v>0.0</v>
      </c>
      <c r="K9296" s="317"/>
    </row>
    <row r="9297">
      <c r="B9297" s="223" t="s">
        <v>200</v>
      </c>
      <c r="C9297" s="223"/>
      <c r="D9297" s="316"/>
      <c r="H9297" s="223">
        <v>0.0</v>
      </c>
      <c r="K9297" s="317"/>
    </row>
    <row r="9298">
      <c r="B9298" s="223" t="s">
        <v>200</v>
      </c>
      <c r="C9298" s="223"/>
      <c r="D9298" s="316"/>
      <c r="H9298" s="223">
        <v>0.0</v>
      </c>
      <c r="K9298" s="317"/>
    </row>
    <row r="9299">
      <c r="B9299" s="223" t="s">
        <v>200</v>
      </c>
      <c r="C9299" s="223"/>
      <c r="D9299" s="316"/>
      <c r="H9299" s="223">
        <v>0.0</v>
      </c>
      <c r="K9299" s="317"/>
    </row>
    <row r="9300">
      <c r="B9300" s="223" t="s">
        <v>200</v>
      </c>
      <c r="C9300" s="223"/>
      <c r="D9300" s="316"/>
      <c r="H9300" s="223">
        <v>0.0</v>
      </c>
      <c r="K9300" s="317"/>
    </row>
    <row r="9301">
      <c r="B9301" s="223" t="s">
        <v>200</v>
      </c>
      <c r="C9301" s="223"/>
      <c r="D9301" s="316"/>
      <c r="H9301" s="223">
        <v>0.0</v>
      </c>
      <c r="K9301" s="317"/>
    </row>
    <row r="9302">
      <c r="B9302" s="223" t="s">
        <v>200</v>
      </c>
      <c r="C9302" s="223"/>
      <c r="D9302" s="316"/>
      <c r="H9302" s="223">
        <v>0.0</v>
      </c>
      <c r="K9302" s="317"/>
    </row>
    <row r="9303">
      <c r="B9303" s="223" t="s">
        <v>200</v>
      </c>
      <c r="C9303" s="223"/>
      <c r="D9303" s="316"/>
      <c r="H9303" s="223">
        <v>0.0</v>
      </c>
      <c r="K9303" s="317"/>
    </row>
    <row r="9304">
      <c r="B9304" s="223" t="s">
        <v>200</v>
      </c>
      <c r="C9304" s="223"/>
      <c r="D9304" s="316"/>
      <c r="H9304" s="223">
        <v>0.0</v>
      </c>
      <c r="K9304" s="317"/>
    </row>
    <row r="9305">
      <c r="B9305" s="223" t="s">
        <v>200</v>
      </c>
      <c r="C9305" s="223"/>
      <c r="D9305" s="316"/>
      <c r="H9305" s="223">
        <v>0.0</v>
      </c>
      <c r="K9305" s="317"/>
    </row>
    <row r="9306">
      <c r="B9306" s="223" t="s">
        <v>200</v>
      </c>
      <c r="C9306" s="223"/>
      <c r="D9306" s="316"/>
      <c r="H9306" s="223">
        <v>0.0</v>
      </c>
      <c r="K9306" s="317"/>
    </row>
    <row r="9307">
      <c r="B9307" s="223" t="s">
        <v>200</v>
      </c>
      <c r="C9307" s="223"/>
      <c r="D9307" s="316"/>
      <c r="H9307" s="223">
        <v>0.0</v>
      </c>
      <c r="K9307" s="317"/>
    </row>
    <row r="9308">
      <c r="B9308" s="223" t="s">
        <v>200</v>
      </c>
      <c r="C9308" s="223"/>
      <c r="D9308" s="316"/>
      <c r="H9308" s="223">
        <v>0.0</v>
      </c>
      <c r="K9308" s="317"/>
    </row>
    <row r="9309">
      <c r="B9309" s="223" t="s">
        <v>200</v>
      </c>
      <c r="C9309" s="223"/>
      <c r="D9309" s="316"/>
      <c r="H9309" s="223">
        <v>0.0</v>
      </c>
      <c r="K9309" s="317"/>
    </row>
    <row r="9310">
      <c r="B9310" s="223" t="s">
        <v>200</v>
      </c>
      <c r="C9310" s="223"/>
      <c r="D9310" s="316"/>
      <c r="H9310" s="223">
        <v>0.0</v>
      </c>
      <c r="K9310" s="317"/>
    </row>
    <row r="9311">
      <c r="B9311" s="223" t="s">
        <v>200</v>
      </c>
      <c r="C9311" s="223"/>
      <c r="D9311" s="316"/>
      <c r="H9311" s="223">
        <v>0.0</v>
      </c>
      <c r="K9311" s="317"/>
    </row>
    <row r="9312">
      <c r="B9312" s="223" t="s">
        <v>200</v>
      </c>
      <c r="C9312" s="223"/>
      <c r="D9312" s="316"/>
      <c r="H9312" s="223">
        <v>0.0</v>
      </c>
      <c r="K9312" s="317"/>
    </row>
    <row r="9313">
      <c r="B9313" s="223" t="s">
        <v>200</v>
      </c>
      <c r="C9313" s="223"/>
      <c r="D9313" s="316"/>
      <c r="H9313" s="223">
        <v>0.0</v>
      </c>
      <c r="K9313" s="317"/>
    </row>
    <row r="9314">
      <c r="B9314" s="223" t="s">
        <v>200</v>
      </c>
      <c r="C9314" s="223"/>
      <c r="D9314" s="316"/>
      <c r="H9314" s="223">
        <v>0.0</v>
      </c>
      <c r="K9314" s="317"/>
    </row>
    <row r="9315">
      <c r="B9315" s="223" t="s">
        <v>200</v>
      </c>
      <c r="C9315" s="223"/>
      <c r="D9315" s="316"/>
      <c r="H9315" s="223">
        <v>0.0</v>
      </c>
      <c r="K9315" s="317"/>
    </row>
    <row r="9316">
      <c r="B9316" s="223" t="s">
        <v>200</v>
      </c>
      <c r="C9316" s="223"/>
      <c r="D9316" s="316"/>
      <c r="H9316" s="223">
        <v>0.0</v>
      </c>
      <c r="K9316" s="317"/>
    </row>
    <row r="9317">
      <c r="B9317" s="223" t="s">
        <v>200</v>
      </c>
      <c r="C9317" s="223"/>
      <c r="D9317" s="316"/>
      <c r="H9317" s="223">
        <v>0.0</v>
      </c>
      <c r="K9317" s="317"/>
    </row>
    <row r="9318">
      <c r="B9318" s="223" t="s">
        <v>200</v>
      </c>
      <c r="C9318" s="223"/>
      <c r="D9318" s="316"/>
      <c r="H9318" s="223">
        <v>0.0</v>
      </c>
      <c r="K9318" s="317"/>
    </row>
    <row r="9319">
      <c r="B9319" s="223" t="s">
        <v>200</v>
      </c>
      <c r="C9319" s="223"/>
      <c r="D9319" s="316"/>
      <c r="H9319" s="223">
        <v>0.0</v>
      </c>
      <c r="K9319" s="317"/>
    </row>
    <row r="9320">
      <c r="B9320" s="223" t="s">
        <v>200</v>
      </c>
      <c r="C9320" s="223"/>
      <c r="D9320" s="316"/>
      <c r="H9320" s="223">
        <v>0.0</v>
      </c>
      <c r="K9320" s="317"/>
    </row>
    <row r="9321">
      <c r="B9321" s="223" t="s">
        <v>200</v>
      </c>
      <c r="C9321" s="223"/>
      <c r="D9321" s="316"/>
      <c r="H9321" s="223">
        <v>0.0</v>
      </c>
      <c r="K9321" s="317"/>
    </row>
    <row r="9322">
      <c r="B9322" s="223" t="s">
        <v>200</v>
      </c>
      <c r="C9322" s="223"/>
      <c r="D9322" s="316"/>
      <c r="H9322" s="223">
        <v>0.0</v>
      </c>
      <c r="K9322" s="317"/>
    </row>
    <row r="9323">
      <c r="B9323" s="223" t="s">
        <v>200</v>
      </c>
      <c r="C9323" s="223"/>
      <c r="D9323" s="316"/>
      <c r="H9323" s="223">
        <v>0.0</v>
      </c>
      <c r="K9323" s="317"/>
    </row>
    <row r="9324">
      <c r="B9324" s="223" t="s">
        <v>200</v>
      </c>
      <c r="C9324" s="223"/>
      <c r="D9324" s="316"/>
      <c r="H9324" s="223">
        <v>0.0</v>
      </c>
      <c r="K9324" s="317"/>
    </row>
    <row r="9325">
      <c r="B9325" s="223" t="s">
        <v>200</v>
      </c>
      <c r="C9325" s="223"/>
      <c r="D9325" s="316"/>
      <c r="H9325" s="223">
        <v>0.0</v>
      </c>
      <c r="K9325" s="317"/>
    </row>
    <row r="9326">
      <c r="B9326" s="223" t="s">
        <v>200</v>
      </c>
      <c r="C9326" s="223"/>
      <c r="D9326" s="316"/>
      <c r="H9326" s="223">
        <v>0.0</v>
      </c>
      <c r="K9326" s="317"/>
    </row>
    <row r="9327">
      <c r="B9327" s="223" t="s">
        <v>200</v>
      </c>
      <c r="C9327" s="223"/>
      <c r="D9327" s="316"/>
      <c r="H9327" s="223">
        <v>0.0</v>
      </c>
      <c r="K9327" s="317"/>
    </row>
    <row r="9328">
      <c r="B9328" s="223" t="s">
        <v>200</v>
      </c>
      <c r="C9328" s="223"/>
      <c r="D9328" s="316"/>
      <c r="H9328" s="223">
        <v>0.0</v>
      </c>
      <c r="K9328" s="317"/>
    </row>
    <row r="9329">
      <c r="B9329" s="223" t="s">
        <v>200</v>
      </c>
      <c r="C9329" s="223"/>
      <c r="D9329" s="316"/>
      <c r="H9329" s="223">
        <v>0.0</v>
      </c>
      <c r="K9329" s="317"/>
    </row>
    <row r="9330">
      <c r="B9330" s="223" t="s">
        <v>200</v>
      </c>
      <c r="C9330" s="223"/>
      <c r="D9330" s="316"/>
      <c r="H9330" s="223">
        <v>0.0</v>
      </c>
      <c r="K9330" s="317"/>
    </row>
    <row r="9331">
      <c r="B9331" s="223" t="s">
        <v>200</v>
      </c>
      <c r="C9331" s="223"/>
      <c r="D9331" s="316"/>
      <c r="H9331" s="223">
        <v>0.0</v>
      </c>
      <c r="K9331" s="317"/>
    </row>
    <row r="9332">
      <c r="B9332" s="223" t="s">
        <v>200</v>
      </c>
      <c r="C9332" s="223"/>
      <c r="D9332" s="316"/>
      <c r="H9332" s="223">
        <v>0.0</v>
      </c>
      <c r="K9332" s="317"/>
    </row>
    <row r="9333">
      <c r="B9333" s="223" t="s">
        <v>200</v>
      </c>
      <c r="C9333" s="223"/>
      <c r="D9333" s="316"/>
      <c r="H9333" s="223">
        <v>0.0</v>
      </c>
      <c r="K9333" s="317"/>
    </row>
    <row r="9334">
      <c r="B9334" s="223" t="s">
        <v>200</v>
      </c>
      <c r="C9334" s="223"/>
      <c r="D9334" s="316"/>
      <c r="H9334" s="223">
        <v>0.0</v>
      </c>
      <c r="K9334" s="317"/>
    </row>
    <row r="9335">
      <c r="B9335" s="223" t="s">
        <v>200</v>
      </c>
      <c r="C9335" s="223"/>
      <c r="D9335" s="316"/>
      <c r="H9335" s="223">
        <v>0.0</v>
      </c>
      <c r="K9335" s="317"/>
    </row>
    <row r="9336">
      <c r="B9336" s="223" t="s">
        <v>200</v>
      </c>
      <c r="C9336" s="223"/>
      <c r="D9336" s="316"/>
      <c r="H9336" s="223">
        <v>0.0</v>
      </c>
      <c r="K9336" s="317"/>
    </row>
    <row r="9337">
      <c r="B9337" s="223" t="s">
        <v>200</v>
      </c>
      <c r="C9337" s="223"/>
      <c r="D9337" s="316"/>
      <c r="H9337" s="223">
        <v>0.0</v>
      </c>
      <c r="K9337" s="317"/>
    </row>
    <row r="9338">
      <c r="B9338" s="223" t="s">
        <v>200</v>
      </c>
      <c r="C9338" s="223"/>
      <c r="D9338" s="316"/>
      <c r="H9338" s="223">
        <v>0.0</v>
      </c>
      <c r="K9338" s="317"/>
    </row>
    <row r="9339">
      <c r="B9339" s="223" t="s">
        <v>200</v>
      </c>
      <c r="C9339" s="223"/>
      <c r="D9339" s="316"/>
      <c r="H9339" s="223">
        <v>0.0</v>
      </c>
      <c r="K9339" s="317"/>
    </row>
    <row r="9340">
      <c r="B9340" s="223" t="s">
        <v>200</v>
      </c>
      <c r="C9340" s="223"/>
      <c r="D9340" s="316"/>
      <c r="H9340" s="223">
        <v>0.0</v>
      </c>
      <c r="K9340" s="317"/>
    </row>
    <row r="9341">
      <c r="B9341" s="223" t="s">
        <v>200</v>
      </c>
      <c r="C9341" s="223"/>
      <c r="D9341" s="316"/>
      <c r="H9341" s="223">
        <v>0.0</v>
      </c>
      <c r="K9341" s="317"/>
    </row>
    <row r="9342">
      <c r="B9342" s="223" t="s">
        <v>200</v>
      </c>
      <c r="C9342" s="223"/>
      <c r="D9342" s="316"/>
      <c r="H9342" s="223">
        <v>0.0</v>
      </c>
      <c r="K9342" s="317"/>
    </row>
    <row r="9343">
      <c r="B9343" s="223" t="s">
        <v>200</v>
      </c>
      <c r="C9343" s="223"/>
      <c r="D9343" s="316"/>
      <c r="H9343" s="223">
        <v>0.0</v>
      </c>
      <c r="K9343" s="317"/>
    </row>
    <row r="9344">
      <c r="B9344" s="223" t="s">
        <v>200</v>
      </c>
      <c r="C9344" s="223"/>
      <c r="D9344" s="316"/>
      <c r="H9344" s="223">
        <v>0.0</v>
      </c>
      <c r="K9344" s="317"/>
    </row>
    <row r="9345">
      <c r="B9345" s="223" t="s">
        <v>200</v>
      </c>
      <c r="C9345" s="223"/>
      <c r="D9345" s="316"/>
      <c r="H9345" s="223">
        <v>0.0</v>
      </c>
      <c r="K9345" s="317"/>
    </row>
    <row r="9346">
      <c r="B9346" s="223" t="s">
        <v>200</v>
      </c>
      <c r="C9346" s="223"/>
      <c r="D9346" s="316"/>
      <c r="H9346" s="223">
        <v>0.0</v>
      </c>
      <c r="K9346" s="317"/>
    </row>
    <row r="9347">
      <c r="B9347" s="223" t="s">
        <v>200</v>
      </c>
      <c r="C9347" s="223"/>
      <c r="D9347" s="316"/>
      <c r="H9347" s="223">
        <v>0.0</v>
      </c>
      <c r="K9347" s="317"/>
    </row>
    <row r="9348">
      <c r="B9348" s="223" t="s">
        <v>200</v>
      </c>
      <c r="C9348" s="223"/>
      <c r="D9348" s="316"/>
      <c r="H9348" s="223">
        <v>0.0</v>
      </c>
      <c r="K9348" s="317"/>
    </row>
    <row r="9349">
      <c r="B9349" s="223" t="s">
        <v>200</v>
      </c>
      <c r="C9349" s="223"/>
      <c r="D9349" s="316"/>
      <c r="H9349" s="223">
        <v>0.0</v>
      </c>
      <c r="K9349" s="317"/>
    </row>
    <row r="9350">
      <c r="B9350" s="223" t="s">
        <v>200</v>
      </c>
      <c r="C9350" s="223"/>
      <c r="D9350" s="316"/>
      <c r="H9350" s="223">
        <v>0.0</v>
      </c>
      <c r="K9350" s="317"/>
    </row>
    <row r="9351">
      <c r="B9351" s="223" t="s">
        <v>200</v>
      </c>
      <c r="C9351" s="223"/>
      <c r="D9351" s="316"/>
      <c r="H9351" s="223">
        <v>0.0</v>
      </c>
      <c r="K9351" s="317"/>
    </row>
    <row r="9352">
      <c r="B9352" s="223" t="s">
        <v>200</v>
      </c>
      <c r="C9352" s="223"/>
      <c r="D9352" s="316"/>
      <c r="H9352" s="223">
        <v>0.0</v>
      </c>
      <c r="K9352" s="317"/>
    </row>
    <row r="9353">
      <c r="B9353" s="223" t="s">
        <v>200</v>
      </c>
      <c r="C9353" s="223"/>
      <c r="D9353" s="316"/>
      <c r="H9353" s="223">
        <v>0.0</v>
      </c>
      <c r="K9353" s="317"/>
    </row>
    <row r="9354">
      <c r="B9354" s="223" t="s">
        <v>200</v>
      </c>
      <c r="C9354" s="223"/>
      <c r="D9354" s="316"/>
      <c r="H9354" s="223">
        <v>0.0</v>
      </c>
      <c r="K9354" s="317"/>
    </row>
    <row r="9355">
      <c r="B9355" s="223" t="s">
        <v>200</v>
      </c>
      <c r="C9355" s="223"/>
      <c r="D9355" s="316"/>
      <c r="H9355" s="223">
        <v>0.0</v>
      </c>
      <c r="K9355" s="317"/>
    </row>
    <row r="9356">
      <c r="B9356" s="223" t="s">
        <v>200</v>
      </c>
      <c r="C9356" s="223"/>
      <c r="D9356" s="316"/>
      <c r="H9356" s="223">
        <v>0.0</v>
      </c>
      <c r="K9356" s="317"/>
    </row>
    <row r="9357">
      <c r="B9357" s="223" t="s">
        <v>200</v>
      </c>
      <c r="C9357" s="223"/>
      <c r="D9357" s="316"/>
      <c r="H9357" s="223">
        <v>0.0</v>
      </c>
      <c r="K9357" s="317"/>
    </row>
    <row r="9358">
      <c r="B9358" s="223" t="s">
        <v>200</v>
      </c>
      <c r="C9358" s="223"/>
      <c r="D9358" s="316"/>
      <c r="H9358" s="223">
        <v>0.0</v>
      </c>
      <c r="K9358" s="317"/>
    </row>
    <row r="9359">
      <c r="B9359" s="223" t="s">
        <v>200</v>
      </c>
      <c r="C9359" s="223"/>
      <c r="D9359" s="316"/>
      <c r="H9359" s="223">
        <v>0.0</v>
      </c>
      <c r="K9359" s="317"/>
    </row>
    <row r="9360">
      <c r="B9360" s="223" t="s">
        <v>200</v>
      </c>
      <c r="C9360" s="223"/>
      <c r="D9360" s="316"/>
      <c r="H9360" s="223">
        <v>0.0</v>
      </c>
      <c r="K9360" s="317"/>
    </row>
    <row r="9361">
      <c r="B9361" s="223" t="s">
        <v>200</v>
      </c>
      <c r="C9361" s="223"/>
      <c r="D9361" s="316"/>
      <c r="H9361" s="223">
        <v>0.0</v>
      </c>
      <c r="K9361" s="317"/>
    </row>
    <row r="9362">
      <c r="B9362" s="223" t="s">
        <v>200</v>
      </c>
      <c r="C9362" s="223"/>
      <c r="D9362" s="316"/>
      <c r="H9362" s="223">
        <v>0.0</v>
      </c>
      <c r="K9362" s="317"/>
    </row>
    <row r="9363">
      <c r="B9363" s="223" t="s">
        <v>200</v>
      </c>
      <c r="C9363" s="223"/>
      <c r="D9363" s="316"/>
      <c r="H9363" s="223">
        <v>0.0</v>
      </c>
      <c r="K9363" s="317"/>
    </row>
    <row r="9364">
      <c r="B9364" s="223" t="s">
        <v>200</v>
      </c>
      <c r="C9364" s="223"/>
      <c r="D9364" s="316"/>
      <c r="H9364" s="223">
        <v>0.0</v>
      </c>
      <c r="K9364" s="317"/>
    </row>
    <row r="9365">
      <c r="B9365" s="223" t="s">
        <v>200</v>
      </c>
      <c r="C9365" s="223"/>
      <c r="D9365" s="316"/>
      <c r="H9365" s="223">
        <v>0.0</v>
      </c>
      <c r="K9365" s="317"/>
    </row>
    <row r="9366">
      <c r="B9366" s="223" t="s">
        <v>200</v>
      </c>
      <c r="C9366" s="223"/>
      <c r="D9366" s="316"/>
      <c r="H9366" s="223">
        <v>0.0</v>
      </c>
      <c r="K9366" s="317"/>
    </row>
    <row r="9367">
      <c r="B9367" s="223" t="s">
        <v>200</v>
      </c>
      <c r="C9367" s="223"/>
      <c r="D9367" s="316"/>
      <c r="H9367" s="223">
        <v>0.0</v>
      </c>
      <c r="K9367" s="317"/>
    </row>
    <row r="9368">
      <c r="B9368" s="223" t="s">
        <v>200</v>
      </c>
      <c r="C9368" s="223"/>
      <c r="D9368" s="316"/>
      <c r="H9368" s="223">
        <v>0.0</v>
      </c>
      <c r="K9368" s="317"/>
    </row>
    <row r="9369">
      <c r="B9369" s="223" t="s">
        <v>200</v>
      </c>
      <c r="C9369" s="223"/>
      <c r="D9369" s="316"/>
      <c r="H9369" s="223">
        <v>0.0</v>
      </c>
      <c r="K9369" s="317"/>
    </row>
    <row r="9370">
      <c r="B9370" s="223" t="s">
        <v>200</v>
      </c>
      <c r="C9370" s="223"/>
      <c r="D9370" s="316"/>
      <c r="H9370" s="223">
        <v>0.0</v>
      </c>
      <c r="K9370" s="317"/>
    </row>
    <row r="9371">
      <c r="B9371" s="223" t="s">
        <v>200</v>
      </c>
      <c r="C9371" s="223"/>
      <c r="D9371" s="316"/>
      <c r="H9371" s="223">
        <v>0.0</v>
      </c>
      <c r="K9371" s="317"/>
    </row>
    <row r="9372">
      <c r="B9372" s="223" t="s">
        <v>200</v>
      </c>
      <c r="C9372" s="223"/>
      <c r="D9372" s="316"/>
      <c r="H9372" s="223">
        <v>0.0</v>
      </c>
      <c r="K9372" s="317"/>
    </row>
    <row r="9373">
      <c r="B9373" s="223" t="s">
        <v>200</v>
      </c>
      <c r="C9373" s="223"/>
      <c r="D9373" s="316"/>
      <c r="H9373" s="223">
        <v>0.0</v>
      </c>
      <c r="K9373" s="317"/>
    </row>
    <row r="9374">
      <c r="B9374" s="223" t="s">
        <v>200</v>
      </c>
      <c r="C9374" s="223"/>
      <c r="D9374" s="316"/>
      <c r="H9374" s="223">
        <v>0.0</v>
      </c>
      <c r="K9374" s="317"/>
    </row>
    <row r="9375">
      <c r="B9375" s="223" t="s">
        <v>200</v>
      </c>
      <c r="C9375" s="223"/>
      <c r="D9375" s="316"/>
      <c r="H9375" s="223">
        <v>0.0</v>
      </c>
      <c r="K9375" s="317"/>
    </row>
    <row r="9376">
      <c r="B9376" s="223" t="s">
        <v>200</v>
      </c>
      <c r="C9376" s="223"/>
      <c r="D9376" s="316"/>
      <c r="H9376" s="223">
        <v>0.0</v>
      </c>
      <c r="K9376" s="317"/>
    </row>
    <row r="9377">
      <c r="B9377" s="223" t="s">
        <v>200</v>
      </c>
      <c r="C9377" s="223"/>
      <c r="D9377" s="316"/>
      <c r="H9377" s="223">
        <v>0.0</v>
      </c>
      <c r="K9377" s="317"/>
    </row>
    <row r="9378">
      <c r="B9378" s="223" t="s">
        <v>200</v>
      </c>
      <c r="C9378" s="223"/>
      <c r="D9378" s="316"/>
      <c r="H9378" s="223">
        <v>0.0</v>
      </c>
      <c r="K9378" s="317"/>
    </row>
    <row r="9379">
      <c r="B9379" s="223" t="s">
        <v>200</v>
      </c>
      <c r="C9379" s="223"/>
      <c r="D9379" s="316"/>
      <c r="H9379" s="223">
        <v>0.0</v>
      </c>
      <c r="K9379" s="317"/>
    </row>
    <row r="9380">
      <c r="B9380" s="223" t="s">
        <v>200</v>
      </c>
      <c r="C9380" s="223"/>
      <c r="D9380" s="316"/>
      <c r="H9380" s="223">
        <v>0.0</v>
      </c>
      <c r="K9380" s="317"/>
    </row>
    <row r="9381">
      <c r="B9381" s="223" t="s">
        <v>200</v>
      </c>
      <c r="C9381" s="223"/>
      <c r="D9381" s="316"/>
      <c r="H9381" s="223">
        <v>0.0</v>
      </c>
      <c r="K9381" s="317"/>
    </row>
    <row r="9382">
      <c r="B9382" s="223" t="s">
        <v>200</v>
      </c>
      <c r="C9382" s="223"/>
      <c r="D9382" s="316"/>
      <c r="H9382" s="223">
        <v>0.0</v>
      </c>
      <c r="K9382" s="317"/>
    </row>
    <row r="9383">
      <c r="B9383" s="223" t="s">
        <v>200</v>
      </c>
      <c r="C9383" s="223"/>
      <c r="D9383" s="316"/>
      <c r="H9383" s="223">
        <v>0.0</v>
      </c>
      <c r="K9383" s="317"/>
    </row>
    <row r="9384">
      <c r="B9384" s="223" t="s">
        <v>200</v>
      </c>
      <c r="C9384" s="223"/>
      <c r="D9384" s="316"/>
      <c r="H9384" s="223">
        <v>0.0</v>
      </c>
      <c r="K9384" s="317"/>
    </row>
    <row r="9385">
      <c r="B9385" s="223" t="s">
        <v>200</v>
      </c>
      <c r="C9385" s="223"/>
      <c r="D9385" s="316"/>
      <c r="H9385" s="223">
        <v>0.0</v>
      </c>
      <c r="K9385" s="317"/>
    </row>
    <row r="9386">
      <c r="B9386" s="223" t="s">
        <v>200</v>
      </c>
      <c r="C9386" s="223"/>
      <c r="D9386" s="316"/>
      <c r="H9386" s="223">
        <v>0.0</v>
      </c>
      <c r="K9386" s="317"/>
    </row>
    <row r="9387">
      <c r="B9387" s="223" t="s">
        <v>200</v>
      </c>
      <c r="C9387" s="223"/>
      <c r="D9387" s="316"/>
      <c r="H9387" s="223">
        <v>0.0</v>
      </c>
      <c r="K9387" s="317"/>
    </row>
    <row r="9388">
      <c r="B9388" s="223" t="s">
        <v>200</v>
      </c>
      <c r="C9388" s="223"/>
      <c r="D9388" s="316"/>
      <c r="H9388" s="223">
        <v>0.0</v>
      </c>
      <c r="K9388" s="317"/>
    </row>
    <row r="9389">
      <c r="B9389" s="223" t="s">
        <v>200</v>
      </c>
      <c r="C9389" s="223"/>
      <c r="D9389" s="316"/>
      <c r="H9389" s="223">
        <v>0.0</v>
      </c>
      <c r="K9389" s="317"/>
    </row>
    <row r="9390">
      <c r="B9390" s="223" t="s">
        <v>200</v>
      </c>
      <c r="C9390" s="223"/>
      <c r="D9390" s="316"/>
      <c r="H9390" s="223">
        <v>0.0</v>
      </c>
      <c r="K9390" s="317"/>
    </row>
    <row r="9391">
      <c r="B9391" s="223" t="s">
        <v>200</v>
      </c>
      <c r="C9391" s="223"/>
      <c r="D9391" s="316"/>
      <c r="H9391" s="223">
        <v>0.0</v>
      </c>
      <c r="K9391" s="317"/>
    </row>
    <row r="9392">
      <c r="B9392" s="223" t="s">
        <v>200</v>
      </c>
      <c r="C9392" s="223"/>
      <c r="D9392" s="316"/>
      <c r="H9392" s="223">
        <v>0.0</v>
      </c>
      <c r="K9392" s="317"/>
    </row>
    <row r="9393">
      <c r="B9393" s="223" t="s">
        <v>200</v>
      </c>
      <c r="C9393" s="223"/>
      <c r="D9393" s="316"/>
      <c r="H9393" s="223">
        <v>0.0</v>
      </c>
      <c r="K9393" s="317"/>
    </row>
    <row r="9394">
      <c r="B9394" s="223" t="s">
        <v>200</v>
      </c>
      <c r="C9394" s="223"/>
      <c r="D9394" s="316"/>
      <c r="H9394" s="223">
        <v>0.0</v>
      </c>
      <c r="K9394" s="317"/>
    </row>
    <row r="9395">
      <c r="B9395" s="223" t="s">
        <v>200</v>
      </c>
      <c r="C9395" s="223"/>
      <c r="D9395" s="316"/>
      <c r="H9395" s="223">
        <v>0.0</v>
      </c>
      <c r="K9395" s="317"/>
    </row>
    <row r="9396">
      <c r="B9396" s="223" t="s">
        <v>200</v>
      </c>
      <c r="C9396" s="223"/>
      <c r="D9396" s="316"/>
      <c r="H9396" s="223">
        <v>0.0</v>
      </c>
      <c r="K9396" s="317"/>
    </row>
    <row r="9397">
      <c r="B9397" s="223" t="s">
        <v>200</v>
      </c>
      <c r="C9397" s="223"/>
      <c r="D9397" s="316"/>
      <c r="H9397" s="223">
        <v>0.0</v>
      </c>
      <c r="K9397" s="317"/>
    </row>
    <row r="9398">
      <c r="B9398" s="223" t="s">
        <v>200</v>
      </c>
      <c r="C9398" s="223"/>
      <c r="D9398" s="316"/>
      <c r="H9398" s="223">
        <v>0.0</v>
      </c>
      <c r="K9398" s="317"/>
    </row>
    <row r="9399">
      <c r="B9399" s="223" t="s">
        <v>200</v>
      </c>
      <c r="C9399" s="223"/>
      <c r="D9399" s="316"/>
      <c r="H9399" s="223">
        <v>0.0</v>
      </c>
      <c r="K9399" s="317"/>
    </row>
    <row r="9400">
      <c r="B9400" s="223" t="s">
        <v>200</v>
      </c>
      <c r="C9400" s="223"/>
      <c r="D9400" s="316"/>
      <c r="H9400" s="223">
        <v>0.0</v>
      </c>
      <c r="K9400" s="317"/>
    </row>
    <row r="9401">
      <c r="B9401" s="223" t="s">
        <v>200</v>
      </c>
      <c r="C9401" s="223"/>
      <c r="D9401" s="316"/>
      <c r="H9401" s="223">
        <v>0.0</v>
      </c>
      <c r="K9401" s="317"/>
    </row>
    <row r="9402">
      <c r="B9402" s="223" t="s">
        <v>200</v>
      </c>
      <c r="C9402" s="223"/>
      <c r="D9402" s="316"/>
      <c r="H9402" s="223">
        <v>0.0</v>
      </c>
      <c r="K9402" s="317"/>
    </row>
    <row r="9403">
      <c r="B9403" s="223" t="s">
        <v>200</v>
      </c>
      <c r="C9403" s="223"/>
      <c r="D9403" s="316"/>
      <c r="H9403" s="223">
        <v>0.0</v>
      </c>
      <c r="K9403" s="317"/>
    </row>
    <row r="9404">
      <c r="B9404" s="223" t="s">
        <v>200</v>
      </c>
      <c r="C9404" s="223"/>
      <c r="D9404" s="316"/>
      <c r="H9404" s="223">
        <v>0.0</v>
      </c>
      <c r="K9404" s="317"/>
    </row>
    <row r="9405">
      <c r="B9405" s="223" t="s">
        <v>200</v>
      </c>
      <c r="C9405" s="223"/>
      <c r="D9405" s="316"/>
      <c r="H9405" s="223">
        <v>0.0</v>
      </c>
      <c r="K9405" s="317"/>
    </row>
    <row r="9406">
      <c r="B9406" s="223" t="s">
        <v>200</v>
      </c>
      <c r="C9406" s="223"/>
      <c r="D9406" s="316"/>
      <c r="H9406" s="223">
        <v>0.0</v>
      </c>
      <c r="K9406" s="317"/>
    </row>
    <row r="9407">
      <c r="B9407" s="223" t="s">
        <v>200</v>
      </c>
      <c r="C9407" s="223"/>
      <c r="D9407" s="316"/>
      <c r="H9407" s="223">
        <v>0.0</v>
      </c>
      <c r="K9407" s="317"/>
    </row>
    <row r="9408">
      <c r="B9408" s="223" t="s">
        <v>200</v>
      </c>
      <c r="C9408" s="223"/>
      <c r="D9408" s="316"/>
      <c r="H9408" s="223">
        <v>0.0</v>
      </c>
      <c r="K9408" s="317"/>
    </row>
    <row r="9409">
      <c r="B9409" s="223" t="s">
        <v>200</v>
      </c>
      <c r="C9409" s="223"/>
      <c r="D9409" s="316"/>
      <c r="H9409" s="223">
        <v>0.0</v>
      </c>
      <c r="K9409" s="317"/>
    </row>
    <row r="9410">
      <c r="B9410" s="223" t="s">
        <v>200</v>
      </c>
      <c r="C9410" s="223"/>
      <c r="D9410" s="316"/>
      <c r="H9410" s="223">
        <v>0.0</v>
      </c>
      <c r="K9410" s="317"/>
    </row>
    <row r="9411">
      <c r="B9411" s="223" t="s">
        <v>200</v>
      </c>
      <c r="C9411" s="223"/>
      <c r="D9411" s="316"/>
      <c r="H9411" s="223">
        <v>0.0</v>
      </c>
      <c r="K9411" s="317"/>
    </row>
    <row r="9412">
      <c r="B9412" s="223" t="s">
        <v>200</v>
      </c>
      <c r="C9412" s="223"/>
      <c r="D9412" s="316"/>
      <c r="H9412" s="223">
        <v>0.0</v>
      </c>
      <c r="K9412" s="317"/>
    </row>
    <row r="9413">
      <c r="B9413" s="223" t="s">
        <v>200</v>
      </c>
      <c r="C9413" s="223"/>
      <c r="D9413" s="316"/>
      <c r="H9413" s="223">
        <v>0.0</v>
      </c>
      <c r="K9413" s="317"/>
    </row>
    <row r="9414">
      <c r="B9414" s="223" t="s">
        <v>200</v>
      </c>
      <c r="C9414" s="223"/>
      <c r="D9414" s="316"/>
      <c r="H9414" s="223">
        <v>0.0</v>
      </c>
      <c r="K9414" s="317"/>
    </row>
    <row r="9415">
      <c r="B9415" s="223" t="s">
        <v>200</v>
      </c>
      <c r="C9415" s="223"/>
      <c r="D9415" s="316"/>
      <c r="H9415" s="223">
        <v>0.0</v>
      </c>
      <c r="K9415" s="317"/>
    </row>
    <row r="9416">
      <c r="B9416" s="223" t="s">
        <v>200</v>
      </c>
      <c r="C9416" s="223"/>
      <c r="D9416" s="316"/>
      <c r="H9416" s="223">
        <v>0.0</v>
      </c>
      <c r="K9416" s="317"/>
    </row>
    <row r="9417">
      <c r="B9417" s="223" t="s">
        <v>200</v>
      </c>
      <c r="C9417" s="223"/>
      <c r="D9417" s="316"/>
      <c r="H9417" s="223">
        <v>0.0</v>
      </c>
      <c r="K9417" s="317"/>
    </row>
    <row r="9418">
      <c r="B9418" s="223" t="s">
        <v>200</v>
      </c>
      <c r="C9418" s="223"/>
      <c r="D9418" s="316"/>
      <c r="H9418" s="223">
        <v>0.0</v>
      </c>
      <c r="K9418" s="317"/>
    </row>
    <row r="9419">
      <c r="B9419" s="223" t="s">
        <v>200</v>
      </c>
      <c r="C9419" s="223"/>
      <c r="D9419" s="316"/>
      <c r="H9419" s="223">
        <v>0.0</v>
      </c>
      <c r="K9419" s="317"/>
    </row>
    <row r="9420">
      <c r="B9420" s="223" t="s">
        <v>200</v>
      </c>
      <c r="C9420" s="223"/>
      <c r="D9420" s="316"/>
      <c r="H9420" s="223">
        <v>0.0</v>
      </c>
      <c r="K9420" s="317"/>
    </row>
    <row r="9421">
      <c r="B9421" s="223" t="s">
        <v>200</v>
      </c>
      <c r="C9421" s="223"/>
      <c r="D9421" s="316"/>
      <c r="H9421" s="223">
        <v>0.0</v>
      </c>
      <c r="K9421" s="317"/>
    </row>
    <row r="9422">
      <c r="B9422" s="223" t="s">
        <v>200</v>
      </c>
      <c r="C9422" s="223"/>
      <c r="D9422" s="316"/>
      <c r="H9422" s="223">
        <v>0.0</v>
      </c>
      <c r="K9422" s="317"/>
    </row>
    <row r="9423">
      <c r="B9423" s="223" t="s">
        <v>200</v>
      </c>
      <c r="C9423" s="223"/>
      <c r="D9423" s="316"/>
      <c r="H9423" s="223">
        <v>0.0</v>
      </c>
      <c r="K9423" s="317"/>
    </row>
    <row r="9424">
      <c r="B9424" s="223" t="s">
        <v>200</v>
      </c>
      <c r="C9424" s="223"/>
      <c r="D9424" s="316"/>
      <c r="H9424" s="223">
        <v>0.0</v>
      </c>
      <c r="K9424" s="317"/>
    </row>
    <row r="9425">
      <c r="B9425" s="223" t="s">
        <v>200</v>
      </c>
      <c r="C9425" s="223"/>
      <c r="D9425" s="316"/>
      <c r="H9425" s="223">
        <v>0.0</v>
      </c>
      <c r="K9425" s="317"/>
    </row>
    <row r="9426">
      <c r="B9426" s="223" t="s">
        <v>200</v>
      </c>
      <c r="C9426" s="223"/>
      <c r="D9426" s="316"/>
      <c r="H9426" s="223">
        <v>0.0</v>
      </c>
      <c r="K9426" s="317"/>
    </row>
    <row r="9427">
      <c r="B9427" s="223" t="s">
        <v>200</v>
      </c>
      <c r="C9427" s="223"/>
      <c r="D9427" s="316"/>
      <c r="H9427" s="223">
        <v>0.0</v>
      </c>
      <c r="K9427" s="317"/>
    </row>
    <row r="9428">
      <c r="B9428" s="223" t="s">
        <v>200</v>
      </c>
      <c r="C9428" s="223"/>
      <c r="D9428" s="316"/>
      <c r="H9428" s="223">
        <v>0.0</v>
      </c>
      <c r="K9428" s="317"/>
    </row>
    <row r="9429">
      <c r="B9429" s="223" t="s">
        <v>200</v>
      </c>
      <c r="C9429" s="223"/>
      <c r="D9429" s="316"/>
      <c r="H9429" s="223">
        <v>0.0</v>
      </c>
      <c r="K9429" s="317"/>
    </row>
    <row r="9430">
      <c r="B9430" s="223" t="s">
        <v>200</v>
      </c>
      <c r="C9430" s="223"/>
      <c r="D9430" s="316"/>
      <c r="H9430" s="223">
        <v>0.0</v>
      </c>
      <c r="K9430" s="317"/>
    </row>
    <row r="9431">
      <c r="B9431" s="223" t="s">
        <v>200</v>
      </c>
      <c r="C9431" s="223"/>
      <c r="D9431" s="316"/>
      <c r="H9431" s="223">
        <v>0.0</v>
      </c>
      <c r="K9431" s="317"/>
    </row>
    <row r="9432">
      <c r="B9432" s="223" t="s">
        <v>200</v>
      </c>
      <c r="C9432" s="223"/>
      <c r="D9432" s="316"/>
      <c r="H9432" s="223">
        <v>0.0</v>
      </c>
      <c r="K9432" s="317"/>
    </row>
    <row r="9433">
      <c r="B9433" s="223" t="s">
        <v>200</v>
      </c>
      <c r="C9433" s="223"/>
      <c r="D9433" s="316"/>
      <c r="H9433" s="223">
        <v>0.0</v>
      </c>
      <c r="K9433" s="317"/>
    </row>
    <row r="9434">
      <c r="B9434" s="223" t="s">
        <v>200</v>
      </c>
      <c r="C9434" s="223"/>
      <c r="D9434" s="316"/>
      <c r="H9434" s="223">
        <v>0.0</v>
      </c>
      <c r="K9434" s="317"/>
    </row>
    <row r="9435">
      <c r="B9435" s="223" t="s">
        <v>200</v>
      </c>
      <c r="C9435" s="223"/>
      <c r="D9435" s="316"/>
      <c r="H9435" s="223">
        <v>0.0</v>
      </c>
      <c r="K9435" s="317"/>
    </row>
    <row r="9436">
      <c r="B9436" s="223" t="s">
        <v>200</v>
      </c>
      <c r="C9436" s="223"/>
      <c r="D9436" s="316"/>
      <c r="H9436" s="223">
        <v>0.0</v>
      </c>
      <c r="K9436" s="317"/>
    </row>
    <row r="9437">
      <c r="B9437" s="223" t="s">
        <v>200</v>
      </c>
      <c r="C9437" s="223"/>
      <c r="D9437" s="316"/>
      <c r="H9437" s="223">
        <v>0.0</v>
      </c>
      <c r="K9437" s="317"/>
    </row>
    <row r="9438">
      <c r="B9438" s="223" t="s">
        <v>200</v>
      </c>
      <c r="C9438" s="223"/>
      <c r="D9438" s="316"/>
      <c r="H9438" s="223">
        <v>0.0</v>
      </c>
      <c r="K9438" s="317"/>
    </row>
    <row r="9439">
      <c r="B9439" s="223" t="s">
        <v>200</v>
      </c>
      <c r="C9439" s="223"/>
      <c r="D9439" s="316"/>
      <c r="H9439" s="223">
        <v>0.0</v>
      </c>
      <c r="K9439" s="317"/>
    </row>
    <row r="9440">
      <c r="B9440" s="223" t="s">
        <v>200</v>
      </c>
      <c r="C9440" s="223"/>
      <c r="D9440" s="316"/>
      <c r="H9440" s="223">
        <v>0.0</v>
      </c>
      <c r="K9440" s="317"/>
    </row>
    <row r="9441">
      <c r="B9441" s="223" t="s">
        <v>200</v>
      </c>
      <c r="C9441" s="223"/>
      <c r="D9441" s="316"/>
      <c r="H9441" s="223">
        <v>0.0</v>
      </c>
      <c r="K9441" s="317"/>
    </row>
    <row r="9442">
      <c r="B9442" s="223" t="s">
        <v>200</v>
      </c>
      <c r="C9442" s="223"/>
      <c r="D9442" s="316"/>
      <c r="H9442" s="223">
        <v>0.0</v>
      </c>
      <c r="K9442" s="317"/>
    </row>
    <row r="9443">
      <c r="B9443" s="223" t="s">
        <v>200</v>
      </c>
      <c r="C9443" s="223"/>
      <c r="D9443" s="316"/>
      <c r="H9443" s="223">
        <v>0.0</v>
      </c>
      <c r="K9443" s="317"/>
    </row>
    <row r="9444">
      <c r="B9444" s="223" t="s">
        <v>200</v>
      </c>
      <c r="C9444" s="223"/>
      <c r="D9444" s="316"/>
      <c r="H9444" s="223">
        <v>0.0</v>
      </c>
      <c r="K9444" s="317"/>
    </row>
    <row r="9445">
      <c r="B9445" s="223" t="s">
        <v>200</v>
      </c>
      <c r="C9445" s="223"/>
      <c r="D9445" s="316"/>
      <c r="H9445" s="223">
        <v>0.0</v>
      </c>
      <c r="K9445" s="317"/>
    </row>
    <row r="9446">
      <c r="B9446" s="223" t="s">
        <v>200</v>
      </c>
      <c r="C9446" s="223"/>
      <c r="D9446" s="316"/>
      <c r="H9446" s="223">
        <v>0.0</v>
      </c>
      <c r="K9446" s="317"/>
    </row>
    <row r="9447">
      <c r="B9447" s="223" t="s">
        <v>200</v>
      </c>
      <c r="C9447" s="223"/>
      <c r="D9447" s="316"/>
      <c r="H9447" s="223">
        <v>0.0</v>
      </c>
      <c r="K9447" s="317"/>
    </row>
    <row r="9448">
      <c r="B9448" s="223" t="s">
        <v>200</v>
      </c>
      <c r="C9448" s="223"/>
      <c r="D9448" s="316"/>
      <c r="H9448" s="223">
        <v>0.0</v>
      </c>
      <c r="K9448" s="317"/>
    </row>
    <row r="9449">
      <c r="B9449" s="223" t="s">
        <v>200</v>
      </c>
      <c r="C9449" s="223"/>
      <c r="D9449" s="316"/>
      <c r="H9449" s="223">
        <v>0.0</v>
      </c>
      <c r="K9449" s="317"/>
    </row>
    <row r="9450">
      <c r="B9450" s="223" t="s">
        <v>200</v>
      </c>
      <c r="C9450" s="223"/>
      <c r="D9450" s="316"/>
      <c r="H9450" s="223">
        <v>0.0</v>
      </c>
      <c r="K9450" s="317"/>
    </row>
    <row r="9451">
      <c r="B9451" s="223" t="s">
        <v>200</v>
      </c>
      <c r="C9451" s="223"/>
      <c r="D9451" s="316"/>
      <c r="H9451" s="223">
        <v>0.0</v>
      </c>
      <c r="K9451" s="317"/>
    </row>
    <row r="9452">
      <c r="B9452" s="223" t="s">
        <v>200</v>
      </c>
      <c r="C9452" s="223"/>
      <c r="D9452" s="316"/>
      <c r="H9452" s="223">
        <v>0.0</v>
      </c>
      <c r="K9452" s="317"/>
    </row>
    <row r="9453">
      <c r="B9453" s="223" t="s">
        <v>200</v>
      </c>
      <c r="C9453" s="223"/>
      <c r="D9453" s="316"/>
      <c r="H9453" s="223">
        <v>0.0</v>
      </c>
      <c r="K9453" s="317"/>
    </row>
    <row r="9454">
      <c r="B9454" s="223" t="s">
        <v>200</v>
      </c>
      <c r="C9454" s="223"/>
      <c r="D9454" s="316"/>
      <c r="H9454" s="223">
        <v>0.0</v>
      </c>
      <c r="K9454" s="317"/>
    </row>
    <row r="9455">
      <c r="B9455" s="223" t="s">
        <v>200</v>
      </c>
      <c r="C9455" s="223"/>
      <c r="D9455" s="316"/>
      <c r="H9455" s="223">
        <v>0.0</v>
      </c>
      <c r="K9455" s="317"/>
    </row>
    <row r="9456">
      <c r="B9456" s="223" t="s">
        <v>200</v>
      </c>
      <c r="C9456" s="223"/>
      <c r="D9456" s="316"/>
      <c r="H9456" s="223">
        <v>0.0</v>
      </c>
      <c r="K9456" s="317"/>
    </row>
    <row r="9457">
      <c r="B9457" s="223" t="s">
        <v>200</v>
      </c>
      <c r="C9457" s="223"/>
      <c r="D9457" s="316"/>
      <c r="H9457" s="223">
        <v>0.0</v>
      </c>
      <c r="K9457" s="317"/>
    </row>
    <row r="9458">
      <c r="B9458" s="223" t="s">
        <v>200</v>
      </c>
      <c r="C9458" s="223"/>
      <c r="D9458" s="316"/>
      <c r="H9458" s="223">
        <v>0.0</v>
      </c>
      <c r="K9458" s="317"/>
    </row>
    <row r="9459">
      <c r="B9459" s="223" t="s">
        <v>200</v>
      </c>
      <c r="C9459" s="223"/>
      <c r="D9459" s="316"/>
      <c r="H9459" s="223">
        <v>0.0</v>
      </c>
      <c r="K9459" s="317"/>
    </row>
    <row r="9460">
      <c r="B9460" s="223" t="s">
        <v>200</v>
      </c>
      <c r="C9460" s="223"/>
      <c r="D9460" s="316"/>
      <c r="H9460" s="223">
        <v>0.0</v>
      </c>
      <c r="K9460" s="317"/>
    </row>
    <row r="9461">
      <c r="B9461" s="223" t="s">
        <v>200</v>
      </c>
      <c r="C9461" s="223"/>
      <c r="D9461" s="316"/>
      <c r="H9461" s="223">
        <v>0.0</v>
      </c>
      <c r="K9461" s="317"/>
    </row>
    <row r="9462">
      <c r="B9462" s="223" t="s">
        <v>200</v>
      </c>
      <c r="C9462" s="223"/>
      <c r="D9462" s="316"/>
      <c r="H9462" s="223">
        <v>0.0</v>
      </c>
      <c r="K9462" s="317"/>
    </row>
    <row r="9463">
      <c r="B9463" s="223" t="s">
        <v>200</v>
      </c>
      <c r="C9463" s="223"/>
      <c r="D9463" s="316"/>
      <c r="H9463" s="223">
        <v>0.0</v>
      </c>
      <c r="K9463" s="317"/>
    </row>
    <row r="9464">
      <c r="B9464" s="223" t="s">
        <v>200</v>
      </c>
      <c r="C9464" s="223"/>
      <c r="D9464" s="316"/>
      <c r="H9464" s="223">
        <v>0.0</v>
      </c>
      <c r="K9464" s="317"/>
    </row>
    <row r="9465">
      <c r="B9465" s="223" t="s">
        <v>200</v>
      </c>
      <c r="C9465" s="223"/>
      <c r="D9465" s="316"/>
      <c r="H9465" s="223">
        <v>0.0</v>
      </c>
      <c r="K9465" s="317"/>
    </row>
    <row r="9466">
      <c r="B9466" s="223" t="s">
        <v>200</v>
      </c>
      <c r="C9466" s="223"/>
      <c r="D9466" s="316"/>
      <c r="H9466" s="223">
        <v>0.0</v>
      </c>
      <c r="K9466" s="317"/>
    </row>
    <row r="9467">
      <c r="B9467" s="223" t="s">
        <v>200</v>
      </c>
      <c r="C9467" s="223"/>
      <c r="D9467" s="316"/>
      <c r="H9467" s="223">
        <v>0.0</v>
      </c>
      <c r="K9467" s="317"/>
    </row>
    <row r="9468">
      <c r="B9468" s="223" t="s">
        <v>200</v>
      </c>
      <c r="C9468" s="223"/>
      <c r="D9468" s="316"/>
      <c r="H9468" s="223">
        <v>0.0</v>
      </c>
      <c r="K9468" s="317"/>
    </row>
    <row r="9469">
      <c r="B9469" s="223" t="s">
        <v>200</v>
      </c>
      <c r="C9469" s="223"/>
      <c r="D9469" s="316"/>
      <c r="H9469" s="223">
        <v>0.0</v>
      </c>
      <c r="K9469" s="317"/>
    </row>
    <row r="9470">
      <c r="B9470" s="223" t="s">
        <v>200</v>
      </c>
      <c r="C9470" s="223"/>
      <c r="D9470" s="316"/>
      <c r="H9470" s="223">
        <v>0.0</v>
      </c>
      <c r="K9470" s="317"/>
    </row>
    <row r="9471">
      <c r="B9471" s="223" t="s">
        <v>200</v>
      </c>
      <c r="C9471" s="223"/>
      <c r="D9471" s="316"/>
      <c r="H9471" s="223">
        <v>0.0</v>
      </c>
      <c r="K9471" s="317"/>
    </row>
    <row r="9472">
      <c r="B9472" s="223" t="s">
        <v>200</v>
      </c>
      <c r="C9472" s="223"/>
      <c r="D9472" s="316"/>
      <c r="H9472" s="223">
        <v>0.0</v>
      </c>
      <c r="K9472" s="317"/>
    </row>
    <row r="9473">
      <c r="B9473" s="223" t="s">
        <v>200</v>
      </c>
      <c r="C9473" s="223"/>
      <c r="D9473" s="316"/>
      <c r="H9473" s="223">
        <v>0.0</v>
      </c>
      <c r="K9473" s="317"/>
    </row>
    <row r="9474">
      <c r="B9474" s="223" t="s">
        <v>200</v>
      </c>
      <c r="C9474" s="223"/>
      <c r="D9474" s="316"/>
      <c r="H9474" s="223">
        <v>0.0</v>
      </c>
      <c r="K9474" s="317"/>
    </row>
    <row r="9475">
      <c r="B9475" s="223" t="s">
        <v>200</v>
      </c>
      <c r="C9475" s="223"/>
      <c r="D9475" s="316"/>
      <c r="H9475" s="223">
        <v>0.0</v>
      </c>
      <c r="K9475" s="317"/>
    </row>
    <row r="9476">
      <c r="B9476" s="223" t="s">
        <v>200</v>
      </c>
      <c r="C9476" s="223"/>
      <c r="D9476" s="316"/>
      <c r="H9476" s="223">
        <v>0.0</v>
      </c>
      <c r="K9476" s="317"/>
    </row>
    <row r="9477">
      <c r="B9477" s="223" t="s">
        <v>200</v>
      </c>
      <c r="C9477" s="223"/>
      <c r="D9477" s="316"/>
      <c r="H9477" s="223">
        <v>0.0</v>
      </c>
      <c r="K9477" s="317"/>
    </row>
    <row r="9478">
      <c r="B9478" s="223" t="s">
        <v>200</v>
      </c>
      <c r="C9478" s="223"/>
      <c r="D9478" s="316"/>
      <c r="H9478" s="223">
        <v>0.0</v>
      </c>
      <c r="K9478" s="317"/>
    </row>
    <row r="9479">
      <c r="B9479" s="223" t="s">
        <v>200</v>
      </c>
      <c r="C9479" s="223"/>
      <c r="D9479" s="316"/>
      <c r="H9479" s="223">
        <v>0.0</v>
      </c>
      <c r="K9479" s="317"/>
    </row>
    <row r="9480">
      <c r="B9480" s="223" t="s">
        <v>200</v>
      </c>
      <c r="C9480" s="223"/>
      <c r="D9480" s="316"/>
      <c r="H9480" s="223">
        <v>0.0</v>
      </c>
      <c r="K9480" s="317"/>
    </row>
    <row r="9481">
      <c r="B9481" s="223" t="s">
        <v>200</v>
      </c>
      <c r="C9481" s="223"/>
      <c r="D9481" s="316"/>
      <c r="H9481" s="223">
        <v>0.0</v>
      </c>
      <c r="K9481" s="317"/>
    </row>
    <row r="9482">
      <c r="B9482" s="223" t="s">
        <v>200</v>
      </c>
      <c r="C9482" s="223"/>
      <c r="D9482" s="316"/>
      <c r="H9482" s="223">
        <v>0.0</v>
      </c>
      <c r="K9482" s="317"/>
    </row>
    <row r="9483">
      <c r="B9483" s="223" t="s">
        <v>200</v>
      </c>
      <c r="C9483" s="223"/>
      <c r="D9483" s="316"/>
      <c r="H9483" s="223">
        <v>0.0</v>
      </c>
      <c r="K9483" s="317"/>
    </row>
    <row r="9484">
      <c r="B9484" s="223" t="s">
        <v>200</v>
      </c>
      <c r="C9484" s="223"/>
      <c r="D9484" s="316"/>
      <c r="H9484" s="223">
        <v>0.0</v>
      </c>
      <c r="K9484" s="317"/>
    </row>
    <row r="9485">
      <c r="B9485" s="223" t="s">
        <v>200</v>
      </c>
      <c r="C9485" s="223"/>
      <c r="D9485" s="316"/>
      <c r="H9485" s="223">
        <v>0.0</v>
      </c>
      <c r="K9485" s="317"/>
    </row>
    <row r="9486">
      <c r="B9486" s="223" t="s">
        <v>200</v>
      </c>
      <c r="C9486" s="223"/>
      <c r="D9486" s="316"/>
      <c r="H9486" s="223">
        <v>0.0</v>
      </c>
      <c r="K9486" s="317"/>
    </row>
    <row r="9487">
      <c r="B9487" s="223" t="s">
        <v>200</v>
      </c>
      <c r="C9487" s="223"/>
      <c r="D9487" s="316"/>
      <c r="H9487" s="223">
        <v>0.0</v>
      </c>
      <c r="K9487" s="317"/>
    </row>
    <row r="9488">
      <c r="B9488" s="223" t="s">
        <v>200</v>
      </c>
      <c r="C9488" s="223"/>
      <c r="D9488" s="316"/>
      <c r="H9488" s="223">
        <v>0.0</v>
      </c>
      <c r="K9488" s="317"/>
    </row>
    <row r="9489">
      <c r="B9489" s="223" t="s">
        <v>200</v>
      </c>
      <c r="C9489" s="223"/>
      <c r="D9489" s="316"/>
      <c r="H9489" s="223">
        <v>0.0</v>
      </c>
      <c r="K9489" s="317"/>
    </row>
    <row r="9490">
      <c r="B9490" s="223" t="s">
        <v>200</v>
      </c>
      <c r="C9490" s="223"/>
      <c r="D9490" s="316"/>
      <c r="H9490" s="223">
        <v>0.0</v>
      </c>
      <c r="K9490" s="317"/>
    </row>
    <row r="9491">
      <c r="B9491" s="223" t="s">
        <v>200</v>
      </c>
      <c r="C9491" s="223"/>
      <c r="D9491" s="316"/>
      <c r="H9491" s="223">
        <v>0.0</v>
      </c>
      <c r="K9491" s="317"/>
    </row>
    <row r="9492">
      <c r="B9492" s="223" t="s">
        <v>200</v>
      </c>
      <c r="C9492" s="223"/>
      <c r="D9492" s="316"/>
      <c r="H9492" s="223">
        <v>0.0</v>
      </c>
      <c r="K9492" s="317"/>
    </row>
    <row r="9493">
      <c r="B9493" s="223" t="s">
        <v>200</v>
      </c>
      <c r="C9493" s="223"/>
      <c r="D9493" s="316"/>
      <c r="H9493" s="223">
        <v>0.0</v>
      </c>
      <c r="K9493" s="317"/>
    </row>
    <row r="9494">
      <c r="B9494" s="223" t="s">
        <v>200</v>
      </c>
      <c r="C9494" s="223"/>
      <c r="D9494" s="316"/>
      <c r="H9494" s="223">
        <v>0.0</v>
      </c>
      <c r="K9494" s="317"/>
    </row>
    <row r="9495">
      <c r="B9495" s="223" t="s">
        <v>200</v>
      </c>
      <c r="C9495" s="223"/>
      <c r="D9495" s="316"/>
      <c r="H9495" s="223">
        <v>0.0</v>
      </c>
      <c r="K9495" s="317"/>
    </row>
    <row r="9496">
      <c r="B9496" s="223" t="s">
        <v>200</v>
      </c>
      <c r="C9496" s="223"/>
      <c r="D9496" s="316"/>
      <c r="H9496" s="223">
        <v>0.0</v>
      </c>
      <c r="K9496" s="317"/>
    </row>
    <row r="9497">
      <c r="B9497" s="223" t="s">
        <v>200</v>
      </c>
      <c r="C9497" s="223"/>
      <c r="D9497" s="316"/>
      <c r="H9497" s="223">
        <v>0.0</v>
      </c>
      <c r="K9497" s="317"/>
    </row>
    <row r="9498">
      <c r="B9498" s="223" t="s">
        <v>200</v>
      </c>
      <c r="C9498" s="223"/>
      <c r="D9498" s="316"/>
      <c r="H9498" s="223">
        <v>0.0</v>
      </c>
      <c r="K9498" s="317"/>
    </row>
    <row r="9499">
      <c r="B9499" s="223" t="s">
        <v>200</v>
      </c>
      <c r="C9499" s="223"/>
      <c r="D9499" s="316"/>
      <c r="H9499" s="223">
        <v>0.0</v>
      </c>
      <c r="K9499" s="317"/>
    </row>
    <row r="9500">
      <c r="B9500" s="223" t="s">
        <v>200</v>
      </c>
      <c r="C9500" s="223"/>
      <c r="D9500" s="316"/>
      <c r="H9500" s="223">
        <v>0.0</v>
      </c>
      <c r="K9500" s="317"/>
    </row>
    <row r="9501">
      <c r="B9501" s="223" t="s">
        <v>200</v>
      </c>
      <c r="C9501" s="223"/>
      <c r="D9501" s="316"/>
      <c r="H9501" s="223">
        <v>0.0</v>
      </c>
      <c r="K9501" s="317"/>
    </row>
    <row r="9502">
      <c r="B9502" s="223" t="s">
        <v>200</v>
      </c>
      <c r="C9502" s="223"/>
      <c r="D9502" s="316"/>
      <c r="H9502" s="223">
        <v>0.0</v>
      </c>
      <c r="K9502" s="317"/>
    </row>
    <row r="9503">
      <c r="B9503" s="223" t="s">
        <v>200</v>
      </c>
      <c r="C9503" s="223"/>
      <c r="D9503" s="316"/>
      <c r="H9503" s="223">
        <v>0.0</v>
      </c>
      <c r="K9503" s="317"/>
    </row>
    <row r="9504">
      <c r="B9504" s="223" t="s">
        <v>200</v>
      </c>
      <c r="C9504" s="223"/>
      <c r="D9504" s="316"/>
      <c r="H9504" s="223">
        <v>0.0</v>
      </c>
      <c r="K9504" s="317"/>
    </row>
    <row r="9505">
      <c r="B9505" s="223" t="s">
        <v>200</v>
      </c>
      <c r="C9505" s="223"/>
      <c r="D9505" s="316"/>
      <c r="H9505" s="223">
        <v>0.0</v>
      </c>
      <c r="K9505" s="317"/>
    </row>
    <row r="9506">
      <c r="B9506" s="223" t="s">
        <v>200</v>
      </c>
      <c r="C9506" s="223"/>
      <c r="D9506" s="316"/>
      <c r="H9506" s="223">
        <v>0.0</v>
      </c>
      <c r="K9506" s="317"/>
    </row>
    <row r="9507">
      <c r="B9507" s="223" t="s">
        <v>200</v>
      </c>
      <c r="C9507" s="223"/>
      <c r="D9507" s="316"/>
      <c r="H9507" s="223">
        <v>0.0</v>
      </c>
      <c r="K9507" s="317"/>
    </row>
    <row r="9508">
      <c r="B9508" s="223" t="s">
        <v>200</v>
      </c>
      <c r="C9508" s="223"/>
      <c r="D9508" s="316"/>
      <c r="H9508" s="223">
        <v>0.0</v>
      </c>
      <c r="K9508" s="317"/>
    </row>
    <row r="9509">
      <c r="B9509" s="223" t="s">
        <v>200</v>
      </c>
      <c r="C9509" s="223"/>
      <c r="D9509" s="316"/>
      <c r="H9509" s="223">
        <v>0.0</v>
      </c>
      <c r="K9509" s="317"/>
    </row>
    <row r="9510">
      <c r="B9510" s="223" t="s">
        <v>200</v>
      </c>
      <c r="C9510" s="223"/>
      <c r="D9510" s="316"/>
      <c r="H9510" s="223">
        <v>0.0</v>
      </c>
      <c r="K9510" s="317"/>
    </row>
    <row r="9511">
      <c r="B9511" s="223" t="s">
        <v>200</v>
      </c>
      <c r="C9511" s="223"/>
      <c r="D9511" s="316"/>
      <c r="H9511" s="223">
        <v>0.0</v>
      </c>
      <c r="K9511" s="317"/>
    </row>
    <row r="9512">
      <c r="B9512" s="223" t="s">
        <v>200</v>
      </c>
      <c r="C9512" s="223"/>
      <c r="D9512" s="316"/>
      <c r="H9512" s="223">
        <v>0.0</v>
      </c>
      <c r="K9512" s="317"/>
    </row>
    <row r="9513">
      <c r="B9513" s="223" t="s">
        <v>200</v>
      </c>
      <c r="C9513" s="223"/>
      <c r="D9513" s="316"/>
      <c r="H9513" s="223">
        <v>0.0</v>
      </c>
      <c r="K9513" s="317"/>
    </row>
    <row r="9514">
      <c r="B9514" s="223" t="s">
        <v>200</v>
      </c>
      <c r="C9514" s="223"/>
      <c r="D9514" s="316"/>
      <c r="H9514" s="223">
        <v>0.0</v>
      </c>
      <c r="K9514" s="317"/>
    </row>
    <row r="9515">
      <c r="B9515" s="223" t="s">
        <v>200</v>
      </c>
      <c r="C9515" s="223"/>
      <c r="D9515" s="316"/>
      <c r="H9515" s="223">
        <v>0.0</v>
      </c>
      <c r="K9515" s="317"/>
    </row>
    <row r="9516">
      <c r="B9516" s="223" t="s">
        <v>200</v>
      </c>
      <c r="C9516" s="223"/>
      <c r="D9516" s="316"/>
      <c r="H9516" s="223">
        <v>0.0</v>
      </c>
      <c r="K9516" s="317"/>
    </row>
    <row r="9517">
      <c r="B9517" s="223" t="s">
        <v>200</v>
      </c>
      <c r="C9517" s="223"/>
      <c r="D9517" s="316"/>
      <c r="H9517" s="223">
        <v>0.0</v>
      </c>
      <c r="K9517" s="317"/>
    </row>
    <row r="9518">
      <c r="B9518" s="223" t="s">
        <v>200</v>
      </c>
      <c r="C9518" s="223"/>
      <c r="D9518" s="316"/>
      <c r="H9518" s="223">
        <v>0.0</v>
      </c>
      <c r="K9518" s="317"/>
    </row>
    <row r="9519">
      <c r="B9519" s="223" t="s">
        <v>200</v>
      </c>
      <c r="C9519" s="223"/>
      <c r="D9519" s="316"/>
      <c r="H9519" s="223">
        <v>0.0</v>
      </c>
      <c r="K9519" s="317"/>
    </row>
    <row r="9520">
      <c r="B9520" s="223" t="s">
        <v>200</v>
      </c>
      <c r="C9520" s="223"/>
      <c r="D9520" s="316"/>
      <c r="H9520" s="223">
        <v>0.0</v>
      </c>
      <c r="K9520" s="317"/>
    </row>
    <row r="9521">
      <c r="B9521" s="223" t="s">
        <v>200</v>
      </c>
      <c r="C9521" s="223"/>
      <c r="D9521" s="316"/>
      <c r="H9521" s="223">
        <v>0.0</v>
      </c>
      <c r="K9521" s="317"/>
    </row>
    <row r="9522">
      <c r="B9522" s="223" t="s">
        <v>200</v>
      </c>
      <c r="C9522" s="223"/>
      <c r="D9522" s="316"/>
      <c r="H9522" s="223">
        <v>0.0</v>
      </c>
      <c r="K9522" s="317"/>
    </row>
    <row r="9523">
      <c r="B9523" s="223" t="s">
        <v>200</v>
      </c>
      <c r="C9523" s="223"/>
      <c r="D9523" s="316"/>
      <c r="H9523" s="223">
        <v>0.0</v>
      </c>
      <c r="K9523" s="317"/>
    </row>
    <row r="9524">
      <c r="B9524" s="223" t="s">
        <v>200</v>
      </c>
      <c r="C9524" s="223"/>
      <c r="D9524" s="316"/>
      <c r="H9524" s="223">
        <v>0.0</v>
      </c>
      <c r="K9524" s="317"/>
    </row>
    <row r="9525">
      <c r="B9525" s="223" t="s">
        <v>200</v>
      </c>
      <c r="C9525" s="223"/>
      <c r="D9525" s="316"/>
      <c r="H9525" s="223">
        <v>0.0</v>
      </c>
      <c r="K9525" s="317"/>
    </row>
    <row r="9526">
      <c r="B9526" s="223" t="s">
        <v>200</v>
      </c>
      <c r="C9526" s="223"/>
      <c r="D9526" s="316"/>
      <c r="H9526" s="223">
        <v>0.0</v>
      </c>
      <c r="K9526" s="317"/>
    </row>
    <row r="9527">
      <c r="B9527" s="223" t="s">
        <v>200</v>
      </c>
      <c r="C9527" s="223"/>
      <c r="D9527" s="316"/>
      <c r="H9527" s="223">
        <v>0.0</v>
      </c>
      <c r="K9527" s="317"/>
    </row>
    <row r="9528">
      <c r="B9528" s="223" t="s">
        <v>200</v>
      </c>
      <c r="C9528" s="223"/>
      <c r="D9528" s="316"/>
      <c r="H9528" s="223">
        <v>0.0</v>
      </c>
      <c r="K9528" s="317"/>
    </row>
    <row r="9529">
      <c r="B9529" s="223" t="s">
        <v>200</v>
      </c>
      <c r="C9529" s="223"/>
      <c r="D9529" s="316"/>
      <c r="H9529" s="223">
        <v>0.0</v>
      </c>
      <c r="K9529" s="317"/>
    </row>
    <row r="9530">
      <c r="B9530" s="223" t="s">
        <v>200</v>
      </c>
      <c r="C9530" s="223"/>
      <c r="D9530" s="316"/>
      <c r="H9530" s="223">
        <v>0.0</v>
      </c>
      <c r="K9530" s="317"/>
    </row>
    <row r="9531">
      <c r="B9531" s="223" t="s">
        <v>200</v>
      </c>
      <c r="C9531" s="223"/>
      <c r="D9531" s="316"/>
      <c r="H9531" s="223">
        <v>0.0</v>
      </c>
      <c r="K9531" s="317"/>
    </row>
    <row r="9532">
      <c r="B9532" s="223" t="s">
        <v>200</v>
      </c>
      <c r="C9532" s="223"/>
      <c r="D9532" s="316"/>
      <c r="H9532" s="223">
        <v>0.0</v>
      </c>
      <c r="K9532" s="317"/>
    </row>
    <row r="9533">
      <c r="B9533" s="223" t="s">
        <v>200</v>
      </c>
      <c r="C9533" s="223"/>
      <c r="D9533" s="316"/>
      <c r="H9533" s="223">
        <v>0.0</v>
      </c>
      <c r="K9533" s="317"/>
    </row>
    <row r="9534">
      <c r="B9534" s="223" t="s">
        <v>200</v>
      </c>
      <c r="C9534" s="223"/>
      <c r="D9534" s="316"/>
      <c r="H9534" s="223">
        <v>0.0</v>
      </c>
      <c r="K9534" s="317"/>
    </row>
    <row r="9535">
      <c r="B9535" s="223" t="s">
        <v>200</v>
      </c>
      <c r="C9535" s="223"/>
      <c r="D9535" s="316"/>
      <c r="H9535" s="223">
        <v>0.0</v>
      </c>
      <c r="K9535" s="317"/>
    </row>
    <row r="9536">
      <c r="B9536" s="223" t="s">
        <v>200</v>
      </c>
      <c r="C9536" s="223"/>
      <c r="D9536" s="316"/>
      <c r="H9536" s="223">
        <v>0.0</v>
      </c>
      <c r="K9536" s="317"/>
    </row>
    <row r="9537">
      <c r="B9537" s="223" t="s">
        <v>200</v>
      </c>
      <c r="C9537" s="223"/>
      <c r="D9537" s="316"/>
      <c r="H9537" s="223">
        <v>0.0</v>
      </c>
      <c r="K9537" s="317"/>
    </row>
    <row r="9538">
      <c r="B9538" s="223" t="s">
        <v>200</v>
      </c>
      <c r="C9538" s="223"/>
      <c r="D9538" s="316"/>
      <c r="H9538" s="223">
        <v>0.0</v>
      </c>
      <c r="K9538" s="317"/>
    </row>
    <row r="9539">
      <c r="B9539" s="223" t="s">
        <v>200</v>
      </c>
      <c r="C9539" s="223"/>
      <c r="D9539" s="316"/>
      <c r="H9539" s="223">
        <v>0.0</v>
      </c>
      <c r="K9539" s="317"/>
    </row>
    <row r="9540">
      <c r="B9540" s="223" t="s">
        <v>200</v>
      </c>
      <c r="C9540" s="223"/>
      <c r="D9540" s="316"/>
      <c r="H9540" s="223">
        <v>0.0</v>
      </c>
      <c r="K9540" s="317"/>
    </row>
    <row r="9541">
      <c r="B9541" s="223" t="s">
        <v>200</v>
      </c>
      <c r="C9541" s="223"/>
      <c r="D9541" s="316"/>
      <c r="H9541" s="223">
        <v>0.0</v>
      </c>
      <c r="K9541" s="317"/>
    </row>
    <row r="9542">
      <c r="B9542" s="223" t="s">
        <v>200</v>
      </c>
      <c r="C9542" s="223"/>
      <c r="D9542" s="316"/>
      <c r="H9542" s="223">
        <v>0.0</v>
      </c>
      <c r="K9542" s="317"/>
    </row>
    <row r="9543">
      <c r="B9543" s="223" t="s">
        <v>200</v>
      </c>
      <c r="C9543" s="223"/>
      <c r="D9543" s="316"/>
      <c r="H9543" s="223">
        <v>0.0</v>
      </c>
      <c r="K9543" s="317"/>
    </row>
    <row r="9544">
      <c r="B9544" s="223" t="s">
        <v>200</v>
      </c>
      <c r="C9544" s="223"/>
      <c r="D9544" s="316"/>
      <c r="H9544" s="223">
        <v>0.0</v>
      </c>
      <c r="K9544" s="317"/>
    </row>
    <row r="9545">
      <c r="B9545" s="223" t="s">
        <v>200</v>
      </c>
      <c r="C9545" s="223"/>
      <c r="D9545" s="316"/>
      <c r="H9545" s="223">
        <v>0.0</v>
      </c>
      <c r="K9545" s="317"/>
    </row>
    <row r="9546">
      <c r="B9546" s="223" t="s">
        <v>200</v>
      </c>
      <c r="C9546" s="223"/>
      <c r="D9546" s="316"/>
      <c r="H9546" s="223">
        <v>0.0</v>
      </c>
      <c r="K9546" s="317"/>
    </row>
    <row r="9547">
      <c r="B9547" s="223" t="s">
        <v>200</v>
      </c>
      <c r="C9547" s="223"/>
      <c r="D9547" s="316"/>
      <c r="H9547" s="223">
        <v>0.0</v>
      </c>
      <c r="K9547" s="317"/>
    </row>
    <row r="9548">
      <c r="B9548" s="223" t="s">
        <v>200</v>
      </c>
      <c r="C9548" s="223"/>
      <c r="D9548" s="316"/>
      <c r="H9548" s="223">
        <v>0.0</v>
      </c>
      <c r="K9548" s="317"/>
    </row>
    <row r="9549">
      <c r="B9549" s="223" t="s">
        <v>200</v>
      </c>
      <c r="C9549" s="223"/>
      <c r="D9549" s="316"/>
      <c r="H9549" s="223">
        <v>0.0</v>
      </c>
      <c r="K9549" s="317"/>
    </row>
    <row r="9550">
      <c r="B9550" s="223" t="s">
        <v>200</v>
      </c>
      <c r="C9550" s="223"/>
      <c r="D9550" s="316"/>
      <c r="H9550" s="223">
        <v>0.0</v>
      </c>
      <c r="K9550" s="317"/>
    </row>
    <row r="9551">
      <c r="B9551" s="223" t="s">
        <v>200</v>
      </c>
      <c r="C9551" s="223"/>
      <c r="D9551" s="316"/>
      <c r="H9551" s="223">
        <v>0.0</v>
      </c>
      <c r="K9551" s="317"/>
    </row>
    <row r="9552">
      <c r="B9552" s="223" t="s">
        <v>200</v>
      </c>
      <c r="C9552" s="223"/>
      <c r="D9552" s="316"/>
      <c r="H9552" s="223">
        <v>0.0</v>
      </c>
      <c r="K9552" s="317"/>
    </row>
    <row r="9553">
      <c r="B9553" s="223" t="s">
        <v>200</v>
      </c>
      <c r="C9553" s="223"/>
      <c r="D9553" s="316"/>
      <c r="H9553" s="223">
        <v>0.0</v>
      </c>
      <c r="K9553" s="317"/>
    </row>
    <row r="9554">
      <c r="B9554" s="223" t="s">
        <v>200</v>
      </c>
      <c r="C9554" s="223"/>
      <c r="D9554" s="316"/>
      <c r="H9554" s="223">
        <v>0.0</v>
      </c>
      <c r="K9554" s="317"/>
    </row>
    <row r="9555">
      <c r="B9555" s="223" t="s">
        <v>200</v>
      </c>
      <c r="C9555" s="223"/>
      <c r="D9555" s="316"/>
      <c r="H9555" s="223">
        <v>0.0</v>
      </c>
      <c r="K9555" s="317"/>
    </row>
    <row r="9556">
      <c r="B9556" s="223" t="s">
        <v>200</v>
      </c>
      <c r="C9556" s="223"/>
      <c r="D9556" s="316"/>
      <c r="H9556" s="223">
        <v>0.0</v>
      </c>
      <c r="K9556" s="317"/>
    </row>
    <row r="9557">
      <c r="B9557" s="223" t="s">
        <v>200</v>
      </c>
      <c r="C9557" s="223"/>
      <c r="D9557" s="316"/>
      <c r="H9557" s="223">
        <v>0.0</v>
      </c>
      <c r="K9557" s="317"/>
    </row>
    <row r="9558">
      <c r="B9558" s="223" t="s">
        <v>200</v>
      </c>
      <c r="C9558" s="223"/>
      <c r="D9558" s="316"/>
      <c r="H9558" s="223">
        <v>0.0</v>
      </c>
      <c r="K9558" s="317"/>
    </row>
    <row r="9559">
      <c r="B9559" s="223" t="s">
        <v>200</v>
      </c>
      <c r="C9559" s="223"/>
      <c r="D9559" s="316"/>
      <c r="H9559" s="223">
        <v>0.0</v>
      </c>
      <c r="K9559" s="317"/>
    </row>
    <row r="9560">
      <c r="B9560" s="223" t="s">
        <v>200</v>
      </c>
      <c r="C9560" s="223"/>
      <c r="D9560" s="316"/>
      <c r="H9560" s="223">
        <v>0.0</v>
      </c>
      <c r="K9560" s="317"/>
    </row>
    <row r="9561">
      <c r="B9561" s="223" t="s">
        <v>200</v>
      </c>
      <c r="C9561" s="223"/>
      <c r="D9561" s="316"/>
      <c r="H9561" s="223">
        <v>0.0</v>
      </c>
      <c r="K9561" s="317"/>
    </row>
    <row r="9562">
      <c r="B9562" s="223" t="s">
        <v>200</v>
      </c>
      <c r="C9562" s="223"/>
      <c r="D9562" s="316"/>
      <c r="H9562" s="223">
        <v>0.0</v>
      </c>
      <c r="K9562" s="317"/>
    </row>
    <row r="9563">
      <c r="B9563" s="223" t="s">
        <v>200</v>
      </c>
      <c r="C9563" s="223"/>
      <c r="D9563" s="316"/>
      <c r="H9563" s="223">
        <v>0.0</v>
      </c>
      <c r="K9563" s="317"/>
    </row>
    <row r="9564">
      <c r="B9564" s="223" t="s">
        <v>200</v>
      </c>
      <c r="C9564" s="223"/>
      <c r="D9564" s="316"/>
      <c r="H9564" s="223">
        <v>0.0</v>
      </c>
      <c r="K9564" s="317"/>
    </row>
    <row r="9565">
      <c r="B9565" s="223" t="s">
        <v>200</v>
      </c>
      <c r="C9565" s="223"/>
      <c r="D9565" s="316"/>
      <c r="H9565" s="223">
        <v>0.0</v>
      </c>
      <c r="K9565" s="317"/>
    </row>
    <row r="9566">
      <c r="B9566" s="223" t="s">
        <v>200</v>
      </c>
      <c r="C9566" s="223"/>
      <c r="D9566" s="316"/>
      <c r="H9566" s="223">
        <v>0.0</v>
      </c>
      <c r="K9566" s="317"/>
    </row>
    <row r="9567">
      <c r="B9567" s="223" t="s">
        <v>200</v>
      </c>
      <c r="C9567" s="223"/>
      <c r="D9567" s="316"/>
      <c r="H9567" s="223">
        <v>0.0</v>
      </c>
      <c r="K9567" s="317"/>
    </row>
    <row r="9568">
      <c r="B9568" s="223" t="s">
        <v>200</v>
      </c>
      <c r="C9568" s="223"/>
      <c r="D9568" s="316"/>
      <c r="H9568" s="223">
        <v>0.0</v>
      </c>
      <c r="K9568" s="317"/>
    </row>
    <row r="9569">
      <c r="B9569" s="223" t="s">
        <v>200</v>
      </c>
      <c r="C9569" s="223"/>
      <c r="D9569" s="316"/>
      <c r="H9569" s="223">
        <v>0.0</v>
      </c>
      <c r="K9569" s="317"/>
    </row>
    <row r="9570">
      <c r="B9570" s="223" t="s">
        <v>200</v>
      </c>
      <c r="C9570" s="223"/>
      <c r="D9570" s="316"/>
      <c r="H9570" s="223">
        <v>0.0</v>
      </c>
      <c r="K9570" s="317"/>
    </row>
    <row r="9571">
      <c r="B9571" s="223" t="s">
        <v>200</v>
      </c>
      <c r="C9571" s="223"/>
      <c r="D9571" s="316"/>
      <c r="H9571" s="223">
        <v>0.0</v>
      </c>
      <c r="K9571" s="317"/>
    </row>
    <row r="9572">
      <c r="B9572" s="223" t="s">
        <v>200</v>
      </c>
      <c r="C9572" s="223"/>
      <c r="D9572" s="316"/>
      <c r="H9572" s="223">
        <v>0.0</v>
      </c>
      <c r="K9572" s="317"/>
    </row>
    <row r="9573">
      <c r="B9573" s="223" t="s">
        <v>200</v>
      </c>
      <c r="C9573" s="223"/>
      <c r="D9573" s="316"/>
      <c r="H9573" s="223">
        <v>0.0</v>
      </c>
      <c r="K9573" s="317"/>
    </row>
    <row r="9574">
      <c r="B9574" s="223" t="s">
        <v>200</v>
      </c>
      <c r="C9574" s="223"/>
      <c r="D9574" s="316"/>
      <c r="H9574" s="223">
        <v>0.0</v>
      </c>
      <c r="K9574" s="317"/>
    </row>
    <row r="9575">
      <c r="B9575" s="223" t="s">
        <v>200</v>
      </c>
      <c r="C9575" s="223"/>
      <c r="D9575" s="316"/>
      <c r="H9575" s="223">
        <v>0.0</v>
      </c>
      <c r="K9575" s="317"/>
    </row>
    <row r="9576">
      <c r="B9576" s="223" t="s">
        <v>200</v>
      </c>
      <c r="C9576" s="223"/>
      <c r="D9576" s="316"/>
      <c r="H9576" s="223">
        <v>0.0</v>
      </c>
      <c r="K9576" s="317"/>
    </row>
    <row r="9577">
      <c r="B9577" s="223" t="s">
        <v>200</v>
      </c>
      <c r="C9577" s="223"/>
      <c r="D9577" s="316"/>
      <c r="H9577" s="223">
        <v>0.0</v>
      </c>
      <c r="K9577" s="317"/>
    </row>
    <row r="9578">
      <c r="B9578" s="223" t="s">
        <v>200</v>
      </c>
      <c r="C9578" s="223"/>
      <c r="D9578" s="316"/>
      <c r="H9578" s="223">
        <v>0.0</v>
      </c>
      <c r="K9578" s="317"/>
    </row>
    <row r="9579">
      <c r="B9579" s="223" t="s">
        <v>200</v>
      </c>
      <c r="C9579" s="223"/>
      <c r="D9579" s="316"/>
      <c r="H9579" s="223">
        <v>0.0</v>
      </c>
      <c r="K9579" s="317"/>
    </row>
    <row r="9580">
      <c r="B9580" s="223" t="s">
        <v>200</v>
      </c>
      <c r="C9580" s="223"/>
      <c r="D9580" s="316"/>
      <c r="H9580" s="223">
        <v>0.0</v>
      </c>
      <c r="K9580" s="317"/>
    </row>
    <row r="9581">
      <c r="B9581" s="223" t="s">
        <v>200</v>
      </c>
      <c r="C9581" s="223"/>
      <c r="D9581" s="316"/>
      <c r="H9581" s="223">
        <v>0.0</v>
      </c>
      <c r="K9581" s="317"/>
    </row>
    <row r="9582">
      <c r="B9582" s="223" t="s">
        <v>200</v>
      </c>
      <c r="C9582" s="223"/>
      <c r="D9582" s="316"/>
      <c r="H9582" s="223">
        <v>0.0</v>
      </c>
      <c r="K9582" s="317"/>
    </row>
    <row r="9583">
      <c r="B9583" s="223" t="s">
        <v>200</v>
      </c>
      <c r="C9583" s="223"/>
      <c r="D9583" s="316"/>
      <c r="H9583" s="223">
        <v>0.0</v>
      </c>
      <c r="K9583" s="317"/>
    </row>
    <row r="9584">
      <c r="B9584" s="223" t="s">
        <v>200</v>
      </c>
      <c r="C9584" s="223"/>
      <c r="D9584" s="316"/>
      <c r="H9584" s="223">
        <v>0.0</v>
      </c>
      <c r="K9584" s="317"/>
    </row>
    <row r="9585">
      <c r="B9585" s="223" t="s">
        <v>200</v>
      </c>
      <c r="C9585" s="223"/>
      <c r="D9585" s="316"/>
      <c r="H9585" s="223">
        <v>0.0</v>
      </c>
      <c r="K9585" s="317"/>
    </row>
    <row r="9586">
      <c r="B9586" s="223" t="s">
        <v>200</v>
      </c>
      <c r="C9586" s="223"/>
      <c r="D9586" s="316"/>
      <c r="H9586" s="223">
        <v>0.0</v>
      </c>
      <c r="K9586" s="317"/>
    </row>
    <row r="9587">
      <c r="B9587" s="223" t="s">
        <v>200</v>
      </c>
      <c r="C9587" s="223"/>
      <c r="D9587" s="316"/>
      <c r="H9587" s="223">
        <v>0.0</v>
      </c>
      <c r="K9587" s="317"/>
    </row>
    <row r="9588">
      <c r="B9588" s="223" t="s">
        <v>200</v>
      </c>
      <c r="C9588" s="223"/>
      <c r="D9588" s="316"/>
      <c r="H9588" s="223">
        <v>0.0</v>
      </c>
      <c r="K9588" s="317"/>
    </row>
    <row r="9589">
      <c r="B9589" s="223" t="s">
        <v>200</v>
      </c>
      <c r="C9589" s="223"/>
      <c r="D9589" s="316"/>
      <c r="H9589" s="223">
        <v>0.0</v>
      </c>
      <c r="K9589" s="317"/>
    </row>
    <row r="9590">
      <c r="B9590" s="223" t="s">
        <v>200</v>
      </c>
      <c r="C9590" s="223"/>
      <c r="D9590" s="316"/>
      <c r="H9590" s="223">
        <v>0.0</v>
      </c>
      <c r="K9590" s="317"/>
    </row>
    <row r="9591">
      <c r="B9591" s="223" t="s">
        <v>200</v>
      </c>
      <c r="C9591" s="223"/>
      <c r="D9591" s="316"/>
      <c r="H9591" s="223">
        <v>0.0</v>
      </c>
      <c r="K9591" s="317"/>
    </row>
    <row r="9592">
      <c r="B9592" s="223" t="s">
        <v>200</v>
      </c>
      <c r="C9592" s="223"/>
      <c r="D9592" s="316"/>
      <c r="H9592" s="223">
        <v>0.0</v>
      </c>
      <c r="K9592" s="317"/>
    </row>
    <row r="9593">
      <c r="B9593" s="223" t="s">
        <v>200</v>
      </c>
      <c r="C9593" s="223"/>
      <c r="D9593" s="316"/>
      <c r="H9593" s="223">
        <v>0.0</v>
      </c>
      <c r="K9593" s="317"/>
    </row>
    <row r="9594">
      <c r="B9594" s="223" t="s">
        <v>200</v>
      </c>
      <c r="C9594" s="223"/>
      <c r="D9594" s="316"/>
      <c r="H9594" s="223">
        <v>0.0</v>
      </c>
      <c r="K9594" s="317"/>
    </row>
    <row r="9595">
      <c r="B9595" s="223" t="s">
        <v>200</v>
      </c>
      <c r="C9595" s="223"/>
      <c r="D9595" s="316"/>
      <c r="H9595" s="223">
        <v>0.0</v>
      </c>
      <c r="K9595" s="317"/>
    </row>
    <row r="9596">
      <c r="B9596" s="223" t="s">
        <v>200</v>
      </c>
      <c r="C9596" s="223"/>
      <c r="D9596" s="316"/>
      <c r="H9596" s="223">
        <v>0.0</v>
      </c>
      <c r="K9596" s="317"/>
    </row>
    <row r="9597">
      <c r="B9597" s="223" t="s">
        <v>200</v>
      </c>
      <c r="C9597" s="223"/>
      <c r="D9597" s="316"/>
      <c r="H9597" s="223">
        <v>0.0</v>
      </c>
      <c r="K9597" s="317"/>
    </row>
    <row r="9598">
      <c r="B9598" s="223" t="s">
        <v>200</v>
      </c>
      <c r="C9598" s="223"/>
      <c r="D9598" s="316"/>
      <c r="H9598" s="223">
        <v>0.0</v>
      </c>
      <c r="K9598" s="317"/>
    </row>
    <row r="9599">
      <c r="B9599" s="223" t="s">
        <v>200</v>
      </c>
      <c r="C9599" s="223"/>
      <c r="D9599" s="316"/>
      <c r="H9599" s="223">
        <v>0.0</v>
      </c>
      <c r="K9599" s="317"/>
    </row>
    <row r="9600">
      <c r="B9600" s="223" t="s">
        <v>200</v>
      </c>
      <c r="C9600" s="223"/>
      <c r="D9600" s="316"/>
      <c r="H9600" s="223">
        <v>0.0</v>
      </c>
      <c r="K9600" s="317"/>
    </row>
    <row r="9601">
      <c r="B9601" s="223" t="s">
        <v>200</v>
      </c>
      <c r="C9601" s="223"/>
      <c r="D9601" s="316"/>
      <c r="H9601" s="223">
        <v>0.0</v>
      </c>
      <c r="K9601" s="317"/>
    </row>
    <row r="9602">
      <c r="B9602" s="223" t="s">
        <v>200</v>
      </c>
      <c r="C9602" s="223"/>
      <c r="D9602" s="316"/>
      <c r="H9602" s="223">
        <v>0.0</v>
      </c>
      <c r="K9602" s="317"/>
    </row>
    <row r="9603">
      <c r="B9603" s="223" t="s">
        <v>200</v>
      </c>
      <c r="C9603" s="223"/>
      <c r="D9603" s="316"/>
      <c r="H9603" s="223">
        <v>0.0</v>
      </c>
      <c r="K9603" s="317"/>
    </row>
    <row r="9604">
      <c r="B9604" s="223" t="s">
        <v>200</v>
      </c>
      <c r="C9604" s="223"/>
      <c r="D9604" s="316"/>
      <c r="H9604" s="223">
        <v>0.0</v>
      </c>
      <c r="K9604" s="317"/>
    </row>
    <row r="9605">
      <c r="B9605" s="223" t="s">
        <v>200</v>
      </c>
      <c r="C9605" s="223"/>
      <c r="D9605" s="316"/>
      <c r="H9605" s="223">
        <v>0.0</v>
      </c>
      <c r="K9605" s="317"/>
    </row>
    <row r="9606">
      <c r="B9606" s="223" t="s">
        <v>200</v>
      </c>
      <c r="C9606" s="223"/>
      <c r="D9606" s="316"/>
      <c r="H9606" s="223">
        <v>0.0</v>
      </c>
      <c r="K9606" s="317"/>
    </row>
    <row r="9607">
      <c r="B9607" s="223" t="s">
        <v>200</v>
      </c>
      <c r="C9607" s="223"/>
      <c r="D9607" s="316"/>
      <c r="H9607" s="223">
        <v>0.0</v>
      </c>
      <c r="K9607" s="317"/>
    </row>
    <row r="9608">
      <c r="B9608" s="223" t="s">
        <v>200</v>
      </c>
      <c r="C9608" s="223"/>
      <c r="D9608" s="316"/>
      <c r="H9608" s="223">
        <v>0.0</v>
      </c>
      <c r="K9608" s="317"/>
    </row>
    <row r="9609">
      <c r="B9609" s="223" t="s">
        <v>200</v>
      </c>
      <c r="C9609" s="223"/>
      <c r="D9609" s="316"/>
      <c r="H9609" s="223">
        <v>0.0</v>
      </c>
      <c r="K9609" s="317"/>
    </row>
    <row r="9610">
      <c r="B9610" s="223" t="s">
        <v>200</v>
      </c>
      <c r="C9610" s="223"/>
      <c r="D9610" s="316"/>
      <c r="H9610" s="223">
        <v>0.0</v>
      </c>
      <c r="K9610" s="317"/>
    </row>
    <row r="9611">
      <c r="B9611" s="223" t="s">
        <v>200</v>
      </c>
      <c r="C9611" s="223"/>
      <c r="D9611" s="316"/>
      <c r="H9611" s="223">
        <v>0.0</v>
      </c>
      <c r="K9611" s="317"/>
    </row>
    <row r="9612">
      <c r="B9612" s="223" t="s">
        <v>200</v>
      </c>
      <c r="C9612" s="223"/>
      <c r="D9612" s="316"/>
      <c r="H9612" s="223">
        <v>0.0</v>
      </c>
      <c r="K9612" s="317"/>
    </row>
    <row r="9613">
      <c r="B9613" s="223" t="s">
        <v>200</v>
      </c>
      <c r="C9613" s="223"/>
      <c r="D9613" s="316"/>
      <c r="H9613" s="223">
        <v>0.0</v>
      </c>
      <c r="K9613" s="317"/>
    </row>
    <row r="9614">
      <c r="B9614" s="223" t="s">
        <v>200</v>
      </c>
      <c r="C9614" s="223"/>
      <c r="D9614" s="316"/>
      <c r="H9614" s="223">
        <v>0.0</v>
      </c>
      <c r="K9614" s="317"/>
    </row>
    <row r="9615">
      <c r="B9615" s="223" t="s">
        <v>200</v>
      </c>
      <c r="C9615" s="223"/>
      <c r="D9615" s="316"/>
      <c r="H9615" s="223">
        <v>0.0</v>
      </c>
      <c r="K9615" s="317"/>
    </row>
    <row r="9616">
      <c r="B9616" s="223" t="s">
        <v>200</v>
      </c>
      <c r="C9616" s="223"/>
      <c r="D9616" s="316"/>
      <c r="H9616" s="223">
        <v>0.0</v>
      </c>
      <c r="K9616" s="317"/>
    </row>
    <row r="9617">
      <c r="B9617" s="223" t="s">
        <v>200</v>
      </c>
      <c r="C9617" s="223"/>
      <c r="D9617" s="316"/>
      <c r="H9617" s="223">
        <v>0.0</v>
      </c>
      <c r="K9617" s="317"/>
    </row>
    <row r="9618">
      <c r="B9618" s="223" t="s">
        <v>200</v>
      </c>
      <c r="C9618" s="223"/>
      <c r="D9618" s="316"/>
      <c r="H9618" s="223">
        <v>0.0</v>
      </c>
      <c r="K9618" s="317"/>
    </row>
    <row r="9619">
      <c r="B9619" s="223" t="s">
        <v>200</v>
      </c>
      <c r="C9619" s="223"/>
      <c r="D9619" s="316"/>
      <c r="H9619" s="223">
        <v>0.0</v>
      </c>
      <c r="K9619" s="317"/>
    </row>
    <row r="9620">
      <c r="B9620" s="223" t="s">
        <v>200</v>
      </c>
      <c r="C9620" s="223"/>
      <c r="D9620" s="316"/>
      <c r="H9620" s="223">
        <v>0.0</v>
      </c>
      <c r="K9620" s="317"/>
    </row>
    <row r="9621">
      <c r="B9621" s="223" t="s">
        <v>200</v>
      </c>
      <c r="C9621" s="223"/>
      <c r="D9621" s="316"/>
      <c r="H9621" s="223">
        <v>0.0</v>
      </c>
      <c r="K9621" s="317"/>
    </row>
    <row r="9622">
      <c r="B9622" s="223" t="s">
        <v>200</v>
      </c>
      <c r="C9622" s="223"/>
      <c r="D9622" s="316"/>
      <c r="H9622" s="223">
        <v>0.0</v>
      </c>
      <c r="K9622" s="317"/>
    </row>
    <row r="9623">
      <c r="B9623" s="223" t="s">
        <v>200</v>
      </c>
      <c r="C9623" s="223"/>
      <c r="D9623" s="316"/>
      <c r="H9623" s="223">
        <v>0.0</v>
      </c>
      <c r="K9623" s="317"/>
    </row>
    <row r="9624">
      <c r="B9624" s="223" t="s">
        <v>200</v>
      </c>
      <c r="C9624" s="223"/>
      <c r="D9624" s="316"/>
      <c r="H9624" s="223">
        <v>0.0</v>
      </c>
      <c r="K9624" s="317"/>
    </row>
    <row r="9625">
      <c r="B9625" s="223" t="s">
        <v>200</v>
      </c>
      <c r="C9625" s="223"/>
      <c r="D9625" s="316"/>
      <c r="H9625" s="223">
        <v>0.0</v>
      </c>
      <c r="K9625" s="317"/>
    </row>
    <row r="9626">
      <c r="B9626" s="223" t="s">
        <v>200</v>
      </c>
      <c r="C9626" s="223"/>
      <c r="D9626" s="316"/>
      <c r="H9626" s="223">
        <v>0.0</v>
      </c>
      <c r="K9626" s="317"/>
    </row>
    <row r="9627">
      <c r="B9627" s="223" t="s">
        <v>200</v>
      </c>
      <c r="C9627" s="223"/>
      <c r="D9627" s="316"/>
      <c r="H9627" s="223">
        <v>0.0</v>
      </c>
      <c r="K9627" s="317"/>
    </row>
    <row r="9628">
      <c r="B9628" s="223" t="s">
        <v>200</v>
      </c>
      <c r="C9628" s="223"/>
      <c r="D9628" s="316"/>
      <c r="H9628" s="223">
        <v>0.0</v>
      </c>
      <c r="K9628" s="317"/>
    </row>
    <row r="9629">
      <c r="B9629" s="223" t="s">
        <v>200</v>
      </c>
      <c r="C9629" s="223"/>
      <c r="D9629" s="316"/>
      <c r="H9629" s="223">
        <v>0.0</v>
      </c>
      <c r="K9629" s="317"/>
    </row>
    <row r="9630">
      <c r="B9630" s="223" t="s">
        <v>200</v>
      </c>
      <c r="C9630" s="223"/>
      <c r="D9630" s="316"/>
      <c r="H9630" s="223">
        <v>0.0</v>
      </c>
      <c r="K9630" s="317"/>
    </row>
    <row r="9631">
      <c r="B9631" s="223" t="s">
        <v>200</v>
      </c>
      <c r="C9631" s="223"/>
      <c r="D9631" s="316"/>
      <c r="H9631" s="223">
        <v>0.0</v>
      </c>
      <c r="K9631" s="317"/>
    </row>
    <row r="9632">
      <c r="B9632" s="223" t="s">
        <v>200</v>
      </c>
      <c r="C9632" s="223"/>
      <c r="D9632" s="316"/>
      <c r="H9632" s="223">
        <v>0.0</v>
      </c>
      <c r="K9632" s="317"/>
    </row>
    <row r="9633">
      <c r="B9633" s="223" t="s">
        <v>200</v>
      </c>
      <c r="C9633" s="223"/>
      <c r="D9633" s="316"/>
      <c r="H9633" s="223">
        <v>0.0</v>
      </c>
      <c r="K9633" s="317"/>
    </row>
    <row r="9634">
      <c r="B9634" s="223" t="s">
        <v>200</v>
      </c>
      <c r="C9634" s="223"/>
      <c r="D9634" s="316"/>
      <c r="H9634" s="223">
        <v>0.0</v>
      </c>
      <c r="K9634" s="317"/>
    </row>
    <row r="9635">
      <c r="B9635" s="223" t="s">
        <v>200</v>
      </c>
      <c r="C9635" s="223"/>
      <c r="D9635" s="316"/>
      <c r="H9635" s="223">
        <v>0.0</v>
      </c>
      <c r="K9635" s="317"/>
    </row>
    <row r="9636">
      <c r="B9636" s="223" t="s">
        <v>200</v>
      </c>
      <c r="C9636" s="223"/>
      <c r="D9636" s="316"/>
      <c r="H9636" s="223">
        <v>0.0</v>
      </c>
      <c r="K9636" s="317"/>
    </row>
    <row r="9637">
      <c r="B9637" s="223" t="s">
        <v>200</v>
      </c>
      <c r="C9637" s="223"/>
      <c r="D9637" s="316"/>
      <c r="H9637" s="223">
        <v>0.0</v>
      </c>
      <c r="K9637" s="317"/>
    </row>
    <row r="9638">
      <c r="B9638" s="223" t="s">
        <v>200</v>
      </c>
      <c r="C9638" s="223"/>
      <c r="D9638" s="316"/>
      <c r="H9638" s="223">
        <v>0.0</v>
      </c>
      <c r="K9638" s="317"/>
    </row>
    <row r="9639">
      <c r="B9639" s="223" t="s">
        <v>200</v>
      </c>
      <c r="C9639" s="223"/>
      <c r="D9639" s="316"/>
      <c r="H9639" s="223">
        <v>0.0</v>
      </c>
      <c r="K9639" s="317"/>
    </row>
    <row r="9640">
      <c r="B9640" s="223" t="s">
        <v>200</v>
      </c>
      <c r="C9640" s="223"/>
      <c r="D9640" s="316"/>
      <c r="H9640" s="223">
        <v>0.0</v>
      </c>
      <c r="K9640" s="317"/>
    </row>
    <row r="9641">
      <c r="B9641" s="223" t="s">
        <v>200</v>
      </c>
      <c r="C9641" s="223"/>
      <c r="D9641" s="316"/>
      <c r="H9641" s="223">
        <v>0.0</v>
      </c>
      <c r="K9641" s="317"/>
    </row>
    <row r="9642">
      <c r="B9642" s="223" t="s">
        <v>200</v>
      </c>
      <c r="C9642" s="223"/>
      <c r="D9642" s="316"/>
      <c r="H9642" s="223">
        <v>0.0</v>
      </c>
      <c r="K9642" s="317"/>
    </row>
    <row r="9643">
      <c r="B9643" s="223" t="s">
        <v>200</v>
      </c>
      <c r="C9643" s="223"/>
      <c r="D9643" s="316"/>
      <c r="H9643" s="223">
        <v>0.0</v>
      </c>
      <c r="K9643" s="317"/>
    </row>
    <row r="9644">
      <c r="B9644" s="223" t="s">
        <v>200</v>
      </c>
      <c r="C9644" s="223"/>
      <c r="D9644" s="316"/>
      <c r="H9644" s="223">
        <v>0.0</v>
      </c>
      <c r="K9644" s="317"/>
    </row>
    <row r="9645">
      <c r="B9645" s="223" t="s">
        <v>200</v>
      </c>
      <c r="C9645" s="223"/>
      <c r="D9645" s="316"/>
      <c r="H9645" s="223">
        <v>0.0</v>
      </c>
      <c r="K9645" s="317"/>
    </row>
    <row r="9646">
      <c r="B9646" s="223" t="s">
        <v>200</v>
      </c>
      <c r="C9646" s="223"/>
      <c r="D9646" s="316"/>
      <c r="H9646" s="223">
        <v>0.0</v>
      </c>
      <c r="K9646" s="317"/>
    </row>
    <row r="9647">
      <c r="B9647" s="223" t="s">
        <v>200</v>
      </c>
      <c r="C9647" s="223"/>
      <c r="D9647" s="316"/>
      <c r="H9647" s="223">
        <v>0.0</v>
      </c>
      <c r="K9647" s="317"/>
    </row>
    <row r="9648">
      <c r="B9648" s="223" t="s">
        <v>200</v>
      </c>
      <c r="C9648" s="223"/>
      <c r="D9648" s="316"/>
      <c r="H9648" s="223">
        <v>0.0</v>
      </c>
      <c r="K9648" s="317"/>
    </row>
    <row r="9649">
      <c r="B9649" s="223" t="s">
        <v>200</v>
      </c>
      <c r="C9649" s="223"/>
      <c r="D9649" s="316"/>
      <c r="H9649" s="223">
        <v>0.0</v>
      </c>
      <c r="K9649" s="317"/>
    </row>
    <row r="9650">
      <c r="B9650" s="223" t="s">
        <v>200</v>
      </c>
      <c r="C9650" s="223"/>
      <c r="D9650" s="316"/>
      <c r="H9650" s="223">
        <v>0.0</v>
      </c>
      <c r="K9650" s="317"/>
    </row>
    <row r="9651">
      <c r="B9651" s="223" t="s">
        <v>200</v>
      </c>
      <c r="C9651" s="223"/>
      <c r="D9651" s="316"/>
      <c r="H9651" s="223">
        <v>0.0</v>
      </c>
      <c r="K9651" s="317"/>
    </row>
    <row r="9652">
      <c r="B9652" s="223" t="s">
        <v>200</v>
      </c>
      <c r="C9652" s="223"/>
      <c r="D9652" s="316"/>
      <c r="H9652" s="223">
        <v>0.0</v>
      </c>
      <c r="K9652" s="317"/>
    </row>
    <row r="9653">
      <c r="B9653" s="223" t="s">
        <v>200</v>
      </c>
      <c r="C9653" s="223"/>
      <c r="D9653" s="316"/>
      <c r="H9653" s="223">
        <v>0.0</v>
      </c>
      <c r="K9653" s="317"/>
    </row>
    <row r="9654">
      <c r="B9654" s="223" t="s">
        <v>200</v>
      </c>
      <c r="C9654" s="223"/>
      <c r="D9654" s="316"/>
      <c r="H9654" s="223">
        <v>0.0</v>
      </c>
      <c r="K9654" s="317"/>
    </row>
    <row r="9655">
      <c r="B9655" s="223" t="s">
        <v>200</v>
      </c>
      <c r="C9655" s="223"/>
      <c r="D9655" s="316"/>
      <c r="H9655" s="223">
        <v>0.0</v>
      </c>
      <c r="K9655" s="317"/>
    </row>
    <row r="9656">
      <c r="B9656" s="223" t="s">
        <v>200</v>
      </c>
      <c r="C9656" s="223"/>
      <c r="D9656" s="316"/>
      <c r="H9656" s="223">
        <v>0.0</v>
      </c>
      <c r="K9656" s="317"/>
    </row>
    <row r="9657">
      <c r="B9657" s="223" t="s">
        <v>200</v>
      </c>
      <c r="C9657" s="223"/>
      <c r="D9657" s="316"/>
      <c r="H9657" s="223">
        <v>0.0</v>
      </c>
      <c r="K9657" s="317"/>
    </row>
    <row r="9658">
      <c r="B9658" s="223" t="s">
        <v>200</v>
      </c>
      <c r="C9658" s="223"/>
      <c r="D9658" s="316"/>
      <c r="H9658" s="223">
        <v>0.0</v>
      </c>
      <c r="K9658" s="317"/>
    </row>
    <row r="9659">
      <c r="B9659" s="223" t="s">
        <v>200</v>
      </c>
      <c r="C9659" s="223"/>
      <c r="D9659" s="316"/>
      <c r="H9659" s="223">
        <v>0.0</v>
      </c>
      <c r="K9659" s="317"/>
    </row>
    <row r="9660">
      <c r="B9660" s="223" t="s">
        <v>200</v>
      </c>
      <c r="C9660" s="223"/>
      <c r="D9660" s="316"/>
      <c r="H9660" s="223">
        <v>0.0</v>
      </c>
      <c r="K9660" s="317"/>
    </row>
    <row r="9661">
      <c r="B9661" s="223" t="s">
        <v>200</v>
      </c>
      <c r="C9661" s="223"/>
      <c r="D9661" s="316"/>
      <c r="H9661" s="223">
        <v>0.0</v>
      </c>
      <c r="K9661" s="317"/>
    </row>
    <row r="9662">
      <c r="B9662" s="223" t="s">
        <v>200</v>
      </c>
      <c r="C9662" s="223"/>
      <c r="D9662" s="316"/>
      <c r="H9662" s="223">
        <v>0.0</v>
      </c>
      <c r="K9662" s="317"/>
    </row>
    <row r="9663">
      <c r="B9663" s="223" t="s">
        <v>200</v>
      </c>
      <c r="C9663" s="223"/>
      <c r="D9663" s="316"/>
      <c r="H9663" s="223">
        <v>0.0</v>
      </c>
      <c r="K9663" s="317"/>
    </row>
    <row r="9664">
      <c r="B9664" s="223" t="s">
        <v>200</v>
      </c>
      <c r="C9664" s="223"/>
      <c r="D9664" s="316"/>
      <c r="H9664" s="223">
        <v>0.0</v>
      </c>
      <c r="K9664" s="317"/>
    </row>
    <row r="9665">
      <c r="B9665" s="223" t="s">
        <v>200</v>
      </c>
      <c r="C9665" s="223"/>
      <c r="D9665" s="316"/>
      <c r="H9665" s="223">
        <v>0.0</v>
      </c>
      <c r="K9665" s="317"/>
    </row>
    <row r="9666">
      <c r="B9666" s="223" t="s">
        <v>200</v>
      </c>
      <c r="C9666" s="223"/>
      <c r="D9666" s="316"/>
      <c r="H9666" s="223">
        <v>0.0</v>
      </c>
      <c r="K9666" s="317"/>
    </row>
    <row r="9667">
      <c r="B9667" s="223" t="s">
        <v>200</v>
      </c>
      <c r="C9667" s="223"/>
      <c r="D9667" s="316"/>
      <c r="H9667" s="223">
        <v>0.0</v>
      </c>
      <c r="K9667" s="317"/>
    </row>
    <row r="9668">
      <c r="B9668" s="223" t="s">
        <v>200</v>
      </c>
      <c r="C9668" s="223"/>
      <c r="D9668" s="316"/>
      <c r="H9668" s="223">
        <v>0.0</v>
      </c>
      <c r="K9668" s="317"/>
    </row>
    <row r="9669">
      <c r="B9669" s="223" t="s">
        <v>200</v>
      </c>
      <c r="C9669" s="223"/>
      <c r="D9669" s="316"/>
      <c r="H9669" s="223">
        <v>0.0</v>
      </c>
      <c r="K9669" s="317"/>
    </row>
    <row r="9670">
      <c r="B9670" s="223" t="s">
        <v>200</v>
      </c>
      <c r="C9670" s="223"/>
      <c r="D9670" s="316"/>
      <c r="H9670" s="223">
        <v>0.0</v>
      </c>
      <c r="K9670" s="317"/>
    </row>
    <row r="9671">
      <c r="B9671" s="223" t="s">
        <v>200</v>
      </c>
      <c r="C9671" s="223"/>
      <c r="D9671" s="316"/>
      <c r="H9671" s="223">
        <v>0.0</v>
      </c>
      <c r="K9671" s="317"/>
    </row>
    <row r="9672">
      <c r="B9672" s="223" t="s">
        <v>200</v>
      </c>
      <c r="C9672" s="223"/>
      <c r="D9672" s="316"/>
      <c r="H9672" s="223">
        <v>0.0</v>
      </c>
      <c r="K9672" s="317"/>
    </row>
    <row r="9673">
      <c r="B9673" s="223" t="s">
        <v>200</v>
      </c>
      <c r="C9673" s="223"/>
      <c r="D9673" s="316"/>
      <c r="H9673" s="223">
        <v>0.0</v>
      </c>
      <c r="K9673" s="317"/>
    </row>
    <row r="9674">
      <c r="B9674" s="223" t="s">
        <v>200</v>
      </c>
      <c r="C9674" s="223"/>
      <c r="D9674" s="316"/>
      <c r="H9674" s="223">
        <v>0.0</v>
      </c>
      <c r="K9674" s="317"/>
    </row>
    <row r="9675">
      <c r="B9675" s="223" t="s">
        <v>200</v>
      </c>
      <c r="C9675" s="223"/>
      <c r="D9675" s="316"/>
      <c r="H9675" s="223">
        <v>0.0</v>
      </c>
      <c r="K9675" s="317"/>
    </row>
    <row r="9676">
      <c r="B9676" s="223" t="s">
        <v>200</v>
      </c>
      <c r="C9676" s="223"/>
      <c r="D9676" s="316"/>
      <c r="H9676" s="223">
        <v>0.0</v>
      </c>
      <c r="K9676" s="317"/>
    </row>
    <row r="9677">
      <c r="B9677" s="223" t="s">
        <v>200</v>
      </c>
      <c r="C9677" s="223"/>
      <c r="D9677" s="316"/>
      <c r="H9677" s="223">
        <v>0.0</v>
      </c>
      <c r="K9677" s="317"/>
    </row>
    <row r="9678">
      <c r="B9678" s="223" t="s">
        <v>200</v>
      </c>
      <c r="C9678" s="223"/>
      <c r="D9678" s="316"/>
      <c r="H9678" s="223">
        <v>0.0</v>
      </c>
      <c r="K9678" s="317"/>
    </row>
    <row r="9679">
      <c r="B9679" s="223" t="s">
        <v>200</v>
      </c>
      <c r="C9679" s="223"/>
      <c r="D9679" s="316"/>
      <c r="H9679" s="223">
        <v>0.0</v>
      </c>
      <c r="K9679" s="317"/>
    </row>
    <row r="9680">
      <c r="B9680" s="223" t="s">
        <v>200</v>
      </c>
      <c r="C9680" s="223"/>
      <c r="D9680" s="316"/>
      <c r="H9680" s="223">
        <v>0.0</v>
      </c>
      <c r="K9680" s="317"/>
    </row>
    <row r="9681">
      <c r="B9681" s="223" t="s">
        <v>200</v>
      </c>
      <c r="C9681" s="223"/>
      <c r="D9681" s="316"/>
      <c r="H9681" s="223">
        <v>0.0</v>
      </c>
      <c r="K9681" s="317"/>
    </row>
    <row r="9682">
      <c r="B9682" s="223" t="s">
        <v>200</v>
      </c>
      <c r="C9682" s="223"/>
      <c r="D9682" s="316"/>
      <c r="H9682" s="223">
        <v>0.0</v>
      </c>
      <c r="K9682" s="317"/>
    </row>
    <row r="9683">
      <c r="B9683" s="223" t="s">
        <v>200</v>
      </c>
      <c r="C9683" s="223"/>
      <c r="D9683" s="316"/>
      <c r="H9683" s="223">
        <v>0.0</v>
      </c>
      <c r="K9683" s="317"/>
    </row>
    <row r="9684">
      <c r="B9684" s="223" t="s">
        <v>200</v>
      </c>
      <c r="C9684" s="223"/>
      <c r="D9684" s="316"/>
      <c r="H9684" s="223">
        <v>0.0</v>
      </c>
      <c r="K9684" s="317"/>
    </row>
    <row r="9685">
      <c r="B9685" s="223" t="s">
        <v>200</v>
      </c>
      <c r="C9685" s="223"/>
      <c r="D9685" s="316"/>
      <c r="H9685" s="223">
        <v>0.0</v>
      </c>
      <c r="K9685" s="317"/>
    </row>
    <row r="9686">
      <c r="B9686" s="223" t="s">
        <v>200</v>
      </c>
      <c r="C9686" s="223"/>
      <c r="D9686" s="316"/>
      <c r="H9686" s="223">
        <v>0.0</v>
      </c>
      <c r="K9686" s="317"/>
    </row>
    <row r="9687">
      <c r="B9687" s="223" t="s">
        <v>200</v>
      </c>
      <c r="C9687" s="223"/>
      <c r="D9687" s="316"/>
      <c r="H9687" s="223">
        <v>0.0</v>
      </c>
      <c r="K9687" s="317"/>
    </row>
    <row r="9688">
      <c r="B9688" s="223" t="s">
        <v>200</v>
      </c>
      <c r="C9688" s="223"/>
      <c r="D9688" s="316"/>
      <c r="H9688" s="223">
        <v>0.0</v>
      </c>
      <c r="K9688" s="317"/>
    </row>
    <row r="9689">
      <c r="B9689" s="223" t="s">
        <v>200</v>
      </c>
      <c r="C9689" s="223"/>
      <c r="D9689" s="316"/>
      <c r="H9689" s="223">
        <v>0.0</v>
      </c>
      <c r="K9689" s="317"/>
    </row>
    <row r="9690">
      <c r="B9690" s="223" t="s">
        <v>200</v>
      </c>
      <c r="C9690" s="223"/>
      <c r="D9690" s="316"/>
      <c r="H9690" s="223">
        <v>0.0</v>
      </c>
      <c r="K9690" s="317"/>
    </row>
    <row r="9691">
      <c r="B9691" s="223" t="s">
        <v>200</v>
      </c>
      <c r="C9691" s="223"/>
      <c r="D9691" s="316"/>
      <c r="H9691" s="223">
        <v>0.0</v>
      </c>
      <c r="K9691" s="317"/>
    </row>
    <row r="9692">
      <c r="B9692" s="223" t="s">
        <v>200</v>
      </c>
      <c r="C9692" s="223"/>
      <c r="D9692" s="316"/>
      <c r="H9692" s="223">
        <v>0.0</v>
      </c>
      <c r="K9692" s="317"/>
    </row>
    <row r="9693">
      <c r="B9693" s="223" t="s">
        <v>200</v>
      </c>
      <c r="C9693" s="223"/>
      <c r="D9693" s="316"/>
      <c r="H9693" s="223">
        <v>0.0</v>
      </c>
      <c r="K9693" s="317"/>
    </row>
    <row r="9694">
      <c r="B9694" s="223" t="s">
        <v>200</v>
      </c>
      <c r="C9694" s="223"/>
      <c r="D9694" s="316"/>
      <c r="H9694" s="223">
        <v>0.0</v>
      </c>
      <c r="K9694" s="317"/>
    </row>
    <row r="9695">
      <c r="B9695" s="223" t="s">
        <v>200</v>
      </c>
      <c r="C9695" s="223"/>
      <c r="D9695" s="316"/>
      <c r="H9695" s="223">
        <v>0.0</v>
      </c>
      <c r="K9695" s="317"/>
    </row>
    <row r="9696">
      <c r="B9696" s="223" t="s">
        <v>200</v>
      </c>
      <c r="C9696" s="223"/>
      <c r="D9696" s="316"/>
      <c r="H9696" s="223">
        <v>0.0</v>
      </c>
      <c r="K9696" s="317"/>
    </row>
    <row r="9697">
      <c r="B9697" s="223" t="s">
        <v>200</v>
      </c>
      <c r="C9697" s="223"/>
      <c r="D9697" s="316"/>
      <c r="H9697" s="223">
        <v>0.0</v>
      </c>
      <c r="K9697" s="317"/>
    </row>
    <row r="9698">
      <c r="B9698" s="223" t="s">
        <v>200</v>
      </c>
      <c r="C9698" s="223"/>
      <c r="D9698" s="316"/>
      <c r="H9698" s="223">
        <v>0.0</v>
      </c>
      <c r="K9698" s="317"/>
    </row>
    <row r="9699">
      <c r="B9699" s="223" t="s">
        <v>200</v>
      </c>
      <c r="C9699" s="223"/>
      <c r="D9699" s="316"/>
      <c r="H9699" s="223">
        <v>0.0</v>
      </c>
      <c r="K9699" s="317"/>
    </row>
    <row r="9700">
      <c r="B9700" s="223" t="s">
        <v>200</v>
      </c>
      <c r="C9700" s="223"/>
      <c r="D9700" s="316"/>
      <c r="H9700" s="223">
        <v>0.0</v>
      </c>
      <c r="K9700" s="317"/>
    </row>
    <row r="9701">
      <c r="B9701" s="223" t="s">
        <v>200</v>
      </c>
      <c r="C9701" s="223"/>
      <c r="D9701" s="316"/>
      <c r="H9701" s="223">
        <v>0.0</v>
      </c>
      <c r="K9701" s="317"/>
    </row>
    <row r="9702">
      <c r="B9702" s="223" t="s">
        <v>200</v>
      </c>
      <c r="C9702" s="223"/>
      <c r="D9702" s="316"/>
      <c r="H9702" s="223">
        <v>0.0</v>
      </c>
      <c r="K9702" s="317"/>
    </row>
    <row r="9703">
      <c r="B9703" s="223" t="s">
        <v>200</v>
      </c>
      <c r="C9703" s="223"/>
      <c r="D9703" s="316"/>
      <c r="H9703" s="223">
        <v>0.0</v>
      </c>
      <c r="K9703" s="317"/>
    </row>
    <row r="9704">
      <c r="B9704" s="223" t="s">
        <v>200</v>
      </c>
      <c r="C9704" s="223"/>
      <c r="D9704" s="316"/>
      <c r="H9704" s="223">
        <v>0.0</v>
      </c>
      <c r="K9704" s="317"/>
    </row>
    <row r="9705">
      <c r="B9705" s="223" t="s">
        <v>200</v>
      </c>
      <c r="C9705" s="223"/>
      <c r="D9705" s="316"/>
      <c r="H9705" s="223">
        <v>0.0</v>
      </c>
      <c r="K9705" s="317"/>
    </row>
    <row r="9706">
      <c r="B9706" s="223" t="s">
        <v>200</v>
      </c>
      <c r="C9706" s="223"/>
      <c r="D9706" s="316"/>
      <c r="H9706" s="223">
        <v>0.0</v>
      </c>
      <c r="K9706" s="317"/>
    </row>
    <row r="9707">
      <c r="B9707" s="223" t="s">
        <v>200</v>
      </c>
      <c r="C9707" s="223"/>
      <c r="D9707" s="316"/>
      <c r="H9707" s="223">
        <v>0.0</v>
      </c>
      <c r="K9707" s="317"/>
    </row>
    <row r="9708">
      <c r="B9708" s="223" t="s">
        <v>200</v>
      </c>
      <c r="C9708" s="223"/>
      <c r="D9708" s="316"/>
      <c r="H9708" s="223">
        <v>0.0</v>
      </c>
      <c r="K9708" s="317"/>
    </row>
    <row r="9709">
      <c r="B9709" s="223" t="s">
        <v>200</v>
      </c>
      <c r="C9709" s="223"/>
      <c r="D9709" s="316"/>
      <c r="H9709" s="223">
        <v>0.0</v>
      </c>
      <c r="K9709" s="317"/>
    </row>
    <row r="9710">
      <c r="B9710" s="223" t="s">
        <v>200</v>
      </c>
      <c r="C9710" s="223"/>
      <c r="D9710" s="316"/>
      <c r="H9710" s="223">
        <v>0.0</v>
      </c>
      <c r="K9710" s="317"/>
    </row>
    <row r="9711">
      <c r="B9711" s="223" t="s">
        <v>200</v>
      </c>
      <c r="C9711" s="223"/>
      <c r="D9711" s="316"/>
      <c r="H9711" s="223">
        <v>0.0</v>
      </c>
      <c r="K9711" s="317"/>
    </row>
    <row r="9712">
      <c r="B9712" s="223" t="s">
        <v>200</v>
      </c>
      <c r="C9712" s="223"/>
      <c r="D9712" s="316"/>
      <c r="H9712" s="223">
        <v>0.0</v>
      </c>
      <c r="K9712" s="317"/>
    </row>
    <row r="9713">
      <c r="B9713" s="223" t="s">
        <v>200</v>
      </c>
      <c r="C9713" s="223"/>
      <c r="D9713" s="316"/>
      <c r="H9713" s="223">
        <v>0.0</v>
      </c>
      <c r="K9713" s="317"/>
    </row>
    <row r="9714">
      <c r="B9714" s="223" t="s">
        <v>200</v>
      </c>
      <c r="C9714" s="223"/>
      <c r="D9714" s="316"/>
      <c r="H9714" s="223">
        <v>0.0</v>
      </c>
      <c r="K9714" s="317"/>
    </row>
    <row r="9715">
      <c r="B9715" s="223" t="s">
        <v>200</v>
      </c>
      <c r="C9715" s="223"/>
      <c r="D9715" s="316"/>
      <c r="H9715" s="223">
        <v>0.0</v>
      </c>
      <c r="K9715" s="317"/>
    </row>
    <row r="9716">
      <c r="B9716" s="223" t="s">
        <v>200</v>
      </c>
      <c r="C9716" s="223"/>
      <c r="D9716" s="316"/>
      <c r="H9716" s="223">
        <v>0.0</v>
      </c>
      <c r="K9716" s="317"/>
    </row>
    <row r="9717">
      <c r="B9717" s="223" t="s">
        <v>200</v>
      </c>
      <c r="C9717" s="223"/>
      <c r="D9717" s="316"/>
      <c r="H9717" s="223">
        <v>0.0</v>
      </c>
      <c r="K9717" s="317"/>
    </row>
    <row r="9718">
      <c r="B9718" s="223" t="s">
        <v>200</v>
      </c>
      <c r="C9718" s="223"/>
      <c r="D9718" s="316"/>
      <c r="H9718" s="223">
        <v>0.0</v>
      </c>
      <c r="K9718" s="317"/>
    </row>
    <row r="9719">
      <c r="B9719" s="223" t="s">
        <v>200</v>
      </c>
      <c r="C9719" s="223"/>
      <c r="D9719" s="316"/>
      <c r="H9719" s="223">
        <v>0.0</v>
      </c>
      <c r="K9719" s="317"/>
    </row>
    <row r="9720">
      <c r="B9720" s="223" t="s">
        <v>200</v>
      </c>
      <c r="C9720" s="223"/>
      <c r="D9720" s="316"/>
      <c r="H9720" s="223">
        <v>0.0</v>
      </c>
      <c r="K9720" s="317"/>
    </row>
    <row r="9721">
      <c r="B9721" s="223" t="s">
        <v>200</v>
      </c>
      <c r="C9721" s="223"/>
      <c r="D9721" s="316"/>
      <c r="H9721" s="223">
        <v>0.0</v>
      </c>
      <c r="K9721" s="317"/>
    </row>
    <row r="9722">
      <c r="B9722" s="223" t="s">
        <v>200</v>
      </c>
      <c r="C9722" s="223"/>
      <c r="D9722" s="316"/>
      <c r="H9722" s="223">
        <v>0.0</v>
      </c>
      <c r="K9722" s="317"/>
    </row>
    <row r="9723">
      <c r="B9723" s="223" t="s">
        <v>200</v>
      </c>
      <c r="C9723" s="223"/>
      <c r="D9723" s="316"/>
      <c r="H9723" s="223">
        <v>0.0</v>
      </c>
      <c r="K9723" s="317"/>
    </row>
    <row r="9724">
      <c r="B9724" s="223" t="s">
        <v>200</v>
      </c>
      <c r="C9724" s="223"/>
      <c r="D9724" s="316"/>
      <c r="H9724" s="223">
        <v>0.0</v>
      </c>
      <c r="K9724" s="317"/>
    </row>
    <row r="9725">
      <c r="B9725" s="223" t="s">
        <v>200</v>
      </c>
      <c r="C9725" s="223"/>
      <c r="D9725" s="316"/>
      <c r="H9725" s="223">
        <v>0.0</v>
      </c>
      <c r="K9725" s="317"/>
    </row>
    <row r="9726">
      <c r="B9726" s="223" t="s">
        <v>200</v>
      </c>
      <c r="C9726" s="223"/>
      <c r="D9726" s="316"/>
      <c r="H9726" s="223">
        <v>0.0</v>
      </c>
      <c r="K9726" s="317"/>
    </row>
    <row r="9727">
      <c r="B9727" s="223" t="s">
        <v>200</v>
      </c>
      <c r="C9727" s="223"/>
      <c r="D9727" s="316"/>
      <c r="H9727" s="223">
        <v>0.0</v>
      </c>
      <c r="K9727" s="317"/>
    </row>
    <row r="9728">
      <c r="B9728" s="223" t="s">
        <v>200</v>
      </c>
      <c r="C9728" s="223"/>
      <c r="D9728" s="316"/>
      <c r="H9728" s="223">
        <v>0.0</v>
      </c>
      <c r="K9728" s="317"/>
    </row>
    <row r="9729">
      <c r="B9729" s="223" t="s">
        <v>200</v>
      </c>
      <c r="C9729" s="223"/>
      <c r="D9729" s="316"/>
      <c r="H9729" s="223">
        <v>0.0</v>
      </c>
      <c r="K9729" s="317"/>
    </row>
    <row r="9730">
      <c r="B9730" s="223" t="s">
        <v>200</v>
      </c>
      <c r="C9730" s="223"/>
      <c r="D9730" s="316"/>
      <c r="H9730" s="223">
        <v>0.0</v>
      </c>
      <c r="K9730" s="317"/>
    </row>
    <row r="9731">
      <c r="B9731" s="223" t="s">
        <v>200</v>
      </c>
      <c r="C9731" s="223"/>
      <c r="D9731" s="316"/>
      <c r="H9731" s="223">
        <v>0.0</v>
      </c>
      <c r="K9731" s="317"/>
    </row>
    <row r="9732">
      <c r="B9732" s="223" t="s">
        <v>200</v>
      </c>
      <c r="C9732" s="223"/>
      <c r="D9732" s="316"/>
      <c r="H9732" s="223">
        <v>0.0</v>
      </c>
      <c r="K9732" s="317"/>
    </row>
    <row r="9733">
      <c r="B9733" s="223" t="s">
        <v>200</v>
      </c>
      <c r="C9733" s="223"/>
      <c r="D9733" s="316"/>
      <c r="H9733" s="223">
        <v>0.0</v>
      </c>
      <c r="K9733" s="317"/>
    </row>
    <row r="9734">
      <c r="B9734" s="223" t="s">
        <v>200</v>
      </c>
      <c r="C9734" s="223"/>
      <c r="D9734" s="316"/>
      <c r="H9734" s="223">
        <v>0.0</v>
      </c>
      <c r="K9734" s="317"/>
    </row>
    <row r="9735">
      <c r="B9735" s="223" t="s">
        <v>200</v>
      </c>
      <c r="C9735" s="223"/>
      <c r="D9735" s="316"/>
      <c r="H9735" s="223">
        <v>0.0</v>
      </c>
      <c r="K9735" s="317"/>
    </row>
    <row r="9736">
      <c r="B9736" s="223" t="s">
        <v>200</v>
      </c>
      <c r="C9736" s="223"/>
      <c r="D9736" s="316"/>
      <c r="H9736" s="223">
        <v>0.0</v>
      </c>
      <c r="K9736" s="317"/>
    </row>
    <row r="9737">
      <c r="B9737" s="223" t="s">
        <v>200</v>
      </c>
      <c r="C9737" s="223"/>
      <c r="D9737" s="316"/>
      <c r="H9737" s="223">
        <v>0.0</v>
      </c>
      <c r="K9737" s="317"/>
    </row>
    <row r="9738">
      <c r="B9738" s="223" t="s">
        <v>200</v>
      </c>
      <c r="C9738" s="223"/>
      <c r="D9738" s="316"/>
      <c r="H9738" s="223">
        <v>0.0</v>
      </c>
      <c r="K9738" s="317"/>
    </row>
    <row r="9739">
      <c r="B9739" s="223" t="s">
        <v>200</v>
      </c>
      <c r="C9739" s="223"/>
      <c r="D9739" s="316"/>
      <c r="H9739" s="223">
        <v>0.0</v>
      </c>
      <c r="K9739" s="317"/>
    </row>
    <row r="9740">
      <c r="B9740" s="223" t="s">
        <v>200</v>
      </c>
      <c r="C9740" s="223"/>
      <c r="D9740" s="316"/>
      <c r="H9740" s="223">
        <v>0.0</v>
      </c>
      <c r="K9740" s="317"/>
    </row>
    <row r="9741">
      <c r="B9741" s="223" t="s">
        <v>200</v>
      </c>
      <c r="C9741" s="223"/>
      <c r="D9741" s="316"/>
      <c r="H9741" s="223">
        <v>0.0</v>
      </c>
      <c r="K9741" s="317"/>
    </row>
    <row r="9742">
      <c r="B9742" s="223" t="s">
        <v>200</v>
      </c>
      <c r="C9742" s="223"/>
      <c r="D9742" s="316"/>
      <c r="H9742" s="223">
        <v>0.0</v>
      </c>
      <c r="K9742" s="317"/>
    </row>
    <row r="9743">
      <c r="B9743" s="223" t="s">
        <v>200</v>
      </c>
      <c r="C9743" s="223"/>
      <c r="D9743" s="316"/>
      <c r="H9743" s="223">
        <v>0.0</v>
      </c>
      <c r="K9743" s="317"/>
    </row>
    <row r="9744">
      <c r="B9744" s="223" t="s">
        <v>200</v>
      </c>
      <c r="C9744" s="223"/>
      <c r="D9744" s="316"/>
      <c r="H9744" s="223">
        <v>0.0</v>
      </c>
      <c r="K9744" s="317"/>
    </row>
    <row r="9745">
      <c r="B9745" s="223" t="s">
        <v>200</v>
      </c>
      <c r="C9745" s="223"/>
      <c r="D9745" s="316"/>
      <c r="H9745" s="223">
        <v>0.0</v>
      </c>
      <c r="K9745" s="317"/>
    </row>
    <row r="9746">
      <c r="B9746" s="223" t="s">
        <v>200</v>
      </c>
      <c r="C9746" s="223"/>
      <c r="D9746" s="316"/>
      <c r="H9746" s="223">
        <v>0.0</v>
      </c>
      <c r="K9746" s="317"/>
    </row>
    <row r="9747">
      <c r="B9747" s="223" t="s">
        <v>200</v>
      </c>
      <c r="C9747" s="223"/>
      <c r="D9747" s="316"/>
      <c r="H9747" s="223">
        <v>0.0</v>
      </c>
      <c r="K9747" s="317"/>
    </row>
    <row r="9748">
      <c r="B9748" s="223" t="s">
        <v>200</v>
      </c>
      <c r="C9748" s="223"/>
      <c r="D9748" s="316"/>
      <c r="H9748" s="223">
        <v>0.0</v>
      </c>
      <c r="K9748" s="317"/>
    </row>
    <row r="9749">
      <c r="B9749" s="223" t="s">
        <v>200</v>
      </c>
      <c r="C9749" s="223"/>
      <c r="D9749" s="316"/>
      <c r="H9749" s="223">
        <v>0.0</v>
      </c>
      <c r="K9749" s="317"/>
    </row>
    <row r="9750">
      <c r="B9750" s="223" t="s">
        <v>200</v>
      </c>
      <c r="C9750" s="223"/>
      <c r="D9750" s="316"/>
      <c r="H9750" s="223">
        <v>0.0</v>
      </c>
      <c r="K9750" s="317"/>
    </row>
    <row r="9751">
      <c r="B9751" s="223" t="s">
        <v>200</v>
      </c>
      <c r="C9751" s="223"/>
      <c r="D9751" s="316"/>
      <c r="H9751" s="223">
        <v>0.0</v>
      </c>
      <c r="K9751" s="317"/>
    </row>
    <row r="9752">
      <c r="B9752" s="223" t="s">
        <v>200</v>
      </c>
      <c r="C9752" s="223"/>
      <c r="D9752" s="316"/>
      <c r="H9752" s="223">
        <v>0.0</v>
      </c>
      <c r="K9752" s="317"/>
    </row>
    <row r="9753">
      <c r="B9753" s="223" t="s">
        <v>200</v>
      </c>
      <c r="C9753" s="223"/>
      <c r="D9753" s="316"/>
      <c r="H9753" s="223">
        <v>0.0</v>
      </c>
      <c r="K9753" s="317"/>
    </row>
    <row r="9754">
      <c r="B9754" s="223" t="s">
        <v>200</v>
      </c>
      <c r="C9754" s="223"/>
      <c r="D9754" s="316"/>
      <c r="H9754" s="223">
        <v>0.0</v>
      </c>
      <c r="K9754" s="317"/>
    </row>
    <row r="9755">
      <c r="B9755" s="223" t="s">
        <v>200</v>
      </c>
      <c r="C9755" s="223"/>
      <c r="D9755" s="316"/>
      <c r="H9755" s="223">
        <v>0.0</v>
      </c>
      <c r="K9755" s="317"/>
    </row>
    <row r="9756">
      <c r="B9756" s="223" t="s">
        <v>200</v>
      </c>
      <c r="C9756" s="223"/>
      <c r="D9756" s="316"/>
      <c r="H9756" s="223">
        <v>0.0</v>
      </c>
      <c r="K9756" s="317"/>
    </row>
    <row r="9757">
      <c r="B9757" s="223" t="s">
        <v>200</v>
      </c>
      <c r="C9757" s="223"/>
      <c r="D9757" s="316"/>
      <c r="H9757" s="223">
        <v>0.0</v>
      </c>
      <c r="K9757" s="317"/>
    </row>
    <row r="9758">
      <c r="B9758" s="223" t="s">
        <v>200</v>
      </c>
      <c r="C9758" s="223"/>
      <c r="D9758" s="316"/>
      <c r="H9758" s="223">
        <v>0.0</v>
      </c>
      <c r="K9758" s="317"/>
    </row>
    <row r="9759">
      <c r="B9759" s="223" t="s">
        <v>200</v>
      </c>
      <c r="C9759" s="223"/>
      <c r="D9759" s="316"/>
      <c r="H9759" s="223">
        <v>0.0</v>
      </c>
      <c r="K9759" s="317"/>
    </row>
    <row r="9760">
      <c r="B9760" s="223" t="s">
        <v>200</v>
      </c>
      <c r="C9760" s="223"/>
      <c r="D9760" s="316"/>
      <c r="H9760" s="223">
        <v>0.0</v>
      </c>
      <c r="K9760" s="317"/>
    </row>
    <row r="9761">
      <c r="B9761" s="223" t="s">
        <v>200</v>
      </c>
      <c r="C9761" s="223"/>
      <c r="D9761" s="316"/>
      <c r="H9761" s="223">
        <v>0.0</v>
      </c>
      <c r="K9761" s="317"/>
    </row>
    <row r="9762">
      <c r="B9762" s="223" t="s">
        <v>200</v>
      </c>
      <c r="C9762" s="223"/>
      <c r="D9762" s="316"/>
      <c r="H9762" s="223">
        <v>0.0</v>
      </c>
      <c r="K9762" s="317"/>
    </row>
    <row r="9763">
      <c r="B9763" s="223" t="s">
        <v>200</v>
      </c>
      <c r="C9763" s="223"/>
      <c r="D9763" s="316"/>
      <c r="H9763" s="223">
        <v>0.0</v>
      </c>
      <c r="K9763" s="317"/>
    </row>
    <row r="9764">
      <c r="B9764" s="223" t="s">
        <v>200</v>
      </c>
      <c r="C9764" s="223"/>
      <c r="D9764" s="316"/>
      <c r="H9764" s="223">
        <v>0.0</v>
      </c>
      <c r="K9764" s="317"/>
    </row>
    <row r="9765">
      <c r="B9765" s="223" t="s">
        <v>200</v>
      </c>
      <c r="C9765" s="223"/>
      <c r="D9765" s="316"/>
      <c r="H9765" s="223">
        <v>0.0</v>
      </c>
      <c r="K9765" s="317"/>
    </row>
    <row r="9766">
      <c r="B9766" s="223" t="s">
        <v>200</v>
      </c>
      <c r="C9766" s="223"/>
      <c r="D9766" s="316"/>
      <c r="H9766" s="223">
        <v>0.0</v>
      </c>
      <c r="K9766" s="317"/>
    </row>
    <row r="9767">
      <c r="B9767" s="223" t="s">
        <v>200</v>
      </c>
      <c r="C9767" s="223"/>
      <c r="D9767" s="316"/>
      <c r="H9767" s="223">
        <v>0.0</v>
      </c>
      <c r="K9767" s="317"/>
    </row>
    <row r="9768">
      <c r="B9768" s="223" t="s">
        <v>200</v>
      </c>
      <c r="C9768" s="223"/>
      <c r="D9768" s="316"/>
      <c r="H9768" s="223">
        <v>0.0</v>
      </c>
      <c r="K9768" s="317"/>
    </row>
    <row r="9769">
      <c r="B9769" s="223" t="s">
        <v>200</v>
      </c>
      <c r="C9769" s="223"/>
      <c r="D9769" s="316"/>
      <c r="H9769" s="223">
        <v>0.0</v>
      </c>
      <c r="K9769" s="317"/>
    </row>
    <row r="9770">
      <c r="B9770" s="223" t="s">
        <v>200</v>
      </c>
      <c r="C9770" s="223"/>
      <c r="D9770" s="316"/>
      <c r="H9770" s="223">
        <v>0.0</v>
      </c>
      <c r="K9770" s="317"/>
    </row>
    <row r="9771">
      <c r="B9771" s="223" t="s">
        <v>200</v>
      </c>
      <c r="C9771" s="223"/>
      <c r="D9771" s="316"/>
      <c r="H9771" s="223">
        <v>0.0</v>
      </c>
      <c r="K9771" s="317"/>
    </row>
    <row r="9772">
      <c r="B9772" s="223" t="s">
        <v>200</v>
      </c>
      <c r="C9772" s="223"/>
      <c r="D9772" s="316"/>
      <c r="H9772" s="223">
        <v>0.0</v>
      </c>
      <c r="K9772" s="317"/>
    </row>
    <row r="9773">
      <c r="B9773" s="223" t="s">
        <v>200</v>
      </c>
      <c r="C9773" s="223"/>
      <c r="D9773" s="316"/>
      <c r="H9773" s="223">
        <v>0.0</v>
      </c>
      <c r="K9773" s="317"/>
    </row>
    <row r="9774">
      <c r="B9774" s="223" t="s">
        <v>200</v>
      </c>
      <c r="C9774" s="223"/>
      <c r="D9774" s="316"/>
      <c r="H9774" s="223">
        <v>0.0</v>
      </c>
      <c r="K9774" s="317"/>
    </row>
    <row r="9775">
      <c r="B9775" s="223" t="s">
        <v>200</v>
      </c>
      <c r="C9775" s="223"/>
      <c r="D9775" s="316"/>
      <c r="H9775" s="223">
        <v>0.0</v>
      </c>
      <c r="K9775" s="317"/>
    </row>
    <row r="9776">
      <c r="B9776" s="223" t="s">
        <v>200</v>
      </c>
      <c r="C9776" s="223"/>
      <c r="D9776" s="316"/>
      <c r="H9776" s="223">
        <v>0.0</v>
      </c>
      <c r="K9776" s="317"/>
    </row>
    <row r="9777">
      <c r="B9777" s="223" t="s">
        <v>200</v>
      </c>
      <c r="C9777" s="223"/>
      <c r="D9777" s="316"/>
      <c r="H9777" s="223">
        <v>0.0</v>
      </c>
      <c r="K9777" s="317"/>
    </row>
    <row r="9778">
      <c r="B9778" s="223" t="s">
        <v>200</v>
      </c>
      <c r="C9778" s="223"/>
      <c r="D9778" s="316"/>
      <c r="H9778" s="223">
        <v>0.0</v>
      </c>
      <c r="K9778" s="317"/>
    </row>
    <row r="9779">
      <c r="B9779" s="223" t="s">
        <v>200</v>
      </c>
      <c r="C9779" s="223"/>
      <c r="D9779" s="316"/>
      <c r="H9779" s="223">
        <v>0.0</v>
      </c>
      <c r="K9779" s="317"/>
    </row>
    <row r="9780">
      <c r="B9780" s="223" t="s">
        <v>200</v>
      </c>
      <c r="C9780" s="223"/>
      <c r="D9780" s="316"/>
      <c r="H9780" s="223">
        <v>0.0</v>
      </c>
      <c r="K9780" s="317"/>
    </row>
    <row r="9781">
      <c r="B9781" s="223" t="s">
        <v>200</v>
      </c>
      <c r="C9781" s="223"/>
      <c r="D9781" s="316"/>
      <c r="H9781" s="223">
        <v>0.0</v>
      </c>
      <c r="K9781" s="317"/>
    </row>
    <row r="9782">
      <c r="B9782" s="223" t="s">
        <v>200</v>
      </c>
      <c r="C9782" s="223"/>
      <c r="D9782" s="316"/>
      <c r="H9782" s="223">
        <v>0.0</v>
      </c>
      <c r="K9782" s="317"/>
    </row>
    <row r="9783">
      <c r="B9783" s="223" t="s">
        <v>200</v>
      </c>
      <c r="C9783" s="223"/>
      <c r="D9783" s="316"/>
      <c r="H9783" s="223">
        <v>0.0</v>
      </c>
      <c r="K9783" s="317"/>
    </row>
    <row r="9784">
      <c r="B9784" s="223" t="s">
        <v>200</v>
      </c>
      <c r="C9784" s="223"/>
      <c r="D9784" s="316"/>
      <c r="H9784" s="223">
        <v>0.0</v>
      </c>
      <c r="K9784" s="317"/>
    </row>
    <row r="9785">
      <c r="B9785" s="223" t="s">
        <v>200</v>
      </c>
      <c r="C9785" s="223"/>
      <c r="D9785" s="316"/>
      <c r="H9785" s="223">
        <v>0.0</v>
      </c>
      <c r="K9785" s="317"/>
    </row>
    <row r="9786">
      <c r="B9786" s="223" t="s">
        <v>200</v>
      </c>
      <c r="C9786" s="223"/>
      <c r="D9786" s="316"/>
      <c r="H9786" s="223">
        <v>0.0</v>
      </c>
      <c r="K9786" s="317"/>
    </row>
    <row r="9787">
      <c r="B9787" s="223" t="s">
        <v>200</v>
      </c>
      <c r="C9787" s="223"/>
      <c r="D9787" s="316"/>
      <c r="H9787" s="223">
        <v>0.0</v>
      </c>
      <c r="K9787" s="317"/>
    </row>
    <row r="9788">
      <c r="B9788" s="223" t="s">
        <v>200</v>
      </c>
      <c r="C9788" s="223"/>
      <c r="D9788" s="316"/>
      <c r="H9788" s="223">
        <v>0.0</v>
      </c>
      <c r="K9788" s="317"/>
    </row>
    <row r="9789">
      <c r="B9789" s="223" t="s">
        <v>200</v>
      </c>
      <c r="C9789" s="223"/>
      <c r="D9789" s="316"/>
      <c r="H9789" s="223">
        <v>0.0</v>
      </c>
      <c r="K9789" s="317"/>
    </row>
    <row r="9790">
      <c r="B9790" s="223" t="s">
        <v>200</v>
      </c>
      <c r="C9790" s="223"/>
      <c r="D9790" s="316"/>
      <c r="H9790" s="223">
        <v>0.0</v>
      </c>
      <c r="K9790" s="317"/>
    </row>
    <row r="9791">
      <c r="B9791" s="223" t="s">
        <v>200</v>
      </c>
      <c r="C9791" s="223"/>
      <c r="D9791" s="316"/>
      <c r="H9791" s="223">
        <v>0.0</v>
      </c>
      <c r="K9791" s="317"/>
    </row>
    <row r="9792">
      <c r="B9792" s="223" t="s">
        <v>200</v>
      </c>
      <c r="C9792" s="223"/>
      <c r="D9792" s="316"/>
      <c r="H9792" s="223">
        <v>0.0</v>
      </c>
      <c r="K9792" s="317"/>
    </row>
    <row r="9793">
      <c r="B9793" s="223" t="s">
        <v>200</v>
      </c>
      <c r="C9793" s="223"/>
      <c r="D9793" s="316"/>
      <c r="H9793" s="223">
        <v>0.0</v>
      </c>
      <c r="K9793" s="317"/>
    </row>
    <row r="9794">
      <c r="B9794" s="223" t="s">
        <v>200</v>
      </c>
      <c r="C9794" s="223"/>
      <c r="D9794" s="316"/>
      <c r="H9794" s="223">
        <v>0.0</v>
      </c>
      <c r="K9794" s="317"/>
    </row>
    <row r="9795">
      <c r="B9795" s="223" t="s">
        <v>200</v>
      </c>
      <c r="C9795" s="223"/>
      <c r="D9795" s="316"/>
      <c r="H9795" s="223">
        <v>0.0</v>
      </c>
      <c r="K9795" s="317"/>
    </row>
    <row r="9796">
      <c r="B9796" s="223" t="s">
        <v>200</v>
      </c>
      <c r="C9796" s="223"/>
      <c r="D9796" s="316"/>
      <c r="H9796" s="223">
        <v>0.0</v>
      </c>
      <c r="K9796" s="317"/>
    </row>
    <row r="9797">
      <c r="B9797" s="223" t="s">
        <v>200</v>
      </c>
      <c r="C9797" s="223"/>
      <c r="D9797" s="316"/>
      <c r="H9797" s="223">
        <v>0.0</v>
      </c>
      <c r="K9797" s="317"/>
    </row>
    <row r="9798">
      <c r="B9798" s="223" t="s">
        <v>200</v>
      </c>
      <c r="C9798" s="223"/>
      <c r="D9798" s="316"/>
      <c r="H9798" s="223">
        <v>0.0</v>
      </c>
      <c r="K9798" s="317"/>
    </row>
    <row r="9799">
      <c r="B9799" s="223" t="s">
        <v>200</v>
      </c>
      <c r="C9799" s="223"/>
      <c r="D9799" s="316"/>
      <c r="H9799" s="223">
        <v>0.0</v>
      </c>
      <c r="K9799" s="317"/>
    </row>
    <row r="9800">
      <c r="B9800" s="223" t="s">
        <v>200</v>
      </c>
      <c r="C9800" s="223"/>
      <c r="D9800" s="316"/>
      <c r="H9800" s="223">
        <v>0.0</v>
      </c>
      <c r="K9800" s="317"/>
    </row>
    <row r="9801">
      <c r="B9801" s="223" t="s">
        <v>200</v>
      </c>
      <c r="C9801" s="223"/>
      <c r="D9801" s="316"/>
      <c r="H9801" s="223">
        <v>0.0</v>
      </c>
      <c r="K9801" s="317"/>
    </row>
    <row r="9802">
      <c r="B9802" s="223" t="s">
        <v>200</v>
      </c>
      <c r="C9802" s="223"/>
      <c r="D9802" s="316"/>
      <c r="H9802" s="223">
        <v>0.0</v>
      </c>
      <c r="K9802" s="317"/>
    </row>
    <row r="9803">
      <c r="B9803" s="223" t="s">
        <v>200</v>
      </c>
      <c r="C9803" s="223"/>
      <c r="D9803" s="316"/>
      <c r="H9803" s="223">
        <v>0.0</v>
      </c>
      <c r="K9803" s="317"/>
    </row>
    <row r="9804">
      <c r="B9804" s="223" t="s">
        <v>200</v>
      </c>
      <c r="C9804" s="223"/>
      <c r="D9804" s="316"/>
      <c r="H9804" s="223">
        <v>0.0</v>
      </c>
      <c r="K9804" s="317"/>
    </row>
    <row r="9805">
      <c r="B9805" s="223" t="s">
        <v>200</v>
      </c>
      <c r="C9805" s="223"/>
      <c r="D9805" s="316"/>
      <c r="H9805" s="223">
        <v>0.0</v>
      </c>
      <c r="K9805" s="317"/>
    </row>
    <row r="9806">
      <c r="B9806" s="223" t="s">
        <v>200</v>
      </c>
      <c r="C9806" s="223"/>
      <c r="D9806" s="316"/>
      <c r="H9806" s="223">
        <v>0.0</v>
      </c>
      <c r="K9806" s="317"/>
    </row>
    <row r="9807">
      <c r="B9807" s="223" t="s">
        <v>200</v>
      </c>
      <c r="C9807" s="223"/>
      <c r="D9807" s="316"/>
      <c r="H9807" s="223">
        <v>0.0</v>
      </c>
      <c r="K9807" s="317"/>
    </row>
    <row r="9808">
      <c r="B9808" s="223" t="s">
        <v>200</v>
      </c>
      <c r="C9808" s="223"/>
      <c r="D9808" s="316"/>
      <c r="H9808" s="223">
        <v>0.0</v>
      </c>
      <c r="K9808" s="317"/>
    </row>
    <row r="9809">
      <c r="B9809" s="223" t="s">
        <v>200</v>
      </c>
      <c r="C9809" s="223"/>
      <c r="D9809" s="316"/>
      <c r="H9809" s="223">
        <v>0.0</v>
      </c>
      <c r="K9809" s="317"/>
    </row>
    <row r="9810">
      <c r="B9810" s="223" t="s">
        <v>200</v>
      </c>
      <c r="C9810" s="223"/>
      <c r="D9810" s="316"/>
      <c r="H9810" s="223">
        <v>0.0</v>
      </c>
      <c r="K9810" s="317"/>
    </row>
    <row r="9811">
      <c r="B9811" s="223" t="s">
        <v>200</v>
      </c>
      <c r="C9811" s="223"/>
      <c r="D9811" s="316"/>
      <c r="H9811" s="223">
        <v>0.0</v>
      </c>
      <c r="K9811" s="317"/>
    </row>
    <row r="9812">
      <c r="B9812" s="223" t="s">
        <v>200</v>
      </c>
      <c r="C9812" s="223"/>
      <c r="D9812" s="316"/>
      <c r="H9812" s="223">
        <v>0.0</v>
      </c>
      <c r="K9812" s="317"/>
    </row>
    <row r="9813">
      <c r="B9813" s="223" t="s">
        <v>200</v>
      </c>
      <c r="C9813" s="223"/>
      <c r="D9813" s="316"/>
      <c r="H9813" s="223">
        <v>0.0</v>
      </c>
      <c r="K9813" s="317"/>
    </row>
    <row r="9814">
      <c r="B9814" s="223" t="s">
        <v>200</v>
      </c>
      <c r="C9814" s="223"/>
      <c r="D9814" s="316"/>
      <c r="H9814" s="223">
        <v>0.0</v>
      </c>
      <c r="K9814" s="317"/>
    </row>
    <row r="9815">
      <c r="B9815" s="223" t="s">
        <v>200</v>
      </c>
      <c r="C9815" s="223"/>
      <c r="D9815" s="316"/>
      <c r="H9815" s="223">
        <v>0.0</v>
      </c>
      <c r="K9815" s="317"/>
    </row>
    <row r="9816">
      <c r="B9816" s="223" t="s">
        <v>200</v>
      </c>
      <c r="C9816" s="223"/>
      <c r="D9816" s="316"/>
      <c r="H9816" s="223">
        <v>0.0</v>
      </c>
      <c r="K9816" s="317"/>
    </row>
    <row r="9817">
      <c r="B9817" s="223" t="s">
        <v>200</v>
      </c>
      <c r="C9817" s="223"/>
      <c r="D9817" s="316"/>
      <c r="H9817" s="223">
        <v>0.0</v>
      </c>
      <c r="K9817" s="317"/>
    </row>
    <row r="9818">
      <c r="B9818" s="223" t="s">
        <v>200</v>
      </c>
      <c r="C9818" s="223"/>
      <c r="D9818" s="316"/>
      <c r="H9818" s="223">
        <v>0.0</v>
      </c>
      <c r="K9818" s="317"/>
    </row>
    <row r="9819">
      <c r="B9819" s="223" t="s">
        <v>200</v>
      </c>
      <c r="C9819" s="223"/>
      <c r="D9819" s="316"/>
      <c r="H9819" s="223">
        <v>0.0</v>
      </c>
      <c r="K9819" s="317"/>
    </row>
    <row r="9820">
      <c r="B9820" s="223" t="s">
        <v>200</v>
      </c>
      <c r="C9820" s="223"/>
      <c r="D9820" s="316"/>
      <c r="H9820" s="223">
        <v>0.0</v>
      </c>
      <c r="K9820" s="317"/>
    </row>
    <row r="9821">
      <c r="B9821" s="223" t="s">
        <v>200</v>
      </c>
      <c r="C9821" s="223"/>
      <c r="D9821" s="316"/>
      <c r="H9821" s="223">
        <v>0.0</v>
      </c>
      <c r="K9821" s="317"/>
    </row>
    <row r="9822">
      <c r="B9822" s="223" t="s">
        <v>200</v>
      </c>
      <c r="C9822" s="223"/>
      <c r="D9822" s="316"/>
      <c r="H9822" s="223">
        <v>0.0</v>
      </c>
      <c r="K9822" s="317"/>
    </row>
    <row r="9823">
      <c r="B9823" s="223" t="s">
        <v>200</v>
      </c>
      <c r="C9823" s="223"/>
      <c r="D9823" s="316"/>
      <c r="H9823" s="223">
        <v>0.0</v>
      </c>
      <c r="K9823" s="317"/>
    </row>
    <row r="9824">
      <c r="B9824" s="223" t="s">
        <v>200</v>
      </c>
      <c r="C9824" s="223"/>
      <c r="D9824" s="316"/>
      <c r="H9824" s="223">
        <v>0.0</v>
      </c>
      <c r="K9824" s="317"/>
    </row>
    <row r="9825">
      <c r="B9825" s="223" t="s">
        <v>200</v>
      </c>
      <c r="C9825" s="223"/>
      <c r="D9825" s="316"/>
      <c r="H9825" s="223">
        <v>0.0</v>
      </c>
      <c r="K9825" s="317"/>
    </row>
    <row r="9826">
      <c r="B9826" s="223" t="s">
        <v>200</v>
      </c>
      <c r="C9826" s="223"/>
      <c r="D9826" s="316"/>
      <c r="H9826" s="223">
        <v>0.0</v>
      </c>
      <c r="K9826" s="317"/>
    </row>
    <row r="9827">
      <c r="B9827" s="223" t="s">
        <v>200</v>
      </c>
      <c r="C9827" s="223"/>
      <c r="D9827" s="316"/>
      <c r="H9827" s="223">
        <v>0.0</v>
      </c>
      <c r="K9827" s="317"/>
    </row>
    <row r="9828">
      <c r="B9828" s="223" t="s">
        <v>200</v>
      </c>
      <c r="C9828" s="223"/>
      <c r="D9828" s="316"/>
      <c r="H9828" s="223">
        <v>0.0</v>
      </c>
      <c r="K9828" s="317"/>
    </row>
    <row r="9829">
      <c r="B9829" s="223" t="s">
        <v>200</v>
      </c>
      <c r="C9829" s="223"/>
      <c r="D9829" s="316"/>
      <c r="H9829" s="223">
        <v>0.0</v>
      </c>
      <c r="K9829" s="317"/>
    </row>
    <row r="9830">
      <c r="B9830" s="223" t="s">
        <v>200</v>
      </c>
      <c r="C9830" s="223"/>
      <c r="D9830" s="316"/>
      <c r="H9830" s="223">
        <v>0.0</v>
      </c>
      <c r="K9830" s="317"/>
    </row>
    <row r="9831">
      <c r="B9831" s="223" t="s">
        <v>200</v>
      </c>
      <c r="C9831" s="223"/>
      <c r="D9831" s="316"/>
      <c r="H9831" s="223">
        <v>0.0</v>
      </c>
      <c r="K9831" s="317"/>
    </row>
    <row r="9832">
      <c r="B9832" s="223" t="s">
        <v>200</v>
      </c>
      <c r="C9832" s="223"/>
      <c r="D9832" s="316"/>
      <c r="H9832" s="223">
        <v>0.0</v>
      </c>
      <c r="K9832" s="317"/>
    </row>
    <row r="9833">
      <c r="B9833" s="223" t="s">
        <v>200</v>
      </c>
      <c r="C9833" s="223"/>
      <c r="D9833" s="316"/>
      <c r="H9833" s="223">
        <v>0.0</v>
      </c>
      <c r="K9833" s="317"/>
    </row>
    <row r="9834">
      <c r="B9834" s="223" t="s">
        <v>200</v>
      </c>
      <c r="C9834" s="223"/>
      <c r="D9834" s="316"/>
      <c r="H9834" s="223">
        <v>0.0</v>
      </c>
      <c r="K9834" s="317"/>
    </row>
    <row r="9835">
      <c r="B9835" s="223" t="s">
        <v>200</v>
      </c>
      <c r="C9835" s="223"/>
      <c r="D9835" s="316"/>
      <c r="H9835" s="223">
        <v>0.0</v>
      </c>
      <c r="K9835" s="317"/>
    </row>
    <row r="9836">
      <c r="B9836" s="223" t="s">
        <v>200</v>
      </c>
      <c r="C9836" s="223"/>
      <c r="D9836" s="316"/>
      <c r="H9836" s="223">
        <v>0.0</v>
      </c>
      <c r="K9836" s="317"/>
    </row>
    <row r="9837">
      <c r="B9837" s="223" t="s">
        <v>200</v>
      </c>
      <c r="C9837" s="223"/>
      <c r="D9837" s="316"/>
      <c r="H9837" s="223">
        <v>0.0</v>
      </c>
      <c r="K9837" s="317"/>
    </row>
    <row r="9838">
      <c r="B9838" s="223" t="s">
        <v>200</v>
      </c>
      <c r="C9838" s="223"/>
      <c r="D9838" s="316"/>
      <c r="H9838" s="223">
        <v>0.0</v>
      </c>
      <c r="K9838" s="317"/>
    </row>
    <row r="9839">
      <c r="B9839" s="223" t="s">
        <v>200</v>
      </c>
      <c r="C9839" s="223"/>
      <c r="D9839" s="316"/>
      <c r="H9839" s="223">
        <v>0.0</v>
      </c>
      <c r="K9839" s="317"/>
    </row>
    <row r="9840">
      <c r="B9840" s="223" t="s">
        <v>200</v>
      </c>
      <c r="C9840" s="223"/>
      <c r="D9840" s="316"/>
      <c r="H9840" s="223">
        <v>0.0</v>
      </c>
      <c r="K9840" s="317"/>
    </row>
    <row r="9841">
      <c r="B9841" s="223" t="s">
        <v>200</v>
      </c>
      <c r="C9841" s="223"/>
      <c r="D9841" s="316"/>
      <c r="H9841" s="223">
        <v>0.0</v>
      </c>
      <c r="K9841" s="317"/>
    </row>
    <row r="9842">
      <c r="B9842" s="223" t="s">
        <v>200</v>
      </c>
      <c r="C9842" s="223"/>
      <c r="D9842" s="316"/>
      <c r="H9842" s="223">
        <v>0.0</v>
      </c>
      <c r="K9842" s="317"/>
    </row>
    <row r="9843">
      <c r="B9843" s="223" t="s">
        <v>200</v>
      </c>
      <c r="C9843" s="223"/>
      <c r="D9843" s="316"/>
      <c r="H9843" s="223">
        <v>0.0</v>
      </c>
      <c r="K9843" s="317"/>
    </row>
    <row r="9844">
      <c r="B9844" s="223" t="s">
        <v>200</v>
      </c>
      <c r="C9844" s="223"/>
      <c r="D9844" s="316"/>
      <c r="H9844" s="223">
        <v>0.0</v>
      </c>
      <c r="K9844" s="317"/>
    </row>
    <row r="9845">
      <c r="B9845" s="223" t="s">
        <v>200</v>
      </c>
      <c r="C9845" s="223"/>
      <c r="D9845" s="316"/>
      <c r="H9845" s="223">
        <v>0.0</v>
      </c>
      <c r="K9845" s="317"/>
    </row>
    <row r="9846">
      <c r="B9846" s="223" t="s">
        <v>200</v>
      </c>
      <c r="C9846" s="223"/>
      <c r="D9846" s="316"/>
      <c r="H9846" s="223">
        <v>0.0</v>
      </c>
      <c r="K9846" s="317"/>
    </row>
    <row r="9847">
      <c r="B9847" s="223" t="s">
        <v>200</v>
      </c>
      <c r="C9847" s="223"/>
      <c r="D9847" s="316"/>
      <c r="H9847" s="223">
        <v>0.0</v>
      </c>
      <c r="K9847" s="317"/>
    </row>
    <row r="9848">
      <c r="B9848" s="223" t="s">
        <v>200</v>
      </c>
      <c r="C9848" s="223"/>
      <c r="D9848" s="316"/>
      <c r="H9848" s="223">
        <v>0.0</v>
      </c>
      <c r="K9848" s="317"/>
    </row>
    <row r="9849">
      <c r="B9849" s="223" t="s">
        <v>200</v>
      </c>
      <c r="C9849" s="223"/>
      <c r="D9849" s="316"/>
      <c r="H9849" s="223">
        <v>0.0</v>
      </c>
      <c r="K9849" s="317"/>
    </row>
    <row r="9850">
      <c r="B9850" s="223" t="s">
        <v>200</v>
      </c>
      <c r="C9850" s="223"/>
      <c r="D9850" s="316"/>
      <c r="H9850" s="223">
        <v>0.0</v>
      </c>
      <c r="K9850" s="317"/>
    </row>
    <row r="9851">
      <c r="B9851" s="223" t="s">
        <v>200</v>
      </c>
      <c r="C9851" s="223"/>
      <c r="D9851" s="316"/>
      <c r="H9851" s="223">
        <v>0.0</v>
      </c>
      <c r="K9851" s="317"/>
    </row>
    <row r="9852">
      <c r="B9852" s="223" t="s">
        <v>200</v>
      </c>
      <c r="C9852" s="223"/>
      <c r="D9852" s="316"/>
      <c r="H9852" s="223">
        <v>0.0</v>
      </c>
      <c r="K9852" s="317"/>
    </row>
    <row r="9853">
      <c r="B9853" s="223" t="s">
        <v>200</v>
      </c>
      <c r="C9853" s="223"/>
      <c r="D9853" s="316"/>
      <c r="H9853" s="223">
        <v>0.0</v>
      </c>
      <c r="K9853" s="317"/>
    </row>
    <row r="9854">
      <c r="B9854" s="223" t="s">
        <v>200</v>
      </c>
      <c r="C9854" s="223"/>
      <c r="D9854" s="316"/>
      <c r="H9854" s="223">
        <v>0.0</v>
      </c>
      <c r="K9854" s="317"/>
    </row>
    <row r="9855">
      <c r="B9855" s="223" t="s">
        <v>200</v>
      </c>
      <c r="C9855" s="223"/>
      <c r="D9855" s="316"/>
      <c r="H9855" s="223">
        <v>0.0</v>
      </c>
      <c r="K9855" s="317"/>
    </row>
    <row r="9856">
      <c r="B9856" s="223" t="s">
        <v>200</v>
      </c>
      <c r="C9856" s="223"/>
      <c r="D9856" s="316"/>
      <c r="H9856" s="223">
        <v>0.0</v>
      </c>
      <c r="K9856" s="317"/>
    </row>
    <row r="9857">
      <c r="B9857" s="223" t="s">
        <v>200</v>
      </c>
      <c r="C9857" s="223"/>
      <c r="D9857" s="316"/>
      <c r="H9857" s="223">
        <v>0.0</v>
      </c>
      <c r="K9857" s="317"/>
    </row>
    <row r="9858">
      <c r="B9858" s="223" t="s">
        <v>200</v>
      </c>
      <c r="C9858" s="223"/>
      <c r="D9858" s="316"/>
      <c r="H9858" s="223">
        <v>0.0</v>
      </c>
      <c r="K9858" s="317"/>
    </row>
    <row r="9859">
      <c r="B9859" s="223" t="s">
        <v>200</v>
      </c>
      <c r="C9859" s="223"/>
      <c r="D9859" s="316"/>
      <c r="H9859" s="223">
        <v>0.0</v>
      </c>
      <c r="K9859" s="317"/>
    </row>
    <row r="9860">
      <c r="B9860" s="223" t="s">
        <v>200</v>
      </c>
      <c r="C9860" s="223"/>
      <c r="D9860" s="316"/>
      <c r="H9860" s="223">
        <v>0.0</v>
      </c>
      <c r="K9860" s="317"/>
    </row>
    <row r="9861">
      <c r="B9861" s="223" t="s">
        <v>200</v>
      </c>
      <c r="C9861" s="223"/>
      <c r="D9861" s="316"/>
      <c r="H9861" s="223">
        <v>0.0</v>
      </c>
      <c r="K9861" s="317"/>
    </row>
    <row r="9862">
      <c r="B9862" s="223" t="s">
        <v>200</v>
      </c>
      <c r="C9862" s="223"/>
      <c r="D9862" s="316"/>
      <c r="H9862" s="223">
        <v>0.0</v>
      </c>
      <c r="K9862" s="317"/>
    </row>
    <row r="9863">
      <c r="B9863" s="223" t="s">
        <v>200</v>
      </c>
      <c r="C9863" s="223"/>
      <c r="D9863" s="316"/>
      <c r="H9863" s="223">
        <v>0.0</v>
      </c>
      <c r="K9863" s="317"/>
    </row>
    <row r="9864">
      <c r="B9864" s="223" t="s">
        <v>200</v>
      </c>
      <c r="C9864" s="223"/>
      <c r="D9864" s="316"/>
      <c r="H9864" s="223">
        <v>0.0</v>
      </c>
      <c r="K9864" s="317"/>
    </row>
    <row r="9865">
      <c r="B9865" s="223" t="s">
        <v>200</v>
      </c>
      <c r="C9865" s="223"/>
      <c r="D9865" s="316"/>
      <c r="H9865" s="223">
        <v>0.0</v>
      </c>
      <c r="K9865" s="317"/>
    </row>
    <row r="9866">
      <c r="B9866" s="223" t="s">
        <v>200</v>
      </c>
      <c r="C9866" s="223"/>
      <c r="D9866" s="316"/>
      <c r="H9866" s="223">
        <v>0.0</v>
      </c>
      <c r="K9866" s="317"/>
    </row>
    <row r="9867">
      <c r="B9867" s="223" t="s">
        <v>200</v>
      </c>
      <c r="C9867" s="223"/>
      <c r="D9867" s="316"/>
      <c r="H9867" s="223">
        <v>0.0</v>
      </c>
      <c r="K9867" s="317"/>
    </row>
    <row r="9868">
      <c r="B9868" s="223" t="s">
        <v>200</v>
      </c>
      <c r="C9868" s="223"/>
      <c r="D9868" s="316"/>
      <c r="H9868" s="223">
        <v>0.0</v>
      </c>
      <c r="K9868" s="317"/>
    </row>
    <row r="9869">
      <c r="B9869" s="223" t="s">
        <v>200</v>
      </c>
      <c r="C9869" s="223"/>
      <c r="D9869" s="316"/>
      <c r="H9869" s="223">
        <v>0.0</v>
      </c>
      <c r="K9869" s="317"/>
    </row>
    <row r="9870">
      <c r="B9870" s="223" t="s">
        <v>200</v>
      </c>
      <c r="C9870" s="223"/>
      <c r="D9870" s="316"/>
      <c r="H9870" s="223">
        <v>0.0</v>
      </c>
      <c r="K9870" s="317"/>
    </row>
    <row r="9871">
      <c r="B9871" s="223" t="s">
        <v>200</v>
      </c>
      <c r="C9871" s="223"/>
      <c r="D9871" s="316"/>
      <c r="H9871" s="223">
        <v>0.0</v>
      </c>
      <c r="K9871" s="317"/>
    </row>
    <row r="9872">
      <c r="B9872" s="223" t="s">
        <v>200</v>
      </c>
      <c r="C9872" s="223"/>
      <c r="D9872" s="316"/>
      <c r="H9872" s="223">
        <v>0.0</v>
      </c>
      <c r="K9872" s="317"/>
    </row>
    <row r="9873">
      <c r="B9873" s="223" t="s">
        <v>200</v>
      </c>
      <c r="C9873" s="223"/>
      <c r="D9873" s="316"/>
      <c r="H9873" s="223">
        <v>0.0</v>
      </c>
      <c r="K9873" s="317"/>
    </row>
    <row r="9874">
      <c r="B9874" s="223" t="s">
        <v>200</v>
      </c>
      <c r="C9874" s="223"/>
      <c r="D9874" s="316"/>
      <c r="H9874" s="223">
        <v>0.0</v>
      </c>
      <c r="K9874" s="317"/>
    </row>
    <row r="9875">
      <c r="B9875" s="223" t="s">
        <v>200</v>
      </c>
      <c r="C9875" s="223"/>
      <c r="D9875" s="316"/>
      <c r="H9875" s="223">
        <v>0.0</v>
      </c>
      <c r="K9875" s="317"/>
    </row>
    <row r="9876">
      <c r="B9876" s="223" t="s">
        <v>200</v>
      </c>
      <c r="C9876" s="223"/>
      <c r="D9876" s="316"/>
      <c r="H9876" s="223">
        <v>0.0</v>
      </c>
      <c r="K9876" s="317"/>
    </row>
    <row r="9877">
      <c r="B9877" s="223" t="s">
        <v>200</v>
      </c>
      <c r="C9877" s="223"/>
      <c r="D9877" s="316"/>
      <c r="H9877" s="223">
        <v>0.0</v>
      </c>
      <c r="K9877" s="317"/>
    </row>
    <row r="9878">
      <c r="B9878" s="223" t="s">
        <v>200</v>
      </c>
      <c r="C9878" s="223"/>
      <c r="D9878" s="316"/>
      <c r="H9878" s="223">
        <v>0.0</v>
      </c>
      <c r="K9878" s="317"/>
    </row>
    <row r="9879">
      <c r="B9879" s="223" t="s">
        <v>200</v>
      </c>
      <c r="C9879" s="223"/>
      <c r="D9879" s="316"/>
      <c r="H9879" s="223">
        <v>0.0</v>
      </c>
      <c r="K9879" s="317"/>
    </row>
    <row r="9880">
      <c r="B9880" s="223" t="s">
        <v>200</v>
      </c>
      <c r="C9880" s="223"/>
      <c r="D9880" s="316"/>
      <c r="H9880" s="223">
        <v>0.0</v>
      </c>
      <c r="K9880" s="317"/>
    </row>
    <row r="9881">
      <c r="B9881" s="223" t="s">
        <v>200</v>
      </c>
      <c r="C9881" s="223"/>
      <c r="D9881" s="316"/>
      <c r="H9881" s="223">
        <v>0.0</v>
      </c>
      <c r="K9881" s="317"/>
    </row>
    <row r="9882">
      <c r="B9882" s="223" t="s">
        <v>200</v>
      </c>
      <c r="C9882" s="223"/>
      <c r="D9882" s="316"/>
      <c r="H9882" s="223">
        <v>0.0</v>
      </c>
      <c r="K9882" s="317"/>
    </row>
    <row r="9883">
      <c r="B9883" s="223" t="s">
        <v>200</v>
      </c>
      <c r="C9883" s="223"/>
      <c r="D9883" s="316"/>
      <c r="H9883" s="223">
        <v>0.0</v>
      </c>
      <c r="K9883" s="317"/>
    </row>
    <row r="9884">
      <c r="B9884" s="223" t="s">
        <v>200</v>
      </c>
      <c r="C9884" s="223"/>
      <c r="D9884" s="316"/>
      <c r="H9884" s="223">
        <v>0.0</v>
      </c>
      <c r="K9884" s="317"/>
    </row>
    <row r="9885">
      <c r="B9885" s="223" t="s">
        <v>200</v>
      </c>
      <c r="C9885" s="223"/>
      <c r="D9885" s="316"/>
      <c r="H9885" s="223">
        <v>0.0</v>
      </c>
      <c r="K9885" s="317"/>
    </row>
    <row r="9886">
      <c r="B9886" s="223" t="s">
        <v>200</v>
      </c>
      <c r="C9886" s="223"/>
      <c r="D9886" s="316"/>
      <c r="H9886" s="223">
        <v>0.0</v>
      </c>
      <c r="K9886" s="317"/>
    </row>
    <row r="9887">
      <c r="B9887" s="223" t="s">
        <v>200</v>
      </c>
      <c r="C9887" s="223"/>
      <c r="D9887" s="316"/>
      <c r="H9887" s="223">
        <v>0.0</v>
      </c>
      <c r="K9887" s="317"/>
    </row>
    <row r="9888">
      <c r="B9888" s="223" t="s">
        <v>200</v>
      </c>
      <c r="C9888" s="223"/>
      <c r="D9888" s="316"/>
      <c r="H9888" s="223">
        <v>0.0</v>
      </c>
      <c r="K9888" s="317"/>
    </row>
    <row r="9889">
      <c r="B9889" s="223" t="s">
        <v>200</v>
      </c>
      <c r="C9889" s="223"/>
      <c r="D9889" s="316"/>
      <c r="H9889" s="223">
        <v>0.0</v>
      </c>
      <c r="K9889" s="317"/>
    </row>
    <row r="9890">
      <c r="B9890" s="223" t="s">
        <v>200</v>
      </c>
      <c r="C9890" s="223"/>
      <c r="D9890" s="316"/>
      <c r="H9890" s="223">
        <v>0.0</v>
      </c>
      <c r="K9890" s="317"/>
    </row>
    <row r="9891">
      <c r="B9891" s="223" t="s">
        <v>200</v>
      </c>
      <c r="C9891" s="223"/>
      <c r="D9891" s="316"/>
      <c r="H9891" s="223">
        <v>0.0</v>
      </c>
      <c r="K9891" s="317"/>
    </row>
    <row r="9892">
      <c r="B9892" s="223" t="s">
        <v>200</v>
      </c>
      <c r="C9892" s="223"/>
      <c r="D9892" s="316"/>
      <c r="H9892" s="223">
        <v>0.0</v>
      </c>
      <c r="K9892" s="317"/>
    </row>
    <row r="9893">
      <c r="B9893" s="223" t="s">
        <v>200</v>
      </c>
      <c r="C9893" s="223"/>
      <c r="D9893" s="316"/>
      <c r="H9893" s="223">
        <v>0.0</v>
      </c>
      <c r="K9893" s="317"/>
    </row>
    <row r="9894">
      <c r="B9894" s="223" t="s">
        <v>200</v>
      </c>
      <c r="C9894" s="223"/>
      <c r="D9894" s="316"/>
      <c r="H9894" s="223">
        <v>0.0</v>
      </c>
      <c r="K9894" s="317"/>
    </row>
    <row r="9895">
      <c r="B9895" s="223" t="s">
        <v>200</v>
      </c>
      <c r="C9895" s="223"/>
      <c r="D9895" s="316"/>
      <c r="H9895" s="223">
        <v>0.0</v>
      </c>
      <c r="K9895" s="317"/>
    </row>
    <row r="9896">
      <c r="B9896" s="223" t="s">
        <v>200</v>
      </c>
      <c r="C9896" s="223"/>
      <c r="D9896" s="316"/>
      <c r="H9896" s="223">
        <v>0.0</v>
      </c>
      <c r="K9896" s="317"/>
    </row>
    <row r="9897">
      <c r="B9897" s="223" t="s">
        <v>200</v>
      </c>
      <c r="C9897" s="223"/>
      <c r="D9897" s="316"/>
      <c r="H9897" s="223">
        <v>0.0</v>
      </c>
      <c r="K9897" s="317"/>
    </row>
    <row r="9898">
      <c r="B9898" s="223" t="s">
        <v>200</v>
      </c>
      <c r="C9898" s="223"/>
      <c r="D9898" s="316"/>
      <c r="H9898" s="223">
        <v>0.0</v>
      </c>
      <c r="K9898" s="317"/>
    </row>
    <row r="9899">
      <c r="B9899" s="223" t="s">
        <v>200</v>
      </c>
      <c r="C9899" s="223"/>
      <c r="D9899" s="316"/>
      <c r="H9899" s="223">
        <v>0.0</v>
      </c>
      <c r="K9899" s="317"/>
    </row>
    <row r="9900">
      <c r="B9900" s="223" t="s">
        <v>200</v>
      </c>
      <c r="C9900" s="223"/>
      <c r="D9900" s="316"/>
      <c r="H9900" s="223">
        <v>0.0</v>
      </c>
      <c r="K9900" s="317"/>
    </row>
    <row r="9901">
      <c r="B9901" s="223" t="s">
        <v>200</v>
      </c>
      <c r="C9901" s="223"/>
      <c r="D9901" s="316"/>
      <c r="H9901" s="223">
        <v>0.0</v>
      </c>
      <c r="K9901" s="317"/>
    </row>
    <row r="9902">
      <c r="B9902" s="223" t="s">
        <v>200</v>
      </c>
      <c r="C9902" s="223"/>
      <c r="D9902" s="316"/>
      <c r="H9902" s="223">
        <v>0.0</v>
      </c>
      <c r="K9902" s="317"/>
    </row>
    <row r="9903">
      <c r="B9903" s="223" t="s">
        <v>200</v>
      </c>
      <c r="C9903" s="223"/>
      <c r="D9903" s="316"/>
      <c r="H9903" s="223">
        <v>0.0</v>
      </c>
      <c r="K9903" s="317"/>
    </row>
    <row r="9904">
      <c r="B9904" s="223" t="s">
        <v>200</v>
      </c>
      <c r="C9904" s="223"/>
      <c r="D9904" s="316"/>
      <c r="H9904" s="223">
        <v>0.0</v>
      </c>
      <c r="K9904" s="317"/>
    </row>
    <row r="9905">
      <c r="B9905" s="223" t="s">
        <v>200</v>
      </c>
      <c r="C9905" s="223"/>
      <c r="D9905" s="316"/>
      <c r="H9905" s="223">
        <v>0.0</v>
      </c>
      <c r="K9905" s="317"/>
    </row>
    <row r="9906">
      <c r="B9906" s="223" t="s">
        <v>200</v>
      </c>
      <c r="C9906" s="223"/>
      <c r="D9906" s="316"/>
      <c r="H9906" s="223">
        <v>0.0</v>
      </c>
      <c r="K9906" s="317"/>
    </row>
    <row r="9907">
      <c r="B9907" s="223" t="s">
        <v>200</v>
      </c>
      <c r="C9907" s="223"/>
      <c r="D9907" s="316"/>
      <c r="H9907" s="223">
        <v>0.0</v>
      </c>
      <c r="K9907" s="317"/>
    </row>
    <row r="9908">
      <c r="B9908" s="223" t="s">
        <v>200</v>
      </c>
      <c r="C9908" s="223"/>
      <c r="D9908" s="316"/>
      <c r="H9908" s="223">
        <v>0.0</v>
      </c>
      <c r="K9908" s="317"/>
    </row>
    <row r="9909">
      <c r="B9909" s="223" t="s">
        <v>200</v>
      </c>
      <c r="C9909" s="223"/>
      <c r="D9909" s="316"/>
      <c r="H9909" s="223">
        <v>0.0</v>
      </c>
      <c r="K9909" s="317"/>
    </row>
    <row r="9910">
      <c r="B9910" s="223" t="s">
        <v>200</v>
      </c>
      <c r="C9910" s="223"/>
      <c r="D9910" s="316"/>
      <c r="H9910" s="223">
        <v>0.0</v>
      </c>
      <c r="K9910" s="317"/>
    </row>
    <row r="9911">
      <c r="B9911" s="223" t="s">
        <v>200</v>
      </c>
      <c r="C9911" s="223"/>
      <c r="D9911" s="316"/>
      <c r="H9911" s="223">
        <v>0.0</v>
      </c>
      <c r="K9911" s="317"/>
    </row>
    <row r="9912">
      <c r="B9912" s="223" t="s">
        <v>200</v>
      </c>
      <c r="C9912" s="223"/>
      <c r="D9912" s="316"/>
      <c r="H9912" s="223">
        <v>0.0</v>
      </c>
      <c r="K9912" s="317"/>
    </row>
    <row r="9913">
      <c r="B9913" s="223" t="s">
        <v>200</v>
      </c>
      <c r="C9913" s="223"/>
      <c r="D9913" s="316"/>
      <c r="H9913" s="223">
        <v>0.0</v>
      </c>
      <c r="K9913" s="317"/>
    </row>
    <row r="9914">
      <c r="B9914" s="223" t="s">
        <v>200</v>
      </c>
      <c r="C9914" s="223"/>
      <c r="D9914" s="316"/>
      <c r="H9914" s="223">
        <v>0.0</v>
      </c>
      <c r="K9914" s="317"/>
    </row>
    <row r="9915">
      <c r="B9915" s="223" t="s">
        <v>200</v>
      </c>
      <c r="C9915" s="223"/>
      <c r="D9915" s="316"/>
      <c r="H9915" s="223">
        <v>0.0</v>
      </c>
      <c r="K9915" s="317"/>
    </row>
    <row r="9916">
      <c r="B9916" s="223" t="s">
        <v>200</v>
      </c>
      <c r="C9916" s="223"/>
      <c r="D9916" s="316"/>
      <c r="H9916" s="223">
        <v>0.0</v>
      </c>
      <c r="K9916" s="317"/>
    </row>
    <row r="9917">
      <c r="B9917" s="223" t="s">
        <v>200</v>
      </c>
      <c r="C9917" s="223"/>
      <c r="D9917" s="316"/>
      <c r="H9917" s="223">
        <v>0.0</v>
      </c>
      <c r="K9917" s="317"/>
    </row>
    <row r="9918">
      <c r="B9918" s="223" t="s">
        <v>200</v>
      </c>
      <c r="C9918" s="223"/>
      <c r="D9918" s="316"/>
      <c r="H9918" s="223">
        <v>0.0</v>
      </c>
      <c r="K9918" s="317"/>
    </row>
    <row r="9919">
      <c r="B9919" s="223" t="s">
        <v>200</v>
      </c>
      <c r="C9919" s="223"/>
      <c r="D9919" s="316"/>
      <c r="H9919" s="223">
        <v>0.0</v>
      </c>
      <c r="K9919" s="317"/>
    </row>
    <row r="9920">
      <c r="B9920" s="223" t="s">
        <v>200</v>
      </c>
      <c r="C9920" s="223"/>
      <c r="D9920" s="316"/>
      <c r="H9920" s="223">
        <v>0.0</v>
      </c>
      <c r="K9920" s="317"/>
    </row>
    <row r="9921">
      <c r="B9921" s="223" t="s">
        <v>200</v>
      </c>
      <c r="C9921" s="223"/>
      <c r="D9921" s="316"/>
      <c r="H9921" s="223">
        <v>0.0</v>
      </c>
      <c r="K9921" s="317"/>
    </row>
    <row r="9922">
      <c r="B9922" s="223" t="s">
        <v>200</v>
      </c>
      <c r="C9922" s="223"/>
      <c r="D9922" s="316"/>
      <c r="H9922" s="223">
        <v>0.0</v>
      </c>
      <c r="K9922" s="317"/>
    </row>
    <row r="9923">
      <c r="B9923" s="223" t="s">
        <v>200</v>
      </c>
      <c r="C9923" s="223"/>
      <c r="D9923" s="316"/>
      <c r="H9923" s="223">
        <v>0.0</v>
      </c>
      <c r="K9923" s="317"/>
    </row>
    <row r="9924">
      <c r="B9924" s="223" t="s">
        <v>200</v>
      </c>
      <c r="C9924" s="223"/>
      <c r="D9924" s="316"/>
      <c r="H9924" s="223">
        <v>0.0</v>
      </c>
      <c r="K9924" s="317"/>
    </row>
    <row r="9925">
      <c r="B9925" s="223" t="s">
        <v>200</v>
      </c>
      <c r="C9925" s="223"/>
      <c r="D9925" s="316"/>
      <c r="H9925" s="223">
        <v>0.0</v>
      </c>
      <c r="K9925" s="317"/>
    </row>
    <row r="9926">
      <c r="B9926" s="223" t="s">
        <v>200</v>
      </c>
      <c r="C9926" s="223"/>
      <c r="D9926" s="316"/>
      <c r="H9926" s="223">
        <v>0.0</v>
      </c>
      <c r="K9926" s="317"/>
    </row>
    <row r="9927">
      <c r="B9927" s="223" t="s">
        <v>200</v>
      </c>
      <c r="C9927" s="223"/>
      <c r="D9927" s="316"/>
      <c r="H9927" s="223">
        <v>0.0</v>
      </c>
      <c r="K9927" s="317"/>
    </row>
    <row r="9928">
      <c r="B9928" s="223" t="s">
        <v>200</v>
      </c>
      <c r="C9928" s="223"/>
      <c r="D9928" s="316"/>
      <c r="H9928" s="223">
        <v>0.0</v>
      </c>
      <c r="K9928" s="317"/>
    </row>
    <row r="9929">
      <c r="B9929" s="223" t="s">
        <v>200</v>
      </c>
      <c r="C9929" s="223"/>
      <c r="D9929" s="316"/>
      <c r="H9929" s="223">
        <v>0.0</v>
      </c>
      <c r="K9929" s="317"/>
    </row>
    <row r="9930">
      <c r="B9930" s="223" t="s">
        <v>200</v>
      </c>
      <c r="C9930" s="223"/>
      <c r="D9930" s="316"/>
      <c r="H9930" s="223">
        <v>0.0</v>
      </c>
      <c r="K9930" s="317"/>
    </row>
    <row r="9931">
      <c r="B9931" s="223" t="s">
        <v>200</v>
      </c>
      <c r="C9931" s="223"/>
      <c r="D9931" s="316"/>
      <c r="H9931" s="223">
        <v>0.0</v>
      </c>
      <c r="K9931" s="317"/>
    </row>
    <row r="9932">
      <c r="B9932" s="223" t="s">
        <v>200</v>
      </c>
      <c r="C9932" s="223"/>
      <c r="D9932" s="316"/>
      <c r="H9932" s="223">
        <v>0.0</v>
      </c>
      <c r="K9932" s="317"/>
    </row>
    <row r="9933">
      <c r="B9933" s="223" t="s">
        <v>200</v>
      </c>
      <c r="C9933" s="223"/>
      <c r="D9933" s="316"/>
      <c r="H9933" s="223">
        <v>0.0</v>
      </c>
      <c r="K9933" s="317"/>
    </row>
    <row r="9934">
      <c r="B9934" s="223" t="s">
        <v>200</v>
      </c>
      <c r="C9934" s="223"/>
      <c r="D9934" s="316"/>
      <c r="H9934" s="223">
        <v>0.0</v>
      </c>
      <c r="K9934" s="317"/>
    </row>
    <row r="9935">
      <c r="B9935" s="223" t="s">
        <v>200</v>
      </c>
      <c r="C9935" s="223"/>
      <c r="D9935" s="316"/>
      <c r="H9935" s="223">
        <v>0.0</v>
      </c>
      <c r="K9935" s="317"/>
    </row>
    <row r="9936">
      <c r="B9936" s="223" t="s">
        <v>200</v>
      </c>
      <c r="C9936" s="223"/>
      <c r="D9936" s="316"/>
      <c r="H9936" s="223">
        <v>0.0</v>
      </c>
      <c r="K9936" s="317"/>
    </row>
    <row r="9937">
      <c r="B9937" s="223" t="s">
        <v>200</v>
      </c>
      <c r="C9937" s="223"/>
      <c r="D9937" s="316"/>
      <c r="H9937" s="223">
        <v>0.0</v>
      </c>
      <c r="K9937" s="317"/>
    </row>
    <row r="9938">
      <c r="B9938" s="223" t="s">
        <v>200</v>
      </c>
      <c r="C9938" s="223"/>
      <c r="D9938" s="316"/>
      <c r="H9938" s="223">
        <v>0.0</v>
      </c>
      <c r="K9938" s="317"/>
    </row>
    <row r="9939">
      <c r="B9939" s="223" t="s">
        <v>200</v>
      </c>
      <c r="C9939" s="223"/>
      <c r="D9939" s="316"/>
      <c r="H9939" s="223">
        <v>0.0</v>
      </c>
      <c r="K9939" s="317"/>
    </row>
    <row r="9940">
      <c r="B9940" s="223" t="s">
        <v>200</v>
      </c>
      <c r="C9940" s="223"/>
      <c r="D9940" s="316"/>
      <c r="H9940" s="223">
        <v>0.0</v>
      </c>
      <c r="K9940" s="317"/>
    </row>
    <row r="9941">
      <c r="B9941" s="223" t="s">
        <v>200</v>
      </c>
      <c r="C9941" s="223"/>
      <c r="D9941" s="316"/>
      <c r="H9941" s="223">
        <v>0.0</v>
      </c>
      <c r="K9941" s="317"/>
    </row>
    <row r="9942">
      <c r="B9942" s="223" t="s">
        <v>200</v>
      </c>
      <c r="C9942" s="223"/>
      <c r="D9942" s="316"/>
      <c r="H9942" s="223">
        <v>0.0</v>
      </c>
      <c r="K9942" s="317"/>
    </row>
    <row r="9943">
      <c r="B9943" s="223" t="s">
        <v>200</v>
      </c>
      <c r="C9943" s="223"/>
      <c r="D9943" s="316"/>
      <c r="H9943" s="223">
        <v>0.0</v>
      </c>
      <c r="K9943" s="317"/>
    </row>
    <row r="9944">
      <c r="B9944" s="223" t="s">
        <v>200</v>
      </c>
      <c r="C9944" s="223"/>
      <c r="D9944" s="316"/>
      <c r="H9944" s="223">
        <v>0.0</v>
      </c>
      <c r="K9944" s="317"/>
    </row>
    <row r="9945">
      <c r="B9945" s="223" t="s">
        <v>200</v>
      </c>
      <c r="C9945" s="223"/>
      <c r="D9945" s="316"/>
      <c r="H9945" s="223">
        <v>0.0</v>
      </c>
      <c r="K9945" s="317"/>
    </row>
    <row r="9946">
      <c r="B9946" s="223" t="s">
        <v>200</v>
      </c>
      <c r="C9946" s="223"/>
      <c r="D9946" s="316"/>
      <c r="H9946" s="223">
        <v>0.0</v>
      </c>
      <c r="K9946" s="317"/>
    </row>
    <row r="9947">
      <c r="B9947" s="223" t="s">
        <v>200</v>
      </c>
      <c r="C9947" s="223"/>
      <c r="D9947" s="316"/>
      <c r="H9947" s="223">
        <v>0.0</v>
      </c>
      <c r="K9947" s="317"/>
    </row>
    <row r="9948">
      <c r="B9948" s="223" t="s">
        <v>200</v>
      </c>
      <c r="C9948" s="223"/>
      <c r="D9948" s="316"/>
      <c r="H9948" s="223">
        <v>0.0</v>
      </c>
      <c r="K9948" s="317"/>
    </row>
    <row r="9949">
      <c r="B9949" s="223" t="s">
        <v>200</v>
      </c>
      <c r="C9949" s="223"/>
      <c r="D9949" s="316"/>
      <c r="H9949" s="223">
        <v>0.0</v>
      </c>
      <c r="K9949" s="317"/>
    </row>
    <row r="9950">
      <c r="B9950" s="223" t="s">
        <v>200</v>
      </c>
      <c r="C9950" s="223"/>
      <c r="D9950" s="316"/>
      <c r="H9950" s="223">
        <v>0.0</v>
      </c>
      <c r="K9950" s="317"/>
    </row>
    <row r="9951">
      <c r="B9951" s="223" t="s">
        <v>200</v>
      </c>
      <c r="C9951" s="223"/>
      <c r="D9951" s="316"/>
      <c r="H9951" s="223">
        <v>0.0</v>
      </c>
      <c r="K9951" s="317"/>
    </row>
    <row r="9952">
      <c r="B9952" s="223" t="s">
        <v>200</v>
      </c>
      <c r="C9952" s="223"/>
      <c r="D9952" s="316"/>
      <c r="H9952" s="223">
        <v>0.0</v>
      </c>
      <c r="K9952" s="317"/>
    </row>
    <row r="9953">
      <c r="B9953" s="223" t="s">
        <v>200</v>
      </c>
      <c r="C9953" s="223"/>
      <c r="D9953" s="316"/>
      <c r="H9953" s="223">
        <v>0.0</v>
      </c>
      <c r="K9953" s="317"/>
    </row>
    <row r="9954">
      <c r="B9954" s="223" t="s">
        <v>200</v>
      </c>
      <c r="C9954" s="223"/>
      <c r="D9954" s="316"/>
      <c r="H9954" s="223">
        <v>0.0</v>
      </c>
      <c r="K9954" s="317"/>
    </row>
    <row r="9955">
      <c r="B9955" s="223" t="s">
        <v>200</v>
      </c>
      <c r="C9955" s="223"/>
      <c r="D9955" s="316"/>
      <c r="H9955" s="223">
        <v>0.0</v>
      </c>
      <c r="K9955" s="317"/>
    </row>
    <row r="9956">
      <c r="B9956" s="223" t="s">
        <v>200</v>
      </c>
      <c r="C9956" s="223"/>
      <c r="D9956" s="316"/>
      <c r="H9956" s="223">
        <v>0.0</v>
      </c>
      <c r="K9956" s="317"/>
    </row>
    <row r="9957">
      <c r="B9957" s="223" t="s">
        <v>200</v>
      </c>
      <c r="C9957" s="223"/>
      <c r="D9957" s="316"/>
      <c r="H9957" s="223">
        <v>0.0</v>
      </c>
      <c r="K9957" s="317"/>
    </row>
    <row r="9958">
      <c r="B9958" s="223" t="s">
        <v>200</v>
      </c>
      <c r="C9958" s="223"/>
      <c r="D9958" s="316"/>
      <c r="H9958" s="223">
        <v>0.0</v>
      </c>
      <c r="K9958" s="317"/>
    </row>
    <row r="9959">
      <c r="B9959" s="223" t="s">
        <v>200</v>
      </c>
      <c r="C9959" s="223"/>
      <c r="D9959" s="316"/>
      <c r="H9959" s="223">
        <v>0.0</v>
      </c>
      <c r="K9959" s="317"/>
    </row>
    <row r="9960">
      <c r="B9960" s="223" t="s">
        <v>200</v>
      </c>
      <c r="C9960" s="223"/>
      <c r="D9960" s="316"/>
      <c r="H9960" s="223">
        <v>0.0</v>
      </c>
      <c r="K9960" s="317"/>
    </row>
    <row r="9961">
      <c r="B9961" s="223" t="s">
        <v>200</v>
      </c>
      <c r="C9961" s="223"/>
      <c r="D9961" s="316"/>
      <c r="H9961" s="223">
        <v>0.0</v>
      </c>
      <c r="K9961" s="317"/>
    </row>
    <row r="9962">
      <c r="B9962" s="223" t="s">
        <v>200</v>
      </c>
      <c r="C9962" s="223"/>
      <c r="D9962" s="316"/>
      <c r="H9962" s="223">
        <v>0.0</v>
      </c>
      <c r="K9962" s="317"/>
    </row>
    <row r="9963">
      <c r="B9963" s="223" t="s">
        <v>200</v>
      </c>
      <c r="C9963" s="223"/>
      <c r="D9963" s="316"/>
      <c r="H9963" s="223">
        <v>0.0</v>
      </c>
      <c r="K9963" s="317"/>
    </row>
    <row r="9964">
      <c r="B9964" s="223" t="s">
        <v>200</v>
      </c>
      <c r="C9964" s="223"/>
      <c r="D9964" s="316"/>
      <c r="H9964" s="223">
        <v>0.0</v>
      </c>
      <c r="K9964" s="317"/>
    </row>
    <row r="9965">
      <c r="B9965" s="223" t="s">
        <v>200</v>
      </c>
      <c r="C9965" s="223"/>
      <c r="D9965" s="316"/>
      <c r="H9965" s="223">
        <v>0.0</v>
      </c>
      <c r="K9965" s="317"/>
    </row>
    <row r="9966">
      <c r="B9966" s="223" t="s">
        <v>200</v>
      </c>
      <c r="C9966" s="223"/>
      <c r="D9966" s="316"/>
      <c r="H9966" s="223">
        <v>0.0</v>
      </c>
      <c r="K9966" s="317"/>
    </row>
    <row r="9967">
      <c r="B9967" s="223" t="s">
        <v>200</v>
      </c>
      <c r="C9967" s="223"/>
      <c r="D9967" s="316"/>
      <c r="H9967" s="223">
        <v>0.0</v>
      </c>
      <c r="K9967" s="317"/>
    </row>
    <row r="9968">
      <c r="B9968" s="223" t="s">
        <v>200</v>
      </c>
      <c r="C9968" s="223"/>
      <c r="D9968" s="316"/>
      <c r="H9968" s="223">
        <v>0.0</v>
      </c>
      <c r="K9968" s="317"/>
    </row>
    <row r="9969">
      <c r="B9969" s="223" t="s">
        <v>200</v>
      </c>
      <c r="C9969" s="223"/>
      <c r="D9969" s="316"/>
      <c r="H9969" s="223">
        <v>0.0</v>
      </c>
      <c r="K9969" s="317"/>
    </row>
    <row r="9970">
      <c r="B9970" s="223" t="s">
        <v>200</v>
      </c>
      <c r="C9970" s="223"/>
      <c r="D9970" s="316"/>
      <c r="H9970" s="223">
        <v>0.0</v>
      </c>
      <c r="K9970" s="317"/>
    </row>
    <row r="9971">
      <c r="B9971" s="223" t="s">
        <v>200</v>
      </c>
      <c r="C9971" s="223"/>
      <c r="D9971" s="316"/>
      <c r="H9971" s="223">
        <v>0.0</v>
      </c>
      <c r="K9971" s="317"/>
    </row>
    <row r="9972">
      <c r="B9972" s="223" t="s">
        <v>200</v>
      </c>
      <c r="C9972" s="223"/>
      <c r="D9972" s="316"/>
      <c r="H9972" s="223">
        <v>0.0</v>
      </c>
      <c r="K9972" s="317"/>
    </row>
    <row r="9973">
      <c r="B9973" s="223" t="s">
        <v>200</v>
      </c>
      <c r="C9973" s="223"/>
      <c r="D9973" s="316"/>
      <c r="H9973" s="223">
        <v>0.0</v>
      </c>
      <c r="K9973" s="317"/>
    </row>
    <row r="9974">
      <c r="B9974" s="223" t="s">
        <v>200</v>
      </c>
      <c r="C9974" s="223"/>
      <c r="D9974" s="316"/>
      <c r="H9974" s="223">
        <v>0.0</v>
      </c>
      <c r="K9974" s="317"/>
    </row>
    <row r="9975">
      <c r="B9975" s="223" t="s">
        <v>200</v>
      </c>
      <c r="C9975" s="223"/>
      <c r="D9975" s="316"/>
      <c r="H9975" s="223">
        <v>0.0</v>
      </c>
      <c r="K9975" s="317"/>
    </row>
    <row r="9976">
      <c r="B9976" s="223" t="s">
        <v>200</v>
      </c>
      <c r="C9976" s="223"/>
      <c r="D9976" s="316"/>
      <c r="H9976" s="223">
        <v>0.0</v>
      </c>
      <c r="K9976" s="317"/>
    </row>
    <row r="9977">
      <c r="B9977" s="223" t="s">
        <v>200</v>
      </c>
      <c r="C9977" s="223"/>
      <c r="D9977" s="316"/>
      <c r="H9977" s="223">
        <v>0.0</v>
      </c>
      <c r="K9977" s="317"/>
    </row>
    <row r="9978">
      <c r="B9978" s="223" t="s">
        <v>200</v>
      </c>
      <c r="C9978" s="223"/>
      <c r="D9978" s="316"/>
      <c r="H9978" s="223">
        <v>0.0</v>
      </c>
      <c r="K9978" s="317"/>
    </row>
    <row r="9979">
      <c r="B9979" s="223" t="s">
        <v>200</v>
      </c>
      <c r="C9979" s="223"/>
      <c r="D9979" s="316"/>
      <c r="H9979" s="223">
        <v>0.0</v>
      </c>
      <c r="K9979" s="317"/>
    </row>
    <row r="9980">
      <c r="B9980" s="223" t="s">
        <v>200</v>
      </c>
      <c r="C9980" s="223"/>
      <c r="D9980" s="316"/>
      <c r="H9980" s="223">
        <v>0.0</v>
      </c>
      <c r="K9980" s="317"/>
    </row>
    <row r="9981">
      <c r="B9981" s="223" t="s">
        <v>200</v>
      </c>
      <c r="C9981" s="223"/>
      <c r="D9981" s="316"/>
      <c r="H9981" s="223">
        <v>0.0</v>
      </c>
      <c r="K9981" s="317"/>
    </row>
    <row r="9982">
      <c r="B9982" s="223" t="s">
        <v>200</v>
      </c>
      <c r="C9982" s="223"/>
      <c r="D9982" s="316"/>
      <c r="H9982" s="223">
        <v>0.0</v>
      </c>
      <c r="K9982" s="317"/>
    </row>
    <row r="9983">
      <c r="B9983" s="223" t="s">
        <v>200</v>
      </c>
      <c r="C9983" s="223"/>
      <c r="D9983" s="316"/>
      <c r="H9983" s="223">
        <v>0.0</v>
      </c>
      <c r="K9983" s="317"/>
    </row>
    <row r="9984">
      <c r="B9984" s="223" t="s">
        <v>200</v>
      </c>
      <c r="C9984" s="223"/>
      <c r="D9984" s="316"/>
      <c r="H9984" s="223">
        <v>0.0</v>
      </c>
      <c r="K9984" s="317"/>
    </row>
    <row r="9985">
      <c r="B9985" s="223" t="s">
        <v>200</v>
      </c>
      <c r="C9985" s="223"/>
      <c r="D9985" s="316"/>
      <c r="H9985" s="223">
        <v>0.0</v>
      </c>
      <c r="K9985" s="317"/>
    </row>
    <row r="9986">
      <c r="B9986" s="223" t="s">
        <v>200</v>
      </c>
      <c r="C9986" s="223"/>
      <c r="D9986" s="316"/>
      <c r="H9986" s="223">
        <v>0.0</v>
      </c>
      <c r="K9986" s="317"/>
    </row>
    <row r="9987">
      <c r="B9987" s="223" t="s">
        <v>200</v>
      </c>
      <c r="C9987" s="223"/>
      <c r="D9987" s="316"/>
      <c r="H9987" s="223">
        <v>0.0</v>
      </c>
      <c r="K9987" s="317"/>
    </row>
    <row r="9988">
      <c r="B9988" s="223" t="s">
        <v>200</v>
      </c>
      <c r="C9988" s="223"/>
      <c r="D9988" s="316"/>
      <c r="H9988" s="223">
        <v>0.0</v>
      </c>
      <c r="K9988" s="317"/>
    </row>
    <row r="9989">
      <c r="B9989" s="223" t="s">
        <v>200</v>
      </c>
      <c r="C9989" s="223"/>
      <c r="D9989" s="316"/>
      <c r="H9989" s="223">
        <v>0.0</v>
      </c>
      <c r="K9989" s="317"/>
    </row>
    <row r="9990">
      <c r="B9990" s="223" t="s">
        <v>200</v>
      </c>
      <c r="C9990" s="223"/>
      <c r="D9990" s="316"/>
      <c r="H9990" s="223">
        <v>0.0</v>
      </c>
      <c r="K9990" s="317"/>
    </row>
    <row r="9991">
      <c r="B9991" s="223" t="s">
        <v>200</v>
      </c>
      <c r="C9991" s="223"/>
      <c r="D9991" s="316"/>
      <c r="H9991" s="223">
        <v>0.0</v>
      </c>
      <c r="K9991" s="317"/>
    </row>
    <row r="9992">
      <c r="B9992" s="223" t="s">
        <v>200</v>
      </c>
      <c r="C9992" s="223"/>
      <c r="D9992" s="316"/>
      <c r="H9992" s="223">
        <v>0.0</v>
      </c>
      <c r="K9992" s="317"/>
    </row>
    <row r="9993">
      <c r="B9993" s="223" t="s">
        <v>200</v>
      </c>
      <c r="C9993" s="223"/>
      <c r="D9993" s="316"/>
      <c r="H9993" s="223">
        <v>0.0</v>
      </c>
      <c r="K9993" s="317"/>
    </row>
    <row r="9994">
      <c r="B9994" s="223" t="s">
        <v>200</v>
      </c>
      <c r="C9994" s="223"/>
      <c r="D9994" s="316"/>
      <c r="H9994" s="223">
        <v>0.0</v>
      </c>
      <c r="K9994" s="317"/>
    </row>
    <row r="9995">
      <c r="B9995" s="223" t="s">
        <v>200</v>
      </c>
      <c r="C9995" s="223"/>
      <c r="D9995" s="316"/>
      <c r="H9995" s="223">
        <v>0.0</v>
      </c>
      <c r="K9995" s="317"/>
    </row>
    <row r="9996">
      <c r="B9996" s="223" t="s">
        <v>200</v>
      </c>
      <c r="C9996" s="223"/>
      <c r="D9996" s="316"/>
      <c r="H9996" s="223">
        <v>0.0</v>
      </c>
      <c r="K9996" s="317"/>
    </row>
    <row r="9997">
      <c r="B9997" s="223" t="s">
        <v>200</v>
      </c>
      <c r="C9997" s="223"/>
      <c r="D9997" s="316"/>
      <c r="H9997" s="223">
        <v>0.0</v>
      </c>
      <c r="K9997" s="317"/>
    </row>
    <row r="9998">
      <c r="B9998" s="223" t="s">
        <v>200</v>
      </c>
      <c r="C9998" s="223"/>
      <c r="D9998" s="316"/>
      <c r="H9998" s="223">
        <v>0.0</v>
      </c>
      <c r="K9998" s="317"/>
    </row>
    <row r="9999">
      <c r="B9999" s="223" t="s">
        <v>200</v>
      </c>
      <c r="C9999" s="223"/>
      <c r="D9999" s="316"/>
      <c r="H9999" s="223">
        <v>0.0</v>
      </c>
      <c r="K9999" s="317"/>
    </row>
    <row r="10000">
      <c r="B10000" s="223" t="s">
        <v>200</v>
      </c>
      <c r="C10000" s="223"/>
      <c r="D10000" s="316"/>
      <c r="H10000" s="223">
        <v>0.0</v>
      </c>
      <c r="K10000" s="317"/>
    </row>
  </sheetData>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41.5"/>
    <col customWidth="1" min="2" max="13" width="10.25"/>
    <col hidden="1" min="14" max="26" width="12.63"/>
  </cols>
  <sheetData>
    <row r="1">
      <c r="A1" s="223" t="str">
        <f>Std_Rev!A1</f>
        <v>Project ID</v>
      </c>
      <c r="B1" s="223" t="str">
        <f>Std_Rev!B1</f>
        <v>Client</v>
      </c>
      <c r="C1" s="223" t="str">
        <f>Std_Rev!C1</f>
        <v>Project</v>
      </c>
      <c r="D1" s="316" t="str">
        <f>Std_Rev!D1</f>
        <v>Transaction Date</v>
      </c>
      <c r="E1" s="223" t="str">
        <f>Std_Rev!E1</f>
        <v>Revenue</v>
      </c>
      <c r="F1" s="223" t="str">
        <f>Std_Rev!F1</f>
        <v>Transaction Fee</v>
      </c>
      <c r="G1" s="223" t="str">
        <f>Std_Rev!G1</f>
        <v>Commission</v>
      </c>
      <c r="H1" s="223" t="str">
        <f>Std_Rev!H1</f>
        <v>Net Revenue</v>
      </c>
      <c r="I1" s="223" t="str">
        <f>Std_Rev!I1</f>
        <v>Expense</v>
      </c>
      <c r="J1" s="223" t="str">
        <f>Std_Rev!J1</f>
        <v>Type</v>
      </c>
      <c r="K1" s="319" t="str">
        <f>Std_Rev!K1</f>
        <v>Relevant Period</v>
      </c>
      <c r="L1" s="218" t="str">
        <f>Std_Rev!L1</f>
        <v>Ad Spend</v>
      </c>
      <c r="M1" s="223" t="str">
        <f>Std_Rev!M1</f>
        <v/>
      </c>
      <c r="N1" s="223" t="str">
        <f>Std_Rev!N1</f>
        <v/>
      </c>
      <c r="O1" s="223" t="str">
        <f>Std_Rev!O1</f>
        <v/>
      </c>
      <c r="P1" s="223" t="str">
        <f>Std_Rev!P1</f>
        <v/>
      </c>
      <c r="Q1" s="223" t="str">
        <f>Std_Rev!Q1</f>
        <v/>
      </c>
      <c r="R1" s="223" t="str">
        <f>Std_Rev!R1</f>
        <v/>
      </c>
      <c r="S1" s="223" t="str">
        <f>Std_Rev!S1</f>
        <v/>
      </c>
      <c r="T1" s="223" t="str">
        <f>Std_Rev!T1</f>
        <v/>
      </c>
      <c r="U1" s="223" t="str">
        <f>Std_Rev!U1</f>
        <v/>
      </c>
      <c r="V1" s="223" t="str">
        <f>Std_Rev!V1</f>
        <v/>
      </c>
      <c r="W1" s="223" t="str">
        <f>Std_Rev!W1</f>
        <v/>
      </c>
      <c r="X1" s="223" t="str">
        <f>Std_Rev!X1</f>
        <v/>
      </c>
      <c r="Y1" s="223" t="str">
        <f>Std_Rev!Y1</f>
        <v/>
      </c>
      <c r="Z1" s="223" t="str">
        <f>Std_Rev!Z1</f>
        <v/>
      </c>
    </row>
    <row r="2">
      <c r="A2" s="223" t="str">
        <f t="array" ref="A2:A1975">Expenses!A2:A10000</f>
        <v>PMDI : Grant Program</v>
      </c>
      <c r="B2" s="105" t="str">
        <f t="array" ref="B2:B10000">iferror(trim(left(A2:A10000,find(":",A2:A10000)-1)),"")</f>
        <v>PMDI</v>
      </c>
      <c r="C2" s="105" t="str">
        <f t="array" ref="C2:C10000">iferror(trim(MID(A2:A10000,find(":",A2:A10000)+1,99)),"")</f>
        <v>Grant Program</v>
      </c>
      <c r="D2" s="320">
        <f t="array" ref="D2:D1975">Expenses!D2:D10000</f>
        <v>44228</v>
      </c>
      <c r="I2" s="218">
        <f t="array" ref="I2:I1975">Expenses!C2:C10000</f>
        <v>500.87</v>
      </c>
      <c r="J2" s="105" t="str">
        <f t="array" ref="J2:J1975">Expenses!G2:G10000</f>
        <v>Fixed Project</v>
      </c>
      <c r="K2" s="321">
        <f t="array" ref="K2:K1975">Expenses!F2:F10000</f>
        <v>2021</v>
      </c>
      <c r="L2" s="218">
        <f t="array" ref="L2:L1975">IF(Expenses!I2:I10000="Client Advertising Spend",I2:I10000,"")</f>
        <v>500.87</v>
      </c>
    </row>
    <row r="3">
      <c r="A3" s="223" t="s">
        <v>88</v>
      </c>
      <c r="B3" s="223" t="s">
        <v>1256</v>
      </c>
      <c r="C3" s="223" t="s">
        <v>1156</v>
      </c>
      <c r="D3" s="320">
        <v>44530.0</v>
      </c>
      <c r="I3" s="218">
        <v>212.5</v>
      </c>
      <c r="J3" s="223" t="s">
        <v>52</v>
      </c>
      <c r="K3" s="319">
        <v>2021.11</v>
      </c>
      <c r="L3" s="218" t="s">
        <v>200</v>
      </c>
    </row>
    <row r="4">
      <c r="A4" s="223" t="s">
        <v>147</v>
      </c>
      <c r="B4" s="223" t="s">
        <v>1194</v>
      </c>
      <c r="C4" s="223" t="s">
        <v>1156</v>
      </c>
      <c r="D4" s="320">
        <v>44530.0</v>
      </c>
      <c r="I4" s="218">
        <v>200.0</v>
      </c>
      <c r="J4" s="223" t="s">
        <v>52</v>
      </c>
      <c r="K4" s="319">
        <v>2021.11</v>
      </c>
      <c r="L4" s="218" t="s">
        <v>200</v>
      </c>
    </row>
    <row r="5">
      <c r="A5" s="223" t="s">
        <v>99</v>
      </c>
      <c r="B5" s="223" t="s">
        <v>1192</v>
      </c>
      <c r="C5" s="223" t="s">
        <v>1156</v>
      </c>
      <c r="D5" s="320">
        <v>44530.0</v>
      </c>
      <c r="I5" s="218">
        <v>125.0</v>
      </c>
      <c r="J5" s="223" t="s">
        <v>52</v>
      </c>
      <c r="K5" s="319">
        <v>2021.11</v>
      </c>
      <c r="L5" s="218" t="s">
        <v>200</v>
      </c>
    </row>
    <row r="6">
      <c r="A6" s="223" t="s">
        <v>73</v>
      </c>
      <c r="B6" s="223" t="s">
        <v>1327</v>
      </c>
      <c r="C6" s="223" t="s">
        <v>1156</v>
      </c>
      <c r="D6" s="320">
        <v>44530.0</v>
      </c>
      <c r="I6" s="218">
        <v>250.0</v>
      </c>
      <c r="J6" s="223" t="s">
        <v>52</v>
      </c>
      <c r="K6" s="319">
        <v>2021.11</v>
      </c>
      <c r="L6" s="218" t="s">
        <v>200</v>
      </c>
    </row>
    <row r="7">
      <c r="A7" s="223" t="s">
        <v>77</v>
      </c>
      <c r="B7" s="223" t="s">
        <v>1155</v>
      </c>
      <c r="C7" s="223" t="s">
        <v>1156</v>
      </c>
      <c r="D7" s="320">
        <v>44530.0</v>
      </c>
      <c r="I7" s="218">
        <v>187.5</v>
      </c>
      <c r="J7" s="223" t="s">
        <v>52</v>
      </c>
      <c r="K7" s="319">
        <v>2021.11</v>
      </c>
      <c r="L7" s="218" t="s">
        <v>200</v>
      </c>
    </row>
    <row r="8">
      <c r="A8" s="223" t="s">
        <v>79</v>
      </c>
      <c r="B8" s="223" t="s">
        <v>1238</v>
      </c>
      <c r="C8" s="223" t="s">
        <v>1156</v>
      </c>
      <c r="D8" s="320">
        <v>44530.0</v>
      </c>
      <c r="I8" s="218">
        <v>250.0</v>
      </c>
      <c r="J8" s="223" t="s">
        <v>52</v>
      </c>
      <c r="K8" s="319">
        <v>2021.11</v>
      </c>
      <c r="L8" s="218" t="s">
        <v>200</v>
      </c>
    </row>
    <row r="9">
      <c r="A9" s="223" t="s">
        <v>82</v>
      </c>
      <c r="B9" s="223" t="s">
        <v>1124</v>
      </c>
      <c r="C9" s="223" t="s">
        <v>1156</v>
      </c>
      <c r="D9" s="320">
        <v>44530.0</v>
      </c>
      <c r="I9" s="218">
        <v>300.0</v>
      </c>
      <c r="J9" s="223" t="s">
        <v>52</v>
      </c>
      <c r="K9" s="319">
        <v>2021.11</v>
      </c>
      <c r="L9" s="218" t="s">
        <v>200</v>
      </c>
    </row>
    <row r="10">
      <c r="A10" s="223" t="s">
        <v>58</v>
      </c>
      <c r="B10" s="223" t="s">
        <v>1197</v>
      </c>
      <c r="C10" s="223" t="s">
        <v>1156</v>
      </c>
      <c r="D10" s="320">
        <v>44530.0</v>
      </c>
      <c r="I10" s="218">
        <v>400.0</v>
      </c>
      <c r="J10" s="223" t="s">
        <v>52</v>
      </c>
      <c r="K10" s="319">
        <v>2021.11</v>
      </c>
      <c r="L10" s="218" t="s">
        <v>200</v>
      </c>
    </row>
    <row r="11">
      <c r="A11" s="223" t="s">
        <v>42</v>
      </c>
      <c r="B11" s="223" t="s">
        <v>1236</v>
      </c>
      <c r="C11" s="223" t="s">
        <v>1156</v>
      </c>
      <c r="D11" s="320">
        <v>44530.0</v>
      </c>
      <c r="I11" s="218">
        <v>322.5</v>
      </c>
      <c r="J11" s="223" t="s">
        <v>52</v>
      </c>
      <c r="K11" s="319">
        <v>2021.11</v>
      </c>
      <c r="L11" s="218" t="s">
        <v>200</v>
      </c>
    </row>
    <row r="12">
      <c r="A12" s="223" t="s">
        <v>1274</v>
      </c>
      <c r="B12" s="223" t="s">
        <v>1275</v>
      </c>
      <c r="C12" s="223" t="s">
        <v>1175</v>
      </c>
      <c r="D12" s="320">
        <v>44530.0</v>
      </c>
      <c r="I12" s="218">
        <v>167.5</v>
      </c>
      <c r="J12" s="223" t="s">
        <v>1160</v>
      </c>
      <c r="K12" s="319">
        <v>2021.0</v>
      </c>
      <c r="L12" s="218" t="s">
        <v>200</v>
      </c>
    </row>
    <row r="13">
      <c r="A13" s="223" t="s">
        <v>77</v>
      </c>
      <c r="B13" s="223" t="s">
        <v>1155</v>
      </c>
      <c r="C13" s="223" t="s">
        <v>1156</v>
      </c>
      <c r="D13" s="320">
        <v>44530.0</v>
      </c>
      <c r="I13" s="218">
        <v>45.0</v>
      </c>
      <c r="J13" s="223" t="s">
        <v>52</v>
      </c>
      <c r="K13" s="319">
        <v>2021.11</v>
      </c>
      <c r="L13" s="218" t="s">
        <v>200</v>
      </c>
    </row>
    <row r="14">
      <c r="A14" s="223" t="s">
        <v>73</v>
      </c>
      <c r="B14" s="223" t="s">
        <v>1327</v>
      </c>
      <c r="C14" s="223" t="s">
        <v>1156</v>
      </c>
      <c r="D14" s="320">
        <v>44530.0</v>
      </c>
      <c r="I14" s="218">
        <v>60.0</v>
      </c>
      <c r="J14" s="223" t="s">
        <v>52</v>
      </c>
      <c r="K14" s="319">
        <v>2021.11</v>
      </c>
      <c r="L14" s="218" t="s">
        <v>200</v>
      </c>
    </row>
    <row r="15">
      <c r="A15" s="223" t="s">
        <v>123</v>
      </c>
      <c r="B15" s="223" t="s">
        <v>1300</v>
      </c>
      <c r="C15" s="223" t="s">
        <v>1156</v>
      </c>
      <c r="D15" s="320">
        <v>44530.0</v>
      </c>
      <c r="I15" s="218">
        <v>587.5</v>
      </c>
      <c r="J15" s="223" t="s">
        <v>52</v>
      </c>
      <c r="K15" s="319">
        <v>2021.11</v>
      </c>
      <c r="L15" s="218" t="s">
        <v>200</v>
      </c>
    </row>
    <row r="16">
      <c r="A16" s="223" t="s">
        <v>68</v>
      </c>
      <c r="B16" s="223" t="s">
        <v>1178</v>
      </c>
      <c r="C16" s="223" t="s">
        <v>1156</v>
      </c>
      <c r="D16" s="320">
        <v>44530.0</v>
      </c>
      <c r="I16" s="218">
        <v>297.5</v>
      </c>
      <c r="J16" s="223" t="s">
        <v>52</v>
      </c>
      <c r="K16" s="319">
        <v>2021.11</v>
      </c>
      <c r="L16" s="218" t="s">
        <v>200</v>
      </c>
    </row>
    <row r="17">
      <c r="A17" s="223" t="s">
        <v>99</v>
      </c>
      <c r="B17" s="223" t="s">
        <v>1192</v>
      </c>
      <c r="C17" s="223" t="s">
        <v>1156</v>
      </c>
      <c r="D17" s="320">
        <v>44530.0</v>
      </c>
      <c r="I17" s="218">
        <v>495.0</v>
      </c>
      <c r="J17" s="223" t="s">
        <v>52</v>
      </c>
      <c r="K17" s="319">
        <v>2021.11</v>
      </c>
      <c r="L17" s="218" t="s">
        <v>200</v>
      </c>
    </row>
    <row r="18">
      <c r="A18" s="223" t="s">
        <v>97</v>
      </c>
      <c r="B18" s="223" t="s">
        <v>1286</v>
      </c>
      <c r="C18" s="223" t="s">
        <v>1156</v>
      </c>
      <c r="D18" s="320">
        <v>44530.0</v>
      </c>
      <c r="I18" s="218">
        <v>30.0</v>
      </c>
      <c r="J18" s="223" t="s">
        <v>52</v>
      </c>
      <c r="K18" s="319">
        <v>2021.11</v>
      </c>
      <c r="L18" s="218" t="s">
        <v>200</v>
      </c>
    </row>
    <row r="19">
      <c r="A19" s="223" t="s">
        <v>62</v>
      </c>
      <c r="B19" s="223" t="s">
        <v>1304</v>
      </c>
      <c r="C19" s="223" t="s">
        <v>1156</v>
      </c>
      <c r="D19" s="320">
        <v>44530.0</v>
      </c>
      <c r="I19" s="218">
        <v>350.0</v>
      </c>
      <c r="J19" s="223" t="s">
        <v>52</v>
      </c>
      <c r="K19" s="319">
        <v>2021.11</v>
      </c>
      <c r="L19" s="218" t="s">
        <v>200</v>
      </c>
    </row>
    <row r="20">
      <c r="A20" s="223" t="s">
        <v>64</v>
      </c>
      <c r="B20" s="223" t="s">
        <v>1245</v>
      </c>
      <c r="C20" s="223" t="s">
        <v>1156</v>
      </c>
      <c r="D20" s="320">
        <v>44530.0</v>
      </c>
      <c r="I20" s="218">
        <v>257.5</v>
      </c>
      <c r="J20" s="223" t="s">
        <v>52</v>
      </c>
      <c r="K20" s="319">
        <v>2021.11</v>
      </c>
      <c r="L20" s="218" t="s">
        <v>200</v>
      </c>
    </row>
    <row r="21">
      <c r="A21" s="223" t="s">
        <v>151</v>
      </c>
      <c r="B21" s="223" t="s">
        <v>1262</v>
      </c>
      <c r="C21" s="223" t="s">
        <v>1156</v>
      </c>
      <c r="D21" s="320">
        <v>44530.0</v>
      </c>
      <c r="I21" s="218">
        <v>310.0</v>
      </c>
      <c r="J21" s="223" t="s">
        <v>52</v>
      </c>
      <c r="K21" s="319">
        <v>2021.11</v>
      </c>
      <c r="L21" s="218" t="s">
        <v>200</v>
      </c>
    </row>
    <row r="22">
      <c r="A22" s="223" t="s">
        <v>147</v>
      </c>
      <c r="B22" s="223" t="s">
        <v>1194</v>
      </c>
      <c r="C22" s="223" t="s">
        <v>1156</v>
      </c>
      <c r="D22" s="320">
        <v>44530.0</v>
      </c>
      <c r="I22" s="218">
        <v>75.0</v>
      </c>
      <c r="J22" s="223" t="s">
        <v>52</v>
      </c>
      <c r="K22" s="319">
        <v>2021.11</v>
      </c>
      <c r="L22" s="218" t="s">
        <v>200</v>
      </c>
    </row>
    <row r="23">
      <c r="A23" s="223" t="s">
        <v>112</v>
      </c>
      <c r="B23" s="223" t="s">
        <v>1296</v>
      </c>
      <c r="C23" s="223" t="s">
        <v>2309</v>
      </c>
      <c r="D23" s="320">
        <v>44530.0</v>
      </c>
      <c r="I23" s="218">
        <v>180.0</v>
      </c>
      <c r="J23" s="223" t="s">
        <v>52</v>
      </c>
      <c r="K23" s="319">
        <v>2021.11</v>
      </c>
      <c r="L23" s="218" t="s">
        <v>200</v>
      </c>
    </row>
    <row r="24">
      <c r="A24" s="223" t="s">
        <v>86</v>
      </c>
      <c r="B24" s="223" t="s">
        <v>1235</v>
      </c>
      <c r="C24" s="223" t="s">
        <v>1156</v>
      </c>
      <c r="D24" s="320">
        <v>44530.0</v>
      </c>
      <c r="I24" s="218">
        <v>180.0</v>
      </c>
      <c r="J24" s="223" t="s">
        <v>52</v>
      </c>
      <c r="K24" s="319">
        <v>2021.11</v>
      </c>
      <c r="L24" s="218" t="s">
        <v>200</v>
      </c>
    </row>
    <row r="25">
      <c r="A25" s="223" t="s">
        <v>88</v>
      </c>
      <c r="B25" s="223" t="s">
        <v>1256</v>
      </c>
      <c r="C25" s="223" t="s">
        <v>1156</v>
      </c>
      <c r="D25" s="320">
        <v>44530.0</v>
      </c>
      <c r="I25" s="218">
        <v>45.0</v>
      </c>
      <c r="J25" s="223" t="s">
        <v>52</v>
      </c>
      <c r="K25" s="319">
        <v>2021.11</v>
      </c>
      <c r="L25" s="218" t="s">
        <v>200</v>
      </c>
    </row>
    <row r="26">
      <c r="A26" s="223" t="s">
        <v>92</v>
      </c>
      <c r="B26" s="223" t="s">
        <v>1289</v>
      </c>
      <c r="C26" s="223" t="s">
        <v>1156</v>
      </c>
      <c r="D26" s="320">
        <v>44530.0</v>
      </c>
      <c r="I26" s="218">
        <v>575.0</v>
      </c>
      <c r="J26" s="223" t="s">
        <v>52</v>
      </c>
      <c r="K26" s="319">
        <v>2021.11</v>
      </c>
      <c r="L26" s="218" t="s">
        <v>200</v>
      </c>
    </row>
    <row r="27">
      <c r="A27" s="223" t="s">
        <v>84</v>
      </c>
      <c r="B27" s="223" t="s">
        <v>1227</v>
      </c>
      <c r="C27" s="223" t="s">
        <v>1156</v>
      </c>
      <c r="D27" s="320">
        <v>44530.0</v>
      </c>
      <c r="I27" s="218">
        <v>475.0</v>
      </c>
      <c r="J27" s="223" t="s">
        <v>52</v>
      </c>
      <c r="K27" s="319">
        <v>2021.11</v>
      </c>
      <c r="L27" s="218" t="s">
        <v>200</v>
      </c>
    </row>
    <row r="28">
      <c r="A28" s="223" t="s">
        <v>58</v>
      </c>
      <c r="B28" s="223" t="s">
        <v>1197</v>
      </c>
      <c r="C28" s="223" t="s">
        <v>1156</v>
      </c>
      <c r="D28" s="320">
        <v>44530.0</v>
      </c>
      <c r="I28" s="218">
        <v>350.0</v>
      </c>
      <c r="J28" s="223" t="s">
        <v>52</v>
      </c>
      <c r="K28" s="319">
        <v>2021.11</v>
      </c>
      <c r="L28" s="218" t="s">
        <v>200</v>
      </c>
    </row>
    <row r="29">
      <c r="A29" s="223" t="s">
        <v>62</v>
      </c>
      <c r="B29" s="223" t="s">
        <v>1304</v>
      </c>
      <c r="C29" s="223" t="s">
        <v>1156</v>
      </c>
      <c r="D29" s="320">
        <v>44530.0</v>
      </c>
      <c r="I29" s="218">
        <v>400.0</v>
      </c>
      <c r="J29" s="223" t="s">
        <v>52</v>
      </c>
      <c r="K29" s="319">
        <v>2021.11</v>
      </c>
      <c r="L29" s="218" t="s">
        <v>200</v>
      </c>
    </row>
    <row r="30">
      <c r="A30" s="223" t="s">
        <v>115</v>
      </c>
      <c r="B30" s="223" t="s">
        <v>1308</v>
      </c>
      <c r="C30" s="223" t="s">
        <v>1156</v>
      </c>
      <c r="D30" s="320">
        <v>44530.0</v>
      </c>
      <c r="I30" s="218">
        <v>562.5</v>
      </c>
      <c r="J30" s="223" t="s">
        <v>52</v>
      </c>
      <c r="K30" s="319">
        <v>2021.11</v>
      </c>
      <c r="L30" s="218" t="s">
        <v>200</v>
      </c>
    </row>
    <row r="31">
      <c r="A31" s="223" t="s">
        <v>118</v>
      </c>
      <c r="B31" s="223" t="s">
        <v>1312</v>
      </c>
      <c r="C31" s="223" t="s">
        <v>1156</v>
      </c>
      <c r="D31" s="320">
        <v>44530.0</v>
      </c>
      <c r="I31" s="218">
        <v>562.5</v>
      </c>
      <c r="J31" s="223" t="s">
        <v>52</v>
      </c>
      <c r="K31" s="319">
        <v>2021.11</v>
      </c>
      <c r="L31" s="218" t="s">
        <v>200</v>
      </c>
    </row>
    <row r="32">
      <c r="A32" s="223" t="s">
        <v>123</v>
      </c>
      <c r="B32" s="223" t="s">
        <v>1300</v>
      </c>
      <c r="C32" s="223" t="s">
        <v>1156</v>
      </c>
      <c r="D32" s="320">
        <v>44530.0</v>
      </c>
      <c r="I32" s="218">
        <v>1512.5</v>
      </c>
      <c r="J32" s="223" t="s">
        <v>52</v>
      </c>
      <c r="K32" s="319">
        <v>2021.11</v>
      </c>
      <c r="L32" s="218" t="s">
        <v>200</v>
      </c>
    </row>
    <row r="33">
      <c r="A33" s="223" t="s">
        <v>81</v>
      </c>
      <c r="B33" s="223" t="s">
        <v>1255</v>
      </c>
      <c r="C33" s="223" t="s">
        <v>1156</v>
      </c>
      <c r="D33" s="320">
        <v>44530.0</v>
      </c>
      <c r="I33" s="218">
        <v>250.0</v>
      </c>
      <c r="J33" s="223" t="s">
        <v>52</v>
      </c>
      <c r="K33" s="319">
        <v>2021.11</v>
      </c>
      <c r="L33" s="218" t="s">
        <v>200</v>
      </c>
    </row>
    <row r="34">
      <c r="A34" s="223" t="s">
        <v>92</v>
      </c>
      <c r="B34" s="223" t="s">
        <v>1289</v>
      </c>
      <c r="C34" s="223" t="s">
        <v>1156</v>
      </c>
      <c r="D34" s="320">
        <v>44530.0</v>
      </c>
      <c r="I34" s="218">
        <v>425.0</v>
      </c>
      <c r="J34" s="223" t="s">
        <v>52</v>
      </c>
      <c r="K34" s="319">
        <v>2021.11</v>
      </c>
      <c r="L34" s="218" t="s">
        <v>200</v>
      </c>
    </row>
    <row r="35">
      <c r="A35" s="223" t="s">
        <v>159</v>
      </c>
      <c r="B35" s="223" t="s">
        <v>1200</v>
      </c>
      <c r="C35" s="223" t="s">
        <v>1201</v>
      </c>
      <c r="D35" s="320">
        <v>44530.0</v>
      </c>
      <c r="I35" s="218">
        <v>200.0</v>
      </c>
      <c r="J35" s="223" t="s">
        <v>1160</v>
      </c>
      <c r="K35" s="319">
        <v>2021.0</v>
      </c>
      <c r="L35" s="218" t="s">
        <v>200</v>
      </c>
    </row>
    <row r="36">
      <c r="A36" s="223" t="s">
        <v>162</v>
      </c>
      <c r="B36" s="223" t="s">
        <v>1200</v>
      </c>
      <c r="C36" s="223" t="s">
        <v>1202</v>
      </c>
      <c r="D36" s="320">
        <v>44530.0</v>
      </c>
      <c r="I36" s="218">
        <v>200.0</v>
      </c>
      <c r="J36" s="223" t="s">
        <v>1160</v>
      </c>
      <c r="K36" s="319">
        <v>2021.0</v>
      </c>
      <c r="L36" s="218" t="s">
        <v>200</v>
      </c>
    </row>
    <row r="37">
      <c r="A37" s="223" t="s">
        <v>42</v>
      </c>
      <c r="B37" s="223" t="s">
        <v>1236</v>
      </c>
      <c r="C37" s="223" t="s">
        <v>1156</v>
      </c>
      <c r="D37" s="320">
        <v>44530.0</v>
      </c>
      <c r="I37" s="218">
        <v>300.0</v>
      </c>
      <c r="J37" s="223" t="s">
        <v>52</v>
      </c>
      <c r="K37" s="319">
        <v>2021.11</v>
      </c>
      <c r="L37" s="218" t="s">
        <v>200</v>
      </c>
    </row>
    <row r="38">
      <c r="A38" s="223" t="s">
        <v>58</v>
      </c>
      <c r="B38" s="223" t="s">
        <v>1197</v>
      </c>
      <c r="C38" s="223" t="s">
        <v>1156</v>
      </c>
      <c r="D38" s="320">
        <v>44530.0</v>
      </c>
      <c r="I38" s="218">
        <v>300.0</v>
      </c>
      <c r="J38" s="223" t="s">
        <v>52</v>
      </c>
      <c r="K38" s="319">
        <v>2021.11</v>
      </c>
      <c r="L38" s="218" t="s">
        <v>200</v>
      </c>
    </row>
    <row r="39">
      <c r="A39" s="223" t="s">
        <v>81</v>
      </c>
      <c r="B39" s="223" t="s">
        <v>1255</v>
      </c>
      <c r="C39" s="223" t="s">
        <v>1156</v>
      </c>
      <c r="D39" s="320">
        <v>44530.0</v>
      </c>
      <c r="I39" s="218">
        <v>167.5</v>
      </c>
      <c r="J39" s="223" t="s">
        <v>52</v>
      </c>
      <c r="K39" s="319">
        <v>2021.11</v>
      </c>
      <c r="L39" s="218" t="s">
        <v>200</v>
      </c>
    </row>
    <row r="40">
      <c r="A40" s="223" t="s">
        <v>75</v>
      </c>
      <c r="B40" s="223" t="s">
        <v>1279</v>
      </c>
      <c r="C40" s="223" t="s">
        <v>1156</v>
      </c>
      <c r="D40" s="320">
        <v>44530.0</v>
      </c>
      <c r="I40" s="218">
        <v>225.0</v>
      </c>
      <c r="J40" s="223" t="s">
        <v>52</v>
      </c>
      <c r="K40" s="319">
        <v>2021.11</v>
      </c>
      <c r="L40" s="218" t="s">
        <v>200</v>
      </c>
    </row>
    <row r="41">
      <c r="A41" s="223" t="s">
        <v>120</v>
      </c>
      <c r="B41" s="223" t="s">
        <v>1215</v>
      </c>
      <c r="C41" s="223" t="s">
        <v>1156</v>
      </c>
      <c r="D41" s="320">
        <v>44530.0</v>
      </c>
      <c r="I41" s="218">
        <v>487.5</v>
      </c>
      <c r="J41" s="223" t="s">
        <v>52</v>
      </c>
      <c r="K41" s="319">
        <v>2021.11</v>
      </c>
      <c r="L41" s="218" t="s">
        <v>200</v>
      </c>
    </row>
    <row r="42">
      <c r="A42" s="223" t="s">
        <v>159</v>
      </c>
      <c r="B42" s="223" t="s">
        <v>1200</v>
      </c>
      <c r="C42" s="223" t="s">
        <v>1201</v>
      </c>
      <c r="D42" s="320">
        <v>44530.0</v>
      </c>
      <c r="I42" s="218">
        <v>500.0</v>
      </c>
      <c r="J42" s="223" t="s">
        <v>1160</v>
      </c>
      <c r="K42" s="319">
        <v>2021.0</v>
      </c>
      <c r="L42" s="218" t="s">
        <v>200</v>
      </c>
    </row>
    <row r="43">
      <c r="A43" s="223" t="s">
        <v>162</v>
      </c>
      <c r="B43" s="223" t="s">
        <v>1200</v>
      </c>
      <c r="C43" s="223" t="s">
        <v>1202</v>
      </c>
      <c r="D43" s="320">
        <v>44530.0</v>
      </c>
      <c r="I43" s="218">
        <v>500.0</v>
      </c>
      <c r="J43" s="223" t="s">
        <v>1160</v>
      </c>
      <c r="K43" s="319">
        <v>2021.0</v>
      </c>
      <c r="L43" s="218" t="s">
        <v>200</v>
      </c>
    </row>
    <row r="44">
      <c r="A44" s="223" t="s">
        <v>156</v>
      </c>
      <c r="B44" s="223" t="s">
        <v>1293</v>
      </c>
      <c r="C44" s="223" t="s">
        <v>1156</v>
      </c>
      <c r="D44" s="320">
        <v>44530.0</v>
      </c>
      <c r="I44" s="218">
        <v>30.0</v>
      </c>
      <c r="J44" s="223" t="s">
        <v>52</v>
      </c>
      <c r="K44" s="319">
        <v>2021.11</v>
      </c>
      <c r="L44" s="218" t="s">
        <v>200</v>
      </c>
    </row>
    <row r="45">
      <c r="A45" s="223" t="s">
        <v>54</v>
      </c>
      <c r="B45" s="223" t="s">
        <v>1187</v>
      </c>
      <c r="C45" s="223" t="s">
        <v>1156</v>
      </c>
      <c r="D45" s="320">
        <v>44530.0</v>
      </c>
      <c r="I45" s="218">
        <v>192.5</v>
      </c>
      <c r="J45" s="223" t="s">
        <v>52</v>
      </c>
      <c r="K45" s="319">
        <v>2021.11</v>
      </c>
      <c r="L45" s="218" t="s">
        <v>200</v>
      </c>
    </row>
    <row r="46">
      <c r="A46" s="223" t="s">
        <v>144</v>
      </c>
      <c r="B46" s="223" t="s">
        <v>1170</v>
      </c>
      <c r="C46" s="223" t="s">
        <v>1156</v>
      </c>
      <c r="D46" s="320">
        <v>44530.0</v>
      </c>
      <c r="I46" s="218">
        <v>82.5</v>
      </c>
      <c r="J46" s="223" t="s">
        <v>1160</v>
      </c>
      <c r="K46" s="319">
        <v>2021.0</v>
      </c>
      <c r="L46" s="218" t="s">
        <v>200</v>
      </c>
    </row>
    <row r="47">
      <c r="A47" s="223" t="s">
        <v>102</v>
      </c>
      <c r="B47" s="223" t="s">
        <v>1259</v>
      </c>
      <c r="C47" s="223" t="s">
        <v>1156</v>
      </c>
      <c r="D47" s="320">
        <v>44530.0</v>
      </c>
      <c r="I47" s="218">
        <v>250.0</v>
      </c>
      <c r="J47" s="223" t="s">
        <v>52</v>
      </c>
      <c r="K47" s="319">
        <v>2021.11</v>
      </c>
      <c r="L47" s="218" t="s">
        <v>200</v>
      </c>
    </row>
    <row r="48">
      <c r="A48" s="223" t="s">
        <v>58</v>
      </c>
      <c r="B48" s="223" t="s">
        <v>1197</v>
      </c>
      <c r="C48" s="223" t="s">
        <v>1156</v>
      </c>
      <c r="D48" s="320">
        <v>44501.0</v>
      </c>
      <c r="I48" s="218">
        <v>44.39</v>
      </c>
      <c r="J48" s="223" t="s">
        <v>52</v>
      </c>
      <c r="K48" s="319">
        <v>2021.11</v>
      </c>
      <c r="L48" s="218">
        <v>44.39</v>
      </c>
    </row>
    <row r="49">
      <c r="A49" s="223" t="s">
        <v>58</v>
      </c>
      <c r="B49" s="223" t="s">
        <v>1197</v>
      </c>
      <c r="C49" s="223" t="s">
        <v>1156</v>
      </c>
      <c r="D49" s="320">
        <v>44501.0</v>
      </c>
      <c r="I49" s="218">
        <v>73.39</v>
      </c>
      <c r="J49" s="223" t="s">
        <v>52</v>
      </c>
      <c r="K49" s="319">
        <v>2021.11</v>
      </c>
      <c r="L49" s="218" t="s">
        <v>200</v>
      </c>
    </row>
    <row r="50">
      <c r="A50" s="223" t="s">
        <v>1991</v>
      </c>
      <c r="B50" s="223" t="s">
        <v>1264</v>
      </c>
      <c r="C50" s="223" t="s">
        <v>2314</v>
      </c>
      <c r="D50" s="320">
        <v>44530.0</v>
      </c>
      <c r="I50" s="218">
        <v>50.0</v>
      </c>
      <c r="J50" s="223" t="s">
        <v>1992</v>
      </c>
      <c r="K50" s="319">
        <v>2021.0</v>
      </c>
      <c r="L50" s="218" t="s">
        <v>200</v>
      </c>
    </row>
    <row r="51">
      <c r="A51" s="223" t="s">
        <v>1317</v>
      </c>
      <c r="B51" s="223" t="s">
        <v>1314</v>
      </c>
      <c r="C51" s="223" t="s">
        <v>1318</v>
      </c>
      <c r="D51" s="320">
        <v>44530.0</v>
      </c>
      <c r="I51" s="218">
        <v>200.0</v>
      </c>
      <c r="J51" s="223" t="s">
        <v>1160</v>
      </c>
      <c r="K51" s="319">
        <v>2021.0</v>
      </c>
      <c r="L51" s="218" t="s">
        <v>200</v>
      </c>
    </row>
    <row r="52">
      <c r="A52" s="223" t="s">
        <v>1322</v>
      </c>
      <c r="B52" s="223" t="s">
        <v>1314</v>
      </c>
      <c r="C52" s="223" t="s">
        <v>2315</v>
      </c>
      <c r="D52" s="320">
        <v>44530.0</v>
      </c>
      <c r="I52" s="218">
        <v>200.0</v>
      </c>
      <c r="J52" s="223" t="s">
        <v>1160</v>
      </c>
      <c r="K52" s="319">
        <v>2021.0</v>
      </c>
      <c r="L52" s="218" t="s">
        <v>200</v>
      </c>
    </row>
    <row r="53">
      <c r="A53" s="223" t="s">
        <v>105</v>
      </c>
      <c r="B53" s="223" t="s">
        <v>1280</v>
      </c>
      <c r="C53" s="223" t="s">
        <v>2308</v>
      </c>
      <c r="D53" s="320">
        <v>44501.0</v>
      </c>
      <c r="I53" s="218">
        <v>12.0</v>
      </c>
      <c r="J53" s="223" t="s">
        <v>1992</v>
      </c>
      <c r="K53" s="319">
        <v>2021.0</v>
      </c>
      <c r="L53" s="218" t="s">
        <v>200</v>
      </c>
    </row>
    <row r="54">
      <c r="A54" s="223" t="s">
        <v>1991</v>
      </c>
      <c r="B54" s="223" t="s">
        <v>1264</v>
      </c>
      <c r="C54" s="223" t="s">
        <v>2314</v>
      </c>
      <c r="D54" s="320">
        <v>44530.0</v>
      </c>
      <c r="I54" s="218">
        <v>150.0</v>
      </c>
      <c r="J54" s="223" t="s">
        <v>1992</v>
      </c>
      <c r="K54" s="319">
        <v>2021.0</v>
      </c>
      <c r="L54" s="218" t="s">
        <v>200</v>
      </c>
    </row>
    <row r="55">
      <c r="A55" s="223" t="s">
        <v>1991</v>
      </c>
      <c r="B55" s="223" t="s">
        <v>1264</v>
      </c>
      <c r="C55" s="223" t="s">
        <v>2314</v>
      </c>
      <c r="D55" s="320">
        <v>44530.0</v>
      </c>
      <c r="I55" s="218">
        <v>100.0</v>
      </c>
      <c r="J55" s="223" t="s">
        <v>1992</v>
      </c>
      <c r="K55" s="319">
        <v>2021.0</v>
      </c>
      <c r="L55" s="218" t="s">
        <v>200</v>
      </c>
    </row>
    <row r="56">
      <c r="A56" s="223" t="s">
        <v>1266</v>
      </c>
      <c r="B56" s="223" t="s">
        <v>1264</v>
      </c>
      <c r="C56" s="223" t="s">
        <v>1267</v>
      </c>
      <c r="D56" s="320">
        <v>44530.0</v>
      </c>
      <c r="I56" s="218">
        <v>90.0</v>
      </c>
      <c r="J56" s="223" t="s">
        <v>1152</v>
      </c>
      <c r="K56" s="319">
        <v>2021.0</v>
      </c>
      <c r="L56" s="218" t="s">
        <v>200</v>
      </c>
    </row>
    <row r="57">
      <c r="A57" s="223" t="s">
        <v>1269</v>
      </c>
      <c r="B57" s="223" t="s">
        <v>1264</v>
      </c>
      <c r="C57" s="223" t="s">
        <v>1270</v>
      </c>
      <c r="D57" s="320">
        <v>44530.0</v>
      </c>
      <c r="I57" s="218">
        <v>250.0</v>
      </c>
      <c r="J57" s="223" t="s">
        <v>1152</v>
      </c>
      <c r="K57" s="319">
        <v>2021.0</v>
      </c>
      <c r="L57" s="218" t="s">
        <v>200</v>
      </c>
    </row>
    <row r="58">
      <c r="A58" s="223" t="s">
        <v>1271</v>
      </c>
      <c r="B58" s="223" t="s">
        <v>1264</v>
      </c>
      <c r="C58" s="223" t="s">
        <v>1272</v>
      </c>
      <c r="D58" s="320">
        <v>44501.0</v>
      </c>
      <c r="I58" s="218">
        <v>6.46</v>
      </c>
      <c r="J58" s="223" t="s">
        <v>1152</v>
      </c>
      <c r="K58" s="319">
        <v>2021.0</v>
      </c>
      <c r="L58" s="218" t="s">
        <v>200</v>
      </c>
    </row>
    <row r="59">
      <c r="A59" s="223" t="s">
        <v>1271</v>
      </c>
      <c r="B59" s="223" t="s">
        <v>1264</v>
      </c>
      <c r="C59" s="223" t="s">
        <v>1272</v>
      </c>
      <c r="D59" s="320">
        <v>44501.0</v>
      </c>
      <c r="I59" s="218">
        <v>57.7</v>
      </c>
      <c r="J59" s="223" t="s">
        <v>1152</v>
      </c>
      <c r="K59" s="319">
        <v>2021.0</v>
      </c>
      <c r="L59" s="218" t="s">
        <v>200</v>
      </c>
    </row>
    <row r="60">
      <c r="A60" s="223" t="s">
        <v>105</v>
      </c>
      <c r="B60" s="223" t="s">
        <v>1280</v>
      </c>
      <c r="C60" s="223" t="s">
        <v>2308</v>
      </c>
      <c r="D60" s="320">
        <v>44501.0</v>
      </c>
      <c r="I60" s="218">
        <v>68.02</v>
      </c>
      <c r="J60" s="223" t="s">
        <v>1992</v>
      </c>
      <c r="K60" s="319">
        <v>2021.0</v>
      </c>
      <c r="L60" s="218" t="s">
        <v>200</v>
      </c>
    </row>
    <row r="61">
      <c r="A61" s="223" t="s">
        <v>1271</v>
      </c>
      <c r="B61" s="223" t="s">
        <v>1264</v>
      </c>
      <c r="C61" s="223" t="s">
        <v>1272</v>
      </c>
      <c r="D61" s="320">
        <v>44501.0</v>
      </c>
      <c r="I61" s="218">
        <v>51.35</v>
      </c>
      <c r="J61" s="223" t="s">
        <v>1152</v>
      </c>
      <c r="K61" s="319">
        <v>2021.0</v>
      </c>
      <c r="L61" s="218" t="s">
        <v>200</v>
      </c>
    </row>
    <row r="62">
      <c r="A62" s="223" t="s">
        <v>1271</v>
      </c>
      <c r="B62" s="223" t="s">
        <v>1264</v>
      </c>
      <c r="C62" s="223" t="s">
        <v>1272</v>
      </c>
      <c r="D62" s="320">
        <v>44501.0</v>
      </c>
      <c r="I62" s="218">
        <v>130.38</v>
      </c>
      <c r="J62" s="223" t="s">
        <v>1152</v>
      </c>
      <c r="K62" s="319">
        <v>2021.0</v>
      </c>
      <c r="L62" s="218" t="s">
        <v>200</v>
      </c>
    </row>
    <row r="63">
      <c r="A63" s="223" t="s">
        <v>1269</v>
      </c>
      <c r="B63" s="223" t="s">
        <v>1264</v>
      </c>
      <c r="C63" s="223" t="s">
        <v>1270</v>
      </c>
      <c r="D63" s="320">
        <v>44501.0</v>
      </c>
      <c r="I63" s="218">
        <v>210.0</v>
      </c>
      <c r="J63" s="223" t="s">
        <v>1152</v>
      </c>
      <c r="K63" s="319">
        <v>2021.0</v>
      </c>
      <c r="L63" s="218" t="s">
        <v>200</v>
      </c>
    </row>
    <row r="64">
      <c r="A64" s="223" t="s">
        <v>92</v>
      </c>
      <c r="B64" s="223" t="s">
        <v>1289</v>
      </c>
      <c r="C64" s="223" t="s">
        <v>1156</v>
      </c>
      <c r="D64" s="320">
        <v>44501.0</v>
      </c>
      <c r="I64" s="218">
        <v>58.8</v>
      </c>
      <c r="J64" s="223" t="s">
        <v>52</v>
      </c>
      <c r="K64" s="319">
        <v>2021.11</v>
      </c>
      <c r="L64" s="218">
        <v>58.8</v>
      </c>
    </row>
    <row r="65">
      <c r="A65" s="223" t="s">
        <v>115</v>
      </c>
      <c r="B65" s="223" t="s">
        <v>1308</v>
      </c>
      <c r="C65" s="223" t="s">
        <v>1156</v>
      </c>
      <c r="D65" s="320">
        <v>44501.0</v>
      </c>
      <c r="I65" s="218">
        <v>1666.58</v>
      </c>
      <c r="J65" s="223" t="s">
        <v>52</v>
      </c>
      <c r="K65" s="319">
        <v>2021.11</v>
      </c>
      <c r="L65" s="218">
        <v>1666.58</v>
      </c>
    </row>
    <row r="66">
      <c r="A66" s="223" t="s">
        <v>118</v>
      </c>
      <c r="B66" s="223" t="s">
        <v>1312</v>
      </c>
      <c r="C66" s="223" t="s">
        <v>1156</v>
      </c>
      <c r="D66" s="320">
        <v>44501.0</v>
      </c>
      <c r="I66" s="218">
        <v>1665.89</v>
      </c>
      <c r="J66" s="223" t="s">
        <v>52</v>
      </c>
      <c r="K66" s="319">
        <v>2021.11</v>
      </c>
      <c r="L66" s="218">
        <v>1665.89</v>
      </c>
    </row>
    <row r="67">
      <c r="A67" s="223" t="s">
        <v>1183</v>
      </c>
      <c r="B67" s="223" t="s">
        <v>1184</v>
      </c>
      <c r="C67" s="223" t="s">
        <v>1175</v>
      </c>
      <c r="D67" s="320">
        <v>44501.0</v>
      </c>
      <c r="I67" s="218">
        <v>7.84</v>
      </c>
      <c r="J67" s="223" t="s">
        <v>1160</v>
      </c>
      <c r="K67" s="319">
        <v>2021.0</v>
      </c>
      <c r="L67" s="218">
        <v>7.84</v>
      </c>
    </row>
    <row r="68">
      <c r="A68" s="223" t="s">
        <v>1271</v>
      </c>
      <c r="B68" s="223" t="s">
        <v>1264</v>
      </c>
      <c r="C68" s="223" t="s">
        <v>1272</v>
      </c>
      <c r="D68" s="320">
        <v>44501.0</v>
      </c>
      <c r="I68" s="218">
        <v>453.2</v>
      </c>
      <c r="J68" s="223" t="s">
        <v>1152</v>
      </c>
      <c r="K68" s="319">
        <v>2021.0</v>
      </c>
      <c r="L68" s="218" t="s">
        <v>200</v>
      </c>
    </row>
    <row r="69">
      <c r="A69" s="223" t="s">
        <v>33</v>
      </c>
      <c r="B69" s="223" t="s">
        <v>1294</v>
      </c>
      <c r="C69" s="223" t="s">
        <v>1168</v>
      </c>
      <c r="D69" s="320">
        <v>44501.0</v>
      </c>
      <c r="I69" s="218">
        <v>33.14</v>
      </c>
      <c r="J69" s="223" t="s">
        <v>1160</v>
      </c>
      <c r="K69" s="319">
        <v>2021.0</v>
      </c>
      <c r="L69" s="218" t="s">
        <v>200</v>
      </c>
    </row>
    <row r="70">
      <c r="A70" s="223" t="s">
        <v>1173</v>
      </c>
      <c r="B70" s="223" t="s">
        <v>1174</v>
      </c>
      <c r="C70" s="223" t="s">
        <v>1175</v>
      </c>
      <c r="D70" s="320">
        <v>44501.0</v>
      </c>
      <c r="I70" s="218">
        <v>102.19</v>
      </c>
      <c r="J70" s="223" t="s">
        <v>1160</v>
      </c>
      <c r="K70" s="319">
        <v>2021.0</v>
      </c>
      <c r="L70" s="218">
        <v>102.19</v>
      </c>
    </row>
    <row r="71">
      <c r="A71" s="223" t="s">
        <v>129</v>
      </c>
      <c r="B71" s="223" t="s">
        <v>1158</v>
      </c>
      <c r="C71" s="223" t="s">
        <v>1162</v>
      </c>
      <c r="D71" s="320">
        <v>44501.0</v>
      </c>
      <c r="I71" s="218">
        <v>168.33</v>
      </c>
      <c r="J71" s="223" t="s">
        <v>1160</v>
      </c>
      <c r="K71" s="319">
        <v>2021.0</v>
      </c>
      <c r="L71" s="218" t="s">
        <v>200</v>
      </c>
    </row>
    <row r="72">
      <c r="A72" s="223" t="s">
        <v>1166</v>
      </c>
      <c r="B72" s="223" t="s">
        <v>1167</v>
      </c>
      <c r="C72" s="223" t="s">
        <v>1168</v>
      </c>
      <c r="D72" s="320">
        <v>44501.0</v>
      </c>
      <c r="I72" s="218">
        <v>172.48</v>
      </c>
      <c r="J72" s="223" t="s">
        <v>1160</v>
      </c>
      <c r="K72" s="319">
        <v>2021.0</v>
      </c>
      <c r="L72" s="218" t="s">
        <v>200</v>
      </c>
    </row>
    <row r="73">
      <c r="A73" s="223" t="s">
        <v>60</v>
      </c>
      <c r="B73" s="223" t="s">
        <v>1185</v>
      </c>
      <c r="C73" s="223" t="s">
        <v>1168</v>
      </c>
      <c r="D73" s="320">
        <v>44501.0</v>
      </c>
      <c r="I73" s="218">
        <v>1478.44</v>
      </c>
      <c r="J73" s="223" t="s">
        <v>1160</v>
      </c>
      <c r="K73" s="319">
        <v>2021.0</v>
      </c>
      <c r="L73" s="218" t="s">
        <v>200</v>
      </c>
    </row>
    <row r="74">
      <c r="A74" s="223" t="s">
        <v>96</v>
      </c>
      <c r="B74" s="223" t="s">
        <v>1188</v>
      </c>
      <c r="C74" s="223" t="s">
        <v>1156</v>
      </c>
      <c r="D74" s="320">
        <v>44501.0</v>
      </c>
      <c r="I74" s="218">
        <v>21.4</v>
      </c>
      <c r="J74" s="223" t="s">
        <v>52</v>
      </c>
      <c r="K74" s="319">
        <v>2021.11</v>
      </c>
      <c r="L74" s="218" t="s">
        <v>200</v>
      </c>
    </row>
    <row r="75">
      <c r="A75" s="223" t="s">
        <v>1321</v>
      </c>
      <c r="B75" s="223" t="s">
        <v>1314</v>
      </c>
      <c r="C75" s="223" t="s">
        <v>1189</v>
      </c>
      <c r="D75" s="320">
        <v>44501.0</v>
      </c>
      <c r="I75" s="218">
        <v>186.34</v>
      </c>
      <c r="J75" s="223" t="s">
        <v>1160</v>
      </c>
      <c r="K75" s="319">
        <v>2021.0</v>
      </c>
      <c r="L75" s="218" t="s">
        <v>200</v>
      </c>
    </row>
    <row r="76">
      <c r="A76" s="223" t="s">
        <v>159</v>
      </c>
      <c r="B76" s="223" t="s">
        <v>1200</v>
      </c>
      <c r="C76" s="223" t="s">
        <v>1201</v>
      </c>
      <c r="D76" s="320">
        <v>44501.0</v>
      </c>
      <c r="I76" s="218">
        <v>54.54</v>
      </c>
      <c r="J76" s="223" t="s">
        <v>1160</v>
      </c>
      <c r="K76" s="319">
        <v>2021.0</v>
      </c>
      <c r="L76" s="218" t="s">
        <v>200</v>
      </c>
    </row>
    <row r="77">
      <c r="A77" s="223" t="s">
        <v>120</v>
      </c>
      <c r="B77" s="223" t="s">
        <v>1215</v>
      </c>
      <c r="C77" s="223" t="s">
        <v>1156</v>
      </c>
      <c r="D77" s="320">
        <v>44501.0</v>
      </c>
      <c r="I77" s="218">
        <v>207.46</v>
      </c>
      <c r="J77" s="223" t="s">
        <v>52</v>
      </c>
      <c r="K77" s="319">
        <v>2021.11</v>
      </c>
      <c r="L77" s="218" t="s">
        <v>200</v>
      </c>
    </row>
    <row r="78">
      <c r="A78" s="223" t="s">
        <v>162</v>
      </c>
      <c r="B78" s="223" t="s">
        <v>1200</v>
      </c>
      <c r="C78" s="223" t="s">
        <v>1202</v>
      </c>
      <c r="D78" s="320">
        <v>44501.0</v>
      </c>
      <c r="I78" s="218">
        <v>189.41</v>
      </c>
      <c r="J78" s="223" t="s">
        <v>1160</v>
      </c>
      <c r="K78" s="319">
        <v>2021.0</v>
      </c>
      <c r="L78" s="218" t="s">
        <v>200</v>
      </c>
    </row>
    <row r="79">
      <c r="A79" s="223" t="s">
        <v>82</v>
      </c>
      <c r="B79" s="223" t="s">
        <v>1124</v>
      </c>
      <c r="C79" s="223" t="s">
        <v>1156</v>
      </c>
      <c r="D79" s="320">
        <v>44501.0</v>
      </c>
      <c r="I79" s="218">
        <v>57.36</v>
      </c>
      <c r="J79" s="223" t="s">
        <v>52</v>
      </c>
      <c r="K79" s="319">
        <v>2021.11</v>
      </c>
      <c r="L79" s="218" t="s">
        <v>200</v>
      </c>
    </row>
    <row r="80">
      <c r="A80" s="223" t="s">
        <v>1242</v>
      </c>
      <c r="B80" s="223" t="s">
        <v>1243</v>
      </c>
      <c r="C80" s="223" t="s">
        <v>1190</v>
      </c>
      <c r="D80" s="320">
        <v>44501.0</v>
      </c>
      <c r="I80" s="218">
        <v>9.34</v>
      </c>
      <c r="J80" s="223" t="s">
        <v>1152</v>
      </c>
      <c r="K80" s="319">
        <v>2021.0</v>
      </c>
      <c r="L80" s="218" t="s">
        <v>200</v>
      </c>
    </row>
    <row r="81">
      <c r="A81" s="223" t="s">
        <v>1263</v>
      </c>
      <c r="B81" s="223" t="s">
        <v>1264</v>
      </c>
      <c r="C81" s="223" t="s">
        <v>1265</v>
      </c>
      <c r="D81" s="320">
        <v>44501.0</v>
      </c>
      <c r="I81" s="218">
        <v>890.17</v>
      </c>
      <c r="J81" s="223" t="s">
        <v>1152</v>
      </c>
      <c r="K81" s="319">
        <v>2021.0</v>
      </c>
      <c r="L81" s="218" t="s">
        <v>200</v>
      </c>
    </row>
    <row r="82">
      <c r="A82" s="223" t="s">
        <v>37</v>
      </c>
      <c r="B82" s="223" t="s">
        <v>1244</v>
      </c>
      <c r="C82" s="223" t="s">
        <v>1168</v>
      </c>
      <c r="D82" s="320">
        <v>44501.0</v>
      </c>
      <c r="I82" s="218">
        <v>352.38</v>
      </c>
      <c r="J82" s="223" t="s">
        <v>1160</v>
      </c>
      <c r="K82" s="319">
        <v>2021.0</v>
      </c>
      <c r="L82" s="218" t="s">
        <v>200</v>
      </c>
    </row>
    <row r="83">
      <c r="A83" s="223" t="s">
        <v>81</v>
      </c>
      <c r="B83" s="223" t="s">
        <v>1255</v>
      </c>
      <c r="C83" s="223" t="s">
        <v>1156</v>
      </c>
      <c r="D83" s="320">
        <v>44501.0</v>
      </c>
      <c r="I83" s="218">
        <v>35.48</v>
      </c>
      <c r="J83" s="223" t="s">
        <v>52</v>
      </c>
      <c r="K83" s="319">
        <v>2021.11</v>
      </c>
      <c r="L83" s="218" t="s">
        <v>200</v>
      </c>
    </row>
    <row r="84">
      <c r="A84" s="223" t="s">
        <v>1319</v>
      </c>
      <c r="B84" s="223" t="s">
        <v>1314</v>
      </c>
      <c r="C84" s="223" t="s">
        <v>1320</v>
      </c>
      <c r="D84" s="320">
        <v>44501.0</v>
      </c>
      <c r="I84" s="218">
        <v>21.23</v>
      </c>
      <c r="J84" s="223" t="s">
        <v>1160</v>
      </c>
      <c r="K84" s="319">
        <v>2021.0</v>
      </c>
      <c r="L84" s="218" t="s">
        <v>200</v>
      </c>
    </row>
    <row r="85">
      <c r="A85" s="223" t="s">
        <v>166</v>
      </c>
      <c r="B85" s="223" t="s">
        <v>1259</v>
      </c>
      <c r="C85" s="223" t="s">
        <v>1168</v>
      </c>
      <c r="D85" s="320">
        <v>44501.0</v>
      </c>
      <c r="I85" s="218">
        <v>380.94</v>
      </c>
      <c r="J85" s="223" t="s">
        <v>1160</v>
      </c>
      <c r="K85" s="319">
        <v>2021.0</v>
      </c>
      <c r="L85" s="218" t="s">
        <v>200</v>
      </c>
    </row>
    <row r="86">
      <c r="A86" s="223" t="s">
        <v>1266</v>
      </c>
      <c r="B86" s="223" t="s">
        <v>1264</v>
      </c>
      <c r="C86" s="223" t="s">
        <v>1267</v>
      </c>
      <c r="D86" s="320">
        <v>44501.0</v>
      </c>
      <c r="I86" s="218">
        <v>204.95</v>
      </c>
      <c r="J86" s="223" t="s">
        <v>1152</v>
      </c>
      <c r="K86" s="319">
        <v>2021.0</v>
      </c>
      <c r="L86" s="218" t="s">
        <v>200</v>
      </c>
    </row>
    <row r="87">
      <c r="A87" s="223" t="s">
        <v>22</v>
      </c>
      <c r="B87" s="223" t="s">
        <v>1280</v>
      </c>
      <c r="C87" s="223" t="s">
        <v>1168</v>
      </c>
      <c r="D87" s="320">
        <v>44501.0</v>
      </c>
      <c r="I87" s="218">
        <v>367.6</v>
      </c>
      <c r="J87" s="223" t="s">
        <v>1160</v>
      </c>
      <c r="K87" s="319">
        <v>2021.0</v>
      </c>
      <c r="L87" s="218" t="s">
        <v>200</v>
      </c>
    </row>
    <row r="88">
      <c r="A88" s="223" t="s">
        <v>90</v>
      </c>
      <c r="B88" s="223" t="s">
        <v>1282</v>
      </c>
      <c r="C88" s="223" t="s">
        <v>1156</v>
      </c>
      <c r="D88" s="320">
        <v>44501.0</v>
      </c>
      <c r="I88" s="218">
        <v>19.76</v>
      </c>
      <c r="J88" s="223" t="s">
        <v>52</v>
      </c>
      <c r="K88" s="319">
        <v>2021.11</v>
      </c>
      <c r="L88" s="218" t="s">
        <v>200</v>
      </c>
    </row>
    <row r="89">
      <c r="A89" s="223" t="s">
        <v>92</v>
      </c>
      <c r="B89" s="223" t="s">
        <v>1289</v>
      </c>
      <c r="C89" s="223" t="s">
        <v>1156</v>
      </c>
      <c r="D89" s="320">
        <v>44501.0</v>
      </c>
      <c r="I89" s="218">
        <v>48.02</v>
      </c>
      <c r="J89" s="223" t="s">
        <v>52</v>
      </c>
      <c r="K89" s="319">
        <v>2021.11</v>
      </c>
      <c r="L89" s="218" t="s">
        <v>200</v>
      </c>
    </row>
    <row r="90">
      <c r="A90" s="223" t="s">
        <v>1290</v>
      </c>
      <c r="B90" s="223" t="s">
        <v>1291</v>
      </c>
      <c r="C90" s="223" t="s">
        <v>1249</v>
      </c>
      <c r="D90" s="320">
        <v>44501.0</v>
      </c>
      <c r="I90" s="218">
        <v>55.17</v>
      </c>
      <c r="J90" s="223" t="s">
        <v>1152</v>
      </c>
      <c r="K90" s="319">
        <v>2021.0</v>
      </c>
      <c r="L90" s="218" t="s">
        <v>200</v>
      </c>
    </row>
    <row r="91">
      <c r="A91" s="223" t="s">
        <v>33</v>
      </c>
      <c r="B91" s="223" t="s">
        <v>1294</v>
      </c>
      <c r="C91" s="223" t="s">
        <v>1168</v>
      </c>
      <c r="D91" s="320">
        <v>44501.0</v>
      </c>
      <c r="I91" s="218">
        <v>1880.22</v>
      </c>
      <c r="J91" s="223" t="s">
        <v>1160</v>
      </c>
      <c r="K91" s="319">
        <v>2021.0</v>
      </c>
      <c r="L91" s="218" t="s">
        <v>200</v>
      </c>
    </row>
    <row r="92">
      <c r="A92" s="223" t="s">
        <v>123</v>
      </c>
      <c r="B92" s="223" t="s">
        <v>1300</v>
      </c>
      <c r="C92" s="223" t="s">
        <v>1156</v>
      </c>
      <c r="D92" s="320">
        <v>44501.0</v>
      </c>
      <c r="I92" s="218">
        <v>76.49</v>
      </c>
      <c r="J92" s="223" t="s">
        <v>52</v>
      </c>
      <c r="K92" s="319">
        <v>2021.11</v>
      </c>
      <c r="L92" s="218" t="s">
        <v>200</v>
      </c>
    </row>
    <row r="93">
      <c r="A93" s="223" t="s">
        <v>115</v>
      </c>
      <c r="B93" s="223" t="s">
        <v>1308</v>
      </c>
      <c r="C93" s="223" t="s">
        <v>1156</v>
      </c>
      <c r="D93" s="320">
        <v>44501.0</v>
      </c>
      <c r="I93" s="218">
        <v>18.52</v>
      </c>
      <c r="J93" s="223" t="s">
        <v>52</v>
      </c>
      <c r="K93" s="319">
        <v>2021.11</v>
      </c>
      <c r="L93" s="218" t="s">
        <v>200</v>
      </c>
    </row>
    <row r="94">
      <c r="A94" s="223" t="s">
        <v>99</v>
      </c>
      <c r="B94" s="223" t="s">
        <v>1192</v>
      </c>
      <c r="C94" s="223" t="s">
        <v>1156</v>
      </c>
      <c r="D94" s="320">
        <v>44501.0</v>
      </c>
      <c r="I94" s="218">
        <v>1.19</v>
      </c>
      <c r="J94" s="223" t="s">
        <v>52</v>
      </c>
      <c r="K94" s="319">
        <v>2021.11</v>
      </c>
      <c r="L94" s="218" t="s">
        <v>200</v>
      </c>
    </row>
    <row r="95">
      <c r="A95" s="223" t="s">
        <v>58</v>
      </c>
      <c r="B95" s="223" t="s">
        <v>1197</v>
      </c>
      <c r="C95" s="223" t="s">
        <v>1156</v>
      </c>
      <c r="D95" s="320">
        <v>44501.0</v>
      </c>
      <c r="I95" s="218">
        <v>210.92</v>
      </c>
      <c r="J95" s="223" t="s">
        <v>52</v>
      </c>
      <c r="K95" s="319">
        <v>2021.11</v>
      </c>
      <c r="L95" s="218" t="s">
        <v>200</v>
      </c>
    </row>
    <row r="96">
      <c r="A96" s="223" t="s">
        <v>1266</v>
      </c>
      <c r="B96" s="223" t="s">
        <v>1264</v>
      </c>
      <c r="C96" s="223" t="s">
        <v>1267</v>
      </c>
      <c r="D96" s="320">
        <v>44501.0</v>
      </c>
      <c r="I96" s="218">
        <v>23.33</v>
      </c>
      <c r="J96" s="223" t="s">
        <v>1152</v>
      </c>
      <c r="K96" s="319">
        <v>2021.0</v>
      </c>
      <c r="L96" s="218" t="s">
        <v>200</v>
      </c>
    </row>
    <row r="97">
      <c r="A97" s="223" t="s">
        <v>1266</v>
      </c>
      <c r="B97" s="223" t="s">
        <v>1264</v>
      </c>
      <c r="C97" s="223" t="s">
        <v>1267</v>
      </c>
      <c r="D97" s="320">
        <v>44501.0</v>
      </c>
      <c r="I97" s="218">
        <v>37.33</v>
      </c>
      <c r="J97" s="223" t="s">
        <v>1152</v>
      </c>
      <c r="K97" s="319">
        <v>2021.0</v>
      </c>
      <c r="L97" s="218" t="s">
        <v>200</v>
      </c>
    </row>
    <row r="98">
      <c r="A98" s="223" t="s">
        <v>1266</v>
      </c>
      <c r="B98" s="223" t="s">
        <v>1264</v>
      </c>
      <c r="C98" s="223" t="s">
        <v>1267</v>
      </c>
      <c r="D98" s="320">
        <v>44501.0</v>
      </c>
      <c r="I98" s="218">
        <v>2576.96</v>
      </c>
      <c r="J98" s="223" t="s">
        <v>1152</v>
      </c>
      <c r="K98" s="319">
        <v>2021.0</v>
      </c>
      <c r="L98" s="218" t="s">
        <v>200</v>
      </c>
    </row>
    <row r="99">
      <c r="A99" s="223" t="s">
        <v>144</v>
      </c>
      <c r="B99" s="223" t="s">
        <v>1170</v>
      </c>
      <c r="C99" s="223" t="s">
        <v>1156</v>
      </c>
      <c r="D99" s="320">
        <v>44561.0</v>
      </c>
      <c r="I99" s="218">
        <v>147.6</v>
      </c>
      <c r="J99" s="223" t="s">
        <v>1160</v>
      </c>
      <c r="K99" s="319">
        <v>2021.0</v>
      </c>
      <c r="L99" s="218" t="s">
        <v>200</v>
      </c>
    </row>
    <row r="100">
      <c r="A100" s="223" t="s">
        <v>60</v>
      </c>
      <c r="B100" s="223" t="s">
        <v>1185</v>
      </c>
      <c r="C100" s="223" t="s">
        <v>1168</v>
      </c>
      <c r="D100" s="320">
        <v>44561.0</v>
      </c>
      <c r="I100" s="218">
        <v>95.1</v>
      </c>
      <c r="J100" s="223" t="s">
        <v>1160</v>
      </c>
      <c r="K100" s="319">
        <v>2021.0</v>
      </c>
      <c r="L100" s="218" t="s">
        <v>200</v>
      </c>
    </row>
    <row r="101">
      <c r="A101" s="223" t="s">
        <v>225</v>
      </c>
      <c r="B101" s="223" t="s">
        <v>1257</v>
      </c>
      <c r="C101" s="223" t="s">
        <v>1156</v>
      </c>
      <c r="D101" s="320">
        <v>44561.0</v>
      </c>
      <c r="I101" s="218">
        <v>54.9</v>
      </c>
      <c r="J101" s="223" t="s">
        <v>52</v>
      </c>
      <c r="K101" s="319">
        <v>2021.12</v>
      </c>
      <c r="L101" s="218" t="s">
        <v>200</v>
      </c>
    </row>
    <row r="102">
      <c r="A102" s="223" t="s">
        <v>1991</v>
      </c>
      <c r="B102" s="223" t="s">
        <v>1264</v>
      </c>
      <c r="C102" s="223" t="s">
        <v>2314</v>
      </c>
      <c r="D102" s="320">
        <v>44561.0</v>
      </c>
      <c r="I102" s="218">
        <v>200.0</v>
      </c>
      <c r="J102" s="223" t="s">
        <v>1992</v>
      </c>
      <c r="K102" s="319">
        <v>2021.0</v>
      </c>
      <c r="L102" s="218" t="s">
        <v>200</v>
      </c>
    </row>
    <row r="103">
      <c r="A103" s="223" t="s">
        <v>97</v>
      </c>
      <c r="B103" s="223" t="s">
        <v>1286</v>
      </c>
      <c r="C103" s="223" t="s">
        <v>1156</v>
      </c>
      <c r="D103" s="320">
        <v>44561.0</v>
      </c>
      <c r="I103" s="218">
        <v>125.0</v>
      </c>
      <c r="J103" s="223" t="s">
        <v>52</v>
      </c>
      <c r="K103" s="319">
        <v>2021.12</v>
      </c>
      <c r="L103" s="218" t="s">
        <v>200</v>
      </c>
    </row>
    <row r="104">
      <c r="A104" s="223" t="s">
        <v>147</v>
      </c>
      <c r="B104" s="223" t="s">
        <v>1194</v>
      </c>
      <c r="C104" s="223" t="s">
        <v>1156</v>
      </c>
      <c r="D104" s="320">
        <v>44561.0</v>
      </c>
      <c r="I104" s="218">
        <v>200.0</v>
      </c>
      <c r="J104" s="223" t="s">
        <v>52</v>
      </c>
      <c r="K104" s="319">
        <v>2021.12</v>
      </c>
      <c r="L104" s="218" t="s">
        <v>200</v>
      </c>
    </row>
    <row r="105">
      <c r="A105" s="223" t="s">
        <v>88</v>
      </c>
      <c r="B105" s="223" t="s">
        <v>1256</v>
      </c>
      <c r="C105" s="223" t="s">
        <v>1156</v>
      </c>
      <c r="D105" s="320">
        <v>44561.0</v>
      </c>
      <c r="I105" s="218">
        <v>212.5</v>
      </c>
      <c r="J105" s="223" t="s">
        <v>52</v>
      </c>
      <c r="K105" s="319">
        <v>2021.12</v>
      </c>
      <c r="L105" s="218" t="s">
        <v>200</v>
      </c>
    </row>
    <row r="106">
      <c r="A106" s="223" t="s">
        <v>73</v>
      </c>
      <c r="B106" s="223" t="s">
        <v>1327</v>
      </c>
      <c r="C106" s="223" t="s">
        <v>1156</v>
      </c>
      <c r="D106" s="320">
        <v>44561.0</v>
      </c>
      <c r="I106" s="218">
        <v>250.0</v>
      </c>
      <c r="J106" s="223" t="s">
        <v>52</v>
      </c>
      <c r="K106" s="319">
        <v>2021.12</v>
      </c>
      <c r="L106" s="218" t="s">
        <v>200</v>
      </c>
    </row>
    <row r="107">
      <c r="A107" s="223" t="s">
        <v>79</v>
      </c>
      <c r="B107" s="223" t="s">
        <v>1238</v>
      </c>
      <c r="C107" s="223" t="s">
        <v>1156</v>
      </c>
      <c r="D107" s="320">
        <v>44561.0</v>
      </c>
      <c r="I107" s="218">
        <v>250.0</v>
      </c>
      <c r="J107" s="223" t="s">
        <v>52</v>
      </c>
      <c r="K107" s="319">
        <v>2021.12</v>
      </c>
      <c r="L107" s="218" t="s">
        <v>200</v>
      </c>
    </row>
    <row r="108">
      <c r="A108" s="223" t="s">
        <v>1317</v>
      </c>
      <c r="B108" s="223" t="s">
        <v>1314</v>
      </c>
      <c r="C108" s="223" t="s">
        <v>1318</v>
      </c>
      <c r="D108" s="320">
        <v>44561.0</v>
      </c>
      <c r="I108" s="218">
        <v>150.0</v>
      </c>
      <c r="J108" s="223" t="s">
        <v>1160</v>
      </c>
      <c r="K108" s="319">
        <v>2021.0</v>
      </c>
      <c r="L108" s="218" t="s">
        <v>200</v>
      </c>
    </row>
    <row r="109">
      <c r="A109" s="223" t="s">
        <v>42</v>
      </c>
      <c r="B109" s="223" t="s">
        <v>1236</v>
      </c>
      <c r="C109" s="223" t="s">
        <v>1156</v>
      </c>
      <c r="D109" s="320">
        <v>44561.0</v>
      </c>
      <c r="I109" s="218">
        <v>300.0</v>
      </c>
      <c r="J109" s="223" t="s">
        <v>52</v>
      </c>
      <c r="K109" s="319">
        <v>2021.12</v>
      </c>
      <c r="L109" s="218" t="s">
        <v>200</v>
      </c>
    </row>
    <row r="110">
      <c r="A110" s="223" t="s">
        <v>92</v>
      </c>
      <c r="B110" s="223" t="s">
        <v>1289</v>
      </c>
      <c r="C110" s="223" t="s">
        <v>1156</v>
      </c>
      <c r="D110" s="320">
        <v>44561.0</v>
      </c>
      <c r="I110" s="218">
        <v>212.5</v>
      </c>
      <c r="J110" s="223" t="s">
        <v>52</v>
      </c>
      <c r="K110" s="319">
        <v>2021.12</v>
      </c>
      <c r="L110" s="218" t="s">
        <v>200</v>
      </c>
    </row>
    <row r="111">
      <c r="A111" s="223" t="s">
        <v>54</v>
      </c>
      <c r="B111" s="223" t="s">
        <v>1187</v>
      </c>
      <c r="C111" s="223" t="s">
        <v>1156</v>
      </c>
      <c r="D111" s="320">
        <v>44561.0</v>
      </c>
      <c r="I111" s="218">
        <v>450.0</v>
      </c>
      <c r="J111" s="223" t="s">
        <v>52</v>
      </c>
      <c r="K111" s="319">
        <v>2021.12</v>
      </c>
      <c r="L111" s="218" t="s">
        <v>200</v>
      </c>
    </row>
    <row r="112">
      <c r="A112" s="223" t="s">
        <v>147</v>
      </c>
      <c r="B112" s="223" t="s">
        <v>1194</v>
      </c>
      <c r="C112" s="223" t="s">
        <v>1156</v>
      </c>
      <c r="D112" s="320">
        <v>44561.0</v>
      </c>
      <c r="I112" s="218">
        <v>250.0</v>
      </c>
      <c r="J112" s="223" t="s">
        <v>52</v>
      </c>
      <c r="K112" s="319">
        <v>2021.12</v>
      </c>
      <c r="L112" s="218" t="s">
        <v>200</v>
      </c>
    </row>
    <row r="113">
      <c r="A113" s="223" t="s">
        <v>102</v>
      </c>
      <c r="B113" s="223" t="s">
        <v>1259</v>
      </c>
      <c r="C113" s="223" t="s">
        <v>1156</v>
      </c>
      <c r="D113" s="320">
        <v>44561.0</v>
      </c>
      <c r="I113" s="218">
        <v>250.0</v>
      </c>
      <c r="J113" s="223" t="s">
        <v>52</v>
      </c>
      <c r="K113" s="319">
        <v>2021.12</v>
      </c>
      <c r="L113" s="218" t="s">
        <v>200</v>
      </c>
    </row>
    <row r="114">
      <c r="A114" s="223" t="s">
        <v>1269</v>
      </c>
      <c r="B114" s="223" t="s">
        <v>1264</v>
      </c>
      <c r="C114" s="223" t="s">
        <v>1270</v>
      </c>
      <c r="D114" s="320">
        <v>44561.0</v>
      </c>
      <c r="I114" s="218">
        <v>100.0</v>
      </c>
      <c r="J114" s="223" t="s">
        <v>1152</v>
      </c>
      <c r="K114" s="319">
        <v>2021.0</v>
      </c>
      <c r="L114" s="218" t="s">
        <v>200</v>
      </c>
    </row>
    <row r="115">
      <c r="A115" s="223" t="s">
        <v>177</v>
      </c>
      <c r="B115" s="223" t="s">
        <v>1233</v>
      </c>
      <c r="C115" s="223" t="s">
        <v>1234</v>
      </c>
      <c r="D115" s="320">
        <v>44561.0</v>
      </c>
      <c r="I115" s="218">
        <v>137.5</v>
      </c>
      <c r="J115" s="223" t="s">
        <v>1160</v>
      </c>
      <c r="K115" s="319">
        <v>2021.0</v>
      </c>
      <c r="L115" s="218" t="s">
        <v>200</v>
      </c>
    </row>
    <row r="116">
      <c r="A116" s="223" t="s">
        <v>81</v>
      </c>
      <c r="B116" s="223" t="s">
        <v>1255</v>
      </c>
      <c r="C116" s="223" t="s">
        <v>1156</v>
      </c>
      <c r="D116" s="320">
        <v>44561.0</v>
      </c>
      <c r="I116" s="218">
        <v>250.0</v>
      </c>
      <c r="J116" s="223" t="s">
        <v>52</v>
      </c>
      <c r="K116" s="319">
        <v>2021.12</v>
      </c>
      <c r="L116" s="218" t="s">
        <v>200</v>
      </c>
    </row>
    <row r="117">
      <c r="A117" s="223" t="s">
        <v>1269</v>
      </c>
      <c r="B117" s="223" t="s">
        <v>1264</v>
      </c>
      <c r="C117" s="223" t="s">
        <v>1270</v>
      </c>
      <c r="D117" s="320">
        <v>44561.0</v>
      </c>
      <c r="I117" s="218">
        <v>62.5</v>
      </c>
      <c r="J117" s="223" t="s">
        <v>1152</v>
      </c>
      <c r="K117" s="319">
        <v>2021.0</v>
      </c>
      <c r="L117" s="218" t="s">
        <v>200</v>
      </c>
    </row>
    <row r="118">
      <c r="A118" s="223" t="s">
        <v>115</v>
      </c>
      <c r="B118" s="223" t="s">
        <v>1308</v>
      </c>
      <c r="C118" s="223" t="s">
        <v>1156</v>
      </c>
      <c r="D118" s="320">
        <v>44561.0</v>
      </c>
      <c r="I118" s="218">
        <v>662.5</v>
      </c>
      <c r="J118" s="223" t="s">
        <v>52</v>
      </c>
      <c r="K118" s="319">
        <v>2021.12</v>
      </c>
      <c r="L118" s="218" t="s">
        <v>200</v>
      </c>
    </row>
    <row r="119">
      <c r="A119" s="223" t="s">
        <v>118</v>
      </c>
      <c r="B119" s="223" t="s">
        <v>1312</v>
      </c>
      <c r="C119" s="223" t="s">
        <v>1156</v>
      </c>
      <c r="D119" s="320">
        <v>44561.0</v>
      </c>
      <c r="I119" s="218">
        <v>662.5</v>
      </c>
      <c r="J119" s="223" t="s">
        <v>52</v>
      </c>
      <c r="K119" s="319">
        <v>2021.12</v>
      </c>
      <c r="L119" s="218" t="s">
        <v>200</v>
      </c>
    </row>
    <row r="120">
      <c r="A120" s="223" t="s">
        <v>92</v>
      </c>
      <c r="B120" s="223" t="s">
        <v>1289</v>
      </c>
      <c r="C120" s="223" t="s">
        <v>1156</v>
      </c>
      <c r="D120" s="320">
        <v>44561.0</v>
      </c>
      <c r="I120" s="218">
        <v>350.0</v>
      </c>
      <c r="J120" s="223" t="s">
        <v>52</v>
      </c>
      <c r="K120" s="319">
        <v>2021.12</v>
      </c>
      <c r="L120" s="218" t="s">
        <v>200</v>
      </c>
    </row>
    <row r="121">
      <c r="A121" s="223" t="s">
        <v>84</v>
      </c>
      <c r="B121" s="223" t="s">
        <v>1227</v>
      </c>
      <c r="C121" s="223" t="s">
        <v>1156</v>
      </c>
      <c r="D121" s="320">
        <v>44561.0</v>
      </c>
      <c r="I121" s="218">
        <v>475.0</v>
      </c>
      <c r="J121" s="223" t="s">
        <v>52</v>
      </c>
      <c r="K121" s="319">
        <v>2021.12</v>
      </c>
      <c r="L121" s="218" t="s">
        <v>200</v>
      </c>
    </row>
    <row r="122">
      <c r="A122" s="223" t="s">
        <v>123</v>
      </c>
      <c r="B122" s="223" t="s">
        <v>1300</v>
      </c>
      <c r="C122" s="223" t="s">
        <v>1156</v>
      </c>
      <c r="D122" s="320">
        <v>44561.0</v>
      </c>
      <c r="I122" s="218">
        <v>1287.5</v>
      </c>
      <c r="J122" s="223" t="s">
        <v>52</v>
      </c>
      <c r="K122" s="319">
        <v>2021.12</v>
      </c>
      <c r="L122" s="218" t="s">
        <v>200</v>
      </c>
    </row>
    <row r="123">
      <c r="A123" s="223" t="s">
        <v>62</v>
      </c>
      <c r="B123" s="223" t="s">
        <v>1304</v>
      </c>
      <c r="C123" s="223" t="s">
        <v>1156</v>
      </c>
      <c r="D123" s="320">
        <v>44561.0</v>
      </c>
      <c r="I123" s="218">
        <v>400.0</v>
      </c>
      <c r="J123" s="223" t="s">
        <v>52</v>
      </c>
      <c r="K123" s="319">
        <v>2021.12</v>
      </c>
      <c r="L123" s="218" t="s">
        <v>200</v>
      </c>
    </row>
    <row r="124">
      <c r="A124" s="223" t="s">
        <v>147</v>
      </c>
      <c r="B124" s="223" t="s">
        <v>1194</v>
      </c>
      <c r="C124" s="223" t="s">
        <v>1156</v>
      </c>
      <c r="D124" s="320">
        <v>44561.0</v>
      </c>
      <c r="I124" s="218">
        <v>75.0</v>
      </c>
      <c r="J124" s="223" t="s">
        <v>52</v>
      </c>
      <c r="K124" s="319">
        <v>2021.12</v>
      </c>
      <c r="L124" s="218" t="s">
        <v>200</v>
      </c>
    </row>
    <row r="125">
      <c r="A125" s="223" t="s">
        <v>92</v>
      </c>
      <c r="B125" s="223" t="s">
        <v>1289</v>
      </c>
      <c r="C125" s="223" t="s">
        <v>1156</v>
      </c>
      <c r="D125" s="320">
        <v>44561.0</v>
      </c>
      <c r="I125" s="218">
        <v>575.0</v>
      </c>
      <c r="J125" s="223" t="s">
        <v>52</v>
      </c>
      <c r="K125" s="319">
        <v>2021.12</v>
      </c>
      <c r="L125" s="218" t="s">
        <v>200</v>
      </c>
    </row>
    <row r="126">
      <c r="A126" s="223" t="s">
        <v>88</v>
      </c>
      <c r="B126" s="223" t="s">
        <v>1256</v>
      </c>
      <c r="C126" s="223" t="s">
        <v>1156</v>
      </c>
      <c r="D126" s="320">
        <v>44561.0</v>
      </c>
      <c r="I126" s="218">
        <v>45.0</v>
      </c>
      <c r="J126" s="223" t="s">
        <v>52</v>
      </c>
      <c r="K126" s="319">
        <v>2021.12</v>
      </c>
      <c r="L126" s="218" t="s">
        <v>200</v>
      </c>
    </row>
    <row r="127">
      <c r="A127" s="223" t="s">
        <v>151</v>
      </c>
      <c r="B127" s="223" t="s">
        <v>1262</v>
      </c>
      <c r="C127" s="223" t="s">
        <v>1156</v>
      </c>
      <c r="D127" s="320">
        <v>44561.0</v>
      </c>
      <c r="I127" s="218">
        <v>310.0</v>
      </c>
      <c r="J127" s="223" t="s">
        <v>52</v>
      </c>
      <c r="K127" s="319">
        <v>2021.12</v>
      </c>
      <c r="L127" s="218" t="s">
        <v>200</v>
      </c>
    </row>
    <row r="128">
      <c r="A128" s="223" t="s">
        <v>112</v>
      </c>
      <c r="B128" s="223" t="s">
        <v>1296</v>
      </c>
      <c r="C128" s="223" t="s">
        <v>2309</v>
      </c>
      <c r="D128" s="320">
        <v>44561.0</v>
      </c>
      <c r="I128" s="218">
        <v>180.0</v>
      </c>
      <c r="J128" s="223" t="s">
        <v>52</v>
      </c>
      <c r="K128" s="319">
        <v>2021.12</v>
      </c>
      <c r="L128" s="218" t="s">
        <v>200</v>
      </c>
    </row>
    <row r="129">
      <c r="A129" s="223" t="s">
        <v>86</v>
      </c>
      <c r="B129" s="223" t="s">
        <v>1235</v>
      </c>
      <c r="C129" s="223" t="s">
        <v>1156</v>
      </c>
      <c r="D129" s="320">
        <v>44561.0</v>
      </c>
      <c r="I129" s="218">
        <v>180.0</v>
      </c>
      <c r="J129" s="223" t="s">
        <v>52</v>
      </c>
      <c r="K129" s="319">
        <v>2021.12</v>
      </c>
      <c r="L129" s="218" t="s">
        <v>200</v>
      </c>
    </row>
    <row r="130">
      <c r="A130" s="223" t="s">
        <v>97</v>
      </c>
      <c r="B130" s="223" t="s">
        <v>1286</v>
      </c>
      <c r="C130" s="223" t="s">
        <v>1156</v>
      </c>
      <c r="D130" s="320">
        <v>44561.0</v>
      </c>
      <c r="I130" s="218">
        <v>30.0</v>
      </c>
      <c r="J130" s="223" t="s">
        <v>52</v>
      </c>
      <c r="K130" s="319">
        <v>2021.12</v>
      </c>
      <c r="L130" s="218" t="s">
        <v>200</v>
      </c>
    </row>
    <row r="131">
      <c r="A131" s="223" t="s">
        <v>82</v>
      </c>
      <c r="B131" s="223" t="s">
        <v>1124</v>
      </c>
      <c r="C131" s="223" t="s">
        <v>1156</v>
      </c>
      <c r="D131" s="320">
        <v>44561.0</v>
      </c>
      <c r="I131" s="218">
        <v>300.0</v>
      </c>
      <c r="J131" s="223" t="s">
        <v>52</v>
      </c>
      <c r="K131" s="319">
        <v>2021.12</v>
      </c>
      <c r="L131" s="218" t="s">
        <v>200</v>
      </c>
    </row>
    <row r="132">
      <c r="A132" s="223" t="s">
        <v>99</v>
      </c>
      <c r="B132" s="223" t="s">
        <v>1192</v>
      </c>
      <c r="C132" s="223" t="s">
        <v>1156</v>
      </c>
      <c r="D132" s="320">
        <v>44561.0</v>
      </c>
      <c r="I132" s="218">
        <v>495.0</v>
      </c>
      <c r="J132" s="223" t="s">
        <v>52</v>
      </c>
      <c r="K132" s="319">
        <v>2021.12</v>
      </c>
      <c r="L132" s="218" t="s">
        <v>200</v>
      </c>
    </row>
    <row r="133">
      <c r="A133" s="223" t="s">
        <v>68</v>
      </c>
      <c r="B133" s="223" t="s">
        <v>1178</v>
      </c>
      <c r="C133" s="223" t="s">
        <v>1156</v>
      </c>
      <c r="D133" s="320">
        <v>44561.0</v>
      </c>
      <c r="I133" s="218">
        <v>297.5</v>
      </c>
      <c r="J133" s="223" t="s">
        <v>52</v>
      </c>
      <c r="K133" s="319">
        <v>2021.12</v>
      </c>
      <c r="L133" s="218" t="s">
        <v>200</v>
      </c>
    </row>
    <row r="134">
      <c r="A134" s="223" t="s">
        <v>42</v>
      </c>
      <c r="B134" s="223" t="s">
        <v>1236</v>
      </c>
      <c r="C134" s="223" t="s">
        <v>1156</v>
      </c>
      <c r="D134" s="320">
        <v>44561.0</v>
      </c>
      <c r="I134" s="218">
        <v>322.5</v>
      </c>
      <c r="J134" s="223" t="s">
        <v>52</v>
      </c>
      <c r="K134" s="319">
        <v>2021.12</v>
      </c>
      <c r="L134" s="218" t="s">
        <v>200</v>
      </c>
    </row>
    <row r="135">
      <c r="A135" s="223" t="s">
        <v>58</v>
      </c>
      <c r="B135" s="223" t="s">
        <v>1197</v>
      </c>
      <c r="C135" s="223" t="s">
        <v>1156</v>
      </c>
      <c r="D135" s="320">
        <v>44561.0</v>
      </c>
      <c r="I135" s="218">
        <v>400.0</v>
      </c>
      <c r="J135" s="223" t="s">
        <v>52</v>
      </c>
      <c r="K135" s="319">
        <v>2021.12</v>
      </c>
      <c r="L135" s="218" t="s">
        <v>200</v>
      </c>
    </row>
    <row r="136">
      <c r="A136" s="223" t="s">
        <v>123</v>
      </c>
      <c r="B136" s="223" t="s">
        <v>1300</v>
      </c>
      <c r="C136" s="223" t="s">
        <v>1156</v>
      </c>
      <c r="D136" s="320">
        <v>44561.0</v>
      </c>
      <c r="I136" s="218">
        <v>700.0</v>
      </c>
      <c r="J136" s="223" t="s">
        <v>52</v>
      </c>
      <c r="K136" s="319">
        <v>2021.12</v>
      </c>
      <c r="L136" s="218" t="s">
        <v>200</v>
      </c>
    </row>
    <row r="137">
      <c r="A137" s="223" t="s">
        <v>73</v>
      </c>
      <c r="B137" s="223" t="s">
        <v>1327</v>
      </c>
      <c r="C137" s="223" t="s">
        <v>1156</v>
      </c>
      <c r="D137" s="320">
        <v>44561.0</v>
      </c>
      <c r="I137" s="218">
        <v>60.0</v>
      </c>
      <c r="J137" s="223" t="s">
        <v>52</v>
      </c>
      <c r="K137" s="319">
        <v>2021.12</v>
      </c>
      <c r="L137" s="218" t="s">
        <v>200</v>
      </c>
    </row>
    <row r="138">
      <c r="A138" s="223" t="s">
        <v>50</v>
      </c>
      <c r="B138" s="223" t="s">
        <v>1275</v>
      </c>
      <c r="C138" s="223" t="s">
        <v>1156</v>
      </c>
      <c r="D138" s="320">
        <v>44561.0</v>
      </c>
      <c r="I138" s="218">
        <v>167.5</v>
      </c>
      <c r="J138" s="223" t="s">
        <v>52</v>
      </c>
      <c r="K138" s="319">
        <v>2021.12</v>
      </c>
      <c r="L138" s="218" t="s">
        <v>200</v>
      </c>
    </row>
    <row r="139">
      <c r="A139" s="223" t="s">
        <v>62</v>
      </c>
      <c r="B139" s="223" t="s">
        <v>1304</v>
      </c>
      <c r="C139" s="223" t="s">
        <v>1156</v>
      </c>
      <c r="D139" s="320">
        <v>44561.0</v>
      </c>
      <c r="I139" s="218">
        <v>350.0</v>
      </c>
      <c r="J139" s="223" t="s">
        <v>52</v>
      </c>
      <c r="K139" s="319">
        <v>2021.12</v>
      </c>
      <c r="L139" s="218" t="s">
        <v>200</v>
      </c>
    </row>
    <row r="140">
      <c r="A140" s="223" t="s">
        <v>137</v>
      </c>
      <c r="B140" s="223" t="s">
        <v>1309</v>
      </c>
      <c r="C140" s="223" t="s">
        <v>1310</v>
      </c>
      <c r="D140" s="320">
        <v>44561.0</v>
      </c>
      <c r="I140" s="218">
        <v>750.0</v>
      </c>
      <c r="J140" s="223" t="s">
        <v>1160</v>
      </c>
      <c r="K140" s="319">
        <v>2021.0</v>
      </c>
      <c r="L140" s="218" t="s">
        <v>200</v>
      </c>
    </row>
    <row r="141">
      <c r="A141" s="223" t="s">
        <v>225</v>
      </c>
      <c r="B141" s="223" t="s">
        <v>1257</v>
      </c>
      <c r="C141" s="223" t="s">
        <v>1156</v>
      </c>
      <c r="D141" s="320">
        <v>44561.0</v>
      </c>
      <c r="I141" s="218">
        <v>50.0</v>
      </c>
      <c r="J141" s="223" t="s">
        <v>52</v>
      </c>
      <c r="K141" s="319">
        <v>2021.12</v>
      </c>
      <c r="L141" s="218" t="s">
        <v>200</v>
      </c>
    </row>
    <row r="142">
      <c r="A142" s="223" t="s">
        <v>120</v>
      </c>
      <c r="B142" s="223" t="s">
        <v>1215</v>
      </c>
      <c r="C142" s="223" t="s">
        <v>1156</v>
      </c>
      <c r="D142" s="320">
        <v>44561.0</v>
      </c>
      <c r="I142" s="218">
        <v>387.5</v>
      </c>
      <c r="J142" s="223" t="s">
        <v>52</v>
      </c>
      <c r="K142" s="319">
        <v>2021.12</v>
      </c>
      <c r="L142" s="218" t="s">
        <v>200</v>
      </c>
    </row>
    <row r="143">
      <c r="A143" s="223" t="s">
        <v>58</v>
      </c>
      <c r="B143" s="223" t="s">
        <v>1197</v>
      </c>
      <c r="C143" s="223" t="s">
        <v>1156</v>
      </c>
      <c r="D143" s="320">
        <v>44561.0</v>
      </c>
      <c r="I143" s="218">
        <v>250.0</v>
      </c>
      <c r="J143" s="223" t="s">
        <v>52</v>
      </c>
      <c r="K143" s="319">
        <v>2021.12</v>
      </c>
      <c r="L143" s="218" t="s">
        <v>200</v>
      </c>
    </row>
    <row r="144">
      <c r="A144" s="223" t="s">
        <v>81</v>
      </c>
      <c r="B144" s="223" t="s">
        <v>1255</v>
      </c>
      <c r="C144" s="223" t="s">
        <v>1156</v>
      </c>
      <c r="D144" s="320">
        <v>44561.0</v>
      </c>
      <c r="I144" s="218">
        <v>347.5</v>
      </c>
      <c r="J144" s="223" t="s">
        <v>52</v>
      </c>
      <c r="K144" s="319">
        <v>2021.12</v>
      </c>
      <c r="L144" s="218" t="s">
        <v>200</v>
      </c>
    </row>
    <row r="145">
      <c r="A145" s="223" t="s">
        <v>54</v>
      </c>
      <c r="B145" s="223" t="s">
        <v>1187</v>
      </c>
      <c r="C145" s="223" t="s">
        <v>1156</v>
      </c>
      <c r="D145" s="320">
        <v>44561.0</v>
      </c>
      <c r="I145" s="218">
        <v>212.5</v>
      </c>
      <c r="J145" s="223" t="s">
        <v>52</v>
      </c>
      <c r="K145" s="319">
        <v>2021.12</v>
      </c>
      <c r="L145" s="218" t="s">
        <v>200</v>
      </c>
    </row>
    <row r="146">
      <c r="A146" s="223" t="s">
        <v>75</v>
      </c>
      <c r="B146" s="223" t="s">
        <v>1279</v>
      </c>
      <c r="C146" s="223" t="s">
        <v>1156</v>
      </c>
      <c r="D146" s="320">
        <v>44561.0</v>
      </c>
      <c r="I146" s="218">
        <v>225.0</v>
      </c>
      <c r="J146" s="223" t="s">
        <v>52</v>
      </c>
      <c r="K146" s="319">
        <v>2021.12</v>
      </c>
      <c r="L146" s="218" t="s">
        <v>200</v>
      </c>
    </row>
    <row r="147">
      <c r="A147" s="223" t="s">
        <v>177</v>
      </c>
      <c r="B147" s="223" t="s">
        <v>1233</v>
      </c>
      <c r="C147" s="223" t="s">
        <v>1234</v>
      </c>
      <c r="D147" s="320">
        <v>44561.0</v>
      </c>
      <c r="I147" s="218">
        <v>600.0</v>
      </c>
      <c r="J147" s="223" t="s">
        <v>1160</v>
      </c>
      <c r="K147" s="319">
        <v>2021.0</v>
      </c>
      <c r="L147" s="218" t="s">
        <v>200</v>
      </c>
    </row>
    <row r="148">
      <c r="A148" s="223" t="s">
        <v>156</v>
      </c>
      <c r="B148" s="223" t="s">
        <v>1293</v>
      </c>
      <c r="C148" s="223" t="s">
        <v>1156</v>
      </c>
      <c r="D148" s="320">
        <v>44561.0</v>
      </c>
      <c r="I148" s="218">
        <v>225.0</v>
      </c>
      <c r="J148" s="223" t="s">
        <v>52</v>
      </c>
      <c r="K148" s="319">
        <v>2021.12</v>
      </c>
      <c r="L148" s="218" t="s">
        <v>200</v>
      </c>
    </row>
    <row r="149">
      <c r="A149" s="223" t="s">
        <v>221</v>
      </c>
      <c r="B149" s="223" t="s">
        <v>1216</v>
      </c>
      <c r="C149" s="223" t="s">
        <v>1217</v>
      </c>
      <c r="D149" s="320">
        <v>44561.0</v>
      </c>
      <c r="I149" s="218">
        <v>250.0</v>
      </c>
      <c r="J149" s="223" t="s">
        <v>1160</v>
      </c>
      <c r="K149" s="319">
        <v>2021.0</v>
      </c>
      <c r="L149" s="218" t="s">
        <v>200</v>
      </c>
    </row>
    <row r="150">
      <c r="A150" s="223" t="s">
        <v>1321</v>
      </c>
      <c r="B150" s="223" t="s">
        <v>1314</v>
      </c>
      <c r="C150" s="223" t="s">
        <v>1189</v>
      </c>
      <c r="D150" s="320">
        <v>44561.0</v>
      </c>
      <c r="I150" s="218">
        <v>400.0</v>
      </c>
      <c r="J150" s="223" t="s">
        <v>1160</v>
      </c>
      <c r="K150" s="319">
        <v>2021.0</v>
      </c>
      <c r="L150" s="218" t="s">
        <v>200</v>
      </c>
    </row>
    <row r="151">
      <c r="A151" s="223" t="s">
        <v>92</v>
      </c>
      <c r="B151" s="223" t="s">
        <v>1289</v>
      </c>
      <c r="C151" s="223" t="s">
        <v>1156</v>
      </c>
      <c r="D151" s="320">
        <v>44561.0</v>
      </c>
      <c r="I151" s="218">
        <v>450.0</v>
      </c>
      <c r="J151" s="223" t="s">
        <v>52</v>
      </c>
      <c r="K151" s="319">
        <v>2021.12</v>
      </c>
      <c r="L151" s="218" t="s">
        <v>200</v>
      </c>
    </row>
    <row r="152">
      <c r="A152" s="223" t="s">
        <v>1266</v>
      </c>
      <c r="B152" s="223" t="s">
        <v>1264</v>
      </c>
      <c r="C152" s="223" t="s">
        <v>1267</v>
      </c>
      <c r="D152" s="320">
        <v>44561.0</v>
      </c>
      <c r="I152" s="218">
        <v>112.5</v>
      </c>
      <c r="J152" s="223" t="s">
        <v>1152</v>
      </c>
      <c r="K152" s="319">
        <v>2021.0</v>
      </c>
      <c r="L152" s="218" t="s">
        <v>200</v>
      </c>
    </row>
    <row r="153">
      <c r="A153" s="223" t="s">
        <v>17</v>
      </c>
      <c r="B153" s="223" t="s">
        <v>1325</v>
      </c>
      <c r="C153" s="223" t="s">
        <v>1175</v>
      </c>
      <c r="D153" s="320">
        <v>44531.0</v>
      </c>
      <c r="I153" s="218">
        <v>159.58</v>
      </c>
      <c r="J153" s="223" t="s">
        <v>1160</v>
      </c>
      <c r="K153" s="319">
        <v>2021.0</v>
      </c>
      <c r="L153" s="218">
        <v>159.58</v>
      </c>
    </row>
    <row r="154">
      <c r="A154" s="223" t="s">
        <v>1271</v>
      </c>
      <c r="B154" s="223" t="s">
        <v>1264</v>
      </c>
      <c r="C154" s="223" t="s">
        <v>1272</v>
      </c>
      <c r="D154" s="320">
        <v>44539.0</v>
      </c>
      <c r="I154" s="218">
        <v>336.35</v>
      </c>
      <c r="J154" s="223" t="s">
        <v>1152</v>
      </c>
      <c r="K154" s="319">
        <v>2021.0</v>
      </c>
      <c r="L154" s="218" t="s">
        <v>200</v>
      </c>
    </row>
    <row r="155">
      <c r="A155" s="223" t="s">
        <v>137</v>
      </c>
      <c r="B155" s="223" t="s">
        <v>1309</v>
      </c>
      <c r="C155" s="223" t="s">
        <v>1310</v>
      </c>
      <c r="D155" s="320">
        <v>44547.0</v>
      </c>
      <c r="I155" s="218">
        <v>90.95</v>
      </c>
      <c r="J155" s="223" t="s">
        <v>1160</v>
      </c>
      <c r="K155" s="319">
        <v>2021.0</v>
      </c>
      <c r="L155" s="218" t="s">
        <v>200</v>
      </c>
    </row>
    <row r="156">
      <c r="A156" s="223" t="s">
        <v>115</v>
      </c>
      <c r="B156" s="223" t="s">
        <v>1308</v>
      </c>
      <c r="C156" s="223" t="s">
        <v>1156</v>
      </c>
      <c r="D156" s="320">
        <v>44550.0</v>
      </c>
      <c r="I156" s="218">
        <v>750.0</v>
      </c>
      <c r="J156" s="223" t="s">
        <v>52</v>
      </c>
      <c r="K156" s="319">
        <v>2021.12</v>
      </c>
      <c r="L156" s="218">
        <v>750.0</v>
      </c>
    </row>
    <row r="157">
      <c r="A157" s="223" t="s">
        <v>118</v>
      </c>
      <c r="B157" s="223" t="s">
        <v>1312</v>
      </c>
      <c r="C157" s="223" t="s">
        <v>1156</v>
      </c>
      <c r="D157" s="320">
        <v>44552.0</v>
      </c>
      <c r="I157" s="218">
        <v>750.0</v>
      </c>
      <c r="J157" s="223" t="s">
        <v>52</v>
      </c>
      <c r="K157" s="319">
        <v>2021.12</v>
      </c>
      <c r="L157" s="218">
        <v>750.0</v>
      </c>
    </row>
    <row r="158">
      <c r="A158" s="223" t="s">
        <v>92</v>
      </c>
      <c r="B158" s="223" t="s">
        <v>1289</v>
      </c>
      <c r="C158" s="223" t="s">
        <v>1156</v>
      </c>
      <c r="D158" s="320">
        <v>44553.0</v>
      </c>
      <c r="I158" s="218">
        <v>70.0</v>
      </c>
      <c r="J158" s="223" t="s">
        <v>52</v>
      </c>
      <c r="K158" s="319">
        <v>2021.12</v>
      </c>
      <c r="L158" s="218">
        <v>70.0</v>
      </c>
    </row>
    <row r="159">
      <c r="A159" s="223" t="s">
        <v>92</v>
      </c>
      <c r="B159" s="223" t="s">
        <v>1289</v>
      </c>
      <c r="C159" s="223" t="s">
        <v>1156</v>
      </c>
      <c r="D159" s="320">
        <v>44555.0</v>
      </c>
      <c r="I159" s="218">
        <v>13.4</v>
      </c>
      <c r="J159" s="223" t="s">
        <v>52</v>
      </c>
      <c r="K159" s="319">
        <v>2021.12</v>
      </c>
      <c r="L159" s="218">
        <v>13.4</v>
      </c>
    </row>
    <row r="160">
      <c r="A160" s="223" t="s">
        <v>189</v>
      </c>
      <c r="B160" s="223" t="s">
        <v>1158</v>
      </c>
      <c r="C160" s="223" t="s">
        <v>1159</v>
      </c>
      <c r="D160" s="320">
        <v>44561.0</v>
      </c>
      <c r="I160" s="218">
        <v>684.35</v>
      </c>
      <c r="J160" s="223" t="s">
        <v>1160</v>
      </c>
      <c r="K160" s="319">
        <v>2021.0</v>
      </c>
      <c r="L160" s="218" t="s">
        <v>200</v>
      </c>
    </row>
    <row r="161">
      <c r="A161" s="223" t="s">
        <v>39</v>
      </c>
      <c r="B161" s="223" t="s">
        <v>1170</v>
      </c>
      <c r="C161" s="223" t="s">
        <v>1172</v>
      </c>
      <c r="D161" s="320">
        <v>44561.0</v>
      </c>
      <c r="I161" s="218">
        <v>48.65</v>
      </c>
      <c r="J161" s="223" t="s">
        <v>1160</v>
      </c>
      <c r="K161" s="319">
        <v>2021.0</v>
      </c>
      <c r="L161" s="218" t="s">
        <v>200</v>
      </c>
    </row>
    <row r="162">
      <c r="A162" s="223" t="s">
        <v>60</v>
      </c>
      <c r="B162" s="223" t="s">
        <v>1185</v>
      </c>
      <c r="C162" s="223" t="s">
        <v>1168</v>
      </c>
      <c r="D162" s="320">
        <v>44561.0</v>
      </c>
      <c r="I162" s="218">
        <v>272.88</v>
      </c>
      <c r="J162" s="223" t="s">
        <v>1160</v>
      </c>
      <c r="K162" s="319">
        <v>2021.0</v>
      </c>
      <c r="L162" s="218" t="s">
        <v>200</v>
      </c>
    </row>
    <row r="163">
      <c r="A163" s="223" t="s">
        <v>96</v>
      </c>
      <c r="B163" s="223" t="s">
        <v>1188</v>
      </c>
      <c r="C163" s="223" t="s">
        <v>1156</v>
      </c>
      <c r="D163" s="320">
        <v>44561.0</v>
      </c>
      <c r="I163" s="218">
        <v>1.3</v>
      </c>
      <c r="J163" s="223" t="s">
        <v>52</v>
      </c>
      <c r="K163" s="319">
        <v>2021.12</v>
      </c>
      <c r="L163" s="218" t="s">
        <v>200</v>
      </c>
    </row>
    <row r="164">
      <c r="A164" s="223" t="s">
        <v>149</v>
      </c>
      <c r="B164" s="223" t="s">
        <v>1191</v>
      </c>
      <c r="C164" s="223" t="s">
        <v>1190</v>
      </c>
      <c r="D164" s="320">
        <v>44561.0</v>
      </c>
      <c r="I164" s="218">
        <v>12.25</v>
      </c>
      <c r="J164" s="223" t="s">
        <v>1152</v>
      </c>
      <c r="K164" s="319">
        <v>2021.0</v>
      </c>
      <c r="L164" s="218" t="s">
        <v>200</v>
      </c>
    </row>
    <row r="165">
      <c r="A165" s="223" t="s">
        <v>58</v>
      </c>
      <c r="B165" s="223" t="s">
        <v>1197</v>
      </c>
      <c r="C165" s="223" t="s">
        <v>1156</v>
      </c>
      <c r="D165" s="320">
        <v>44561.0</v>
      </c>
      <c r="I165" s="218">
        <v>36.61</v>
      </c>
      <c r="J165" s="223" t="s">
        <v>52</v>
      </c>
      <c r="K165" s="319">
        <v>2021.12</v>
      </c>
      <c r="L165" s="218" t="s">
        <v>200</v>
      </c>
    </row>
    <row r="166">
      <c r="A166" s="223" t="s">
        <v>159</v>
      </c>
      <c r="B166" s="223" t="s">
        <v>1200</v>
      </c>
      <c r="C166" s="223" t="s">
        <v>1201</v>
      </c>
      <c r="D166" s="320">
        <v>44561.0</v>
      </c>
      <c r="I166" s="218">
        <v>18.96</v>
      </c>
      <c r="J166" s="223" t="s">
        <v>1160</v>
      </c>
      <c r="K166" s="319">
        <v>2021.0</v>
      </c>
      <c r="L166" s="218" t="s">
        <v>200</v>
      </c>
    </row>
    <row r="167">
      <c r="A167" s="223" t="s">
        <v>120</v>
      </c>
      <c r="B167" s="223" t="s">
        <v>1215</v>
      </c>
      <c r="C167" s="223" t="s">
        <v>1156</v>
      </c>
      <c r="D167" s="320">
        <v>44561.0</v>
      </c>
      <c r="I167" s="218">
        <v>135.14</v>
      </c>
      <c r="J167" s="223" t="s">
        <v>52</v>
      </c>
      <c r="K167" s="319">
        <v>2021.12</v>
      </c>
      <c r="L167" s="218" t="s">
        <v>200</v>
      </c>
    </row>
    <row r="168">
      <c r="A168" s="223" t="s">
        <v>162</v>
      </c>
      <c r="B168" s="223" t="s">
        <v>1200</v>
      </c>
      <c r="C168" s="223" t="s">
        <v>1202</v>
      </c>
      <c r="D168" s="320">
        <v>44561.0</v>
      </c>
      <c r="I168" s="218">
        <v>22.36</v>
      </c>
      <c r="J168" s="223" t="s">
        <v>1160</v>
      </c>
      <c r="K168" s="319">
        <v>2021.0</v>
      </c>
      <c r="L168" s="218" t="s">
        <v>200</v>
      </c>
    </row>
    <row r="169">
      <c r="A169" s="223" t="s">
        <v>42</v>
      </c>
      <c r="B169" s="223" t="s">
        <v>1236</v>
      </c>
      <c r="C169" s="223" t="s">
        <v>1156</v>
      </c>
      <c r="D169" s="320">
        <v>44561.0</v>
      </c>
      <c r="I169" s="218">
        <v>131.39</v>
      </c>
      <c r="J169" s="223" t="s">
        <v>52</v>
      </c>
      <c r="K169" s="319">
        <v>2021.12</v>
      </c>
      <c r="L169" s="218" t="s">
        <v>200</v>
      </c>
    </row>
    <row r="170">
      <c r="A170" s="223" t="s">
        <v>166</v>
      </c>
      <c r="B170" s="223" t="s">
        <v>1259</v>
      </c>
      <c r="C170" s="223" t="s">
        <v>1168</v>
      </c>
      <c r="D170" s="320">
        <v>44561.0</v>
      </c>
      <c r="I170" s="218">
        <v>717.56</v>
      </c>
      <c r="J170" s="223" t="s">
        <v>1160</v>
      </c>
      <c r="K170" s="319">
        <v>2021.0</v>
      </c>
      <c r="L170" s="218" t="s">
        <v>200</v>
      </c>
    </row>
    <row r="171">
      <c r="A171" s="223" t="s">
        <v>1266</v>
      </c>
      <c r="B171" s="223" t="s">
        <v>1264</v>
      </c>
      <c r="C171" s="223" t="s">
        <v>1267</v>
      </c>
      <c r="D171" s="320">
        <v>44561.0</v>
      </c>
      <c r="I171" s="218">
        <v>78.08</v>
      </c>
      <c r="J171" s="223" t="s">
        <v>1152</v>
      </c>
      <c r="K171" s="319">
        <v>2021.0</v>
      </c>
      <c r="L171" s="218" t="s">
        <v>200</v>
      </c>
    </row>
    <row r="172">
      <c r="A172" s="223" t="s">
        <v>105</v>
      </c>
      <c r="B172" s="223" t="s">
        <v>1280</v>
      </c>
      <c r="C172" s="223" t="s">
        <v>2308</v>
      </c>
      <c r="D172" s="320">
        <v>44561.0</v>
      </c>
      <c r="I172" s="218">
        <v>7.56</v>
      </c>
      <c r="J172" s="223" t="s">
        <v>1992</v>
      </c>
      <c r="K172" s="319">
        <v>2021.0</v>
      </c>
      <c r="L172" s="218" t="s">
        <v>200</v>
      </c>
    </row>
    <row r="173">
      <c r="A173" s="223" t="s">
        <v>90</v>
      </c>
      <c r="B173" s="223" t="s">
        <v>1282</v>
      </c>
      <c r="C173" s="223" t="s">
        <v>1156</v>
      </c>
      <c r="D173" s="320">
        <v>44561.0</v>
      </c>
      <c r="I173" s="218">
        <v>63.93</v>
      </c>
      <c r="J173" s="223" t="s">
        <v>52</v>
      </c>
      <c r="K173" s="319">
        <v>2021.12</v>
      </c>
      <c r="L173" s="218" t="s">
        <v>200</v>
      </c>
    </row>
    <row r="174">
      <c r="A174" s="223" t="s">
        <v>137</v>
      </c>
      <c r="B174" s="223" t="s">
        <v>1309</v>
      </c>
      <c r="C174" s="223" t="s">
        <v>1310</v>
      </c>
      <c r="D174" s="320">
        <v>44561.0</v>
      </c>
      <c r="I174" s="218">
        <v>604.37</v>
      </c>
      <c r="J174" s="223" t="s">
        <v>1160</v>
      </c>
      <c r="K174" s="319">
        <v>2021.0</v>
      </c>
      <c r="L174" s="218" t="s">
        <v>200</v>
      </c>
    </row>
    <row r="175">
      <c r="A175" s="223" t="s">
        <v>92</v>
      </c>
      <c r="B175" s="223" t="s">
        <v>1289</v>
      </c>
      <c r="C175" s="223" t="s">
        <v>1156</v>
      </c>
      <c r="D175" s="320">
        <v>44561.0</v>
      </c>
      <c r="I175" s="218">
        <v>1.21</v>
      </c>
      <c r="J175" s="223" t="s">
        <v>52</v>
      </c>
      <c r="K175" s="319">
        <v>2021.12</v>
      </c>
      <c r="L175" s="218" t="s">
        <v>200</v>
      </c>
    </row>
    <row r="176">
      <c r="A176" s="223" t="s">
        <v>33</v>
      </c>
      <c r="B176" s="223" t="s">
        <v>1294</v>
      </c>
      <c r="C176" s="223" t="s">
        <v>1168</v>
      </c>
      <c r="D176" s="320">
        <v>44561.0</v>
      </c>
      <c r="I176" s="218">
        <v>360.64</v>
      </c>
      <c r="J176" s="223" t="s">
        <v>1160</v>
      </c>
      <c r="K176" s="319">
        <v>2021.0</v>
      </c>
      <c r="L176" s="218" t="s">
        <v>200</v>
      </c>
    </row>
    <row r="177">
      <c r="A177" s="223" t="s">
        <v>135</v>
      </c>
      <c r="B177" s="223" t="s">
        <v>1311</v>
      </c>
      <c r="C177" s="223" t="s">
        <v>1168</v>
      </c>
      <c r="D177" s="320">
        <v>44561.0</v>
      </c>
      <c r="I177" s="218">
        <v>830.91</v>
      </c>
      <c r="J177" s="223" t="s">
        <v>1160</v>
      </c>
      <c r="K177" s="319">
        <v>2021.0</v>
      </c>
      <c r="L177" s="218" t="s">
        <v>200</v>
      </c>
    </row>
    <row r="178">
      <c r="A178" s="223" t="s">
        <v>70</v>
      </c>
      <c r="B178" s="223" t="s">
        <v>1239</v>
      </c>
      <c r="C178" s="223" t="s">
        <v>1168</v>
      </c>
      <c r="D178" s="320">
        <v>44561.0</v>
      </c>
      <c r="I178" s="218">
        <v>29.68</v>
      </c>
      <c r="J178" s="223" t="s">
        <v>1160</v>
      </c>
      <c r="K178" s="319">
        <v>2021.0</v>
      </c>
      <c r="L178" s="218" t="s">
        <v>200</v>
      </c>
    </row>
    <row r="179">
      <c r="A179" s="223" t="s">
        <v>1263</v>
      </c>
      <c r="B179" s="223" t="s">
        <v>1264</v>
      </c>
      <c r="C179" s="223" t="s">
        <v>1265</v>
      </c>
      <c r="D179" s="320">
        <v>44561.0</v>
      </c>
      <c r="I179" s="218">
        <v>158.96</v>
      </c>
      <c r="J179" s="223" t="s">
        <v>1152</v>
      </c>
      <c r="K179" s="319">
        <v>2021.0</v>
      </c>
      <c r="L179" s="218" t="s">
        <v>200</v>
      </c>
    </row>
    <row r="180">
      <c r="A180" s="223" t="s">
        <v>115</v>
      </c>
      <c r="B180" s="223" t="s">
        <v>1308</v>
      </c>
      <c r="C180" s="223" t="s">
        <v>1156</v>
      </c>
      <c r="D180" s="320">
        <v>44575.0</v>
      </c>
      <c r="I180" s="218">
        <v>750.0</v>
      </c>
      <c r="J180" s="223" t="s">
        <v>52</v>
      </c>
      <c r="K180" s="319">
        <v>2022.01</v>
      </c>
      <c r="L180" s="218">
        <v>750.0</v>
      </c>
    </row>
    <row r="181">
      <c r="A181" s="223" t="s">
        <v>118</v>
      </c>
      <c r="B181" s="223" t="s">
        <v>1312</v>
      </c>
      <c r="C181" s="223" t="s">
        <v>1156</v>
      </c>
      <c r="D181" s="320">
        <v>44577.0</v>
      </c>
      <c r="I181" s="218">
        <v>750.0</v>
      </c>
      <c r="J181" s="223" t="s">
        <v>52</v>
      </c>
      <c r="K181" s="319">
        <v>2022.01</v>
      </c>
      <c r="L181" s="218">
        <v>750.0</v>
      </c>
    </row>
    <row r="182">
      <c r="A182" s="223" t="s">
        <v>1266</v>
      </c>
      <c r="B182" s="223" t="s">
        <v>1264</v>
      </c>
      <c r="C182" s="223" t="s">
        <v>1267</v>
      </c>
      <c r="D182" s="320">
        <v>44544.0</v>
      </c>
      <c r="I182" s="218">
        <v>6.59</v>
      </c>
      <c r="J182" s="223" t="s">
        <v>1152</v>
      </c>
      <c r="K182" s="319">
        <v>2021.0</v>
      </c>
      <c r="L182" s="218" t="s">
        <v>200</v>
      </c>
    </row>
    <row r="183">
      <c r="A183" s="223" t="s">
        <v>1266</v>
      </c>
      <c r="B183" s="223" t="s">
        <v>1264</v>
      </c>
      <c r="C183" s="223" t="s">
        <v>1267</v>
      </c>
      <c r="D183" s="320">
        <v>44540.0</v>
      </c>
      <c r="I183" s="218">
        <v>29.66</v>
      </c>
      <c r="J183" s="223" t="s">
        <v>1152</v>
      </c>
      <c r="K183" s="319">
        <v>2021.0</v>
      </c>
      <c r="L183" s="218" t="s">
        <v>200</v>
      </c>
    </row>
    <row r="184">
      <c r="A184" s="223" t="s">
        <v>1266</v>
      </c>
      <c r="B184" s="223" t="s">
        <v>1264</v>
      </c>
      <c r="C184" s="223" t="s">
        <v>1267</v>
      </c>
      <c r="D184" s="320">
        <v>44566.0</v>
      </c>
      <c r="I184" s="218">
        <v>25.51</v>
      </c>
      <c r="J184" s="223" t="s">
        <v>1152</v>
      </c>
      <c r="K184" s="319">
        <v>2022.0</v>
      </c>
      <c r="L184" s="218" t="s">
        <v>200</v>
      </c>
    </row>
    <row r="185">
      <c r="A185" s="223" t="s">
        <v>42</v>
      </c>
      <c r="B185" s="223" t="s">
        <v>1236</v>
      </c>
      <c r="C185" s="223" t="s">
        <v>1156</v>
      </c>
      <c r="D185" s="320">
        <v>44568.0</v>
      </c>
      <c r="I185" s="218">
        <v>9.19</v>
      </c>
      <c r="J185" s="223" t="s">
        <v>52</v>
      </c>
      <c r="K185" s="319">
        <v>2022.01</v>
      </c>
      <c r="L185" s="218" t="s">
        <v>200</v>
      </c>
    </row>
    <row r="186">
      <c r="A186" s="223" t="s">
        <v>1266</v>
      </c>
      <c r="B186" s="223" t="s">
        <v>1264</v>
      </c>
      <c r="C186" s="223" t="s">
        <v>1267</v>
      </c>
      <c r="D186" s="320">
        <v>44568.0</v>
      </c>
      <c r="I186" s="218">
        <v>65.01</v>
      </c>
      <c r="J186" s="223" t="s">
        <v>1152</v>
      </c>
      <c r="K186" s="319">
        <v>2022.0</v>
      </c>
      <c r="L186" s="218" t="s">
        <v>200</v>
      </c>
    </row>
    <row r="187">
      <c r="A187" s="223" t="s">
        <v>1271</v>
      </c>
      <c r="B187" s="223" t="s">
        <v>1264</v>
      </c>
      <c r="C187" s="223" t="s">
        <v>1272</v>
      </c>
      <c r="D187" s="320">
        <v>44557.0</v>
      </c>
      <c r="I187" s="218">
        <v>51.97</v>
      </c>
      <c r="J187" s="223" t="s">
        <v>1152</v>
      </c>
      <c r="K187" s="319">
        <v>2021.0</v>
      </c>
      <c r="L187" s="218" t="s">
        <v>200</v>
      </c>
    </row>
    <row r="188">
      <c r="A188" s="223" t="s">
        <v>1322</v>
      </c>
      <c r="B188" s="223" t="s">
        <v>1314</v>
      </c>
      <c r="C188" s="223" t="s">
        <v>2315</v>
      </c>
      <c r="D188" s="320">
        <v>44562.0</v>
      </c>
      <c r="I188" s="218">
        <v>80.83</v>
      </c>
      <c r="J188" s="223" t="s">
        <v>1160</v>
      </c>
      <c r="K188" s="319">
        <v>2022.0</v>
      </c>
      <c r="L188" s="218">
        <v>80.83</v>
      </c>
    </row>
    <row r="189">
      <c r="A189" s="223" t="s">
        <v>39</v>
      </c>
      <c r="B189" s="223" t="s">
        <v>1170</v>
      </c>
      <c r="C189" s="223" t="s">
        <v>1172</v>
      </c>
      <c r="D189" s="320">
        <v>44592.0</v>
      </c>
      <c r="I189" s="218">
        <v>12.6</v>
      </c>
      <c r="J189" s="223" t="s">
        <v>1160</v>
      </c>
      <c r="K189" s="319">
        <v>2022.0</v>
      </c>
      <c r="L189" s="218" t="s">
        <v>200</v>
      </c>
    </row>
    <row r="190">
      <c r="A190" s="223" t="s">
        <v>246</v>
      </c>
      <c r="B190" s="223" t="s">
        <v>1184</v>
      </c>
      <c r="C190" s="223" t="s">
        <v>1156</v>
      </c>
      <c r="D190" s="320">
        <v>44592.0</v>
      </c>
      <c r="I190" s="218">
        <v>263.1</v>
      </c>
      <c r="J190" s="223" t="s">
        <v>52</v>
      </c>
      <c r="K190" s="319">
        <v>2022.01</v>
      </c>
      <c r="L190" s="218" t="s">
        <v>200</v>
      </c>
    </row>
    <row r="191">
      <c r="A191" s="223" t="s">
        <v>1319</v>
      </c>
      <c r="B191" s="223" t="s">
        <v>1314</v>
      </c>
      <c r="C191" s="223" t="s">
        <v>1320</v>
      </c>
      <c r="D191" s="320">
        <v>44592.0</v>
      </c>
      <c r="I191" s="218">
        <v>750.0</v>
      </c>
      <c r="J191" s="223" t="s">
        <v>1160</v>
      </c>
      <c r="K191" s="319">
        <v>2022.0</v>
      </c>
      <c r="L191" s="218" t="s">
        <v>200</v>
      </c>
    </row>
    <row r="192">
      <c r="A192" s="223" t="s">
        <v>97</v>
      </c>
      <c r="B192" s="223" t="s">
        <v>1286</v>
      </c>
      <c r="C192" s="223" t="s">
        <v>1156</v>
      </c>
      <c r="D192" s="320">
        <v>44592.0</v>
      </c>
      <c r="I192" s="218">
        <v>125.0</v>
      </c>
      <c r="J192" s="223" t="s">
        <v>52</v>
      </c>
      <c r="K192" s="319">
        <v>2022.01</v>
      </c>
      <c r="L192" s="218" t="s">
        <v>200</v>
      </c>
    </row>
    <row r="193">
      <c r="A193" s="223" t="s">
        <v>147</v>
      </c>
      <c r="B193" s="223" t="s">
        <v>1194</v>
      </c>
      <c r="C193" s="223" t="s">
        <v>1156</v>
      </c>
      <c r="D193" s="320">
        <v>44592.0</v>
      </c>
      <c r="I193" s="218">
        <v>200.0</v>
      </c>
      <c r="J193" s="223" t="s">
        <v>52</v>
      </c>
      <c r="K193" s="319">
        <v>2022.01</v>
      </c>
      <c r="L193" s="218" t="s">
        <v>200</v>
      </c>
    </row>
    <row r="194">
      <c r="A194" s="223" t="s">
        <v>88</v>
      </c>
      <c r="B194" s="223" t="s">
        <v>1256</v>
      </c>
      <c r="C194" s="223" t="s">
        <v>1156</v>
      </c>
      <c r="D194" s="320">
        <v>44592.0</v>
      </c>
      <c r="I194" s="218">
        <v>212.5</v>
      </c>
      <c r="J194" s="223" t="s">
        <v>52</v>
      </c>
      <c r="K194" s="319">
        <v>2022.01</v>
      </c>
      <c r="L194" s="218" t="s">
        <v>200</v>
      </c>
    </row>
    <row r="195">
      <c r="A195" s="223" t="s">
        <v>73</v>
      </c>
      <c r="B195" s="223" t="s">
        <v>1327</v>
      </c>
      <c r="C195" s="223" t="s">
        <v>1156</v>
      </c>
      <c r="D195" s="320">
        <v>44592.0</v>
      </c>
      <c r="I195" s="218">
        <v>250.0</v>
      </c>
      <c r="J195" s="223" t="s">
        <v>52</v>
      </c>
      <c r="K195" s="319">
        <v>2022.01</v>
      </c>
      <c r="L195" s="218" t="s">
        <v>200</v>
      </c>
    </row>
    <row r="196">
      <c r="A196" s="223" t="s">
        <v>79</v>
      </c>
      <c r="B196" s="223" t="s">
        <v>1238</v>
      </c>
      <c r="C196" s="223" t="s">
        <v>1156</v>
      </c>
      <c r="D196" s="320">
        <v>44592.0</v>
      </c>
      <c r="I196" s="218">
        <v>250.0</v>
      </c>
      <c r="J196" s="223" t="s">
        <v>52</v>
      </c>
      <c r="K196" s="319">
        <v>2022.01</v>
      </c>
      <c r="L196" s="218" t="s">
        <v>200</v>
      </c>
    </row>
    <row r="197">
      <c r="A197" s="223" t="s">
        <v>1317</v>
      </c>
      <c r="B197" s="223" t="s">
        <v>1314</v>
      </c>
      <c r="C197" s="223" t="s">
        <v>1318</v>
      </c>
      <c r="D197" s="320">
        <v>44592.0</v>
      </c>
      <c r="I197" s="218">
        <v>150.0</v>
      </c>
      <c r="J197" s="223" t="s">
        <v>1160</v>
      </c>
      <c r="K197" s="319">
        <v>2022.0</v>
      </c>
      <c r="L197" s="218" t="s">
        <v>200</v>
      </c>
    </row>
    <row r="198">
      <c r="A198" s="223" t="s">
        <v>223</v>
      </c>
      <c r="B198" s="223" t="s">
        <v>1176</v>
      </c>
      <c r="C198" s="223" t="s">
        <v>1156</v>
      </c>
      <c r="D198" s="320">
        <v>44592.0</v>
      </c>
      <c r="I198" s="218">
        <v>150.0</v>
      </c>
      <c r="J198" s="223" t="s">
        <v>52</v>
      </c>
      <c r="K198" s="319">
        <v>2022.01</v>
      </c>
      <c r="L198" s="218" t="s">
        <v>200</v>
      </c>
    </row>
    <row r="199">
      <c r="A199" s="223" t="s">
        <v>203</v>
      </c>
      <c r="B199" s="223" t="s">
        <v>1200</v>
      </c>
      <c r="C199" s="223" t="s">
        <v>1203</v>
      </c>
      <c r="D199" s="320">
        <v>44592.0</v>
      </c>
      <c r="I199" s="218">
        <v>175.0</v>
      </c>
      <c r="J199" s="223" t="s">
        <v>1160</v>
      </c>
      <c r="K199" s="319">
        <v>2022.0</v>
      </c>
      <c r="L199" s="218" t="s">
        <v>200</v>
      </c>
    </row>
    <row r="200">
      <c r="A200" s="223" t="s">
        <v>1269</v>
      </c>
      <c r="B200" s="223" t="s">
        <v>1264</v>
      </c>
      <c r="C200" s="223" t="s">
        <v>1270</v>
      </c>
      <c r="D200" s="320">
        <v>44592.0</v>
      </c>
      <c r="I200" s="218">
        <v>112.5</v>
      </c>
      <c r="J200" s="223" t="s">
        <v>1152</v>
      </c>
      <c r="K200" s="319">
        <v>2022.0</v>
      </c>
      <c r="L200" s="218" t="s">
        <v>200</v>
      </c>
    </row>
    <row r="201">
      <c r="A201" s="223" t="s">
        <v>177</v>
      </c>
      <c r="B201" s="223" t="s">
        <v>1233</v>
      </c>
      <c r="C201" s="223" t="s">
        <v>1234</v>
      </c>
      <c r="D201" s="320">
        <v>44592.0</v>
      </c>
      <c r="I201" s="218">
        <v>175.0</v>
      </c>
      <c r="J201" s="223" t="s">
        <v>1160</v>
      </c>
      <c r="K201" s="319">
        <v>2022.0</v>
      </c>
      <c r="L201" s="218" t="s">
        <v>200</v>
      </c>
    </row>
    <row r="202">
      <c r="A202" s="223" t="s">
        <v>81</v>
      </c>
      <c r="B202" s="223" t="s">
        <v>1255</v>
      </c>
      <c r="C202" s="223" t="s">
        <v>1156</v>
      </c>
      <c r="D202" s="320">
        <v>44592.0</v>
      </c>
      <c r="I202" s="218">
        <v>250.0</v>
      </c>
      <c r="J202" s="223" t="s">
        <v>52</v>
      </c>
      <c r="K202" s="319">
        <v>2022.01</v>
      </c>
      <c r="L202" s="218" t="s">
        <v>200</v>
      </c>
    </row>
    <row r="203">
      <c r="A203" s="223" t="s">
        <v>73</v>
      </c>
      <c r="B203" s="223" t="s">
        <v>1327</v>
      </c>
      <c r="C203" s="223" t="s">
        <v>1156</v>
      </c>
      <c r="D203" s="320">
        <v>44592.0</v>
      </c>
      <c r="I203" s="218">
        <v>50.0</v>
      </c>
      <c r="J203" s="223" t="s">
        <v>52</v>
      </c>
      <c r="K203" s="319">
        <v>2022.01</v>
      </c>
      <c r="L203" s="218" t="s">
        <v>200</v>
      </c>
    </row>
    <row r="204">
      <c r="A204" s="223" t="s">
        <v>102</v>
      </c>
      <c r="B204" s="223" t="s">
        <v>1259</v>
      </c>
      <c r="C204" s="223" t="s">
        <v>1156</v>
      </c>
      <c r="D204" s="320">
        <v>44592.0</v>
      </c>
      <c r="I204" s="218">
        <v>250.0</v>
      </c>
      <c r="J204" s="223" t="s">
        <v>52</v>
      </c>
      <c r="K204" s="319">
        <v>2022.01</v>
      </c>
      <c r="L204" s="218" t="s">
        <v>200</v>
      </c>
    </row>
    <row r="205">
      <c r="A205" s="223" t="s">
        <v>115</v>
      </c>
      <c r="B205" s="223" t="s">
        <v>1308</v>
      </c>
      <c r="C205" s="223" t="s">
        <v>1156</v>
      </c>
      <c r="D205" s="320">
        <v>44592.0</v>
      </c>
      <c r="I205" s="218">
        <v>662.5</v>
      </c>
      <c r="J205" s="223" t="s">
        <v>52</v>
      </c>
      <c r="K205" s="319">
        <v>2022.01</v>
      </c>
      <c r="L205" s="218" t="s">
        <v>200</v>
      </c>
    </row>
    <row r="206">
      <c r="A206" s="223" t="s">
        <v>118</v>
      </c>
      <c r="B206" s="223" t="s">
        <v>1312</v>
      </c>
      <c r="C206" s="223" t="s">
        <v>1156</v>
      </c>
      <c r="D206" s="320">
        <v>44592.0</v>
      </c>
      <c r="I206" s="218">
        <v>662.5</v>
      </c>
      <c r="J206" s="223" t="s">
        <v>52</v>
      </c>
      <c r="K206" s="319">
        <v>2022.01</v>
      </c>
      <c r="L206" s="218" t="s">
        <v>200</v>
      </c>
    </row>
    <row r="207">
      <c r="A207" s="223" t="s">
        <v>92</v>
      </c>
      <c r="B207" s="223" t="s">
        <v>1289</v>
      </c>
      <c r="C207" s="223" t="s">
        <v>1156</v>
      </c>
      <c r="D207" s="320">
        <v>44592.0</v>
      </c>
      <c r="I207" s="218">
        <v>350.0</v>
      </c>
      <c r="J207" s="223" t="s">
        <v>52</v>
      </c>
      <c r="K207" s="319">
        <v>2022.01</v>
      </c>
      <c r="L207" s="218" t="s">
        <v>200</v>
      </c>
    </row>
    <row r="208">
      <c r="A208" s="223" t="s">
        <v>84</v>
      </c>
      <c r="B208" s="223" t="s">
        <v>1227</v>
      </c>
      <c r="C208" s="223" t="s">
        <v>1156</v>
      </c>
      <c r="D208" s="320">
        <v>44592.0</v>
      </c>
      <c r="I208" s="218">
        <v>475.0</v>
      </c>
      <c r="J208" s="223" t="s">
        <v>52</v>
      </c>
      <c r="K208" s="319">
        <v>2022.01</v>
      </c>
      <c r="L208" s="218" t="s">
        <v>200</v>
      </c>
    </row>
    <row r="209">
      <c r="A209" s="223" t="s">
        <v>123</v>
      </c>
      <c r="B209" s="223" t="s">
        <v>1300</v>
      </c>
      <c r="C209" s="223" t="s">
        <v>1156</v>
      </c>
      <c r="D209" s="320">
        <v>44592.0</v>
      </c>
      <c r="I209" s="218">
        <v>1212.5</v>
      </c>
      <c r="J209" s="223" t="s">
        <v>52</v>
      </c>
      <c r="K209" s="319">
        <v>2022.01</v>
      </c>
      <c r="L209" s="218" t="s">
        <v>200</v>
      </c>
    </row>
    <row r="210">
      <c r="A210" s="223" t="s">
        <v>62</v>
      </c>
      <c r="B210" s="223" t="s">
        <v>1304</v>
      </c>
      <c r="C210" s="223" t="s">
        <v>1156</v>
      </c>
      <c r="D210" s="320">
        <v>44592.0</v>
      </c>
      <c r="I210" s="218">
        <v>450.0</v>
      </c>
      <c r="J210" s="223" t="s">
        <v>52</v>
      </c>
      <c r="K210" s="319">
        <v>2022.01</v>
      </c>
      <c r="L210" s="218" t="s">
        <v>200</v>
      </c>
    </row>
    <row r="211">
      <c r="A211" s="223" t="s">
        <v>147</v>
      </c>
      <c r="B211" s="223" t="s">
        <v>1194</v>
      </c>
      <c r="C211" s="223" t="s">
        <v>1156</v>
      </c>
      <c r="D211" s="320">
        <v>44592.0</v>
      </c>
      <c r="I211" s="218">
        <v>75.0</v>
      </c>
      <c r="J211" s="223" t="s">
        <v>52</v>
      </c>
      <c r="K211" s="319">
        <v>2022.01</v>
      </c>
      <c r="L211" s="218" t="s">
        <v>200</v>
      </c>
    </row>
    <row r="212">
      <c r="A212" s="223" t="s">
        <v>92</v>
      </c>
      <c r="B212" s="223" t="s">
        <v>1289</v>
      </c>
      <c r="C212" s="223" t="s">
        <v>1156</v>
      </c>
      <c r="D212" s="320">
        <v>44592.0</v>
      </c>
      <c r="I212" s="218">
        <v>575.0</v>
      </c>
      <c r="J212" s="223" t="s">
        <v>52</v>
      </c>
      <c r="K212" s="319">
        <v>2022.01</v>
      </c>
      <c r="L212" s="218" t="s">
        <v>200</v>
      </c>
    </row>
    <row r="213">
      <c r="A213" s="223" t="s">
        <v>88</v>
      </c>
      <c r="B213" s="223" t="s">
        <v>1256</v>
      </c>
      <c r="C213" s="223" t="s">
        <v>1156</v>
      </c>
      <c r="D213" s="320">
        <v>44592.0</v>
      </c>
      <c r="I213" s="218">
        <v>45.0</v>
      </c>
      <c r="J213" s="223" t="s">
        <v>52</v>
      </c>
      <c r="K213" s="319">
        <v>2022.01</v>
      </c>
      <c r="L213" s="218" t="s">
        <v>200</v>
      </c>
    </row>
    <row r="214">
      <c r="A214" s="223" t="s">
        <v>151</v>
      </c>
      <c r="B214" s="223" t="s">
        <v>1262</v>
      </c>
      <c r="C214" s="223" t="s">
        <v>1156</v>
      </c>
      <c r="D214" s="320">
        <v>44592.0</v>
      </c>
      <c r="I214" s="218">
        <v>310.0</v>
      </c>
      <c r="J214" s="223" t="s">
        <v>52</v>
      </c>
      <c r="K214" s="319">
        <v>2022.01</v>
      </c>
      <c r="L214" s="218" t="s">
        <v>200</v>
      </c>
    </row>
    <row r="215">
      <c r="A215" s="223" t="s">
        <v>112</v>
      </c>
      <c r="B215" s="223" t="s">
        <v>1296</v>
      </c>
      <c r="C215" s="223" t="s">
        <v>2309</v>
      </c>
      <c r="D215" s="320">
        <v>44592.0</v>
      </c>
      <c r="I215" s="218">
        <v>180.0</v>
      </c>
      <c r="J215" s="223" t="s">
        <v>52</v>
      </c>
      <c r="K215" s="319">
        <v>2022.01</v>
      </c>
      <c r="L215" s="218" t="s">
        <v>200</v>
      </c>
    </row>
    <row r="216">
      <c r="A216" s="223" t="s">
        <v>86</v>
      </c>
      <c r="B216" s="223" t="s">
        <v>1235</v>
      </c>
      <c r="C216" s="223" t="s">
        <v>1156</v>
      </c>
      <c r="D216" s="320">
        <v>44592.0</v>
      </c>
      <c r="I216" s="218">
        <v>180.0</v>
      </c>
      <c r="J216" s="223" t="s">
        <v>52</v>
      </c>
      <c r="K216" s="319">
        <v>2022.01</v>
      </c>
      <c r="L216" s="218" t="s">
        <v>200</v>
      </c>
    </row>
    <row r="217">
      <c r="A217" s="223" t="s">
        <v>97</v>
      </c>
      <c r="B217" s="223" t="s">
        <v>1286</v>
      </c>
      <c r="C217" s="223" t="s">
        <v>1156</v>
      </c>
      <c r="D217" s="320">
        <v>44592.0</v>
      </c>
      <c r="I217" s="218">
        <v>30.0</v>
      </c>
      <c r="J217" s="223" t="s">
        <v>52</v>
      </c>
      <c r="K217" s="319">
        <v>2022.01</v>
      </c>
      <c r="L217" s="218" t="s">
        <v>200</v>
      </c>
    </row>
    <row r="218">
      <c r="A218" s="223" t="s">
        <v>82</v>
      </c>
      <c r="B218" s="223" t="s">
        <v>1124</v>
      </c>
      <c r="C218" s="223" t="s">
        <v>1156</v>
      </c>
      <c r="D218" s="320">
        <v>44592.0</v>
      </c>
      <c r="I218" s="218">
        <v>300.0</v>
      </c>
      <c r="J218" s="223" t="s">
        <v>52</v>
      </c>
      <c r="K218" s="319">
        <v>2022.01</v>
      </c>
      <c r="L218" s="218" t="s">
        <v>200</v>
      </c>
    </row>
    <row r="219">
      <c r="A219" s="223" t="s">
        <v>99</v>
      </c>
      <c r="B219" s="223" t="s">
        <v>1192</v>
      </c>
      <c r="C219" s="223" t="s">
        <v>1156</v>
      </c>
      <c r="D219" s="320">
        <v>44592.0</v>
      </c>
      <c r="I219" s="218">
        <v>495.0</v>
      </c>
      <c r="J219" s="223" t="s">
        <v>52</v>
      </c>
      <c r="K219" s="319">
        <v>2022.01</v>
      </c>
      <c r="L219" s="218" t="s">
        <v>200</v>
      </c>
    </row>
    <row r="220">
      <c r="A220" s="223" t="s">
        <v>68</v>
      </c>
      <c r="B220" s="223" t="s">
        <v>1178</v>
      </c>
      <c r="C220" s="223" t="s">
        <v>1156</v>
      </c>
      <c r="D220" s="320">
        <v>44592.0</v>
      </c>
      <c r="I220" s="218">
        <v>297.5</v>
      </c>
      <c r="J220" s="223" t="s">
        <v>52</v>
      </c>
      <c r="K220" s="319">
        <v>2022.01</v>
      </c>
      <c r="L220" s="218" t="s">
        <v>200</v>
      </c>
    </row>
    <row r="221">
      <c r="A221" s="223" t="s">
        <v>42</v>
      </c>
      <c r="B221" s="223" t="s">
        <v>1236</v>
      </c>
      <c r="C221" s="223" t="s">
        <v>1156</v>
      </c>
      <c r="D221" s="320">
        <v>44592.0</v>
      </c>
      <c r="I221" s="218">
        <v>322.5</v>
      </c>
      <c r="J221" s="223" t="s">
        <v>52</v>
      </c>
      <c r="K221" s="319">
        <v>2022.01</v>
      </c>
      <c r="L221" s="218" t="s">
        <v>200</v>
      </c>
    </row>
    <row r="222">
      <c r="A222" s="223" t="s">
        <v>58</v>
      </c>
      <c r="B222" s="223" t="s">
        <v>1197</v>
      </c>
      <c r="C222" s="223" t="s">
        <v>1156</v>
      </c>
      <c r="D222" s="320">
        <v>44592.0</v>
      </c>
      <c r="I222" s="218">
        <v>400.0</v>
      </c>
      <c r="J222" s="223" t="s">
        <v>52</v>
      </c>
      <c r="K222" s="319">
        <v>2022.01</v>
      </c>
      <c r="L222" s="218" t="s">
        <v>200</v>
      </c>
    </row>
    <row r="223">
      <c r="A223" s="223" t="s">
        <v>123</v>
      </c>
      <c r="B223" s="223" t="s">
        <v>1300</v>
      </c>
      <c r="C223" s="223" t="s">
        <v>1156</v>
      </c>
      <c r="D223" s="320">
        <v>44592.0</v>
      </c>
      <c r="I223" s="218">
        <v>837.5</v>
      </c>
      <c r="J223" s="223" t="s">
        <v>52</v>
      </c>
      <c r="K223" s="319">
        <v>2022.01</v>
      </c>
      <c r="L223" s="218" t="s">
        <v>200</v>
      </c>
    </row>
    <row r="224">
      <c r="A224" s="223" t="s">
        <v>73</v>
      </c>
      <c r="B224" s="223" t="s">
        <v>1327</v>
      </c>
      <c r="C224" s="223" t="s">
        <v>1156</v>
      </c>
      <c r="D224" s="320">
        <v>44592.0</v>
      </c>
      <c r="I224" s="218">
        <v>60.0</v>
      </c>
      <c r="J224" s="223" t="s">
        <v>52</v>
      </c>
      <c r="K224" s="319">
        <v>2022.01</v>
      </c>
      <c r="L224" s="218" t="s">
        <v>200</v>
      </c>
    </row>
    <row r="225">
      <c r="A225" s="223" t="s">
        <v>50</v>
      </c>
      <c r="B225" s="223" t="s">
        <v>1275</v>
      </c>
      <c r="C225" s="223" t="s">
        <v>1156</v>
      </c>
      <c r="D225" s="320">
        <v>44592.0</v>
      </c>
      <c r="I225" s="218">
        <v>167.5</v>
      </c>
      <c r="J225" s="223" t="s">
        <v>52</v>
      </c>
      <c r="K225" s="319">
        <v>2022.01</v>
      </c>
      <c r="L225" s="218" t="s">
        <v>200</v>
      </c>
    </row>
    <row r="226">
      <c r="A226" s="223" t="s">
        <v>62</v>
      </c>
      <c r="B226" s="223" t="s">
        <v>1304</v>
      </c>
      <c r="C226" s="223" t="s">
        <v>1156</v>
      </c>
      <c r="D226" s="320">
        <v>44592.0</v>
      </c>
      <c r="I226" s="218">
        <v>300.0</v>
      </c>
      <c r="J226" s="223" t="s">
        <v>52</v>
      </c>
      <c r="K226" s="319">
        <v>2022.01</v>
      </c>
      <c r="L226" s="218" t="s">
        <v>200</v>
      </c>
    </row>
    <row r="227">
      <c r="A227" s="223" t="s">
        <v>223</v>
      </c>
      <c r="B227" s="223" t="s">
        <v>1176</v>
      </c>
      <c r="C227" s="223" t="s">
        <v>1156</v>
      </c>
      <c r="D227" s="320">
        <v>44592.0</v>
      </c>
      <c r="I227" s="218">
        <v>225.0</v>
      </c>
      <c r="J227" s="223" t="s">
        <v>52</v>
      </c>
      <c r="K227" s="319">
        <v>2022.01</v>
      </c>
      <c r="L227" s="218" t="s">
        <v>200</v>
      </c>
    </row>
    <row r="228">
      <c r="A228" s="223" t="s">
        <v>225</v>
      </c>
      <c r="B228" s="223" t="s">
        <v>1257</v>
      </c>
      <c r="C228" s="223" t="s">
        <v>1156</v>
      </c>
      <c r="D228" s="320">
        <v>44592.0</v>
      </c>
      <c r="I228" s="218">
        <v>1000.0</v>
      </c>
      <c r="J228" s="223" t="s">
        <v>52</v>
      </c>
      <c r="K228" s="319">
        <v>2022.01</v>
      </c>
      <c r="L228" s="218" t="s">
        <v>200</v>
      </c>
    </row>
    <row r="229">
      <c r="A229" s="223" t="s">
        <v>246</v>
      </c>
      <c r="B229" s="223" t="s">
        <v>1184</v>
      </c>
      <c r="C229" s="223" t="s">
        <v>1156</v>
      </c>
      <c r="D229" s="320">
        <v>44592.0</v>
      </c>
      <c r="I229" s="218">
        <v>195.0</v>
      </c>
      <c r="J229" s="223" t="s">
        <v>52</v>
      </c>
      <c r="K229" s="319">
        <v>2022.01</v>
      </c>
      <c r="L229" s="218" t="s">
        <v>200</v>
      </c>
    </row>
    <row r="230">
      <c r="A230" s="223" t="s">
        <v>1313</v>
      </c>
      <c r="B230" s="223" t="s">
        <v>1314</v>
      </c>
      <c r="C230" s="223" t="s">
        <v>1315</v>
      </c>
      <c r="D230" s="320">
        <v>44592.0</v>
      </c>
      <c r="I230" s="218">
        <v>362.5</v>
      </c>
      <c r="J230" s="223" t="s">
        <v>1160</v>
      </c>
      <c r="K230" s="319">
        <v>2022.0</v>
      </c>
      <c r="L230" s="218" t="s">
        <v>200</v>
      </c>
    </row>
    <row r="231">
      <c r="A231" s="223" t="s">
        <v>296</v>
      </c>
      <c r="B231" s="223" t="s">
        <v>1200</v>
      </c>
      <c r="C231" s="223" t="s">
        <v>1205</v>
      </c>
      <c r="D231" s="320">
        <v>44592.0</v>
      </c>
      <c r="I231" s="218">
        <v>30.0</v>
      </c>
      <c r="J231" s="223" t="s">
        <v>52</v>
      </c>
      <c r="K231" s="319">
        <v>2022.01</v>
      </c>
      <c r="L231" s="218" t="s">
        <v>200</v>
      </c>
    </row>
    <row r="232">
      <c r="A232" s="223" t="s">
        <v>203</v>
      </c>
      <c r="B232" s="223" t="s">
        <v>1200</v>
      </c>
      <c r="C232" s="223" t="s">
        <v>1203</v>
      </c>
      <c r="D232" s="320">
        <v>44592.0</v>
      </c>
      <c r="I232" s="218">
        <v>675.0</v>
      </c>
      <c r="J232" s="223" t="s">
        <v>1160</v>
      </c>
      <c r="K232" s="319">
        <v>2022.0</v>
      </c>
      <c r="L232" s="218" t="s">
        <v>200</v>
      </c>
    </row>
    <row r="233">
      <c r="A233" s="223" t="s">
        <v>248</v>
      </c>
      <c r="B233" s="223" t="s">
        <v>1283</v>
      </c>
      <c r="C233" s="223" t="s">
        <v>1284</v>
      </c>
      <c r="D233" s="320">
        <v>44592.0</v>
      </c>
      <c r="I233" s="218">
        <v>500.0</v>
      </c>
      <c r="J233" s="223" t="s">
        <v>1160</v>
      </c>
      <c r="K233" s="319">
        <v>2022.0</v>
      </c>
      <c r="L233" s="218" t="s">
        <v>200</v>
      </c>
    </row>
    <row r="234">
      <c r="A234" s="223" t="s">
        <v>156</v>
      </c>
      <c r="B234" s="223" t="s">
        <v>1293</v>
      </c>
      <c r="C234" s="223" t="s">
        <v>1156</v>
      </c>
      <c r="D234" s="320">
        <v>44592.0</v>
      </c>
      <c r="I234" s="218">
        <v>225.0</v>
      </c>
      <c r="J234" s="223" t="s">
        <v>52</v>
      </c>
      <c r="K234" s="319">
        <v>2022.01</v>
      </c>
      <c r="L234" s="218" t="s">
        <v>200</v>
      </c>
    </row>
    <row r="235">
      <c r="A235" s="223" t="s">
        <v>75</v>
      </c>
      <c r="B235" s="223" t="s">
        <v>1279</v>
      </c>
      <c r="C235" s="223" t="s">
        <v>1156</v>
      </c>
      <c r="D235" s="320">
        <v>44592.0</v>
      </c>
      <c r="I235" s="218">
        <v>225.0</v>
      </c>
      <c r="J235" s="223" t="s">
        <v>52</v>
      </c>
      <c r="K235" s="319">
        <v>2022.01</v>
      </c>
      <c r="L235" s="218" t="s">
        <v>200</v>
      </c>
    </row>
    <row r="236">
      <c r="A236" s="223" t="s">
        <v>54</v>
      </c>
      <c r="B236" s="223" t="s">
        <v>1187</v>
      </c>
      <c r="C236" s="223" t="s">
        <v>1156</v>
      </c>
      <c r="D236" s="320">
        <v>44592.0</v>
      </c>
      <c r="I236" s="218">
        <v>162.5</v>
      </c>
      <c r="J236" s="223" t="s">
        <v>52</v>
      </c>
      <c r="K236" s="319">
        <v>2022.01</v>
      </c>
      <c r="L236" s="218" t="s">
        <v>200</v>
      </c>
    </row>
    <row r="237">
      <c r="A237" s="223" t="s">
        <v>58</v>
      </c>
      <c r="B237" s="223" t="s">
        <v>1197</v>
      </c>
      <c r="C237" s="223" t="s">
        <v>1156</v>
      </c>
      <c r="D237" s="320">
        <v>44592.0</v>
      </c>
      <c r="I237" s="218">
        <v>250.0</v>
      </c>
      <c r="J237" s="223" t="s">
        <v>52</v>
      </c>
      <c r="K237" s="319">
        <v>2022.01</v>
      </c>
      <c r="L237" s="218" t="s">
        <v>200</v>
      </c>
    </row>
    <row r="238">
      <c r="A238" s="223" t="s">
        <v>120</v>
      </c>
      <c r="B238" s="223" t="s">
        <v>1215</v>
      </c>
      <c r="C238" s="223" t="s">
        <v>1156</v>
      </c>
      <c r="D238" s="320">
        <v>44592.0</v>
      </c>
      <c r="I238" s="218">
        <v>375.0</v>
      </c>
      <c r="J238" s="223" t="s">
        <v>52</v>
      </c>
      <c r="K238" s="319">
        <v>2022.01</v>
      </c>
      <c r="L238" s="218" t="s">
        <v>200</v>
      </c>
    </row>
    <row r="239">
      <c r="A239" s="223" t="s">
        <v>1266</v>
      </c>
      <c r="B239" s="223" t="s">
        <v>1264</v>
      </c>
      <c r="C239" s="223" t="s">
        <v>1267</v>
      </c>
      <c r="D239" s="320">
        <v>44592.0</v>
      </c>
      <c r="I239" s="218">
        <v>142.5</v>
      </c>
      <c r="J239" s="223" t="s">
        <v>1152</v>
      </c>
      <c r="K239" s="319">
        <v>2022.0</v>
      </c>
      <c r="L239" s="218" t="s">
        <v>200</v>
      </c>
    </row>
    <row r="240">
      <c r="A240" s="223" t="s">
        <v>54</v>
      </c>
      <c r="B240" s="223" t="s">
        <v>1187</v>
      </c>
      <c r="C240" s="223" t="s">
        <v>1156</v>
      </c>
      <c r="D240" s="320">
        <v>44592.0</v>
      </c>
      <c r="I240" s="218">
        <v>175.0</v>
      </c>
      <c r="J240" s="223" t="s">
        <v>52</v>
      </c>
      <c r="K240" s="319">
        <v>2022.01</v>
      </c>
      <c r="L240" s="218" t="s">
        <v>200</v>
      </c>
    </row>
    <row r="241">
      <c r="A241" s="223" t="s">
        <v>147</v>
      </c>
      <c r="B241" s="223" t="s">
        <v>1194</v>
      </c>
      <c r="C241" s="223" t="s">
        <v>1156</v>
      </c>
      <c r="D241" s="320">
        <v>44592.0</v>
      </c>
      <c r="I241" s="218">
        <v>250.0</v>
      </c>
      <c r="J241" s="223" t="s">
        <v>52</v>
      </c>
      <c r="K241" s="319">
        <v>2022.01</v>
      </c>
      <c r="L241" s="218" t="s">
        <v>200</v>
      </c>
    </row>
    <row r="242">
      <c r="A242" s="223" t="s">
        <v>42</v>
      </c>
      <c r="B242" s="223" t="s">
        <v>1236</v>
      </c>
      <c r="C242" s="223" t="s">
        <v>1156</v>
      </c>
      <c r="D242" s="320">
        <v>44592.0</v>
      </c>
      <c r="I242" s="218">
        <v>175.0</v>
      </c>
      <c r="J242" s="223" t="s">
        <v>52</v>
      </c>
      <c r="K242" s="319">
        <v>2022.01</v>
      </c>
      <c r="L242" s="218" t="s">
        <v>200</v>
      </c>
    </row>
    <row r="243">
      <c r="A243" s="223" t="s">
        <v>92</v>
      </c>
      <c r="B243" s="223" t="s">
        <v>1289</v>
      </c>
      <c r="C243" s="223" t="s">
        <v>1156</v>
      </c>
      <c r="D243" s="320">
        <v>44592.0</v>
      </c>
      <c r="I243" s="218">
        <v>212.5</v>
      </c>
      <c r="J243" s="223" t="s">
        <v>52</v>
      </c>
      <c r="K243" s="319">
        <v>2022.01</v>
      </c>
      <c r="L243" s="218" t="s">
        <v>200</v>
      </c>
    </row>
    <row r="244">
      <c r="A244" s="223" t="s">
        <v>120</v>
      </c>
      <c r="B244" s="223" t="s">
        <v>1215</v>
      </c>
      <c r="C244" s="223" t="s">
        <v>1156</v>
      </c>
      <c r="D244" s="320">
        <v>44592.0</v>
      </c>
      <c r="I244" s="218">
        <v>175.0</v>
      </c>
      <c r="J244" s="223" t="s">
        <v>52</v>
      </c>
      <c r="K244" s="319">
        <v>2022.01</v>
      </c>
      <c r="L244" s="218" t="s">
        <v>200</v>
      </c>
    </row>
    <row r="245">
      <c r="A245" s="223" t="s">
        <v>37</v>
      </c>
      <c r="B245" s="223" t="s">
        <v>1244</v>
      </c>
      <c r="C245" s="223" t="s">
        <v>1168</v>
      </c>
      <c r="D245" s="320">
        <v>44592.0</v>
      </c>
      <c r="I245" s="218">
        <v>100.0</v>
      </c>
      <c r="J245" s="223" t="s">
        <v>1160</v>
      </c>
      <c r="K245" s="319">
        <v>2022.0</v>
      </c>
      <c r="L245" s="218" t="s">
        <v>200</v>
      </c>
    </row>
    <row r="246">
      <c r="A246" s="223" t="s">
        <v>1271</v>
      </c>
      <c r="B246" s="223" t="s">
        <v>1264</v>
      </c>
      <c r="C246" s="223" t="s">
        <v>1272</v>
      </c>
      <c r="D246" s="320">
        <v>44592.0</v>
      </c>
      <c r="I246" s="218">
        <v>12.87</v>
      </c>
      <c r="J246" s="223" t="s">
        <v>1152</v>
      </c>
      <c r="K246" s="319">
        <v>2022.0</v>
      </c>
      <c r="L246" s="218" t="s">
        <v>200</v>
      </c>
    </row>
    <row r="247">
      <c r="A247" s="223" t="s">
        <v>1271</v>
      </c>
      <c r="B247" s="223" t="s">
        <v>1264</v>
      </c>
      <c r="C247" s="223" t="s">
        <v>1272</v>
      </c>
      <c r="D247" s="320">
        <v>44592.0</v>
      </c>
      <c r="I247" s="218">
        <v>57.65</v>
      </c>
      <c r="J247" s="223" t="s">
        <v>1152</v>
      </c>
      <c r="K247" s="319">
        <v>2022.0</v>
      </c>
      <c r="L247" s="218" t="s">
        <v>200</v>
      </c>
    </row>
    <row r="248">
      <c r="A248" s="223" t="s">
        <v>203</v>
      </c>
      <c r="B248" s="223" t="s">
        <v>1200</v>
      </c>
      <c r="C248" s="223" t="s">
        <v>1203</v>
      </c>
      <c r="D248" s="320">
        <v>44592.0</v>
      </c>
      <c r="I248" s="218">
        <v>9.97</v>
      </c>
      <c r="J248" s="223" t="s">
        <v>1160</v>
      </c>
      <c r="K248" s="319">
        <v>2022.0</v>
      </c>
      <c r="L248" s="218" t="s">
        <v>200</v>
      </c>
    </row>
    <row r="249">
      <c r="A249" s="223" t="s">
        <v>1271</v>
      </c>
      <c r="B249" s="223" t="s">
        <v>1264</v>
      </c>
      <c r="C249" s="223" t="s">
        <v>1272</v>
      </c>
      <c r="D249" s="320">
        <v>44592.0</v>
      </c>
      <c r="I249" s="218">
        <v>51.18</v>
      </c>
      <c r="J249" s="223" t="s">
        <v>1152</v>
      </c>
      <c r="K249" s="319">
        <v>2022.0</v>
      </c>
      <c r="L249" s="218" t="s">
        <v>200</v>
      </c>
    </row>
    <row r="250">
      <c r="A250" s="223" t="s">
        <v>1271</v>
      </c>
      <c r="B250" s="223" t="s">
        <v>1264</v>
      </c>
      <c r="C250" s="223" t="s">
        <v>1272</v>
      </c>
      <c r="D250" s="320">
        <v>44592.0</v>
      </c>
      <c r="I250" s="218">
        <v>176.04</v>
      </c>
      <c r="J250" s="223" t="s">
        <v>1152</v>
      </c>
      <c r="K250" s="319">
        <v>2022.0</v>
      </c>
      <c r="L250" s="218" t="s">
        <v>200</v>
      </c>
    </row>
    <row r="251">
      <c r="A251" s="223" t="s">
        <v>1269</v>
      </c>
      <c r="B251" s="223" t="s">
        <v>1264</v>
      </c>
      <c r="C251" s="223" t="s">
        <v>1270</v>
      </c>
      <c r="D251" s="320">
        <v>44592.0</v>
      </c>
      <c r="I251" s="218">
        <v>25.82</v>
      </c>
      <c r="J251" s="223" t="s">
        <v>1152</v>
      </c>
      <c r="K251" s="319">
        <v>2022.0</v>
      </c>
      <c r="L251" s="218">
        <v>25.82</v>
      </c>
    </row>
    <row r="252">
      <c r="A252" s="223" t="s">
        <v>58</v>
      </c>
      <c r="B252" s="223" t="s">
        <v>1197</v>
      </c>
      <c r="C252" s="223" t="s">
        <v>1156</v>
      </c>
      <c r="D252" s="320">
        <v>44592.0</v>
      </c>
      <c r="I252" s="218">
        <v>173.65</v>
      </c>
      <c r="J252" s="223" t="s">
        <v>52</v>
      </c>
      <c r="K252" s="319">
        <v>2022.01</v>
      </c>
      <c r="L252" s="218">
        <v>173.65</v>
      </c>
    </row>
    <row r="253">
      <c r="A253" s="223" t="s">
        <v>1319</v>
      </c>
      <c r="B253" s="223" t="s">
        <v>1314</v>
      </c>
      <c r="C253" s="223" t="s">
        <v>1320</v>
      </c>
      <c r="D253" s="320">
        <v>44592.0</v>
      </c>
      <c r="I253" s="218">
        <v>787.5</v>
      </c>
      <c r="J253" s="223" t="s">
        <v>1160</v>
      </c>
      <c r="K253" s="319">
        <v>2022.0</v>
      </c>
      <c r="L253" s="218" t="s">
        <v>200</v>
      </c>
    </row>
    <row r="254">
      <c r="A254" s="223" t="s">
        <v>1271</v>
      </c>
      <c r="B254" s="223" t="s">
        <v>1264</v>
      </c>
      <c r="C254" s="223" t="s">
        <v>1272</v>
      </c>
      <c r="D254" s="320">
        <v>44592.0</v>
      </c>
      <c r="I254" s="218">
        <v>51.12</v>
      </c>
      <c r="J254" s="223" t="s">
        <v>1152</v>
      </c>
      <c r="K254" s="319">
        <v>2022.0</v>
      </c>
      <c r="L254" s="218" t="s">
        <v>200</v>
      </c>
    </row>
    <row r="255">
      <c r="A255" s="223" t="s">
        <v>1271</v>
      </c>
      <c r="B255" s="223" t="s">
        <v>1264</v>
      </c>
      <c r="C255" s="223" t="s">
        <v>1272</v>
      </c>
      <c r="D255" s="320">
        <v>44592.0</v>
      </c>
      <c r="I255" s="218">
        <v>129.77</v>
      </c>
      <c r="J255" s="223" t="s">
        <v>1152</v>
      </c>
      <c r="K255" s="319">
        <v>2022.0</v>
      </c>
      <c r="L255" s="218" t="s">
        <v>200</v>
      </c>
    </row>
    <row r="256">
      <c r="A256" s="223" t="s">
        <v>189</v>
      </c>
      <c r="B256" s="223" t="s">
        <v>1158</v>
      </c>
      <c r="C256" s="223" t="s">
        <v>1159</v>
      </c>
      <c r="D256" s="320">
        <v>44592.0</v>
      </c>
      <c r="I256" s="218">
        <v>23.44</v>
      </c>
      <c r="J256" s="223" t="s">
        <v>1160</v>
      </c>
      <c r="K256" s="319">
        <v>2022.0</v>
      </c>
      <c r="L256" s="218" t="s">
        <v>200</v>
      </c>
    </row>
    <row r="257">
      <c r="A257" s="223" t="s">
        <v>96</v>
      </c>
      <c r="B257" s="223" t="s">
        <v>1188</v>
      </c>
      <c r="C257" s="223" t="s">
        <v>1156</v>
      </c>
      <c r="D257" s="320">
        <v>44592.0</v>
      </c>
      <c r="I257" s="218">
        <v>53.61</v>
      </c>
      <c r="J257" s="223" t="s">
        <v>52</v>
      </c>
      <c r="K257" s="319">
        <v>2022.01</v>
      </c>
      <c r="L257" s="218" t="s">
        <v>200</v>
      </c>
    </row>
    <row r="258">
      <c r="A258" s="223" t="s">
        <v>58</v>
      </c>
      <c r="B258" s="223" t="s">
        <v>1197</v>
      </c>
      <c r="C258" s="223" t="s">
        <v>1156</v>
      </c>
      <c r="D258" s="320">
        <v>44592.0</v>
      </c>
      <c r="I258" s="218">
        <v>90.26</v>
      </c>
      <c r="J258" s="223" t="s">
        <v>52</v>
      </c>
      <c r="K258" s="319">
        <v>2022.01</v>
      </c>
      <c r="L258" s="218" t="s">
        <v>200</v>
      </c>
    </row>
    <row r="259">
      <c r="A259" s="223" t="s">
        <v>159</v>
      </c>
      <c r="B259" s="223" t="s">
        <v>1200</v>
      </c>
      <c r="C259" s="223" t="s">
        <v>1201</v>
      </c>
      <c r="D259" s="320">
        <v>44592.0</v>
      </c>
      <c r="I259" s="218">
        <v>16.43</v>
      </c>
      <c r="J259" s="223" t="s">
        <v>1160</v>
      </c>
      <c r="K259" s="319">
        <v>2022.0</v>
      </c>
      <c r="L259" s="218" t="s">
        <v>200</v>
      </c>
    </row>
    <row r="260">
      <c r="A260" s="223" t="s">
        <v>203</v>
      </c>
      <c r="B260" s="223" t="s">
        <v>1200</v>
      </c>
      <c r="C260" s="223" t="s">
        <v>1203</v>
      </c>
      <c r="D260" s="320">
        <v>44592.0</v>
      </c>
      <c r="I260" s="218">
        <v>49.77</v>
      </c>
      <c r="J260" s="223" t="s">
        <v>1160</v>
      </c>
      <c r="K260" s="319">
        <v>2022.0</v>
      </c>
      <c r="L260" s="218" t="s">
        <v>200</v>
      </c>
    </row>
    <row r="261">
      <c r="A261" s="223" t="s">
        <v>239</v>
      </c>
      <c r="B261" s="223" t="s">
        <v>1212</v>
      </c>
      <c r="C261" s="223" t="s">
        <v>36</v>
      </c>
      <c r="D261" s="320">
        <v>44592.0</v>
      </c>
      <c r="I261" s="218">
        <v>786.12</v>
      </c>
      <c r="J261" s="223" t="s">
        <v>1160</v>
      </c>
      <c r="K261" s="319">
        <v>2022.0</v>
      </c>
      <c r="L261" s="218" t="s">
        <v>200</v>
      </c>
    </row>
    <row r="262">
      <c r="A262" s="223" t="s">
        <v>120</v>
      </c>
      <c r="B262" s="223" t="s">
        <v>1215</v>
      </c>
      <c r="C262" s="223" t="s">
        <v>1156</v>
      </c>
      <c r="D262" s="320">
        <v>44592.0</v>
      </c>
      <c r="I262" s="218">
        <v>410.18</v>
      </c>
      <c r="J262" s="223" t="s">
        <v>52</v>
      </c>
      <c r="K262" s="319">
        <v>2022.01</v>
      </c>
      <c r="L262" s="218" t="s">
        <v>200</v>
      </c>
    </row>
    <row r="263">
      <c r="A263" s="223" t="s">
        <v>232</v>
      </c>
      <c r="B263" s="223" t="s">
        <v>1223</v>
      </c>
      <c r="C263" s="223" t="s">
        <v>1224</v>
      </c>
      <c r="D263" s="320">
        <v>44592.0</v>
      </c>
      <c r="I263" s="218">
        <v>720.88</v>
      </c>
      <c r="J263" s="223" t="s">
        <v>1160</v>
      </c>
      <c r="K263" s="319">
        <v>2022.0</v>
      </c>
      <c r="L263" s="218" t="s">
        <v>200</v>
      </c>
    </row>
    <row r="264">
      <c r="A264" s="223" t="s">
        <v>254</v>
      </c>
      <c r="B264" s="223" t="s">
        <v>1223</v>
      </c>
      <c r="C264" s="223" t="s">
        <v>1226</v>
      </c>
      <c r="D264" s="320">
        <v>44592.0</v>
      </c>
      <c r="I264" s="218">
        <v>303.06</v>
      </c>
      <c r="J264" s="223" t="s">
        <v>1160</v>
      </c>
      <c r="K264" s="319">
        <v>2022.0</v>
      </c>
      <c r="L264" s="218" t="s">
        <v>200</v>
      </c>
    </row>
    <row r="265">
      <c r="A265" s="223" t="s">
        <v>42</v>
      </c>
      <c r="B265" s="223" t="s">
        <v>1236</v>
      </c>
      <c r="C265" s="223" t="s">
        <v>1156</v>
      </c>
      <c r="D265" s="320">
        <v>44592.0</v>
      </c>
      <c r="I265" s="218">
        <v>106.19</v>
      </c>
      <c r="J265" s="223" t="s">
        <v>52</v>
      </c>
      <c r="K265" s="319">
        <v>2022.01</v>
      </c>
      <c r="L265" s="218" t="s">
        <v>200</v>
      </c>
    </row>
    <row r="266">
      <c r="A266" s="223" t="s">
        <v>82</v>
      </c>
      <c r="B266" s="223" t="s">
        <v>1124</v>
      </c>
      <c r="C266" s="223" t="s">
        <v>1156</v>
      </c>
      <c r="D266" s="320">
        <v>44592.0</v>
      </c>
      <c r="I266" s="218">
        <v>58.95</v>
      </c>
      <c r="J266" s="223" t="s">
        <v>52</v>
      </c>
      <c r="K266" s="319">
        <v>2022.01</v>
      </c>
      <c r="L266" s="218" t="s">
        <v>200</v>
      </c>
    </row>
    <row r="267">
      <c r="A267" s="223" t="s">
        <v>1242</v>
      </c>
      <c r="B267" s="223" t="s">
        <v>1243</v>
      </c>
      <c r="C267" s="223" t="s">
        <v>1190</v>
      </c>
      <c r="D267" s="320">
        <v>44592.0</v>
      </c>
      <c r="I267" s="218">
        <v>56.47</v>
      </c>
      <c r="J267" s="223" t="s">
        <v>1152</v>
      </c>
      <c r="K267" s="319">
        <v>2022.0</v>
      </c>
      <c r="L267" s="218" t="s">
        <v>200</v>
      </c>
    </row>
    <row r="268">
      <c r="A268" s="223" t="s">
        <v>1263</v>
      </c>
      <c r="B268" s="223" t="s">
        <v>1264</v>
      </c>
      <c r="C268" s="223" t="s">
        <v>1265</v>
      </c>
      <c r="D268" s="320">
        <v>44592.0</v>
      </c>
      <c r="I268" s="218">
        <v>287.37</v>
      </c>
      <c r="J268" s="223" t="s">
        <v>1152</v>
      </c>
      <c r="K268" s="319">
        <v>2022.0</v>
      </c>
      <c r="L268" s="218" t="s">
        <v>200</v>
      </c>
    </row>
    <row r="269">
      <c r="A269" s="223" t="s">
        <v>259</v>
      </c>
      <c r="B269" s="223" t="s">
        <v>1248</v>
      </c>
      <c r="C269" s="223" t="s">
        <v>1249</v>
      </c>
      <c r="D269" s="320">
        <v>44592.0</v>
      </c>
      <c r="I269" s="218">
        <v>99.04</v>
      </c>
      <c r="J269" s="223" t="s">
        <v>1160</v>
      </c>
      <c r="K269" s="319">
        <v>2022.0</v>
      </c>
      <c r="L269" s="218" t="s">
        <v>200</v>
      </c>
    </row>
    <row r="270">
      <c r="A270" s="223" t="s">
        <v>166</v>
      </c>
      <c r="B270" s="223" t="s">
        <v>1259</v>
      </c>
      <c r="C270" s="223" t="s">
        <v>1168</v>
      </c>
      <c r="D270" s="320">
        <v>44592.0</v>
      </c>
      <c r="I270" s="218">
        <v>13.21</v>
      </c>
      <c r="J270" s="223" t="s">
        <v>1160</v>
      </c>
      <c r="K270" s="319">
        <v>2022.0</v>
      </c>
      <c r="L270" s="218" t="s">
        <v>200</v>
      </c>
    </row>
    <row r="271">
      <c r="A271" s="223" t="s">
        <v>1266</v>
      </c>
      <c r="B271" s="223" t="s">
        <v>1264</v>
      </c>
      <c r="C271" s="223" t="s">
        <v>1267</v>
      </c>
      <c r="D271" s="320">
        <v>44592.0</v>
      </c>
      <c r="I271" s="218">
        <v>369.81</v>
      </c>
      <c r="J271" s="223" t="s">
        <v>1152</v>
      </c>
      <c r="K271" s="319">
        <v>2022.0</v>
      </c>
      <c r="L271" s="218" t="s">
        <v>200</v>
      </c>
    </row>
    <row r="272">
      <c r="A272" s="223" t="s">
        <v>244</v>
      </c>
      <c r="B272" s="223" t="s">
        <v>1275</v>
      </c>
      <c r="C272" s="223" t="s">
        <v>1277</v>
      </c>
      <c r="D272" s="320">
        <v>44592.0</v>
      </c>
      <c r="I272" s="218">
        <v>435.84</v>
      </c>
      <c r="J272" s="223" t="s">
        <v>1160</v>
      </c>
      <c r="K272" s="319">
        <v>2022.0</v>
      </c>
      <c r="L272" s="218" t="s">
        <v>200</v>
      </c>
    </row>
    <row r="273">
      <c r="A273" s="223" t="s">
        <v>22</v>
      </c>
      <c r="B273" s="223" t="s">
        <v>1280</v>
      </c>
      <c r="C273" s="223" t="s">
        <v>1168</v>
      </c>
      <c r="D273" s="320">
        <v>44592.0</v>
      </c>
      <c r="I273" s="218">
        <v>66.29</v>
      </c>
      <c r="J273" s="223" t="s">
        <v>1160</v>
      </c>
      <c r="K273" s="319">
        <v>2022.0</v>
      </c>
      <c r="L273" s="218" t="s">
        <v>200</v>
      </c>
    </row>
    <row r="274">
      <c r="A274" s="223" t="s">
        <v>90</v>
      </c>
      <c r="B274" s="223" t="s">
        <v>1282</v>
      </c>
      <c r="C274" s="223" t="s">
        <v>1156</v>
      </c>
      <c r="D274" s="320">
        <v>44592.0</v>
      </c>
      <c r="I274" s="218">
        <v>92.52</v>
      </c>
      <c r="J274" s="223" t="s">
        <v>52</v>
      </c>
      <c r="K274" s="319">
        <v>2022.01</v>
      </c>
      <c r="L274" s="218" t="s">
        <v>200</v>
      </c>
    </row>
    <row r="275">
      <c r="A275" s="223" t="s">
        <v>137</v>
      </c>
      <c r="B275" s="223" t="s">
        <v>1309</v>
      </c>
      <c r="C275" s="223" t="s">
        <v>1310</v>
      </c>
      <c r="D275" s="320">
        <v>44592.0</v>
      </c>
      <c r="I275" s="218">
        <v>50.99</v>
      </c>
      <c r="J275" s="223" t="s">
        <v>1160</v>
      </c>
      <c r="K275" s="319">
        <v>2022.0</v>
      </c>
      <c r="L275" s="218" t="s">
        <v>200</v>
      </c>
    </row>
    <row r="276">
      <c r="A276" s="223" t="s">
        <v>92</v>
      </c>
      <c r="B276" s="223" t="s">
        <v>1289</v>
      </c>
      <c r="C276" s="223" t="s">
        <v>1156</v>
      </c>
      <c r="D276" s="320">
        <v>44592.0</v>
      </c>
      <c r="I276" s="218">
        <v>20.14</v>
      </c>
      <c r="J276" s="223" t="s">
        <v>52</v>
      </c>
      <c r="K276" s="319">
        <v>2022.01</v>
      </c>
      <c r="L276" s="218" t="s">
        <v>200</v>
      </c>
    </row>
    <row r="277">
      <c r="A277" s="223" t="s">
        <v>141</v>
      </c>
      <c r="B277" s="223" t="s">
        <v>1292</v>
      </c>
      <c r="C277" s="223" t="s">
        <v>1190</v>
      </c>
      <c r="D277" s="320">
        <v>44592.0</v>
      </c>
      <c r="I277" s="218">
        <v>0.0</v>
      </c>
      <c r="J277" s="223" t="s">
        <v>1152</v>
      </c>
      <c r="K277" s="319">
        <v>2022.0</v>
      </c>
      <c r="L277" s="218" t="s">
        <v>200</v>
      </c>
    </row>
    <row r="278">
      <c r="A278" s="223" t="s">
        <v>231</v>
      </c>
      <c r="B278" s="223" t="s">
        <v>1294</v>
      </c>
      <c r="C278" s="223" t="s">
        <v>1190</v>
      </c>
      <c r="D278" s="320">
        <v>44592.0</v>
      </c>
      <c r="I278" s="218">
        <v>76.86</v>
      </c>
      <c r="J278" s="223" t="s">
        <v>1152</v>
      </c>
      <c r="K278" s="319">
        <v>2022.0</v>
      </c>
      <c r="L278" s="218" t="s">
        <v>200</v>
      </c>
    </row>
    <row r="279">
      <c r="A279" s="223" t="s">
        <v>33</v>
      </c>
      <c r="B279" s="223" t="s">
        <v>1294</v>
      </c>
      <c r="C279" s="223" t="s">
        <v>1168</v>
      </c>
      <c r="D279" s="320">
        <v>44592.0</v>
      </c>
      <c r="I279" s="218">
        <v>238.02</v>
      </c>
      <c r="J279" s="223" t="s">
        <v>1160</v>
      </c>
      <c r="K279" s="319">
        <v>2022.0</v>
      </c>
      <c r="L279" s="218" t="s">
        <v>200</v>
      </c>
    </row>
    <row r="280">
      <c r="A280" s="223" t="s">
        <v>123</v>
      </c>
      <c r="B280" s="223" t="s">
        <v>1300</v>
      </c>
      <c r="C280" s="223" t="s">
        <v>1156</v>
      </c>
      <c r="D280" s="320">
        <v>44592.0</v>
      </c>
      <c r="I280" s="218">
        <v>183.47</v>
      </c>
      <c r="J280" s="223" t="s">
        <v>52</v>
      </c>
      <c r="K280" s="319">
        <v>2022.01</v>
      </c>
      <c r="L280" s="218" t="s">
        <v>200</v>
      </c>
    </row>
    <row r="281">
      <c r="A281" s="223" t="s">
        <v>115</v>
      </c>
      <c r="B281" s="223" t="s">
        <v>1308</v>
      </c>
      <c r="C281" s="223" t="s">
        <v>1156</v>
      </c>
      <c r="D281" s="320">
        <v>44592.0</v>
      </c>
      <c r="I281" s="218">
        <v>2.66</v>
      </c>
      <c r="J281" s="223" t="s">
        <v>52</v>
      </c>
      <c r="K281" s="319">
        <v>2022.01</v>
      </c>
      <c r="L281" s="218" t="s">
        <v>200</v>
      </c>
    </row>
    <row r="282">
      <c r="A282" s="223" t="s">
        <v>135</v>
      </c>
      <c r="B282" s="223" t="s">
        <v>1311</v>
      </c>
      <c r="C282" s="223" t="s">
        <v>1168</v>
      </c>
      <c r="D282" s="320">
        <v>44592.0</v>
      </c>
      <c r="I282" s="218">
        <v>1619.73</v>
      </c>
      <c r="J282" s="223" t="s">
        <v>1160</v>
      </c>
      <c r="K282" s="319">
        <v>2022.0</v>
      </c>
      <c r="L282" s="218" t="s">
        <v>200</v>
      </c>
    </row>
    <row r="283">
      <c r="A283" s="223" t="s">
        <v>92</v>
      </c>
      <c r="B283" s="223" t="s">
        <v>1289</v>
      </c>
      <c r="C283" s="223" t="s">
        <v>1156</v>
      </c>
      <c r="D283" s="320">
        <v>44586.0</v>
      </c>
      <c r="I283" s="218">
        <v>46.24</v>
      </c>
      <c r="J283" s="223" t="s">
        <v>52</v>
      </c>
      <c r="K283" s="319">
        <v>2022.01</v>
      </c>
      <c r="L283" s="218">
        <v>46.24</v>
      </c>
    </row>
    <row r="284">
      <c r="A284" s="223" t="s">
        <v>1271</v>
      </c>
      <c r="B284" s="223" t="s">
        <v>1264</v>
      </c>
      <c r="C284" s="223" t="s">
        <v>1272</v>
      </c>
      <c r="D284" s="320">
        <v>44594.0</v>
      </c>
      <c r="I284" s="218">
        <v>465.04</v>
      </c>
      <c r="J284" s="223" t="s">
        <v>1152</v>
      </c>
      <c r="K284" s="319">
        <v>2022.0</v>
      </c>
      <c r="L284" s="218">
        <v>465.04</v>
      </c>
    </row>
    <row r="285">
      <c r="A285" s="223" t="s">
        <v>92</v>
      </c>
      <c r="B285" s="223" t="s">
        <v>1289</v>
      </c>
      <c r="C285" s="223" t="s">
        <v>1156</v>
      </c>
      <c r="D285" s="320">
        <v>44594.0</v>
      </c>
      <c r="I285" s="218">
        <v>70.0</v>
      </c>
      <c r="J285" s="223" t="s">
        <v>52</v>
      </c>
      <c r="K285" s="319">
        <v>2022.02</v>
      </c>
      <c r="L285" s="218">
        <v>70.0</v>
      </c>
    </row>
    <row r="286">
      <c r="A286" s="223" t="s">
        <v>115</v>
      </c>
      <c r="B286" s="223" t="s">
        <v>1308</v>
      </c>
      <c r="C286" s="223" t="s">
        <v>1156</v>
      </c>
      <c r="D286" s="320">
        <v>44597.0</v>
      </c>
      <c r="I286" s="218">
        <v>750.0</v>
      </c>
      <c r="J286" s="223" t="s">
        <v>52</v>
      </c>
      <c r="K286" s="319">
        <v>2022.02</v>
      </c>
      <c r="L286" s="218">
        <v>750.0</v>
      </c>
    </row>
    <row r="287">
      <c r="A287" s="223" t="s">
        <v>118</v>
      </c>
      <c r="B287" s="223" t="s">
        <v>1312</v>
      </c>
      <c r="C287" s="223" t="s">
        <v>1156</v>
      </c>
      <c r="D287" s="320">
        <v>44598.0</v>
      </c>
      <c r="I287" s="218">
        <v>750.0</v>
      </c>
      <c r="J287" s="223" t="s">
        <v>52</v>
      </c>
      <c r="K287" s="319">
        <v>2022.02</v>
      </c>
      <c r="L287" s="218">
        <v>750.0</v>
      </c>
    </row>
    <row r="288">
      <c r="A288" s="223" t="s">
        <v>223</v>
      </c>
      <c r="B288" s="223" t="s">
        <v>1176</v>
      </c>
      <c r="C288" s="223" t="s">
        <v>1156</v>
      </c>
      <c r="D288" s="320">
        <v>44620.0</v>
      </c>
      <c r="I288" s="218">
        <v>250.0</v>
      </c>
      <c r="J288" s="223" t="s">
        <v>52</v>
      </c>
      <c r="K288" s="319">
        <v>2022.02</v>
      </c>
      <c r="L288" s="218" t="s">
        <v>200</v>
      </c>
    </row>
    <row r="289">
      <c r="A289" s="223" t="s">
        <v>88</v>
      </c>
      <c r="B289" s="223" t="s">
        <v>1256</v>
      </c>
      <c r="C289" s="223" t="s">
        <v>1156</v>
      </c>
      <c r="D289" s="320">
        <v>44620.0</v>
      </c>
      <c r="I289" s="218">
        <v>212.5</v>
      </c>
      <c r="J289" s="223" t="s">
        <v>52</v>
      </c>
      <c r="K289" s="319">
        <v>2022.02</v>
      </c>
      <c r="L289" s="218" t="s">
        <v>200</v>
      </c>
    </row>
    <row r="290">
      <c r="A290" s="223" t="s">
        <v>66</v>
      </c>
      <c r="B290" s="223" t="s">
        <v>1324</v>
      </c>
      <c r="C290" s="223" t="s">
        <v>1156</v>
      </c>
      <c r="D290" s="320">
        <v>44620.0</v>
      </c>
      <c r="I290" s="218">
        <v>275.0</v>
      </c>
      <c r="J290" s="223" t="s">
        <v>52</v>
      </c>
      <c r="K290" s="319">
        <v>2022.02</v>
      </c>
      <c r="L290" s="218" t="s">
        <v>200</v>
      </c>
    </row>
    <row r="291">
      <c r="A291" s="223" t="s">
        <v>97</v>
      </c>
      <c r="B291" s="223" t="s">
        <v>1286</v>
      </c>
      <c r="C291" s="223" t="s">
        <v>1156</v>
      </c>
      <c r="D291" s="320">
        <v>44620.0</v>
      </c>
      <c r="I291" s="218">
        <v>125.0</v>
      </c>
      <c r="J291" s="223" t="s">
        <v>52</v>
      </c>
      <c r="K291" s="319">
        <v>2022.02</v>
      </c>
      <c r="L291" s="218" t="s">
        <v>200</v>
      </c>
    </row>
    <row r="292">
      <c r="A292" s="223" t="s">
        <v>147</v>
      </c>
      <c r="B292" s="223" t="s">
        <v>1194</v>
      </c>
      <c r="C292" s="223" t="s">
        <v>1156</v>
      </c>
      <c r="D292" s="320">
        <v>44620.0</v>
      </c>
      <c r="I292" s="218">
        <v>200.0</v>
      </c>
      <c r="J292" s="223" t="s">
        <v>52</v>
      </c>
      <c r="K292" s="319">
        <v>2022.02</v>
      </c>
      <c r="L292" s="218" t="s">
        <v>200</v>
      </c>
    </row>
    <row r="293">
      <c r="A293" s="223" t="s">
        <v>73</v>
      </c>
      <c r="B293" s="223" t="s">
        <v>1327</v>
      </c>
      <c r="C293" s="223" t="s">
        <v>1156</v>
      </c>
      <c r="D293" s="320">
        <v>44620.0</v>
      </c>
      <c r="I293" s="218">
        <v>250.0</v>
      </c>
      <c r="J293" s="223" t="s">
        <v>52</v>
      </c>
      <c r="K293" s="319">
        <v>2022.02</v>
      </c>
      <c r="L293" s="218" t="s">
        <v>200</v>
      </c>
    </row>
    <row r="294">
      <c r="A294" s="223" t="s">
        <v>162</v>
      </c>
      <c r="B294" s="223" t="s">
        <v>1200</v>
      </c>
      <c r="C294" s="223" t="s">
        <v>1202</v>
      </c>
      <c r="D294" s="320">
        <v>44620.0</v>
      </c>
      <c r="I294" s="218">
        <v>100.0</v>
      </c>
      <c r="J294" s="223" t="s">
        <v>1160</v>
      </c>
      <c r="K294" s="319">
        <v>2022.0</v>
      </c>
      <c r="L294" s="218" t="s">
        <v>200</v>
      </c>
    </row>
    <row r="295">
      <c r="A295" s="223" t="s">
        <v>42</v>
      </c>
      <c r="B295" s="223" t="s">
        <v>1236</v>
      </c>
      <c r="C295" s="223" t="s">
        <v>1156</v>
      </c>
      <c r="D295" s="320">
        <v>44620.0</v>
      </c>
      <c r="I295" s="218">
        <v>175.0</v>
      </c>
      <c r="J295" s="223" t="s">
        <v>52</v>
      </c>
      <c r="K295" s="319">
        <v>2022.02</v>
      </c>
      <c r="L295" s="218" t="s">
        <v>200</v>
      </c>
    </row>
    <row r="296">
      <c r="A296" s="223" t="s">
        <v>92</v>
      </c>
      <c r="B296" s="223" t="s">
        <v>1289</v>
      </c>
      <c r="C296" s="223" t="s">
        <v>1156</v>
      </c>
      <c r="D296" s="320">
        <v>44620.0</v>
      </c>
      <c r="I296" s="218">
        <v>212.5</v>
      </c>
      <c r="J296" s="223" t="s">
        <v>52</v>
      </c>
      <c r="K296" s="319">
        <v>2022.02</v>
      </c>
      <c r="L296" s="218" t="s">
        <v>200</v>
      </c>
    </row>
    <row r="297">
      <c r="A297" s="223" t="s">
        <v>296</v>
      </c>
      <c r="B297" s="223" t="s">
        <v>1200</v>
      </c>
      <c r="C297" s="223" t="s">
        <v>1205</v>
      </c>
      <c r="D297" s="320">
        <v>44620.0</v>
      </c>
      <c r="I297" s="218">
        <v>200.0</v>
      </c>
      <c r="J297" s="223" t="s">
        <v>52</v>
      </c>
      <c r="K297" s="319">
        <v>2022.02</v>
      </c>
      <c r="L297" s="218" t="s">
        <v>200</v>
      </c>
    </row>
    <row r="298">
      <c r="A298" s="223" t="s">
        <v>54</v>
      </c>
      <c r="B298" s="223" t="s">
        <v>1187</v>
      </c>
      <c r="C298" s="223" t="s">
        <v>1156</v>
      </c>
      <c r="D298" s="320">
        <v>44620.0</v>
      </c>
      <c r="I298" s="218">
        <v>175.0</v>
      </c>
      <c r="J298" s="223" t="s">
        <v>52</v>
      </c>
      <c r="K298" s="319">
        <v>2022.02</v>
      </c>
      <c r="L298" s="218" t="s">
        <v>200</v>
      </c>
    </row>
    <row r="299">
      <c r="A299" s="223" t="s">
        <v>102</v>
      </c>
      <c r="B299" s="223" t="s">
        <v>1259</v>
      </c>
      <c r="C299" s="223" t="s">
        <v>1156</v>
      </c>
      <c r="D299" s="320">
        <v>44620.0</v>
      </c>
      <c r="I299" s="218">
        <v>150.0</v>
      </c>
      <c r="J299" s="223" t="s">
        <v>52</v>
      </c>
      <c r="K299" s="319">
        <v>2022.02</v>
      </c>
      <c r="L299" s="218" t="s">
        <v>200</v>
      </c>
    </row>
    <row r="300">
      <c r="A300" s="223" t="s">
        <v>246</v>
      </c>
      <c r="B300" s="223" t="s">
        <v>1184</v>
      </c>
      <c r="C300" s="223" t="s">
        <v>1156</v>
      </c>
      <c r="D300" s="320">
        <v>44620.0</v>
      </c>
      <c r="I300" s="218">
        <v>187.5</v>
      </c>
      <c r="J300" s="223" t="s">
        <v>52</v>
      </c>
      <c r="K300" s="319">
        <v>2022.02</v>
      </c>
      <c r="L300" s="218" t="s">
        <v>200</v>
      </c>
    </row>
    <row r="301">
      <c r="A301" s="223" t="s">
        <v>147</v>
      </c>
      <c r="B301" s="223" t="s">
        <v>1194</v>
      </c>
      <c r="C301" s="223" t="s">
        <v>1156</v>
      </c>
      <c r="D301" s="320">
        <v>44620.0</v>
      </c>
      <c r="I301" s="218">
        <v>75.0</v>
      </c>
      <c r="J301" s="223" t="s">
        <v>52</v>
      </c>
      <c r="K301" s="319">
        <v>2022.02</v>
      </c>
      <c r="L301" s="218" t="s">
        <v>200</v>
      </c>
    </row>
    <row r="302">
      <c r="A302" s="223" t="s">
        <v>92</v>
      </c>
      <c r="B302" s="223" t="s">
        <v>1289</v>
      </c>
      <c r="C302" s="223" t="s">
        <v>1156</v>
      </c>
      <c r="D302" s="320">
        <v>44620.0</v>
      </c>
      <c r="I302" s="218">
        <v>575.0</v>
      </c>
      <c r="J302" s="223" t="s">
        <v>52</v>
      </c>
      <c r="K302" s="319">
        <v>2022.02</v>
      </c>
      <c r="L302" s="218" t="s">
        <v>200</v>
      </c>
    </row>
    <row r="303">
      <c r="A303" s="223" t="s">
        <v>88</v>
      </c>
      <c r="B303" s="223" t="s">
        <v>1256</v>
      </c>
      <c r="C303" s="223" t="s">
        <v>1156</v>
      </c>
      <c r="D303" s="320">
        <v>44620.0</v>
      </c>
      <c r="I303" s="218">
        <v>45.0</v>
      </c>
      <c r="J303" s="223" t="s">
        <v>52</v>
      </c>
      <c r="K303" s="319">
        <v>2022.02</v>
      </c>
      <c r="L303" s="218" t="s">
        <v>200</v>
      </c>
    </row>
    <row r="304">
      <c r="A304" s="223" t="s">
        <v>151</v>
      </c>
      <c r="B304" s="223" t="s">
        <v>1262</v>
      </c>
      <c r="C304" s="223" t="s">
        <v>1156</v>
      </c>
      <c r="D304" s="320">
        <v>44620.0</v>
      </c>
      <c r="I304" s="218">
        <v>310.0</v>
      </c>
      <c r="J304" s="223" t="s">
        <v>52</v>
      </c>
      <c r="K304" s="319">
        <v>2022.02</v>
      </c>
      <c r="L304" s="218" t="s">
        <v>200</v>
      </c>
    </row>
    <row r="305">
      <c r="A305" s="223" t="s">
        <v>112</v>
      </c>
      <c r="B305" s="223" t="s">
        <v>1296</v>
      </c>
      <c r="C305" s="223" t="s">
        <v>2309</v>
      </c>
      <c r="D305" s="320">
        <v>44620.0</v>
      </c>
      <c r="I305" s="218">
        <v>180.0</v>
      </c>
      <c r="J305" s="223" t="s">
        <v>52</v>
      </c>
      <c r="K305" s="319">
        <v>2022.02</v>
      </c>
      <c r="L305" s="218" t="s">
        <v>200</v>
      </c>
    </row>
    <row r="306">
      <c r="A306" s="223" t="s">
        <v>86</v>
      </c>
      <c r="B306" s="223" t="s">
        <v>1235</v>
      </c>
      <c r="C306" s="223" t="s">
        <v>1156</v>
      </c>
      <c r="D306" s="320">
        <v>44620.0</v>
      </c>
      <c r="I306" s="218">
        <v>180.0</v>
      </c>
      <c r="J306" s="223" t="s">
        <v>52</v>
      </c>
      <c r="K306" s="319">
        <v>2022.02</v>
      </c>
      <c r="L306" s="218" t="s">
        <v>200</v>
      </c>
    </row>
    <row r="307">
      <c r="A307" s="223" t="s">
        <v>97</v>
      </c>
      <c r="B307" s="223" t="s">
        <v>1286</v>
      </c>
      <c r="C307" s="223" t="s">
        <v>1156</v>
      </c>
      <c r="D307" s="320">
        <v>44620.0</v>
      </c>
      <c r="I307" s="218">
        <v>30.0</v>
      </c>
      <c r="J307" s="223" t="s">
        <v>52</v>
      </c>
      <c r="K307" s="319">
        <v>2022.02</v>
      </c>
      <c r="L307" s="218" t="s">
        <v>200</v>
      </c>
    </row>
    <row r="308">
      <c r="A308" s="223" t="s">
        <v>82</v>
      </c>
      <c r="B308" s="223" t="s">
        <v>1124</v>
      </c>
      <c r="C308" s="223" t="s">
        <v>1156</v>
      </c>
      <c r="D308" s="320">
        <v>44620.0</v>
      </c>
      <c r="I308" s="218">
        <v>300.0</v>
      </c>
      <c r="J308" s="223" t="s">
        <v>52</v>
      </c>
      <c r="K308" s="319">
        <v>2022.02</v>
      </c>
      <c r="L308" s="218" t="s">
        <v>200</v>
      </c>
    </row>
    <row r="309">
      <c r="A309" s="223" t="s">
        <v>99</v>
      </c>
      <c r="B309" s="223" t="s">
        <v>1192</v>
      </c>
      <c r="C309" s="223" t="s">
        <v>1156</v>
      </c>
      <c r="D309" s="320">
        <v>44620.0</v>
      </c>
      <c r="I309" s="218">
        <v>457.5</v>
      </c>
      <c r="J309" s="223" t="s">
        <v>52</v>
      </c>
      <c r="K309" s="319">
        <v>2022.02</v>
      </c>
      <c r="L309" s="218" t="s">
        <v>200</v>
      </c>
    </row>
    <row r="310">
      <c r="A310" s="223" t="s">
        <v>68</v>
      </c>
      <c r="B310" s="223" t="s">
        <v>1178</v>
      </c>
      <c r="C310" s="223" t="s">
        <v>1156</v>
      </c>
      <c r="D310" s="320">
        <v>44620.0</v>
      </c>
      <c r="I310" s="218">
        <v>297.5</v>
      </c>
      <c r="J310" s="223" t="s">
        <v>52</v>
      </c>
      <c r="K310" s="319">
        <v>2022.02</v>
      </c>
      <c r="L310" s="218" t="s">
        <v>200</v>
      </c>
    </row>
    <row r="311">
      <c r="A311" s="223" t="s">
        <v>42</v>
      </c>
      <c r="B311" s="223" t="s">
        <v>1236</v>
      </c>
      <c r="C311" s="223" t="s">
        <v>1156</v>
      </c>
      <c r="D311" s="320">
        <v>44620.0</v>
      </c>
      <c r="I311" s="218">
        <v>322.5</v>
      </c>
      <c r="J311" s="223" t="s">
        <v>52</v>
      </c>
      <c r="K311" s="319">
        <v>2022.02</v>
      </c>
      <c r="L311" s="218" t="s">
        <v>200</v>
      </c>
    </row>
    <row r="312">
      <c r="A312" s="223" t="s">
        <v>58</v>
      </c>
      <c r="B312" s="223" t="s">
        <v>1197</v>
      </c>
      <c r="C312" s="223" t="s">
        <v>1156</v>
      </c>
      <c r="D312" s="320">
        <v>44620.0</v>
      </c>
      <c r="I312" s="218">
        <v>400.0</v>
      </c>
      <c r="J312" s="223" t="s">
        <v>52</v>
      </c>
      <c r="K312" s="319">
        <v>2022.02</v>
      </c>
      <c r="L312" s="218" t="s">
        <v>200</v>
      </c>
    </row>
    <row r="313">
      <c r="A313" s="223" t="s">
        <v>123</v>
      </c>
      <c r="B313" s="223" t="s">
        <v>1300</v>
      </c>
      <c r="C313" s="223" t="s">
        <v>1156</v>
      </c>
      <c r="D313" s="320">
        <v>44620.0</v>
      </c>
      <c r="I313" s="218">
        <v>587.5</v>
      </c>
      <c r="J313" s="223" t="s">
        <v>52</v>
      </c>
      <c r="K313" s="319">
        <v>2022.02</v>
      </c>
      <c r="L313" s="218" t="s">
        <v>200</v>
      </c>
    </row>
    <row r="314">
      <c r="A314" s="223" t="s">
        <v>73</v>
      </c>
      <c r="B314" s="223" t="s">
        <v>1327</v>
      </c>
      <c r="C314" s="223" t="s">
        <v>1156</v>
      </c>
      <c r="D314" s="320">
        <v>44620.0</v>
      </c>
      <c r="I314" s="218">
        <v>60.0</v>
      </c>
      <c r="J314" s="223" t="s">
        <v>52</v>
      </c>
      <c r="K314" s="319">
        <v>2022.02</v>
      </c>
      <c r="L314" s="218" t="s">
        <v>200</v>
      </c>
    </row>
    <row r="315">
      <c r="A315" s="223" t="s">
        <v>50</v>
      </c>
      <c r="B315" s="223" t="s">
        <v>1275</v>
      </c>
      <c r="C315" s="223" t="s">
        <v>1156</v>
      </c>
      <c r="D315" s="320">
        <v>44620.0</v>
      </c>
      <c r="I315" s="218">
        <v>167.5</v>
      </c>
      <c r="J315" s="223" t="s">
        <v>52</v>
      </c>
      <c r="K315" s="319">
        <v>2022.02</v>
      </c>
      <c r="L315" s="218" t="s">
        <v>200</v>
      </c>
    </row>
    <row r="316">
      <c r="A316" s="223" t="s">
        <v>62</v>
      </c>
      <c r="B316" s="223" t="s">
        <v>1304</v>
      </c>
      <c r="C316" s="223" t="s">
        <v>1156</v>
      </c>
      <c r="D316" s="320">
        <v>44620.0</v>
      </c>
      <c r="I316" s="218">
        <v>300.0</v>
      </c>
      <c r="J316" s="223" t="s">
        <v>52</v>
      </c>
      <c r="K316" s="319">
        <v>2022.02</v>
      </c>
      <c r="L316" s="218" t="s">
        <v>200</v>
      </c>
    </row>
    <row r="317">
      <c r="A317" s="223" t="s">
        <v>223</v>
      </c>
      <c r="B317" s="223" t="s">
        <v>1176</v>
      </c>
      <c r="C317" s="223" t="s">
        <v>1156</v>
      </c>
      <c r="D317" s="320">
        <v>44620.0</v>
      </c>
      <c r="I317" s="218">
        <v>225.0</v>
      </c>
      <c r="J317" s="223" t="s">
        <v>52</v>
      </c>
      <c r="K317" s="319">
        <v>2022.02</v>
      </c>
      <c r="L317" s="218" t="s">
        <v>200</v>
      </c>
    </row>
    <row r="318">
      <c r="A318" s="223" t="s">
        <v>225</v>
      </c>
      <c r="B318" s="223" t="s">
        <v>1257</v>
      </c>
      <c r="C318" s="223" t="s">
        <v>1156</v>
      </c>
      <c r="D318" s="320">
        <v>44620.0</v>
      </c>
      <c r="I318" s="218">
        <v>1860.0</v>
      </c>
      <c r="J318" s="223" t="s">
        <v>52</v>
      </c>
      <c r="K318" s="319">
        <v>2022.02</v>
      </c>
      <c r="L318" s="218" t="s">
        <v>200</v>
      </c>
    </row>
    <row r="319">
      <c r="A319" s="223" t="s">
        <v>246</v>
      </c>
      <c r="B319" s="223" t="s">
        <v>1184</v>
      </c>
      <c r="C319" s="223" t="s">
        <v>1156</v>
      </c>
      <c r="D319" s="320">
        <v>44620.0</v>
      </c>
      <c r="I319" s="218">
        <v>145.0</v>
      </c>
      <c r="J319" s="223" t="s">
        <v>52</v>
      </c>
      <c r="K319" s="319">
        <v>2022.02</v>
      </c>
      <c r="L319" s="218" t="s">
        <v>200</v>
      </c>
    </row>
    <row r="320">
      <c r="A320" s="223" t="s">
        <v>296</v>
      </c>
      <c r="B320" s="223" t="s">
        <v>1200</v>
      </c>
      <c r="C320" s="223" t="s">
        <v>1205</v>
      </c>
      <c r="D320" s="320">
        <v>44620.0</v>
      </c>
      <c r="I320" s="218">
        <v>500.0</v>
      </c>
      <c r="J320" s="223" t="s">
        <v>52</v>
      </c>
      <c r="K320" s="319">
        <v>2022.02</v>
      </c>
      <c r="L320" s="218" t="s">
        <v>200</v>
      </c>
    </row>
    <row r="321">
      <c r="A321" s="223" t="s">
        <v>66</v>
      </c>
      <c r="B321" s="223" t="s">
        <v>1324</v>
      </c>
      <c r="C321" s="223" t="s">
        <v>1156</v>
      </c>
      <c r="D321" s="320">
        <v>44620.0</v>
      </c>
      <c r="I321" s="218">
        <v>60.0</v>
      </c>
      <c r="J321" s="223" t="s">
        <v>52</v>
      </c>
      <c r="K321" s="319">
        <v>2022.02</v>
      </c>
      <c r="L321" s="218" t="s">
        <v>200</v>
      </c>
    </row>
    <row r="322">
      <c r="A322" s="223" t="s">
        <v>261</v>
      </c>
      <c r="B322" s="223" t="s">
        <v>1228</v>
      </c>
      <c r="C322" s="223" t="s">
        <v>1186</v>
      </c>
      <c r="D322" s="322">
        <v>44620.0</v>
      </c>
      <c r="I322" s="218">
        <v>312.5</v>
      </c>
      <c r="J322" s="223" t="s">
        <v>1160</v>
      </c>
      <c r="K322" s="319">
        <v>2022.0</v>
      </c>
      <c r="L322" s="218" t="s">
        <v>200</v>
      </c>
    </row>
    <row r="323">
      <c r="A323" s="223" t="s">
        <v>1269</v>
      </c>
      <c r="B323" s="223" t="s">
        <v>1264</v>
      </c>
      <c r="C323" s="223" t="s">
        <v>1270</v>
      </c>
      <c r="D323" s="322">
        <v>44620.0</v>
      </c>
      <c r="I323" s="218">
        <v>18.75</v>
      </c>
      <c r="J323" s="223" t="s">
        <v>1152</v>
      </c>
      <c r="K323" s="319">
        <v>2022.0</v>
      </c>
      <c r="L323" s="218" t="s">
        <v>200</v>
      </c>
    </row>
    <row r="324">
      <c r="A324" s="223" t="s">
        <v>162</v>
      </c>
      <c r="B324" s="223" t="s">
        <v>1200</v>
      </c>
      <c r="C324" s="223" t="s">
        <v>1202</v>
      </c>
      <c r="D324" s="322">
        <v>44620.0</v>
      </c>
      <c r="I324" s="218">
        <v>187.5</v>
      </c>
      <c r="J324" s="223" t="s">
        <v>1160</v>
      </c>
      <c r="K324" s="319">
        <v>2022.0</v>
      </c>
      <c r="L324" s="218" t="s">
        <v>200</v>
      </c>
    </row>
    <row r="325">
      <c r="A325" s="223" t="s">
        <v>81</v>
      </c>
      <c r="B325" s="223" t="s">
        <v>1255</v>
      </c>
      <c r="C325" s="223" t="s">
        <v>1156</v>
      </c>
      <c r="D325" s="322">
        <v>44620.0</v>
      </c>
      <c r="I325" s="218">
        <v>250.0</v>
      </c>
      <c r="J325" s="223" t="s">
        <v>52</v>
      </c>
      <c r="K325" s="319">
        <v>2022.02</v>
      </c>
      <c r="L325" s="218" t="s">
        <v>200</v>
      </c>
    </row>
    <row r="326">
      <c r="A326" s="223" t="s">
        <v>289</v>
      </c>
      <c r="B326" s="223" t="s">
        <v>1240</v>
      </c>
      <c r="C326" s="223" t="s">
        <v>1186</v>
      </c>
      <c r="D326" s="322">
        <v>44620.0</v>
      </c>
      <c r="I326" s="218">
        <v>250.0</v>
      </c>
      <c r="J326" s="223" t="s">
        <v>1160</v>
      </c>
      <c r="K326" s="319">
        <v>2022.0</v>
      </c>
      <c r="L326" s="218" t="s">
        <v>200</v>
      </c>
    </row>
    <row r="327">
      <c r="A327" s="223" t="s">
        <v>115</v>
      </c>
      <c r="B327" s="223" t="s">
        <v>1308</v>
      </c>
      <c r="C327" s="223" t="s">
        <v>1156</v>
      </c>
      <c r="D327" s="322">
        <v>44620.0</v>
      </c>
      <c r="I327" s="218">
        <v>662.5</v>
      </c>
      <c r="J327" s="223" t="s">
        <v>52</v>
      </c>
      <c r="K327" s="319">
        <v>2022.02</v>
      </c>
      <c r="L327" s="218" t="s">
        <v>200</v>
      </c>
    </row>
    <row r="328">
      <c r="A328" s="223" t="s">
        <v>118</v>
      </c>
      <c r="B328" s="223" t="s">
        <v>1312</v>
      </c>
      <c r="C328" s="223" t="s">
        <v>1156</v>
      </c>
      <c r="D328" s="322">
        <v>44620.0</v>
      </c>
      <c r="I328" s="218">
        <v>662.5</v>
      </c>
      <c r="J328" s="223" t="s">
        <v>52</v>
      </c>
      <c r="K328" s="319">
        <v>2022.02</v>
      </c>
      <c r="L328" s="218" t="s">
        <v>200</v>
      </c>
    </row>
    <row r="329">
      <c r="A329" s="223" t="s">
        <v>92</v>
      </c>
      <c r="B329" s="223" t="s">
        <v>1289</v>
      </c>
      <c r="C329" s="223" t="s">
        <v>1156</v>
      </c>
      <c r="D329" s="322">
        <v>44620.0</v>
      </c>
      <c r="I329" s="218">
        <v>350.0</v>
      </c>
      <c r="J329" s="223" t="s">
        <v>52</v>
      </c>
      <c r="K329" s="319">
        <v>2022.02</v>
      </c>
      <c r="L329" s="218" t="s">
        <v>200</v>
      </c>
    </row>
    <row r="330">
      <c r="A330" s="223" t="s">
        <v>84</v>
      </c>
      <c r="B330" s="223" t="s">
        <v>1227</v>
      </c>
      <c r="C330" s="223" t="s">
        <v>1156</v>
      </c>
      <c r="D330" s="322">
        <v>44620.0</v>
      </c>
      <c r="I330" s="218">
        <v>475.0</v>
      </c>
      <c r="J330" s="223" t="s">
        <v>52</v>
      </c>
      <c r="K330" s="319">
        <v>2022.02</v>
      </c>
      <c r="L330" s="218" t="s">
        <v>200</v>
      </c>
    </row>
    <row r="331">
      <c r="A331" s="223" t="s">
        <v>123</v>
      </c>
      <c r="B331" s="223" t="s">
        <v>1300</v>
      </c>
      <c r="C331" s="223" t="s">
        <v>1156</v>
      </c>
      <c r="D331" s="322">
        <v>44620.0</v>
      </c>
      <c r="I331" s="218">
        <v>1237.5</v>
      </c>
      <c r="J331" s="223" t="s">
        <v>52</v>
      </c>
      <c r="K331" s="319">
        <v>2022.02</v>
      </c>
      <c r="L331" s="218" t="s">
        <v>200</v>
      </c>
    </row>
    <row r="332">
      <c r="A332" s="223" t="s">
        <v>62</v>
      </c>
      <c r="B332" s="223" t="s">
        <v>1304</v>
      </c>
      <c r="C332" s="223" t="s">
        <v>1156</v>
      </c>
      <c r="D332" s="322">
        <v>44620.0</v>
      </c>
      <c r="I332" s="218">
        <v>450.0</v>
      </c>
      <c r="J332" s="223" t="s">
        <v>52</v>
      </c>
      <c r="K332" s="319">
        <v>2022.02</v>
      </c>
      <c r="L332" s="218" t="s">
        <v>200</v>
      </c>
    </row>
    <row r="333">
      <c r="A333" s="223" t="s">
        <v>1271</v>
      </c>
      <c r="B333" s="223" t="s">
        <v>1264</v>
      </c>
      <c r="C333" s="223" t="s">
        <v>1272</v>
      </c>
      <c r="D333" s="320">
        <v>44631.0</v>
      </c>
      <c r="I333" s="218">
        <v>14.09</v>
      </c>
      <c r="J333" s="223" t="s">
        <v>1152</v>
      </c>
      <c r="K333" s="319">
        <v>2022.0</v>
      </c>
      <c r="L333" s="218" t="s">
        <v>200</v>
      </c>
    </row>
    <row r="334">
      <c r="A334" s="223" t="s">
        <v>334</v>
      </c>
      <c r="B334" s="223" t="s">
        <v>1197</v>
      </c>
      <c r="C334" s="223" t="s">
        <v>1198</v>
      </c>
      <c r="D334" s="320">
        <v>44609.0</v>
      </c>
      <c r="I334" s="218">
        <v>178.2</v>
      </c>
      <c r="J334" s="223" t="s">
        <v>1160</v>
      </c>
      <c r="K334" s="319">
        <v>2022.0</v>
      </c>
      <c r="L334" s="218">
        <v>178.2</v>
      </c>
    </row>
    <row r="335">
      <c r="A335" s="223" t="s">
        <v>1271</v>
      </c>
      <c r="B335" s="223" t="s">
        <v>1264</v>
      </c>
      <c r="C335" s="223" t="s">
        <v>1272</v>
      </c>
      <c r="D335" s="320">
        <v>44631.0</v>
      </c>
      <c r="I335" s="218">
        <v>52.14</v>
      </c>
      <c r="J335" s="223" t="s">
        <v>1152</v>
      </c>
      <c r="K335" s="319">
        <v>2022.0</v>
      </c>
      <c r="L335" s="218" t="s">
        <v>200</v>
      </c>
    </row>
    <row r="336">
      <c r="A336" s="223" t="s">
        <v>1271</v>
      </c>
      <c r="B336" s="223" t="s">
        <v>1264</v>
      </c>
      <c r="C336" s="223" t="s">
        <v>1272</v>
      </c>
      <c r="D336" s="320">
        <v>44631.0</v>
      </c>
      <c r="I336" s="218">
        <v>130.92</v>
      </c>
      <c r="J336" s="223" t="s">
        <v>1152</v>
      </c>
      <c r="K336" s="319">
        <v>2022.0</v>
      </c>
      <c r="L336" s="218" t="s">
        <v>200</v>
      </c>
    </row>
    <row r="337">
      <c r="A337" s="223" t="s">
        <v>120</v>
      </c>
      <c r="B337" s="223" t="s">
        <v>1215</v>
      </c>
      <c r="C337" s="223" t="s">
        <v>1156</v>
      </c>
      <c r="D337" s="320">
        <v>44620.0</v>
      </c>
      <c r="I337" s="218">
        <v>337.5</v>
      </c>
      <c r="J337" s="223" t="s">
        <v>52</v>
      </c>
      <c r="K337" s="319">
        <v>2022.02</v>
      </c>
      <c r="L337" s="218" t="s">
        <v>200</v>
      </c>
    </row>
    <row r="338">
      <c r="A338" s="223" t="s">
        <v>58</v>
      </c>
      <c r="B338" s="223" t="s">
        <v>1197</v>
      </c>
      <c r="C338" s="223" t="s">
        <v>1156</v>
      </c>
      <c r="D338" s="320">
        <v>44620.0</v>
      </c>
      <c r="I338" s="218">
        <v>300.0</v>
      </c>
      <c r="J338" s="223" t="s">
        <v>52</v>
      </c>
      <c r="K338" s="319">
        <v>2022.02</v>
      </c>
      <c r="L338" s="218" t="s">
        <v>200</v>
      </c>
    </row>
    <row r="339">
      <c r="A339" s="223" t="s">
        <v>54</v>
      </c>
      <c r="B339" s="223" t="s">
        <v>1187</v>
      </c>
      <c r="C339" s="223" t="s">
        <v>1156</v>
      </c>
      <c r="D339" s="320">
        <v>44620.0</v>
      </c>
      <c r="I339" s="218">
        <v>162.5</v>
      </c>
      <c r="J339" s="223" t="s">
        <v>52</v>
      </c>
      <c r="K339" s="319">
        <v>2022.02</v>
      </c>
      <c r="L339" s="218" t="s">
        <v>200</v>
      </c>
    </row>
    <row r="340">
      <c r="A340" s="223" t="s">
        <v>75</v>
      </c>
      <c r="B340" s="223" t="s">
        <v>1279</v>
      </c>
      <c r="C340" s="223" t="s">
        <v>1156</v>
      </c>
      <c r="D340" s="320">
        <v>44620.0</v>
      </c>
      <c r="I340" s="218">
        <v>225.0</v>
      </c>
      <c r="J340" s="223" t="s">
        <v>52</v>
      </c>
      <c r="K340" s="319">
        <v>2022.02</v>
      </c>
      <c r="L340" s="218" t="s">
        <v>200</v>
      </c>
    </row>
    <row r="341">
      <c r="A341" s="223" t="s">
        <v>156</v>
      </c>
      <c r="B341" s="223" t="s">
        <v>1293</v>
      </c>
      <c r="C341" s="223" t="s">
        <v>1156</v>
      </c>
      <c r="D341" s="320">
        <v>44620.0</v>
      </c>
      <c r="I341" s="218">
        <v>462.5</v>
      </c>
      <c r="J341" s="223" t="s">
        <v>52</v>
      </c>
      <c r="K341" s="319">
        <v>2022.02</v>
      </c>
      <c r="L341" s="218" t="s">
        <v>200</v>
      </c>
    </row>
    <row r="342">
      <c r="A342" s="223" t="s">
        <v>81</v>
      </c>
      <c r="B342" s="223" t="s">
        <v>1255</v>
      </c>
      <c r="C342" s="223" t="s">
        <v>1156</v>
      </c>
      <c r="D342" s="320">
        <v>44620.0</v>
      </c>
      <c r="I342" s="218">
        <v>287.5</v>
      </c>
      <c r="J342" s="223" t="s">
        <v>52</v>
      </c>
      <c r="K342" s="319">
        <v>2022.02</v>
      </c>
      <c r="L342" s="218" t="s">
        <v>200</v>
      </c>
    </row>
    <row r="343">
      <c r="A343" s="223" t="s">
        <v>162</v>
      </c>
      <c r="B343" s="223" t="s">
        <v>1200</v>
      </c>
      <c r="C343" s="223" t="s">
        <v>1202</v>
      </c>
      <c r="D343" s="320">
        <v>44620.0</v>
      </c>
      <c r="I343" s="218">
        <v>737.5</v>
      </c>
      <c r="J343" s="223" t="s">
        <v>1160</v>
      </c>
      <c r="K343" s="319">
        <v>2022.0</v>
      </c>
      <c r="L343" s="218" t="s">
        <v>200</v>
      </c>
    </row>
    <row r="344">
      <c r="A344" s="223" t="s">
        <v>296</v>
      </c>
      <c r="B344" s="223" t="s">
        <v>1200</v>
      </c>
      <c r="C344" s="223" t="s">
        <v>1205</v>
      </c>
      <c r="D344" s="320">
        <v>44620.0</v>
      </c>
      <c r="I344" s="218">
        <v>237.5</v>
      </c>
      <c r="J344" s="223" t="s">
        <v>52</v>
      </c>
      <c r="K344" s="319">
        <v>2022.02</v>
      </c>
      <c r="L344" s="218" t="s">
        <v>200</v>
      </c>
    </row>
    <row r="345">
      <c r="A345" s="223" t="s">
        <v>299</v>
      </c>
      <c r="B345" s="223" t="s">
        <v>1200</v>
      </c>
      <c r="C345" s="223" t="s">
        <v>1207</v>
      </c>
      <c r="D345" s="320">
        <v>44620.0</v>
      </c>
      <c r="I345" s="218">
        <v>662.5</v>
      </c>
      <c r="J345" s="223" t="s">
        <v>52</v>
      </c>
      <c r="K345" s="319">
        <v>2022.02</v>
      </c>
      <c r="L345" s="218" t="s">
        <v>200</v>
      </c>
    </row>
    <row r="346">
      <c r="A346" s="223" t="s">
        <v>177</v>
      </c>
      <c r="B346" s="223" t="s">
        <v>1233</v>
      </c>
      <c r="C346" s="223" t="s">
        <v>1234</v>
      </c>
      <c r="D346" s="320">
        <v>44620.0</v>
      </c>
      <c r="I346" s="218">
        <v>22.5</v>
      </c>
      <c r="J346" s="223" t="s">
        <v>1160</v>
      </c>
      <c r="K346" s="319">
        <v>2022.0</v>
      </c>
      <c r="L346" s="218" t="s">
        <v>200</v>
      </c>
    </row>
    <row r="347">
      <c r="A347" s="223" t="s">
        <v>1266</v>
      </c>
      <c r="B347" s="223" t="s">
        <v>1264</v>
      </c>
      <c r="C347" s="223" t="s">
        <v>1267</v>
      </c>
      <c r="D347" s="320">
        <v>44620.0</v>
      </c>
      <c r="I347" s="218">
        <v>120.0</v>
      </c>
      <c r="J347" s="223" t="s">
        <v>1152</v>
      </c>
      <c r="K347" s="319">
        <v>2022.0</v>
      </c>
      <c r="L347" s="218" t="s">
        <v>200</v>
      </c>
    </row>
    <row r="348">
      <c r="A348" s="223" t="s">
        <v>264</v>
      </c>
      <c r="B348" s="223" t="s">
        <v>1178</v>
      </c>
      <c r="C348" s="223" t="s">
        <v>1179</v>
      </c>
      <c r="D348" s="320">
        <v>44620.0</v>
      </c>
      <c r="I348" s="218">
        <v>115.1</v>
      </c>
      <c r="J348" s="223" t="s">
        <v>1160</v>
      </c>
      <c r="K348" s="319">
        <v>2022.0</v>
      </c>
      <c r="L348" s="218" t="s">
        <v>200</v>
      </c>
    </row>
    <row r="349">
      <c r="A349" s="223" t="s">
        <v>246</v>
      </c>
      <c r="B349" s="223" t="s">
        <v>1184</v>
      </c>
      <c r="C349" s="223" t="s">
        <v>1156</v>
      </c>
      <c r="D349" s="320">
        <v>44620.0</v>
      </c>
      <c r="I349" s="218">
        <v>19.57</v>
      </c>
      <c r="J349" s="223" t="s">
        <v>52</v>
      </c>
      <c r="K349" s="319">
        <v>2022.02</v>
      </c>
      <c r="L349" s="218" t="s">
        <v>200</v>
      </c>
    </row>
    <row r="350">
      <c r="A350" s="223" t="s">
        <v>54</v>
      </c>
      <c r="B350" s="223" t="s">
        <v>1187</v>
      </c>
      <c r="C350" s="223" t="s">
        <v>1156</v>
      </c>
      <c r="D350" s="320">
        <v>44620.0</v>
      </c>
      <c r="I350" s="218">
        <v>157.5</v>
      </c>
      <c r="J350" s="223" t="s">
        <v>52</v>
      </c>
      <c r="K350" s="319">
        <v>2022.02</v>
      </c>
      <c r="L350" s="218" t="s">
        <v>200</v>
      </c>
    </row>
    <row r="351">
      <c r="A351" s="223" t="s">
        <v>203</v>
      </c>
      <c r="B351" s="223" t="s">
        <v>1200</v>
      </c>
      <c r="C351" s="223" t="s">
        <v>1203</v>
      </c>
      <c r="D351" s="320">
        <v>44620.0</v>
      </c>
      <c r="I351" s="218">
        <v>59.66</v>
      </c>
      <c r="J351" s="223" t="s">
        <v>1160</v>
      </c>
      <c r="K351" s="319">
        <v>2022.0</v>
      </c>
      <c r="L351" s="218" t="s">
        <v>200</v>
      </c>
    </row>
    <row r="352">
      <c r="A352" s="223" t="s">
        <v>120</v>
      </c>
      <c r="B352" s="223" t="s">
        <v>1215</v>
      </c>
      <c r="C352" s="223" t="s">
        <v>1156</v>
      </c>
      <c r="D352" s="320">
        <v>44620.0</v>
      </c>
      <c r="I352" s="218">
        <v>379.0</v>
      </c>
      <c r="J352" s="223" t="s">
        <v>52</v>
      </c>
      <c r="K352" s="319">
        <v>2022.02</v>
      </c>
      <c r="L352" s="218" t="s">
        <v>200</v>
      </c>
    </row>
    <row r="353">
      <c r="A353" s="223" t="s">
        <v>302</v>
      </c>
      <c r="B353" s="223" t="s">
        <v>1233</v>
      </c>
      <c r="C353" s="223" t="s">
        <v>36</v>
      </c>
      <c r="D353" s="320">
        <v>44620.0</v>
      </c>
      <c r="I353" s="218">
        <v>835.28</v>
      </c>
      <c r="J353" s="223" t="s">
        <v>1160</v>
      </c>
      <c r="K353" s="319">
        <v>2022.0</v>
      </c>
      <c r="L353" s="218" t="s">
        <v>200</v>
      </c>
    </row>
    <row r="354">
      <c r="A354" s="223" t="s">
        <v>162</v>
      </c>
      <c r="B354" s="223" t="s">
        <v>1200</v>
      </c>
      <c r="C354" s="223" t="s">
        <v>1202</v>
      </c>
      <c r="D354" s="320">
        <v>44620.0</v>
      </c>
      <c r="I354" s="218">
        <v>14.68</v>
      </c>
      <c r="J354" s="223" t="s">
        <v>1160</v>
      </c>
      <c r="K354" s="319">
        <v>2022.0</v>
      </c>
      <c r="L354" s="218" t="s">
        <v>200</v>
      </c>
    </row>
    <row r="355">
      <c r="A355" s="223" t="s">
        <v>1263</v>
      </c>
      <c r="B355" s="223" t="s">
        <v>1264</v>
      </c>
      <c r="C355" s="223" t="s">
        <v>1265</v>
      </c>
      <c r="D355" s="320">
        <v>44620.0</v>
      </c>
      <c r="I355" s="218">
        <v>79.57</v>
      </c>
      <c r="J355" s="223" t="s">
        <v>1152</v>
      </c>
      <c r="K355" s="319">
        <v>2022.0</v>
      </c>
      <c r="L355" s="218" t="s">
        <v>200</v>
      </c>
    </row>
    <row r="356">
      <c r="A356" s="223" t="s">
        <v>259</v>
      </c>
      <c r="B356" s="223" t="s">
        <v>1248</v>
      </c>
      <c r="C356" s="223" t="s">
        <v>1249</v>
      </c>
      <c r="D356" s="320">
        <v>44620.0</v>
      </c>
      <c r="I356" s="218">
        <v>135.77</v>
      </c>
      <c r="J356" s="223" t="s">
        <v>1160</v>
      </c>
      <c r="K356" s="319">
        <v>2022.0</v>
      </c>
      <c r="L356" s="218" t="s">
        <v>200</v>
      </c>
    </row>
    <row r="357">
      <c r="A357" s="223" t="s">
        <v>1266</v>
      </c>
      <c r="B357" s="223" t="s">
        <v>1264</v>
      </c>
      <c r="C357" s="223" t="s">
        <v>1267</v>
      </c>
      <c r="D357" s="320">
        <v>44620.0</v>
      </c>
      <c r="I357" s="218">
        <v>252.77</v>
      </c>
      <c r="J357" s="223" t="s">
        <v>1152</v>
      </c>
      <c r="K357" s="319">
        <v>2022.0</v>
      </c>
      <c r="L357" s="218" t="s">
        <v>200</v>
      </c>
    </row>
    <row r="358">
      <c r="A358" s="223" t="s">
        <v>50</v>
      </c>
      <c r="B358" s="223" t="s">
        <v>1275</v>
      </c>
      <c r="C358" s="223" t="s">
        <v>1156</v>
      </c>
      <c r="D358" s="320">
        <v>44620.0</v>
      </c>
      <c r="I358" s="218">
        <v>2.49</v>
      </c>
      <c r="J358" s="223" t="s">
        <v>52</v>
      </c>
      <c r="K358" s="319">
        <v>2022.02</v>
      </c>
      <c r="L358" s="218" t="s">
        <v>200</v>
      </c>
    </row>
    <row r="359">
      <c r="A359" s="223" t="s">
        <v>105</v>
      </c>
      <c r="B359" s="223" t="s">
        <v>1280</v>
      </c>
      <c r="C359" s="223" t="s">
        <v>2308</v>
      </c>
      <c r="D359" s="320">
        <v>44620.0</v>
      </c>
      <c r="I359" s="218">
        <v>13.27</v>
      </c>
      <c r="J359" s="223" t="s">
        <v>1992</v>
      </c>
      <c r="K359" s="319">
        <v>2022.0</v>
      </c>
      <c r="L359" s="218" t="s">
        <v>200</v>
      </c>
    </row>
    <row r="360">
      <c r="A360" s="223" t="s">
        <v>90</v>
      </c>
      <c r="B360" s="223" t="s">
        <v>1282</v>
      </c>
      <c r="C360" s="223" t="s">
        <v>1156</v>
      </c>
      <c r="D360" s="320">
        <v>44620.0</v>
      </c>
      <c r="I360" s="218">
        <v>117.53</v>
      </c>
      <c r="J360" s="223" t="s">
        <v>52</v>
      </c>
      <c r="K360" s="319">
        <v>2022.02</v>
      </c>
      <c r="L360" s="218" t="s">
        <v>200</v>
      </c>
    </row>
    <row r="361">
      <c r="A361" s="223" t="s">
        <v>137</v>
      </c>
      <c r="B361" s="223" t="s">
        <v>1309</v>
      </c>
      <c r="C361" s="223" t="s">
        <v>1310</v>
      </c>
      <c r="D361" s="320">
        <v>44620.0</v>
      </c>
      <c r="I361" s="218">
        <v>2.21</v>
      </c>
      <c r="J361" s="223" t="s">
        <v>1160</v>
      </c>
      <c r="K361" s="319">
        <v>2022.0</v>
      </c>
      <c r="L361" s="218" t="s">
        <v>200</v>
      </c>
    </row>
    <row r="362">
      <c r="A362" s="223" t="s">
        <v>92</v>
      </c>
      <c r="B362" s="223" t="s">
        <v>1289</v>
      </c>
      <c r="C362" s="223" t="s">
        <v>1156</v>
      </c>
      <c r="D362" s="320">
        <v>44620.0</v>
      </c>
      <c r="I362" s="218">
        <v>12.93</v>
      </c>
      <c r="J362" s="223" t="s">
        <v>52</v>
      </c>
      <c r="K362" s="319">
        <v>2022.02</v>
      </c>
      <c r="L362" s="218" t="s">
        <v>200</v>
      </c>
    </row>
    <row r="363">
      <c r="A363" s="223" t="s">
        <v>156</v>
      </c>
      <c r="B363" s="223" t="s">
        <v>1293</v>
      </c>
      <c r="C363" s="223" t="s">
        <v>1156</v>
      </c>
      <c r="D363" s="320">
        <v>44620.0</v>
      </c>
      <c r="I363" s="218">
        <v>40.16</v>
      </c>
      <c r="J363" s="223" t="s">
        <v>52</v>
      </c>
      <c r="K363" s="319">
        <v>2022.02</v>
      </c>
      <c r="L363" s="218" t="s">
        <v>200</v>
      </c>
    </row>
    <row r="364">
      <c r="A364" s="223" t="s">
        <v>313</v>
      </c>
      <c r="B364" s="223" t="s">
        <v>1252</v>
      </c>
      <c r="C364" s="223" t="s">
        <v>1253</v>
      </c>
      <c r="D364" s="320">
        <v>44620.0</v>
      </c>
      <c r="I364" s="218">
        <v>264.94</v>
      </c>
      <c r="J364" s="223" t="s">
        <v>1160</v>
      </c>
      <c r="K364" s="319">
        <v>2022.0</v>
      </c>
      <c r="L364" s="218" t="s">
        <v>200</v>
      </c>
    </row>
    <row r="365">
      <c r="A365" s="223" t="s">
        <v>123</v>
      </c>
      <c r="B365" s="223" t="s">
        <v>1300</v>
      </c>
      <c r="C365" s="223" t="s">
        <v>1156</v>
      </c>
      <c r="D365" s="320">
        <v>44620.0</v>
      </c>
      <c r="I365" s="218">
        <v>94.83</v>
      </c>
      <c r="J365" s="223" t="s">
        <v>52</v>
      </c>
      <c r="K365" s="319">
        <v>2022.02</v>
      </c>
      <c r="L365" s="218" t="s">
        <v>200</v>
      </c>
    </row>
    <row r="366">
      <c r="A366" s="223" t="s">
        <v>115</v>
      </c>
      <c r="B366" s="223" t="s">
        <v>1308</v>
      </c>
      <c r="C366" s="223" t="s">
        <v>1156</v>
      </c>
      <c r="D366" s="320">
        <v>44620.0</v>
      </c>
      <c r="I366" s="218">
        <v>22.11</v>
      </c>
      <c r="J366" s="223" t="s">
        <v>52</v>
      </c>
      <c r="K366" s="319">
        <v>2022.02</v>
      </c>
      <c r="L366" s="218" t="s">
        <v>200</v>
      </c>
    </row>
    <row r="367">
      <c r="A367" s="223" t="s">
        <v>296</v>
      </c>
      <c r="B367" s="223" t="s">
        <v>1200</v>
      </c>
      <c r="C367" s="223" t="s">
        <v>1205</v>
      </c>
      <c r="D367" s="320">
        <v>44620.0</v>
      </c>
      <c r="I367" s="218">
        <v>250.94</v>
      </c>
      <c r="J367" s="223" t="s">
        <v>52</v>
      </c>
      <c r="K367" s="319">
        <v>2022.02</v>
      </c>
      <c r="L367" s="218" t="s">
        <v>200</v>
      </c>
    </row>
    <row r="368">
      <c r="A368" s="223" t="s">
        <v>66</v>
      </c>
      <c r="B368" s="223" t="s">
        <v>1324</v>
      </c>
      <c r="C368" s="223" t="s">
        <v>1156</v>
      </c>
      <c r="D368" s="320">
        <v>44620.0</v>
      </c>
      <c r="I368" s="218">
        <v>79.56</v>
      </c>
      <c r="J368" s="223" t="s">
        <v>52</v>
      </c>
      <c r="K368" s="319">
        <v>2022.02</v>
      </c>
      <c r="L368" s="218" t="s">
        <v>200</v>
      </c>
    </row>
    <row r="369">
      <c r="A369" s="223" t="s">
        <v>311</v>
      </c>
      <c r="B369" s="223" t="s">
        <v>1216</v>
      </c>
      <c r="C369" s="223" t="s">
        <v>1222</v>
      </c>
      <c r="D369" s="320">
        <v>44620.0</v>
      </c>
      <c r="I369" s="218">
        <v>34.4</v>
      </c>
      <c r="J369" s="223" t="s">
        <v>52</v>
      </c>
      <c r="K369" s="319">
        <v>2022.02</v>
      </c>
      <c r="L369" s="218" t="s">
        <v>200</v>
      </c>
    </row>
    <row r="370">
      <c r="A370" s="223" t="s">
        <v>118</v>
      </c>
      <c r="B370" s="223" t="s">
        <v>1312</v>
      </c>
      <c r="C370" s="223" t="s">
        <v>1156</v>
      </c>
      <c r="D370" s="320">
        <v>44617.0</v>
      </c>
      <c r="I370" s="218">
        <v>750.0</v>
      </c>
      <c r="J370" s="223" t="s">
        <v>52</v>
      </c>
      <c r="K370" s="319">
        <v>2022.02</v>
      </c>
      <c r="L370" s="218">
        <v>750.0</v>
      </c>
    </row>
    <row r="371">
      <c r="A371" s="223" t="s">
        <v>115</v>
      </c>
      <c r="B371" s="223" t="s">
        <v>1308</v>
      </c>
      <c r="C371" s="223" t="s">
        <v>1156</v>
      </c>
      <c r="D371" s="320">
        <v>44618.0</v>
      </c>
      <c r="I371" s="218">
        <v>750.0</v>
      </c>
      <c r="J371" s="223" t="s">
        <v>52</v>
      </c>
      <c r="K371" s="319">
        <v>2022.02</v>
      </c>
      <c r="L371" s="218">
        <v>750.0</v>
      </c>
    </row>
    <row r="372">
      <c r="A372" s="223" t="s">
        <v>279</v>
      </c>
      <c r="B372" s="223" t="s">
        <v>1305</v>
      </c>
      <c r="C372" s="223" t="s">
        <v>1306</v>
      </c>
      <c r="D372" s="320">
        <v>44621.0</v>
      </c>
      <c r="I372" s="218">
        <v>49.25</v>
      </c>
      <c r="J372" s="223" t="s">
        <v>1160</v>
      </c>
      <c r="K372" s="319">
        <v>2022.0</v>
      </c>
      <c r="L372" s="218" t="s">
        <v>200</v>
      </c>
    </row>
    <row r="373">
      <c r="A373" s="223" t="s">
        <v>92</v>
      </c>
      <c r="B373" s="223" t="s">
        <v>1289</v>
      </c>
      <c r="C373" s="223" t="s">
        <v>1156</v>
      </c>
      <c r="D373" s="320">
        <v>44627.0</v>
      </c>
      <c r="I373" s="218">
        <v>70.0</v>
      </c>
      <c r="J373" s="223" t="s">
        <v>52</v>
      </c>
      <c r="K373" s="319">
        <v>2022.03</v>
      </c>
      <c r="L373" s="218">
        <v>70.0</v>
      </c>
    </row>
    <row r="374">
      <c r="A374" s="223" t="s">
        <v>279</v>
      </c>
      <c r="B374" s="223" t="s">
        <v>1305</v>
      </c>
      <c r="C374" s="223" t="s">
        <v>1306</v>
      </c>
      <c r="D374" s="320">
        <v>44630.0</v>
      </c>
      <c r="I374" s="218">
        <v>20.0</v>
      </c>
      <c r="J374" s="223" t="s">
        <v>1160</v>
      </c>
      <c r="K374" s="319">
        <v>2022.0</v>
      </c>
      <c r="L374" s="218">
        <v>20.0</v>
      </c>
    </row>
    <row r="375">
      <c r="A375" s="223" t="s">
        <v>42</v>
      </c>
      <c r="B375" s="223" t="s">
        <v>1236</v>
      </c>
      <c r="C375" s="223" t="s">
        <v>1156</v>
      </c>
      <c r="D375" s="322">
        <v>44651.0</v>
      </c>
      <c r="I375" s="218">
        <v>350.0</v>
      </c>
      <c r="J375" s="223" t="s">
        <v>52</v>
      </c>
      <c r="K375" s="319">
        <v>2022.03</v>
      </c>
      <c r="L375" s="218" t="s">
        <v>200</v>
      </c>
    </row>
    <row r="376">
      <c r="A376" s="223" t="s">
        <v>92</v>
      </c>
      <c r="B376" s="223" t="s">
        <v>1289</v>
      </c>
      <c r="C376" s="223" t="s">
        <v>1156</v>
      </c>
      <c r="D376" s="322">
        <v>44651.0</v>
      </c>
      <c r="I376" s="218">
        <v>212.5</v>
      </c>
      <c r="J376" s="223" t="s">
        <v>52</v>
      </c>
      <c r="K376" s="319">
        <v>2022.03</v>
      </c>
      <c r="L376" s="218" t="s">
        <v>200</v>
      </c>
    </row>
    <row r="377">
      <c r="A377" s="223" t="s">
        <v>147</v>
      </c>
      <c r="B377" s="223" t="s">
        <v>1194</v>
      </c>
      <c r="C377" s="223" t="s">
        <v>1156</v>
      </c>
      <c r="D377" s="322">
        <v>44651.0</v>
      </c>
      <c r="I377" s="218">
        <v>250.0</v>
      </c>
      <c r="J377" s="223" t="s">
        <v>52</v>
      </c>
      <c r="K377" s="319">
        <v>2022.03</v>
      </c>
      <c r="L377" s="218" t="s">
        <v>200</v>
      </c>
    </row>
    <row r="378">
      <c r="A378" s="223" t="s">
        <v>54</v>
      </c>
      <c r="B378" s="223" t="s">
        <v>1187</v>
      </c>
      <c r="C378" s="223" t="s">
        <v>1156</v>
      </c>
      <c r="D378" s="322">
        <v>44651.0</v>
      </c>
      <c r="I378" s="218">
        <v>175.0</v>
      </c>
      <c r="J378" s="223" t="s">
        <v>52</v>
      </c>
      <c r="K378" s="319">
        <v>2022.03</v>
      </c>
      <c r="L378" s="218" t="s">
        <v>200</v>
      </c>
    </row>
    <row r="379">
      <c r="A379" s="223" t="s">
        <v>246</v>
      </c>
      <c r="B379" s="223" t="s">
        <v>1184</v>
      </c>
      <c r="C379" s="223" t="s">
        <v>1156</v>
      </c>
      <c r="D379" s="322">
        <v>44651.0</v>
      </c>
      <c r="I379" s="218">
        <v>187.5</v>
      </c>
      <c r="J379" s="223" t="s">
        <v>52</v>
      </c>
      <c r="K379" s="319">
        <v>2022.03</v>
      </c>
      <c r="L379" s="218" t="s">
        <v>200</v>
      </c>
    </row>
    <row r="380">
      <c r="A380" s="223" t="s">
        <v>1269</v>
      </c>
      <c r="B380" s="223" t="s">
        <v>1264</v>
      </c>
      <c r="C380" s="223" t="s">
        <v>1270</v>
      </c>
      <c r="D380" s="322">
        <v>44651.0</v>
      </c>
      <c r="I380" s="218">
        <v>50.0</v>
      </c>
      <c r="J380" s="223" t="s">
        <v>1152</v>
      </c>
      <c r="K380" s="319">
        <v>2022.0</v>
      </c>
      <c r="L380" s="218" t="s">
        <v>200</v>
      </c>
    </row>
    <row r="381">
      <c r="A381" s="223" t="s">
        <v>223</v>
      </c>
      <c r="B381" s="223" t="s">
        <v>1176</v>
      </c>
      <c r="C381" s="223" t="s">
        <v>1156</v>
      </c>
      <c r="D381" s="322">
        <v>44651.0</v>
      </c>
      <c r="I381" s="218">
        <v>200.0</v>
      </c>
      <c r="J381" s="223" t="s">
        <v>52</v>
      </c>
      <c r="K381" s="319">
        <v>2022.03</v>
      </c>
      <c r="L381" s="218" t="s">
        <v>200</v>
      </c>
    </row>
    <row r="382">
      <c r="A382" s="223" t="s">
        <v>97</v>
      </c>
      <c r="B382" s="223" t="s">
        <v>1286</v>
      </c>
      <c r="C382" s="223" t="s">
        <v>1156</v>
      </c>
      <c r="D382" s="322">
        <v>44651.0</v>
      </c>
      <c r="I382" s="218">
        <v>125.0</v>
      </c>
      <c r="J382" s="223" t="s">
        <v>52</v>
      </c>
      <c r="K382" s="319">
        <v>2022.03</v>
      </c>
      <c r="L382" s="218" t="s">
        <v>200</v>
      </c>
    </row>
    <row r="383">
      <c r="A383" s="223" t="s">
        <v>66</v>
      </c>
      <c r="B383" s="223" t="s">
        <v>1324</v>
      </c>
      <c r="C383" s="223" t="s">
        <v>1156</v>
      </c>
      <c r="D383" s="322">
        <v>44651.0</v>
      </c>
      <c r="I383" s="218">
        <v>275.0</v>
      </c>
      <c r="J383" s="223" t="s">
        <v>52</v>
      </c>
      <c r="K383" s="319">
        <v>2022.03</v>
      </c>
      <c r="L383" s="218" t="s">
        <v>200</v>
      </c>
    </row>
    <row r="384">
      <c r="A384" s="223" t="s">
        <v>147</v>
      </c>
      <c r="B384" s="223" t="s">
        <v>1194</v>
      </c>
      <c r="C384" s="223" t="s">
        <v>1156</v>
      </c>
      <c r="D384" s="322">
        <v>44651.0</v>
      </c>
      <c r="I384" s="218">
        <v>200.0</v>
      </c>
      <c r="J384" s="223" t="s">
        <v>52</v>
      </c>
      <c r="K384" s="319">
        <v>2022.03</v>
      </c>
      <c r="L384" s="218" t="s">
        <v>200</v>
      </c>
    </row>
    <row r="385">
      <c r="A385" s="223" t="s">
        <v>88</v>
      </c>
      <c r="B385" s="223" t="s">
        <v>1256</v>
      </c>
      <c r="C385" s="223" t="s">
        <v>1156</v>
      </c>
      <c r="D385" s="322">
        <v>44651.0</v>
      </c>
      <c r="I385" s="218">
        <v>212.5</v>
      </c>
      <c r="J385" s="223" t="s">
        <v>52</v>
      </c>
      <c r="K385" s="319">
        <v>2022.03</v>
      </c>
      <c r="L385" s="218" t="s">
        <v>200</v>
      </c>
    </row>
    <row r="386">
      <c r="A386" s="223" t="s">
        <v>73</v>
      </c>
      <c r="B386" s="223" t="s">
        <v>1327</v>
      </c>
      <c r="C386" s="223" t="s">
        <v>1156</v>
      </c>
      <c r="D386" s="322">
        <v>44651.0</v>
      </c>
      <c r="I386" s="218">
        <v>250.0</v>
      </c>
      <c r="J386" s="223" t="s">
        <v>52</v>
      </c>
      <c r="K386" s="319">
        <v>2022.03</v>
      </c>
      <c r="L386" s="218" t="s">
        <v>200</v>
      </c>
    </row>
    <row r="387">
      <c r="A387" s="223" t="s">
        <v>102</v>
      </c>
      <c r="B387" s="223" t="s">
        <v>1259</v>
      </c>
      <c r="C387" s="223" t="s">
        <v>1156</v>
      </c>
      <c r="D387" s="322">
        <v>44651.0</v>
      </c>
      <c r="I387" s="218">
        <v>150.0</v>
      </c>
      <c r="J387" s="223" t="s">
        <v>52</v>
      </c>
      <c r="K387" s="319">
        <v>2022.03</v>
      </c>
      <c r="L387" s="218" t="s">
        <v>200</v>
      </c>
    </row>
    <row r="388">
      <c r="A388" s="223" t="s">
        <v>1269</v>
      </c>
      <c r="B388" s="223" t="s">
        <v>1264</v>
      </c>
      <c r="C388" s="223" t="s">
        <v>1270</v>
      </c>
      <c r="D388" s="320">
        <v>44651.0</v>
      </c>
      <c r="I388" s="218">
        <v>50.0</v>
      </c>
      <c r="J388" s="223" t="s">
        <v>1152</v>
      </c>
      <c r="K388" s="319">
        <v>2022.0</v>
      </c>
      <c r="L388" s="218" t="s">
        <v>200</v>
      </c>
    </row>
    <row r="389">
      <c r="A389" s="223" t="s">
        <v>115</v>
      </c>
      <c r="B389" s="223" t="s">
        <v>1308</v>
      </c>
      <c r="C389" s="223" t="s">
        <v>1156</v>
      </c>
      <c r="D389" s="320">
        <v>44651.0</v>
      </c>
      <c r="I389" s="218">
        <v>662.5</v>
      </c>
      <c r="J389" s="223" t="s">
        <v>52</v>
      </c>
      <c r="K389" s="319">
        <v>2022.03</v>
      </c>
      <c r="L389" s="218" t="s">
        <v>200</v>
      </c>
    </row>
    <row r="390">
      <c r="A390" s="223" t="s">
        <v>118</v>
      </c>
      <c r="B390" s="223" t="s">
        <v>1312</v>
      </c>
      <c r="C390" s="223" t="s">
        <v>1156</v>
      </c>
      <c r="D390" s="320">
        <v>44651.0</v>
      </c>
      <c r="I390" s="218">
        <v>662.5</v>
      </c>
      <c r="J390" s="223" t="s">
        <v>52</v>
      </c>
      <c r="K390" s="319">
        <v>2022.03</v>
      </c>
      <c r="L390" s="218" t="s">
        <v>200</v>
      </c>
    </row>
    <row r="391">
      <c r="A391" s="223" t="s">
        <v>92</v>
      </c>
      <c r="B391" s="223" t="s">
        <v>1289</v>
      </c>
      <c r="C391" s="223" t="s">
        <v>1156</v>
      </c>
      <c r="D391" s="320">
        <v>44651.0</v>
      </c>
      <c r="I391" s="218">
        <v>350.0</v>
      </c>
      <c r="J391" s="223" t="s">
        <v>52</v>
      </c>
      <c r="K391" s="319">
        <v>2022.03</v>
      </c>
      <c r="L391" s="218" t="s">
        <v>200</v>
      </c>
    </row>
    <row r="392">
      <c r="A392" s="223" t="s">
        <v>84</v>
      </c>
      <c r="B392" s="223" t="s">
        <v>1227</v>
      </c>
      <c r="C392" s="223" t="s">
        <v>1156</v>
      </c>
      <c r="D392" s="320">
        <v>44651.0</v>
      </c>
      <c r="I392" s="218">
        <v>475.0</v>
      </c>
      <c r="J392" s="223" t="s">
        <v>52</v>
      </c>
      <c r="K392" s="319">
        <v>2022.03</v>
      </c>
      <c r="L392" s="218" t="s">
        <v>200</v>
      </c>
    </row>
    <row r="393">
      <c r="A393" s="223" t="s">
        <v>123</v>
      </c>
      <c r="B393" s="223" t="s">
        <v>1300</v>
      </c>
      <c r="C393" s="223" t="s">
        <v>1156</v>
      </c>
      <c r="D393" s="320">
        <v>44651.0</v>
      </c>
      <c r="I393" s="218">
        <v>1137.5</v>
      </c>
      <c r="J393" s="223" t="s">
        <v>52</v>
      </c>
      <c r="K393" s="319">
        <v>2022.03</v>
      </c>
      <c r="L393" s="218" t="s">
        <v>200</v>
      </c>
    </row>
    <row r="394">
      <c r="A394" s="223" t="s">
        <v>62</v>
      </c>
      <c r="B394" s="223" t="s">
        <v>1304</v>
      </c>
      <c r="C394" s="223" t="s">
        <v>1156</v>
      </c>
      <c r="D394" s="320">
        <v>44651.0</v>
      </c>
      <c r="I394" s="218">
        <v>450.0</v>
      </c>
      <c r="J394" s="223" t="s">
        <v>52</v>
      </c>
      <c r="K394" s="319">
        <v>2022.03</v>
      </c>
      <c r="L394" s="218" t="s">
        <v>200</v>
      </c>
    </row>
    <row r="395">
      <c r="A395" s="223" t="s">
        <v>147</v>
      </c>
      <c r="B395" s="223" t="s">
        <v>1194</v>
      </c>
      <c r="C395" s="223" t="s">
        <v>1156</v>
      </c>
      <c r="D395" s="320">
        <v>44651.0</v>
      </c>
      <c r="I395" s="218">
        <v>75.0</v>
      </c>
      <c r="J395" s="223" t="s">
        <v>52</v>
      </c>
      <c r="K395" s="319">
        <v>2022.03</v>
      </c>
      <c r="L395" s="218" t="s">
        <v>200</v>
      </c>
    </row>
    <row r="396">
      <c r="A396" s="223" t="s">
        <v>92</v>
      </c>
      <c r="B396" s="223" t="s">
        <v>1289</v>
      </c>
      <c r="C396" s="223" t="s">
        <v>1156</v>
      </c>
      <c r="D396" s="320">
        <v>44651.0</v>
      </c>
      <c r="I396" s="218">
        <v>575.0</v>
      </c>
      <c r="J396" s="223" t="s">
        <v>52</v>
      </c>
      <c r="K396" s="319">
        <v>2022.03</v>
      </c>
      <c r="L396" s="218" t="s">
        <v>200</v>
      </c>
    </row>
    <row r="397">
      <c r="A397" s="223" t="s">
        <v>88</v>
      </c>
      <c r="B397" s="223" t="s">
        <v>1256</v>
      </c>
      <c r="C397" s="223" t="s">
        <v>1156</v>
      </c>
      <c r="D397" s="320">
        <v>44651.0</v>
      </c>
      <c r="I397" s="218">
        <v>45.0</v>
      </c>
      <c r="J397" s="223" t="s">
        <v>52</v>
      </c>
      <c r="K397" s="319">
        <v>2022.03</v>
      </c>
      <c r="L397" s="218" t="s">
        <v>200</v>
      </c>
    </row>
    <row r="398">
      <c r="A398" s="223" t="s">
        <v>151</v>
      </c>
      <c r="B398" s="223" t="s">
        <v>1262</v>
      </c>
      <c r="C398" s="223" t="s">
        <v>1156</v>
      </c>
      <c r="D398" s="320">
        <v>44651.0</v>
      </c>
      <c r="I398" s="218">
        <v>310.0</v>
      </c>
      <c r="J398" s="223" t="s">
        <v>52</v>
      </c>
      <c r="K398" s="319">
        <v>2022.03</v>
      </c>
      <c r="L398" s="218" t="s">
        <v>200</v>
      </c>
    </row>
    <row r="399">
      <c r="A399" s="223" t="s">
        <v>112</v>
      </c>
      <c r="B399" s="223" t="s">
        <v>1296</v>
      </c>
      <c r="C399" s="223" t="s">
        <v>2309</v>
      </c>
      <c r="D399" s="320">
        <v>44651.0</v>
      </c>
      <c r="I399" s="218">
        <v>180.0</v>
      </c>
      <c r="J399" s="223" t="s">
        <v>52</v>
      </c>
      <c r="K399" s="319">
        <v>2022.03</v>
      </c>
      <c r="L399" s="218" t="s">
        <v>200</v>
      </c>
    </row>
    <row r="400">
      <c r="A400" s="223" t="s">
        <v>86</v>
      </c>
      <c r="B400" s="223" t="s">
        <v>1235</v>
      </c>
      <c r="C400" s="223" t="s">
        <v>1156</v>
      </c>
      <c r="D400" s="320">
        <v>44651.0</v>
      </c>
      <c r="I400" s="218">
        <v>180.0</v>
      </c>
      <c r="J400" s="223" t="s">
        <v>52</v>
      </c>
      <c r="K400" s="319">
        <v>2022.03</v>
      </c>
      <c r="L400" s="218" t="s">
        <v>200</v>
      </c>
    </row>
    <row r="401">
      <c r="A401" s="223" t="s">
        <v>97</v>
      </c>
      <c r="B401" s="223" t="s">
        <v>1286</v>
      </c>
      <c r="C401" s="223" t="s">
        <v>1156</v>
      </c>
      <c r="D401" s="320">
        <v>44651.0</v>
      </c>
      <c r="I401" s="218">
        <v>30.0</v>
      </c>
      <c r="J401" s="223" t="s">
        <v>52</v>
      </c>
      <c r="K401" s="319">
        <v>2022.03</v>
      </c>
      <c r="L401" s="218" t="s">
        <v>200</v>
      </c>
    </row>
    <row r="402">
      <c r="A402" s="223" t="s">
        <v>82</v>
      </c>
      <c r="B402" s="223" t="s">
        <v>1124</v>
      </c>
      <c r="C402" s="223" t="s">
        <v>1156</v>
      </c>
      <c r="D402" s="320">
        <v>44651.0</v>
      </c>
      <c r="I402" s="218">
        <v>300.0</v>
      </c>
      <c r="J402" s="223" t="s">
        <v>52</v>
      </c>
      <c r="K402" s="319">
        <v>2022.03</v>
      </c>
      <c r="L402" s="218" t="s">
        <v>200</v>
      </c>
    </row>
    <row r="403">
      <c r="A403" s="223" t="s">
        <v>99</v>
      </c>
      <c r="B403" s="223" t="s">
        <v>1192</v>
      </c>
      <c r="C403" s="223" t="s">
        <v>1156</v>
      </c>
      <c r="D403" s="320">
        <v>44651.0</v>
      </c>
      <c r="I403" s="218">
        <v>457.5</v>
      </c>
      <c r="J403" s="223" t="s">
        <v>52</v>
      </c>
      <c r="K403" s="319">
        <v>2022.03</v>
      </c>
      <c r="L403" s="218" t="s">
        <v>200</v>
      </c>
    </row>
    <row r="404">
      <c r="A404" s="223" t="s">
        <v>68</v>
      </c>
      <c r="B404" s="223" t="s">
        <v>1178</v>
      </c>
      <c r="C404" s="223" t="s">
        <v>1156</v>
      </c>
      <c r="D404" s="320">
        <v>44651.0</v>
      </c>
      <c r="I404" s="218">
        <v>297.5</v>
      </c>
      <c r="J404" s="223" t="s">
        <v>52</v>
      </c>
      <c r="K404" s="319">
        <v>2022.03</v>
      </c>
      <c r="L404" s="218" t="s">
        <v>200</v>
      </c>
    </row>
    <row r="405">
      <c r="A405" s="223" t="s">
        <v>42</v>
      </c>
      <c r="B405" s="223" t="s">
        <v>1236</v>
      </c>
      <c r="C405" s="223" t="s">
        <v>1156</v>
      </c>
      <c r="D405" s="320">
        <v>44651.0</v>
      </c>
      <c r="I405" s="218">
        <v>347.5</v>
      </c>
      <c r="J405" s="223" t="s">
        <v>52</v>
      </c>
      <c r="K405" s="319">
        <v>2022.03</v>
      </c>
      <c r="L405" s="218" t="s">
        <v>200</v>
      </c>
    </row>
    <row r="406">
      <c r="A406" s="223" t="s">
        <v>58</v>
      </c>
      <c r="B406" s="223" t="s">
        <v>1197</v>
      </c>
      <c r="C406" s="223" t="s">
        <v>1156</v>
      </c>
      <c r="D406" s="320">
        <v>44651.0</v>
      </c>
      <c r="I406" s="218">
        <v>400.0</v>
      </c>
      <c r="J406" s="223" t="s">
        <v>52</v>
      </c>
      <c r="K406" s="319">
        <v>2022.03</v>
      </c>
      <c r="L406" s="218" t="s">
        <v>200</v>
      </c>
    </row>
    <row r="407">
      <c r="A407" s="223" t="s">
        <v>123</v>
      </c>
      <c r="B407" s="223" t="s">
        <v>1300</v>
      </c>
      <c r="C407" s="223" t="s">
        <v>1156</v>
      </c>
      <c r="D407" s="320">
        <v>44651.0</v>
      </c>
      <c r="I407" s="218">
        <v>300.0</v>
      </c>
      <c r="J407" s="223" t="s">
        <v>52</v>
      </c>
      <c r="K407" s="319">
        <v>2022.03</v>
      </c>
      <c r="L407" s="218" t="s">
        <v>200</v>
      </c>
    </row>
    <row r="408">
      <c r="A408" s="223" t="s">
        <v>73</v>
      </c>
      <c r="B408" s="223" t="s">
        <v>1327</v>
      </c>
      <c r="C408" s="223" t="s">
        <v>1156</v>
      </c>
      <c r="D408" s="320">
        <v>44651.0</v>
      </c>
      <c r="I408" s="218">
        <v>60.0</v>
      </c>
      <c r="J408" s="223" t="s">
        <v>52</v>
      </c>
      <c r="K408" s="319">
        <v>2022.03</v>
      </c>
      <c r="L408" s="218" t="s">
        <v>200</v>
      </c>
    </row>
    <row r="409">
      <c r="A409" s="223" t="s">
        <v>50</v>
      </c>
      <c r="B409" s="223" t="s">
        <v>1275</v>
      </c>
      <c r="C409" s="223" t="s">
        <v>1156</v>
      </c>
      <c r="D409" s="320">
        <v>44651.0</v>
      </c>
      <c r="I409" s="218">
        <v>167.5</v>
      </c>
      <c r="J409" s="223" t="s">
        <v>52</v>
      </c>
      <c r="K409" s="319">
        <v>2022.03</v>
      </c>
      <c r="L409" s="218" t="s">
        <v>200</v>
      </c>
    </row>
    <row r="410">
      <c r="A410" s="223" t="s">
        <v>62</v>
      </c>
      <c r="B410" s="223" t="s">
        <v>1304</v>
      </c>
      <c r="C410" s="223" t="s">
        <v>1156</v>
      </c>
      <c r="D410" s="320">
        <v>44651.0</v>
      </c>
      <c r="I410" s="218">
        <v>300.0</v>
      </c>
      <c r="J410" s="223" t="s">
        <v>52</v>
      </c>
      <c r="K410" s="319">
        <v>2022.03</v>
      </c>
      <c r="L410" s="218" t="s">
        <v>200</v>
      </c>
    </row>
    <row r="411">
      <c r="A411" s="223" t="s">
        <v>223</v>
      </c>
      <c r="B411" s="223" t="s">
        <v>1176</v>
      </c>
      <c r="C411" s="223" t="s">
        <v>1156</v>
      </c>
      <c r="D411" s="320">
        <v>44651.0</v>
      </c>
      <c r="I411" s="218">
        <v>175.0</v>
      </c>
      <c r="J411" s="223" t="s">
        <v>52</v>
      </c>
      <c r="K411" s="319">
        <v>2022.03</v>
      </c>
      <c r="L411" s="218" t="s">
        <v>200</v>
      </c>
    </row>
    <row r="412">
      <c r="A412" s="223" t="s">
        <v>225</v>
      </c>
      <c r="B412" s="223" t="s">
        <v>1257</v>
      </c>
      <c r="C412" s="223" t="s">
        <v>1156</v>
      </c>
      <c r="D412" s="320">
        <v>44651.0</v>
      </c>
      <c r="I412" s="218">
        <v>1860.0</v>
      </c>
      <c r="J412" s="223" t="s">
        <v>52</v>
      </c>
      <c r="K412" s="319">
        <v>2022.03</v>
      </c>
      <c r="L412" s="218" t="s">
        <v>200</v>
      </c>
    </row>
    <row r="413">
      <c r="A413" s="223" t="s">
        <v>246</v>
      </c>
      <c r="B413" s="223" t="s">
        <v>1184</v>
      </c>
      <c r="C413" s="223" t="s">
        <v>1156</v>
      </c>
      <c r="D413" s="320">
        <v>44651.0</v>
      </c>
      <c r="I413" s="218">
        <v>45.0</v>
      </c>
      <c r="J413" s="223" t="s">
        <v>52</v>
      </c>
      <c r="K413" s="319">
        <v>2022.03</v>
      </c>
      <c r="L413" s="218" t="s">
        <v>200</v>
      </c>
    </row>
    <row r="414">
      <c r="A414" s="223" t="s">
        <v>296</v>
      </c>
      <c r="B414" s="223" t="s">
        <v>1200</v>
      </c>
      <c r="C414" s="223" t="s">
        <v>1205</v>
      </c>
      <c r="D414" s="320">
        <v>44651.0</v>
      </c>
      <c r="I414" s="218">
        <v>350.0</v>
      </c>
      <c r="J414" s="223" t="s">
        <v>52</v>
      </c>
      <c r="K414" s="319">
        <v>2022.03</v>
      </c>
      <c r="L414" s="218" t="s">
        <v>200</v>
      </c>
    </row>
    <row r="415">
      <c r="A415" s="223" t="s">
        <v>66</v>
      </c>
      <c r="B415" s="223" t="s">
        <v>1324</v>
      </c>
      <c r="C415" s="223" t="s">
        <v>1156</v>
      </c>
      <c r="D415" s="320">
        <v>44651.0</v>
      </c>
      <c r="I415" s="218">
        <v>60.0</v>
      </c>
      <c r="J415" s="223" t="s">
        <v>52</v>
      </c>
      <c r="K415" s="319">
        <v>2022.03</v>
      </c>
      <c r="L415" s="218" t="s">
        <v>200</v>
      </c>
    </row>
    <row r="416">
      <c r="A416" s="223" t="s">
        <v>311</v>
      </c>
      <c r="B416" s="223" t="s">
        <v>1216</v>
      </c>
      <c r="C416" s="223" t="s">
        <v>1222</v>
      </c>
      <c r="D416" s="320">
        <v>44651.0</v>
      </c>
      <c r="I416" s="218">
        <v>555.0</v>
      </c>
      <c r="J416" s="223" t="s">
        <v>52</v>
      </c>
      <c r="K416" s="319">
        <v>2022.03</v>
      </c>
      <c r="L416" s="218" t="s">
        <v>200</v>
      </c>
    </row>
    <row r="417">
      <c r="A417" s="223" t="s">
        <v>279</v>
      </c>
      <c r="B417" s="223" t="s">
        <v>1305</v>
      </c>
      <c r="C417" s="223" t="s">
        <v>1306</v>
      </c>
      <c r="D417" s="320">
        <v>44651.0</v>
      </c>
      <c r="I417" s="218">
        <v>550.0</v>
      </c>
      <c r="J417" s="223" t="s">
        <v>1160</v>
      </c>
      <c r="K417" s="319">
        <v>2022.0</v>
      </c>
      <c r="L417" s="218" t="s">
        <v>200</v>
      </c>
    </row>
    <row r="418">
      <c r="A418" s="223" t="s">
        <v>120</v>
      </c>
      <c r="B418" s="223" t="s">
        <v>1215</v>
      </c>
      <c r="C418" s="223" t="s">
        <v>1156</v>
      </c>
      <c r="D418" s="320">
        <v>44651.0</v>
      </c>
      <c r="I418" s="218">
        <v>575.0</v>
      </c>
      <c r="J418" s="223" t="s">
        <v>52</v>
      </c>
      <c r="K418" s="319">
        <v>2022.03</v>
      </c>
      <c r="L418" s="218" t="s">
        <v>200</v>
      </c>
    </row>
    <row r="419">
      <c r="A419" s="223" t="s">
        <v>58</v>
      </c>
      <c r="B419" s="223" t="s">
        <v>1197</v>
      </c>
      <c r="C419" s="223" t="s">
        <v>1156</v>
      </c>
      <c r="D419" s="320">
        <v>44651.0</v>
      </c>
      <c r="I419" s="218">
        <v>300.0</v>
      </c>
      <c r="J419" s="223" t="s">
        <v>52</v>
      </c>
      <c r="K419" s="319">
        <v>2022.03</v>
      </c>
      <c r="L419" s="218" t="s">
        <v>200</v>
      </c>
    </row>
    <row r="420">
      <c r="A420" s="223" t="s">
        <v>54</v>
      </c>
      <c r="B420" s="223" t="s">
        <v>1187</v>
      </c>
      <c r="C420" s="223" t="s">
        <v>1156</v>
      </c>
      <c r="D420" s="320">
        <v>44651.0</v>
      </c>
      <c r="I420" s="218">
        <v>162.5</v>
      </c>
      <c r="J420" s="223" t="s">
        <v>52</v>
      </c>
      <c r="K420" s="319">
        <v>2022.03</v>
      </c>
      <c r="L420" s="218" t="s">
        <v>200</v>
      </c>
    </row>
    <row r="421">
      <c r="A421" s="223" t="s">
        <v>75</v>
      </c>
      <c r="B421" s="223" t="s">
        <v>1279</v>
      </c>
      <c r="C421" s="223" t="s">
        <v>1156</v>
      </c>
      <c r="D421" s="320">
        <v>44651.0</v>
      </c>
      <c r="I421" s="218">
        <v>225.0</v>
      </c>
      <c r="J421" s="223" t="s">
        <v>52</v>
      </c>
      <c r="K421" s="319">
        <v>2022.03</v>
      </c>
      <c r="L421" s="218" t="s">
        <v>200</v>
      </c>
    </row>
    <row r="422">
      <c r="A422" s="223" t="s">
        <v>156</v>
      </c>
      <c r="B422" s="223" t="s">
        <v>1293</v>
      </c>
      <c r="C422" s="223" t="s">
        <v>1156</v>
      </c>
      <c r="D422" s="320">
        <v>44651.0</v>
      </c>
      <c r="I422" s="218">
        <v>225.0</v>
      </c>
      <c r="J422" s="223" t="s">
        <v>52</v>
      </c>
      <c r="K422" s="319">
        <v>2022.03</v>
      </c>
      <c r="L422" s="218" t="s">
        <v>200</v>
      </c>
    </row>
    <row r="423">
      <c r="A423" s="223" t="s">
        <v>81</v>
      </c>
      <c r="B423" s="223" t="s">
        <v>1255</v>
      </c>
      <c r="C423" s="223" t="s">
        <v>1156</v>
      </c>
      <c r="D423" s="320">
        <v>44651.0</v>
      </c>
      <c r="I423" s="218">
        <v>287.5</v>
      </c>
      <c r="J423" s="223" t="s">
        <v>52</v>
      </c>
      <c r="K423" s="319">
        <v>2022.03</v>
      </c>
      <c r="L423" s="218" t="s">
        <v>200</v>
      </c>
    </row>
    <row r="424">
      <c r="A424" s="223" t="s">
        <v>313</v>
      </c>
      <c r="B424" s="223" t="s">
        <v>1252</v>
      </c>
      <c r="C424" s="223" t="s">
        <v>1253</v>
      </c>
      <c r="D424" s="320">
        <v>44651.0</v>
      </c>
      <c r="I424" s="218">
        <v>2187.5</v>
      </c>
      <c r="J424" s="223" t="s">
        <v>1160</v>
      </c>
      <c r="K424" s="319">
        <v>2022.0</v>
      </c>
      <c r="L424" s="218" t="s">
        <v>200</v>
      </c>
    </row>
    <row r="425">
      <c r="A425" s="223" t="s">
        <v>296</v>
      </c>
      <c r="B425" s="223" t="s">
        <v>1200</v>
      </c>
      <c r="C425" s="223" t="s">
        <v>1205</v>
      </c>
      <c r="D425" s="320">
        <v>44651.0</v>
      </c>
      <c r="I425" s="218">
        <v>300.0</v>
      </c>
      <c r="J425" s="223" t="s">
        <v>52</v>
      </c>
      <c r="K425" s="319">
        <v>2022.03</v>
      </c>
      <c r="L425" s="218" t="s">
        <v>200</v>
      </c>
    </row>
    <row r="426">
      <c r="A426" s="223" t="s">
        <v>299</v>
      </c>
      <c r="B426" s="223" t="s">
        <v>1200</v>
      </c>
      <c r="C426" s="223" t="s">
        <v>1207</v>
      </c>
      <c r="D426" s="320">
        <v>44651.0</v>
      </c>
      <c r="I426" s="218">
        <v>337.5</v>
      </c>
      <c r="J426" s="223" t="s">
        <v>52</v>
      </c>
      <c r="K426" s="319">
        <v>2022.03</v>
      </c>
      <c r="L426" s="218" t="s">
        <v>200</v>
      </c>
    </row>
    <row r="427">
      <c r="A427" s="223" t="s">
        <v>42</v>
      </c>
      <c r="B427" s="223" t="s">
        <v>1236</v>
      </c>
      <c r="C427" s="223" t="s">
        <v>1156</v>
      </c>
      <c r="D427" s="320">
        <v>44651.0</v>
      </c>
      <c r="I427" s="218">
        <v>200.0</v>
      </c>
      <c r="J427" s="223" t="s">
        <v>52</v>
      </c>
      <c r="K427" s="319">
        <v>2022.03</v>
      </c>
      <c r="L427" s="218" t="s">
        <v>200</v>
      </c>
    </row>
    <row r="428">
      <c r="A428" s="223" t="s">
        <v>99</v>
      </c>
      <c r="B428" s="223" t="s">
        <v>1192</v>
      </c>
      <c r="C428" s="223" t="s">
        <v>1156</v>
      </c>
      <c r="D428" s="320">
        <v>44651.0</v>
      </c>
      <c r="I428" s="218">
        <v>315.0</v>
      </c>
      <c r="J428" s="223" t="s">
        <v>52</v>
      </c>
      <c r="K428" s="319">
        <v>2022.03</v>
      </c>
      <c r="L428" s="218" t="s">
        <v>200</v>
      </c>
    </row>
    <row r="429">
      <c r="A429" s="223" t="s">
        <v>1266</v>
      </c>
      <c r="B429" s="223" t="s">
        <v>1264</v>
      </c>
      <c r="C429" s="223" t="s">
        <v>1267</v>
      </c>
      <c r="D429" s="320">
        <v>44651.0</v>
      </c>
      <c r="I429" s="218">
        <v>135.0</v>
      </c>
      <c r="J429" s="223" t="s">
        <v>1152</v>
      </c>
      <c r="K429" s="319">
        <v>2022.0</v>
      </c>
      <c r="L429" s="218" t="s">
        <v>200</v>
      </c>
    </row>
    <row r="430">
      <c r="A430" s="223" t="s">
        <v>1269</v>
      </c>
      <c r="B430" s="223" t="s">
        <v>1264</v>
      </c>
      <c r="C430" s="223" t="s">
        <v>1270</v>
      </c>
      <c r="D430" s="320">
        <v>44651.0</v>
      </c>
      <c r="I430" s="218">
        <v>12.5</v>
      </c>
      <c r="J430" s="223" t="s">
        <v>1152</v>
      </c>
      <c r="K430" s="319">
        <v>2022.0</v>
      </c>
      <c r="L430" s="218" t="s">
        <v>200</v>
      </c>
    </row>
    <row r="431">
      <c r="A431" s="223" t="s">
        <v>177</v>
      </c>
      <c r="B431" s="223" t="s">
        <v>1233</v>
      </c>
      <c r="C431" s="223" t="s">
        <v>1234</v>
      </c>
      <c r="D431" s="320">
        <v>44651.0</v>
      </c>
      <c r="I431" s="218">
        <v>112.5</v>
      </c>
      <c r="J431" s="223" t="s">
        <v>1160</v>
      </c>
      <c r="K431" s="319">
        <v>2022.0</v>
      </c>
      <c r="L431" s="218" t="s">
        <v>200</v>
      </c>
    </row>
    <row r="432">
      <c r="A432" s="223" t="s">
        <v>299</v>
      </c>
      <c r="B432" s="223" t="s">
        <v>1200</v>
      </c>
      <c r="C432" s="223" t="s">
        <v>1207</v>
      </c>
      <c r="D432" s="320">
        <v>44651.0</v>
      </c>
      <c r="I432" s="218">
        <v>275.0</v>
      </c>
      <c r="J432" s="223" t="s">
        <v>52</v>
      </c>
      <c r="K432" s="319">
        <v>2022.03</v>
      </c>
      <c r="L432" s="218" t="s">
        <v>200</v>
      </c>
    </row>
    <row r="433">
      <c r="A433" s="223" t="s">
        <v>81</v>
      </c>
      <c r="B433" s="223" t="s">
        <v>1255</v>
      </c>
      <c r="C433" s="223" t="s">
        <v>1156</v>
      </c>
      <c r="D433" s="320">
        <v>44651.0</v>
      </c>
      <c r="I433" s="218">
        <v>250.0</v>
      </c>
      <c r="J433" s="223" t="s">
        <v>52</v>
      </c>
      <c r="K433" s="319">
        <v>2022.03</v>
      </c>
      <c r="L433" s="218" t="s">
        <v>200</v>
      </c>
    </row>
    <row r="434">
      <c r="A434" s="223" t="s">
        <v>289</v>
      </c>
      <c r="B434" s="223" t="s">
        <v>1240</v>
      </c>
      <c r="C434" s="223" t="s">
        <v>1186</v>
      </c>
      <c r="D434" s="320">
        <v>44651.0</v>
      </c>
      <c r="I434" s="218">
        <v>25.0</v>
      </c>
      <c r="J434" s="223" t="s">
        <v>1160</v>
      </c>
      <c r="K434" s="319">
        <v>2022.0</v>
      </c>
      <c r="L434" s="218" t="s">
        <v>200</v>
      </c>
    </row>
    <row r="435">
      <c r="A435" s="223" t="s">
        <v>54</v>
      </c>
      <c r="B435" s="223" t="s">
        <v>1187</v>
      </c>
      <c r="C435" s="223" t="s">
        <v>1156</v>
      </c>
      <c r="D435" s="320">
        <v>44651.0</v>
      </c>
      <c r="I435" s="218">
        <v>56.96</v>
      </c>
      <c r="J435" s="223" t="s">
        <v>52</v>
      </c>
      <c r="K435" s="319">
        <v>2022.03</v>
      </c>
      <c r="L435" s="218" t="s">
        <v>200</v>
      </c>
    </row>
    <row r="436">
      <c r="A436" s="223" t="s">
        <v>350</v>
      </c>
      <c r="B436" s="223" t="s">
        <v>1333</v>
      </c>
      <c r="C436" s="223" t="s">
        <v>36</v>
      </c>
      <c r="D436" s="320">
        <v>44651.0</v>
      </c>
      <c r="I436" s="218">
        <v>735.79</v>
      </c>
      <c r="J436" s="223" t="s">
        <v>1160</v>
      </c>
      <c r="K436" s="319">
        <v>2022.0</v>
      </c>
      <c r="L436" s="218" t="s">
        <v>200</v>
      </c>
    </row>
    <row r="437">
      <c r="A437" s="223" t="s">
        <v>120</v>
      </c>
      <c r="B437" s="223" t="s">
        <v>1215</v>
      </c>
      <c r="C437" s="223" t="s">
        <v>1156</v>
      </c>
      <c r="D437" s="320">
        <v>44651.0</v>
      </c>
      <c r="I437" s="218">
        <v>20.36</v>
      </c>
      <c r="J437" s="223" t="s">
        <v>52</v>
      </c>
      <c r="K437" s="319">
        <v>2022.03</v>
      </c>
      <c r="L437" s="218" t="s">
        <v>200</v>
      </c>
    </row>
    <row r="438">
      <c r="A438" s="223" t="s">
        <v>302</v>
      </c>
      <c r="B438" s="223" t="s">
        <v>1233</v>
      </c>
      <c r="C438" s="223" t="s">
        <v>36</v>
      </c>
      <c r="D438" s="320">
        <v>44651.0</v>
      </c>
      <c r="I438" s="218">
        <v>127.83</v>
      </c>
      <c r="J438" s="223" t="s">
        <v>1160</v>
      </c>
      <c r="K438" s="319">
        <v>2022.0</v>
      </c>
      <c r="L438" s="218" t="s">
        <v>200</v>
      </c>
    </row>
    <row r="439">
      <c r="A439" s="223" t="s">
        <v>356</v>
      </c>
      <c r="B439" s="223" t="s">
        <v>1216</v>
      </c>
      <c r="C439" s="223" t="s">
        <v>1340</v>
      </c>
      <c r="D439" s="320">
        <v>44651.0</v>
      </c>
      <c r="I439" s="218">
        <v>107.62</v>
      </c>
      <c r="J439" s="223" t="s">
        <v>1160</v>
      </c>
      <c r="K439" s="319">
        <v>2022.0</v>
      </c>
      <c r="L439" s="218" t="s">
        <v>200</v>
      </c>
    </row>
    <row r="440">
      <c r="A440" s="223" t="s">
        <v>42</v>
      </c>
      <c r="B440" s="223" t="s">
        <v>1236</v>
      </c>
      <c r="C440" s="223" t="s">
        <v>1156</v>
      </c>
      <c r="D440" s="320">
        <v>44651.0</v>
      </c>
      <c r="I440" s="218">
        <v>21.13</v>
      </c>
      <c r="J440" s="223" t="s">
        <v>52</v>
      </c>
      <c r="K440" s="319">
        <v>2022.03</v>
      </c>
      <c r="L440" s="218" t="s">
        <v>200</v>
      </c>
    </row>
    <row r="441">
      <c r="A441" s="223" t="s">
        <v>82</v>
      </c>
      <c r="B441" s="223" t="s">
        <v>1124</v>
      </c>
      <c r="C441" s="223" t="s">
        <v>1156</v>
      </c>
      <c r="D441" s="320">
        <v>44651.0</v>
      </c>
      <c r="I441" s="218">
        <v>27.61</v>
      </c>
      <c r="J441" s="223" t="s">
        <v>52</v>
      </c>
      <c r="K441" s="319">
        <v>2022.03</v>
      </c>
      <c r="L441" s="218" t="s">
        <v>200</v>
      </c>
    </row>
    <row r="442">
      <c r="A442" s="223" t="s">
        <v>354</v>
      </c>
      <c r="B442" s="223" t="s">
        <v>1309</v>
      </c>
      <c r="C442" s="223" t="s">
        <v>1336</v>
      </c>
      <c r="D442" s="320">
        <v>44651.0</v>
      </c>
      <c r="I442" s="218">
        <v>385.99</v>
      </c>
      <c r="J442" s="223" t="s">
        <v>52</v>
      </c>
      <c r="K442" s="319">
        <v>2022.03</v>
      </c>
      <c r="L442" s="218" t="s">
        <v>200</v>
      </c>
    </row>
    <row r="443">
      <c r="A443" s="223" t="s">
        <v>259</v>
      </c>
      <c r="B443" s="223" t="s">
        <v>1248</v>
      </c>
      <c r="C443" s="223" t="s">
        <v>1249</v>
      </c>
      <c r="D443" s="320">
        <v>44651.0</v>
      </c>
      <c r="I443" s="218">
        <v>38.97</v>
      </c>
      <c r="J443" s="223" t="s">
        <v>1160</v>
      </c>
      <c r="K443" s="319">
        <v>2022.0</v>
      </c>
      <c r="L443" s="218" t="s">
        <v>200</v>
      </c>
    </row>
    <row r="444">
      <c r="A444" s="223" t="s">
        <v>1266</v>
      </c>
      <c r="B444" s="223" t="s">
        <v>1264</v>
      </c>
      <c r="C444" s="223" t="s">
        <v>1267</v>
      </c>
      <c r="D444" s="320">
        <v>44651.0</v>
      </c>
      <c r="I444" s="218">
        <v>285.35</v>
      </c>
      <c r="J444" s="223" t="s">
        <v>1152</v>
      </c>
      <c r="K444" s="319">
        <v>2022.0</v>
      </c>
      <c r="L444" s="218" t="s">
        <v>200</v>
      </c>
    </row>
    <row r="445">
      <c r="A445" s="223" t="s">
        <v>50</v>
      </c>
      <c r="B445" s="223" t="s">
        <v>1275</v>
      </c>
      <c r="C445" s="223" t="s">
        <v>1156</v>
      </c>
      <c r="D445" s="320">
        <v>44651.0</v>
      </c>
      <c r="I445" s="218">
        <v>2.03</v>
      </c>
      <c r="J445" s="223" t="s">
        <v>52</v>
      </c>
      <c r="K445" s="319">
        <v>2022.03</v>
      </c>
      <c r="L445" s="218" t="s">
        <v>200</v>
      </c>
    </row>
    <row r="446">
      <c r="A446" s="223" t="s">
        <v>90</v>
      </c>
      <c r="B446" s="223" t="s">
        <v>1282</v>
      </c>
      <c r="C446" s="223" t="s">
        <v>1156</v>
      </c>
      <c r="D446" s="320">
        <v>44651.0</v>
      </c>
      <c r="I446" s="218">
        <v>4.96</v>
      </c>
      <c r="J446" s="223" t="s">
        <v>52</v>
      </c>
      <c r="K446" s="319">
        <v>2022.03</v>
      </c>
      <c r="L446" s="218" t="s">
        <v>200</v>
      </c>
    </row>
    <row r="447">
      <c r="A447" s="223" t="s">
        <v>92</v>
      </c>
      <c r="B447" s="223" t="s">
        <v>1289</v>
      </c>
      <c r="C447" s="223" t="s">
        <v>1156</v>
      </c>
      <c r="D447" s="320">
        <v>44651.0</v>
      </c>
      <c r="I447" s="218">
        <v>34.38</v>
      </c>
      <c r="J447" s="223" t="s">
        <v>52</v>
      </c>
      <c r="K447" s="319">
        <v>2022.03</v>
      </c>
      <c r="L447" s="218" t="s">
        <v>200</v>
      </c>
    </row>
    <row r="448">
      <c r="A448" s="223" t="s">
        <v>313</v>
      </c>
      <c r="B448" s="223" t="s">
        <v>1252</v>
      </c>
      <c r="C448" s="223" t="s">
        <v>1253</v>
      </c>
      <c r="D448" s="320">
        <v>44651.0</v>
      </c>
      <c r="I448" s="218">
        <v>106.07</v>
      </c>
      <c r="J448" s="223" t="s">
        <v>1160</v>
      </c>
      <c r="K448" s="319">
        <v>2022.0</v>
      </c>
      <c r="L448" s="218" t="s">
        <v>200</v>
      </c>
    </row>
    <row r="449">
      <c r="A449" s="223" t="s">
        <v>231</v>
      </c>
      <c r="B449" s="223" t="s">
        <v>1294</v>
      </c>
      <c r="C449" s="223" t="s">
        <v>1190</v>
      </c>
      <c r="D449" s="320">
        <v>44651.0</v>
      </c>
      <c r="I449" s="218">
        <v>5.58</v>
      </c>
      <c r="J449" s="223" t="s">
        <v>1152</v>
      </c>
      <c r="K449" s="319">
        <v>2022.0</v>
      </c>
      <c r="L449" s="218" t="s">
        <v>200</v>
      </c>
    </row>
    <row r="450">
      <c r="A450" s="223" t="s">
        <v>123</v>
      </c>
      <c r="B450" s="223" t="s">
        <v>1300</v>
      </c>
      <c r="C450" s="223" t="s">
        <v>1156</v>
      </c>
      <c r="D450" s="320">
        <v>44651.0</v>
      </c>
      <c r="I450" s="218">
        <v>194.81</v>
      </c>
      <c r="J450" s="223" t="s">
        <v>52</v>
      </c>
      <c r="K450" s="319">
        <v>2022.03</v>
      </c>
      <c r="L450" s="218" t="s">
        <v>200</v>
      </c>
    </row>
    <row r="451">
      <c r="A451" s="223" t="s">
        <v>390</v>
      </c>
      <c r="B451" s="223" t="s">
        <v>1311</v>
      </c>
      <c r="C451" s="223" t="s">
        <v>1344</v>
      </c>
      <c r="D451" s="320">
        <v>44651.0</v>
      </c>
      <c r="I451" s="218">
        <v>66.77</v>
      </c>
      <c r="J451" s="223" t="s">
        <v>1160</v>
      </c>
      <c r="K451" s="319">
        <v>2022.0</v>
      </c>
      <c r="L451" s="218" t="s">
        <v>200</v>
      </c>
    </row>
    <row r="452">
      <c r="A452" s="223" t="s">
        <v>118</v>
      </c>
      <c r="B452" s="223" t="s">
        <v>1312</v>
      </c>
      <c r="C452" s="223" t="s">
        <v>1156</v>
      </c>
      <c r="D452" s="320">
        <v>44651.0</v>
      </c>
      <c r="I452" s="218">
        <v>111.99</v>
      </c>
      <c r="J452" s="223" t="s">
        <v>52</v>
      </c>
      <c r="K452" s="319">
        <v>2022.03</v>
      </c>
      <c r="L452" s="218" t="s">
        <v>200</v>
      </c>
    </row>
    <row r="453">
      <c r="A453" s="223" t="s">
        <v>296</v>
      </c>
      <c r="B453" s="223" t="s">
        <v>1200</v>
      </c>
      <c r="C453" s="223" t="s">
        <v>1205</v>
      </c>
      <c r="D453" s="320">
        <v>44651.0</v>
      </c>
      <c r="I453" s="218">
        <v>76.05</v>
      </c>
      <c r="J453" s="223" t="s">
        <v>52</v>
      </c>
      <c r="K453" s="319">
        <v>2022.03</v>
      </c>
      <c r="L453" s="218" t="s">
        <v>200</v>
      </c>
    </row>
    <row r="454">
      <c r="A454" s="223" t="s">
        <v>373</v>
      </c>
      <c r="B454" s="223" t="s">
        <v>1342</v>
      </c>
      <c r="C454" s="223" t="s">
        <v>1341</v>
      </c>
      <c r="D454" s="320">
        <v>44651.0</v>
      </c>
      <c r="I454" s="218">
        <v>145.57</v>
      </c>
      <c r="J454" s="223" t="s">
        <v>1160</v>
      </c>
      <c r="K454" s="319">
        <v>2022.0</v>
      </c>
      <c r="L454" s="218" t="s">
        <v>200</v>
      </c>
    </row>
    <row r="455">
      <c r="A455" s="223" t="s">
        <v>311</v>
      </c>
      <c r="B455" s="223" t="s">
        <v>1216</v>
      </c>
      <c r="C455" s="223" t="s">
        <v>1222</v>
      </c>
      <c r="D455" s="320">
        <v>44651.0</v>
      </c>
      <c r="I455" s="218">
        <v>111.18</v>
      </c>
      <c r="J455" s="223" t="s">
        <v>52</v>
      </c>
      <c r="K455" s="319">
        <v>2022.03</v>
      </c>
      <c r="L455" s="218" t="s">
        <v>200</v>
      </c>
    </row>
    <row r="456">
      <c r="A456" s="223" t="s">
        <v>279</v>
      </c>
      <c r="B456" s="223" t="s">
        <v>1305</v>
      </c>
      <c r="C456" s="223" t="s">
        <v>1306</v>
      </c>
      <c r="D456" s="320">
        <v>44632.0</v>
      </c>
      <c r="I456" s="218">
        <v>75.0</v>
      </c>
      <c r="J456" s="223" t="s">
        <v>1160</v>
      </c>
      <c r="K456" s="319">
        <v>2022.0</v>
      </c>
      <c r="L456" s="218">
        <v>75.0</v>
      </c>
    </row>
    <row r="457">
      <c r="A457" s="223" t="s">
        <v>118</v>
      </c>
      <c r="B457" s="223" t="s">
        <v>1312</v>
      </c>
      <c r="C457" s="223" t="s">
        <v>1156</v>
      </c>
      <c r="D457" s="320">
        <v>44638.0</v>
      </c>
      <c r="I457" s="218">
        <v>750.0</v>
      </c>
      <c r="J457" s="223" t="s">
        <v>52</v>
      </c>
      <c r="K457" s="319">
        <v>2022.03</v>
      </c>
      <c r="L457" s="218">
        <v>750.0</v>
      </c>
    </row>
    <row r="458">
      <c r="A458" s="223" t="s">
        <v>92</v>
      </c>
      <c r="B458" s="223" t="s">
        <v>1289</v>
      </c>
      <c r="C458" s="223" t="s">
        <v>1156</v>
      </c>
      <c r="D458" s="320">
        <v>44636.0</v>
      </c>
      <c r="I458" s="218">
        <v>10.0</v>
      </c>
      <c r="J458" s="223" t="s">
        <v>52</v>
      </c>
      <c r="K458" s="319">
        <v>2022.03</v>
      </c>
      <c r="L458" s="218">
        <v>10.0</v>
      </c>
    </row>
    <row r="459">
      <c r="A459" s="223" t="s">
        <v>115</v>
      </c>
      <c r="B459" s="223" t="s">
        <v>1308</v>
      </c>
      <c r="C459" s="223" t="s">
        <v>1156</v>
      </c>
      <c r="D459" s="320">
        <v>44641.0</v>
      </c>
      <c r="I459" s="218">
        <v>750.0</v>
      </c>
      <c r="J459" s="223" t="s">
        <v>52</v>
      </c>
      <c r="K459" s="319">
        <v>2022.03</v>
      </c>
      <c r="L459" s="218">
        <v>750.0</v>
      </c>
    </row>
    <row r="460">
      <c r="A460" s="223" t="s">
        <v>279</v>
      </c>
      <c r="B460" s="223" t="s">
        <v>1305</v>
      </c>
      <c r="C460" s="223" t="s">
        <v>1306</v>
      </c>
      <c r="D460" s="320">
        <v>44641.0</v>
      </c>
      <c r="I460" s="218">
        <v>250.0</v>
      </c>
      <c r="J460" s="223" t="s">
        <v>1160</v>
      </c>
      <c r="K460" s="319">
        <v>2022.0</v>
      </c>
      <c r="L460" s="218">
        <v>250.0</v>
      </c>
    </row>
    <row r="461">
      <c r="A461" s="223" t="s">
        <v>92</v>
      </c>
      <c r="B461" s="223" t="s">
        <v>1289</v>
      </c>
      <c r="C461" s="223" t="s">
        <v>1156</v>
      </c>
      <c r="D461" s="320">
        <v>44645.0</v>
      </c>
      <c r="I461" s="218">
        <v>4.52</v>
      </c>
      <c r="J461" s="223" t="s">
        <v>52</v>
      </c>
      <c r="K461" s="319">
        <v>2022.03</v>
      </c>
      <c r="L461" s="218">
        <v>4.52</v>
      </c>
    </row>
    <row r="462">
      <c r="A462" s="223" t="s">
        <v>118</v>
      </c>
      <c r="B462" s="223" t="s">
        <v>1312</v>
      </c>
      <c r="C462" s="223" t="s">
        <v>1156</v>
      </c>
      <c r="D462" s="320">
        <v>44653.0</v>
      </c>
      <c r="I462" s="218">
        <v>483.86</v>
      </c>
      <c r="J462" s="223" t="s">
        <v>52</v>
      </c>
      <c r="K462" s="319">
        <v>2022.04</v>
      </c>
      <c r="L462" s="218">
        <v>483.86</v>
      </c>
    </row>
    <row r="463">
      <c r="A463" s="223" t="s">
        <v>115</v>
      </c>
      <c r="B463" s="223" t="s">
        <v>1308</v>
      </c>
      <c r="C463" s="223" t="s">
        <v>1156</v>
      </c>
      <c r="D463" s="320">
        <v>44653.0</v>
      </c>
      <c r="I463" s="218">
        <v>252.5</v>
      </c>
      <c r="J463" s="223" t="s">
        <v>52</v>
      </c>
      <c r="K463" s="319">
        <v>2022.04</v>
      </c>
      <c r="L463" s="218">
        <v>252.5</v>
      </c>
    </row>
    <row r="464">
      <c r="A464" s="223" t="s">
        <v>279</v>
      </c>
      <c r="B464" s="223" t="s">
        <v>1305</v>
      </c>
      <c r="C464" s="223" t="s">
        <v>1306</v>
      </c>
      <c r="D464" s="320">
        <v>44653.0</v>
      </c>
      <c r="I464" s="218">
        <v>308.0</v>
      </c>
      <c r="J464" s="223" t="s">
        <v>1160</v>
      </c>
      <c r="K464" s="319">
        <v>2022.0</v>
      </c>
      <c r="L464" s="218">
        <v>308.0</v>
      </c>
    </row>
    <row r="465">
      <c r="A465" s="223" t="s">
        <v>1271</v>
      </c>
      <c r="B465" s="223" t="s">
        <v>1264</v>
      </c>
      <c r="C465" s="223" t="s">
        <v>1272</v>
      </c>
      <c r="D465" s="320">
        <v>44628.0</v>
      </c>
      <c r="I465" s="218">
        <v>51.09</v>
      </c>
      <c r="J465" s="223" t="s">
        <v>1152</v>
      </c>
      <c r="K465" s="319">
        <v>2022.0</v>
      </c>
      <c r="L465" s="218" t="s">
        <v>200</v>
      </c>
    </row>
    <row r="466">
      <c r="A466" s="223" t="s">
        <v>1271</v>
      </c>
      <c r="B466" s="223" t="s">
        <v>1264</v>
      </c>
      <c r="C466" s="223" t="s">
        <v>1272</v>
      </c>
      <c r="D466" s="320">
        <v>44634.0</v>
      </c>
      <c r="I466" s="218">
        <v>14.09</v>
      </c>
      <c r="J466" s="223" t="s">
        <v>1152</v>
      </c>
      <c r="K466" s="319">
        <v>2022.0</v>
      </c>
      <c r="L466" s="218" t="s">
        <v>200</v>
      </c>
    </row>
    <row r="467">
      <c r="A467" s="223" t="s">
        <v>1271</v>
      </c>
      <c r="B467" s="223" t="s">
        <v>1264</v>
      </c>
      <c r="C467" s="223" t="s">
        <v>1272</v>
      </c>
      <c r="D467" s="320">
        <v>44647.0</v>
      </c>
      <c r="I467" s="218">
        <v>55.83</v>
      </c>
      <c r="J467" s="223" t="s">
        <v>1152</v>
      </c>
      <c r="K467" s="319">
        <v>2022.0</v>
      </c>
      <c r="L467" s="218" t="s">
        <v>200</v>
      </c>
    </row>
    <row r="468">
      <c r="A468" s="223" t="s">
        <v>203</v>
      </c>
      <c r="B468" s="223" t="s">
        <v>1200</v>
      </c>
      <c r="C468" s="223" t="s">
        <v>1203</v>
      </c>
      <c r="D468" s="320">
        <v>44648.0</v>
      </c>
      <c r="I468" s="218">
        <v>38.72</v>
      </c>
      <c r="J468" s="223" t="s">
        <v>1160</v>
      </c>
      <c r="K468" s="319">
        <v>2022.0</v>
      </c>
      <c r="L468" s="218" t="s">
        <v>200</v>
      </c>
    </row>
    <row r="469">
      <c r="A469" s="223" t="s">
        <v>162</v>
      </c>
      <c r="B469" s="223" t="s">
        <v>1200</v>
      </c>
      <c r="C469" s="223" t="s">
        <v>1202</v>
      </c>
      <c r="D469" s="320">
        <v>44649.0</v>
      </c>
      <c r="I469" s="218">
        <v>38.72</v>
      </c>
      <c r="J469" s="223" t="s">
        <v>1160</v>
      </c>
      <c r="K469" s="319">
        <v>2022.0</v>
      </c>
      <c r="L469" s="218" t="s">
        <v>200</v>
      </c>
    </row>
    <row r="470">
      <c r="A470" s="223" t="s">
        <v>1271</v>
      </c>
      <c r="B470" s="223" t="s">
        <v>1264</v>
      </c>
      <c r="C470" s="223" t="s">
        <v>1272</v>
      </c>
      <c r="D470" s="320">
        <v>44657.0</v>
      </c>
      <c r="I470" s="218">
        <v>49.98</v>
      </c>
      <c r="J470" s="223" t="s">
        <v>1152</v>
      </c>
      <c r="K470" s="319">
        <v>2022.0</v>
      </c>
      <c r="L470" s="218" t="s">
        <v>200</v>
      </c>
    </row>
    <row r="471">
      <c r="A471" s="223" t="s">
        <v>1271</v>
      </c>
      <c r="B471" s="223" t="s">
        <v>1264</v>
      </c>
      <c r="C471" s="223" t="s">
        <v>1272</v>
      </c>
      <c r="D471" s="320">
        <v>44659.0</v>
      </c>
      <c r="I471" s="218">
        <v>82.74</v>
      </c>
      <c r="J471" s="223" t="s">
        <v>1152</v>
      </c>
      <c r="K471" s="319">
        <v>2022.0</v>
      </c>
      <c r="L471" s="218" t="s">
        <v>200</v>
      </c>
    </row>
    <row r="472">
      <c r="A472" s="223" t="s">
        <v>1271</v>
      </c>
      <c r="B472" s="223" t="s">
        <v>1264</v>
      </c>
      <c r="C472" s="223" t="s">
        <v>1272</v>
      </c>
      <c r="D472" s="320">
        <v>44660.0</v>
      </c>
      <c r="I472" s="218">
        <v>64.03</v>
      </c>
      <c r="J472" s="223" t="s">
        <v>1152</v>
      </c>
      <c r="K472" s="319">
        <v>2022.0</v>
      </c>
      <c r="L472" s="218" t="s">
        <v>200</v>
      </c>
    </row>
    <row r="473">
      <c r="A473" s="223" t="s">
        <v>102</v>
      </c>
      <c r="B473" s="223" t="s">
        <v>1259</v>
      </c>
      <c r="C473" s="223" t="s">
        <v>1156</v>
      </c>
      <c r="D473" s="320">
        <v>44680.0</v>
      </c>
      <c r="I473" s="218">
        <v>150.0</v>
      </c>
      <c r="J473" s="223" t="s">
        <v>52</v>
      </c>
      <c r="K473" s="319">
        <v>2022.04</v>
      </c>
      <c r="L473" s="218" t="s">
        <v>200</v>
      </c>
    </row>
    <row r="474">
      <c r="A474" s="223" t="s">
        <v>223</v>
      </c>
      <c r="B474" s="223" t="s">
        <v>1176</v>
      </c>
      <c r="C474" s="223" t="s">
        <v>1156</v>
      </c>
      <c r="D474" s="320">
        <v>44680.0</v>
      </c>
      <c r="I474" s="218">
        <v>500.0</v>
      </c>
      <c r="J474" s="223" t="s">
        <v>52</v>
      </c>
      <c r="K474" s="319">
        <v>2022.04</v>
      </c>
      <c r="L474" s="218" t="s">
        <v>200</v>
      </c>
    </row>
    <row r="475">
      <c r="A475" s="223" t="s">
        <v>66</v>
      </c>
      <c r="B475" s="223" t="s">
        <v>1324</v>
      </c>
      <c r="C475" s="223" t="s">
        <v>1156</v>
      </c>
      <c r="D475" s="320">
        <v>44680.0</v>
      </c>
      <c r="I475" s="218">
        <v>312.5</v>
      </c>
      <c r="J475" s="223" t="s">
        <v>52</v>
      </c>
      <c r="K475" s="319">
        <v>2022.04</v>
      </c>
      <c r="L475" s="218" t="s">
        <v>200</v>
      </c>
    </row>
    <row r="476">
      <c r="A476" s="223" t="s">
        <v>97</v>
      </c>
      <c r="B476" s="223" t="s">
        <v>1286</v>
      </c>
      <c r="C476" s="223" t="s">
        <v>1156</v>
      </c>
      <c r="D476" s="320">
        <v>44680.0</v>
      </c>
      <c r="I476" s="218">
        <v>125.0</v>
      </c>
      <c r="J476" s="223" t="s">
        <v>52</v>
      </c>
      <c r="K476" s="319">
        <v>2022.04</v>
      </c>
      <c r="L476" s="218" t="s">
        <v>200</v>
      </c>
    </row>
    <row r="477">
      <c r="A477" s="223" t="s">
        <v>147</v>
      </c>
      <c r="B477" s="223" t="s">
        <v>1194</v>
      </c>
      <c r="C477" s="223" t="s">
        <v>1156</v>
      </c>
      <c r="D477" s="320">
        <v>44680.0</v>
      </c>
      <c r="I477" s="218">
        <v>200.0</v>
      </c>
      <c r="J477" s="223" t="s">
        <v>52</v>
      </c>
      <c r="K477" s="319">
        <v>2022.04</v>
      </c>
      <c r="L477" s="218" t="s">
        <v>200</v>
      </c>
    </row>
    <row r="478">
      <c r="A478" s="223" t="s">
        <v>88</v>
      </c>
      <c r="B478" s="223" t="s">
        <v>1256</v>
      </c>
      <c r="C478" s="223" t="s">
        <v>1156</v>
      </c>
      <c r="D478" s="320">
        <v>44680.0</v>
      </c>
      <c r="I478" s="218">
        <v>212.5</v>
      </c>
      <c r="J478" s="223" t="s">
        <v>52</v>
      </c>
      <c r="K478" s="319">
        <v>2022.04</v>
      </c>
      <c r="L478" s="218" t="s">
        <v>200</v>
      </c>
    </row>
    <row r="479">
      <c r="A479" s="223" t="s">
        <v>73</v>
      </c>
      <c r="B479" s="223" t="s">
        <v>1327</v>
      </c>
      <c r="C479" s="223" t="s">
        <v>1156</v>
      </c>
      <c r="D479" s="320">
        <v>44680.0</v>
      </c>
      <c r="I479" s="218">
        <v>250.0</v>
      </c>
      <c r="J479" s="223" t="s">
        <v>52</v>
      </c>
      <c r="K479" s="319">
        <v>2022.04</v>
      </c>
      <c r="L479" s="218" t="s">
        <v>200</v>
      </c>
    </row>
    <row r="480">
      <c r="A480" s="223" t="s">
        <v>50</v>
      </c>
      <c r="B480" s="223" t="s">
        <v>1275</v>
      </c>
      <c r="C480" s="223" t="s">
        <v>1156</v>
      </c>
      <c r="D480" s="320">
        <v>44680.0</v>
      </c>
      <c r="I480" s="218">
        <v>100.0</v>
      </c>
      <c r="J480" s="223" t="s">
        <v>52</v>
      </c>
      <c r="K480" s="319">
        <v>2022.04</v>
      </c>
      <c r="L480" s="218" t="s">
        <v>200</v>
      </c>
    </row>
    <row r="481">
      <c r="A481" s="223" t="s">
        <v>42</v>
      </c>
      <c r="B481" s="223" t="s">
        <v>1236</v>
      </c>
      <c r="C481" s="223" t="s">
        <v>1156</v>
      </c>
      <c r="D481" s="320">
        <v>44681.0</v>
      </c>
      <c r="I481" s="218">
        <v>350.0</v>
      </c>
      <c r="J481" s="223" t="s">
        <v>52</v>
      </c>
      <c r="K481" s="319">
        <v>2022.04</v>
      </c>
      <c r="L481" s="218" t="s">
        <v>200</v>
      </c>
    </row>
    <row r="482">
      <c r="A482" s="223" t="s">
        <v>92</v>
      </c>
      <c r="B482" s="223" t="s">
        <v>1289</v>
      </c>
      <c r="C482" s="223" t="s">
        <v>1156</v>
      </c>
      <c r="D482" s="320">
        <v>44681.0</v>
      </c>
      <c r="I482" s="218">
        <v>212.5</v>
      </c>
      <c r="J482" s="223" t="s">
        <v>52</v>
      </c>
      <c r="K482" s="319">
        <v>2022.04</v>
      </c>
      <c r="L482" s="218" t="s">
        <v>200</v>
      </c>
    </row>
    <row r="483">
      <c r="A483" s="223" t="s">
        <v>54</v>
      </c>
      <c r="B483" s="223" t="s">
        <v>1187</v>
      </c>
      <c r="C483" s="223" t="s">
        <v>1156</v>
      </c>
      <c r="D483" s="320">
        <v>44681.0</v>
      </c>
      <c r="I483" s="218">
        <v>175.0</v>
      </c>
      <c r="J483" s="223" t="s">
        <v>52</v>
      </c>
      <c r="K483" s="319">
        <v>2022.04</v>
      </c>
      <c r="L483" s="218" t="s">
        <v>200</v>
      </c>
    </row>
    <row r="484">
      <c r="A484" s="223" t="s">
        <v>246</v>
      </c>
      <c r="B484" s="223" t="s">
        <v>1184</v>
      </c>
      <c r="C484" s="223" t="s">
        <v>1156</v>
      </c>
      <c r="D484" s="320">
        <v>44681.0</v>
      </c>
      <c r="I484" s="218">
        <v>187.5</v>
      </c>
      <c r="J484" s="223" t="s">
        <v>52</v>
      </c>
      <c r="K484" s="319">
        <v>2022.04</v>
      </c>
      <c r="L484" s="218" t="s">
        <v>200</v>
      </c>
    </row>
    <row r="485">
      <c r="A485" s="223" t="s">
        <v>82</v>
      </c>
      <c r="B485" s="223" t="s">
        <v>1124</v>
      </c>
      <c r="C485" s="223" t="s">
        <v>1156</v>
      </c>
      <c r="D485" s="320">
        <v>44681.0</v>
      </c>
      <c r="I485" s="218">
        <v>225.0</v>
      </c>
      <c r="J485" s="223" t="s">
        <v>52</v>
      </c>
      <c r="K485" s="319">
        <v>2022.04</v>
      </c>
      <c r="L485" s="218" t="s">
        <v>200</v>
      </c>
    </row>
    <row r="486">
      <c r="A486" s="223" t="s">
        <v>279</v>
      </c>
      <c r="B486" s="223" t="s">
        <v>1305</v>
      </c>
      <c r="C486" s="223" t="s">
        <v>1306</v>
      </c>
      <c r="D486" s="320">
        <v>44681.0</v>
      </c>
      <c r="I486" s="218">
        <v>125.0</v>
      </c>
      <c r="J486" s="223" t="s">
        <v>1160</v>
      </c>
      <c r="K486" s="319">
        <v>2022.0</v>
      </c>
      <c r="L486" s="218" t="s">
        <v>200</v>
      </c>
    </row>
    <row r="487">
      <c r="A487" s="223" t="s">
        <v>1269</v>
      </c>
      <c r="B487" s="223" t="s">
        <v>1264</v>
      </c>
      <c r="C487" s="223" t="s">
        <v>1270</v>
      </c>
      <c r="D487" s="320">
        <v>44681.0</v>
      </c>
      <c r="I487" s="218">
        <v>50.0</v>
      </c>
      <c r="J487" s="223" t="s">
        <v>1152</v>
      </c>
      <c r="K487" s="319">
        <v>2022.0</v>
      </c>
      <c r="L487" s="218" t="s">
        <v>200</v>
      </c>
    </row>
    <row r="488">
      <c r="A488" s="223" t="s">
        <v>115</v>
      </c>
      <c r="B488" s="223" t="s">
        <v>1308</v>
      </c>
      <c r="C488" s="223" t="s">
        <v>1156</v>
      </c>
      <c r="D488" s="320">
        <v>44681.0</v>
      </c>
      <c r="I488" s="218">
        <v>662.5</v>
      </c>
      <c r="J488" s="223" t="s">
        <v>52</v>
      </c>
      <c r="K488" s="319">
        <v>2022.04</v>
      </c>
      <c r="L488" s="218" t="s">
        <v>200</v>
      </c>
    </row>
    <row r="489">
      <c r="A489" s="223" t="s">
        <v>118</v>
      </c>
      <c r="B489" s="223" t="s">
        <v>1312</v>
      </c>
      <c r="C489" s="223" t="s">
        <v>1156</v>
      </c>
      <c r="D489" s="320">
        <v>44681.0</v>
      </c>
      <c r="I489" s="218">
        <v>662.5</v>
      </c>
      <c r="J489" s="223" t="s">
        <v>52</v>
      </c>
      <c r="K489" s="319">
        <v>2022.04</v>
      </c>
      <c r="L489" s="218" t="s">
        <v>200</v>
      </c>
    </row>
    <row r="490">
      <c r="A490" s="223" t="s">
        <v>92</v>
      </c>
      <c r="B490" s="223" t="s">
        <v>1289</v>
      </c>
      <c r="C490" s="223" t="s">
        <v>1156</v>
      </c>
      <c r="D490" s="320">
        <v>44681.0</v>
      </c>
      <c r="I490" s="218">
        <v>350.0</v>
      </c>
      <c r="J490" s="223" t="s">
        <v>52</v>
      </c>
      <c r="K490" s="319">
        <v>2022.04</v>
      </c>
      <c r="L490" s="218" t="s">
        <v>200</v>
      </c>
    </row>
    <row r="491">
      <c r="A491" s="223" t="s">
        <v>84</v>
      </c>
      <c r="B491" s="223" t="s">
        <v>1227</v>
      </c>
      <c r="C491" s="223" t="s">
        <v>1156</v>
      </c>
      <c r="D491" s="320">
        <v>44681.0</v>
      </c>
      <c r="I491" s="218">
        <v>475.0</v>
      </c>
      <c r="J491" s="223" t="s">
        <v>52</v>
      </c>
      <c r="K491" s="319">
        <v>2022.04</v>
      </c>
      <c r="L491" s="218" t="s">
        <v>200</v>
      </c>
    </row>
    <row r="492">
      <c r="A492" s="223" t="s">
        <v>123</v>
      </c>
      <c r="B492" s="223" t="s">
        <v>1300</v>
      </c>
      <c r="C492" s="223" t="s">
        <v>1156</v>
      </c>
      <c r="D492" s="320">
        <v>44681.0</v>
      </c>
      <c r="I492" s="218">
        <v>1067.5</v>
      </c>
      <c r="J492" s="223" t="s">
        <v>52</v>
      </c>
      <c r="K492" s="319">
        <v>2022.04</v>
      </c>
      <c r="L492" s="218" t="s">
        <v>200</v>
      </c>
    </row>
    <row r="493">
      <c r="A493" s="223" t="s">
        <v>62</v>
      </c>
      <c r="B493" s="223" t="s">
        <v>1304</v>
      </c>
      <c r="C493" s="223" t="s">
        <v>1156</v>
      </c>
      <c r="D493" s="320">
        <v>44681.0</v>
      </c>
      <c r="I493" s="218">
        <v>450.0</v>
      </c>
      <c r="J493" s="223" t="s">
        <v>52</v>
      </c>
      <c r="K493" s="319">
        <v>2022.04</v>
      </c>
      <c r="L493" s="218" t="s">
        <v>200</v>
      </c>
    </row>
    <row r="494">
      <c r="A494" s="223" t="s">
        <v>54</v>
      </c>
      <c r="B494" s="223" t="s">
        <v>1187</v>
      </c>
      <c r="C494" s="223" t="s">
        <v>1156</v>
      </c>
      <c r="D494" s="320">
        <v>44681.0</v>
      </c>
      <c r="I494" s="218">
        <v>162.5</v>
      </c>
      <c r="J494" s="223" t="s">
        <v>52</v>
      </c>
      <c r="K494" s="319">
        <v>2022.04</v>
      </c>
      <c r="L494" s="218" t="s">
        <v>200</v>
      </c>
    </row>
    <row r="495">
      <c r="A495" s="223" t="s">
        <v>58</v>
      </c>
      <c r="B495" s="223" t="s">
        <v>1197</v>
      </c>
      <c r="C495" s="223" t="s">
        <v>1156</v>
      </c>
      <c r="D495" s="320">
        <v>44681.0</v>
      </c>
      <c r="I495" s="218">
        <v>300.0</v>
      </c>
      <c r="J495" s="223" t="s">
        <v>52</v>
      </c>
      <c r="K495" s="319">
        <v>2022.04</v>
      </c>
      <c r="L495" s="218" t="s">
        <v>200</v>
      </c>
    </row>
    <row r="496">
      <c r="A496" s="223" t="s">
        <v>120</v>
      </c>
      <c r="B496" s="223" t="s">
        <v>1215</v>
      </c>
      <c r="C496" s="223" t="s">
        <v>1156</v>
      </c>
      <c r="D496" s="320">
        <v>44681.0</v>
      </c>
      <c r="I496" s="218">
        <v>575.0</v>
      </c>
      <c r="J496" s="223" t="s">
        <v>52</v>
      </c>
      <c r="K496" s="319">
        <v>2022.04</v>
      </c>
      <c r="L496" s="218" t="s">
        <v>200</v>
      </c>
    </row>
    <row r="497">
      <c r="A497" s="223" t="s">
        <v>156</v>
      </c>
      <c r="B497" s="223" t="s">
        <v>1293</v>
      </c>
      <c r="C497" s="223" t="s">
        <v>1156</v>
      </c>
      <c r="D497" s="320">
        <v>44681.0</v>
      </c>
      <c r="I497" s="218">
        <v>225.0</v>
      </c>
      <c r="J497" s="223" t="s">
        <v>52</v>
      </c>
      <c r="K497" s="319">
        <v>2022.04</v>
      </c>
      <c r="L497" s="218" t="s">
        <v>200</v>
      </c>
    </row>
    <row r="498">
      <c r="A498" s="223" t="s">
        <v>296</v>
      </c>
      <c r="B498" s="223" t="s">
        <v>1200</v>
      </c>
      <c r="C498" s="223" t="s">
        <v>1205</v>
      </c>
      <c r="D498" s="320">
        <v>44681.0</v>
      </c>
      <c r="I498" s="218">
        <v>475.0</v>
      </c>
      <c r="J498" s="223" t="s">
        <v>52</v>
      </c>
      <c r="K498" s="319">
        <v>2022.04</v>
      </c>
      <c r="L498" s="218" t="s">
        <v>200</v>
      </c>
    </row>
    <row r="499">
      <c r="A499" s="223" t="s">
        <v>299</v>
      </c>
      <c r="B499" s="223" t="s">
        <v>1200</v>
      </c>
      <c r="C499" s="223" t="s">
        <v>1207</v>
      </c>
      <c r="D499" s="320">
        <v>44681.0</v>
      </c>
      <c r="I499" s="218">
        <v>362.5</v>
      </c>
      <c r="J499" s="223" t="s">
        <v>52</v>
      </c>
      <c r="K499" s="319">
        <v>2022.04</v>
      </c>
      <c r="L499" s="218" t="s">
        <v>200</v>
      </c>
    </row>
    <row r="500">
      <c r="A500" s="223" t="s">
        <v>347</v>
      </c>
      <c r="B500" s="223" t="s">
        <v>1330</v>
      </c>
      <c r="C500" s="223" t="s">
        <v>1331</v>
      </c>
      <c r="D500" s="320">
        <v>44681.0</v>
      </c>
      <c r="I500" s="218">
        <v>537.5</v>
      </c>
      <c r="J500" s="223" t="s">
        <v>1160</v>
      </c>
      <c r="K500" s="319">
        <v>2022.0</v>
      </c>
      <c r="L500" s="218" t="s">
        <v>200</v>
      </c>
    </row>
    <row r="501">
      <c r="A501" s="223" t="s">
        <v>352</v>
      </c>
      <c r="B501" s="223" t="s">
        <v>1283</v>
      </c>
      <c r="C501" s="223" t="s">
        <v>1334</v>
      </c>
      <c r="D501" s="320">
        <v>44681.0</v>
      </c>
      <c r="I501" s="218">
        <v>150.0</v>
      </c>
      <c r="J501" s="223" t="s">
        <v>1160</v>
      </c>
      <c r="K501" s="319">
        <v>2022.0</v>
      </c>
      <c r="L501" s="218" t="s">
        <v>200</v>
      </c>
    </row>
    <row r="502">
      <c r="A502" s="223" t="s">
        <v>326</v>
      </c>
      <c r="B502" s="223" t="s">
        <v>1209</v>
      </c>
      <c r="C502" s="223" t="s">
        <v>1210</v>
      </c>
      <c r="D502" s="320">
        <v>44681.0</v>
      </c>
      <c r="I502" s="218">
        <v>725.0</v>
      </c>
      <c r="J502" s="223" t="s">
        <v>1160</v>
      </c>
      <c r="K502" s="319">
        <v>2022.0</v>
      </c>
      <c r="L502" s="218" t="s">
        <v>200</v>
      </c>
    </row>
    <row r="503">
      <c r="A503" s="223" t="s">
        <v>296</v>
      </c>
      <c r="B503" s="223" t="s">
        <v>1200</v>
      </c>
      <c r="C503" s="223" t="s">
        <v>1205</v>
      </c>
      <c r="D503" s="320">
        <v>44681.0</v>
      </c>
      <c r="I503" s="218">
        <v>22.5</v>
      </c>
      <c r="J503" s="223" t="s">
        <v>52</v>
      </c>
      <c r="K503" s="319">
        <v>2022.04</v>
      </c>
      <c r="L503" s="218" t="s">
        <v>200</v>
      </c>
    </row>
    <row r="504">
      <c r="A504" s="223" t="s">
        <v>299</v>
      </c>
      <c r="B504" s="223" t="s">
        <v>1200</v>
      </c>
      <c r="C504" s="223" t="s">
        <v>1207</v>
      </c>
      <c r="D504" s="320">
        <v>44681.0</v>
      </c>
      <c r="I504" s="218">
        <v>22.5</v>
      </c>
      <c r="J504" s="223" t="s">
        <v>52</v>
      </c>
      <c r="K504" s="319">
        <v>2022.04</v>
      </c>
      <c r="L504" s="218" t="s">
        <v>200</v>
      </c>
    </row>
    <row r="505">
      <c r="A505" s="223" t="s">
        <v>420</v>
      </c>
      <c r="B505" s="223" t="s">
        <v>1352</v>
      </c>
      <c r="C505" s="223" t="s">
        <v>1353</v>
      </c>
      <c r="D505" s="320">
        <v>44681.0</v>
      </c>
      <c r="I505" s="218">
        <v>30.0</v>
      </c>
      <c r="J505" s="223" t="s">
        <v>1160</v>
      </c>
      <c r="K505" s="319">
        <v>2022.0</v>
      </c>
      <c r="L505" s="218" t="s">
        <v>200</v>
      </c>
    </row>
    <row r="506">
      <c r="A506" s="223" t="s">
        <v>1266</v>
      </c>
      <c r="B506" s="223" t="s">
        <v>1264</v>
      </c>
      <c r="C506" s="223" t="s">
        <v>1267</v>
      </c>
      <c r="D506" s="320">
        <v>44681.0</v>
      </c>
      <c r="I506" s="218">
        <v>60.0</v>
      </c>
      <c r="J506" s="223" t="s">
        <v>1152</v>
      </c>
      <c r="K506" s="319">
        <v>2022.0</v>
      </c>
      <c r="L506" s="218" t="s">
        <v>200</v>
      </c>
    </row>
    <row r="507">
      <c r="A507" s="223" t="s">
        <v>299</v>
      </c>
      <c r="B507" s="223" t="s">
        <v>1200</v>
      </c>
      <c r="C507" s="223" t="s">
        <v>1207</v>
      </c>
      <c r="D507" s="320">
        <v>44681.0</v>
      </c>
      <c r="I507" s="218">
        <v>175.0</v>
      </c>
      <c r="J507" s="223" t="s">
        <v>52</v>
      </c>
      <c r="K507" s="319">
        <v>2022.04</v>
      </c>
      <c r="L507" s="218" t="s">
        <v>200</v>
      </c>
    </row>
    <row r="508">
      <c r="A508" s="223" t="s">
        <v>75</v>
      </c>
      <c r="B508" s="223" t="s">
        <v>1279</v>
      </c>
      <c r="C508" s="223" t="s">
        <v>1156</v>
      </c>
      <c r="D508" s="320">
        <v>44681.0</v>
      </c>
      <c r="I508" s="218">
        <v>187.5</v>
      </c>
      <c r="J508" s="223" t="s">
        <v>52</v>
      </c>
      <c r="K508" s="319">
        <v>2022.04</v>
      </c>
      <c r="L508" s="218" t="s">
        <v>200</v>
      </c>
    </row>
    <row r="509">
      <c r="A509" s="223" t="s">
        <v>296</v>
      </c>
      <c r="B509" s="223" t="s">
        <v>1200</v>
      </c>
      <c r="C509" s="223" t="s">
        <v>1205</v>
      </c>
      <c r="D509" s="320">
        <v>44663.0</v>
      </c>
      <c r="I509" s="218">
        <v>38.84</v>
      </c>
      <c r="J509" s="223" t="s">
        <v>52</v>
      </c>
      <c r="K509" s="319">
        <v>2022.04</v>
      </c>
      <c r="L509" s="218" t="s">
        <v>200</v>
      </c>
    </row>
    <row r="510">
      <c r="A510" s="223" t="s">
        <v>299</v>
      </c>
      <c r="B510" s="223" t="s">
        <v>1200</v>
      </c>
      <c r="C510" s="223" t="s">
        <v>1207</v>
      </c>
      <c r="D510" s="320">
        <v>44663.0</v>
      </c>
      <c r="I510" s="218">
        <v>38.84</v>
      </c>
      <c r="J510" s="223" t="s">
        <v>52</v>
      </c>
      <c r="K510" s="319">
        <v>2022.04</v>
      </c>
      <c r="L510" s="218" t="s">
        <v>200</v>
      </c>
    </row>
    <row r="511">
      <c r="A511" s="223" t="s">
        <v>1266</v>
      </c>
      <c r="B511" s="223" t="s">
        <v>1264</v>
      </c>
      <c r="C511" s="223" t="s">
        <v>1267</v>
      </c>
      <c r="D511" s="320">
        <v>44665.0</v>
      </c>
      <c r="I511" s="218">
        <v>13.92</v>
      </c>
      <c r="J511" s="223" t="s">
        <v>1152</v>
      </c>
      <c r="K511" s="319">
        <v>2022.0</v>
      </c>
      <c r="L511" s="218" t="s">
        <v>200</v>
      </c>
    </row>
    <row r="512">
      <c r="A512" s="223" t="s">
        <v>1271</v>
      </c>
      <c r="B512" s="223" t="s">
        <v>1264</v>
      </c>
      <c r="C512" s="223" t="s">
        <v>1272</v>
      </c>
      <c r="D512" s="320">
        <v>44678.0</v>
      </c>
      <c r="I512" s="218">
        <v>51.94</v>
      </c>
      <c r="J512" s="223" t="s">
        <v>1152</v>
      </c>
      <c r="K512" s="319">
        <v>2022.0</v>
      </c>
      <c r="L512" s="218" t="s">
        <v>200</v>
      </c>
    </row>
    <row r="513">
      <c r="A513" s="223" t="s">
        <v>1271</v>
      </c>
      <c r="B513" s="223" t="s">
        <v>1264</v>
      </c>
      <c r="C513" s="223" t="s">
        <v>1272</v>
      </c>
      <c r="D513" s="320">
        <v>44687.0</v>
      </c>
      <c r="I513" s="218">
        <v>51.37</v>
      </c>
      <c r="J513" s="223" t="s">
        <v>1152</v>
      </c>
      <c r="K513" s="319">
        <v>2022.0</v>
      </c>
      <c r="L513" s="218" t="s">
        <v>200</v>
      </c>
    </row>
    <row r="514">
      <c r="A514" s="223" t="s">
        <v>147</v>
      </c>
      <c r="B514" s="223" t="s">
        <v>1194</v>
      </c>
      <c r="C514" s="223" t="s">
        <v>1156</v>
      </c>
      <c r="D514" s="320">
        <v>44681.0</v>
      </c>
      <c r="I514" s="218">
        <v>75.0</v>
      </c>
      <c r="J514" s="223" t="s">
        <v>52</v>
      </c>
      <c r="K514" s="319">
        <v>2022.04</v>
      </c>
      <c r="L514" s="218" t="s">
        <v>200</v>
      </c>
    </row>
    <row r="515">
      <c r="A515" s="223" t="s">
        <v>92</v>
      </c>
      <c r="B515" s="223" t="s">
        <v>1289</v>
      </c>
      <c r="C515" s="223" t="s">
        <v>1156</v>
      </c>
      <c r="D515" s="320">
        <v>44681.0</v>
      </c>
      <c r="I515" s="218">
        <v>575.0</v>
      </c>
      <c r="J515" s="223" t="s">
        <v>52</v>
      </c>
      <c r="K515" s="319">
        <v>2022.04</v>
      </c>
      <c r="L515" s="218" t="s">
        <v>200</v>
      </c>
    </row>
    <row r="516">
      <c r="A516" s="223" t="s">
        <v>88</v>
      </c>
      <c r="B516" s="223" t="s">
        <v>1256</v>
      </c>
      <c r="C516" s="223" t="s">
        <v>1156</v>
      </c>
      <c r="D516" s="320">
        <v>44681.0</v>
      </c>
      <c r="I516" s="218">
        <v>45.0</v>
      </c>
      <c r="J516" s="223" t="s">
        <v>52</v>
      </c>
      <c r="K516" s="319">
        <v>2022.04</v>
      </c>
      <c r="L516" s="218" t="s">
        <v>200</v>
      </c>
    </row>
    <row r="517">
      <c r="A517" s="223" t="s">
        <v>151</v>
      </c>
      <c r="B517" s="223" t="s">
        <v>1262</v>
      </c>
      <c r="C517" s="223" t="s">
        <v>1156</v>
      </c>
      <c r="D517" s="320">
        <v>44681.0</v>
      </c>
      <c r="I517" s="218">
        <v>310.0</v>
      </c>
      <c r="J517" s="223" t="s">
        <v>52</v>
      </c>
      <c r="K517" s="319">
        <v>2022.04</v>
      </c>
      <c r="L517" s="218" t="s">
        <v>200</v>
      </c>
    </row>
    <row r="518">
      <c r="A518" s="223" t="s">
        <v>112</v>
      </c>
      <c r="B518" s="223" t="s">
        <v>1296</v>
      </c>
      <c r="C518" s="223" t="s">
        <v>2309</v>
      </c>
      <c r="D518" s="320">
        <v>44681.0</v>
      </c>
      <c r="I518" s="218">
        <v>230.0</v>
      </c>
      <c r="J518" s="223" t="s">
        <v>52</v>
      </c>
      <c r="K518" s="319">
        <v>2022.04</v>
      </c>
      <c r="L518" s="218" t="s">
        <v>200</v>
      </c>
    </row>
    <row r="519">
      <c r="A519" s="223" t="s">
        <v>86</v>
      </c>
      <c r="B519" s="223" t="s">
        <v>1235</v>
      </c>
      <c r="C519" s="223" t="s">
        <v>1156</v>
      </c>
      <c r="D519" s="320">
        <v>44681.0</v>
      </c>
      <c r="I519" s="218">
        <v>280.0</v>
      </c>
      <c r="J519" s="223" t="s">
        <v>52</v>
      </c>
      <c r="K519" s="319">
        <v>2022.04</v>
      </c>
      <c r="L519" s="218" t="s">
        <v>200</v>
      </c>
    </row>
    <row r="520">
      <c r="A520" s="223" t="s">
        <v>97</v>
      </c>
      <c r="B520" s="223" t="s">
        <v>1286</v>
      </c>
      <c r="C520" s="223" t="s">
        <v>1156</v>
      </c>
      <c r="D520" s="320">
        <v>44681.0</v>
      </c>
      <c r="I520" s="218">
        <v>30.0</v>
      </c>
      <c r="J520" s="223" t="s">
        <v>52</v>
      </c>
      <c r="K520" s="319">
        <v>2022.04</v>
      </c>
      <c r="L520" s="218" t="s">
        <v>200</v>
      </c>
    </row>
    <row r="521">
      <c r="A521" s="223" t="s">
        <v>82</v>
      </c>
      <c r="B521" s="223" t="s">
        <v>1124</v>
      </c>
      <c r="C521" s="223" t="s">
        <v>1156</v>
      </c>
      <c r="D521" s="320">
        <v>44681.0</v>
      </c>
      <c r="I521" s="218">
        <v>75.0</v>
      </c>
      <c r="J521" s="223" t="s">
        <v>52</v>
      </c>
      <c r="K521" s="319">
        <v>2022.04</v>
      </c>
      <c r="L521" s="218" t="s">
        <v>200</v>
      </c>
    </row>
    <row r="522">
      <c r="A522" s="223" t="s">
        <v>99</v>
      </c>
      <c r="B522" s="223" t="s">
        <v>1192</v>
      </c>
      <c r="C522" s="223" t="s">
        <v>1156</v>
      </c>
      <c r="D522" s="320">
        <v>44681.0</v>
      </c>
      <c r="I522" s="218">
        <v>457.5</v>
      </c>
      <c r="J522" s="223" t="s">
        <v>52</v>
      </c>
      <c r="K522" s="319">
        <v>2022.04</v>
      </c>
      <c r="L522" s="218" t="s">
        <v>200</v>
      </c>
    </row>
    <row r="523">
      <c r="A523" s="223" t="s">
        <v>68</v>
      </c>
      <c r="B523" s="223" t="s">
        <v>1178</v>
      </c>
      <c r="C523" s="223" t="s">
        <v>1156</v>
      </c>
      <c r="D523" s="320">
        <v>44681.0</v>
      </c>
      <c r="I523" s="218">
        <v>297.5</v>
      </c>
      <c r="J523" s="223" t="s">
        <v>52</v>
      </c>
      <c r="K523" s="319">
        <v>2022.04</v>
      </c>
      <c r="L523" s="218" t="s">
        <v>200</v>
      </c>
    </row>
    <row r="524">
      <c r="A524" s="223" t="s">
        <v>42</v>
      </c>
      <c r="B524" s="223" t="s">
        <v>1236</v>
      </c>
      <c r="C524" s="223" t="s">
        <v>1156</v>
      </c>
      <c r="D524" s="320">
        <v>44681.0</v>
      </c>
      <c r="I524" s="218">
        <v>347.5</v>
      </c>
      <c r="J524" s="223" t="s">
        <v>52</v>
      </c>
      <c r="K524" s="319">
        <v>2022.04</v>
      </c>
      <c r="L524" s="218" t="s">
        <v>200</v>
      </c>
    </row>
    <row r="525">
      <c r="A525" s="223" t="s">
        <v>58</v>
      </c>
      <c r="B525" s="223" t="s">
        <v>1197</v>
      </c>
      <c r="C525" s="223" t="s">
        <v>1156</v>
      </c>
      <c r="D525" s="320">
        <v>44681.0</v>
      </c>
      <c r="I525" s="218">
        <v>400.0</v>
      </c>
      <c r="J525" s="223" t="s">
        <v>52</v>
      </c>
      <c r="K525" s="319">
        <v>2022.04</v>
      </c>
      <c r="L525" s="218" t="s">
        <v>200</v>
      </c>
    </row>
    <row r="526">
      <c r="A526" s="223" t="s">
        <v>123</v>
      </c>
      <c r="B526" s="223" t="s">
        <v>1300</v>
      </c>
      <c r="C526" s="223" t="s">
        <v>1156</v>
      </c>
      <c r="D526" s="320">
        <v>44681.0</v>
      </c>
      <c r="I526" s="218">
        <v>300.0</v>
      </c>
      <c r="J526" s="223" t="s">
        <v>52</v>
      </c>
      <c r="K526" s="319">
        <v>2022.04</v>
      </c>
      <c r="L526" s="218" t="s">
        <v>200</v>
      </c>
    </row>
    <row r="527">
      <c r="A527" s="223" t="s">
        <v>73</v>
      </c>
      <c r="B527" s="223" t="s">
        <v>1327</v>
      </c>
      <c r="C527" s="223" t="s">
        <v>1156</v>
      </c>
      <c r="D527" s="320">
        <v>44681.0</v>
      </c>
      <c r="I527" s="218">
        <v>60.0</v>
      </c>
      <c r="J527" s="223" t="s">
        <v>52</v>
      </c>
      <c r="K527" s="319">
        <v>2022.04</v>
      </c>
      <c r="L527" s="218" t="s">
        <v>200</v>
      </c>
    </row>
    <row r="528">
      <c r="A528" s="223" t="s">
        <v>50</v>
      </c>
      <c r="B528" s="223" t="s">
        <v>1275</v>
      </c>
      <c r="C528" s="223" t="s">
        <v>1156</v>
      </c>
      <c r="D528" s="320">
        <v>44681.0</v>
      </c>
      <c r="I528" s="218">
        <v>30.0</v>
      </c>
      <c r="J528" s="223" t="s">
        <v>52</v>
      </c>
      <c r="K528" s="319">
        <v>2022.04</v>
      </c>
      <c r="L528" s="218" t="s">
        <v>200</v>
      </c>
    </row>
    <row r="529">
      <c r="A529" s="223" t="s">
        <v>62</v>
      </c>
      <c r="B529" s="223" t="s">
        <v>1304</v>
      </c>
      <c r="C529" s="223" t="s">
        <v>1156</v>
      </c>
      <c r="D529" s="320">
        <v>44681.0</v>
      </c>
      <c r="I529" s="218">
        <v>300.0</v>
      </c>
      <c r="J529" s="223" t="s">
        <v>52</v>
      </c>
      <c r="K529" s="319">
        <v>2022.04</v>
      </c>
      <c r="L529" s="218" t="s">
        <v>200</v>
      </c>
    </row>
    <row r="530">
      <c r="A530" s="223" t="s">
        <v>223</v>
      </c>
      <c r="B530" s="223" t="s">
        <v>1176</v>
      </c>
      <c r="C530" s="223" t="s">
        <v>1156</v>
      </c>
      <c r="D530" s="320">
        <v>44681.0</v>
      </c>
      <c r="I530" s="218">
        <v>75.0</v>
      </c>
      <c r="J530" s="223" t="s">
        <v>52</v>
      </c>
      <c r="K530" s="319">
        <v>2022.04</v>
      </c>
      <c r="L530" s="218" t="s">
        <v>200</v>
      </c>
    </row>
    <row r="531">
      <c r="A531" s="223" t="s">
        <v>225</v>
      </c>
      <c r="B531" s="223" t="s">
        <v>1257</v>
      </c>
      <c r="C531" s="223" t="s">
        <v>1156</v>
      </c>
      <c r="D531" s="320">
        <v>44681.0</v>
      </c>
      <c r="I531" s="218">
        <v>1860.0</v>
      </c>
      <c r="J531" s="223" t="s">
        <v>52</v>
      </c>
      <c r="K531" s="319">
        <v>2022.04</v>
      </c>
      <c r="L531" s="218" t="s">
        <v>200</v>
      </c>
    </row>
    <row r="532">
      <c r="A532" s="223" t="s">
        <v>246</v>
      </c>
      <c r="B532" s="223" t="s">
        <v>1184</v>
      </c>
      <c r="C532" s="223" t="s">
        <v>1156</v>
      </c>
      <c r="D532" s="320">
        <v>44681.0</v>
      </c>
      <c r="I532" s="218">
        <v>45.0</v>
      </c>
      <c r="J532" s="223" t="s">
        <v>52</v>
      </c>
      <c r="K532" s="319">
        <v>2022.04</v>
      </c>
      <c r="L532" s="218" t="s">
        <v>200</v>
      </c>
    </row>
    <row r="533">
      <c r="A533" s="223" t="s">
        <v>296</v>
      </c>
      <c r="B533" s="223" t="s">
        <v>1200</v>
      </c>
      <c r="C533" s="223" t="s">
        <v>1205</v>
      </c>
      <c r="D533" s="320">
        <v>44681.0</v>
      </c>
      <c r="I533" s="218">
        <v>350.0</v>
      </c>
      <c r="J533" s="223" t="s">
        <v>52</v>
      </c>
      <c r="K533" s="319">
        <v>2022.04</v>
      </c>
      <c r="L533" s="218" t="s">
        <v>200</v>
      </c>
    </row>
    <row r="534">
      <c r="A534" s="223" t="s">
        <v>66</v>
      </c>
      <c r="B534" s="223" t="s">
        <v>1324</v>
      </c>
      <c r="C534" s="223" t="s">
        <v>1156</v>
      </c>
      <c r="D534" s="320">
        <v>44681.0</v>
      </c>
      <c r="I534" s="218">
        <v>60.0</v>
      </c>
      <c r="J534" s="223" t="s">
        <v>52</v>
      </c>
      <c r="K534" s="319">
        <v>2022.04</v>
      </c>
      <c r="L534" s="218" t="s">
        <v>200</v>
      </c>
    </row>
    <row r="535">
      <c r="A535" s="223" t="s">
        <v>279</v>
      </c>
      <c r="B535" s="223" t="s">
        <v>1305</v>
      </c>
      <c r="C535" s="223" t="s">
        <v>1306</v>
      </c>
      <c r="D535" s="320">
        <v>44681.0</v>
      </c>
      <c r="I535" s="218">
        <v>105.0</v>
      </c>
      <c r="J535" s="223" t="s">
        <v>1160</v>
      </c>
      <c r="K535" s="319">
        <v>2022.0</v>
      </c>
      <c r="L535" s="218" t="s">
        <v>200</v>
      </c>
    </row>
    <row r="536">
      <c r="A536" s="223" t="s">
        <v>354</v>
      </c>
      <c r="B536" s="223" t="s">
        <v>1309</v>
      </c>
      <c r="C536" s="223" t="s">
        <v>1336</v>
      </c>
      <c r="D536" s="320">
        <v>44681.0</v>
      </c>
      <c r="I536" s="218">
        <v>610.0</v>
      </c>
      <c r="J536" s="223" t="s">
        <v>52</v>
      </c>
      <c r="K536" s="319">
        <v>2022.04</v>
      </c>
      <c r="L536" s="218" t="s">
        <v>200</v>
      </c>
    </row>
    <row r="537">
      <c r="A537" s="223" t="s">
        <v>264</v>
      </c>
      <c r="B537" s="223" t="s">
        <v>1178</v>
      </c>
      <c r="C537" s="223" t="s">
        <v>1179</v>
      </c>
      <c r="D537" s="320">
        <v>44681.0</v>
      </c>
      <c r="I537" s="323">
        <v>55.80225939995643</v>
      </c>
      <c r="J537" s="223" t="s">
        <v>1160</v>
      </c>
      <c r="K537" s="319">
        <v>2022.0</v>
      </c>
      <c r="L537" s="218" t="s">
        <v>200</v>
      </c>
    </row>
    <row r="538">
      <c r="A538" s="223" t="s">
        <v>264</v>
      </c>
      <c r="B538" s="223" t="s">
        <v>1178</v>
      </c>
      <c r="C538" s="223" t="s">
        <v>1179</v>
      </c>
      <c r="D538" s="320">
        <v>44681.0</v>
      </c>
      <c r="I538" s="323">
        <v>468.0829684505032</v>
      </c>
      <c r="J538" s="223" t="s">
        <v>1160</v>
      </c>
      <c r="K538" s="319">
        <v>2022.0</v>
      </c>
      <c r="L538" s="218" t="s">
        <v>200</v>
      </c>
    </row>
    <row r="539">
      <c r="A539" s="223" t="s">
        <v>54</v>
      </c>
      <c r="B539" s="223" t="s">
        <v>1187</v>
      </c>
      <c r="C539" s="223" t="s">
        <v>1156</v>
      </c>
      <c r="D539" s="320">
        <v>44681.0</v>
      </c>
      <c r="I539" s="323">
        <v>23.144444444444442</v>
      </c>
      <c r="J539" s="223" t="s">
        <v>52</v>
      </c>
      <c r="K539" s="319">
        <v>2022.04</v>
      </c>
      <c r="L539" s="218" t="s">
        <v>200</v>
      </c>
    </row>
    <row r="540">
      <c r="A540" s="223" t="s">
        <v>149</v>
      </c>
      <c r="B540" s="223" t="s">
        <v>1191</v>
      </c>
      <c r="C540" s="223" t="s">
        <v>1190</v>
      </c>
      <c r="D540" s="320">
        <v>44681.0</v>
      </c>
      <c r="I540" s="323">
        <v>23.877777777777776</v>
      </c>
      <c r="J540" s="223" t="s">
        <v>1152</v>
      </c>
      <c r="K540" s="319">
        <v>2022.0</v>
      </c>
      <c r="L540" s="218" t="s">
        <v>200</v>
      </c>
    </row>
    <row r="541">
      <c r="A541" s="223" t="s">
        <v>147</v>
      </c>
      <c r="B541" s="223" t="s">
        <v>1194</v>
      </c>
      <c r="C541" s="223" t="s">
        <v>1156</v>
      </c>
      <c r="D541" s="320">
        <v>44681.0</v>
      </c>
      <c r="I541" s="323">
        <v>12.283333333333333</v>
      </c>
      <c r="J541" s="223" t="s">
        <v>52</v>
      </c>
      <c r="K541" s="319">
        <v>2022.04</v>
      </c>
      <c r="L541" s="218" t="s">
        <v>200</v>
      </c>
    </row>
    <row r="542">
      <c r="A542" s="223" t="s">
        <v>203</v>
      </c>
      <c r="B542" s="223" t="s">
        <v>1200</v>
      </c>
      <c r="C542" s="223" t="s">
        <v>1203</v>
      </c>
      <c r="D542" s="320">
        <v>44681.0</v>
      </c>
      <c r="I542" s="323">
        <v>467.48333333333323</v>
      </c>
      <c r="J542" s="223" t="s">
        <v>1160</v>
      </c>
      <c r="K542" s="319">
        <v>2022.0</v>
      </c>
      <c r="L542" s="218" t="s">
        <v>200</v>
      </c>
    </row>
    <row r="543">
      <c r="A543" s="223" t="s">
        <v>82</v>
      </c>
      <c r="B543" s="223" t="s">
        <v>1124</v>
      </c>
      <c r="C543" s="223" t="s">
        <v>1156</v>
      </c>
      <c r="D543" s="320">
        <v>44681.0</v>
      </c>
      <c r="I543" s="323">
        <v>7.583333333333333</v>
      </c>
      <c r="J543" s="223" t="s">
        <v>52</v>
      </c>
      <c r="K543" s="319">
        <v>2022.04</v>
      </c>
      <c r="L543" s="218" t="s">
        <v>200</v>
      </c>
    </row>
    <row r="544">
      <c r="A544" s="223" t="s">
        <v>354</v>
      </c>
      <c r="B544" s="223" t="s">
        <v>1309</v>
      </c>
      <c r="C544" s="223" t="s">
        <v>1336</v>
      </c>
      <c r="D544" s="320">
        <v>44681.0</v>
      </c>
      <c r="I544" s="323">
        <v>304.1388888888888</v>
      </c>
      <c r="J544" s="223" t="s">
        <v>52</v>
      </c>
      <c r="K544" s="319">
        <v>2022.04</v>
      </c>
      <c r="L544" s="218" t="s">
        <v>200</v>
      </c>
    </row>
    <row r="545">
      <c r="A545" s="223" t="s">
        <v>1266</v>
      </c>
      <c r="B545" s="223" t="s">
        <v>1264</v>
      </c>
      <c r="C545" s="223" t="s">
        <v>1267</v>
      </c>
      <c r="D545" s="320">
        <v>44681.0</v>
      </c>
      <c r="I545" s="323">
        <v>431.5277777777778</v>
      </c>
      <c r="J545" s="223" t="s">
        <v>1152</v>
      </c>
      <c r="K545" s="319">
        <v>2022.0</v>
      </c>
      <c r="L545" s="218" t="s">
        <v>200</v>
      </c>
    </row>
    <row r="546">
      <c r="A546" s="223" t="s">
        <v>420</v>
      </c>
      <c r="B546" s="223" t="s">
        <v>1352</v>
      </c>
      <c r="C546" s="223" t="s">
        <v>1353</v>
      </c>
      <c r="D546" s="320">
        <v>44681.0</v>
      </c>
      <c r="I546" s="323">
        <v>163.79444444444448</v>
      </c>
      <c r="J546" s="223" t="s">
        <v>1160</v>
      </c>
      <c r="K546" s="319">
        <v>2022.0</v>
      </c>
      <c r="L546" s="218" t="s">
        <v>200</v>
      </c>
    </row>
    <row r="547">
      <c r="A547" s="223" t="s">
        <v>123</v>
      </c>
      <c r="B547" s="223" t="s">
        <v>1300</v>
      </c>
      <c r="C547" s="223" t="s">
        <v>1156</v>
      </c>
      <c r="D547" s="320">
        <v>44681.0</v>
      </c>
      <c r="I547" s="323">
        <v>156.10517956782465</v>
      </c>
      <c r="J547" s="223" t="s">
        <v>52</v>
      </c>
      <c r="K547" s="319">
        <v>2022.04</v>
      </c>
      <c r="L547" s="218" t="s">
        <v>200</v>
      </c>
    </row>
    <row r="548">
      <c r="A548" s="223" t="s">
        <v>115</v>
      </c>
      <c r="B548" s="223" t="s">
        <v>1308</v>
      </c>
      <c r="C548" s="223" t="s">
        <v>1156</v>
      </c>
      <c r="D548" s="320">
        <v>44681.0</v>
      </c>
      <c r="I548" s="323">
        <v>11.783333333333331</v>
      </c>
      <c r="J548" s="223" t="s">
        <v>52</v>
      </c>
      <c r="K548" s="319">
        <v>2022.04</v>
      </c>
      <c r="L548" s="218" t="s">
        <v>200</v>
      </c>
    </row>
    <row r="549">
      <c r="A549" s="223" t="s">
        <v>118</v>
      </c>
      <c r="B549" s="223" t="s">
        <v>1312</v>
      </c>
      <c r="C549" s="223" t="s">
        <v>1156</v>
      </c>
      <c r="D549" s="320">
        <v>44681.0</v>
      </c>
      <c r="I549" s="323">
        <v>90.10555555555555</v>
      </c>
      <c r="J549" s="223" t="s">
        <v>52</v>
      </c>
      <c r="K549" s="319">
        <v>2022.04</v>
      </c>
      <c r="L549" s="218" t="s">
        <v>200</v>
      </c>
    </row>
    <row r="550">
      <c r="A550" s="223" t="s">
        <v>373</v>
      </c>
      <c r="B550" s="223" t="s">
        <v>1342</v>
      </c>
      <c r="C550" s="223" t="s">
        <v>1341</v>
      </c>
      <c r="D550" s="320">
        <v>44681.0</v>
      </c>
      <c r="I550" s="323">
        <v>281.79999999999995</v>
      </c>
      <c r="J550" s="223" t="s">
        <v>1160</v>
      </c>
      <c r="K550" s="319">
        <v>2022.0</v>
      </c>
      <c r="L550" s="218" t="s">
        <v>200</v>
      </c>
    </row>
    <row r="551">
      <c r="A551" s="223" t="s">
        <v>118</v>
      </c>
      <c r="B551" s="223" t="s">
        <v>1312</v>
      </c>
      <c r="C551" s="223" t="s">
        <v>1156</v>
      </c>
      <c r="D551" s="320">
        <v>44672.0</v>
      </c>
      <c r="I551" s="323">
        <v>750.0</v>
      </c>
      <c r="J551" s="223" t="s">
        <v>52</v>
      </c>
      <c r="K551" s="319">
        <v>2022.04</v>
      </c>
      <c r="L551" s="218">
        <v>750.0</v>
      </c>
    </row>
    <row r="552">
      <c r="A552" s="223" t="s">
        <v>115</v>
      </c>
      <c r="B552" s="223" t="s">
        <v>1308</v>
      </c>
      <c r="C552" s="223" t="s">
        <v>1156</v>
      </c>
      <c r="D552" s="320">
        <v>44680.0</v>
      </c>
      <c r="I552" s="218">
        <v>750.0</v>
      </c>
      <c r="J552" s="223" t="s">
        <v>52</v>
      </c>
      <c r="K552" s="319">
        <v>2022.04</v>
      </c>
      <c r="L552" s="218">
        <v>750.0</v>
      </c>
    </row>
    <row r="553">
      <c r="A553" s="223" t="s">
        <v>1271</v>
      </c>
      <c r="B553" s="223" t="s">
        <v>1264</v>
      </c>
      <c r="C553" s="223" t="s">
        <v>1272</v>
      </c>
      <c r="D553" s="320">
        <v>44681.0</v>
      </c>
      <c r="I553" s="218">
        <v>470.09</v>
      </c>
      <c r="J553" s="223" t="s">
        <v>1152</v>
      </c>
      <c r="K553" s="319">
        <v>2022.0</v>
      </c>
      <c r="L553" s="218" t="s">
        <v>200</v>
      </c>
    </row>
    <row r="554">
      <c r="A554" s="223" t="s">
        <v>115</v>
      </c>
      <c r="B554" s="223" t="s">
        <v>1308</v>
      </c>
      <c r="C554" s="223" t="s">
        <v>1156</v>
      </c>
      <c r="D554" s="320">
        <v>44682.0</v>
      </c>
      <c r="I554" s="218">
        <v>28.96</v>
      </c>
      <c r="J554" s="223" t="s">
        <v>52</v>
      </c>
      <c r="K554" s="319">
        <v>2022.05</v>
      </c>
      <c r="L554" s="218">
        <v>28.96</v>
      </c>
    </row>
    <row r="555">
      <c r="A555" s="223" t="s">
        <v>118</v>
      </c>
      <c r="B555" s="223" t="s">
        <v>1312</v>
      </c>
      <c r="C555" s="223" t="s">
        <v>1156</v>
      </c>
      <c r="D555" s="320">
        <v>44683.0</v>
      </c>
      <c r="I555" s="218">
        <v>331.35</v>
      </c>
      <c r="J555" s="223" t="s">
        <v>52</v>
      </c>
      <c r="K555" s="319">
        <v>2022.05</v>
      </c>
      <c r="L555" s="218">
        <v>331.35</v>
      </c>
    </row>
    <row r="556">
      <c r="A556" s="223" t="s">
        <v>279</v>
      </c>
      <c r="B556" s="223" t="s">
        <v>1305</v>
      </c>
      <c r="C556" s="223" t="s">
        <v>1306</v>
      </c>
      <c r="D556" s="320">
        <v>44683.0</v>
      </c>
      <c r="I556" s="218">
        <v>304.53</v>
      </c>
      <c r="J556" s="223" t="s">
        <v>1160</v>
      </c>
      <c r="K556" s="319">
        <v>2022.0</v>
      </c>
      <c r="L556" s="218">
        <v>304.53</v>
      </c>
    </row>
    <row r="557">
      <c r="A557" s="223" t="s">
        <v>92</v>
      </c>
      <c r="B557" s="223" t="s">
        <v>1289</v>
      </c>
      <c r="C557" s="223" t="s">
        <v>1156</v>
      </c>
      <c r="D557" s="320">
        <v>44684.0</v>
      </c>
      <c r="I557" s="218">
        <v>70.0</v>
      </c>
      <c r="J557" s="223" t="s">
        <v>52</v>
      </c>
      <c r="K557" s="319">
        <v>2022.05</v>
      </c>
      <c r="L557" s="218">
        <v>70.0</v>
      </c>
    </row>
    <row r="558">
      <c r="A558" s="223" t="s">
        <v>1266</v>
      </c>
      <c r="B558" s="223" t="s">
        <v>1264</v>
      </c>
      <c r="C558" s="223" t="s">
        <v>1267</v>
      </c>
      <c r="D558" s="320">
        <v>44711.0</v>
      </c>
      <c r="I558" s="218">
        <v>49.92</v>
      </c>
      <c r="J558" s="223" t="s">
        <v>1152</v>
      </c>
      <c r="K558" s="319">
        <v>2022.0</v>
      </c>
      <c r="L558" s="218" t="s">
        <v>200</v>
      </c>
    </row>
    <row r="559">
      <c r="A559" s="223" t="s">
        <v>102</v>
      </c>
      <c r="B559" s="223" t="s">
        <v>1259</v>
      </c>
      <c r="C559" s="223" t="s">
        <v>1156</v>
      </c>
      <c r="D559" s="320">
        <v>44712.0</v>
      </c>
      <c r="I559" s="218">
        <v>150.0</v>
      </c>
      <c r="J559" s="223" t="s">
        <v>52</v>
      </c>
      <c r="K559" s="319">
        <v>2022.05</v>
      </c>
      <c r="L559" s="218" t="s">
        <v>200</v>
      </c>
    </row>
    <row r="560">
      <c r="A560" s="223" t="s">
        <v>82</v>
      </c>
      <c r="B560" s="223" t="s">
        <v>1124</v>
      </c>
      <c r="C560" s="223" t="s">
        <v>1156</v>
      </c>
      <c r="D560" s="320">
        <v>44712.0</v>
      </c>
      <c r="I560" s="218">
        <v>225.0</v>
      </c>
      <c r="J560" s="223" t="s">
        <v>52</v>
      </c>
      <c r="K560" s="319">
        <v>2022.05</v>
      </c>
      <c r="L560" s="218" t="s">
        <v>200</v>
      </c>
    </row>
    <row r="561">
      <c r="A561" s="223" t="s">
        <v>279</v>
      </c>
      <c r="B561" s="223" t="s">
        <v>1305</v>
      </c>
      <c r="C561" s="223" t="s">
        <v>1306</v>
      </c>
      <c r="D561" s="320">
        <v>44712.0</v>
      </c>
      <c r="I561" s="218">
        <v>125.0</v>
      </c>
      <c r="J561" s="223" t="s">
        <v>1160</v>
      </c>
      <c r="K561" s="319">
        <v>2022.0</v>
      </c>
      <c r="L561" s="218" t="s">
        <v>200</v>
      </c>
    </row>
    <row r="562">
      <c r="A562" s="223" t="s">
        <v>68</v>
      </c>
      <c r="B562" s="223" t="s">
        <v>1178</v>
      </c>
      <c r="C562" s="223" t="s">
        <v>1156</v>
      </c>
      <c r="D562" s="320">
        <v>44712.0</v>
      </c>
      <c r="I562" s="218">
        <v>237.5</v>
      </c>
      <c r="J562" s="223" t="s">
        <v>52</v>
      </c>
      <c r="K562" s="319">
        <v>2022.05</v>
      </c>
      <c r="L562" s="218" t="s">
        <v>200</v>
      </c>
    </row>
    <row r="563">
      <c r="A563" s="223" t="s">
        <v>147</v>
      </c>
      <c r="B563" s="223" t="s">
        <v>1194</v>
      </c>
      <c r="C563" s="223" t="s">
        <v>1156</v>
      </c>
      <c r="D563" s="320">
        <v>44712.0</v>
      </c>
      <c r="I563" s="218">
        <v>75.0</v>
      </c>
      <c r="J563" s="223" t="s">
        <v>52</v>
      </c>
      <c r="K563" s="319">
        <v>2022.05</v>
      </c>
      <c r="L563" s="218" t="s">
        <v>200</v>
      </c>
    </row>
    <row r="564">
      <c r="A564" s="223" t="s">
        <v>92</v>
      </c>
      <c r="B564" s="223" t="s">
        <v>1289</v>
      </c>
      <c r="C564" s="223" t="s">
        <v>1156</v>
      </c>
      <c r="D564" s="320">
        <v>44712.0</v>
      </c>
      <c r="I564" s="218">
        <v>575.0</v>
      </c>
      <c r="J564" s="223" t="s">
        <v>52</v>
      </c>
      <c r="K564" s="319">
        <v>2022.05</v>
      </c>
      <c r="L564" s="218" t="s">
        <v>200</v>
      </c>
    </row>
    <row r="565">
      <c r="A565" s="223" t="s">
        <v>88</v>
      </c>
      <c r="B565" s="223" t="s">
        <v>1256</v>
      </c>
      <c r="C565" s="223" t="s">
        <v>1156</v>
      </c>
      <c r="D565" s="320">
        <v>44712.0</v>
      </c>
      <c r="I565" s="218">
        <v>45.0</v>
      </c>
      <c r="J565" s="223" t="s">
        <v>52</v>
      </c>
      <c r="K565" s="319">
        <v>2022.05</v>
      </c>
      <c r="L565" s="218" t="s">
        <v>200</v>
      </c>
    </row>
    <row r="566">
      <c r="A566" s="223" t="s">
        <v>151</v>
      </c>
      <c r="B566" s="223" t="s">
        <v>1262</v>
      </c>
      <c r="C566" s="223" t="s">
        <v>1156</v>
      </c>
      <c r="D566" s="320">
        <v>44712.0</v>
      </c>
      <c r="I566" s="218">
        <v>60.0</v>
      </c>
      <c r="J566" s="223" t="s">
        <v>52</v>
      </c>
      <c r="K566" s="319">
        <v>2022.05</v>
      </c>
      <c r="L566" s="218" t="s">
        <v>200</v>
      </c>
    </row>
    <row r="567">
      <c r="A567" s="223" t="s">
        <v>112</v>
      </c>
      <c r="B567" s="223" t="s">
        <v>1296</v>
      </c>
      <c r="C567" s="223" t="s">
        <v>2309</v>
      </c>
      <c r="D567" s="320">
        <v>44712.0</v>
      </c>
      <c r="I567" s="218">
        <v>245.0</v>
      </c>
      <c r="J567" s="223" t="s">
        <v>52</v>
      </c>
      <c r="K567" s="319">
        <v>2022.05</v>
      </c>
      <c r="L567" s="218" t="s">
        <v>200</v>
      </c>
    </row>
    <row r="568">
      <c r="A568" s="223" t="s">
        <v>86</v>
      </c>
      <c r="B568" s="223" t="s">
        <v>1235</v>
      </c>
      <c r="C568" s="223" t="s">
        <v>1156</v>
      </c>
      <c r="D568" s="320">
        <v>44712.0</v>
      </c>
      <c r="I568" s="218">
        <v>175.0</v>
      </c>
      <c r="J568" s="223" t="s">
        <v>52</v>
      </c>
      <c r="K568" s="319">
        <v>2022.05</v>
      </c>
      <c r="L568" s="218" t="s">
        <v>200</v>
      </c>
    </row>
    <row r="569">
      <c r="A569" s="223" t="s">
        <v>97</v>
      </c>
      <c r="B569" s="223" t="s">
        <v>1286</v>
      </c>
      <c r="C569" s="223" t="s">
        <v>1156</v>
      </c>
      <c r="D569" s="320">
        <v>44712.0</v>
      </c>
      <c r="I569" s="218">
        <v>30.0</v>
      </c>
      <c r="J569" s="223" t="s">
        <v>52</v>
      </c>
      <c r="K569" s="319">
        <v>2022.05</v>
      </c>
      <c r="L569" s="218" t="s">
        <v>200</v>
      </c>
    </row>
    <row r="570">
      <c r="A570" s="223" t="s">
        <v>82</v>
      </c>
      <c r="B570" s="223" t="s">
        <v>1124</v>
      </c>
      <c r="C570" s="223" t="s">
        <v>1156</v>
      </c>
      <c r="D570" s="320">
        <v>44712.0</v>
      </c>
      <c r="I570" s="218">
        <v>75.0</v>
      </c>
      <c r="J570" s="223" t="s">
        <v>52</v>
      </c>
      <c r="K570" s="319">
        <v>2022.05</v>
      </c>
      <c r="L570" s="218" t="s">
        <v>200</v>
      </c>
    </row>
    <row r="571">
      <c r="A571" s="223" t="s">
        <v>99</v>
      </c>
      <c r="B571" s="223" t="s">
        <v>1192</v>
      </c>
      <c r="C571" s="223" t="s">
        <v>1156</v>
      </c>
      <c r="D571" s="320">
        <v>44712.0</v>
      </c>
      <c r="I571" s="218">
        <v>457.5</v>
      </c>
      <c r="J571" s="223" t="s">
        <v>52</v>
      </c>
      <c r="K571" s="319">
        <v>2022.05</v>
      </c>
      <c r="L571" s="218" t="s">
        <v>200</v>
      </c>
    </row>
    <row r="572">
      <c r="A572" s="223" t="s">
        <v>68</v>
      </c>
      <c r="B572" s="223" t="s">
        <v>1178</v>
      </c>
      <c r="C572" s="223" t="s">
        <v>1156</v>
      </c>
      <c r="D572" s="320">
        <v>44712.0</v>
      </c>
      <c r="I572" s="218">
        <v>60.0</v>
      </c>
      <c r="J572" s="223" t="s">
        <v>52</v>
      </c>
      <c r="K572" s="319">
        <v>2022.05</v>
      </c>
      <c r="L572" s="218" t="s">
        <v>200</v>
      </c>
    </row>
    <row r="573">
      <c r="A573" s="223" t="s">
        <v>42</v>
      </c>
      <c r="B573" s="223" t="s">
        <v>1236</v>
      </c>
      <c r="C573" s="223" t="s">
        <v>1156</v>
      </c>
      <c r="D573" s="320">
        <v>44712.0</v>
      </c>
      <c r="I573" s="218">
        <v>347.5</v>
      </c>
      <c r="J573" s="223" t="s">
        <v>52</v>
      </c>
      <c r="K573" s="319">
        <v>2022.05</v>
      </c>
      <c r="L573" s="218" t="s">
        <v>200</v>
      </c>
    </row>
    <row r="574">
      <c r="A574" s="223" t="s">
        <v>58</v>
      </c>
      <c r="B574" s="223" t="s">
        <v>1197</v>
      </c>
      <c r="C574" s="223" t="s">
        <v>1156</v>
      </c>
      <c r="D574" s="320">
        <v>44712.0</v>
      </c>
      <c r="I574" s="218">
        <v>400.0</v>
      </c>
      <c r="J574" s="223" t="s">
        <v>52</v>
      </c>
      <c r="K574" s="319">
        <v>2022.05</v>
      </c>
      <c r="L574" s="218" t="s">
        <v>200</v>
      </c>
    </row>
    <row r="575">
      <c r="A575" s="223" t="s">
        <v>123</v>
      </c>
      <c r="B575" s="223" t="s">
        <v>1300</v>
      </c>
      <c r="C575" s="223" t="s">
        <v>1156</v>
      </c>
      <c r="D575" s="320">
        <v>44712.0</v>
      </c>
      <c r="I575" s="218">
        <v>300.0</v>
      </c>
      <c r="J575" s="223" t="s">
        <v>52</v>
      </c>
      <c r="K575" s="319">
        <v>2022.05</v>
      </c>
      <c r="L575" s="218" t="s">
        <v>200</v>
      </c>
    </row>
    <row r="576">
      <c r="A576" s="223" t="s">
        <v>73</v>
      </c>
      <c r="B576" s="223" t="s">
        <v>1327</v>
      </c>
      <c r="C576" s="223" t="s">
        <v>1156</v>
      </c>
      <c r="D576" s="320">
        <v>44712.0</v>
      </c>
      <c r="I576" s="218">
        <v>60.0</v>
      </c>
      <c r="J576" s="223" t="s">
        <v>52</v>
      </c>
      <c r="K576" s="319">
        <v>2022.05</v>
      </c>
      <c r="L576" s="218" t="s">
        <v>200</v>
      </c>
    </row>
    <row r="577">
      <c r="A577" s="223" t="s">
        <v>50</v>
      </c>
      <c r="B577" s="223" t="s">
        <v>1275</v>
      </c>
      <c r="C577" s="223" t="s">
        <v>1156</v>
      </c>
      <c r="D577" s="320">
        <v>44712.0</v>
      </c>
      <c r="I577" s="218">
        <v>30.0</v>
      </c>
      <c r="J577" s="223" t="s">
        <v>52</v>
      </c>
      <c r="K577" s="319">
        <v>2022.05</v>
      </c>
      <c r="L577" s="218" t="s">
        <v>200</v>
      </c>
    </row>
    <row r="578">
      <c r="A578" s="223" t="s">
        <v>62</v>
      </c>
      <c r="B578" s="223" t="s">
        <v>1304</v>
      </c>
      <c r="C578" s="223" t="s">
        <v>1156</v>
      </c>
      <c r="D578" s="320">
        <v>44712.0</v>
      </c>
      <c r="I578" s="218">
        <v>200.0</v>
      </c>
      <c r="J578" s="223" t="s">
        <v>52</v>
      </c>
      <c r="K578" s="319">
        <v>2022.05</v>
      </c>
      <c r="L578" s="218" t="s">
        <v>200</v>
      </c>
    </row>
    <row r="579">
      <c r="A579" s="223" t="s">
        <v>223</v>
      </c>
      <c r="B579" s="223" t="s">
        <v>1176</v>
      </c>
      <c r="C579" s="223" t="s">
        <v>1156</v>
      </c>
      <c r="D579" s="320">
        <v>44712.0</v>
      </c>
      <c r="I579" s="218">
        <v>75.0</v>
      </c>
      <c r="J579" s="223" t="s">
        <v>52</v>
      </c>
      <c r="K579" s="319">
        <v>2022.05</v>
      </c>
      <c r="L579" s="218" t="s">
        <v>200</v>
      </c>
    </row>
    <row r="580">
      <c r="A580" s="223" t="s">
        <v>225</v>
      </c>
      <c r="B580" s="223" t="s">
        <v>1257</v>
      </c>
      <c r="C580" s="223" t="s">
        <v>1156</v>
      </c>
      <c r="D580" s="320">
        <v>44712.0</v>
      </c>
      <c r="I580" s="218">
        <v>1860.0</v>
      </c>
      <c r="J580" s="223" t="s">
        <v>52</v>
      </c>
      <c r="K580" s="319">
        <v>2022.05</v>
      </c>
      <c r="L580" s="218" t="s">
        <v>200</v>
      </c>
    </row>
    <row r="581">
      <c r="A581" s="223" t="s">
        <v>246</v>
      </c>
      <c r="B581" s="223" t="s">
        <v>1184</v>
      </c>
      <c r="C581" s="223" t="s">
        <v>1156</v>
      </c>
      <c r="D581" s="320">
        <v>44712.0</v>
      </c>
      <c r="I581" s="218">
        <v>45.0</v>
      </c>
      <c r="J581" s="223" t="s">
        <v>52</v>
      </c>
      <c r="K581" s="319">
        <v>2022.05</v>
      </c>
      <c r="L581" s="218" t="s">
        <v>200</v>
      </c>
    </row>
    <row r="582">
      <c r="A582" s="223" t="s">
        <v>66</v>
      </c>
      <c r="B582" s="223" t="s">
        <v>1324</v>
      </c>
      <c r="C582" s="223" t="s">
        <v>1156</v>
      </c>
      <c r="D582" s="320">
        <v>44712.0</v>
      </c>
      <c r="I582" s="218">
        <v>60.0</v>
      </c>
      <c r="J582" s="223" t="s">
        <v>52</v>
      </c>
      <c r="K582" s="319">
        <v>2022.05</v>
      </c>
      <c r="L582" s="218" t="s">
        <v>200</v>
      </c>
    </row>
    <row r="583">
      <c r="A583" s="223" t="s">
        <v>279</v>
      </c>
      <c r="B583" s="223" t="s">
        <v>1305</v>
      </c>
      <c r="C583" s="223" t="s">
        <v>1306</v>
      </c>
      <c r="D583" s="320">
        <v>44712.0</v>
      </c>
      <c r="I583" s="218">
        <v>30.0</v>
      </c>
      <c r="J583" s="223" t="s">
        <v>1160</v>
      </c>
      <c r="K583" s="319">
        <v>2022.0</v>
      </c>
      <c r="L583" s="218" t="s">
        <v>200</v>
      </c>
    </row>
    <row r="584">
      <c r="A584" s="223" t="s">
        <v>354</v>
      </c>
      <c r="B584" s="223" t="s">
        <v>1309</v>
      </c>
      <c r="C584" s="223" t="s">
        <v>1336</v>
      </c>
      <c r="D584" s="320">
        <v>44712.0</v>
      </c>
      <c r="I584" s="218">
        <v>650.0</v>
      </c>
      <c r="J584" s="223" t="s">
        <v>52</v>
      </c>
      <c r="K584" s="319">
        <v>2022.05</v>
      </c>
      <c r="L584" s="218" t="s">
        <v>200</v>
      </c>
    </row>
    <row r="585">
      <c r="A585" s="223" t="s">
        <v>420</v>
      </c>
      <c r="B585" s="223" t="s">
        <v>1352</v>
      </c>
      <c r="C585" s="223" t="s">
        <v>1353</v>
      </c>
      <c r="D585" s="320">
        <v>44712.0</v>
      </c>
      <c r="I585" s="218">
        <v>1250.0</v>
      </c>
      <c r="J585" s="223" t="s">
        <v>1160</v>
      </c>
      <c r="K585" s="319">
        <v>2022.0</v>
      </c>
      <c r="L585" s="218" t="s">
        <v>200</v>
      </c>
    </row>
    <row r="586">
      <c r="A586" s="223" t="s">
        <v>427</v>
      </c>
      <c r="B586" s="223" t="s">
        <v>1216</v>
      </c>
      <c r="C586" s="223" t="s">
        <v>1355</v>
      </c>
      <c r="D586" s="320">
        <v>44712.0</v>
      </c>
      <c r="I586" s="218">
        <v>390.0</v>
      </c>
      <c r="J586" s="223" t="s">
        <v>1160</v>
      </c>
      <c r="K586" s="319">
        <v>2022.0</v>
      </c>
      <c r="L586" s="218" t="s">
        <v>200</v>
      </c>
    </row>
    <row r="587">
      <c r="A587" s="223" t="s">
        <v>347</v>
      </c>
      <c r="B587" s="223" t="s">
        <v>1330</v>
      </c>
      <c r="C587" s="223" t="s">
        <v>1331</v>
      </c>
      <c r="D587" s="320">
        <v>44712.0</v>
      </c>
      <c r="I587" s="218">
        <v>300.0</v>
      </c>
      <c r="J587" s="223" t="s">
        <v>1160</v>
      </c>
      <c r="K587" s="319">
        <v>2022.0</v>
      </c>
      <c r="L587" s="218" t="s">
        <v>200</v>
      </c>
    </row>
    <row r="588">
      <c r="A588" s="223" t="s">
        <v>1356</v>
      </c>
      <c r="B588" s="223" t="s">
        <v>1357</v>
      </c>
      <c r="C588" s="223" t="s">
        <v>1358</v>
      </c>
      <c r="D588" s="320">
        <v>44712.0</v>
      </c>
      <c r="I588" s="218">
        <v>250.0</v>
      </c>
      <c r="J588" s="223" t="s">
        <v>1160</v>
      </c>
      <c r="K588" s="319">
        <v>2022.0</v>
      </c>
      <c r="L588" s="218" t="s">
        <v>200</v>
      </c>
    </row>
    <row r="589">
      <c r="A589" s="223" t="s">
        <v>42</v>
      </c>
      <c r="B589" s="223" t="s">
        <v>1236</v>
      </c>
      <c r="C589" s="223" t="s">
        <v>1156</v>
      </c>
      <c r="D589" s="320">
        <v>44712.0</v>
      </c>
      <c r="I589" s="218">
        <v>350.0</v>
      </c>
      <c r="J589" s="223" t="s">
        <v>52</v>
      </c>
      <c r="K589" s="319">
        <v>2022.05</v>
      </c>
      <c r="L589" s="218" t="s">
        <v>200</v>
      </c>
    </row>
    <row r="590">
      <c r="A590" s="223" t="s">
        <v>92</v>
      </c>
      <c r="B590" s="223" t="s">
        <v>1289</v>
      </c>
      <c r="C590" s="223" t="s">
        <v>1156</v>
      </c>
      <c r="D590" s="320">
        <v>44712.0</v>
      </c>
      <c r="I590" s="218">
        <v>212.5</v>
      </c>
      <c r="J590" s="223" t="s">
        <v>52</v>
      </c>
      <c r="K590" s="319">
        <v>2022.05</v>
      </c>
      <c r="L590" s="218" t="s">
        <v>200</v>
      </c>
    </row>
    <row r="591">
      <c r="A591" s="223" t="s">
        <v>54</v>
      </c>
      <c r="B591" s="223" t="s">
        <v>1187</v>
      </c>
      <c r="C591" s="223" t="s">
        <v>1156</v>
      </c>
      <c r="D591" s="320">
        <v>44712.0</v>
      </c>
      <c r="I591" s="218">
        <v>175.0</v>
      </c>
      <c r="J591" s="223" t="s">
        <v>52</v>
      </c>
      <c r="K591" s="319">
        <v>2022.05</v>
      </c>
      <c r="L591" s="218" t="s">
        <v>200</v>
      </c>
    </row>
    <row r="592">
      <c r="A592" s="223" t="s">
        <v>66</v>
      </c>
      <c r="B592" s="223" t="s">
        <v>1324</v>
      </c>
      <c r="C592" s="223" t="s">
        <v>1156</v>
      </c>
      <c r="D592" s="320">
        <v>44712.0</v>
      </c>
      <c r="I592" s="218">
        <v>312.5</v>
      </c>
      <c r="J592" s="223" t="s">
        <v>52</v>
      </c>
      <c r="K592" s="319">
        <v>2022.05</v>
      </c>
      <c r="L592" s="218" t="s">
        <v>200</v>
      </c>
    </row>
    <row r="593">
      <c r="A593" s="223" t="s">
        <v>97</v>
      </c>
      <c r="B593" s="223" t="s">
        <v>1286</v>
      </c>
      <c r="C593" s="223" t="s">
        <v>1156</v>
      </c>
      <c r="D593" s="320">
        <v>44712.0</v>
      </c>
      <c r="I593" s="218">
        <v>125.0</v>
      </c>
      <c r="J593" s="223" t="s">
        <v>52</v>
      </c>
      <c r="K593" s="319">
        <v>2022.05</v>
      </c>
      <c r="L593" s="218" t="s">
        <v>200</v>
      </c>
    </row>
    <row r="594">
      <c r="A594" s="223" t="s">
        <v>147</v>
      </c>
      <c r="B594" s="223" t="s">
        <v>1194</v>
      </c>
      <c r="C594" s="223" t="s">
        <v>1156</v>
      </c>
      <c r="D594" s="320">
        <v>44712.0</v>
      </c>
      <c r="I594" s="218">
        <v>200.0</v>
      </c>
      <c r="J594" s="223" t="s">
        <v>52</v>
      </c>
      <c r="K594" s="319">
        <v>2022.05</v>
      </c>
      <c r="L594" s="218" t="s">
        <v>200</v>
      </c>
    </row>
    <row r="595">
      <c r="A595" s="223" t="s">
        <v>88</v>
      </c>
      <c r="B595" s="223" t="s">
        <v>1256</v>
      </c>
      <c r="C595" s="223" t="s">
        <v>1156</v>
      </c>
      <c r="D595" s="320">
        <v>44712.0</v>
      </c>
      <c r="I595" s="218">
        <v>212.5</v>
      </c>
      <c r="J595" s="223" t="s">
        <v>52</v>
      </c>
      <c r="K595" s="319">
        <v>2022.05</v>
      </c>
      <c r="L595" s="218" t="s">
        <v>200</v>
      </c>
    </row>
    <row r="596">
      <c r="A596" s="223" t="s">
        <v>73</v>
      </c>
      <c r="B596" s="223" t="s">
        <v>1327</v>
      </c>
      <c r="C596" s="223" t="s">
        <v>1156</v>
      </c>
      <c r="D596" s="320">
        <v>44712.0</v>
      </c>
      <c r="I596" s="218">
        <v>250.0</v>
      </c>
      <c r="J596" s="223" t="s">
        <v>52</v>
      </c>
      <c r="K596" s="319">
        <v>2022.05</v>
      </c>
      <c r="L596" s="218" t="s">
        <v>200</v>
      </c>
    </row>
    <row r="597">
      <c r="A597" s="223" t="s">
        <v>223</v>
      </c>
      <c r="B597" s="223" t="s">
        <v>1176</v>
      </c>
      <c r="C597" s="223" t="s">
        <v>1156</v>
      </c>
      <c r="D597" s="320">
        <v>44712.0</v>
      </c>
      <c r="I597" s="218">
        <v>500.0</v>
      </c>
      <c r="J597" s="223" t="s">
        <v>52</v>
      </c>
      <c r="K597" s="319">
        <v>2022.05</v>
      </c>
      <c r="L597" s="218" t="s">
        <v>200</v>
      </c>
    </row>
    <row r="598">
      <c r="A598" s="223" t="s">
        <v>50</v>
      </c>
      <c r="B598" s="223" t="s">
        <v>1275</v>
      </c>
      <c r="C598" s="223" t="s">
        <v>1156</v>
      </c>
      <c r="D598" s="320">
        <v>44712.0</v>
      </c>
      <c r="I598" s="218">
        <v>137.5</v>
      </c>
      <c r="J598" s="223" t="s">
        <v>52</v>
      </c>
      <c r="K598" s="319">
        <v>2022.05</v>
      </c>
      <c r="L598" s="218" t="s">
        <v>200</v>
      </c>
    </row>
    <row r="599">
      <c r="A599" s="223" t="s">
        <v>151</v>
      </c>
      <c r="B599" s="223" t="s">
        <v>1262</v>
      </c>
      <c r="C599" s="223" t="s">
        <v>1156</v>
      </c>
      <c r="D599" s="320">
        <v>44712.0</v>
      </c>
      <c r="I599" s="218">
        <v>250.0</v>
      </c>
      <c r="J599" s="223" t="s">
        <v>52</v>
      </c>
      <c r="K599" s="319">
        <v>2022.05</v>
      </c>
      <c r="L599" s="218" t="s">
        <v>200</v>
      </c>
    </row>
    <row r="600">
      <c r="A600" s="223" t="s">
        <v>1269</v>
      </c>
      <c r="B600" s="223" t="s">
        <v>1264</v>
      </c>
      <c r="C600" s="223" t="s">
        <v>1270</v>
      </c>
      <c r="D600" s="320">
        <v>44712.0</v>
      </c>
      <c r="I600" s="218">
        <v>150.0</v>
      </c>
      <c r="J600" s="223" t="s">
        <v>1152</v>
      </c>
      <c r="K600" s="319">
        <v>2022.0</v>
      </c>
      <c r="L600" s="218" t="s">
        <v>200</v>
      </c>
    </row>
    <row r="601">
      <c r="A601" s="223" t="s">
        <v>54</v>
      </c>
      <c r="B601" s="223" t="s">
        <v>1187</v>
      </c>
      <c r="C601" s="223" t="s">
        <v>1156</v>
      </c>
      <c r="D601" s="320">
        <v>44712.0</v>
      </c>
      <c r="I601" s="218">
        <v>162.5</v>
      </c>
      <c r="J601" s="223" t="s">
        <v>52</v>
      </c>
      <c r="K601" s="319">
        <v>2022.05</v>
      </c>
      <c r="L601" s="218" t="s">
        <v>200</v>
      </c>
    </row>
    <row r="602">
      <c r="A602" s="223" t="s">
        <v>58</v>
      </c>
      <c r="B602" s="223" t="s">
        <v>1197</v>
      </c>
      <c r="C602" s="223" t="s">
        <v>1156</v>
      </c>
      <c r="D602" s="320">
        <v>44712.0</v>
      </c>
      <c r="I602" s="218">
        <v>300.0</v>
      </c>
      <c r="J602" s="223" t="s">
        <v>52</v>
      </c>
      <c r="K602" s="319">
        <v>2022.05</v>
      </c>
      <c r="L602" s="218" t="s">
        <v>200</v>
      </c>
    </row>
    <row r="603">
      <c r="A603" s="223" t="s">
        <v>120</v>
      </c>
      <c r="B603" s="223" t="s">
        <v>1215</v>
      </c>
      <c r="C603" s="223" t="s">
        <v>1156</v>
      </c>
      <c r="D603" s="320">
        <v>44712.0</v>
      </c>
      <c r="I603" s="218">
        <v>550.0</v>
      </c>
      <c r="J603" s="223" t="s">
        <v>52</v>
      </c>
      <c r="K603" s="319">
        <v>2022.05</v>
      </c>
      <c r="L603" s="218" t="s">
        <v>200</v>
      </c>
    </row>
    <row r="604">
      <c r="A604" s="223" t="s">
        <v>156</v>
      </c>
      <c r="B604" s="223" t="s">
        <v>1293</v>
      </c>
      <c r="C604" s="223" t="s">
        <v>1156</v>
      </c>
      <c r="D604" s="320">
        <v>44712.0</v>
      </c>
      <c r="I604" s="218">
        <v>225.0</v>
      </c>
      <c r="J604" s="223" t="s">
        <v>52</v>
      </c>
      <c r="K604" s="319">
        <v>2022.05</v>
      </c>
      <c r="L604" s="218" t="s">
        <v>200</v>
      </c>
    </row>
    <row r="605">
      <c r="A605" s="223" t="s">
        <v>420</v>
      </c>
      <c r="B605" s="223" t="s">
        <v>1352</v>
      </c>
      <c r="C605" s="223" t="s">
        <v>1353</v>
      </c>
      <c r="D605" s="320">
        <v>44712.0</v>
      </c>
      <c r="I605" s="218">
        <v>1337.5</v>
      </c>
      <c r="J605" s="223" t="s">
        <v>1160</v>
      </c>
      <c r="K605" s="319">
        <v>2022.0</v>
      </c>
      <c r="L605" s="218" t="s">
        <v>200</v>
      </c>
    </row>
    <row r="606">
      <c r="A606" s="223" t="s">
        <v>408</v>
      </c>
      <c r="B606" s="223" t="s">
        <v>1360</v>
      </c>
      <c r="C606" s="223" t="s">
        <v>1361</v>
      </c>
      <c r="D606" s="320">
        <v>44712.0</v>
      </c>
      <c r="I606" s="218">
        <v>537.5</v>
      </c>
      <c r="J606" s="223" t="s">
        <v>1160</v>
      </c>
      <c r="K606" s="319">
        <v>2022.0</v>
      </c>
      <c r="L606" s="218" t="s">
        <v>200</v>
      </c>
    </row>
    <row r="607">
      <c r="A607" s="223" t="s">
        <v>414</v>
      </c>
      <c r="B607" s="223" t="s">
        <v>1345</v>
      </c>
      <c r="C607" s="223" t="s">
        <v>1346</v>
      </c>
      <c r="D607" s="320">
        <v>44712.0</v>
      </c>
      <c r="I607" s="218">
        <v>700.0</v>
      </c>
      <c r="J607" s="223" t="s">
        <v>1160</v>
      </c>
      <c r="K607" s="319">
        <v>2022.0</v>
      </c>
      <c r="L607" s="218" t="s">
        <v>200</v>
      </c>
    </row>
    <row r="608">
      <c r="A608" s="223" t="s">
        <v>326</v>
      </c>
      <c r="B608" s="223" t="s">
        <v>1209</v>
      </c>
      <c r="C608" s="223" t="s">
        <v>1210</v>
      </c>
      <c r="D608" s="320">
        <v>44712.0</v>
      </c>
      <c r="I608" s="218">
        <v>700.0</v>
      </c>
      <c r="J608" s="223" t="s">
        <v>1160</v>
      </c>
      <c r="K608" s="319">
        <v>2022.0</v>
      </c>
      <c r="L608" s="218" t="s">
        <v>200</v>
      </c>
    </row>
    <row r="609">
      <c r="A609" s="223" t="s">
        <v>203</v>
      </c>
      <c r="B609" s="223" t="s">
        <v>1200</v>
      </c>
      <c r="C609" s="223" t="s">
        <v>1203</v>
      </c>
      <c r="D609" s="320">
        <v>44712.0</v>
      </c>
      <c r="I609" s="218">
        <v>45.0</v>
      </c>
      <c r="J609" s="223" t="s">
        <v>1160</v>
      </c>
      <c r="K609" s="319">
        <v>2022.0</v>
      </c>
      <c r="L609" s="218" t="s">
        <v>200</v>
      </c>
    </row>
    <row r="610">
      <c r="A610" s="223" t="s">
        <v>1266</v>
      </c>
      <c r="B610" s="223" t="s">
        <v>1264</v>
      </c>
      <c r="C610" s="223" t="s">
        <v>1267</v>
      </c>
      <c r="D610" s="320">
        <v>44712.0</v>
      </c>
      <c r="I610" s="218">
        <v>75.0</v>
      </c>
      <c r="J610" s="223" t="s">
        <v>1152</v>
      </c>
      <c r="K610" s="319">
        <v>2022.0</v>
      </c>
      <c r="L610" s="218" t="s">
        <v>200</v>
      </c>
    </row>
    <row r="611">
      <c r="A611" s="223" t="s">
        <v>115</v>
      </c>
      <c r="B611" s="223" t="s">
        <v>1308</v>
      </c>
      <c r="C611" s="223" t="s">
        <v>1156</v>
      </c>
      <c r="D611" s="320">
        <v>44712.0</v>
      </c>
      <c r="I611" s="218">
        <v>662.5</v>
      </c>
      <c r="J611" s="223" t="s">
        <v>52</v>
      </c>
      <c r="K611" s="319">
        <v>2022.05</v>
      </c>
      <c r="L611" s="218" t="s">
        <v>200</v>
      </c>
    </row>
    <row r="612">
      <c r="A612" s="223" t="s">
        <v>118</v>
      </c>
      <c r="B612" s="223" t="s">
        <v>1312</v>
      </c>
      <c r="C612" s="223" t="s">
        <v>1156</v>
      </c>
      <c r="D612" s="320">
        <v>44712.0</v>
      </c>
      <c r="I612" s="218">
        <v>662.5</v>
      </c>
      <c r="J612" s="223" t="s">
        <v>52</v>
      </c>
      <c r="K612" s="319">
        <v>2022.05</v>
      </c>
      <c r="L612" s="218" t="s">
        <v>200</v>
      </c>
    </row>
    <row r="613">
      <c r="A613" s="223" t="s">
        <v>92</v>
      </c>
      <c r="B613" s="223" t="s">
        <v>1289</v>
      </c>
      <c r="C613" s="223" t="s">
        <v>1156</v>
      </c>
      <c r="D613" s="320">
        <v>44712.0</v>
      </c>
      <c r="I613" s="218">
        <v>350.0</v>
      </c>
      <c r="J613" s="223" t="s">
        <v>52</v>
      </c>
      <c r="K613" s="319">
        <v>2022.05</v>
      </c>
      <c r="L613" s="218" t="s">
        <v>200</v>
      </c>
    </row>
    <row r="614">
      <c r="A614" s="223" t="s">
        <v>84</v>
      </c>
      <c r="B614" s="223" t="s">
        <v>1227</v>
      </c>
      <c r="C614" s="223" t="s">
        <v>1156</v>
      </c>
      <c r="D614" s="320">
        <v>44712.0</v>
      </c>
      <c r="I614" s="218">
        <v>475.0</v>
      </c>
      <c r="J614" s="223" t="s">
        <v>52</v>
      </c>
      <c r="K614" s="319">
        <v>2022.05</v>
      </c>
      <c r="L614" s="218" t="s">
        <v>200</v>
      </c>
    </row>
    <row r="615">
      <c r="A615" s="223" t="s">
        <v>123</v>
      </c>
      <c r="B615" s="223" t="s">
        <v>1300</v>
      </c>
      <c r="C615" s="223" t="s">
        <v>1156</v>
      </c>
      <c r="D615" s="320">
        <v>44712.0</v>
      </c>
      <c r="I615" s="218">
        <v>1087.5</v>
      </c>
      <c r="J615" s="223" t="s">
        <v>52</v>
      </c>
      <c r="K615" s="319">
        <v>2022.05</v>
      </c>
      <c r="L615" s="218" t="s">
        <v>200</v>
      </c>
    </row>
    <row r="616">
      <c r="A616" s="223" t="s">
        <v>62</v>
      </c>
      <c r="B616" s="223" t="s">
        <v>1304</v>
      </c>
      <c r="C616" s="223" t="s">
        <v>1156</v>
      </c>
      <c r="D616" s="320">
        <v>44712.0</v>
      </c>
      <c r="I616" s="218">
        <v>450.0</v>
      </c>
      <c r="J616" s="223" t="s">
        <v>52</v>
      </c>
      <c r="K616" s="319">
        <v>2022.05</v>
      </c>
      <c r="L616" s="218" t="s">
        <v>200</v>
      </c>
    </row>
    <row r="617">
      <c r="A617" s="223" t="s">
        <v>1356</v>
      </c>
      <c r="B617" s="223" t="s">
        <v>1357</v>
      </c>
      <c r="C617" s="223" t="s">
        <v>1358</v>
      </c>
      <c r="D617" s="320">
        <v>44712.0</v>
      </c>
      <c r="I617" s="218">
        <v>50.0</v>
      </c>
      <c r="J617" s="223" t="s">
        <v>1160</v>
      </c>
      <c r="K617" s="319">
        <v>2022.0</v>
      </c>
      <c r="L617" s="218" t="s">
        <v>200</v>
      </c>
    </row>
    <row r="618">
      <c r="A618" s="223" t="s">
        <v>75</v>
      </c>
      <c r="B618" s="223" t="s">
        <v>1279</v>
      </c>
      <c r="C618" s="223" t="s">
        <v>1156</v>
      </c>
      <c r="D618" s="320">
        <v>44712.0</v>
      </c>
      <c r="I618" s="218">
        <v>187.5</v>
      </c>
      <c r="J618" s="223" t="s">
        <v>52</v>
      </c>
      <c r="K618" s="319">
        <v>2022.05</v>
      </c>
      <c r="L618" s="218" t="s">
        <v>200</v>
      </c>
    </row>
    <row r="619">
      <c r="A619" s="223" t="s">
        <v>1271</v>
      </c>
      <c r="B619" s="223" t="s">
        <v>1264</v>
      </c>
      <c r="C619" s="223" t="s">
        <v>1272</v>
      </c>
      <c r="D619" s="320">
        <v>44723.0</v>
      </c>
      <c r="I619" s="218">
        <v>65.44</v>
      </c>
      <c r="J619" s="223" t="s">
        <v>1152</v>
      </c>
      <c r="K619" s="319">
        <v>2022.0</v>
      </c>
      <c r="L619" s="218" t="s">
        <v>200</v>
      </c>
    </row>
    <row r="620">
      <c r="A620" s="223" t="s">
        <v>1271</v>
      </c>
      <c r="B620" s="223" t="s">
        <v>1264</v>
      </c>
      <c r="C620" s="223" t="s">
        <v>1272</v>
      </c>
      <c r="D620" s="320">
        <v>44723.0</v>
      </c>
      <c r="I620" s="218">
        <v>14.4</v>
      </c>
      <c r="J620" s="223" t="s">
        <v>1152</v>
      </c>
      <c r="K620" s="319">
        <v>2022.0</v>
      </c>
      <c r="L620" s="218" t="s">
        <v>200</v>
      </c>
    </row>
    <row r="621">
      <c r="A621" s="223" t="s">
        <v>1266</v>
      </c>
      <c r="B621" s="223" t="s">
        <v>1264</v>
      </c>
      <c r="C621" s="223" t="s">
        <v>1267</v>
      </c>
      <c r="D621" s="320">
        <v>44723.0</v>
      </c>
      <c r="I621" s="218">
        <v>103.98</v>
      </c>
      <c r="J621" s="223" t="s">
        <v>1152</v>
      </c>
      <c r="K621" s="319">
        <v>2022.0</v>
      </c>
      <c r="L621" s="218" t="s">
        <v>200</v>
      </c>
    </row>
    <row r="622">
      <c r="A622" s="223" t="s">
        <v>1266</v>
      </c>
      <c r="B622" s="223" t="s">
        <v>1264</v>
      </c>
      <c r="C622" s="223" t="s">
        <v>1267</v>
      </c>
      <c r="D622" s="320">
        <v>44723.0</v>
      </c>
      <c r="I622" s="218">
        <v>25.83</v>
      </c>
      <c r="J622" s="223" t="s">
        <v>1152</v>
      </c>
      <c r="K622" s="319">
        <v>2022.0</v>
      </c>
      <c r="L622" s="218" t="s">
        <v>200</v>
      </c>
    </row>
    <row r="623">
      <c r="A623" s="223" t="s">
        <v>1266</v>
      </c>
      <c r="B623" s="223" t="s">
        <v>1264</v>
      </c>
      <c r="C623" s="223" t="s">
        <v>1267</v>
      </c>
      <c r="D623" s="320">
        <v>44723.0</v>
      </c>
      <c r="I623" s="218">
        <v>52.04</v>
      </c>
      <c r="J623" s="223" t="s">
        <v>1152</v>
      </c>
      <c r="K623" s="319">
        <v>2022.0</v>
      </c>
      <c r="L623" s="218" t="s">
        <v>200</v>
      </c>
    </row>
    <row r="624">
      <c r="A624" s="223" t="s">
        <v>1266</v>
      </c>
      <c r="B624" s="223" t="s">
        <v>1264</v>
      </c>
      <c r="C624" s="223" t="s">
        <v>1267</v>
      </c>
      <c r="D624" s="320">
        <v>44723.0</v>
      </c>
      <c r="I624" s="218">
        <v>50.33</v>
      </c>
      <c r="J624" s="223" t="s">
        <v>1152</v>
      </c>
      <c r="K624" s="319">
        <v>2022.0</v>
      </c>
      <c r="L624" s="218" t="s">
        <v>200</v>
      </c>
    </row>
    <row r="625">
      <c r="A625" s="223" t="s">
        <v>1266</v>
      </c>
      <c r="B625" s="223" t="s">
        <v>1264</v>
      </c>
      <c r="C625" s="223" t="s">
        <v>1267</v>
      </c>
      <c r="D625" s="322">
        <v>44733.0</v>
      </c>
      <c r="I625" s="218">
        <v>374.5</v>
      </c>
      <c r="J625" s="223" t="s">
        <v>1152</v>
      </c>
      <c r="K625" s="319">
        <v>2022.0</v>
      </c>
      <c r="L625" s="218" t="s">
        <v>200</v>
      </c>
    </row>
    <row r="626">
      <c r="A626" s="223" t="s">
        <v>414</v>
      </c>
      <c r="B626" s="223" t="s">
        <v>1345</v>
      </c>
      <c r="C626" s="223" t="s">
        <v>1346</v>
      </c>
      <c r="D626" s="320">
        <v>44712.0</v>
      </c>
      <c r="I626" s="218">
        <v>3082.93</v>
      </c>
      <c r="J626" s="223" t="s">
        <v>1160</v>
      </c>
      <c r="K626" s="319">
        <v>2022.0</v>
      </c>
      <c r="L626" s="218" t="s">
        <v>200</v>
      </c>
    </row>
    <row r="627">
      <c r="A627" s="223" t="s">
        <v>264</v>
      </c>
      <c r="B627" s="223" t="s">
        <v>1178</v>
      </c>
      <c r="C627" s="223" t="s">
        <v>1179</v>
      </c>
      <c r="D627" s="320">
        <v>44712.0</v>
      </c>
      <c r="I627" s="218">
        <v>633.77</v>
      </c>
      <c r="J627" s="223" t="s">
        <v>1160</v>
      </c>
      <c r="K627" s="319">
        <v>2022.0</v>
      </c>
      <c r="L627" s="218" t="s">
        <v>200</v>
      </c>
    </row>
    <row r="628">
      <c r="A628" s="223" t="s">
        <v>99</v>
      </c>
      <c r="B628" s="223" t="s">
        <v>1192</v>
      </c>
      <c r="C628" s="223" t="s">
        <v>1156</v>
      </c>
      <c r="D628" s="320">
        <v>44712.0</v>
      </c>
      <c r="I628" s="218">
        <v>29.92</v>
      </c>
      <c r="J628" s="223" t="s">
        <v>52</v>
      </c>
      <c r="K628" s="319">
        <v>2022.05</v>
      </c>
      <c r="L628" s="218" t="s">
        <v>200</v>
      </c>
    </row>
    <row r="629">
      <c r="A629" s="223" t="s">
        <v>350</v>
      </c>
      <c r="B629" s="223" t="s">
        <v>1333</v>
      </c>
      <c r="C629" s="223" t="s">
        <v>36</v>
      </c>
      <c r="D629" s="320">
        <v>44712.0</v>
      </c>
      <c r="I629" s="218">
        <v>49.26</v>
      </c>
      <c r="J629" s="223" t="s">
        <v>1160</v>
      </c>
      <c r="K629" s="319">
        <v>2022.0</v>
      </c>
      <c r="L629" s="218" t="s">
        <v>200</v>
      </c>
    </row>
    <row r="630">
      <c r="A630" s="223" t="s">
        <v>385</v>
      </c>
      <c r="B630" s="223" t="s">
        <v>1209</v>
      </c>
      <c r="C630" s="223" t="s">
        <v>1343</v>
      </c>
      <c r="D630" s="320">
        <v>44712.0</v>
      </c>
      <c r="I630" s="218">
        <v>593.23</v>
      </c>
      <c r="J630" s="223" t="s">
        <v>1160</v>
      </c>
      <c r="K630" s="319">
        <v>2022.0</v>
      </c>
      <c r="L630" s="218" t="s">
        <v>200</v>
      </c>
    </row>
    <row r="631">
      <c r="A631" s="223" t="s">
        <v>86</v>
      </c>
      <c r="B631" s="223" t="s">
        <v>1235</v>
      </c>
      <c r="C631" s="223" t="s">
        <v>1156</v>
      </c>
      <c r="D631" s="320">
        <v>44712.0</v>
      </c>
      <c r="I631" s="218">
        <v>0.0</v>
      </c>
      <c r="J631" s="223" t="s">
        <v>52</v>
      </c>
      <c r="K631" s="319">
        <v>2022.05</v>
      </c>
      <c r="L631" s="218" t="s">
        <v>200</v>
      </c>
    </row>
    <row r="632">
      <c r="A632" s="223" t="s">
        <v>347</v>
      </c>
      <c r="B632" s="223" t="s">
        <v>1330</v>
      </c>
      <c r="C632" s="223" t="s">
        <v>1331</v>
      </c>
      <c r="D632" s="320">
        <v>44712.0</v>
      </c>
      <c r="I632" s="218">
        <v>2.31</v>
      </c>
      <c r="J632" s="223" t="s">
        <v>1160</v>
      </c>
      <c r="K632" s="319">
        <v>2022.0</v>
      </c>
      <c r="L632" s="218" t="s">
        <v>200</v>
      </c>
    </row>
    <row r="633">
      <c r="A633" s="223" t="s">
        <v>1266</v>
      </c>
      <c r="B633" s="223" t="s">
        <v>1264</v>
      </c>
      <c r="C633" s="223" t="s">
        <v>1267</v>
      </c>
      <c r="D633" s="320">
        <v>44712.0</v>
      </c>
      <c r="I633" s="218">
        <v>400.17</v>
      </c>
      <c r="J633" s="223" t="s">
        <v>1152</v>
      </c>
      <c r="K633" s="319">
        <v>2022.0</v>
      </c>
      <c r="L633" s="218" t="s">
        <v>200</v>
      </c>
    </row>
    <row r="634">
      <c r="A634" s="223" t="s">
        <v>90</v>
      </c>
      <c r="B634" s="223" t="s">
        <v>1282</v>
      </c>
      <c r="C634" s="223" t="s">
        <v>1156</v>
      </c>
      <c r="D634" s="320">
        <v>44712.0</v>
      </c>
      <c r="I634" s="218">
        <v>3.23</v>
      </c>
      <c r="J634" s="223" t="s">
        <v>52</v>
      </c>
      <c r="K634" s="319">
        <v>2022.05</v>
      </c>
      <c r="L634" s="218" t="s">
        <v>200</v>
      </c>
    </row>
    <row r="635">
      <c r="A635" s="223" t="s">
        <v>352</v>
      </c>
      <c r="B635" s="223" t="s">
        <v>1283</v>
      </c>
      <c r="C635" s="223" t="s">
        <v>1334</v>
      </c>
      <c r="D635" s="320">
        <v>44712.0</v>
      </c>
      <c r="I635" s="218">
        <v>8.85</v>
      </c>
      <c r="J635" s="223" t="s">
        <v>1160</v>
      </c>
      <c r="K635" s="319">
        <v>2022.0</v>
      </c>
      <c r="L635" s="218" t="s">
        <v>200</v>
      </c>
    </row>
    <row r="636">
      <c r="A636" s="223" t="s">
        <v>92</v>
      </c>
      <c r="B636" s="223" t="s">
        <v>1289</v>
      </c>
      <c r="C636" s="223" t="s">
        <v>1156</v>
      </c>
      <c r="D636" s="320">
        <v>44712.0</v>
      </c>
      <c r="I636" s="218">
        <v>2.54</v>
      </c>
      <c r="J636" s="223" t="s">
        <v>52</v>
      </c>
      <c r="K636" s="319">
        <v>2022.05</v>
      </c>
      <c r="L636" s="218" t="s">
        <v>200</v>
      </c>
    </row>
    <row r="637">
      <c r="A637" s="223" t="s">
        <v>1290</v>
      </c>
      <c r="B637" s="223" t="s">
        <v>1291</v>
      </c>
      <c r="C637" s="223" t="s">
        <v>1249</v>
      </c>
      <c r="D637" s="320">
        <v>44712.0</v>
      </c>
      <c r="I637" s="218">
        <v>8.73</v>
      </c>
      <c r="J637" s="223" t="s">
        <v>1152</v>
      </c>
      <c r="K637" s="319">
        <v>2022.0</v>
      </c>
      <c r="L637" s="218" t="s">
        <v>200</v>
      </c>
    </row>
    <row r="638">
      <c r="A638" s="223" t="s">
        <v>123</v>
      </c>
      <c r="B638" s="223" t="s">
        <v>1300</v>
      </c>
      <c r="C638" s="223" t="s">
        <v>1156</v>
      </c>
      <c r="D638" s="320">
        <v>44712.0</v>
      </c>
      <c r="I638" s="218">
        <v>27.99</v>
      </c>
      <c r="J638" s="223" t="s">
        <v>52</v>
      </c>
      <c r="K638" s="319">
        <v>2022.05</v>
      </c>
      <c r="L638" s="218" t="s">
        <v>200</v>
      </c>
    </row>
    <row r="639">
      <c r="A639" s="223" t="s">
        <v>373</v>
      </c>
      <c r="B639" s="223" t="s">
        <v>1342</v>
      </c>
      <c r="C639" s="223" t="s">
        <v>1341</v>
      </c>
      <c r="D639" s="320">
        <v>44712.0</v>
      </c>
      <c r="I639" s="218">
        <v>46.61</v>
      </c>
      <c r="J639" s="223" t="s">
        <v>1160</v>
      </c>
      <c r="K639" s="319">
        <v>2022.0</v>
      </c>
      <c r="L639" s="218" t="s">
        <v>200</v>
      </c>
    </row>
    <row r="640">
      <c r="A640" s="223" t="s">
        <v>279</v>
      </c>
      <c r="B640" s="223" t="s">
        <v>1305</v>
      </c>
      <c r="C640" s="223" t="s">
        <v>1306</v>
      </c>
      <c r="D640" s="320">
        <v>44703.0</v>
      </c>
      <c r="I640" s="218">
        <v>500.0</v>
      </c>
      <c r="J640" s="223" t="s">
        <v>1160</v>
      </c>
      <c r="K640" s="319">
        <v>2022.0</v>
      </c>
      <c r="L640" s="218">
        <v>500.0</v>
      </c>
    </row>
    <row r="641">
      <c r="A641" s="223" t="s">
        <v>118</v>
      </c>
      <c r="B641" s="223" t="s">
        <v>1312</v>
      </c>
      <c r="C641" s="223" t="s">
        <v>1156</v>
      </c>
      <c r="D641" s="320">
        <v>44703.0</v>
      </c>
      <c r="I641" s="218">
        <v>750.0</v>
      </c>
      <c r="J641" s="223" t="s">
        <v>52</v>
      </c>
      <c r="K641" s="319">
        <v>2022.05</v>
      </c>
      <c r="L641" s="218">
        <v>750.0</v>
      </c>
    </row>
    <row r="642">
      <c r="A642" s="223" t="s">
        <v>1271</v>
      </c>
      <c r="B642" s="223" t="s">
        <v>1264</v>
      </c>
      <c r="C642" s="223" t="s">
        <v>1272</v>
      </c>
      <c r="D642" s="320">
        <v>44695.0</v>
      </c>
      <c r="I642" s="218">
        <v>73.42</v>
      </c>
      <c r="J642" s="223" t="s">
        <v>1152</v>
      </c>
      <c r="K642" s="319">
        <v>2022.0</v>
      </c>
      <c r="L642" s="218" t="s">
        <v>200</v>
      </c>
    </row>
    <row r="643">
      <c r="A643" s="223" t="s">
        <v>92</v>
      </c>
      <c r="B643" s="223" t="s">
        <v>1289</v>
      </c>
      <c r="C643" s="223" t="s">
        <v>1156</v>
      </c>
      <c r="D643" s="320">
        <v>44706.0</v>
      </c>
      <c r="I643" s="218">
        <v>50.15</v>
      </c>
      <c r="J643" s="223" t="s">
        <v>52</v>
      </c>
      <c r="K643" s="319">
        <v>2022.05</v>
      </c>
      <c r="L643" s="218">
        <v>50.15</v>
      </c>
    </row>
    <row r="644">
      <c r="A644" s="223" t="s">
        <v>115</v>
      </c>
      <c r="B644" s="223" t="s">
        <v>1308</v>
      </c>
      <c r="C644" s="223" t="s">
        <v>1156</v>
      </c>
      <c r="D644" s="320">
        <v>44711.0</v>
      </c>
      <c r="I644" s="218">
        <v>750.0</v>
      </c>
      <c r="J644" s="223" t="s">
        <v>52</v>
      </c>
      <c r="K644" s="319">
        <v>2022.05</v>
      </c>
      <c r="L644" s="218">
        <v>750.0</v>
      </c>
    </row>
    <row r="645">
      <c r="A645" s="223" t="s">
        <v>115</v>
      </c>
      <c r="B645" s="223" t="s">
        <v>1308</v>
      </c>
      <c r="C645" s="223" t="s">
        <v>1156</v>
      </c>
      <c r="D645" s="320">
        <v>44714.0</v>
      </c>
      <c r="I645" s="218">
        <v>42.32</v>
      </c>
      <c r="J645" s="223" t="s">
        <v>52</v>
      </c>
      <c r="K645" s="319">
        <v>2022.06</v>
      </c>
      <c r="L645" s="218">
        <v>42.32</v>
      </c>
    </row>
    <row r="646">
      <c r="A646" s="223" t="s">
        <v>1271</v>
      </c>
      <c r="B646" s="223" t="s">
        <v>1264</v>
      </c>
      <c r="C646" s="223" t="s">
        <v>1272</v>
      </c>
      <c r="D646" s="320">
        <v>44705.0</v>
      </c>
      <c r="I646" s="218">
        <v>38.81</v>
      </c>
      <c r="J646" s="223" t="s">
        <v>1152</v>
      </c>
      <c r="K646" s="319">
        <v>2022.0</v>
      </c>
      <c r="L646" s="218" t="s">
        <v>200</v>
      </c>
    </row>
    <row r="647">
      <c r="A647" s="223" t="s">
        <v>118</v>
      </c>
      <c r="B647" s="223" t="s">
        <v>1312</v>
      </c>
      <c r="C647" s="223" t="s">
        <v>1156</v>
      </c>
      <c r="D647" s="320">
        <v>44715.0</v>
      </c>
      <c r="I647" s="218">
        <v>334.65</v>
      </c>
      <c r="J647" s="223" t="s">
        <v>52</v>
      </c>
      <c r="K647" s="319">
        <v>2022.06</v>
      </c>
      <c r="L647" s="218">
        <v>334.65</v>
      </c>
    </row>
    <row r="648">
      <c r="A648" s="223" t="s">
        <v>279</v>
      </c>
      <c r="B648" s="223" t="s">
        <v>1305</v>
      </c>
      <c r="C648" s="223" t="s">
        <v>1306</v>
      </c>
      <c r="D648" s="320">
        <v>44715.0</v>
      </c>
      <c r="I648" s="218">
        <v>260.35</v>
      </c>
      <c r="J648" s="223" t="s">
        <v>1160</v>
      </c>
      <c r="K648" s="319">
        <v>2022.0</v>
      </c>
      <c r="L648" s="218">
        <v>260.35</v>
      </c>
    </row>
    <row r="649">
      <c r="A649" s="223" t="s">
        <v>102</v>
      </c>
      <c r="B649" s="223" t="s">
        <v>1259</v>
      </c>
      <c r="C649" s="223" t="s">
        <v>1156</v>
      </c>
      <c r="D649" s="320">
        <v>44742.0</v>
      </c>
      <c r="I649" s="218">
        <v>150.0</v>
      </c>
      <c r="J649" s="223" t="s">
        <v>52</v>
      </c>
      <c r="K649" s="319">
        <v>2022.06</v>
      </c>
      <c r="L649" s="218" t="s">
        <v>200</v>
      </c>
    </row>
    <row r="650">
      <c r="A650" s="223" t="s">
        <v>42</v>
      </c>
      <c r="B650" s="223" t="s">
        <v>1236</v>
      </c>
      <c r="C650" s="223" t="s">
        <v>1156</v>
      </c>
      <c r="D650" s="320">
        <v>44742.0</v>
      </c>
      <c r="I650" s="218">
        <v>350.0</v>
      </c>
      <c r="J650" s="223" t="s">
        <v>52</v>
      </c>
      <c r="K650" s="319">
        <v>2022.06</v>
      </c>
      <c r="L650" s="218" t="s">
        <v>200</v>
      </c>
    </row>
    <row r="651">
      <c r="A651" s="223" t="s">
        <v>92</v>
      </c>
      <c r="B651" s="223" t="s">
        <v>1289</v>
      </c>
      <c r="C651" s="223" t="s">
        <v>1156</v>
      </c>
      <c r="D651" s="320">
        <v>44742.0</v>
      </c>
      <c r="I651" s="218">
        <v>212.5</v>
      </c>
      <c r="J651" s="223" t="s">
        <v>52</v>
      </c>
      <c r="K651" s="319">
        <v>2022.06</v>
      </c>
      <c r="L651" s="218" t="s">
        <v>200</v>
      </c>
    </row>
    <row r="652">
      <c r="A652" s="223" t="s">
        <v>54</v>
      </c>
      <c r="B652" s="223" t="s">
        <v>1187</v>
      </c>
      <c r="C652" s="223" t="s">
        <v>1156</v>
      </c>
      <c r="D652" s="320">
        <v>44742.0</v>
      </c>
      <c r="I652" s="218">
        <v>175.0</v>
      </c>
      <c r="J652" s="223" t="s">
        <v>52</v>
      </c>
      <c r="K652" s="319">
        <v>2022.06</v>
      </c>
      <c r="L652" s="218" t="s">
        <v>200</v>
      </c>
    </row>
    <row r="653">
      <c r="A653" s="223" t="s">
        <v>82</v>
      </c>
      <c r="B653" s="223" t="s">
        <v>1124</v>
      </c>
      <c r="C653" s="223" t="s">
        <v>1156</v>
      </c>
      <c r="D653" s="320">
        <v>44742.0</v>
      </c>
      <c r="I653" s="218">
        <v>225.0</v>
      </c>
      <c r="J653" s="223" t="s">
        <v>52</v>
      </c>
      <c r="K653" s="319">
        <v>2022.06</v>
      </c>
      <c r="L653" s="218" t="s">
        <v>200</v>
      </c>
    </row>
    <row r="654">
      <c r="A654" s="223" t="s">
        <v>279</v>
      </c>
      <c r="B654" s="223" t="s">
        <v>1305</v>
      </c>
      <c r="C654" s="223" t="s">
        <v>1306</v>
      </c>
      <c r="D654" s="320">
        <v>44742.0</v>
      </c>
      <c r="I654" s="218">
        <v>125.0</v>
      </c>
      <c r="J654" s="223" t="s">
        <v>1160</v>
      </c>
      <c r="K654" s="319">
        <v>2022.0</v>
      </c>
      <c r="L654" s="218" t="s">
        <v>200</v>
      </c>
    </row>
    <row r="655">
      <c r="A655" s="223" t="s">
        <v>68</v>
      </c>
      <c r="B655" s="223" t="s">
        <v>1178</v>
      </c>
      <c r="C655" s="223" t="s">
        <v>1156</v>
      </c>
      <c r="D655" s="320">
        <v>44742.0</v>
      </c>
      <c r="I655" s="218">
        <v>237.5</v>
      </c>
      <c r="J655" s="223" t="s">
        <v>52</v>
      </c>
      <c r="K655" s="319">
        <v>2022.06</v>
      </c>
      <c r="L655" s="218" t="s">
        <v>200</v>
      </c>
    </row>
    <row r="656">
      <c r="A656" s="223" t="s">
        <v>427</v>
      </c>
      <c r="B656" s="223" t="s">
        <v>1216</v>
      </c>
      <c r="C656" s="223" t="s">
        <v>1355</v>
      </c>
      <c r="D656" s="320">
        <v>44742.0</v>
      </c>
      <c r="I656" s="218">
        <v>175.0</v>
      </c>
      <c r="J656" s="223" t="s">
        <v>1160</v>
      </c>
      <c r="K656" s="319">
        <v>2022.0</v>
      </c>
      <c r="L656" s="218" t="s">
        <v>200</v>
      </c>
    </row>
    <row r="657">
      <c r="A657" s="223" t="s">
        <v>66</v>
      </c>
      <c r="B657" s="223" t="s">
        <v>1324</v>
      </c>
      <c r="C657" s="223" t="s">
        <v>1156</v>
      </c>
      <c r="D657" s="320">
        <v>44742.0</v>
      </c>
      <c r="I657" s="218">
        <v>312.5</v>
      </c>
      <c r="J657" s="223" t="s">
        <v>52</v>
      </c>
      <c r="K657" s="319">
        <v>2022.06</v>
      </c>
      <c r="L657" s="218" t="s">
        <v>200</v>
      </c>
    </row>
    <row r="658">
      <c r="A658" s="223" t="s">
        <v>97</v>
      </c>
      <c r="B658" s="223" t="s">
        <v>1286</v>
      </c>
      <c r="C658" s="223" t="s">
        <v>1156</v>
      </c>
      <c r="D658" s="320">
        <v>44742.0</v>
      </c>
      <c r="I658" s="218">
        <v>125.0</v>
      </c>
      <c r="J658" s="223" t="s">
        <v>52</v>
      </c>
      <c r="K658" s="319">
        <v>2022.06</v>
      </c>
      <c r="L658" s="218" t="s">
        <v>200</v>
      </c>
    </row>
    <row r="659">
      <c r="A659" s="223" t="s">
        <v>147</v>
      </c>
      <c r="B659" s="223" t="s">
        <v>1194</v>
      </c>
      <c r="C659" s="223" t="s">
        <v>1156</v>
      </c>
      <c r="D659" s="320">
        <v>44742.0</v>
      </c>
      <c r="I659" s="218">
        <v>200.0</v>
      </c>
      <c r="J659" s="223" t="s">
        <v>52</v>
      </c>
      <c r="K659" s="319">
        <v>2022.06</v>
      </c>
      <c r="L659" s="218" t="s">
        <v>200</v>
      </c>
    </row>
    <row r="660">
      <c r="A660" s="223" t="s">
        <v>88</v>
      </c>
      <c r="B660" s="223" t="s">
        <v>1256</v>
      </c>
      <c r="C660" s="223" t="s">
        <v>1156</v>
      </c>
      <c r="D660" s="320">
        <v>44742.0</v>
      </c>
      <c r="I660" s="218">
        <v>212.5</v>
      </c>
      <c r="J660" s="223" t="s">
        <v>52</v>
      </c>
      <c r="K660" s="319">
        <v>2022.06</v>
      </c>
      <c r="L660" s="218" t="s">
        <v>200</v>
      </c>
    </row>
    <row r="661">
      <c r="A661" s="223" t="s">
        <v>73</v>
      </c>
      <c r="B661" s="223" t="s">
        <v>1327</v>
      </c>
      <c r="C661" s="223" t="s">
        <v>1156</v>
      </c>
      <c r="D661" s="320">
        <v>44742.0</v>
      </c>
      <c r="I661" s="218">
        <v>250.0</v>
      </c>
      <c r="J661" s="223" t="s">
        <v>52</v>
      </c>
      <c r="K661" s="319">
        <v>2022.06</v>
      </c>
      <c r="L661" s="218" t="s">
        <v>200</v>
      </c>
    </row>
    <row r="662">
      <c r="A662" s="223" t="s">
        <v>223</v>
      </c>
      <c r="B662" s="223" t="s">
        <v>1176</v>
      </c>
      <c r="C662" s="223" t="s">
        <v>1156</v>
      </c>
      <c r="D662" s="320">
        <v>44742.0</v>
      </c>
      <c r="I662" s="218">
        <v>500.0</v>
      </c>
      <c r="J662" s="223" t="s">
        <v>52</v>
      </c>
      <c r="K662" s="319">
        <v>2022.06</v>
      </c>
      <c r="L662" s="218" t="s">
        <v>200</v>
      </c>
    </row>
    <row r="663">
      <c r="A663" s="223" t="s">
        <v>50</v>
      </c>
      <c r="B663" s="223" t="s">
        <v>1275</v>
      </c>
      <c r="C663" s="223" t="s">
        <v>1156</v>
      </c>
      <c r="D663" s="320">
        <v>44742.0</v>
      </c>
      <c r="I663" s="218">
        <v>137.5</v>
      </c>
      <c r="J663" s="223" t="s">
        <v>52</v>
      </c>
      <c r="K663" s="319">
        <v>2022.06</v>
      </c>
      <c r="L663" s="218" t="s">
        <v>200</v>
      </c>
    </row>
    <row r="664">
      <c r="A664" s="223" t="s">
        <v>151</v>
      </c>
      <c r="B664" s="223" t="s">
        <v>1262</v>
      </c>
      <c r="C664" s="223" t="s">
        <v>1156</v>
      </c>
      <c r="D664" s="320">
        <v>44742.0</v>
      </c>
      <c r="I664" s="218">
        <v>250.0</v>
      </c>
      <c r="J664" s="223" t="s">
        <v>52</v>
      </c>
      <c r="K664" s="319">
        <v>2022.06</v>
      </c>
      <c r="L664" s="218" t="s">
        <v>200</v>
      </c>
    </row>
    <row r="665">
      <c r="A665" s="223" t="s">
        <v>147</v>
      </c>
      <c r="B665" s="223" t="s">
        <v>1194</v>
      </c>
      <c r="C665" s="223" t="s">
        <v>1156</v>
      </c>
      <c r="D665" s="320">
        <v>44742.0</v>
      </c>
      <c r="I665" s="218">
        <v>75.0</v>
      </c>
      <c r="J665" s="223" t="s">
        <v>52</v>
      </c>
      <c r="K665" s="319">
        <v>2022.06</v>
      </c>
      <c r="L665" s="218" t="s">
        <v>200</v>
      </c>
    </row>
    <row r="666">
      <c r="A666" s="223" t="s">
        <v>92</v>
      </c>
      <c r="B666" s="223" t="s">
        <v>1289</v>
      </c>
      <c r="C666" s="223" t="s">
        <v>1156</v>
      </c>
      <c r="D666" s="320">
        <v>44742.0</v>
      </c>
      <c r="I666" s="218">
        <v>575.0</v>
      </c>
      <c r="J666" s="223" t="s">
        <v>52</v>
      </c>
      <c r="K666" s="319">
        <v>2022.06</v>
      </c>
      <c r="L666" s="218" t="s">
        <v>200</v>
      </c>
    </row>
    <row r="667">
      <c r="A667" s="223" t="s">
        <v>88</v>
      </c>
      <c r="B667" s="223" t="s">
        <v>1256</v>
      </c>
      <c r="C667" s="223" t="s">
        <v>1156</v>
      </c>
      <c r="D667" s="320">
        <v>44742.0</v>
      </c>
      <c r="I667" s="218">
        <v>45.0</v>
      </c>
      <c r="J667" s="223" t="s">
        <v>52</v>
      </c>
      <c r="K667" s="319">
        <v>2022.06</v>
      </c>
      <c r="L667" s="218" t="s">
        <v>200</v>
      </c>
    </row>
    <row r="668">
      <c r="A668" s="223" t="s">
        <v>151</v>
      </c>
      <c r="B668" s="223" t="s">
        <v>1262</v>
      </c>
      <c r="C668" s="223" t="s">
        <v>1156</v>
      </c>
      <c r="D668" s="320">
        <v>44742.0</v>
      </c>
      <c r="I668" s="218">
        <v>60.0</v>
      </c>
      <c r="J668" s="223" t="s">
        <v>52</v>
      </c>
      <c r="K668" s="319">
        <v>2022.06</v>
      </c>
      <c r="L668" s="218" t="s">
        <v>200</v>
      </c>
    </row>
    <row r="669">
      <c r="A669" s="223" t="s">
        <v>112</v>
      </c>
      <c r="B669" s="223" t="s">
        <v>1296</v>
      </c>
      <c r="C669" s="223" t="s">
        <v>2309</v>
      </c>
      <c r="D669" s="320">
        <v>44742.0</v>
      </c>
      <c r="I669" s="218">
        <v>420.0</v>
      </c>
      <c r="J669" s="223" t="s">
        <v>52</v>
      </c>
      <c r="K669" s="319">
        <v>2022.06</v>
      </c>
      <c r="L669" s="218" t="s">
        <v>200</v>
      </c>
    </row>
    <row r="670">
      <c r="A670" s="223" t="s">
        <v>86</v>
      </c>
      <c r="B670" s="223" t="s">
        <v>1235</v>
      </c>
      <c r="C670" s="223" t="s">
        <v>1156</v>
      </c>
      <c r="D670" s="320">
        <v>44742.0</v>
      </c>
      <c r="I670" s="218">
        <v>70.0</v>
      </c>
      <c r="J670" s="223" t="s">
        <v>52</v>
      </c>
      <c r="K670" s="319">
        <v>2022.06</v>
      </c>
      <c r="L670" s="218" t="s">
        <v>200</v>
      </c>
    </row>
    <row r="671">
      <c r="A671" s="223" t="s">
        <v>97</v>
      </c>
      <c r="B671" s="223" t="s">
        <v>1286</v>
      </c>
      <c r="C671" s="223" t="s">
        <v>1156</v>
      </c>
      <c r="D671" s="320">
        <v>44742.0</v>
      </c>
      <c r="I671" s="218">
        <v>30.0</v>
      </c>
      <c r="J671" s="223" t="s">
        <v>52</v>
      </c>
      <c r="K671" s="319">
        <v>2022.06</v>
      </c>
      <c r="L671" s="218" t="s">
        <v>200</v>
      </c>
    </row>
    <row r="672">
      <c r="A672" s="223" t="s">
        <v>82</v>
      </c>
      <c r="B672" s="223" t="s">
        <v>1124</v>
      </c>
      <c r="C672" s="223" t="s">
        <v>1156</v>
      </c>
      <c r="D672" s="320">
        <v>44742.0</v>
      </c>
      <c r="I672" s="218">
        <v>75.0</v>
      </c>
      <c r="J672" s="223" t="s">
        <v>52</v>
      </c>
      <c r="K672" s="319">
        <v>2022.06</v>
      </c>
      <c r="L672" s="218" t="s">
        <v>200</v>
      </c>
    </row>
    <row r="673">
      <c r="A673" s="223" t="s">
        <v>99</v>
      </c>
      <c r="B673" s="223" t="s">
        <v>1192</v>
      </c>
      <c r="C673" s="223" t="s">
        <v>1156</v>
      </c>
      <c r="D673" s="320">
        <v>44742.0</v>
      </c>
      <c r="I673" s="218">
        <v>407.5</v>
      </c>
      <c r="J673" s="223" t="s">
        <v>52</v>
      </c>
      <c r="K673" s="319">
        <v>2022.06</v>
      </c>
      <c r="L673" s="218" t="s">
        <v>200</v>
      </c>
    </row>
    <row r="674">
      <c r="A674" s="223" t="s">
        <v>68</v>
      </c>
      <c r="B674" s="223" t="s">
        <v>1178</v>
      </c>
      <c r="C674" s="223" t="s">
        <v>1156</v>
      </c>
      <c r="D674" s="320">
        <v>44742.0</v>
      </c>
      <c r="I674" s="218">
        <v>60.0</v>
      </c>
      <c r="J674" s="223" t="s">
        <v>52</v>
      </c>
      <c r="K674" s="319">
        <v>2022.06</v>
      </c>
      <c r="L674" s="218" t="s">
        <v>200</v>
      </c>
    </row>
    <row r="675">
      <c r="A675" s="223" t="s">
        <v>42</v>
      </c>
      <c r="B675" s="223" t="s">
        <v>1236</v>
      </c>
      <c r="C675" s="223" t="s">
        <v>1156</v>
      </c>
      <c r="D675" s="320">
        <v>44742.0</v>
      </c>
      <c r="I675" s="218">
        <v>197.5</v>
      </c>
      <c r="J675" s="223" t="s">
        <v>52</v>
      </c>
      <c r="K675" s="319">
        <v>2022.06</v>
      </c>
      <c r="L675" s="218" t="s">
        <v>200</v>
      </c>
    </row>
    <row r="676">
      <c r="A676" s="223" t="s">
        <v>58</v>
      </c>
      <c r="B676" s="223" t="s">
        <v>1197</v>
      </c>
      <c r="C676" s="223" t="s">
        <v>1156</v>
      </c>
      <c r="D676" s="320">
        <v>44742.0</v>
      </c>
      <c r="I676" s="218">
        <v>400.0</v>
      </c>
      <c r="J676" s="223" t="s">
        <v>52</v>
      </c>
      <c r="K676" s="319">
        <v>2022.06</v>
      </c>
      <c r="L676" s="218" t="s">
        <v>200</v>
      </c>
    </row>
    <row r="677">
      <c r="A677" s="223" t="s">
        <v>123</v>
      </c>
      <c r="B677" s="223" t="s">
        <v>1300</v>
      </c>
      <c r="C677" s="223" t="s">
        <v>1156</v>
      </c>
      <c r="D677" s="320">
        <v>44742.0</v>
      </c>
      <c r="I677" s="218">
        <v>300.0</v>
      </c>
      <c r="J677" s="223" t="s">
        <v>52</v>
      </c>
      <c r="K677" s="319">
        <v>2022.06</v>
      </c>
      <c r="L677" s="218" t="s">
        <v>200</v>
      </c>
    </row>
    <row r="678">
      <c r="A678" s="223" t="s">
        <v>73</v>
      </c>
      <c r="B678" s="223" t="s">
        <v>1327</v>
      </c>
      <c r="C678" s="223" t="s">
        <v>1156</v>
      </c>
      <c r="D678" s="320">
        <v>44742.0</v>
      </c>
      <c r="I678" s="218">
        <v>60.0</v>
      </c>
      <c r="J678" s="223" t="s">
        <v>52</v>
      </c>
      <c r="K678" s="319">
        <v>2022.06</v>
      </c>
      <c r="L678" s="218" t="s">
        <v>200</v>
      </c>
    </row>
    <row r="679">
      <c r="A679" s="223" t="s">
        <v>50</v>
      </c>
      <c r="B679" s="223" t="s">
        <v>1275</v>
      </c>
      <c r="C679" s="223" t="s">
        <v>1156</v>
      </c>
      <c r="D679" s="320">
        <v>44742.0</v>
      </c>
      <c r="I679" s="218">
        <v>30.0</v>
      </c>
      <c r="J679" s="223" t="s">
        <v>52</v>
      </c>
      <c r="K679" s="319">
        <v>2022.06</v>
      </c>
      <c r="L679" s="218" t="s">
        <v>200</v>
      </c>
    </row>
    <row r="680">
      <c r="A680" s="223" t="s">
        <v>62</v>
      </c>
      <c r="B680" s="223" t="s">
        <v>1304</v>
      </c>
      <c r="C680" s="223" t="s">
        <v>1156</v>
      </c>
      <c r="D680" s="320">
        <v>44742.0</v>
      </c>
      <c r="I680" s="218">
        <v>300.0</v>
      </c>
      <c r="J680" s="223" t="s">
        <v>52</v>
      </c>
      <c r="K680" s="319">
        <v>2022.06</v>
      </c>
      <c r="L680" s="218" t="s">
        <v>200</v>
      </c>
    </row>
    <row r="681">
      <c r="A681" s="223" t="s">
        <v>223</v>
      </c>
      <c r="B681" s="223" t="s">
        <v>1176</v>
      </c>
      <c r="C681" s="223" t="s">
        <v>1156</v>
      </c>
      <c r="D681" s="320">
        <v>44742.0</v>
      </c>
      <c r="I681" s="218">
        <v>75.0</v>
      </c>
      <c r="J681" s="223" t="s">
        <v>52</v>
      </c>
      <c r="K681" s="319">
        <v>2022.06</v>
      </c>
      <c r="L681" s="218" t="s">
        <v>200</v>
      </c>
    </row>
    <row r="682">
      <c r="A682" s="223" t="s">
        <v>225</v>
      </c>
      <c r="B682" s="223" t="s">
        <v>1257</v>
      </c>
      <c r="C682" s="223" t="s">
        <v>1156</v>
      </c>
      <c r="D682" s="320">
        <v>44742.0</v>
      </c>
      <c r="I682" s="218">
        <v>1860.0</v>
      </c>
      <c r="J682" s="223" t="s">
        <v>52</v>
      </c>
      <c r="K682" s="319">
        <v>2022.06</v>
      </c>
      <c r="L682" s="218" t="s">
        <v>200</v>
      </c>
    </row>
    <row r="683">
      <c r="A683" s="223" t="s">
        <v>66</v>
      </c>
      <c r="B683" s="223" t="s">
        <v>1324</v>
      </c>
      <c r="C683" s="223" t="s">
        <v>1156</v>
      </c>
      <c r="D683" s="320">
        <v>44742.0</v>
      </c>
      <c r="I683" s="218">
        <v>60.0</v>
      </c>
      <c r="J683" s="223" t="s">
        <v>52</v>
      </c>
      <c r="K683" s="319">
        <v>2022.06</v>
      </c>
      <c r="L683" s="218" t="s">
        <v>200</v>
      </c>
    </row>
    <row r="684">
      <c r="A684" s="223" t="s">
        <v>279</v>
      </c>
      <c r="B684" s="223" t="s">
        <v>1305</v>
      </c>
      <c r="C684" s="223" t="s">
        <v>1306</v>
      </c>
      <c r="D684" s="320">
        <v>44742.0</v>
      </c>
      <c r="I684" s="218">
        <v>30.0</v>
      </c>
      <c r="J684" s="223" t="s">
        <v>1160</v>
      </c>
      <c r="K684" s="319">
        <v>2022.0</v>
      </c>
      <c r="L684" s="218" t="s">
        <v>200</v>
      </c>
    </row>
    <row r="685">
      <c r="A685" s="223" t="s">
        <v>354</v>
      </c>
      <c r="B685" s="223" t="s">
        <v>1309</v>
      </c>
      <c r="C685" s="223" t="s">
        <v>1336</v>
      </c>
      <c r="D685" s="320">
        <v>44742.0</v>
      </c>
      <c r="I685" s="218">
        <v>650.0</v>
      </c>
      <c r="J685" s="223" t="s">
        <v>52</v>
      </c>
      <c r="K685" s="319">
        <v>2022.06</v>
      </c>
      <c r="L685" s="218" t="s">
        <v>200</v>
      </c>
    </row>
    <row r="686">
      <c r="A686" s="223" t="s">
        <v>427</v>
      </c>
      <c r="B686" s="223" t="s">
        <v>1216</v>
      </c>
      <c r="C686" s="223" t="s">
        <v>1355</v>
      </c>
      <c r="D686" s="320">
        <v>44742.0</v>
      </c>
      <c r="I686" s="218">
        <v>45.0</v>
      </c>
      <c r="J686" s="223" t="s">
        <v>1160</v>
      </c>
      <c r="K686" s="319">
        <v>2022.0</v>
      </c>
      <c r="L686" s="218" t="s">
        <v>200</v>
      </c>
    </row>
    <row r="687">
      <c r="A687" s="223" t="s">
        <v>451</v>
      </c>
      <c r="B687" s="223" t="s">
        <v>1363</v>
      </c>
      <c r="C687" s="223" t="s">
        <v>1364</v>
      </c>
      <c r="D687" s="320">
        <v>44742.0</v>
      </c>
      <c r="I687" s="218">
        <v>725.0</v>
      </c>
      <c r="J687" s="223" t="s">
        <v>1160</v>
      </c>
      <c r="K687" s="319">
        <v>2022.0</v>
      </c>
      <c r="L687" s="218" t="s">
        <v>200</v>
      </c>
    </row>
    <row r="688">
      <c r="A688" s="223" t="s">
        <v>115</v>
      </c>
      <c r="B688" s="223" t="s">
        <v>1308</v>
      </c>
      <c r="C688" s="223" t="s">
        <v>1156</v>
      </c>
      <c r="D688" s="320">
        <v>44742.0</v>
      </c>
      <c r="I688" s="218">
        <v>662.5</v>
      </c>
      <c r="J688" s="223" t="s">
        <v>52</v>
      </c>
      <c r="K688" s="319">
        <v>2022.06</v>
      </c>
      <c r="L688" s="218" t="s">
        <v>200</v>
      </c>
    </row>
    <row r="689">
      <c r="A689" s="223" t="s">
        <v>118</v>
      </c>
      <c r="B689" s="223" t="s">
        <v>1312</v>
      </c>
      <c r="C689" s="223" t="s">
        <v>1156</v>
      </c>
      <c r="D689" s="320">
        <v>44742.0</v>
      </c>
      <c r="I689" s="218">
        <v>662.5</v>
      </c>
      <c r="J689" s="223" t="s">
        <v>52</v>
      </c>
      <c r="K689" s="319">
        <v>2022.06</v>
      </c>
      <c r="L689" s="218" t="s">
        <v>200</v>
      </c>
    </row>
    <row r="690">
      <c r="A690" s="223" t="s">
        <v>92</v>
      </c>
      <c r="B690" s="223" t="s">
        <v>1289</v>
      </c>
      <c r="C690" s="223" t="s">
        <v>1156</v>
      </c>
      <c r="D690" s="320">
        <v>44742.0</v>
      </c>
      <c r="I690" s="218">
        <v>350.0</v>
      </c>
      <c r="J690" s="223" t="s">
        <v>52</v>
      </c>
      <c r="K690" s="319">
        <v>2022.06</v>
      </c>
      <c r="L690" s="218" t="s">
        <v>200</v>
      </c>
    </row>
    <row r="691">
      <c r="A691" s="223" t="s">
        <v>84</v>
      </c>
      <c r="B691" s="223" t="s">
        <v>1227</v>
      </c>
      <c r="C691" s="223" t="s">
        <v>1156</v>
      </c>
      <c r="D691" s="320">
        <v>44742.0</v>
      </c>
      <c r="I691" s="218">
        <v>475.0</v>
      </c>
      <c r="J691" s="223" t="s">
        <v>52</v>
      </c>
      <c r="K691" s="319">
        <v>2022.06</v>
      </c>
      <c r="L691" s="218" t="s">
        <v>200</v>
      </c>
    </row>
    <row r="692">
      <c r="A692" s="223" t="s">
        <v>123</v>
      </c>
      <c r="B692" s="223" t="s">
        <v>1300</v>
      </c>
      <c r="C692" s="223" t="s">
        <v>1156</v>
      </c>
      <c r="D692" s="320">
        <v>44742.0</v>
      </c>
      <c r="I692" s="218">
        <v>1067.5</v>
      </c>
      <c r="J692" s="223" t="s">
        <v>52</v>
      </c>
      <c r="K692" s="319">
        <v>2022.06</v>
      </c>
      <c r="L692" s="218" t="s">
        <v>200</v>
      </c>
    </row>
    <row r="693">
      <c r="A693" s="223" t="s">
        <v>62</v>
      </c>
      <c r="B693" s="223" t="s">
        <v>1304</v>
      </c>
      <c r="C693" s="223" t="s">
        <v>1156</v>
      </c>
      <c r="D693" s="320">
        <v>44742.0</v>
      </c>
      <c r="I693" s="218">
        <v>450.0</v>
      </c>
      <c r="J693" s="223" t="s">
        <v>52</v>
      </c>
      <c r="K693" s="319">
        <v>2022.06</v>
      </c>
      <c r="L693" s="218" t="s">
        <v>200</v>
      </c>
    </row>
    <row r="694">
      <c r="A694" s="223" t="s">
        <v>54</v>
      </c>
      <c r="B694" s="223" t="s">
        <v>1187</v>
      </c>
      <c r="C694" s="223" t="s">
        <v>1156</v>
      </c>
      <c r="D694" s="320">
        <v>44742.0</v>
      </c>
      <c r="I694" s="218">
        <v>162.5</v>
      </c>
      <c r="J694" s="223" t="s">
        <v>52</v>
      </c>
      <c r="K694" s="319">
        <v>2022.06</v>
      </c>
      <c r="L694" s="218" t="s">
        <v>200</v>
      </c>
    </row>
    <row r="695">
      <c r="A695" s="223" t="s">
        <v>58</v>
      </c>
      <c r="B695" s="223" t="s">
        <v>1197</v>
      </c>
      <c r="C695" s="223" t="s">
        <v>1156</v>
      </c>
      <c r="D695" s="320">
        <v>44742.0</v>
      </c>
      <c r="I695" s="218">
        <v>275.0</v>
      </c>
      <c r="J695" s="223" t="s">
        <v>52</v>
      </c>
      <c r="K695" s="319">
        <v>2022.06</v>
      </c>
      <c r="L695" s="218" t="s">
        <v>200</v>
      </c>
    </row>
    <row r="696">
      <c r="A696" s="223" t="s">
        <v>120</v>
      </c>
      <c r="B696" s="223" t="s">
        <v>1215</v>
      </c>
      <c r="C696" s="223" t="s">
        <v>1156</v>
      </c>
      <c r="D696" s="320">
        <v>44742.0</v>
      </c>
      <c r="I696" s="218">
        <v>550.0</v>
      </c>
      <c r="J696" s="223" t="s">
        <v>52</v>
      </c>
      <c r="K696" s="319">
        <v>2022.06</v>
      </c>
      <c r="L696" s="218" t="s">
        <v>200</v>
      </c>
    </row>
    <row r="697">
      <c r="A697" s="223" t="s">
        <v>156</v>
      </c>
      <c r="B697" s="223" t="s">
        <v>1293</v>
      </c>
      <c r="C697" s="223" t="s">
        <v>1156</v>
      </c>
      <c r="D697" s="320">
        <v>44742.0</v>
      </c>
      <c r="I697" s="218">
        <v>175.0</v>
      </c>
      <c r="J697" s="223" t="s">
        <v>52</v>
      </c>
      <c r="K697" s="319">
        <v>2022.06</v>
      </c>
      <c r="L697" s="218" t="s">
        <v>200</v>
      </c>
    </row>
    <row r="698">
      <c r="A698" s="223" t="s">
        <v>420</v>
      </c>
      <c r="B698" s="223" t="s">
        <v>1352</v>
      </c>
      <c r="C698" s="223" t="s">
        <v>1353</v>
      </c>
      <c r="D698" s="320">
        <v>44742.0</v>
      </c>
      <c r="I698" s="218">
        <v>300.0</v>
      </c>
      <c r="J698" s="223" t="s">
        <v>1160</v>
      </c>
      <c r="K698" s="319">
        <v>2022.0</v>
      </c>
      <c r="L698" s="218" t="s">
        <v>200</v>
      </c>
    </row>
    <row r="699">
      <c r="A699" s="223" t="s">
        <v>82</v>
      </c>
      <c r="B699" s="223" t="s">
        <v>1124</v>
      </c>
      <c r="C699" s="223" t="s">
        <v>1156</v>
      </c>
      <c r="D699" s="320">
        <v>44742.0</v>
      </c>
      <c r="I699" s="218">
        <v>500.0</v>
      </c>
      <c r="J699" s="223" t="s">
        <v>52</v>
      </c>
      <c r="K699" s="319">
        <v>2022.06</v>
      </c>
      <c r="L699" s="218" t="s">
        <v>200</v>
      </c>
    </row>
    <row r="700">
      <c r="A700" s="223" t="s">
        <v>90</v>
      </c>
      <c r="B700" s="223" t="s">
        <v>1282</v>
      </c>
      <c r="C700" s="223" t="s">
        <v>1156</v>
      </c>
      <c r="D700" s="320">
        <v>44742.0</v>
      </c>
      <c r="I700" s="218">
        <v>30.0</v>
      </c>
      <c r="J700" s="223" t="s">
        <v>52</v>
      </c>
      <c r="K700" s="319">
        <v>2022.06</v>
      </c>
      <c r="L700" s="218" t="s">
        <v>200</v>
      </c>
    </row>
    <row r="701">
      <c r="A701" s="223" t="s">
        <v>1266</v>
      </c>
      <c r="B701" s="223" t="s">
        <v>1264</v>
      </c>
      <c r="C701" s="223" t="s">
        <v>1267</v>
      </c>
      <c r="D701" s="320">
        <v>44742.0</v>
      </c>
      <c r="I701" s="218">
        <v>90.0</v>
      </c>
      <c r="J701" s="223" t="s">
        <v>1152</v>
      </c>
      <c r="K701" s="319">
        <v>2022.0</v>
      </c>
      <c r="L701" s="218" t="s">
        <v>200</v>
      </c>
    </row>
    <row r="702">
      <c r="A702" s="223" t="s">
        <v>75</v>
      </c>
      <c r="B702" s="223" t="s">
        <v>1279</v>
      </c>
      <c r="C702" s="223" t="s">
        <v>1156</v>
      </c>
      <c r="D702" s="320">
        <v>44742.0</v>
      </c>
      <c r="I702" s="218">
        <v>187.5</v>
      </c>
      <c r="J702" s="223" t="s">
        <v>52</v>
      </c>
      <c r="K702" s="319">
        <v>2022.06</v>
      </c>
      <c r="L702" s="218" t="s">
        <v>200</v>
      </c>
    </row>
    <row r="703">
      <c r="A703" s="223" t="s">
        <v>465</v>
      </c>
      <c r="B703" s="223" t="s">
        <v>1357</v>
      </c>
      <c r="C703" s="223" t="s">
        <v>524</v>
      </c>
      <c r="D703" s="320">
        <v>44742.0</v>
      </c>
      <c r="I703" s="218">
        <v>150.0</v>
      </c>
      <c r="J703" s="223" t="s">
        <v>1992</v>
      </c>
      <c r="K703" s="319">
        <v>2022.0</v>
      </c>
      <c r="L703" s="218" t="s">
        <v>200</v>
      </c>
    </row>
    <row r="704">
      <c r="A704" s="223" t="s">
        <v>470</v>
      </c>
      <c r="B704" s="223" t="s">
        <v>1368</v>
      </c>
      <c r="C704" s="223" t="s">
        <v>1369</v>
      </c>
      <c r="D704" s="320">
        <v>44742.0</v>
      </c>
      <c r="I704" s="218">
        <v>250.0</v>
      </c>
      <c r="J704" s="223" t="s">
        <v>1160</v>
      </c>
      <c r="K704" s="319">
        <v>2022.0</v>
      </c>
      <c r="L704" s="218" t="s">
        <v>200</v>
      </c>
    </row>
    <row r="705">
      <c r="A705" s="223" t="s">
        <v>99</v>
      </c>
      <c r="B705" s="223" t="s">
        <v>1192</v>
      </c>
      <c r="C705" s="223" t="s">
        <v>1156</v>
      </c>
      <c r="D705" s="320">
        <v>44742.0</v>
      </c>
      <c r="I705" s="218">
        <v>200.0</v>
      </c>
      <c r="J705" s="223" t="s">
        <v>52</v>
      </c>
      <c r="K705" s="319">
        <v>2022.06</v>
      </c>
      <c r="L705" s="218" t="s">
        <v>200</v>
      </c>
    </row>
    <row r="706">
      <c r="A706" s="223" t="s">
        <v>42</v>
      </c>
      <c r="B706" s="223" t="s">
        <v>1236</v>
      </c>
      <c r="C706" s="223" t="s">
        <v>1156</v>
      </c>
      <c r="D706" s="320">
        <v>44742.0</v>
      </c>
      <c r="I706" s="218">
        <v>150.0</v>
      </c>
      <c r="J706" s="223" t="s">
        <v>52</v>
      </c>
      <c r="K706" s="319">
        <v>2022.06</v>
      </c>
      <c r="L706" s="218" t="s">
        <v>200</v>
      </c>
    </row>
    <row r="707">
      <c r="A707" s="223" t="s">
        <v>1271</v>
      </c>
      <c r="B707" s="223" t="s">
        <v>1264</v>
      </c>
      <c r="C707" s="223" t="s">
        <v>1272</v>
      </c>
      <c r="D707" s="320">
        <v>44766.0</v>
      </c>
      <c r="I707" s="218">
        <v>66.14</v>
      </c>
      <c r="J707" s="223" t="s">
        <v>1152</v>
      </c>
      <c r="K707" s="319">
        <v>2022.0</v>
      </c>
      <c r="L707" s="218" t="s">
        <v>200</v>
      </c>
    </row>
    <row r="708">
      <c r="A708" s="223" t="s">
        <v>1271</v>
      </c>
      <c r="B708" s="223" t="s">
        <v>1264</v>
      </c>
      <c r="C708" s="223" t="s">
        <v>1272</v>
      </c>
      <c r="D708" s="320">
        <v>44766.0</v>
      </c>
      <c r="I708" s="218">
        <v>63.73</v>
      </c>
      <c r="J708" s="223" t="s">
        <v>1152</v>
      </c>
      <c r="K708" s="319">
        <v>2022.0</v>
      </c>
      <c r="L708" s="218" t="s">
        <v>200</v>
      </c>
    </row>
    <row r="709">
      <c r="A709" s="223" t="s">
        <v>1271</v>
      </c>
      <c r="B709" s="223" t="s">
        <v>1264</v>
      </c>
      <c r="C709" s="223" t="s">
        <v>1272</v>
      </c>
      <c r="D709" s="320">
        <v>44766.0</v>
      </c>
      <c r="I709" s="218">
        <v>14.26</v>
      </c>
      <c r="J709" s="223" t="s">
        <v>1152</v>
      </c>
      <c r="K709" s="319">
        <v>2022.0</v>
      </c>
      <c r="L709" s="218" t="s">
        <v>200</v>
      </c>
    </row>
    <row r="710">
      <c r="A710" s="223" t="s">
        <v>1271</v>
      </c>
      <c r="B710" s="223" t="s">
        <v>1264</v>
      </c>
      <c r="C710" s="223" t="s">
        <v>1272</v>
      </c>
      <c r="D710" s="320">
        <v>44766.0</v>
      </c>
      <c r="I710" s="218">
        <v>52.71</v>
      </c>
      <c r="J710" s="223" t="s">
        <v>1152</v>
      </c>
      <c r="K710" s="319">
        <v>2022.0</v>
      </c>
      <c r="L710" s="218" t="s">
        <v>200</v>
      </c>
    </row>
    <row r="711">
      <c r="A711" s="223" t="s">
        <v>1271</v>
      </c>
      <c r="B711" s="223" t="s">
        <v>1264</v>
      </c>
      <c r="C711" s="223" t="s">
        <v>1272</v>
      </c>
      <c r="D711" s="320">
        <v>44766.0</v>
      </c>
      <c r="I711" s="218">
        <v>136.5</v>
      </c>
      <c r="J711" s="223" t="s">
        <v>1152</v>
      </c>
      <c r="K711" s="319">
        <v>2022.0</v>
      </c>
      <c r="L711" s="218" t="s">
        <v>200</v>
      </c>
    </row>
    <row r="712">
      <c r="A712" s="223" t="s">
        <v>414</v>
      </c>
      <c r="B712" s="223" t="s">
        <v>1345</v>
      </c>
      <c r="C712" s="223" t="s">
        <v>1346</v>
      </c>
      <c r="D712" s="320">
        <v>44742.0</v>
      </c>
      <c r="I712" s="218">
        <v>1287.19</v>
      </c>
      <c r="J712" s="223" t="s">
        <v>1160</v>
      </c>
      <c r="K712" s="319">
        <v>2022.0</v>
      </c>
      <c r="L712" s="218" t="s">
        <v>200</v>
      </c>
    </row>
    <row r="713">
      <c r="A713" s="223" t="s">
        <v>264</v>
      </c>
      <c r="B713" s="223" t="s">
        <v>1178</v>
      </c>
      <c r="C713" s="223" t="s">
        <v>1179</v>
      </c>
      <c r="D713" s="320">
        <v>44742.0</v>
      </c>
      <c r="I713" s="218">
        <v>58.16</v>
      </c>
      <c r="J713" s="223" t="s">
        <v>1160</v>
      </c>
      <c r="K713" s="319">
        <v>2022.0</v>
      </c>
      <c r="L713" s="218" t="s">
        <v>200</v>
      </c>
    </row>
    <row r="714">
      <c r="A714" s="223" t="s">
        <v>99</v>
      </c>
      <c r="B714" s="223" t="s">
        <v>1192</v>
      </c>
      <c r="C714" s="223" t="s">
        <v>1156</v>
      </c>
      <c r="D714" s="320">
        <v>44742.0</v>
      </c>
      <c r="I714" s="218">
        <v>60.59</v>
      </c>
      <c r="J714" s="223" t="s">
        <v>52</v>
      </c>
      <c r="K714" s="319">
        <v>2022.06</v>
      </c>
      <c r="L714" s="218" t="s">
        <v>200</v>
      </c>
    </row>
    <row r="715">
      <c r="A715" s="223" t="s">
        <v>1266</v>
      </c>
      <c r="B715" s="223" t="s">
        <v>1264</v>
      </c>
      <c r="C715" s="223" t="s">
        <v>1267</v>
      </c>
      <c r="D715" s="320">
        <v>44742.0</v>
      </c>
      <c r="I715" s="218">
        <v>284.35</v>
      </c>
      <c r="J715" s="223" t="s">
        <v>1152</v>
      </c>
      <c r="K715" s="319">
        <v>2022.0</v>
      </c>
      <c r="L715" s="218" t="s">
        <v>200</v>
      </c>
    </row>
    <row r="716">
      <c r="A716" s="223" t="s">
        <v>1263</v>
      </c>
      <c r="B716" s="223" t="s">
        <v>1264</v>
      </c>
      <c r="C716" s="223" t="s">
        <v>1265</v>
      </c>
      <c r="D716" s="320">
        <v>44742.0</v>
      </c>
      <c r="I716" s="218">
        <v>44.56</v>
      </c>
      <c r="J716" s="223" t="s">
        <v>1152</v>
      </c>
      <c r="K716" s="319">
        <v>2022.0</v>
      </c>
      <c r="L716" s="218" t="s">
        <v>200</v>
      </c>
    </row>
    <row r="717">
      <c r="A717" s="223" t="s">
        <v>58</v>
      </c>
      <c r="B717" s="223" t="s">
        <v>1197</v>
      </c>
      <c r="C717" s="223" t="s">
        <v>1156</v>
      </c>
      <c r="D717" s="320">
        <v>44742.0</v>
      </c>
      <c r="I717" s="218">
        <v>1.57</v>
      </c>
      <c r="J717" s="223" t="s">
        <v>52</v>
      </c>
      <c r="K717" s="319">
        <v>2022.06</v>
      </c>
      <c r="L717" s="218" t="s">
        <v>200</v>
      </c>
    </row>
    <row r="718">
      <c r="A718" s="223" t="s">
        <v>120</v>
      </c>
      <c r="B718" s="223" t="s">
        <v>1215</v>
      </c>
      <c r="C718" s="223" t="s">
        <v>1156</v>
      </c>
      <c r="D718" s="320">
        <v>44742.0</v>
      </c>
      <c r="I718" s="218">
        <v>34.89</v>
      </c>
      <c r="J718" s="223" t="s">
        <v>52</v>
      </c>
      <c r="K718" s="319">
        <v>2022.06</v>
      </c>
      <c r="L718" s="218" t="s">
        <v>200</v>
      </c>
    </row>
    <row r="719">
      <c r="A719" s="223" t="s">
        <v>499</v>
      </c>
      <c r="B719" s="223" t="s">
        <v>1330</v>
      </c>
      <c r="C719" s="223" t="s">
        <v>1375</v>
      </c>
      <c r="D719" s="320">
        <v>44742.0</v>
      </c>
      <c r="I719" s="218">
        <v>79.59</v>
      </c>
      <c r="J719" s="223" t="s">
        <v>52</v>
      </c>
      <c r="K719" s="319">
        <v>2022.06</v>
      </c>
      <c r="L719" s="218" t="s">
        <v>200</v>
      </c>
    </row>
    <row r="720">
      <c r="A720" s="223" t="s">
        <v>354</v>
      </c>
      <c r="B720" s="223" t="s">
        <v>1309</v>
      </c>
      <c r="C720" s="223" t="s">
        <v>1336</v>
      </c>
      <c r="D720" s="320">
        <v>44742.0</v>
      </c>
      <c r="I720" s="218">
        <v>15.89</v>
      </c>
      <c r="J720" s="223" t="s">
        <v>52</v>
      </c>
      <c r="K720" s="319">
        <v>2022.06</v>
      </c>
      <c r="L720" s="218" t="s">
        <v>200</v>
      </c>
    </row>
    <row r="721">
      <c r="A721" s="223" t="s">
        <v>476</v>
      </c>
      <c r="B721" s="223" t="s">
        <v>1371</v>
      </c>
      <c r="C721" s="223" t="s">
        <v>1372</v>
      </c>
      <c r="D721" s="320">
        <v>44742.0</v>
      </c>
      <c r="I721" s="218">
        <v>642.82</v>
      </c>
      <c r="J721" s="223" t="s">
        <v>1160</v>
      </c>
      <c r="K721" s="319">
        <v>2022.0</v>
      </c>
      <c r="L721" s="218" t="s">
        <v>200</v>
      </c>
    </row>
    <row r="722">
      <c r="A722" s="223" t="s">
        <v>92</v>
      </c>
      <c r="B722" s="223" t="s">
        <v>1289</v>
      </c>
      <c r="C722" s="223" t="s">
        <v>1156</v>
      </c>
      <c r="D722" s="320">
        <v>44742.0</v>
      </c>
      <c r="I722" s="218">
        <v>0.02</v>
      </c>
      <c r="J722" s="223" t="s">
        <v>52</v>
      </c>
      <c r="K722" s="319">
        <v>2022.06</v>
      </c>
      <c r="L722" s="218" t="s">
        <v>200</v>
      </c>
    </row>
    <row r="723">
      <c r="A723" s="223" t="s">
        <v>156</v>
      </c>
      <c r="B723" s="223" t="s">
        <v>1293</v>
      </c>
      <c r="C723" s="223" t="s">
        <v>1156</v>
      </c>
      <c r="D723" s="320">
        <v>44742.0</v>
      </c>
      <c r="I723" s="218">
        <v>15.81</v>
      </c>
      <c r="J723" s="223" t="s">
        <v>52</v>
      </c>
      <c r="K723" s="319">
        <v>2022.06</v>
      </c>
      <c r="L723" s="218" t="s">
        <v>200</v>
      </c>
    </row>
    <row r="724">
      <c r="A724" s="223" t="s">
        <v>420</v>
      </c>
      <c r="B724" s="223" t="s">
        <v>1352</v>
      </c>
      <c r="C724" s="223" t="s">
        <v>1353</v>
      </c>
      <c r="D724" s="320">
        <v>44742.0</v>
      </c>
      <c r="I724" s="218">
        <v>53.29</v>
      </c>
      <c r="J724" s="223" t="s">
        <v>1160</v>
      </c>
      <c r="K724" s="319">
        <v>2022.0</v>
      </c>
      <c r="L724" s="218" t="s">
        <v>200</v>
      </c>
    </row>
    <row r="725">
      <c r="A725" s="223" t="s">
        <v>115</v>
      </c>
      <c r="B725" s="223" t="s">
        <v>1308</v>
      </c>
      <c r="C725" s="223" t="s">
        <v>1156</v>
      </c>
      <c r="D725" s="320">
        <v>44742.0</v>
      </c>
      <c r="I725" s="218">
        <v>5.46</v>
      </c>
      <c r="J725" s="223" t="s">
        <v>52</v>
      </c>
      <c r="K725" s="319">
        <v>2022.06</v>
      </c>
      <c r="L725" s="218" t="s">
        <v>200</v>
      </c>
    </row>
    <row r="726">
      <c r="A726" s="223" t="s">
        <v>373</v>
      </c>
      <c r="B726" s="223" t="s">
        <v>1342</v>
      </c>
      <c r="C726" s="223" t="s">
        <v>1341</v>
      </c>
      <c r="D726" s="320">
        <v>44742.0</v>
      </c>
      <c r="I726" s="218">
        <v>132.53</v>
      </c>
      <c r="J726" s="223" t="s">
        <v>1160</v>
      </c>
      <c r="K726" s="319">
        <v>2022.0</v>
      </c>
      <c r="L726" s="218" t="s">
        <v>200</v>
      </c>
    </row>
    <row r="727">
      <c r="A727" s="223" t="s">
        <v>118</v>
      </c>
      <c r="B727" s="223" t="s">
        <v>1312</v>
      </c>
      <c r="C727" s="223" t="s">
        <v>1156</v>
      </c>
      <c r="D727" s="320">
        <v>44733.0</v>
      </c>
      <c r="I727" s="218">
        <v>750.0</v>
      </c>
      <c r="J727" s="223" t="s">
        <v>52</v>
      </c>
      <c r="K727" s="319">
        <v>2022.06</v>
      </c>
      <c r="L727" s="218">
        <v>750.0</v>
      </c>
    </row>
    <row r="728">
      <c r="A728" s="223" t="s">
        <v>279</v>
      </c>
      <c r="B728" s="223" t="s">
        <v>1305</v>
      </c>
      <c r="C728" s="223" t="s">
        <v>1306</v>
      </c>
      <c r="D728" s="320">
        <v>44736.0</v>
      </c>
      <c r="I728" s="218">
        <v>750.0</v>
      </c>
      <c r="J728" s="223" t="s">
        <v>1160</v>
      </c>
      <c r="K728" s="319">
        <v>2022.0</v>
      </c>
      <c r="L728" s="218">
        <v>750.0</v>
      </c>
    </row>
    <row r="729">
      <c r="A729" s="223" t="s">
        <v>115</v>
      </c>
      <c r="B729" s="223" t="s">
        <v>1308</v>
      </c>
      <c r="C729" s="223" t="s">
        <v>1156</v>
      </c>
      <c r="D729" s="320">
        <v>44741.0</v>
      </c>
      <c r="I729" s="218">
        <v>750.0</v>
      </c>
      <c r="J729" s="223" t="s">
        <v>52</v>
      </c>
      <c r="K729" s="319">
        <v>2022.06</v>
      </c>
      <c r="L729" s="218">
        <v>750.0</v>
      </c>
    </row>
    <row r="730">
      <c r="A730" s="223" t="s">
        <v>115</v>
      </c>
      <c r="B730" s="223" t="s">
        <v>1308</v>
      </c>
      <c r="C730" s="223" t="s">
        <v>1156</v>
      </c>
      <c r="D730" s="320">
        <v>44743.0</v>
      </c>
      <c r="I730" s="218">
        <v>76.13</v>
      </c>
      <c r="J730" s="223" t="s">
        <v>52</v>
      </c>
      <c r="K730" s="319">
        <v>2022.07</v>
      </c>
      <c r="L730" s="218">
        <v>76.13</v>
      </c>
    </row>
    <row r="731">
      <c r="A731" s="223" t="s">
        <v>279</v>
      </c>
      <c r="B731" s="223" t="s">
        <v>1305</v>
      </c>
      <c r="C731" s="223" t="s">
        <v>1306</v>
      </c>
      <c r="D731" s="320">
        <v>44743.0</v>
      </c>
      <c r="I731" s="218">
        <v>231.36</v>
      </c>
      <c r="J731" s="223" t="s">
        <v>1160</v>
      </c>
      <c r="K731" s="319">
        <v>2022.0</v>
      </c>
      <c r="L731" s="218">
        <v>231.36</v>
      </c>
    </row>
    <row r="732">
      <c r="A732" s="223" t="s">
        <v>118</v>
      </c>
      <c r="B732" s="223" t="s">
        <v>1312</v>
      </c>
      <c r="C732" s="223" t="s">
        <v>1156</v>
      </c>
      <c r="D732" s="320">
        <v>44743.0</v>
      </c>
      <c r="I732" s="218">
        <v>304.36</v>
      </c>
      <c r="J732" s="223" t="s">
        <v>52</v>
      </c>
      <c r="K732" s="319">
        <v>2022.07</v>
      </c>
      <c r="L732" s="218">
        <v>304.36</v>
      </c>
    </row>
    <row r="733">
      <c r="A733" s="223" t="s">
        <v>92</v>
      </c>
      <c r="B733" s="223" t="s">
        <v>1289</v>
      </c>
      <c r="C733" s="223" t="s">
        <v>1156</v>
      </c>
      <c r="D733" s="320">
        <v>44743.0</v>
      </c>
      <c r="I733" s="218">
        <v>20.54</v>
      </c>
      <c r="J733" s="223" t="s">
        <v>52</v>
      </c>
      <c r="K733" s="319">
        <v>2022.07</v>
      </c>
      <c r="L733" s="218">
        <v>20.54</v>
      </c>
    </row>
    <row r="734">
      <c r="A734" s="223" t="s">
        <v>82</v>
      </c>
      <c r="B734" s="223" t="s">
        <v>1124</v>
      </c>
      <c r="C734" s="223" t="s">
        <v>1156</v>
      </c>
      <c r="D734" s="320">
        <v>44773.0</v>
      </c>
      <c r="I734" s="218">
        <v>225.0</v>
      </c>
      <c r="J734" s="223" t="s">
        <v>52</v>
      </c>
      <c r="K734" s="319">
        <v>2022.07</v>
      </c>
      <c r="L734" s="218" t="s">
        <v>200</v>
      </c>
    </row>
    <row r="735">
      <c r="A735" s="223" t="s">
        <v>279</v>
      </c>
      <c r="B735" s="223" t="s">
        <v>1305</v>
      </c>
      <c r="C735" s="223" t="s">
        <v>1306</v>
      </c>
      <c r="D735" s="320">
        <v>44773.0</v>
      </c>
      <c r="I735" s="218">
        <v>125.0</v>
      </c>
      <c r="J735" s="223" t="s">
        <v>1160</v>
      </c>
      <c r="K735" s="319">
        <v>2022.0</v>
      </c>
      <c r="L735" s="218" t="s">
        <v>200</v>
      </c>
    </row>
    <row r="736">
      <c r="A736" s="223" t="s">
        <v>68</v>
      </c>
      <c r="B736" s="223" t="s">
        <v>1178</v>
      </c>
      <c r="C736" s="223" t="s">
        <v>1156</v>
      </c>
      <c r="D736" s="320">
        <v>44773.0</v>
      </c>
      <c r="I736" s="218">
        <v>237.5</v>
      </c>
      <c r="J736" s="223" t="s">
        <v>52</v>
      </c>
      <c r="K736" s="319">
        <v>2022.07</v>
      </c>
      <c r="L736" s="218" t="s">
        <v>200</v>
      </c>
    </row>
    <row r="737">
      <c r="A737" s="223" t="s">
        <v>427</v>
      </c>
      <c r="B737" s="223" t="s">
        <v>1216</v>
      </c>
      <c r="C737" s="223" t="s">
        <v>1355</v>
      </c>
      <c r="D737" s="320">
        <v>44773.0</v>
      </c>
      <c r="I737" s="218">
        <v>175.0</v>
      </c>
      <c r="J737" s="223" t="s">
        <v>1160</v>
      </c>
      <c r="K737" s="319">
        <v>2022.0</v>
      </c>
      <c r="L737" s="218" t="s">
        <v>200</v>
      </c>
    </row>
    <row r="738">
      <c r="A738" s="223" t="s">
        <v>1266</v>
      </c>
      <c r="B738" s="223" t="s">
        <v>1264</v>
      </c>
      <c r="C738" s="223" t="s">
        <v>1267</v>
      </c>
      <c r="D738" s="320">
        <v>44773.0</v>
      </c>
      <c r="I738" s="218">
        <v>16.5</v>
      </c>
      <c r="J738" s="223" t="s">
        <v>1152</v>
      </c>
      <c r="K738" s="319">
        <v>2022.0</v>
      </c>
      <c r="L738" s="218" t="s">
        <v>200</v>
      </c>
    </row>
    <row r="739">
      <c r="A739" s="223" t="s">
        <v>66</v>
      </c>
      <c r="B739" s="223" t="s">
        <v>1324</v>
      </c>
      <c r="C739" s="223" t="s">
        <v>1156</v>
      </c>
      <c r="D739" s="320">
        <v>44773.0</v>
      </c>
      <c r="I739" s="218">
        <v>312.5</v>
      </c>
      <c r="J739" s="223" t="s">
        <v>52</v>
      </c>
      <c r="K739" s="319">
        <v>2022.07</v>
      </c>
      <c r="L739" s="218" t="s">
        <v>200</v>
      </c>
    </row>
    <row r="740">
      <c r="A740" s="223" t="s">
        <v>97</v>
      </c>
      <c r="B740" s="223" t="s">
        <v>1286</v>
      </c>
      <c r="C740" s="223" t="s">
        <v>1156</v>
      </c>
      <c r="D740" s="320">
        <v>44773.0</v>
      </c>
      <c r="I740" s="218">
        <v>125.0</v>
      </c>
      <c r="J740" s="223" t="s">
        <v>52</v>
      </c>
      <c r="K740" s="319">
        <v>2022.07</v>
      </c>
      <c r="L740" s="218" t="s">
        <v>200</v>
      </c>
    </row>
    <row r="741">
      <c r="A741" s="223" t="s">
        <v>147</v>
      </c>
      <c r="B741" s="223" t="s">
        <v>1194</v>
      </c>
      <c r="C741" s="223" t="s">
        <v>1156</v>
      </c>
      <c r="D741" s="320">
        <v>44773.0</v>
      </c>
      <c r="I741" s="218">
        <v>200.0</v>
      </c>
      <c r="J741" s="223" t="s">
        <v>52</v>
      </c>
      <c r="K741" s="319">
        <v>2022.07</v>
      </c>
      <c r="L741" s="218" t="s">
        <v>200</v>
      </c>
    </row>
    <row r="742">
      <c r="A742" s="223" t="s">
        <v>88</v>
      </c>
      <c r="B742" s="223" t="s">
        <v>1256</v>
      </c>
      <c r="C742" s="223" t="s">
        <v>1156</v>
      </c>
      <c r="D742" s="320">
        <v>44773.0</v>
      </c>
      <c r="I742" s="218">
        <v>212.5</v>
      </c>
      <c r="J742" s="223" t="s">
        <v>52</v>
      </c>
      <c r="K742" s="319">
        <v>2022.07</v>
      </c>
      <c r="L742" s="218" t="s">
        <v>200</v>
      </c>
    </row>
    <row r="743">
      <c r="A743" s="223" t="s">
        <v>73</v>
      </c>
      <c r="B743" s="223" t="s">
        <v>1327</v>
      </c>
      <c r="C743" s="223" t="s">
        <v>1156</v>
      </c>
      <c r="D743" s="320">
        <v>44773.0</v>
      </c>
      <c r="I743" s="218">
        <v>262.5</v>
      </c>
      <c r="J743" s="223" t="s">
        <v>52</v>
      </c>
      <c r="K743" s="319">
        <v>2022.07</v>
      </c>
      <c r="L743" s="218" t="s">
        <v>200</v>
      </c>
    </row>
    <row r="744">
      <c r="A744" s="223" t="s">
        <v>223</v>
      </c>
      <c r="B744" s="223" t="s">
        <v>1176</v>
      </c>
      <c r="C744" s="223" t="s">
        <v>1156</v>
      </c>
      <c r="D744" s="320">
        <v>44773.0</v>
      </c>
      <c r="I744" s="218">
        <v>500.0</v>
      </c>
      <c r="J744" s="223" t="s">
        <v>52</v>
      </c>
      <c r="K744" s="319">
        <v>2022.07</v>
      </c>
      <c r="L744" s="218" t="s">
        <v>200</v>
      </c>
    </row>
    <row r="745">
      <c r="A745" s="223" t="s">
        <v>50</v>
      </c>
      <c r="B745" s="223" t="s">
        <v>1275</v>
      </c>
      <c r="C745" s="223" t="s">
        <v>1156</v>
      </c>
      <c r="D745" s="320">
        <v>44773.0</v>
      </c>
      <c r="I745" s="218">
        <v>137.5</v>
      </c>
      <c r="J745" s="223" t="s">
        <v>52</v>
      </c>
      <c r="K745" s="319">
        <v>2022.07</v>
      </c>
      <c r="L745" s="218" t="s">
        <v>200</v>
      </c>
    </row>
    <row r="746">
      <c r="A746" s="223" t="s">
        <v>54</v>
      </c>
      <c r="B746" s="223" t="s">
        <v>1187</v>
      </c>
      <c r="C746" s="223" t="s">
        <v>1156</v>
      </c>
      <c r="D746" s="320">
        <v>44773.0</v>
      </c>
      <c r="I746" s="218">
        <v>162.5</v>
      </c>
      <c r="J746" s="223" t="s">
        <v>52</v>
      </c>
      <c r="K746" s="319">
        <v>2022.07</v>
      </c>
      <c r="L746" s="218" t="s">
        <v>200</v>
      </c>
    </row>
    <row r="747">
      <c r="A747" s="223" t="s">
        <v>58</v>
      </c>
      <c r="B747" s="223" t="s">
        <v>1197</v>
      </c>
      <c r="C747" s="223" t="s">
        <v>1156</v>
      </c>
      <c r="D747" s="320">
        <v>44773.0</v>
      </c>
      <c r="I747" s="218">
        <v>450.0</v>
      </c>
      <c r="J747" s="223" t="s">
        <v>52</v>
      </c>
      <c r="K747" s="319">
        <v>2022.07</v>
      </c>
      <c r="L747" s="218" t="s">
        <v>200</v>
      </c>
    </row>
    <row r="748">
      <c r="A748" s="223" t="s">
        <v>470</v>
      </c>
      <c r="B748" s="223" t="s">
        <v>1368</v>
      </c>
      <c r="C748" s="223" t="s">
        <v>1369</v>
      </c>
      <c r="D748" s="320">
        <v>44773.0</v>
      </c>
      <c r="I748" s="218">
        <v>387.5</v>
      </c>
      <c r="J748" s="223" t="s">
        <v>1160</v>
      </c>
      <c r="K748" s="319">
        <v>2022.0</v>
      </c>
      <c r="L748" s="218" t="s">
        <v>200</v>
      </c>
    </row>
    <row r="749">
      <c r="A749" s="223" t="s">
        <v>90</v>
      </c>
      <c r="B749" s="223" t="s">
        <v>1282</v>
      </c>
      <c r="C749" s="223" t="s">
        <v>1156</v>
      </c>
      <c r="D749" s="320">
        <v>44773.0</v>
      </c>
      <c r="I749" s="218">
        <v>350.0</v>
      </c>
      <c r="J749" s="223" t="s">
        <v>52</v>
      </c>
      <c r="K749" s="319">
        <v>2022.07</v>
      </c>
      <c r="L749" s="218" t="s">
        <v>200</v>
      </c>
    </row>
    <row r="750">
      <c r="A750" s="223" t="s">
        <v>2070</v>
      </c>
      <c r="B750" s="223" t="s">
        <v>2316</v>
      </c>
      <c r="C750" s="223" t="s">
        <v>1384</v>
      </c>
      <c r="D750" s="320">
        <v>44773.0</v>
      </c>
      <c r="I750" s="218">
        <v>1250.0</v>
      </c>
      <c r="J750" s="223" t="s">
        <v>1992</v>
      </c>
      <c r="K750" s="319">
        <v>2022.0</v>
      </c>
      <c r="L750" s="218" t="s">
        <v>200</v>
      </c>
    </row>
    <row r="751">
      <c r="A751" s="223" t="s">
        <v>499</v>
      </c>
      <c r="B751" s="223" t="s">
        <v>1330</v>
      </c>
      <c r="C751" s="223" t="s">
        <v>1375</v>
      </c>
      <c r="D751" s="320">
        <v>44773.0</v>
      </c>
      <c r="I751" s="218">
        <v>125.0</v>
      </c>
      <c r="J751" s="223" t="s">
        <v>52</v>
      </c>
      <c r="K751" s="319">
        <v>2022.07</v>
      </c>
      <c r="L751" s="218" t="s">
        <v>200</v>
      </c>
    </row>
    <row r="752">
      <c r="A752" s="223" t="s">
        <v>1266</v>
      </c>
      <c r="B752" s="223" t="s">
        <v>1264</v>
      </c>
      <c r="C752" s="223" t="s">
        <v>1267</v>
      </c>
      <c r="D752" s="320">
        <v>44773.0</v>
      </c>
      <c r="I752" s="218">
        <v>90.0</v>
      </c>
      <c r="J752" s="223" t="s">
        <v>1152</v>
      </c>
      <c r="K752" s="319">
        <v>2022.0</v>
      </c>
      <c r="L752" s="218" t="s">
        <v>200</v>
      </c>
    </row>
    <row r="753">
      <c r="A753" s="223" t="s">
        <v>42</v>
      </c>
      <c r="B753" s="223" t="s">
        <v>1236</v>
      </c>
      <c r="C753" s="223" t="s">
        <v>1156</v>
      </c>
      <c r="D753" s="320">
        <v>44773.0</v>
      </c>
      <c r="I753" s="218">
        <v>350.0</v>
      </c>
      <c r="J753" s="223" t="s">
        <v>52</v>
      </c>
      <c r="K753" s="319">
        <v>2022.07</v>
      </c>
      <c r="L753" s="218" t="s">
        <v>200</v>
      </c>
    </row>
    <row r="754">
      <c r="A754" s="223" t="s">
        <v>92</v>
      </c>
      <c r="B754" s="223" t="s">
        <v>1289</v>
      </c>
      <c r="C754" s="223" t="s">
        <v>1156</v>
      </c>
      <c r="D754" s="320">
        <v>44773.0</v>
      </c>
      <c r="I754" s="218">
        <v>212.5</v>
      </c>
      <c r="J754" s="223" t="s">
        <v>52</v>
      </c>
      <c r="K754" s="319">
        <v>2022.07</v>
      </c>
      <c r="L754" s="218" t="s">
        <v>200</v>
      </c>
    </row>
    <row r="755">
      <c r="A755" s="223" t="s">
        <v>54</v>
      </c>
      <c r="B755" s="223" t="s">
        <v>1187</v>
      </c>
      <c r="C755" s="223" t="s">
        <v>1156</v>
      </c>
      <c r="D755" s="320">
        <v>44773.0</v>
      </c>
      <c r="I755" s="218">
        <v>175.0</v>
      </c>
      <c r="J755" s="223" t="s">
        <v>52</v>
      </c>
      <c r="K755" s="319">
        <v>2022.07</v>
      </c>
      <c r="L755" s="218" t="s">
        <v>200</v>
      </c>
    </row>
    <row r="756">
      <c r="A756" s="223" t="s">
        <v>147</v>
      </c>
      <c r="B756" s="223" t="s">
        <v>1194</v>
      </c>
      <c r="C756" s="223" t="s">
        <v>1156</v>
      </c>
      <c r="D756" s="320">
        <v>44773.0</v>
      </c>
      <c r="I756" s="218">
        <v>75.0</v>
      </c>
      <c r="J756" s="223" t="s">
        <v>52</v>
      </c>
      <c r="K756" s="319">
        <v>2022.07</v>
      </c>
      <c r="L756" s="218" t="s">
        <v>200</v>
      </c>
    </row>
    <row r="757">
      <c r="A757" s="223" t="s">
        <v>92</v>
      </c>
      <c r="B757" s="223" t="s">
        <v>1289</v>
      </c>
      <c r="C757" s="223" t="s">
        <v>1156</v>
      </c>
      <c r="D757" s="320">
        <v>44773.0</v>
      </c>
      <c r="I757" s="218">
        <v>575.0</v>
      </c>
      <c r="J757" s="223" t="s">
        <v>52</v>
      </c>
      <c r="K757" s="319">
        <v>2022.07</v>
      </c>
      <c r="L757" s="218" t="s">
        <v>200</v>
      </c>
    </row>
    <row r="758">
      <c r="A758" s="223" t="s">
        <v>88</v>
      </c>
      <c r="B758" s="223" t="s">
        <v>1256</v>
      </c>
      <c r="C758" s="223" t="s">
        <v>1156</v>
      </c>
      <c r="D758" s="320">
        <v>44773.0</v>
      </c>
      <c r="I758" s="218">
        <v>45.0</v>
      </c>
      <c r="J758" s="223" t="s">
        <v>52</v>
      </c>
      <c r="K758" s="319">
        <v>2022.07</v>
      </c>
      <c r="L758" s="218" t="s">
        <v>200</v>
      </c>
    </row>
    <row r="759">
      <c r="A759" s="223" t="s">
        <v>112</v>
      </c>
      <c r="B759" s="223" t="s">
        <v>1296</v>
      </c>
      <c r="C759" s="223" t="s">
        <v>2309</v>
      </c>
      <c r="D759" s="320">
        <v>44773.0</v>
      </c>
      <c r="I759" s="218">
        <v>448.0</v>
      </c>
      <c r="J759" s="223" t="s">
        <v>52</v>
      </c>
      <c r="K759" s="319">
        <v>2022.07</v>
      </c>
      <c r="L759" s="218" t="s">
        <v>200</v>
      </c>
    </row>
    <row r="760">
      <c r="A760" s="223" t="s">
        <v>86</v>
      </c>
      <c r="B760" s="223" t="s">
        <v>1235</v>
      </c>
      <c r="C760" s="223" t="s">
        <v>1156</v>
      </c>
      <c r="D760" s="320">
        <v>44773.0</v>
      </c>
      <c r="I760" s="218">
        <v>192.5</v>
      </c>
      <c r="J760" s="223" t="s">
        <v>52</v>
      </c>
      <c r="K760" s="319">
        <v>2022.07</v>
      </c>
      <c r="L760" s="218" t="s">
        <v>200</v>
      </c>
    </row>
    <row r="761">
      <c r="A761" s="223" t="s">
        <v>1298</v>
      </c>
      <c r="B761" s="223" t="s">
        <v>1296</v>
      </c>
      <c r="C761" s="223" t="s">
        <v>1299</v>
      </c>
      <c r="D761" s="320">
        <v>44773.0</v>
      </c>
      <c r="I761" s="218">
        <v>192.5</v>
      </c>
      <c r="J761" s="223" t="s">
        <v>52</v>
      </c>
      <c r="K761" s="319">
        <v>2022.07</v>
      </c>
      <c r="L761" s="218" t="s">
        <v>200</v>
      </c>
    </row>
    <row r="762">
      <c r="A762" s="223" t="s">
        <v>97</v>
      </c>
      <c r="B762" s="223" t="s">
        <v>1286</v>
      </c>
      <c r="C762" s="223" t="s">
        <v>1156</v>
      </c>
      <c r="D762" s="320">
        <v>44773.0</v>
      </c>
      <c r="I762" s="218">
        <v>30.0</v>
      </c>
      <c r="J762" s="223" t="s">
        <v>52</v>
      </c>
      <c r="K762" s="319">
        <v>2022.07</v>
      </c>
      <c r="L762" s="218" t="s">
        <v>200</v>
      </c>
    </row>
    <row r="763">
      <c r="A763" s="223" t="s">
        <v>82</v>
      </c>
      <c r="B763" s="223" t="s">
        <v>1124</v>
      </c>
      <c r="C763" s="223" t="s">
        <v>1156</v>
      </c>
      <c r="D763" s="320">
        <v>44773.0</v>
      </c>
      <c r="I763" s="218">
        <v>75.0</v>
      </c>
      <c r="J763" s="223" t="s">
        <v>52</v>
      </c>
      <c r="K763" s="319">
        <v>2022.07</v>
      </c>
      <c r="L763" s="218" t="s">
        <v>200</v>
      </c>
    </row>
    <row r="764">
      <c r="A764" s="223" t="s">
        <v>99</v>
      </c>
      <c r="B764" s="223" t="s">
        <v>1192</v>
      </c>
      <c r="C764" s="223" t="s">
        <v>1156</v>
      </c>
      <c r="D764" s="320">
        <v>44773.0</v>
      </c>
      <c r="I764" s="218">
        <v>270.0</v>
      </c>
      <c r="J764" s="223" t="s">
        <v>52</v>
      </c>
      <c r="K764" s="319">
        <v>2022.07</v>
      </c>
      <c r="L764" s="218" t="s">
        <v>200</v>
      </c>
    </row>
    <row r="765">
      <c r="A765" s="223" t="s">
        <v>68</v>
      </c>
      <c r="B765" s="223" t="s">
        <v>1178</v>
      </c>
      <c r="C765" s="223" t="s">
        <v>1156</v>
      </c>
      <c r="D765" s="320">
        <v>44773.0</v>
      </c>
      <c r="I765" s="218">
        <v>60.0</v>
      </c>
      <c r="J765" s="223" t="s">
        <v>52</v>
      </c>
      <c r="K765" s="319">
        <v>2022.07</v>
      </c>
      <c r="L765" s="218" t="s">
        <v>200</v>
      </c>
    </row>
    <row r="766">
      <c r="A766" s="223" t="s">
        <v>42</v>
      </c>
      <c r="B766" s="223" t="s">
        <v>1236</v>
      </c>
      <c r="C766" s="223" t="s">
        <v>1156</v>
      </c>
      <c r="D766" s="320">
        <v>44773.0</v>
      </c>
      <c r="I766" s="218">
        <v>135.0</v>
      </c>
      <c r="J766" s="223" t="s">
        <v>52</v>
      </c>
      <c r="K766" s="319">
        <v>2022.07</v>
      </c>
      <c r="L766" s="218" t="s">
        <v>200</v>
      </c>
    </row>
    <row r="767">
      <c r="A767" s="223" t="s">
        <v>58</v>
      </c>
      <c r="B767" s="223" t="s">
        <v>1197</v>
      </c>
      <c r="C767" s="223" t="s">
        <v>1156</v>
      </c>
      <c r="D767" s="320">
        <v>44773.0</v>
      </c>
      <c r="I767" s="218">
        <v>350.0</v>
      </c>
      <c r="J767" s="223" t="s">
        <v>52</v>
      </c>
      <c r="K767" s="319">
        <v>2022.07</v>
      </c>
      <c r="L767" s="218" t="s">
        <v>200</v>
      </c>
    </row>
    <row r="768">
      <c r="A768" s="223" t="s">
        <v>123</v>
      </c>
      <c r="B768" s="223" t="s">
        <v>1300</v>
      </c>
      <c r="C768" s="223" t="s">
        <v>1156</v>
      </c>
      <c r="D768" s="320">
        <v>44773.0</v>
      </c>
      <c r="I768" s="218">
        <v>300.0</v>
      </c>
      <c r="J768" s="223" t="s">
        <v>52</v>
      </c>
      <c r="K768" s="319">
        <v>2022.07</v>
      </c>
      <c r="L768" s="218" t="s">
        <v>200</v>
      </c>
    </row>
    <row r="769">
      <c r="A769" s="223" t="s">
        <v>73</v>
      </c>
      <c r="B769" s="223" t="s">
        <v>1327</v>
      </c>
      <c r="C769" s="223" t="s">
        <v>1156</v>
      </c>
      <c r="D769" s="320">
        <v>44773.0</v>
      </c>
      <c r="I769" s="218">
        <v>60.0</v>
      </c>
      <c r="J769" s="223" t="s">
        <v>52</v>
      </c>
      <c r="K769" s="319">
        <v>2022.07</v>
      </c>
      <c r="L769" s="218" t="s">
        <v>200</v>
      </c>
    </row>
    <row r="770">
      <c r="A770" s="223" t="s">
        <v>50</v>
      </c>
      <c r="B770" s="223" t="s">
        <v>1275</v>
      </c>
      <c r="C770" s="223" t="s">
        <v>1156</v>
      </c>
      <c r="D770" s="320">
        <v>44773.0</v>
      </c>
      <c r="I770" s="218">
        <v>30.0</v>
      </c>
      <c r="J770" s="223" t="s">
        <v>52</v>
      </c>
      <c r="K770" s="319">
        <v>2022.07</v>
      </c>
      <c r="L770" s="218" t="s">
        <v>200</v>
      </c>
    </row>
    <row r="771">
      <c r="A771" s="223" t="s">
        <v>62</v>
      </c>
      <c r="B771" s="223" t="s">
        <v>1304</v>
      </c>
      <c r="C771" s="223" t="s">
        <v>1156</v>
      </c>
      <c r="D771" s="320">
        <v>44773.0</v>
      </c>
      <c r="I771" s="218">
        <v>300.0</v>
      </c>
      <c r="J771" s="223" t="s">
        <v>52</v>
      </c>
      <c r="K771" s="319">
        <v>2022.07</v>
      </c>
      <c r="L771" s="218" t="s">
        <v>200</v>
      </c>
    </row>
    <row r="772">
      <c r="A772" s="223" t="s">
        <v>223</v>
      </c>
      <c r="B772" s="223" t="s">
        <v>1176</v>
      </c>
      <c r="C772" s="223" t="s">
        <v>1156</v>
      </c>
      <c r="D772" s="320">
        <v>44773.0</v>
      </c>
      <c r="I772" s="218">
        <v>75.0</v>
      </c>
      <c r="J772" s="223" t="s">
        <v>52</v>
      </c>
      <c r="K772" s="319">
        <v>2022.07</v>
      </c>
      <c r="L772" s="218" t="s">
        <v>200</v>
      </c>
    </row>
    <row r="773">
      <c r="A773" s="223" t="s">
        <v>225</v>
      </c>
      <c r="B773" s="223" t="s">
        <v>1257</v>
      </c>
      <c r="C773" s="223" t="s">
        <v>1156</v>
      </c>
      <c r="D773" s="320">
        <v>44773.0</v>
      </c>
      <c r="I773" s="218">
        <v>1860.0</v>
      </c>
      <c r="J773" s="223" t="s">
        <v>52</v>
      </c>
      <c r="K773" s="319">
        <v>2022.07</v>
      </c>
      <c r="L773" s="218" t="s">
        <v>200</v>
      </c>
    </row>
    <row r="774">
      <c r="A774" s="223" t="s">
        <v>66</v>
      </c>
      <c r="B774" s="223" t="s">
        <v>1324</v>
      </c>
      <c r="C774" s="223" t="s">
        <v>1156</v>
      </c>
      <c r="D774" s="320">
        <v>44773.0</v>
      </c>
      <c r="I774" s="218">
        <v>60.0</v>
      </c>
      <c r="J774" s="223" t="s">
        <v>52</v>
      </c>
      <c r="K774" s="319">
        <v>2022.07</v>
      </c>
      <c r="L774" s="218" t="s">
        <v>200</v>
      </c>
    </row>
    <row r="775">
      <c r="A775" s="223" t="s">
        <v>279</v>
      </c>
      <c r="B775" s="223" t="s">
        <v>1305</v>
      </c>
      <c r="C775" s="223" t="s">
        <v>1306</v>
      </c>
      <c r="D775" s="320">
        <v>44773.0</v>
      </c>
      <c r="I775" s="218">
        <v>30.0</v>
      </c>
      <c r="J775" s="223" t="s">
        <v>1160</v>
      </c>
      <c r="K775" s="319">
        <v>2022.0</v>
      </c>
      <c r="L775" s="218" t="s">
        <v>200</v>
      </c>
    </row>
    <row r="776">
      <c r="A776" s="223" t="s">
        <v>354</v>
      </c>
      <c r="B776" s="223" t="s">
        <v>1309</v>
      </c>
      <c r="C776" s="223" t="s">
        <v>1336</v>
      </c>
      <c r="D776" s="320">
        <v>44773.0</v>
      </c>
      <c r="I776" s="218">
        <v>650.0</v>
      </c>
      <c r="J776" s="223" t="s">
        <v>52</v>
      </c>
      <c r="K776" s="319">
        <v>2022.07</v>
      </c>
      <c r="L776" s="218" t="s">
        <v>200</v>
      </c>
    </row>
    <row r="777">
      <c r="A777" s="223" t="s">
        <v>427</v>
      </c>
      <c r="B777" s="223" t="s">
        <v>1216</v>
      </c>
      <c r="C777" s="223" t="s">
        <v>1355</v>
      </c>
      <c r="D777" s="320">
        <v>44773.0</v>
      </c>
      <c r="I777" s="218">
        <v>45.0</v>
      </c>
      <c r="J777" s="223" t="s">
        <v>1160</v>
      </c>
      <c r="K777" s="319">
        <v>2022.0</v>
      </c>
      <c r="L777" s="218" t="s">
        <v>200</v>
      </c>
    </row>
    <row r="778">
      <c r="A778" s="223" t="s">
        <v>481</v>
      </c>
      <c r="B778" s="223" t="s">
        <v>1200</v>
      </c>
      <c r="C778" s="223" t="s">
        <v>1374</v>
      </c>
      <c r="D778" s="320">
        <v>44773.0</v>
      </c>
      <c r="I778" s="218">
        <v>557.5</v>
      </c>
      <c r="J778" s="223" t="s">
        <v>1160</v>
      </c>
      <c r="K778" s="319">
        <v>2022.0</v>
      </c>
      <c r="L778" s="218" t="s">
        <v>200</v>
      </c>
    </row>
    <row r="779">
      <c r="A779" s="223" t="s">
        <v>501</v>
      </c>
      <c r="B779" s="223" t="s">
        <v>1377</v>
      </c>
      <c r="C779" s="223" t="s">
        <v>1378</v>
      </c>
      <c r="D779" s="320">
        <v>44773.0</v>
      </c>
      <c r="I779" s="218">
        <v>750.0</v>
      </c>
      <c r="J779" s="223" t="s">
        <v>1160</v>
      </c>
      <c r="K779" s="319">
        <v>2022.0</v>
      </c>
      <c r="L779" s="218" t="s">
        <v>200</v>
      </c>
    </row>
    <row r="780">
      <c r="A780" s="223" t="s">
        <v>499</v>
      </c>
      <c r="B780" s="223" t="s">
        <v>1330</v>
      </c>
      <c r="C780" s="223" t="s">
        <v>1375</v>
      </c>
      <c r="D780" s="320">
        <v>44773.0</v>
      </c>
      <c r="I780" s="218">
        <v>300.0</v>
      </c>
      <c r="J780" s="223" t="s">
        <v>52</v>
      </c>
      <c r="K780" s="319">
        <v>2022.07</v>
      </c>
      <c r="L780" s="218" t="s">
        <v>200</v>
      </c>
    </row>
    <row r="781">
      <c r="A781" s="223" t="s">
        <v>102</v>
      </c>
      <c r="B781" s="223" t="s">
        <v>1259</v>
      </c>
      <c r="C781" s="223" t="s">
        <v>1156</v>
      </c>
      <c r="D781" s="320">
        <v>44773.0</v>
      </c>
      <c r="I781" s="218">
        <v>150.0</v>
      </c>
      <c r="J781" s="223" t="s">
        <v>52</v>
      </c>
      <c r="K781" s="319">
        <v>2022.07</v>
      </c>
      <c r="L781" s="218" t="s">
        <v>200</v>
      </c>
    </row>
    <row r="782">
      <c r="A782" s="223" t="s">
        <v>465</v>
      </c>
      <c r="B782" s="223" t="s">
        <v>1357</v>
      </c>
      <c r="C782" s="223" t="s">
        <v>524</v>
      </c>
      <c r="D782" s="320">
        <v>44773.0</v>
      </c>
      <c r="I782" s="218">
        <v>150.0</v>
      </c>
      <c r="J782" s="223" t="s">
        <v>1992</v>
      </c>
      <c r="K782" s="319">
        <v>2022.0</v>
      </c>
      <c r="L782" s="218" t="s">
        <v>200</v>
      </c>
    </row>
    <row r="783">
      <c r="A783" s="223" t="s">
        <v>501</v>
      </c>
      <c r="B783" s="223" t="s">
        <v>1377</v>
      </c>
      <c r="C783" s="223" t="s">
        <v>1378</v>
      </c>
      <c r="D783" s="320">
        <v>44773.0</v>
      </c>
      <c r="I783" s="218">
        <v>200.0</v>
      </c>
      <c r="J783" s="223" t="s">
        <v>1160</v>
      </c>
      <c r="K783" s="319">
        <v>2022.0</v>
      </c>
      <c r="L783" s="218" t="s">
        <v>200</v>
      </c>
    </row>
    <row r="784">
      <c r="A784" s="223" t="s">
        <v>99</v>
      </c>
      <c r="B784" s="223" t="s">
        <v>1192</v>
      </c>
      <c r="C784" s="223" t="s">
        <v>1156</v>
      </c>
      <c r="D784" s="320">
        <v>44773.0</v>
      </c>
      <c r="I784" s="218">
        <v>337.5</v>
      </c>
      <c r="J784" s="223" t="s">
        <v>52</v>
      </c>
      <c r="K784" s="319">
        <v>2022.07</v>
      </c>
      <c r="L784" s="218" t="s">
        <v>200</v>
      </c>
    </row>
    <row r="785">
      <c r="A785" s="223" t="s">
        <v>42</v>
      </c>
      <c r="B785" s="223" t="s">
        <v>1236</v>
      </c>
      <c r="C785" s="223" t="s">
        <v>1156</v>
      </c>
      <c r="D785" s="320">
        <v>44773.0</v>
      </c>
      <c r="I785" s="218">
        <v>212.5</v>
      </c>
      <c r="J785" s="223" t="s">
        <v>52</v>
      </c>
      <c r="K785" s="319">
        <v>2022.07</v>
      </c>
      <c r="L785" s="218" t="s">
        <v>200</v>
      </c>
    </row>
    <row r="786">
      <c r="A786" s="223" t="s">
        <v>115</v>
      </c>
      <c r="B786" s="223" t="s">
        <v>1308</v>
      </c>
      <c r="C786" s="223" t="s">
        <v>1156</v>
      </c>
      <c r="D786" s="320">
        <v>44773.0</v>
      </c>
      <c r="I786" s="218">
        <v>662.5</v>
      </c>
      <c r="J786" s="223" t="s">
        <v>52</v>
      </c>
      <c r="K786" s="319">
        <v>2022.07</v>
      </c>
      <c r="L786" s="218" t="s">
        <v>200</v>
      </c>
    </row>
    <row r="787">
      <c r="A787" s="223" t="s">
        <v>118</v>
      </c>
      <c r="B787" s="223" t="s">
        <v>1312</v>
      </c>
      <c r="C787" s="223" t="s">
        <v>1156</v>
      </c>
      <c r="D787" s="320">
        <v>44773.0</v>
      </c>
      <c r="I787" s="218">
        <v>662.5</v>
      </c>
      <c r="J787" s="223" t="s">
        <v>52</v>
      </c>
      <c r="K787" s="319">
        <v>2022.07</v>
      </c>
      <c r="L787" s="218" t="s">
        <v>200</v>
      </c>
    </row>
    <row r="788">
      <c r="A788" s="223" t="s">
        <v>92</v>
      </c>
      <c r="B788" s="223" t="s">
        <v>1289</v>
      </c>
      <c r="C788" s="223" t="s">
        <v>1156</v>
      </c>
      <c r="D788" s="320">
        <v>44773.0</v>
      </c>
      <c r="I788" s="218">
        <v>350.0</v>
      </c>
      <c r="J788" s="223" t="s">
        <v>52</v>
      </c>
      <c r="K788" s="319">
        <v>2022.07</v>
      </c>
      <c r="L788" s="218" t="s">
        <v>200</v>
      </c>
    </row>
    <row r="789">
      <c r="A789" s="223" t="s">
        <v>84</v>
      </c>
      <c r="B789" s="223" t="s">
        <v>1227</v>
      </c>
      <c r="C789" s="223" t="s">
        <v>1156</v>
      </c>
      <c r="D789" s="320">
        <v>44773.0</v>
      </c>
      <c r="I789" s="218">
        <v>475.0</v>
      </c>
      <c r="J789" s="223" t="s">
        <v>52</v>
      </c>
      <c r="K789" s="319">
        <v>2022.07</v>
      </c>
      <c r="L789" s="218" t="s">
        <v>200</v>
      </c>
    </row>
    <row r="790">
      <c r="A790" s="223" t="s">
        <v>123</v>
      </c>
      <c r="B790" s="223" t="s">
        <v>1300</v>
      </c>
      <c r="C790" s="223" t="s">
        <v>1156</v>
      </c>
      <c r="D790" s="320">
        <v>44773.0</v>
      </c>
      <c r="I790" s="218">
        <v>1087.5</v>
      </c>
      <c r="J790" s="223" t="s">
        <v>52</v>
      </c>
      <c r="K790" s="319">
        <v>2022.07</v>
      </c>
      <c r="L790" s="218" t="s">
        <v>200</v>
      </c>
    </row>
    <row r="791">
      <c r="A791" s="223" t="s">
        <v>62</v>
      </c>
      <c r="B791" s="223" t="s">
        <v>1304</v>
      </c>
      <c r="C791" s="223" t="s">
        <v>1156</v>
      </c>
      <c r="D791" s="320">
        <v>44773.0</v>
      </c>
      <c r="I791" s="218">
        <v>450.0</v>
      </c>
      <c r="J791" s="223" t="s">
        <v>52</v>
      </c>
      <c r="K791" s="319">
        <v>2022.07</v>
      </c>
      <c r="L791" s="218" t="s">
        <v>200</v>
      </c>
    </row>
    <row r="792">
      <c r="A792" s="223" t="s">
        <v>75</v>
      </c>
      <c r="B792" s="223" t="s">
        <v>1279</v>
      </c>
      <c r="C792" s="223" t="s">
        <v>1156</v>
      </c>
      <c r="D792" s="320">
        <v>44773.0</v>
      </c>
      <c r="I792" s="218">
        <v>187.5</v>
      </c>
      <c r="J792" s="223" t="s">
        <v>52</v>
      </c>
      <c r="K792" s="319">
        <v>2022.07</v>
      </c>
      <c r="L792" s="218" t="s">
        <v>200</v>
      </c>
    </row>
    <row r="793">
      <c r="A793" s="223" t="s">
        <v>1271</v>
      </c>
      <c r="B793" s="223" t="s">
        <v>1264</v>
      </c>
      <c r="C793" s="223" t="s">
        <v>1272</v>
      </c>
      <c r="D793" s="320">
        <v>44785.0</v>
      </c>
      <c r="I793" s="218">
        <v>14.54</v>
      </c>
      <c r="J793" s="223" t="s">
        <v>1152</v>
      </c>
      <c r="K793" s="319">
        <v>2022.0</v>
      </c>
      <c r="L793" s="218" t="s">
        <v>200</v>
      </c>
    </row>
    <row r="794">
      <c r="A794" s="223" t="s">
        <v>1271</v>
      </c>
      <c r="B794" s="223" t="s">
        <v>1264</v>
      </c>
      <c r="C794" s="223" t="s">
        <v>1272</v>
      </c>
      <c r="D794" s="320">
        <v>44785.0</v>
      </c>
      <c r="I794" s="218">
        <v>52.22</v>
      </c>
      <c r="J794" s="223" t="s">
        <v>1152</v>
      </c>
      <c r="K794" s="319">
        <v>2022.0</v>
      </c>
      <c r="L794" s="218" t="s">
        <v>200</v>
      </c>
    </row>
    <row r="795">
      <c r="A795" s="223" t="s">
        <v>1271</v>
      </c>
      <c r="B795" s="223" t="s">
        <v>1264</v>
      </c>
      <c r="C795" s="223" t="s">
        <v>1272</v>
      </c>
      <c r="D795" s="320">
        <v>44785.0</v>
      </c>
      <c r="I795" s="218">
        <v>5.98</v>
      </c>
      <c r="J795" s="223" t="s">
        <v>1152</v>
      </c>
      <c r="K795" s="319">
        <v>2022.0</v>
      </c>
      <c r="L795" s="218" t="s">
        <v>200</v>
      </c>
    </row>
    <row r="796">
      <c r="A796" s="223" t="s">
        <v>1271</v>
      </c>
      <c r="B796" s="223" t="s">
        <v>1264</v>
      </c>
      <c r="C796" s="223" t="s">
        <v>1272</v>
      </c>
      <c r="D796" s="320"/>
      <c r="I796" s="218">
        <v>31.5</v>
      </c>
      <c r="J796" s="223" t="s">
        <v>1152</v>
      </c>
      <c r="K796" s="319">
        <v>1899.0</v>
      </c>
      <c r="L796" s="218" t="s">
        <v>200</v>
      </c>
    </row>
    <row r="797">
      <c r="A797" s="223" t="s">
        <v>414</v>
      </c>
      <c r="B797" s="223" t="s">
        <v>1345</v>
      </c>
      <c r="C797" s="223" t="s">
        <v>1346</v>
      </c>
      <c r="D797" s="320">
        <v>44773.0</v>
      </c>
      <c r="I797" s="218">
        <v>646.52</v>
      </c>
      <c r="J797" s="223" t="s">
        <v>1160</v>
      </c>
      <c r="K797" s="319">
        <v>2022.0</v>
      </c>
      <c r="L797" s="218" t="s">
        <v>200</v>
      </c>
    </row>
    <row r="798">
      <c r="A798" s="223" t="s">
        <v>526</v>
      </c>
      <c r="B798" s="223" t="s">
        <v>1389</v>
      </c>
      <c r="C798" s="223" t="s">
        <v>1179</v>
      </c>
      <c r="D798" s="320">
        <v>44773.0</v>
      </c>
      <c r="I798" s="218">
        <v>257.09</v>
      </c>
      <c r="J798" s="223" t="s">
        <v>1160</v>
      </c>
      <c r="K798" s="319">
        <v>2022.0</v>
      </c>
      <c r="L798" s="218" t="s">
        <v>200</v>
      </c>
    </row>
    <row r="799">
      <c r="A799" s="223" t="s">
        <v>54</v>
      </c>
      <c r="B799" s="223" t="s">
        <v>1187</v>
      </c>
      <c r="C799" s="223" t="s">
        <v>1156</v>
      </c>
      <c r="D799" s="320">
        <v>44773.0</v>
      </c>
      <c r="I799" s="218">
        <v>6.39</v>
      </c>
      <c r="J799" s="223" t="s">
        <v>52</v>
      </c>
      <c r="K799" s="319">
        <v>2022.07</v>
      </c>
      <c r="L799" s="218" t="s">
        <v>200</v>
      </c>
    </row>
    <row r="800">
      <c r="A800" s="223" t="s">
        <v>501</v>
      </c>
      <c r="B800" s="223" t="s">
        <v>1377</v>
      </c>
      <c r="C800" s="223" t="s">
        <v>1378</v>
      </c>
      <c r="D800" s="320">
        <v>44773.0</v>
      </c>
      <c r="I800" s="218">
        <v>316.15</v>
      </c>
      <c r="J800" s="223" t="s">
        <v>1160</v>
      </c>
      <c r="K800" s="319">
        <v>2022.0</v>
      </c>
      <c r="L800" s="218" t="s">
        <v>200</v>
      </c>
    </row>
    <row r="801">
      <c r="A801" s="223" t="s">
        <v>147</v>
      </c>
      <c r="B801" s="223" t="s">
        <v>1194</v>
      </c>
      <c r="C801" s="223" t="s">
        <v>1156</v>
      </c>
      <c r="D801" s="320">
        <v>44773.0</v>
      </c>
      <c r="I801" s="218">
        <v>6.67</v>
      </c>
      <c r="J801" s="223" t="s">
        <v>52</v>
      </c>
      <c r="K801" s="319">
        <v>2022.07</v>
      </c>
      <c r="L801" s="218" t="s">
        <v>200</v>
      </c>
    </row>
    <row r="802">
      <c r="A802" s="223" t="s">
        <v>58</v>
      </c>
      <c r="B802" s="223" t="s">
        <v>1197</v>
      </c>
      <c r="C802" s="223" t="s">
        <v>1156</v>
      </c>
      <c r="D802" s="320">
        <v>44773.0</v>
      </c>
      <c r="I802" s="218">
        <v>1.64</v>
      </c>
      <c r="J802" s="223" t="s">
        <v>52</v>
      </c>
      <c r="K802" s="319">
        <v>2022.07</v>
      </c>
      <c r="L802" s="218" t="s">
        <v>200</v>
      </c>
    </row>
    <row r="803">
      <c r="A803" s="223" t="s">
        <v>82</v>
      </c>
      <c r="B803" s="223" t="s">
        <v>1124</v>
      </c>
      <c r="C803" s="223" t="s">
        <v>1156</v>
      </c>
      <c r="D803" s="320">
        <v>44773.0</v>
      </c>
      <c r="I803" s="218">
        <v>14.1</v>
      </c>
      <c r="J803" s="223" t="s">
        <v>52</v>
      </c>
      <c r="K803" s="319">
        <v>2022.07</v>
      </c>
      <c r="L803" s="218" t="s">
        <v>200</v>
      </c>
    </row>
    <row r="804">
      <c r="A804" s="223" t="s">
        <v>481</v>
      </c>
      <c r="B804" s="223" t="s">
        <v>1200</v>
      </c>
      <c r="C804" s="223" t="s">
        <v>1374</v>
      </c>
      <c r="D804" s="320">
        <v>44773.0</v>
      </c>
      <c r="I804" s="218">
        <v>56.49</v>
      </c>
      <c r="J804" s="223" t="s">
        <v>1160</v>
      </c>
      <c r="K804" s="319">
        <v>2022.0</v>
      </c>
      <c r="L804" s="218" t="s">
        <v>200</v>
      </c>
    </row>
    <row r="805">
      <c r="A805" s="223" t="s">
        <v>530</v>
      </c>
      <c r="B805" s="223" t="s">
        <v>1390</v>
      </c>
      <c r="C805" s="223" t="s">
        <v>1391</v>
      </c>
      <c r="D805" s="320">
        <v>44773.0</v>
      </c>
      <c r="I805" s="218">
        <v>287.91</v>
      </c>
      <c r="J805" s="223" t="s">
        <v>1152</v>
      </c>
      <c r="K805" s="319">
        <v>2022.0</v>
      </c>
      <c r="L805" s="218" t="s">
        <v>200</v>
      </c>
    </row>
    <row r="806">
      <c r="A806" s="223" t="s">
        <v>476</v>
      </c>
      <c r="B806" s="223" t="s">
        <v>1371</v>
      </c>
      <c r="C806" s="223" t="s">
        <v>1372</v>
      </c>
      <c r="D806" s="320">
        <v>44773.0</v>
      </c>
      <c r="I806" s="218">
        <v>94.22</v>
      </c>
      <c r="J806" s="223" t="s">
        <v>1160</v>
      </c>
      <c r="K806" s="319">
        <v>2022.0</v>
      </c>
      <c r="L806" s="218" t="s">
        <v>200</v>
      </c>
    </row>
    <row r="807">
      <c r="A807" s="223" t="s">
        <v>1266</v>
      </c>
      <c r="B807" s="223" t="s">
        <v>1264</v>
      </c>
      <c r="C807" s="223" t="s">
        <v>1267</v>
      </c>
      <c r="D807" s="320">
        <v>44773.0</v>
      </c>
      <c r="I807" s="218">
        <v>293.92</v>
      </c>
      <c r="J807" s="223" t="s">
        <v>1152</v>
      </c>
      <c r="K807" s="319">
        <v>2022.0</v>
      </c>
      <c r="L807" s="218" t="s">
        <v>200</v>
      </c>
    </row>
    <row r="808">
      <c r="A808" s="223" t="s">
        <v>90</v>
      </c>
      <c r="B808" s="223" t="s">
        <v>1282</v>
      </c>
      <c r="C808" s="223" t="s">
        <v>1156</v>
      </c>
      <c r="D808" s="320">
        <v>44773.0</v>
      </c>
      <c r="I808" s="218">
        <v>171.2</v>
      </c>
      <c r="J808" s="223" t="s">
        <v>52</v>
      </c>
      <c r="K808" s="319">
        <v>2022.07</v>
      </c>
      <c r="L808" s="218" t="s">
        <v>200</v>
      </c>
    </row>
    <row r="809">
      <c r="A809" s="223" t="s">
        <v>92</v>
      </c>
      <c r="B809" s="223" t="s">
        <v>1289</v>
      </c>
      <c r="C809" s="223" t="s">
        <v>1156</v>
      </c>
      <c r="D809" s="320">
        <v>44773.0</v>
      </c>
      <c r="I809" s="218">
        <v>90.28</v>
      </c>
      <c r="J809" s="223" t="s">
        <v>52</v>
      </c>
      <c r="K809" s="319">
        <v>2022.07</v>
      </c>
      <c r="L809" s="218" t="s">
        <v>200</v>
      </c>
    </row>
    <row r="810">
      <c r="A810" s="223" t="s">
        <v>156</v>
      </c>
      <c r="B810" s="223" t="s">
        <v>1293</v>
      </c>
      <c r="C810" s="223" t="s">
        <v>1156</v>
      </c>
      <c r="D810" s="320">
        <v>44773.0</v>
      </c>
      <c r="I810" s="218">
        <v>5.08</v>
      </c>
      <c r="J810" s="223" t="s">
        <v>52</v>
      </c>
      <c r="K810" s="319">
        <v>2022.07</v>
      </c>
      <c r="L810" s="218" t="s">
        <v>200</v>
      </c>
    </row>
    <row r="811">
      <c r="A811" s="223" t="s">
        <v>420</v>
      </c>
      <c r="B811" s="223" t="s">
        <v>1352</v>
      </c>
      <c r="C811" s="223" t="s">
        <v>1353</v>
      </c>
      <c r="D811" s="320">
        <v>44773.0</v>
      </c>
      <c r="I811" s="218">
        <v>12.89</v>
      </c>
      <c r="J811" s="223" t="s">
        <v>1160</v>
      </c>
      <c r="K811" s="319">
        <v>2022.0</v>
      </c>
      <c r="L811" s="218" t="s">
        <v>200</v>
      </c>
    </row>
    <row r="812">
      <c r="A812" s="223" t="s">
        <v>373</v>
      </c>
      <c r="B812" s="223" t="s">
        <v>1342</v>
      </c>
      <c r="C812" s="223" t="s">
        <v>1341</v>
      </c>
      <c r="D812" s="320">
        <v>44773.0</v>
      </c>
      <c r="I812" s="218">
        <v>11.24</v>
      </c>
      <c r="J812" s="223" t="s">
        <v>1160</v>
      </c>
      <c r="K812" s="319">
        <v>2022.0</v>
      </c>
      <c r="L812" s="218" t="s">
        <v>200</v>
      </c>
    </row>
    <row r="813">
      <c r="A813" s="223" t="s">
        <v>115</v>
      </c>
      <c r="B813" s="223" t="s">
        <v>1308</v>
      </c>
      <c r="C813" s="223" t="s">
        <v>1156</v>
      </c>
      <c r="D813" s="320">
        <v>44762.0</v>
      </c>
      <c r="I813" s="218">
        <v>750.0</v>
      </c>
      <c r="J813" s="223" t="s">
        <v>52</v>
      </c>
      <c r="K813" s="319">
        <v>2022.07</v>
      </c>
      <c r="L813" s="218">
        <v>750.0</v>
      </c>
    </row>
    <row r="814">
      <c r="A814" s="223" t="s">
        <v>279</v>
      </c>
      <c r="B814" s="223" t="s">
        <v>1305</v>
      </c>
      <c r="C814" s="223" t="s">
        <v>1306</v>
      </c>
      <c r="D814" s="320">
        <v>44767.0</v>
      </c>
      <c r="I814" s="218">
        <v>750.0</v>
      </c>
      <c r="J814" s="223" t="s">
        <v>1160</v>
      </c>
      <c r="K814" s="319">
        <v>2022.0</v>
      </c>
      <c r="L814" s="218">
        <v>750.0</v>
      </c>
    </row>
    <row r="815">
      <c r="A815" s="223" t="s">
        <v>92</v>
      </c>
      <c r="B815" s="223" t="s">
        <v>1289</v>
      </c>
      <c r="C815" s="223" t="s">
        <v>1156</v>
      </c>
      <c r="D815" s="320">
        <v>44767.0</v>
      </c>
      <c r="I815" s="218">
        <v>69.32</v>
      </c>
      <c r="J815" s="223" t="s">
        <v>52</v>
      </c>
      <c r="K815" s="319">
        <v>2022.07</v>
      </c>
      <c r="L815" s="218">
        <v>69.32</v>
      </c>
    </row>
    <row r="816">
      <c r="A816" s="223" t="s">
        <v>1271</v>
      </c>
      <c r="B816" s="223" t="s">
        <v>1264</v>
      </c>
      <c r="C816" s="223" t="s">
        <v>1272</v>
      </c>
      <c r="D816" s="320">
        <v>44773.0</v>
      </c>
      <c r="I816" s="218">
        <v>469.72</v>
      </c>
      <c r="J816" s="223" t="s">
        <v>1152</v>
      </c>
      <c r="K816" s="319">
        <v>2022.0</v>
      </c>
      <c r="L816" s="218" t="s">
        <v>200</v>
      </c>
    </row>
    <row r="817">
      <c r="A817" s="223" t="s">
        <v>115</v>
      </c>
      <c r="B817" s="223" t="s">
        <v>1308</v>
      </c>
      <c r="C817" s="223" t="s">
        <v>1156</v>
      </c>
      <c r="D817" s="320">
        <v>44774.0</v>
      </c>
      <c r="I817" s="218">
        <v>441.85</v>
      </c>
      <c r="J817" s="223" t="s">
        <v>52</v>
      </c>
      <c r="K817" s="319">
        <v>2022.08</v>
      </c>
      <c r="L817" s="218">
        <v>441.85</v>
      </c>
    </row>
    <row r="818">
      <c r="A818" s="223" t="s">
        <v>279</v>
      </c>
      <c r="B818" s="223" t="s">
        <v>1305</v>
      </c>
      <c r="C818" s="223" t="s">
        <v>1306</v>
      </c>
      <c r="D818" s="320">
        <v>44774.0</v>
      </c>
      <c r="I818" s="218">
        <v>104.3</v>
      </c>
      <c r="J818" s="223" t="s">
        <v>1160</v>
      </c>
      <c r="K818" s="319">
        <v>2022.0</v>
      </c>
      <c r="L818" s="218">
        <v>104.3</v>
      </c>
    </row>
    <row r="819">
      <c r="A819" s="223" t="s">
        <v>118</v>
      </c>
      <c r="B819" s="223" t="s">
        <v>1312</v>
      </c>
      <c r="C819" s="223" t="s">
        <v>1156</v>
      </c>
      <c r="D819" s="320">
        <v>44774.0</v>
      </c>
      <c r="I819" s="218">
        <v>608.52</v>
      </c>
      <c r="J819" s="223" t="s">
        <v>52</v>
      </c>
      <c r="K819" s="319">
        <v>2022.08</v>
      </c>
      <c r="L819" s="218">
        <v>608.52</v>
      </c>
    </row>
    <row r="820">
      <c r="A820" s="223" t="s">
        <v>92</v>
      </c>
      <c r="B820" s="223" t="s">
        <v>1289</v>
      </c>
      <c r="C820" s="223" t="s">
        <v>1156</v>
      </c>
      <c r="D820" s="320">
        <v>44775.0</v>
      </c>
      <c r="I820" s="218">
        <v>70.0</v>
      </c>
      <c r="J820" s="223" t="s">
        <v>52</v>
      </c>
      <c r="K820" s="319">
        <v>2022.08</v>
      </c>
      <c r="L820" s="218">
        <v>70.0</v>
      </c>
    </row>
    <row r="821">
      <c r="A821" s="223" t="s">
        <v>68</v>
      </c>
      <c r="B821" s="223" t="s">
        <v>1178</v>
      </c>
      <c r="C821" s="223" t="s">
        <v>1156</v>
      </c>
      <c r="D821" s="320">
        <v>44804.0</v>
      </c>
      <c r="I821" s="218">
        <v>237.5</v>
      </c>
      <c r="J821" s="223" t="s">
        <v>52</v>
      </c>
      <c r="K821" s="319">
        <v>2022.08</v>
      </c>
      <c r="L821" s="218" t="s">
        <v>200</v>
      </c>
    </row>
    <row r="822">
      <c r="A822" s="223" t="s">
        <v>82</v>
      </c>
      <c r="B822" s="223" t="s">
        <v>1124</v>
      </c>
      <c r="C822" s="223" t="s">
        <v>1156</v>
      </c>
      <c r="D822" s="320">
        <v>44804.0</v>
      </c>
      <c r="I822" s="218">
        <v>225.0</v>
      </c>
      <c r="J822" s="223" t="s">
        <v>52</v>
      </c>
      <c r="K822" s="319">
        <v>2022.08</v>
      </c>
      <c r="L822" s="218" t="s">
        <v>200</v>
      </c>
    </row>
    <row r="823">
      <c r="A823" s="223" t="s">
        <v>279</v>
      </c>
      <c r="B823" s="223" t="s">
        <v>1305</v>
      </c>
      <c r="C823" s="223" t="s">
        <v>1306</v>
      </c>
      <c r="D823" s="320">
        <v>44804.0</v>
      </c>
      <c r="I823" s="218">
        <v>125.0</v>
      </c>
      <c r="J823" s="223" t="s">
        <v>1160</v>
      </c>
      <c r="K823" s="319">
        <v>2022.0</v>
      </c>
      <c r="L823" s="218" t="s">
        <v>200</v>
      </c>
    </row>
    <row r="824">
      <c r="A824" s="223" t="s">
        <v>427</v>
      </c>
      <c r="B824" s="223" t="s">
        <v>1216</v>
      </c>
      <c r="C824" s="223" t="s">
        <v>1355</v>
      </c>
      <c r="D824" s="320">
        <v>44804.0</v>
      </c>
      <c r="I824" s="218">
        <v>175.0</v>
      </c>
      <c r="J824" s="223" t="s">
        <v>1160</v>
      </c>
      <c r="K824" s="319">
        <v>2022.0</v>
      </c>
      <c r="L824" s="218" t="s">
        <v>200</v>
      </c>
    </row>
    <row r="825">
      <c r="A825" s="223" t="s">
        <v>552</v>
      </c>
      <c r="B825" s="223" t="s">
        <v>1394</v>
      </c>
      <c r="C825" s="223" t="s">
        <v>1387</v>
      </c>
      <c r="D825" s="320">
        <v>44804.0</v>
      </c>
      <c r="I825" s="218">
        <v>175.0</v>
      </c>
      <c r="J825" s="223" t="s">
        <v>1160</v>
      </c>
      <c r="K825" s="319">
        <v>2022.0</v>
      </c>
      <c r="L825" s="218" t="s">
        <v>200</v>
      </c>
    </row>
    <row r="826">
      <c r="A826" s="223" t="s">
        <v>1269</v>
      </c>
      <c r="B826" s="223" t="s">
        <v>1264</v>
      </c>
      <c r="C826" s="223" t="s">
        <v>1270</v>
      </c>
      <c r="D826" s="322">
        <v>44804.0</v>
      </c>
      <c r="I826" s="218">
        <v>100.0</v>
      </c>
      <c r="J826" s="223" t="s">
        <v>1152</v>
      </c>
      <c r="K826" s="319">
        <v>2022.0</v>
      </c>
      <c r="L826" s="218" t="s">
        <v>200</v>
      </c>
    </row>
    <row r="827">
      <c r="A827" s="223" t="s">
        <v>147</v>
      </c>
      <c r="B827" s="223" t="s">
        <v>1194</v>
      </c>
      <c r="C827" s="223" t="s">
        <v>1156</v>
      </c>
      <c r="D827" s="322">
        <v>44804.0</v>
      </c>
      <c r="I827" s="218">
        <v>200.0</v>
      </c>
      <c r="J827" s="223" t="s">
        <v>52</v>
      </c>
      <c r="K827" s="319">
        <v>2022.08</v>
      </c>
      <c r="L827" s="218" t="s">
        <v>200</v>
      </c>
    </row>
    <row r="828">
      <c r="A828" s="223" t="s">
        <v>1269</v>
      </c>
      <c r="B828" s="223" t="s">
        <v>1264</v>
      </c>
      <c r="C828" s="223" t="s">
        <v>1270</v>
      </c>
      <c r="D828" s="322">
        <v>44804.0</v>
      </c>
      <c r="I828" s="218">
        <v>150.0</v>
      </c>
      <c r="J828" s="223" t="s">
        <v>1152</v>
      </c>
      <c r="K828" s="319">
        <v>2022.0</v>
      </c>
      <c r="L828" s="218" t="s">
        <v>200</v>
      </c>
    </row>
    <row r="829">
      <c r="A829" s="223" t="s">
        <v>66</v>
      </c>
      <c r="B829" s="223" t="s">
        <v>1324</v>
      </c>
      <c r="C829" s="223" t="s">
        <v>1156</v>
      </c>
      <c r="D829" s="322">
        <v>44804.0</v>
      </c>
      <c r="I829" s="218">
        <v>312.5</v>
      </c>
      <c r="J829" s="223" t="s">
        <v>52</v>
      </c>
      <c r="K829" s="319">
        <v>2022.08</v>
      </c>
      <c r="L829" s="218" t="s">
        <v>200</v>
      </c>
    </row>
    <row r="830">
      <c r="A830" s="223" t="s">
        <v>97</v>
      </c>
      <c r="B830" s="223" t="s">
        <v>1286</v>
      </c>
      <c r="C830" s="223" t="s">
        <v>1156</v>
      </c>
      <c r="D830" s="322">
        <v>44804.0</v>
      </c>
      <c r="I830" s="218">
        <v>125.0</v>
      </c>
      <c r="J830" s="223" t="s">
        <v>52</v>
      </c>
      <c r="K830" s="319">
        <v>2022.08</v>
      </c>
      <c r="L830" s="218" t="s">
        <v>200</v>
      </c>
    </row>
    <row r="831">
      <c r="A831" s="223" t="s">
        <v>50</v>
      </c>
      <c r="B831" s="223" t="s">
        <v>1275</v>
      </c>
      <c r="C831" s="223" t="s">
        <v>1156</v>
      </c>
      <c r="D831" s="322">
        <v>44804.0</v>
      </c>
      <c r="I831" s="218">
        <v>137.5</v>
      </c>
      <c r="J831" s="223" t="s">
        <v>52</v>
      </c>
      <c r="K831" s="319">
        <v>2022.08</v>
      </c>
      <c r="L831" s="218" t="s">
        <v>200</v>
      </c>
    </row>
    <row r="832">
      <c r="A832" s="223" t="s">
        <v>223</v>
      </c>
      <c r="B832" s="223" t="s">
        <v>1176</v>
      </c>
      <c r="C832" s="223" t="s">
        <v>1156</v>
      </c>
      <c r="D832" s="322">
        <v>44804.0</v>
      </c>
      <c r="I832" s="218">
        <v>500.0</v>
      </c>
      <c r="J832" s="223" t="s">
        <v>52</v>
      </c>
      <c r="K832" s="319">
        <v>2022.08</v>
      </c>
      <c r="L832" s="218" t="s">
        <v>200</v>
      </c>
    </row>
    <row r="833">
      <c r="A833" s="223" t="s">
        <v>88</v>
      </c>
      <c r="B833" s="223" t="s">
        <v>1256</v>
      </c>
      <c r="C833" s="223" t="s">
        <v>1156</v>
      </c>
      <c r="D833" s="322">
        <v>44804.0</v>
      </c>
      <c r="I833" s="218">
        <v>212.5</v>
      </c>
      <c r="J833" s="223" t="s">
        <v>52</v>
      </c>
      <c r="K833" s="319">
        <v>2022.08</v>
      </c>
      <c r="L833" s="218" t="s">
        <v>200</v>
      </c>
    </row>
    <row r="834">
      <c r="A834" s="223" t="s">
        <v>73</v>
      </c>
      <c r="B834" s="223" t="s">
        <v>1327</v>
      </c>
      <c r="C834" s="223" t="s">
        <v>1156</v>
      </c>
      <c r="D834" s="322">
        <v>44804.0</v>
      </c>
      <c r="I834" s="218">
        <v>262.5</v>
      </c>
      <c r="J834" s="223" t="s">
        <v>52</v>
      </c>
      <c r="K834" s="319">
        <v>2022.08</v>
      </c>
      <c r="L834" s="218" t="s">
        <v>200</v>
      </c>
    </row>
    <row r="835">
      <c r="A835" s="223" t="s">
        <v>42</v>
      </c>
      <c r="B835" s="223" t="s">
        <v>1236</v>
      </c>
      <c r="C835" s="223" t="s">
        <v>1156</v>
      </c>
      <c r="D835" s="322">
        <v>44804.0</v>
      </c>
      <c r="I835" s="218">
        <v>350.0</v>
      </c>
      <c r="J835" s="223" t="s">
        <v>52</v>
      </c>
      <c r="K835" s="319">
        <v>2022.08</v>
      </c>
      <c r="L835" s="218" t="s">
        <v>200</v>
      </c>
    </row>
    <row r="836">
      <c r="A836" s="223" t="s">
        <v>92</v>
      </c>
      <c r="B836" s="223" t="s">
        <v>1289</v>
      </c>
      <c r="C836" s="223" t="s">
        <v>1156</v>
      </c>
      <c r="D836" s="322">
        <v>44804.0</v>
      </c>
      <c r="I836" s="218">
        <v>212.5</v>
      </c>
      <c r="J836" s="223" t="s">
        <v>52</v>
      </c>
      <c r="K836" s="319">
        <v>2022.08</v>
      </c>
      <c r="L836" s="218" t="s">
        <v>200</v>
      </c>
    </row>
    <row r="837">
      <c r="A837" s="223" t="s">
        <v>54</v>
      </c>
      <c r="B837" s="223" t="s">
        <v>1187</v>
      </c>
      <c r="C837" s="223" t="s">
        <v>1156</v>
      </c>
      <c r="D837" s="322">
        <v>44804.0</v>
      </c>
      <c r="I837" s="218">
        <v>227.5</v>
      </c>
      <c r="J837" s="223" t="s">
        <v>52</v>
      </c>
      <c r="K837" s="319">
        <v>2022.08</v>
      </c>
      <c r="L837" s="218" t="s">
        <v>200</v>
      </c>
    </row>
    <row r="838">
      <c r="A838" s="223" t="s">
        <v>58</v>
      </c>
      <c r="B838" s="223" t="s">
        <v>1197</v>
      </c>
      <c r="C838" s="223" t="s">
        <v>1156</v>
      </c>
      <c r="D838" s="322">
        <v>44804.0</v>
      </c>
      <c r="I838" s="218">
        <v>315.0</v>
      </c>
      <c r="J838" s="223" t="s">
        <v>52</v>
      </c>
      <c r="K838" s="319">
        <v>2022.08</v>
      </c>
      <c r="L838" s="218" t="s">
        <v>200</v>
      </c>
    </row>
    <row r="839">
      <c r="A839" s="223" t="s">
        <v>82</v>
      </c>
      <c r="B839" s="223" t="s">
        <v>1124</v>
      </c>
      <c r="C839" s="223" t="s">
        <v>1156</v>
      </c>
      <c r="D839" s="322">
        <v>44804.0</v>
      </c>
      <c r="I839" s="218">
        <v>140.0</v>
      </c>
      <c r="J839" s="223" t="s">
        <v>52</v>
      </c>
      <c r="K839" s="319">
        <v>2022.08</v>
      </c>
      <c r="L839" s="218" t="s">
        <v>200</v>
      </c>
    </row>
    <row r="840">
      <c r="A840" s="223" t="s">
        <v>90</v>
      </c>
      <c r="B840" s="223" t="s">
        <v>1282</v>
      </c>
      <c r="C840" s="223" t="s">
        <v>1156</v>
      </c>
      <c r="D840" s="322">
        <v>44804.0</v>
      </c>
      <c r="I840" s="218">
        <v>365.0</v>
      </c>
      <c r="J840" s="223" t="s">
        <v>52</v>
      </c>
      <c r="K840" s="319">
        <v>2022.08</v>
      </c>
      <c r="L840" s="218" t="s">
        <v>200</v>
      </c>
    </row>
    <row r="841">
      <c r="A841" s="223" t="s">
        <v>1269</v>
      </c>
      <c r="B841" s="223" t="s">
        <v>1264</v>
      </c>
      <c r="C841" s="223" t="s">
        <v>1270</v>
      </c>
      <c r="D841" s="322">
        <v>44804.0</v>
      </c>
      <c r="I841" s="218">
        <v>67.5</v>
      </c>
      <c r="J841" s="223" t="s">
        <v>1152</v>
      </c>
      <c r="K841" s="319">
        <v>2022.0</v>
      </c>
      <c r="L841" s="218" t="s">
        <v>200</v>
      </c>
    </row>
    <row r="842">
      <c r="A842" s="223" t="s">
        <v>120</v>
      </c>
      <c r="B842" s="223" t="s">
        <v>1215</v>
      </c>
      <c r="C842" s="223" t="s">
        <v>1156</v>
      </c>
      <c r="D842" s="322">
        <v>44804.0</v>
      </c>
      <c r="I842" s="218">
        <v>30.0</v>
      </c>
      <c r="J842" s="223" t="s">
        <v>52</v>
      </c>
      <c r="K842" s="319">
        <v>2022.08</v>
      </c>
      <c r="L842" s="218" t="s">
        <v>200</v>
      </c>
    </row>
    <row r="843">
      <c r="A843" s="223" t="s">
        <v>515</v>
      </c>
      <c r="B843" s="223" t="s">
        <v>1383</v>
      </c>
      <c r="C843" s="223" t="s">
        <v>1384</v>
      </c>
      <c r="D843" s="322">
        <v>44804.0</v>
      </c>
      <c r="I843" s="218">
        <v>30.0</v>
      </c>
      <c r="J843" s="223" t="s">
        <v>1160</v>
      </c>
      <c r="K843" s="319">
        <v>2022.0</v>
      </c>
      <c r="L843" s="218" t="s">
        <v>200</v>
      </c>
    </row>
    <row r="844">
      <c r="A844" s="223" t="s">
        <v>115</v>
      </c>
      <c r="B844" s="223" t="s">
        <v>1308</v>
      </c>
      <c r="C844" s="223" t="s">
        <v>1156</v>
      </c>
      <c r="D844" s="322">
        <v>44804.0</v>
      </c>
      <c r="I844" s="218">
        <v>662.5</v>
      </c>
      <c r="J844" s="223" t="s">
        <v>52</v>
      </c>
      <c r="K844" s="319">
        <v>2022.08</v>
      </c>
      <c r="L844" s="218" t="s">
        <v>200</v>
      </c>
    </row>
    <row r="845">
      <c r="A845" s="223" t="s">
        <v>118</v>
      </c>
      <c r="B845" s="223" t="s">
        <v>1312</v>
      </c>
      <c r="C845" s="223" t="s">
        <v>1156</v>
      </c>
      <c r="D845" s="322">
        <v>44804.0</v>
      </c>
      <c r="I845" s="218">
        <v>662.5</v>
      </c>
      <c r="J845" s="223" t="s">
        <v>52</v>
      </c>
      <c r="K845" s="319">
        <v>2022.08</v>
      </c>
      <c r="L845" s="218" t="s">
        <v>200</v>
      </c>
    </row>
    <row r="846">
      <c r="A846" s="223" t="s">
        <v>92</v>
      </c>
      <c r="B846" s="223" t="s">
        <v>1289</v>
      </c>
      <c r="C846" s="223" t="s">
        <v>1156</v>
      </c>
      <c r="D846" s="322">
        <v>44804.0</v>
      </c>
      <c r="I846" s="218">
        <v>450.0</v>
      </c>
      <c r="J846" s="223" t="s">
        <v>52</v>
      </c>
      <c r="K846" s="319">
        <v>2022.08</v>
      </c>
      <c r="L846" s="218" t="s">
        <v>200</v>
      </c>
    </row>
    <row r="847">
      <c r="A847" s="223" t="s">
        <v>84</v>
      </c>
      <c r="B847" s="223" t="s">
        <v>1227</v>
      </c>
      <c r="C847" s="223" t="s">
        <v>1156</v>
      </c>
      <c r="D847" s="322">
        <v>44804.0</v>
      </c>
      <c r="I847" s="218">
        <v>475.0</v>
      </c>
      <c r="J847" s="223" t="s">
        <v>52</v>
      </c>
      <c r="K847" s="319">
        <v>2022.08</v>
      </c>
      <c r="L847" s="218" t="s">
        <v>200</v>
      </c>
    </row>
    <row r="848">
      <c r="A848" s="223" t="s">
        <v>123</v>
      </c>
      <c r="B848" s="223" t="s">
        <v>1300</v>
      </c>
      <c r="C848" s="223" t="s">
        <v>1156</v>
      </c>
      <c r="D848" s="322">
        <v>44804.0</v>
      </c>
      <c r="I848" s="218">
        <v>1087.5</v>
      </c>
      <c r="J848" s="223" t="s">
        <v>52</v>
      </c>
      <c r="K848" s="319">
        <v>2022.08</v>
      </c>
      <c r="L848" s="218" t="s">
        <v>200</v>
      </c>
    </row>
    <row r="849">
      <c r="A849" s="223" t="s">
        <v>62</v>
      </c>
      <c r="B849" s="223" t="s">
        <v>1304</v>
      </c>
      <c r="C849" s="223" t="s">
        <v>1156</v>
      </c>
      <c r="D849" s="322">
        <v>44804.0</v>
      </c>
      <c r="I849" s="218">
        <v>450.0</v>
      </c>
      <c r="J849" s="223" t="s">
        <v>52</v>
      </c>
      <c r="K849" s="319">
        <v>2022.08</v>
      </c>
      <c r="L849" s="218" t="s">
        <v>200</v>
      </c>
    </row>
    <row r="850">
      <c r="A850" s="223" t="s">
        <v>147</v>
      </c>
      <c r="B850" s="223" t="s">
        <v>1194</v>
      </c>
      <c r="C850" s="223" t="s">
        <v>1156</v>
      </c>
      <c r="D850" s="322">
        <v>44804.0</v>
      </c>
      <c r="I850" s="218">
        <v>75.0</v>
      </c>
      <c r="J850" s="223" t="s">
        <v>52</v>
      </c>
      <c r="K850" s="319">
        <v>2022.08</v>
      </c>
      <c r="L850" s="218" t="s">
        <v>200</v>
      </c>
    </row>
    <row r="851">
      <c r="A851" s="223" t="s">
        <v>92</v>
      </c>
      <c r="B851" s="223" t="s">
        <v>1289</v>
      </c>
      <c r="C851" s="223" t="s">
        <v>1156</v>
      </c>
      <c r="D851" s="322">
        <v>44804.0</v>
      </c>
      <c r="I851" s="218">
        <v>575.0</v>
      </c>
      <c r="J851" s="223" t="s">
        <v>52</v>
      </c>
      <c r="K851" s="319">
        <v>2022.08</v>
      </c>
      <c r="L851" s="218" t="s">
        <v>200</v>
      </c>
    </row>
    <row r="852">
      <c r="A852" s="223" t="s">
        <v>88</v>
      </c>
      <c r="B852" s="223" t="s">
        <v>1256</v>
      </c>
      <c r="C852" s="223" t="s">
        <v>1156</v>
      </c>
      <c r="D852" s="322">
        <v>44804.0</v>
      </c>
      <c r="I852" s="218">
        <v>45.0</v>
      </c>
      <c r="J852" s="223" t="s">
        <v>52</v>
      </c>
      <c r="K852" s="319">
        <v>2022.08</v>
      </c>
      <c r="L852" s="218" t="s">
        <v>200</v>
      </c>
    </row>
    <row r="853">
      <c r="A853" s="223" t="s">
        <v>97</v>
      </c>
      <c r="B853" s="223" t="s">
        <v>1286</v>
      </c>
      <c r="C853" s="223" t="s">
        <v>1156</v>
      </c>
      <c r="D853" s="322">
        <v>44804.0</v>
      </c>
      <c r="I853" s="218">
        <v>30.0</v>
      </c>
      <c r="J853" s="223" t="s">
        <v>52</v>
      </c>
      <c r="K853" s="319">
        <v>2022.08</v>
      </c>
      <c r="L853" s="218" t="s">
        <v>200</v>
      </c>
    </row>
    <row r="854">
      <c r="A854" s="223" t="s">
        <v>82</v>
      </c>
      <c r="B854" s="223" t="s">
        <v>1124</v>
      </c>
      <c r="C854" s="223" t="s">
        <v>1156</v>
      </c>
      <c r="D854" s="322">
        <v>44804.0</v>
      </c>
      <c r="I854" s="218">
        <v>75.0</v>
      </c>
      <c r="J854" s="223" t="s">
        <v>52</v>
      </c>
      <c r="K854" s="319">
        <v>2022.08</v>
      </c>
      <c r="L854" s="218" t="s">
        <v>200</v>
      </c>
    </row>
    <row r="855">
      <c r="A855" s="223" t="s">
        <v>99</v>
      </c>
      <c r="B855" s="223" t="s">
        <v>1192</v>
      </c>
      <c r="C855" s="223" t="s">
        <v>1156</v>
      </c>
      <c r="D855" s="322">
        <v>44804.0</v>
      </c>
      <c r="I855" s="218">
        <v>120.0</v>
      </c>
      <c r="J855" s="223" t="s">
        <v>52</v>
      </c>
      <c r="K855" s="319">
        <v>2022.08</v>
      </c>
      <c r="L855" s="218" t="s">
        <v>200</v>
      </c>
    </row>
    <row r="856">
      <c r="A856" s="223" t="s">
        <v>68</v>
      </c>
      <c r="B856" s="223" t="s">
        <v>1178</v>
      </c>
      <c r="C856" s="223" t="s">
        <v>1156</v>
      </c>
      <c r="D856" s="322">
        <v>44804.0</v>
      </c>
      <c r="I856" s="218">
        <v>60.0</v>
      </c>
      <c r="J856" s="223" t="s">
        <v>52</v>
      </c>
      <c r="K856" s="319">
        <v>2022.08</v>
      </c>
      <c r="L856" s="218" t="s">
        <v>200</v>
      </c>
    </row>
    <row r="857">
      <c r="A857" s="223" t="s">
        <v>42</v>
      </c>
      <c r="B857" s="223" t="s">
        <v>1236</v>
      </c>
      <c r="C857" s="223" t="s">
        <v>1156</v>
      </c>
      <c r="D857" s="322">
        <v>44804.0</v>
      </c>
      <c r="I857" s="218">
        <v>135.0</v>
      </c>
      <c r="J857" s="223" t="s">
        <v>52</v>
      </c>
      <c r="K857" s="319">
        <v>2022.08</v>
      </c>
      <c r="L857" s="218" t="s">
        <v>200</v>
      </c>
    </row>
    <row r="858">
      <c r="A858" s="223" t="s">
        <v>58</v>
      </c>
      <c r="B858" s="223" t="s">
        <v>1197</v>
      </c>
      <c r="C858" s="223" t="s">
        <v>1156</v>
      </c>
      <c r="D858" s="322">
        <v>44804.0</v>
      </c>
      <c r="I858" s="218">
        <v>400.0</v>
      </c>
      <c r="J858" s="223" t="s">
        <v>52</v>
      </c>
      <c r="K858" s="319">
        <v>2022.08</v>
      </c>
      <c r="L858" s="218" t="s">
        <v>200</v>
      </c>
    </row>
    <row r="859">
      <c r="A859" s="223" t="s">
        <v>123</v>
      </c>
      <c r="B859" s="223" t="s">
        <v>1300</v>
      </c>
      <c r="C859" s="223" t="s">
        <v>1156</v>
      </c>
      <c r="D859" s="322">
        <v>44804.0</v>
      </c>
      <c r="I859" s="218">
        <v>300.0</v>
      </c>
      <c r="J859" s="223" t="s">
        <v>52</v>
      </c>
      <c r="K859" s="319">
        <v>2022.08</v>
      </c>
      <c r="L859" s="218" t="s">
        <v>200</v>
      </c>
    </row>
    <row r="860">
      <c r="A860" s="223" t="s">
        <v>73</v>
      </c>
      <c r="B860" s="223" t="s">
        <v>1327</v>
      </c>
      <c r="C860" s="223" t="s">
        <v>1156</v>
      </c>
      <c r="D860" s="322">
        <v>44804.0</v>
      </c>
      <c r="I860" s="218">
        <v>60.0</v>
      </c>
      <c r="J860" s="223" t="s">
        <v>52</v>
      </c>
      <c r="K860" s="319">
        <v>2022.08</v>
      </c>
      <c r="L860" s="218" t="s">
        <v>200</v>
      </c>
    </row>
    <row r="861">
      <c r="A861" s="223" t="s">
        <v>50</v>
      </c>
      <c r="B861" s="223" t="s">
        <v>1275</v>
      </c>
      <c r="C861" s="223" t="s">
        <v>1156</v>
      </c>
      <c r="D861" s="322">
        <v>44804.0</v>
      </c>
      <c r="I861" s="218">
        <v>30.0</v>
      </c>
      <c r="J861" s="223" t="s">
        <v>52</v>
      </c>
      <c r="K861" s="319">
        <v>2022.08</v>
      </c>
      <c r="L861" s="218" t="s">
        <v>200</v>
      </c>
    </row>
    <row r="862">
      <c r="A862" s="223" t="s">
        <v>62</v>
      </c>
      <c r="B862" s="223" t="s">
        <v>1304</v>
      </c>
      <c r="C862" s="223" t="s">
        <v>1156</v>
      </c>
      <c r="D862" s="322">
        <v>44804.0</v>
      </c>
      <c r="I862" s="218">
        <v>300.0</v>
      </c>
      <c r="J862" s="223" t="s">
        <v>52</v>
      </c>
      <c r="K862" s="319">
        <v>2022.08</v>
      </c>
      <c r="L862" s="218" t="s">
        <v>200</v>
      </c>
    </row>
    <row r="863">
      <c r="A863" s="223" t="s">
        <v>225</v>
      </c>
      <c r="B863" s="223" t="s">
        <v>1257</v>
      </c>
      <c r="C863" s="223" t="s">
        <v>1156</v>
      </c>
      <c r="D863" s="322">
        <v>44804.0</v>
      </c>
      <c r="I863" s="218">
        <v>1860.0</v>
      </c>
      <c r="J863" s="223" t="s">
        <v>52</v>
      </c>
      <c r="K863" s="319">
        <v>2022.08</v>
      </c>
      <c r="L863" s="218" t="s">
        <v>200</v>
      </c>
    </row>
    <row r="864">
      <c r="A864" s="223" t="s">
        <v>279</v>
      </c>
      <c r="B864" s="223" t="s">
        <v>1305</v>
      </c>
      <c r="C864" s="223" t="s">
        <v>1306</v>
      </c>
      <c r="D864" s="322">
        <v>44804.0</v>
      </c>
      <c r="I864" s="218">
        <v>30.0</v>
      </c>
      <c r="J864" s="223" t="s">
        <v>1160</v>
      </c>
      <c r="K864" s="319">
        <v>2022.0</v>
      </c>
      <c r="L864" s="218" t="s">
        <v>200</v>
      </c>
    </row>
    <row r="865">
      <c r="A865" s="223" t="s">
        <v>354</v>
      </c>
      <c r="B865" s="223" t="s">
        <v>1309</v>
      </c>
      <c r="C865" s="223" t="s">
        <v>1336</v>
      </c>
      <c r="D865" s="322">
        <v>44804.0</v>
      </c>
      <c r="I865" s="218">
        <v>650.0</v>
      </c>
      <c r="J865" s="223" t="s">
        <v>52</v>
      </c>
      <c r="K865" s="319">
        <v>2022.08</v>
      </c>
      <c r="L865" s="218" t="s">
        <v>200</v>
      </c>
    </row>
    <row r="866">
      <c r="A866" s="223" t="s">
        <v>427</v>
      </c>
      <c r="B866" s="223" t="s">
        <v>1216</v>
      </c>
      <c r="C866" s="223" t="s">
        <v>1355</v>
      </c>
      <c r="D866" s="322">
        <v>44804.0</v>
      </c>
      <c r="I866" s="218">
        <v>45.0</v>
      </c>
      <c r="J866" s="223" t="s">
        <v>1160</v>
      </c>
      <c r="K866" s="319">
        <v>2022.0</v>
      </c>
      <c r="L866" s="218" t="s">
        <v>200</v>
      </c>
    </row>
    <row r="867">
      <c r="A867" s="223" t="s">
        <v>499</v>
      </c>
      <c r="B867" s="223" t="s">
        <v>1330</v>
      </c>
      <c r="C867" s="223" t="s">
        <v>1375</v>
      </c>
      <c r="D867" s="322">
        <v>44804.0</v>
      </c>
      <c r="I867" s="218">
        <v>150.0</v>
      </c>
      <c r="J867" s="223" t="s">
        <v>52</v>
      </c>
      <c r="K867" s="319">
        <v>2022.08</v>
      </c>
      <c r="L867" s="218" t="s">
        <v>200</v>
      </c>
    </row>
    <row r="868">
      <c r="A868" s="223" t="s">
        <v>532</v>
      </c>
      <c r="B868" s="223" t="s">
        <v>1345</v>
      </c>
      <c r="C868" s="223" t="s">
        <v>1387</v>
      </c>
      <c r="D868" s="322">
        <v>44804.0</v>
      </c>
      <c r="I868" s="218">
        <v>450.0</v>
      </c>
      <c r="J868" s="223" t="s">
        <v>52</v>
      </c>
      <c r="K868" s="319">
        <v>2022.08</v>
      </c>
      <c r="L868" s="218" t="s">
        <v>200</v>
      </c>
    </row>
    <row r="869">
      <c r="A869" s="223" t="s">
        <v>501</v>
      </c>
      <c r="B869" s="223" t="s">
        <v>1377</v>
      </c>
      <c r="C869" s="223" t="s">
        <v>1378</v>
      </c>
      <c r="D869" s="322">
        <v>44804.0</v>
      </c>
      <c r="I869" s="218">
        <v>250.0</v>
      </c>
      <c r="J869" s="223" t="s">
        <v>1160</v>
      </c>
      <c r="K869" s="319">
        <v>2022.0</v>
      </c>
      <c r="L869" s="218" t="s">
        <v>200</v>
      </c>
    </row>
    <row r="870">
      <c r="A870" s="223" t="s">
        <v>481</v>
      </c>
      <c r="B870" s="223" t="s">
        <v>1200</v>
      </c>
      <c r="C870" s="223" t="s">
        <v>1374</v>
      </c>
      <c r="D870" s="322">
        <v>44804.0</v>
      </c>
      <c r="I870" s="218">
        <v>257.5</v>
      </c>
      <c r="J870" s="223" t="s">
        <v>1160</v>
      </c>
      <c r="K870" s="319">
        <v>2022.0</v>
      </c>
      <c r="L870" s="218" t="s">
        <v>200</v>
      </c>
    </row>
    <row r="871">
      <c r="A871" s="223" t="s">
        <v>223</v>
      </c>
      <c r="B871" s="223" t="s">
        <v>1176</v>
      </c>
      <c r="C871" s="223" t="s">
        <v>1156</v>
      </c>
      <c r="D871" s="322">
        <v>44804.0</v>
      </c>
      <c r="I871" s="218">
        <v>75.0</v>
      </c>
      <c r="J871" s="223" t="s">
        <v>52</v>
      </c>
      <c r="K871" s="319">
        <v>2022.08</v>
      </c>
      <c r="L871" s="218" t="s">
        <v>200</v>
      </c>
    </row>
    <row r="872">
      <c r="A872" s="223" t="s">
        <v>66</v>
      </c>
      <c r="B872" s="223" t="s">
        <v>1324</v>
      </c>
      <c r="C872" s="223" t="s">
        <v>1156</v>
      </c>
      <c r="D872" s="322">
        <v>44804.0</v>
      </c>
      <c r="I872" s="218">
        <v>60.0</v>
      </c>
      <c r="J872" s="223" t="s">
        <v>52</v>
      </c>
      <c r="K872" s="319">
        <v>2022.08</v>
      </c>
      <c r="L872" s="218" t="s">
        <v>200</v>
      </c>
    </row>
    <row r="873">
      <c r="A873" s="223" t="s">
        <v>99</v>
      </c>
      <c r="B873" s="223" t="s">
        <v>1192</v>
      </c>
      <c r="C873" s="223" t="s">
        <v>1156</v>
      </c>
      <c r="D873" s="322">
        <v>44804.0</v>
      </c>
      <c r="I873" s="218">
        <v>487.5</v>
      </c>
      <c r="J873" s="223" t="s">
        <v>52</v>
      </c>
      <c r="K873" s="319">
        <v>2022.08</v>
      </c>
      <c r="L873" s="218" t="s">
        <v>200</v>
      </c>
    </row>
    <row r="874">
      <c r="A874" s="223" t="s">
        <v>42</v>
      </c>
      <c r="B874" s="223" t="s">
        <v>1236</v>
      </c>
      <c r="C874" s="223" t="s">
        <v>1156</v>
      </c>
      <c r="D874" s="322">
        <v>44804.0</v>
      </c>
      <c r="I874" s="218">
        <v>212.5</v>
      </c>
      <c r="J874" s="223" t="s">
        <v>52</v>
      </c>
      <c r="K874" s="319">
        <v>2022.08</v>
      </c>
      <c r="L874" s="218" t="s">
        <v>200</v>
      </c>
    </row>
    <row r="875">
      <c r="A875" s="223" t="s">
        <v>499</v>
      </c>
      <c r="B875" s="223" t="s">
        <v>1330</v>
      </c>
      <c r="C875" s="223" t="s">
        <v>1375</v>
      </c>
      <c r="D875" s="322">
        <v>44804.0</v>
      </c>
      <c r="I875" s="218">
        <v>150.0</v>
      </c>
      <c r="J875" s="223" t="s">
        <v>52</v>
      </c>
      <c r="K875" s="319">
        <v>2022.08</v>
      </c>
      <c r="L875" s="218" t="s">
        <v>200</v>
      </c>
    </row>
    <row r="876">
      <c r="A876" s="223" t="s">
        <v>549</v>
      </c>
      <c r="B876" s="223" t="s">
        <v>1368</v>
      </c>
      <c r="C876" s="223" t="s">
        <v>1393</v>
      </c>
      <c r="D876" s="322">
        <v>44804.0</v>
      </c>
      <c r="I876" s="218">
        <v>175.0</v>
      </c>
      <c r="J876" s="223" t="s">
        <v>52</v>
      </c>
      <c r="K876" s="319">
        <v>2022.08</v>
      </c>
      <c r="L876" s="218" t="s">
        <v>200</v>
      </c>
    </row>
    <row r="877">
      <c r="A877" s="223" t="s">
        <v>523</v>
      </c>
      <c r="B877" s="223" t="s">
        <v>1357</v>
      </c>
      <c r="C877" s="223" t="s">
        <v>1156</v>
      </c>
      <c r="D877" s="322">
        <v>44804.0</v>
      </c>
      <c r="I877" s="218">
        <v>150.0</v>
      </c>
      <c r="J877" s="223" t="s">
        <v>52</v>
      </c>
      <c r="K877" s="319">
        <v>2022.08</v>
      </c>
      <c r="L877" s="218" t="s">
        <v>200</v>
      </c>
    </row>
    <row r="878">
      <c r="A878" s="223" t="s">
        <v>1271</v>
      </c>
      <c r="B878" s="223" t="s">
        <v>1264</v>
      </c>
      <c r="C878" s="223" t="s">
        <v>1272</v>
      </c>
      <c r="D878" s="223" t="s">
        <v>2082</v>
      </c>
      <c r="I878" s="218">
        <v>131.42</v>
      </c>
      <c r="J878" s="223" t="s">
        <v>1152</v>
      </c>
      <c r="K878" s="319" t="s">
        <v>200</v>
      </c>
      <c r="L878" s="218" t="s">
        <v>200</v>
      </c>
    </row>
    <row r="879">
      <c r="A879" s="223" t="s">
        <v>1269</v>
      </c>
      <c r="B879" s="223" t="s">
        <v>1264</v>
      </c>
      <c r="C879" s="223" t="s">
        <v>1270</v>
      </c>
      <c r="D879" s="223" t="s">
        <v>2082</v>
      </c>
      <c r="I879" s="218">
        <v>65.21</v>
      </c>
      <c r="J879" s="223" t="s">
        <v>1152</v>
      </c>
      <c r="K879" s="319" t="s">
        <v>200</v>
      </c>
      <c r="L879" s="218" t="s">
        <v>200</v>
      </c>
    </row>
    <row r="880">
      <c r="A880" s="223" t="s">
        <v>75</v>
      </c>
      <c r="B880" s="223" t="s">
        <v>1279</v>
      </c>
      <c r="C880" s="223" t="s">
        <v>1156</v>
      </c>
      <c r="D880" s="322">
        <v>44804.0</v>
      </c>
      <c r="I880" s="218">
        <v>187.5</v>
      </c>
      <c r="J880" s="223" t="s">
        <v>52</v>
      </c>
      <c r="K880" s="319">
        <v>2022.08</v>
      </c>
      <c r="L880" s="218" t="s">
        <v>200</v>
      </c>
    </row>
    <row r="881">
      <c r="A881" s="223" t="s">
        <v>102</v>
      </c>
      <c r="B881" s="223" t="s">
        <v>1259</v>
      </c>
      <c r="C881" s="223" t="s">
        <v>1156</v>
      </c>
      <c r="D881" s="322">
        <v>44804.0</v>
      </c>
      <c r="I881" s="218">
        <v>150.0</v>
      </c>
      <c r="J881" s="223" t="s">
        <v>52</v>
      </c>
      <c r="K881" s="319">
        <v>2022.08</v>
      </c>
      <c r="L881" s="218" t="s">
        <v>200</v>
      </c>
    </row>
    <row r="882">
      <c r="A882" s="223" t="s">
        <v>414</v>
      </c>
      <c r="B882" s="223" t="s">
        <v>1345</v>
      </c>
      <c r="C882" s="223" t="s">
        <v>1346</v>
      </c>
      <c r="D882" s="322">
        <v>44804.0</v>
      </c>
      <c r="I882" s="218">
        <v>214.13</v>
      </c>
      <c r="J882" s="223" t="s">
        <v>1160</v>
      </c>
      <c r="K882" s="319">
        <v>2022.0</v>
      </c>
      <c r="L882" s="218" t="s">
        <v>200</v>
      </c>
    </row>
    <row r="883">
      <c r="A883" s="223" t="s">
        <v>99</v>
      </c>
      <c r="B883" s="223" t="s">
        <v>1192</v>
      </c>
      <c r="C883" s="223" t="s">
        <v>1156</v>
      </c>
      <c r="D883" s="322">
        <v>44804.0</v>
      </c>
      <c r="I883" s="218">
        <v>42.47</v>
      </c>
      <c r="J883" s="223" t="s">
        <v>52</v>
      </c>
      <c r="K883" s="319">
        <v>2022.08</v>
      </c>
      <c r="L883" s="218" t="s">
        <v>200</v>
      </c>
    </row>
    <row r="884">
      <c r="A884" s="223" t="s">
        <v>120</v>
      </c>
      <c r="B884" s="223" t="s">
        <v>1215</v>
      </c>
      <c r="C884" s="223" t="s">
        <v>1156</v>
      </c>
      <c r="D884" s="322">
        <v>44804.0</v>
      </c>
      <c r="I884" s="218">
        <v>2.53</v>
      </c>
      <c r="J884" s="223" t="s">
        <v>52</v>
      </c>
      <c r="K884" s="319">
        <v>2022.08</v>
      </c>
      <c r="L884" s="218" t="s">
        <v>200</v>
      </c>
    </row>
    <row r="885">
      <c r="A885" s="223" t="s">
        <v>570</v>
      </c>
      <c r="B885" s="223" t="s">
        <v>1398</v>
      </c>
      <c r="C885" s="223" t="s">
        <v>1401</v>
      </c>
      <c r="D885" s="322">
        <v>44804.0</v>
      </c>
      <c r="I885" s="218">
        <v>554.05</v>
      </c>
      <c r="J885" s="223" t="s">
        <v>1160</v>
      </c>
      <c r="K885" s="319">
        <v>2022.0</v>
      </c>
      <c r="L885" s="218" t="s">
        <v>200</v>
      </c>
    </row>
    <row r="886">
      <c r="A886" s="223" t="s">
        <v>565</v>
      </c>
      <c r="B886" s="223" t="s">
        <v>1398</v>
      </c>
      <c r="C886" s="223" t="s">
        <v>1399</v>
      </c>
      <c r="D886" s="322">
        <v>44804.0</v>
      </c>
      <c r="I886" s="218">
        <v>668.9</v>
      </c>
      <c r="J886" s="223" t="s">
        <v>1160</v>
      </c>
      <c r="K886" s="319">
        <v>2022.0</v>
      </c>
      <c r="L886" s="218" t="s">
        <v>200</v>
      </c>
    </row>
    <row r="887">
      <c r="A887" s="223" t="s">
        <v>82</v>
      </c>
      <c r="B887" s="223" t="s">
        <v>1124</v>
      </c>
      <c r="C887" s="223" t="s">
        <v>1156</v>
      </c>
      <c r="D887" s="322">
        <v>44804.0</v>
      </c>
      <c r="I887" s="218">
        <v>100.89</v>
      </c>
      <c r="J887" s="223" t="s">
        <v>52</v>
      </c>
      <c r="K887" s="319">
        <v>2022.08</v>
      </c>
      <c r="L887" s="218" t="s">
        <v>200</v>
      </c>
    </row>
    <row r="888">
      <c r="A888" s="223" t="s">
        <v>148</v>
      </c>
      <c r="B888" s="223" t="s">
        <v>1239</v>
      </c>
      <c r="C888" s="223" t="s">
        <v>1190</v>
      </c>
      <c r="D888" s="322">
        <v>44804.0</v>
      </c>
      <c r="I888" s="218">
        <v>7.91</v>
      </c>
      <c r="J888" s="223" t="s">
        <v>1160</v>
      </c>
      <c r="K888" s="319">
        <v>2022.0</v>
      </c>
      <c r="L888" s="218" t="s">
        <v>200</v>
      </c>
    </row>
    <row r="889">
      <c r="A889" s="223" t="s">
        <v>354</v>
      </c>
      <c r="B889" s="223" t="s">
        <v>1309</v>
      </c>
      <c r="C889" s="223" t="s">
        <v>1336</v>
      </c>
      <c r="D889" s="322">
        <v>44804.0</v>
      </c>
      <c r="I889" s="218">
        <v>47.79</v>
      </c>
      <c r="J889" s="223" t="s">
        <v>52</v>
      </c>
      <c r="K889" s="319">
        <v>2022.08</v>
      </c>
      <c r="L889" s="218" t="s">
        <v>200</v>
      </c>
    </row>
    <row r="890">
      <c r="A890" s="223" t="s">
        <v>476</v>
      </c>
      <c r="B890" s="223" t="s">
        <v>1371</v>
      </c>
      <c r="C890" s="223" t="s">
        <v>1372</v>
      </c>
      <c r="D890" s="322">
        <v>44804.0</v>
      </c>
      <c r="I890" s="218">
        <v>32.29</v>
      </c>
      <c r="J890" s="223" t="s">
        <v>1160</v>
      </c>
      <c r="K890" s="319">
        <v>2022.0</v>
      </c>
      <c r="L890" s="218" t="s">
        <v>200</v>
      </c>
    </row>
    <row r="891">
      <c r="A891" s="223" t="s">
        <v>1266</v>
      </c>
      <c r="B891" s="223" t="s">
        <v>1264</v>
      </c>
      <c r="C891" s="223" t="s">
        <v>1267</v>
      </c>
      <c r="D891" s="322">
        <v>44804.0</v>
      </c>
      <c r="I891" s="218">
        <v>320.99</v>
      </c>
      <c r="J891" s="223" t="s">
        <v>1152</v>
      </c>
      <c r="K891" s="319">
        <v>2022.0</v>
      </c>
      <c r="L891" s="218" t="s">
        <v>200</v>
      </c>
    </row>
    <row r="892">
      <c r="A892" s="223" t="s">
        <v>90</v>
      </c>
      <c r="B892" s="223" t="s">
        <v>1282</v>
      </c>
      <c r="C892" s="223" t="s">
        <v>1156</v>
      </c>
      <c r="D892" s="322">
        <v>44804.0</v>
      </c>
      <c r="I892" s="218">
        <v>422.46</v>
      </c>
      <c r="J892" s="223" t="s">
        <v>52</v>
      </c>
      <c r="K892" s="319">
        <v>2022.08</v>
      </c>
      <c r="L892" s="218" t="s">
        <v>200</v>
      </c>
    </row>
    <row r="893">
      <c r="A893" s="223" t="s">
        <v>92</v>
      </c>
      <c r="B893" s="223" t="s">
        <v>1289</v>
      </c>
      <c r="C893" s="223" t="s">
        <v>1156</v>
      </c>
      <c r="D893" s="322">
        <v>44804.0</v>
      </c>
      <c r="I893" s="218">
        <v>14.63</v>
      </c>
      <c r="J893" s="223" t="s">
        <v>52</v>
      </c>
      <c r="K893" s="319">
        <v>2022.08</v>
      </c>
      <c r="L893" s="218" t="s">
        <v>200</v>
      </c>
    </row>
    <row r="894">
      <c r="A894" s="223" t="s">
        <v>118</v>
      </c>
      <c r="B894" s="223" t="s">
        <v>1312</v>
      </c>
      <c r="C894" s="223" t="s">
        <v>1156</v>
      </c>
      <c r="D894" s="322">
        <v>44804.0</v>
      </c>
      <c r="I894" s="218">
        <v>2.55</v>
      </c>
      <c r="J894" s="223" t="s">
        <v>52</v>
      </c>
      <c r="K894" s="319">
        <v>2022.08</v>
      </c>
      <c r="L894" s="218" t="s">
        <v>200</v>
      </c>
    </row>
    <row r="895">
      <c r="A895" s="223" t="s">
        <v>560</v>
      </c>
      <c r="B895" s="223" t="s">
        <v>1395</v>
      </c>
      <c r="C895" s="223" t="s">
        <v>36</v>
      </c>
      <c r="D895" s="322">
        <v>44804.0</v>
      </c>
      <c r="I895" s="218">
        <v>363.14</v>
      </c>
      <c r="J895" s="223" t="s">
        <v>1160</v>
      </c>
      <c r="K895" s="319">
        <v>2022.0</v>
      </c>
      <c r="L895" s="218" t="s">
        <v>200</v>
      </c>
    </row>
    <row r="896">
      <c r="A896" s="223" t="s">
        <v>66</v>
      </c>
      <c r="B896" s="223" t="s">
        <v>1324</v>
      </c>
      <c r="C896" s="223" t="s">
        <v>1156</v>
      </c>
      <c r="D896" s="322">
        <v>44804.0</v>
      </c>
      <c r="I896" s="218">
        <v>83.74</v>
      </c>
      <c r="J896" s="223" t="s">
        <v>52</v>
      </c>
      <c r="K896" s="319">
        <v>2022.08</v>
      </c>
      <c r="L896" s="218" t="s">
        <v>200</v>
      </c>
    </row>
    <row r="897">
      <c r="A897" s="223" t="s">
        <v>115</v>
      </c>
      <c r="B897" s="223" t="s">
        <v>1308</v>
      </c>
      <c r="C897" s="223" t="s">
        <v>1156</v>
      </c>
      <c r="D897" s="320">
        <v>44794.0</v>
      </c>
      <c r="I897" s="218">
        <v>750.0</v>
      </c>
      <c r="J897" s="223" t="s">
        <v>52</v>
      </c>
      <c r="K897" s="319">
        <v>2022.08</v>
      </c>
      <c r="L897" s="218">
        <v>750.0</v>
      </c>
    </row>
    <row r="898">
      <c r="A898" s="223" t="s">
        <v>92</v>
      </c>
      <c r="B898" s="223" t="s">
        <v>1289</v>
      </c>
      <c r="C898" s="223" t="s">
        <v>1156</v>
      </c>
      <c r="D898" s="320">
        <v>44798.0</v>
      </c>
      <c r="I898" s="218">
        <v>19.6</v>
      </c>
      <c r="J898" s="223" t="s">
        <v>52</v>
      </c>
      <c r="K898" s="319">
        <v>2022.08</v>
      </c>
      <c r="L898" s="218">
        <v>19.6</v>
      </c>
    </row>
    <row r="899">
      <c r="A899" s="223" t="s">
        <v>118</v>
      </c>
      <c r="B899" s="223" t="s">
        <v>1312</v>
      </c>
      <c r="C899" s="223" t="s">
        <v>1156</v>
      </c>
      <c r="D899" s="320">
        <v>44802.0</v>
      </c>
      <c r="I899" s="218">
        <v>750.0</v>
      </c>
      <c r="J899" s="223" t="s">
        <v>52</v>
      </c>
      <c r="K899" s="319">
        <v>2022.08</v>
      </c>
      <c r="L899" s="218">
        <v>750.0</v>
      </c>
    </row>
    <row r="900">
      <c r="A900" s="223" t="s">
        <v>92</v>
      </c>
      <c r="B900" s="223" t="s">
        <v>1289</v>
      </c>
      <c r="C900" s="223" t="s">
        <v>1156</v>
      </c>
      <c r="D900" s="320">
        <v>44804.0</v>
      </c>
      <c r="I900" s="218">
        <v>47.1</v>
      </c>
      <c r="J900" s="223" t="s">
        <v>52</v>
      </c>
      <c r="K900" s="319">
        <v>2022.08</v>
      </c>
      <c r="L900" s="218">
        <v>47.1</v>
      </c>
    </row>
    <row r="901">
      <c r="A901" s="223" t="s">
        <v>115</v>
      </c>
      <c r="B901" s="223" t="s">
        <v>1308</v>
      </c>
      <c r="C901" s="223" t="s">
        <v>1156</v>
      </c>
      <c r="D901" s="320">
        <v>44805.0</v>
      </c>
      <c r="I901" s="218">
        <v>334.07</v>
      </c>
      <c r="J901" s="223" t="s">
        <v>52</v>
      </c>
      <c r="K901" s="319">
        <v>2022.09</v>
      </c>
      <c r="L901" s="218">
        <v>334.07</v>
      </c>
    </row>
    <row r="902">
      <c r="A902" s="223" t="s">
        <v>118</v>
      </c>
      <c r="B902" s="223" t="s">
        <v>1312</v>
      </c>
      <c r="C902" s="223" t="s">
        <v>1156</v>
      </c>
      <c r="D902" s="320">
        <v>44805.0</v>
      </c>
      <c r="I902" s="218">
        <v>186.26</v>
      </c>
      <c r="J902" s="223" t="s">
        <v>52</v>
      </c>
      <c r="K902" s="319">
        <v>2022.09</v>
      </c>
      <c r="L902" s="218">
        <v>186.26</v>
      </c>
    </row>
    <row r="903">
      <c r="A903" s="223" t="s">
        <v>279</v>
      </c>
      <c r="B903" s="223" t="s">
        <v>1305</v>
      </c>
      <c r="C903" s="223" t="s">
        <v>1306</v>
      </c>
      <c r="D903" s="320">
        <v>44805.0</v>
      </c>
      <c r="I903" s="218">
        <v>55.4</v>
      </c>
      <c r="J903" s="223" t="s">
        <v>1160</v>
      </c>
      <c r="K903" s="319">
        <v>2022.0</v>
      </c>
      <c r="L903" s="218">
        <v>55.4</v>
      </c>
    </row>
    <row r="904">
      <c r="A904" s="223" t="s">
        <v>102</v>
      </c>
      <c r="B904" s="223" t="s">
        <v>1259</v>
      </c>
      <c r="C904" s="223" t="s">
        <v>1156</v>
      </c>
      <c r="D904" s="322">
        <v>44834.0</v>
      </c>
      <c r="I904" s="218">
        <v>150.0</v>
      </c>
      <c r="J904" s="223" t="s">
        <v>52</v>
      </c>
      <c r="K904" s="319">
        <v>2022.09</v>
      </c>
      <c r="L904" s="218" t="s">
        <v>200</v>
      </c>
    </row>
    <row r="905">
      <c r="A905" s="223" t="s">
        <v>427</v>
      </c>
      <c r="B905" s="223" t="s">
        <v>1216</v>
      </c>
      <c r="C905" s="223" t="s">
        <v>1355</v>
      </c>
      <c r="D905" s="320">
        <v>44834.0</v>
      </c>
      <c r="I905" s="218">
        <v>175.0</v>
      </c>
      <c r="J905" s="223" t="s">
        <v>1160</v>
      </c>
      <c r="K905" s="319">
        <v>2022.0</v>
      </c>
      <c r="L905" s="218" t="s">
        <v>200</v>
      </c>
    </row>
    <row r="906">
      <c r="A906" s="223" t="s">
        <v>354</v>
      </c>
      <c r="B906" s="223" t="s">
        <v>1309</v>
      </c>
      <c r="C906" s="223" t="s">
        <v>1336</v>
      </c>
      <c r="D906" s="320">
        <v>44834.0</v>
      </c>
      <c r="I906" s="218">
        <v>50.0</v>
      </c>
      <c r="J906" s="223" t="s">
        <v>52</v>
      </c>
      <c r="K906" s="319">
        <v>2022.09</v>
      </c>
      <c r="L906" s="218" t="s">
        <v>200</v>
      </c>
    </row>
    <row r="907">
      <c r="A907" s="223" t="s">
        <v>68</v>
      </c>
      <c r="B907" s="223" t="s">
        <v>1178</v>
      </c>
      <c r="C907" s="223" t="s">
        <v>1156</v>
      </c>
      <c r="D907" s="320">
        <v>44834.0</v>
      </c>
      <c r="I907" s="218">
        <v>237.5</v>
      </c>
      <c r="J907" s="223" t="s">
        <v>52</v>
      </c>
      <c r="K907" s="319">
        <v>2022.09</v>
      </c>
      <c r="L907" s="218" t="s">
        <v>200</v>
      </c>
    </row>
    <row r="908">
      <c r="A908" s="223" t="s">
        <v>82</v>
      </c>
      <c r="B908" s="223" t="s">
        <v>1124</v>
      </c>
      <c r="C908" s="223" t="s">
        <v>1156</v>
      </c>
      <c r="D908" s="320">
        <v>44834.0</v>
      </c>
      <c r="I908" s="218">
        <v>225.0</v>
      </c>
      <c r="J908" s="223" t="s">
        <v>52</v>
      </c>
      <c r="K908" s="319">
        <v>2022.09</v>
      </c>
      <c r="L908" s="218" t="s">
        <v>200</v>
      </c>
    </row>
    <row r="909">
      <c r="A909" s="223" t="s">
        <v>92</v>
      </c>
      <c r="B909" s="223" t="s">
        <v>1289</v>
      </c>
      <c r="C909" s="223" t="s">
        <v>1156</v>
      </c>
      <c r="D909" s="320">
        <v>44834.0</v>
      </c>
      <c r="I909" s="218">
        <v>300.0</v>
      </c>
      <c r="J909" s="223" t="s">
        <v>52</v>
      </c>
      <c r="K909" s="319">
        <v>2022.09</v>
      </c>
      <c r="L909" s="218" t="s">
        <v>200</v>
      </c>
    </row>
    <row r="910">
      <c r="A910" s="223" t="s">
        <v>54</v>
      </c>
      <c r="B910" s="223" t="s">
        <v>1187</v>
      </c>
      <c r="C910" s="223" t="s">
        <v>1156</v>
      </c>
      <c r="D910" s="320">
        <v>44834.0</v>
      </c>
      <c r="I910" s="218">
        <v>177.5</v>
      </c>
      <c r="J910" s="223" t="s">
        <v>52</v>
      </c>
      <c r="K910" s="319">
        <v>2022.09</v>
      </c>
      <c r="L910" s="218" t="s">
        <v>200</v>
      </c>
    </row>
    <row r="911">
      <c r="A911" s="223" t="s">
        <v>334</v>
      </c>
      <c r="B911" s="223" t="s">
        <v>1197</v>
      </c>
      <c r="C911" s="223" t="s">
        <v>1198</v>
      </c>
      <c r="D911" s="320">
        <v>44834.0</v>
      </c>
      <c r="I911" s="218">
        <v>315.0</v>
      </c>
      <c r="J911" s="223" t="s">
        <v>1160</v>
      </c>
      <c r="K911" s="319">
        <v>2022.0</v>
      </c>
      <c r="L911" s="218" t="s">
        <v>200</v>
      </c>
    </row>
    <row r="912">
      <c r="A912" s="223" t="s">
        <v>457</v>
      </c>
      <c r="B912" s="223" t="s">
        <v>1365</v>
      </c>
      <c r="C912" s="223" t="s">
        <v>1366</v>
      </c>
      <c r="D912" s="320">
        <v>44834.0</v>
      </c>
      <c r="I912" s="218">
        <v>575.0</v>
      </c>
      <c r="J912" s="223" t="s">
        <v>1160</v>
      </c>
      <c r="K912" s="319">
        <v>2022.0</v>
      </c>
      <c r="L912" s="218" t="s">
        <v>200</v>
      </c>
    </row>
    <row r="913">
      <c r="A913" s="223" t="s">
        <v>90</v>
      </c>
      <c r="B913" s="223" t="s">
        <v>1282</v>
      </c>
      <c r="C913" s="223" t="s">
        <v>1156</v>
      </c>
      <c r="D913" s="320">
        <v>44834.0</v>
      </c>
      <c r="I913" s="218">
        <v>455.0</v>
      </c>
      <c r="J913" s="223" t="s">
        <v>52</v>
      </c>
      <c r="K913" s="319">
        <v>2022.09</v>
      </c>
      <c r="L913" s="218" t="s">
        <v>200</v>
      </c>
    </row>
    <row r="914">
      <c r="A914" s="223" t="s">
        <v>82</v>
      </c>
      <c r="B914" s="223" t="s">
        <v>1124</v>
      </c>
      <c r="C914" s="223" t="s">
        <v>1156</v>
      </c>
      <c r="D914" s="320">
        <v>44834.0</v>
      </c>
      <c r="I914" s="218">
        <v>227.5</v>
      </c>
      <c r="J914" s="223" t="s">
        <v>52</v>
      </c>
      <c r="K914" s="319">
        <v>2022.09</v>
      </c>
      <c r="L914" s="218" t="s">
        <v>200</v>
      </c>
    </row>
    <row r="915">
      <c r="A915" s="223" t="s">
        <v>618</v>
      </c>
      <c r="B915" s="223" t="s">
        <v>1377</v>
      </c>
      <c r="C915" s="223" t="s">
        <v>1421</v>
      </c>
      <c r="D915" s="320">
        <v>44834.0</v>
      </c>
      <c r="I915" s="218">
        <v>200.0</v>
      </c>
      <c r="J915" s="223" t="s">
        <v>1160</v>
      </c>
      <c r="K915" s="319">
        <v>2022.0</v>
      </c>
      <c r="L915" s="218" t="s">
        <v>200</v>
      </c>
    </row>
    <row r="916">
      <c r="A916" s="223" t="s">
        <v>608</v>
      </c>
      <c r="B916" s="223" t="s">
        <v>1417</v>
      </c>
      <c r="C916" s="223" t="s">
        <v>1418</v>
      </c>
      <c r="D916" s="320">
        <v>44834.0</v>
      </c>
      <c r="I916" s="218">
        <v>350.0</v>
      </c>
      <c r="J916" s="223" t="s">
        <v>1160</v>
      </c>
      <c r="K916" s="319">
        <v>2022.0</v>
      </c>
      <c r="L916" s="218" t="s">
        <v>200</v>
      </c>
    </row>
    <row r="917">
      <c r="A917" s="223" t="s">
        <v>141</v>
      </c>
      <c r="B917" s="223" t="s">
        <v>1292</v>
      </c>
      <c r="C917" s="223" t="s">
        <v>1190</v>
      </c>
      <c r="D917" s="320">
        <v>44834.0</v>
      </c>
      <c r="I917" s="218">
        <v>200.0</v>
      </c>
      <c r="J917" s="223" t="s">
        <v>1152</v>
      </c>
      <c r="K917" s="319">
        <v>2022.0</v>
      </c>
      <c r="L917" s="218" t="s">
        <v>200</v>
      </c>
    </row>
    <row r="918">
      <c r="A918" s="223" t="s">
        <v>467</v>
      </c>
      <c r="B918" s="223" t="s">
        <v>1209</v>
      </c>
      <c r="C918" s="223" t="s">
        <v>469</v>
      </c>
      <c r="D918" s="320">
        <v>44834.0</v>
      </c>
      <c r="I918" s="218">
        <v>30.0</v>
      </c>
      <c r="J918" s="223" t="s">
        <v>52</v>
      </c>
      <c r="K918" s="319">
        <v>2022.09</v>
      </c>
      <c r="L918" s="218" t="s">
        <v>200</v>
      </c>
    </row>
    <row r="919">
      <c r="A919" s="223" t="s">
        <v>66</v>
      </c>
      <c r="B919" s="223" t="s">
        <v>1324</v>
      </c>
      <c r="C919" s="223" t="s">
        <v>1156</v>
      </c>
      <c r="D919" s="320">
        <v>44834.0</v>
      </c>
      <c r="I919" s="218">
        <v>312.5</v>
      </c>
      <c r="J919" s="223" t="s">
        <v>52</v>
      </c>
      <c r="K919" s="319">
        <v>2022.09</v>
      </c>
      <c r="L919" s="218" t="s">
        <v>200</v>
      </c>
    </row>
    <row r="920">
      <c r="A920" s="223" t="s">
        <v>97</v>
      </c>
      <c r="B920" s="223" t="s">
        <v>1286</v>
      </c>
      <c r="C920" s="223" t="s">
        <v>1156</v>
      </c>
      <c r="D920" s="320">
        <v>44834.0</v>
      </c>
      <c r="I920" s="218">
        <v>125.0</v>
      </c>
      <c r="J920" s="223" t="s">
        <v>52</v>
      </c>
      <c r="K920" s="319">
        <v>2022.09</v>
      </c>
      <c r="L920" s="218" t="s">
        <v>200</v>
      </c>
    </row>
    <row r="921">
      <c r="A921" s="223" t="s">
        <v>50</v>
      </c>
      <c r="B921" s="223" t="s">
        <v>1275</v>
      </c>
      <c r="C921" s="223" t="s">
        <v>1156</v>
      </c>
      <c r="D921" s="320">
        <v>44834.0</v>
      </c>
      <c r="I921" s="218">
        <v>137.5</v>
      </c>
      <c r="J921" s="223" t="s">
        <v>52</v>
      </c>
      <c r="K921" s="319">
        <v>2022.09</v>
      </c>
      <c r="L921" s="218" t="s">
        <v>200</v>
      </c>
    </row>
    <row r="922">
      <c r="A922" s="223" t="s">
        <v>223</v>
      </c>
      <c r="B922" s="223" t="s">
        <v>1176</v>
      </c>
      <c r="C922" s="223" t="s">
        <v>1156</v>
      </c>
      <c r="D922" s="320">
        <v>44834.0</v>
      </c>
      <c r="I922" s="218">
        <v>500.0</v>
      </c>
      <c r="J922" s="223" t="s">
        <v>52</v>
      </c>
      <c r="K922" s="319">
        <v>2022.09</v>
      </c>
      <c r="L922" s="218" t="s">
        <v>200</v>
      </c>
    </row>
    <row r="923">
      <c r="A923" s="223" t="s">
        <v>88</v>
      </c>
      <c r="B923" s="223" t="s">
        <v>1256</v>
      </c>
      <c r="C923" s="223" t="s">
        <v>1156</v>
      </c>
      <c r="D923" s="320">
        <v>44834.0</v>
      </c>
      <c r="I923" s="218">
        <v>212.5</v>
      </c>
      <c r="J923" s="223" t="s">
        <v>52</v>
      </c>
      <c r="K923" s="319">
        <v>2022.09</v>
      </c>
      <c r="L923" s="218" t="s">
        <v>200</v>
      </c>
    </row>
    <row r="924">
      <c r="A924" s="223" t="s">
        <v>73</v>
      </c>
      <c r="B924" s="223" t="s">
        <v>1327</v>
      </c>
      <c r="C924" s="223" t="s">
        <v>1156</v>
      </c>
      <c r="D924" s="320">
        <v>44834.0</v>
      </c>
      <c r="I924" s="218">
        <v>262.5</v>
      </c>
      <c r="J924" s="223" t="s">
        <v>52</v>
      </c>
      <c r="K924" s="319">
        <v>2022.09</v>
      </c>
      <c r="L924" s="218" t="s">
        <v>200</v>
      </c>
    </row>
    <row r="925">
      <c r="A925" s="223" t="s">
        <v>58</v>
      </c>
      <c r="B925" s="223" t="s">
        <v>1197</v>
      </c>
      <c r="C925" s="223" t="s">
        <v>1156</v>
      </c>
      <c r="D925" s="320">
        <v>44834.0</v>
      </c>
      <c r="I925" s="218">
        <v>350.0</v>
      </c>
      <c r="J925" s="223" t="s">
        <v>52</v>
      </c>
      <c r="K925" s="319">
        <v>2022.09</v>
      </c>
      <c r="L925" s="218" t="s">
        <v>200</v>
      </c>
    </row>
    <row r="926">
      <c r="A926" s="223" t="s">
        <v>451</v>
      </c>
      <c r="B926" s="223" t="s">
        <v>1363</v>
      </c>
      <c r="C926" s="223" t="s">
        <v>1364</v>
      </c>
      <c r="D926" s="320">
        <v>44834.0</v>
      </c>
      <c r="I926" s="218">
        <v>237.5</v>
      </c>
      <c r="J926" s="223" t="s">
        <v>1160</v>
      </c>
      <c r="K926" s="319">
        <v>2022.0</v>
      </c>
      <c r="L926" s="218" t="s">
        <v>200</v>
      </c>
    </row>
    <row r="927">
      <c r="A927" s="223" t="s">
        <v>92</v>
      </c>
      <c r="B927" s="223" t="s">
        <v>1289</v>
      </c>
      <c r="C927" s="223" t="s">
        <v>1156</v>
      </c>
      <c r="D927" s="320">
        <v>44834.0</v>
      </c>
      <c r="I927" s="218">
        <v>275.0</v>
      </c>
      <c r="J927" s="223" t="s">
        <v>52</v>
      </c>
      <c r="K927" s="319">
        <v>2022.09</v>
      </c>
      <c r="L927" s="218" t="s">
        <v>200</v>
      </c>
    </row>
    <row r="928">
      <c r="A928" s="223" t="s">
        <v>88</v>
      </c>
      <c r="B928" s="223" t="s">
        <v>1256</v>
      </c>
      <c r="C928" s="223" t="s">
        <v>1156</v>
      </c>
      <c r="D928" s="320">
        <v>44834.0</v>
      </c>
      <c r="I928" s="218">
        <v>45.0</v>
      </c>
      <c r="J928" s="223" t="s">
        <v>52</v>
      </c>
      <c r="K928" s="319">
        <v>2022.09</v>
      </c>
      <c r="L928" s="218" t="s">
        <v>200</v>
      </c>
    </row>
    <row r="929">
      <c r="A929" s="223" t="s">
        <v>97</v>
      </c>
      <c r="B929" s="223" t="s">
        <v>1286</v>
      </c>
      <c r="C929" s="223" t="s">
        <v>1156</v>
      </c>
      <c r="D929" s="320">
        <v>44834.0</v>
      </c>
      <c r="I929" s="218">
        <v>30.0</v>
      </c>
      <c r="J929" s="223" t="s">
        <v>52</v>
      </c>
      <c r="K929" s="319">
        <v>2022.09</v>
      </c>
      <c r="L929" s="218" t="s">
        <v>200</v>
      </c>
    </row>
    <row r="930">
      <c r="A930" s="223" t="s">
        <v>82</v>
      </c>
      <c r="B930" s="223" t="s">
        <v>1124</v>
      </c>
      <c r="C930" s="223" t="s">
        <v>1156</v>
      </c>
      <c r="D930" s="320">
        <v>44834.0</v>
      </c>
      <c r="I930" s="218">
        <v>75.0</v>
      </c>
      <c r="J930" s="223" t="s">
        <v>52</v>
      </c>
      <c r="K930" s="319">
        <v>2022.09</v>
      </c>
      <c r="L930" s="218" t="s">
        <v>200</v>
      </c>
    </row>
    <row r="931">
      <c r="A931" s="223" t="s">
        <v>99</v>
      </c>
      <c r="B931" s="223" t="s">
        <v>1192</v>
      </c>
      <c r="C931" s="223" t="s">
        <v>1156</v>
      </c>
      <c r="D931" s="320">
        <v>44834.0</v>
      </c>
      <c r="I931" s="218">
        <v>270.0</v>
      </c>
      <c r="J931" s="223" t="s">
        <v>52</v>
      </c>
      <c r="K931" s="319">
        <v>2022.09</v>
      </c>
      <c r="L931" s="218" t="s">
        <v>200</v>
      </c>
    </row>
    <row r="932">
      <c r="A932" s="223" t="s">
        <v>68</v>
      </c>
      <c r="B932" s="223" t="s">
        <v>1178</v>
      </c>
      <c r="C932" s="223" t="s">
        <v>1156</v>
      </c>
      <c r="D932" s="320">
        <v>44834.0</v>
      </c>
      <c r="I932" s="218">
        <v>60.0</v>
      </c>
      <c r="J932" s="223" t="s">
        <v>52</v>
      </c>
      <c r="K932" s="319">
        <v>2022.09</v>
      </c>
      <c r="L932" s="218" t="s">
        <v>200</v>
      </c>
    </row>
    <row r="933">
      <c r="A933" s="223" t="s">
        <v>42</v>
      </c>
      <c r="B933" s="223" t="s">
        <v>1236</v>
      </c>
      <c r="C933" s="223" t="s">
        <v>1156</v>
      </c>
      <c r="D933" s="320">
        <v>44834.0</v>
      </c>
      <c r="I933" s="218">
        <v>135.0</v>
      </c>
      <c r="J933" s="223" t="s">
        <v>52</v>
      </c>
      <c r="K933" s="319">
        <v>2022.09</v>
      </c>
      <c r="L933" s="218" t="s">
        <v>200</v>
      </c>
    </row>
    <row r="934">
      <c r="A934" s="223" t="s">
        <v>58</v>
      </c>
      <c r="B934" s="223" t="s">
        <v>1197</v>
      </c>
      <c r="C934" s="223" t="s">
        <v>1156</v>
      </c>
      <c r="D934" s="320">
        <v>44834.0</v>
      </c>
      <c r="I934" s="218">
        <v>50.0</v>
      </c>
      <c r="J934" s="223" t="s">
        <v>52</v>
      </c>
      <c r="K934" s="319">
        <v>2022.09</v>
      </c>
      <c r="L934" s="218" t="s">
        <v>200</v>
      </c>
    </row>
    <row r="935">
      <c r="A935" s="223" t="s">
        <v>123</v>
      </c>
      <c r="B935" s="223" t="s">
        <v>1300</v>
      </c>
      <c r="C935" s="223" t="s">
        <v>1156</v>
      </c>
      <c r="D935" s="320">
        <v>44834.0</v>
      </c>
      <c r="I935" s="218">
        <v>300.0</v>
      </c>
      <c r="J935" s="223" t="s">
        <v>52</v>
      </c>
      <c r="K935" s="319">
        <v>2022.09</v>
      </c>
      <c r="L935" s="218" t="s">
        <v>200</v>
      </c>
    </row>
    <row r="936">
      <c r="A936" s="223" t="s">
        <v>73</v>
      </c>
      <c r="B936" s="223" t="s">
        <v>1327</v>
      </c>
      <c r="C936" s="223" t="s">
        <v>1156</v>
      </c>
      <c r="D936" s="320">
        <v>44834.0</v>
      </c>
      <c r="I936" s="218">
        <v>60.0</v>
      </c>
      <c r="J936" s="223" t="s">
        <v>52</v>
      </c>
      <c r="K936" s="319">
        <v>2022.09</v>
      </c>
      <c r="L936" s="218" t="s">
        <v>200</v>
      </c>
    </row>
    <row r="937">
      <c r="A937" s="223" t="s">
        <v>50</v>
      </c>
      <c r="B937" s="223" t="s">
        <v>1275</v>
      </c>
      <c r="C937" s="223" t="s">
        <v>1156</v>
      </c>
      <c r="D937" s="320">
        <v>44834.0</v>
      </c>
      <c r="I937" s="218">
        <v>30.0</v>
      </c>
      <c r="J937" s="223" t="s">
        <v>52</v>
      </c>
      <c r="K937" s="319">
        <v>2022.09</v>
      </c>
      <c r="L937" s="218" t="s">
        <v>200</v>
      </c>
    </row>
    <row r="938">
      <c r="A938" s="223" t="s">
        <v>62</v>
      </c>
      <c r="B938" s="223" t="s">
        <v>1304</v>
      </c>
      <c r="C938" s="223" t="s">
        <v>1156</v>
      </c>
      <c r="D938" s="320">
        <v>44834.0</v>
      </c>
      <c r="I938" s="218">
        <v>300.0</v>
      </c>
      <c r="J938" s="223" t="s">
        <v>52</v>
      </c>
      <c r="K938" s="319">
        <v>2022.09</v>
      </c>
      <c r="L938" s="218" t="s">
        <v>200</v>
      </c>
    </row>
    <row r="939">
      <c r="A939" s="223" t="s">
        <v>223</v>
      </c>
      <c r="B939" s="223" t="s">
        <v>1176</v>
      </c>
      <c r="C939" s="223" t="s">
        <v>1156</v>
      </c>
      <c r="D939" s="320">
        <v>44834.0</v>
      </c>
      <c r="I939" s="218">
        <v>75.0</v>
      </c>
      <c r="J939" s="223" t="s">
        <v>52</v>
      </c>
      <c r="K939" s="319">
        <v>2022.09</v>
      </c>
      <c r="L939" s="218" t="s">
        <v>200</v>
      </c>
    </row>
    <row r="940">
      <c r="A940" s="223" t="s">
        <v>225</v>
      </c>
      <c r="B940" s="223" t="s">
        <v>1257</v>
      </c>
      <c r="C940" s="223" t="s">
        <v>1156</v>
      </c>
      <c r="D940" s="320">
        <v>44834.0</v>
      </c>
      <c r="I940" s="218">
        <v>1860.0</v>
      </c>
      <c r="J940" s="223" t="s">
        <v>52</v>
      </c>
      <c r="K940" s="319">
        <v>2022.09</v>
      </c>
      <c r="L940" s="218" t="s">
        <v>200</v>
      </c>
    </row>
    <row r="941">
      <c r="A941" s="223" t="s">
        <v>66</v>
      </c>
      <c r="B941" s="223" t="s">
        <v>1324</v>
      </c>
      <c r="C941" s="223" t="s">
        <v>1156</v>
      </c>
      <c r="D941" s="320">
        <v>44834.0</v>
      </c>
      <c r="I941" s="218">
        <v>60.0</v>
      </c>
      <c r="J941" s="223" t="s">
        <v>52</v>
      </c>
      <c r="K941" s="319">
        <v>2022.09</v>
      </c>
      <c r="L941" s="218" t="s">
        <v>200</v>
      </c>
    </row>
    <row r="942">
      <c r="A942" s="223" t="s">
        <v>354</v>
      </c>
      <c r="B942" s="223" t="s">
        <v>1309</v>
      </c>
      <c r="C942" s="223" t="s">
        <v>1336</v>
      </c>
      <c r="D942" s="320">
        <v>44834.0</v>
      </c>
      <c r="I942" s="218">
        <v>650.0</v>
      </c>
      <c r="J942" s="223" t="s">
        <v>52</v>
      </c>
      <c r="K942" s="319">
        <v>2022.09</v>
      </c>
      <c r="L942" s="218" t="s">
        <v>200</v>
      </c>
    </row>
    <row r="943">
      <c r="A943" s="223" t="s">
        <v>427</v>
      </c>
      <c r="B943" s="223" t="s">
        <v>1216</v>
      </c>
      <c r="C943" s="223" t="s">
        <v>1355</v>
      </c>
      <c r="D943" s="320">
        <v>44834.0</v>
      </c>
      <c r="I943" s="218">
        <v>45.0</v>
      </c>
      <c r="J943" s="223" t="s">
        <v>1160</v>
      </c>
      <c r="K943" s="319">
        <v>2022.0</v>
      </c>
      <c r="L943" s="218" t="s">
        <v>200</v>
      </c>
    </row>
    <row r="944">
      <c r="A944" s="223" t="s">
        <v>499</v>
      </c>
      <c r="B944" s="223" t="s">
        <v>1330</v>
      </c>
      <c r="C944" s="223" t="s">
        <v>1375</v>
      </c>
      <c r="D944" s="320">
        <v>44834.0</v>
      </c>
      <c r="I944" s="218">
        <v>150.0</v>
      </c>
      <c r="J944" s="223" t="s">
        <v>52</v>
      </c>
      <c r="K944" s="319">
        <v>2022.09</v>
      </c>
      <c r="L944" s="218" t="s">
        <v>200</v>
      </c>
    </row>
    <row r="945">
      <c r="A945" s="223" t="s">
        <v>611</v>
      </c>
      <c r="B945" s="223" t="s">
        <v>1377</v>
      </c>
      <c r="C945" s="223" t="s">
        <v>1420</v>
      </c>
      <c r="D945" s="320">
        <v>44834.0</v>
      </c>
      <c r="I945" s="218">
        <v>210.0</v>
      </c>
      <c r="J945" s="223" t="s">
        <v>1160</v>
      </c>
      <c r="K945" s="319">
        <v>2022.0</v>
      </c>
      <c r="L945" s="218" t="s">
        <v>200</v>
      </c>
    </row>
    <row r="946">
      <c r="A946" s="223" t="s">
        <v>451</v>
      </c>
      <c r="B946" s="223" t="s">
        <v>1363</v>
      </c>
      <c r="C946" s="223" t="s">
        <v>1364</v>
      </c>
      <c r="D946" s="320">
        <v>44834.0</v>
      </c>
      <c r="I946" s="218">
        <v>60.0</v>
      </c>
      <c r="J946" s="223" t="s">
        <v>1160</v>
      </c>
      <c r="K946" s="319">
        <v>2022.0</v>
      </c>
      <c r="L946" s="218" t="s">
        <v>200</v>
      </c>
    </row>
    <row r="947">
      <c r="A947" s="223" t="s">
        <v>549</v>
      </c>
      <c r="B947" s="223" t="s">
        <v>1368</v>
      </c>
      <c r="C947" s="223" t="s">
        <v>1393</v>
      </c>
      <c r="D947" s="320">
        <v>44834.0</v>
      </c>
      <c r="I947" s="218">
        <v>45.0</v>
      </c>
      <c r="J947" s="223" t="s">
        <v>52</v>
      </c>
      <c r="K947" s="319">
        <v>2022.09</v>
      </c>
      <c r="L947" s="218" t="s">
        <v>200</v>
      </c>
    </row>
    <row r="948">
      <c r="A948" s="223" t="s">
        <v>42</v>
      </c>
      <c r="B948" s="223" t="s">
        <v>1236</v>
      </c>
      <c r="C948" s="223" t="s">
        <v>1156</v>
      </c>
      <c r="D948" s="320">
        <v>44834.0</v>
      </c>
      <c r="I948" s="218">
        <v>350.0</v>
      </c>
      <c r="J948" s="223" t="s">
        <v>52</v>
      </c>
      <c r="K948" s="319">
        <v>2022.09</v>
      </c>
      <c r="L948" s="218" t="s">
        <v>200</v>
      </c>
    </row>
    <row r="949">
      <c r="A949" s="223" t="s">
        <v>92</v>
      </c>
      <c r="B949" s="223" t="s">
        <v>1289</v>
      </c>
      <c r="C949" s="223" t="s">
        <v>1156</v>
      </c>
      <c r="D949" s="320">
        <v>44834.0</v>
      </c>
      <c r="I949" s="218">
        <v>212.5</v>
      </c>
      <c r="J949" s="223" t="s">
        <v>52</v>
      </c>
      <c r="K949" s="319">
        <v>2022.09</v>
      </c>
      <c r="L949" s="218" t="s">
        <v>200</v>
      </c>
    </row>
    <row r="950">
      <c r="A950" s="223" t="s">
        <v>54</v>
      </c>
      <c r="B950" s="223" t="s">
        <v>1187</v>
      </c>
      <c r="C950" s="223" t="s">
        <v>1156</v>
      </c>
      <c r="D950" s="320">
        <v>44834.0</v>
      </c>
      <c r="I950" s="218">
        <v>350.0</v>
      </c>
      <c r="J950" s="223" t="s">
        <v>52</v>
      </c>
      <c r="K950" s="319">
        <v>2022.09</v>
      </c>
      <c r="L950" s="218" t="s">
        <v>200</v>
      </c>
    </row>
    <row r="951">
      <c r="A951" s="223" t="s">
        <v>115</v>
      </c>
      <c r="B951" s="223" t="s">
        <v>1308</v>
      </c>
      <c r="C951" s="223" t="s">
        <v>1156</v>
      </c>
      <c r="D951" s="320">
        <v>44834.0</v>
      </c>
      <c r="I951" s="218">
        <v>662.5</v>
      </c>
      <c r="J951" s="223" t="s">
        <v>52</v>
      </c>
      <c r="K951" s="319">
        <v>2022.09</v>
      </c>
      <c r="L951" s="218" t="s">
        <v>200</v>
      </c>
    </row>
    <row r="952">
      <c r="A952" s="223" t="s">
        <v>118</v>
      </c>
      <c r="B952" s="223" t="s">
        <v>1312</v>
      </c>
      <c r="C952" s="223" t="s">
        <v>1156</v>
      </c>
      <c r="D952" s="320">
        <v>44834.0</v>
      </c>
      <c r="I952" s="218">
        <v>662.5</v>
      </c>
      <c r="J952" s="223" t="s">
        <v>52</v>
      </c>
      <c r="K952" s="319">
        <v>2022.09</v>
      </c>
      <c r="L952" s="218" t="s">
        <v>200</v>
      </c>
    </row>
    <row r="953">
      <c r="A953" s="223" t="s">
        <v>92</v>
      </c>
      <c r="B953" s="223" t="s">
        <v>1289</v>
      </c>
      <c r="C953" s="223" t="s">
        <v>1156</v>
      </c>
      <c r="D953" s="320">
        <v>44834.0</v>
      </c>
      <c r="I953" s="218">
        <v>450.0</v>
      </c>
      <c r="J953" s="223" t="s">
        <v>52</v>
      </c>
      <c r="K953" s="319">
        <v>2022.09</v>
      </c>
      <c r="L953" s="218" t="s">
        <v>200</v>
      </c>
    </row>
    <row r="954">
      <c r="A954" s="223" t="s">
        <v>84</v>
      </c>
      <c r="B954" s="223" t="s">
        <v>1227</v>
      </c>
      <c r="C954" s="223" t="s">
        <v>1156</v>
      </c>
      <c r="D954" s="320">
        <v>44834.0</v>
      </c>
      <c r="I954" s="218">
        <v>475.0</v>
      </c>
      <c r="J954" s="223" t="s">
        <v>52</v>
      </c>
      <c r="K954" s="319">
        <v>2022.09</v>
      </c>
      <c r="L954" s="218" t="s">
        <v>200</v>
      </c>
    </row>
    <row r="955">
      <c r="A955" s="223" t="s">
        <v>123</v>
      </c>
      <c r="B955" s="223" t="s">
        <v>1300</v>
      </c>
      <c r="C955" s="223" t="s">
        <v>1156</v>
      </c>
      <c r="D955" s="320">
        <v>44834.0</v>
      </c>
      <c r="I955" s="218">
        <v>1067.5</v>
      </c>
      <c r="J955" s="223" t="s">
        <v>52</v>
      </c>
      <c r="K955" s="319">
        <v>2022.09</v>
      </c>
      <c r="L955" s="218" t="s">
        <v>200</v>
      </c>
    </row>
    <row r="956">
      <c r="A956" s="223" t="s">
        <v>62</v>
      </c>
      <c r="B956" s="223" t="s">
        <v>1304</v>
      </c>
      <c r="C956" s="223" t="s">
        <v>1156</v>
      </c>
      <c r="D956" s="320">
        <v>44834.0</v>
      </c>
      <c r="I956" s="218">
        <v>450.0</v>
      </c>
      <c r="J956" s="223" t="s">
        <v>52</v>
      </c>
      <c r="K956" s="319">
        <v>2022.09</v>
      </c>
      <c r="L956" s="218" t="s">
        <v>200</v>
      </c>
    </row>
    <row r="957">
      <c r="A957" s="223" t="s">
        <v>99</v>
      </c>
      <c r="B957" s="223" t="s">
        <v>1192</v>
      </c>
      <c r="C957" s="223" t="s">
        <v>1156</v>
      </c>
      <c r="D957" s="320">
        <v>44834.0</v>
      </c>
      <c r="I957" s="218">
        <v>337.5</v>
      </c>
      <c r="J957" s="223" t="s">
        <v>52</v>
      </c>
      <c r="K957" s="319">
        <v>2022.09</v>
      </c>
      <c r="L957" s="218" t="s">
        <v>200</v>
      </c>
    </row>
    <row r="958">
      <c r="A958" s="223" t="s">
        <v>618</v>
      </c>
      <c r="B958" s="223" t="s">
        <v>1377</v>
      </c>
      <c r="C958" s="223" t="s">
        <v>1421</v>
      </c>
      <c r="D958" s="320">
        <v>44834.0</v>
      </c>
      <c r="I958" s="218">
        <v>550.0</v>
      </c>
      <c r="J958" s="223" t="s">
        <v>1160</v>
      </c>
      <c r="K958" s="319">
        <v>2022.0</v>
      </c>
      <c r="L958" s="218" t="s">
        <v>200</v>
      </c>
    </row>
    <row r="959">
      <c r="A959" s="223" t="s">
        <v>42</v>
      </c>
      <c r="B959" s="223" t="s">
        <v>1236</v>
      </c>
      <c r="C959" s="223" t="s">
        <v>1156</v>
      </c>
      <c r="D959" s="320">
        <v>44834.0</v>
      </c>
      <c r="I959" s="218">
        <v>212.5</v>
      </c>
      <c r="J959" s="223" t="s">
        <v>52</v>
      </c>
      <c r="K959" s="319">
        <v>2022.09</v>
      </c>
      <c r="L959" s="218" t="s">
        <v>200</v>
      </c>
    </row>
    <row r="960">
      <c r="A960" s="223" t="s">
        <v>499</v>
      </c>
      <c r="B960" s="223" t="s">
        <v>1330</v>
      </c>
      <c r="C960" s="223" t="s">
        <v>1375</v>
      </c>
      <c r="D960" s="320">
        <v>44834.0</v>
      </c>
      <c r="I960" s="218">
        <v>150.0</v>
      </c>
      <c r="J960" s="223" t="s">
        <v>52</v>
      </c>
      <c r="K960" s="319">
        <v>2022.09</v>
      </c>
      <c r="L960" s="218" t="s">
        <v>200</v>
      </c>
    </row>
    <row r="961">
      <c r="A961" s="223" t="s">
        <v>549</v>
      </c>
      <c r="B961" s="223" t="s">
        <v>1368</v>
      </c>
      <c r="C961" s="223" t="s">
        <v>1393</v>
      </c>
      <c r="D961" s="320">
        <v>44834.0</v>
      </c>
      <c r="I961" s="218">
        <v>175.0</v>
      </c>
      <c r="J961" s="223" t="s">
        <v>52</v>
      </c>
      <c r="K961" s="319">
        <v>2022.09</v>
      </c>
      <c r="L961" s="218" t="s">
        <v>200</v>
      </c>
    </row>
    <row r="962">
      <c r="A962" s="223" t="s">
        <v>523</v>
      </c>
      <c r="B962" s="223" t="s">
        <v>1357</v>
      </c>
      <c r="C962" s="223" t="s">
        <v>1156</v>
      </c>
      <c r="D962" s="320">
        <v>44834.0</v>
      </c>
      <c r="I962" s="218">
        <v>150.0</v>
      </c>
      <c r="J962" s="223" t="s">
        <v>52</v>
      </c>
      <c r="K962" s="319">
        <v>2022.09</v>
      </c>
      <c r="L962" s="218" t="s">
        <v>200</v>
      </c>
    </row>
    <row r="963">
      <c r="A963" s="223" t="s">
        <v>75</v>
      </c>
      <c r="B963" s="223" t="s">
        <v>1279</v>
      </c>
      <c r="C963" s="223" t="s">
        <v>1156</v>
      </c>
      <c r="D963" s="320">
        <v>44834.0</v>
      </c>
      <c r="I963" s="218">
        <v>187.5</v>
      </c>
      <c r="J963" s="223" t="s">
        <v>52</v>
      </c>
      <c r="K963" s="319">
        <v>2022.09</v>
      </c>
      <c r="L963" s="218" t="s">
        <v>200</v>
      </c>
    </row>
    <row r="964">
      <c r="A964" s="223" t="s">
        <v>1271</v>
      </c>
      <c r="B964" s="223" t="s">
        <v>1264</v>
      </c>
      <c r="C964" s="223" t="s">
        <v>1272</v>
      </c>
      <c r="D964" s="320">
        <v>44848.0</v>
      </c>
      <c r="I964" s="218">
        <v>3.13</v>
      </c>
      <c r="J964" s="223" t="s">
        <v>1152</v>
      </c>
      <c r="K964" s="319">
        <v>2022.0</v>
      </c>
      <c r="L964" s="218" t="s">
        <v>200</v>
      </c>
    </row>
    <row r="965">
      <c r="A965" s="223" t="s">
        <v>1271</v>
      </c>
      <c r="B965" s="223" t="s">
        <v>1264</v>
      </c>
      <c r="C965" s="223" t="s">
        <v>1272</v>
      </c>
      <c r="D965" s="320">
        <v>44848.0</v>
      </c>
      <c r="I965" s="218">
        <v>133.75</v>
      </c>
      <c r="J965" s="223" t="s">
        <v>1152</v>
      </c>
      <c r="K965" s="319">
        <v>2022.0</v>
      </c>
      <c r="L965" s="218" t="s">
        <v>200</v>
      </c>
    </row>
    <row r="966">
      <c r="A966" s="223" t="s">
        <v>1271</v>
      </c>
      <c r="B966" s="223" t="s">
        <v>1264</v>
      </c>
      <c r="C966" s="223" t="s">
        <v>1272</v>
      </c>
      <c r="D966" s="320">
        <v>44848.0</v>
      </c>
      <c r="I966" s="218">
        <v>14.55</v>
      </c>
      <c r="J966" s="223" t="s">
        <v>1152</v>
      </c>
      <c r="K966" s="319">
        <v>2022.0</v>
      </c>
      <c r="L966" s="218" t="s">
        <v>200</v>
      </c>
    </row>
    <row r="967">
      <c r="A967" s="223" t="s">
        <v>1271</v>
      </c>
      <c r="B967" s="223" t="s">
        <v>1264</v>
      </c>
      <c r="C967" s="223" t="s">
        <v>1272</v>
      </c>
      <c r="D967" s="320">
        <v>44849.0</v>
      </c>
      <c r="I967" s="218">
        <v>19.66</v>
      </c>
      <c r="J967" s="223" t="s">
        <v>1152</v>
      </c>
      <c r="K967" s="319">
        <v>2022.0</v>
      </c>
      <c r="L967" s="218">
        <v>19.66</v>
      </c>
    </row>
    <row r="968">
      <c r="A968" s="223" t="s">
        <v>1271</v>
      </c>
      <c r="B968" s="223" t="s">
        <v>1264</v>
      </c>
      <c r="C968" s="223" t="s">
        <v>1272</v>
      </c>
      <c r="D968" s="320">
        <v>44850.0</v>
      </c>
      <c r="I968" s="218">
        <v>3.13</v>
      </c>
      <c r="J968" s="223" t="s">
        <v>1152</v>
      </c>
      <c r="K968" s="319">
        <v>2022.0</v>
      </c>
      <c r="L968" s="218">
        <v>3.13</v>
      </c>
    </row>
    <row r="969">
      <c r="A969" s="223" t="s">
        <v>1271</v>
      </c>
      <c r="B969" s="223" t="s">
        <v>1264</v>
      </c>
      <c r="C969" s="223" t="s">
        <v>1272</v>
      </c>
      <c r="D969" s="320">
        <v>44851.0</v>
      </c>
      <c r="I969" s="218">
        <v>139.64</v>
      </c>
      <c r="J969" s="223" t="s">
        <v>1152</v>
      </c>
      <c r="K969" s="319">
        <v>2022.0</v>
      </c>
      <c r="L969" s="218" t="s">
        <v>200</v>
      </c>
    </row>
    <row r="970">
      <c r="A970" s="223" t="s">
        <v>92</v>
      </c>
      <c r="B970" s="223" t="s">
        <v>1289</v>
      </c>
      <c r="C970" s="223" t="s">
        <v>1156</v>
      </c>
      <c r="D970" s="320">
        <v>44820.0</v>
      </c>
      <c r="I970" s="218">
        <v>53.96</v>
      </c>
      <c r="J970" s="223" t="s">
        <v>52</v>
      </c>
      <c r="K970" s="319">
        <v>2022.09</v>
      </c>
      <c r="L970" s="218">
        <v>53.96</v>
      </c>
    </row>
    <row r="971">
      <c r="A971" s="223" t="s">
        <v>118</v>
      </c>
      <c r="B971" s="223" t="s">
        <v>1312</v>
      </c>
      <c r="C971" s="223" t="s">
        <v>1156</v>
      </c>
      <c r="D971" s="320">
        <v>44822.0</v>
      </c>
      <c r="I971" s="218">
        <v>750.0</v>
      </c>
      <c r="J971" s="223" t="s">
        <v>52</v>
      </c>
      <c r="K971" s="319">
        <v>2022.09</v>
      </c>
      <c r="L971" s="218">
        <v>750.0</v>
      </c>
    </row>
    <row r="972">
      <c r="A972" s="223" t="s">
        <v>115</v>
      </c>
      <c r="B972" s="223" t="s">
        <v>1308</v>
      </c>
      <c r="C972" s="223" t="s">
        <v>1156</v>
      </c>
      <c r="D972" s="320">
        <v>44828.0</v>
      </c>
      <c r="I972" s="218">
        <v>750.0</v>
      </c>
      <c r="J972" s="223" t="s">
        <v>52</v>
      </c>
      <c r="K972" s="319">
        <v>2022.09</v>
      </c>
      <c r="L972" s="218">
        <v>750.0</v>
      </c>
    </row>
    <row r="973">
      <c r="A973" s="223" t="s">
        <v>118</v>
      </c>
      <c r="B973" s="223" t="s">
        <v>1312</v>
      </c>
      <c r="C973" s="223" t="s">
        <v>1156</v>
      </c>
      <c r="D973" s="320">
        <v>44829.0</v>
      </c>
      <c r="I973" s="218">
        <v>50.4</v>
      </c>
      <c r="J973" s="223" t="s">
        <v>52</v>
      </c>
      <c r="K973" s="319">
        <v>2022.09</v>
      </c>
      <c r="L973" s="218">
        <v>50.4</v>
      </c>
    </row>
    <row r="974">
      <c r="A974" s="223" t="s">
        <v>115</v>
      </c>
      <c r="B974" s="223" t="s">
        <v>1308</v>
      </c>
      <c r="C974" s="223" t="s">
        <v>1156</v>
      </c>
      <c r="D974" s="320">
        <v>44834.0</v>
      </c>
      <c r="I974" s="218">
        <v>48.12</v>
      </c>
      <c r="J974" s="223" t="s">
        <v>52</v>
      </c>
      <c r="K974" s="319">
        <v>2022.09</v>
      </c>
      <c r="L974" s="218">
        <v>48.12</v>
      </c>
    </row>
    <row r="975">
      <c r="A975" s="223" t="s">
        <v>115</v>
      </c>
      <c r="B975" s="223" t="s">
        <v>1308</v>
      </c>
      <c r="C975" s="223" t="s">
        <v>1156</v>
      </c>
      <c r="D975" s="320">
        <v>44835.0</v>
      </c>
      <c r="I975" s="218">
        <v>214.34</v>
      </c>
      <c r="J975" s="223" t="s">
        <v>52</v>
      </c>
      <c r="K975" s="319">
        <v>2022.1</v>
      </c>
      <c r="L975" s="218">
        <v>214.34</v>
      </c>
    </row>
    <row r="976">
      <c r="A976" s="223" t="s">
        <v>118</v>
      </c>
      <c r="B976" s="223" t="s">
        <v>1312</v>
      </c>
      <c r="C976" s="223" t="s">
        <v>1156</v>
      </c>
      <c r="D976" s="320">
        <v>44835.0</v>
      </c>
      <c r="I976" s="218">
        <v>564.54</v>
      </c>
      <c r="J976" s="223" t="s">
        <v>52</v>
      </c>
      <c r="K976" s="319">
        <v>2022.1</v>
      </c>
      <c r="L976" s="218">
        <v>564.54</v>
      </c>
    </row>
    <row r="977">
      <c r="A977" s="223" t="s">
        <v>1271</v>
      </c>
      <c r="B977" s="223" t="s">
        <v>1264</v>
      </c>
      <c r="C977" s="223" t="s">
        <v>1272</v>
      </c>
      <c r="D977" s="320">
        <v>44836.0</v>
      </c>
      <c r="I977" s="218">
        <v>57.21</v>
      </c>
      <c r="J977" s="223" t="s">
        <v>1152</v>
      </c>
      <c r="K977" s="319">
        <v>2022.0</v>
      </c>
      <c r="L977" s="218" t="s">
        <v>200</v>
      </c>
    </row>
    <row r="978">
      <c r="A978" s="223" t="s">
        <v>528</v>
      </c>
      <c r="B978" s="223" t="s">
        <v>1345</v>
      </c>
      <c r="C978" s="223" t="s">
        <v>1179</v>
      </c>
      <c r="D978" s="320">
        <v>44834.0</v>
      </c>
      <c r="I978" s="218">
        <v>368.15</v>
      </c>
      <c r="J978" s="223" t="s">
        <v>1160</v>
      </c>
      <c r="K978" s="319">
        <v>2022.0</v>
      </c>
      <c r="L978" s="218" t="s">
        <v>200</v>
      </c>
    </row>
    <row r="979">
      <c r="A979" s="223" t="s">
        <v>54</v>
      </c>
      <c r="B979" s="223" t="s">
        <v>1187</v>
      </c>
      <c r="C979" s="223" t="s">
        <v>1156</v>
      </c>
      <c r="D979" s="320">
        <v>44834.0</v>
      </c>
      <c r="I979" s="218">
        <v>5.98</v>
      </c>
      <c r="J979" s="223" t="s">
        <v>52</v>
      </c>
      <c r="K979" s="319">
        <v>2022.09</v>
      </c>
      <c r="L979" s="218" t="s">
        <v>200</v>
      </c>
    </row>
    <row r="980">
      <c r="A980" s="223" t="s">
        <v>632</v>
      </c>
      <c r="B980" s="223" t="s">
        <v>1383</v>
      </c>
      <c r="C980" s="223" t="s">
        <v>36</v>
      </c>
      <c r="D980" s="320">
        <v>44834.0</v>
      </c>
      <c r="I980" s="218">
        <v>271.24</v>
      </c>
      <c r="J980" s="223" t="s">
        <v>1160</v>
      </c>
      <c r="K980" s="319">
        <v>2022.0</v>
      </c>
      <c r="L980" s="218" t="s">
        <v>200</v>
      </c>
    </row>
    <row r="981">
      <c r="A981" s="223" t="s">
        <v>584</v>
      </c>
      <c r="B981" s="223" t="s">
        <v>1398</v>
      </c>
      <c r="C981" s="223" t="s">
        <v>1403</v>
      </c>
      <c r="D981" s="320">
        <v>44834.0</v>
      </c>
      <c r="I981" s="218">
        <v>228.12</v>
      </c>
      <c r="J981" s="223" t="s">
        <v>1160</v>
      </c>
      <c r="K981" s="319">
        <v>2022.0</v>
      </c>
      <c r="L981" s="218" t="s">
        <v>200</v>
      </c>
    </row>
    <row r="982">
      <c r="A982" s="223" t="s">
        <v>570</v>
      </c>
      <c r="B982" s="223" t="s">
        <v>1398</v>
      </c>
      <c r="C982" s="223" t="s">
        <v>1401</v>
      </c>
      <c r="D982" s="320">
        <v>44834.0</v>
      </c>
      <c r="I982" s="218">
        <v>418.66</v>
      </c>
      <c r="J982" s="223" t="s">
        <v>1160</v>
      </c>
      <c r="K982" s="319">
        <v>2022.0</v>
      </c>
      <c r="L982" s="218" t="s">
        <v>200</v>
      </c>
    </row>
    <row r="983">
      <c r="A983" s="223" t="s">
        <v>565</v>
      </c>
      <c r="B983" s="223" t="s">
        <v>1398</v>
      </c>
      <c r="C983" s="223" t="s">
        <v>1399</v>
      </c>
      <c r="D983" s="320">
        <v>44834.0</v>
      </c>
      <c r="I983" s="218">
        <v>316.33</v>
      </c>
      <c r="J983" s="223" t="s">
        <v>1160</v>
      </c>
      <c r="K983" s="319">
        <v>2022.0</v>
      </c>
      <c r="L983" s="218" t="s">
        <v>200</v>
      </c>
    </row>
    <row r="984">
      <c r="A984" s="223" t="s">
        <v>82</v>
      </c>
      <c r="B984" s="223" t="s">
        <v>1124</v>
      </c>
      <c r="C984" s="223" t="s">
        <v>1156</v>
      </c>
      <c r="D984" s="320">
        <v>44834.0</v>
      </c>
      <c r="I984" s="218">
        <v>86.63</v>
      </c>
      <c r="J984" s="223" t="s">
        <v>52</v>
      </c>
      <c r="K984" s="319">
        <v>2022.09</v>
      </c>
      <c r="L984" s="218" t="s">
        <v>200</v>
      </c>
    </row>
    <row r="985">
      <c r="A985" s="223" t="s">
        <v>1242</v>
      </c>
      <c r="B985" s="223" t="s">
        <v>1243</v>
      </c>
      <c r="C985" s="223" t="s">
        <v>1190</v>
      </c>
      <c r="D985" s="320">
        <v>44834.0</v>
      </c>
      <c r="I985" s="218">
        <v>44.22</v>
      </c>
      <c r="J985" s="223" t="s">
        <v>1152</v>
      </c>
      <c r="K985" s="319">
        <v>2022.0</v>
      </c>
      <c r="L985" s="218" t="s">
        <v>200</v>
      </c>
    </row>
    <row r="986">
      <c r="A986" s="223" t="s">
        <v>354</v>
      </c>
      <c r="B986" s="223" t="s">
        <v>1309</v>
      </c>
      <c r="C986" s="223" t="s">
        <v>1336</v>
      </c>
      <c r="D986" s="320">
        <v>44834.0</v>
      </c>
      <c r="I986" s="218">
        <v>285.0</v>
      </c>
      <c r="J986" s="223" t="s">
        <v>52</v>
      </c>
      <c r="K986" s="319">
        <v>2022.09</v>
      </c>
      <c r="L986" s="218" t="s">
        <v>200</v>
      </c>
    </row>
    <row r="987">
      <c r="A987" s="223" t="s">
        <v>476</v>
      </c>
      <c r="B987" s="223" t="s">
        <v>1371</v>
      </c>
      <c r="C987" s="223" t="s">
        <v>1372</v>
      </c>
      <c r="D987" s="320">
        <v>44834.0</v>
      </c>
      <c r="I987" s="218">
        <v>137.6</v>
      </c>
      <c r="J987" s="223" t="s">
        <v>1160</v>
      </c>
      <c r="K987" s="319">
        <v>2022.0</v>
      </c>
      <c r="L987" s="218" t="s">
        <v>200</v>
      </c>
    </row>
    <row r="988">
      <c r="A988" s="223" t="s">
        <v>88</v>
      </c>
      <c r="B988" s="223" t="s">
        <v>1256</v>
      </c>
      <c r="C988" s="223" t="s">
        <v>1156</v>
      </c>
      <c r="D988" s="320">
        <v>44834.0</v>
      </c>
      <c r="I988" s="218">
        <v>42.14</v>
      </c>
      <c r="J988" s="223" t="s">
        <v>52</v>
      </c>
      <c r="K988" s="319">
        <v>2022.09</v>
      </c>
      <c r="L988" s="218" t="s">
        <v>200</v>
      </c>
    </row>
    <row r="989">
      <c r="A989" s="223" t="s">
        <v>1266</v>
      </c>
      <c r="B989" s="223" t="s">
        <v>1264</v>
      </c>
      <c r="C989" s="223" t="s">
        <v>1267</v>
      </c>
      <c r="D989" s="320">
        <v>44834.0</v>
      </c>
      <c r="I989" s="218">
        <v>288.39</v>
      </c>
      <c r="J989" s="223" t="s">
        <v>1152</v>
      </c>
      <c r="K989" s="319">
        <v>2022.0</v>
      </c>
      <c r="L989" s="218" t="s">
        <v>200</v>
      </c>
    </row>
    <row r="990">
      <c r="A990" s="223" t="s">
        <v>90</v>
      </c>
      <c r="B990" s="223" t="s">
        <v>1282</v>
      </c>
      <c r="C990" s="223" t="s">
        <v>1156</v>
      </c>
      <c r="D990" s="320">
        <v>44834.0</v>
      </c>
      <c r="I990" s="218">
        <v>340.66</v>
      </c>
      <c r="J990" s="223" t="s">
        <v>52</v>
      </c>
      <c r="K990" s="319">
        <v>2022.09</v>
      </c>
      <c r="L990" s="218" t="s">
        <v>200</v>
      </c>
    </row>
    <row r="991">
      <c r="A991" s="223" t="s">
        <v>123</v>
      </c>
      <c r="B991" s="223" t="s">
        <v>1300</v>
      </c>
      <c r="C991" s="223" t="s">
        <v>1156</v>
      </c>
      <c r="D991" s="320">
        <v>44834.0</v>
      </c>
      <c r="I991" s="218">
        <v>87.37</v>
      </c>
      <c r="J991" s="223" t="s">
        <v>52</v>
      </c>
      <c r="K991" s="319">
        <v>2022.09</v>
      </c>
      <c r="L991" s="218" t="s">
        <v>200</v>
      </c>
    </row>
    <row r="992">
      <c r="A992" s="223" t="s">
        <v>560</v>
      </c>
      <c r="B992" s="223" t="s">
        <v>1395</v>
      </c>
      <c r="C992" s="223" t="s">
        <v>36</v>
      </c>
      <c r="D992" s="320">
        <v>44834.0</v>
      </c>
      <c r="I992" s="218">
        <v>3061.38</v>
      </c>
      <c r="J992" s="223" t="s">
        <v>1160</v>
      </c>
      <c r="K992" s="319">
        <v>2022.0</v>
      </c>
      <c r="L992" s="218" t="s">
        <v>200</v>
      </c>
    </row>
    <row r="993">
      <c r="A993" s="223" t="s">
        <v>54</v>
      </c>
      <c r="B993" s="223" t="s">
        <v>1187</v>
      </c>
      <c r="C993" s="223" t="s">
        <v>1156</v>
      </c>
      <c r="D993" s="320">
        <v>44865.0</v>
      </c>
      <c r="I993" s="218">
        <v>162.5</v>
      </c>
      <c r="J993" s="223" t="s">
        <v>52</v>
      </c>
      <c r="K993" s="319">
        <v>2022.1</v>
      </c>
      <c r="L993" s="218" t="s">
        <v>200</v>
      </c>
    </row>
    <row r="994">
      <c r="A994" s="223" t="s">
        <v>58</v>
      </c>
      <c r="B994" s="223" t="s">
        <v>1197</v>
      </c>
      <c r="C994" s="223" t="s">
        <v>1156</v>
      </c>
      <c r="D994" s="320">
        <v>44865.0</v>
      </c>
      <c r="I994" s="218">
        <v>265.0</v>
      </c>
      <c r="J994" s="223" t="s">
        <v>52</v>
      </c>
      <c r="K994" s="319">
        <v>2022.1</v>
      </c>
      <c r="L994" s="218" t="s">
        <v>200</v>
      </c>
    </row>
    <row r="995">
      <c r="A995" s="223" t="s">
        <v>120</v>
      </c>
      <c r="B995" s="223" t="s">
        <v>1215</v>
      </c>
      <c r="C995" s="223" t="s">
        <v>1156</v>
      </c>
      <c r="D995" s="320">
        <v>44865.0</v>
      </c>
      <c r="I995" s="218">
        <v>575.0</v>
      </c>
      <c r="J995" s="223" t="s">
        <v>52</v>
      </c>
      <c r="K995" s="319">
        <v>2022.1</v>
      </c>
      <c r="L995" s="218" t="s">
        <v>200</v>
      </c>
    </row>
    <row r="996">
      <c r="A996" s="223" t="s">
        <v>90</v>
      </c>
      <c r="B996" s="223" t="s">
        <v>1282</v>
      </c>
      <c r="C996" s="223" t="s">
        <v>1156</v>
      </c>
      <c r="D996" s="320">
        <v>44865.0</v>
      </c>
      <c r="I996" s="218">
        <v>490.0</v>
      </c>
      <c r="J996" s="223" t="s">
        <v>52</v>
      </c>
      <c r="K996" s="319">
        <v>2022.1</v>
      </c>
      <c r="L996" s="218" t="s">
        <v>200</v>
      </c>
    </row>
    <row r="997">
      <c r="A997" s="223" t="s">
        <v>82</v>
      </c>
      <c r="B997" s="223" t="s">
        <v>1124</v>
      </c>
      <c r="C997" s="223" t="s">
        <v>1156</v>
      </c>
      <c r="D997" s="320">
        <v>44865.0</v>
      </c>
      <c r="I997" s="218">
        <v>227.5</v>
      </c>
      <c r="J997" s="223" t="s">
        <v>52</v>
      </c>
      <c r="K997" s="319">
        <v>2022.1</v>
      </c>
      <c r="L997" s="218" t="s">
        <v>200</v>
      </c>
    </row>
    <row r="998">
      <c r="A998" s="223" t="s">
        <v>618</v>
      </c>
      <c r="B998" s="223" t="s">
        <v>1377</v>
      </c>
      <c r="C998" s="223" t="s">
        <v>1421</v>
      </c>
      <c r="D998" s="320">
        <v>44865.0</v>
      </c>
      <c r="I998" s="218">
        <v>125.0</v>
      </c>
      <c r="J998" s="223" t="s">
        <v>1160</v>
      </c>
      <c r="K998" s="319">
        <v>2022.0</v>
      </c>
      <c r="L998" s="218" t="s">
        <v>200</v>
      </c>
    </row>
    <row r="999">
      <c r="A999" s="223" t="s">
        <v>632</v>
      </c>
      <c r="B999" s="223" t="s">
        <v>1383</v>
      </c>
      <c r="C999" s="223" t="s">
        <v>36</v>
      </c>
      <c r="D999" s="320">
        <v>44865.0</v>
      </c>
      <c r="I999" s="218">
        <v>500.0</v>
      </c>
      <c r="J999" s="223" t="s">
        <v>1160</v>
      </c>
      <c r="K999" s="319">
        <v>2022.0</v>
      </c>
      <c r="L999" s="218" t="s">
        <v>200</v>
      </c>
    </row>
    <row r="1000">
      <c r="A1000" s="223" t="s">
        <v>66</v>
      </c>
      <c r="B1000" s="223" t="s">
        <v>1324</v>
      </c>
      <c r="C1000" s="223" t="s">
        <v>1156</v>
      </c>
      <c r="D1000" s="320">
        <v>44865.0</v>
      </c>
      <c r="I1000" s="218">
        <v>312.5</v>
      </c>
      <c r="J1000" s="223" t="s">
        <v>52</v>
      </c>
      <c r="K1000" s="319">
        <v>2022.1</v>
      </c>
      <c r="L1000" s="218" t="s">
        <v>200</v>
      </c>
    </row>
    <row r="1001">
      <c r="A1001" s="223" t="s">
        <v>97</v>
      </c>
      <c r="B1001" s="223" t="s">
        <v>1286</v>
      </c>
      <c r="C1001" s="223" t="s">
        <v>1156</v>
      </c>
      <c r="D1001" s="320">
        <v>44865.0</v>
      </c>
      <c r="I1001" s="218">
        <v>125.0</v>
      </c>
      <c r="J1001" s="223" t="s">
        <v>52</v>
      </c>
      <c r="K1001" s="319">
        <v>2022.1</v>
      </c>
      <c r="L1001" s="218" t="s">
        <v>200</v>
      </c>
    </row>
    <row r="1002">
      <c r="A1002" s="223" t="s">
        <v>50</v>
      </c>
      <c r="B1002" s="223" t="s">
        <v>1275</v>
      </c>
      <c r="C1002" s="223" t="s">
        <v>1156</v>
      </c>
      <c r="D1002" s="320">
        <v>44865.0</v>
      </c>
      <c r="I1002" s="218">
        <v>137.5</v>
      </c>
      <c r="J1002" s="223" t="s">
        <v>52</v>
      </c>
      <c r="K1002" s="319">
        <v>2022.1</v>
      </c>
      <c r="L1002" s="218" t="s">
        <v>200</v>
      </c>
    </row>
    <row r="1003">
      <c r="A1003" s="223" t="s">
        <v>223</v>
      </c>
      <c r="B1003" s="223" t="s">
        <v>1176</v>
      </c>
      <c r="C1003" s="223" t="s">
        <v>1156</v>
      </c>
      <c r="D1003" s="320">
        <v>44865.0</v>
      </c>
      <c r="I1003" s="218">
        <v>500.0</v>
      </c>
      <c r="J1003" s="223" t="s">
        <v>52</v>
      </c>
      <c r="K1003" s="319">
        <v>2022.1</v>
      </c>
      <c r="L1003" s="218" t="s">
        <v>200</v>
      </c>
    </row>
    <row r="1004">
      <c r="A1004" s="223" t="s">
        <v>88</v>
      </c>
      <c r="B1004" s="223" t="s">
        <v>1256</v>
      </c>
      <c r="C1004" s="223" t="s">
        <v>1156</v>
      </c>
      <c r="D1004" s="320">
        <v>44865.0</v>
      </c>
      <c r="I1004" s="218">
        <v>212.5</v>
      </c>
      <c r="J1004" s="223" t="s">
        <v>52</v>
      </c>
      <c r="K1004" s="319">
        <v>2022.1</v>
      </c>
      <c r="L1004" s="218" t="s">
        <v>200</v>
      </c>
    </row>
    <row r="1005">
      <c r="A1005" s="223" t="s">
        <v>73</v>
      </c>
      <c r="B1005" s="223" t="s">
        <v>1327</v>
      </c>
      <c r="C1005" s="223" t="s">
        <v>1156</v>
      </c>
      <c r="D1005" s="320">
        <v>44865.0</v>
      </c>
      <c r="I1005" s="218">
        <v>262.5</v>
      </c>
      <c r="J1005" s="223" t="s">
        <v>52</v>
      </c>
      <c r="K1005" s="319">
        <v>2022.1</v>
      </c>
      <c r="L1005" s="218" t="s">
        <v>200</v>
      </c>
    </row>
    <row r="1006">
      <c r="A1006" s="223" t="s">
        <v>451</v>
      </c>
      <c r="B1006" s="223" t="s">
        <v>1363</v>
      </c>
      <c r="C1006" s="223" t="s">
        <v>1364</v>
      </c>
      <c r="D1006" s="320">
        <v>44865.0</v>
      </c>
      <c r="I1006" s="218">
        <v>237.5</v>
      </c>
      <c r="J1006" s="223" t="s">
        <v>1160</v>
      </c>
      <c r="K1006" s="319">
        <v>2022.0</v>
      </c>
      <c r="L1006" s="218" t="s">
        <v>200</v>
      </c>
    </row>
    <row r="1007">
      <c r="A1007" s="223" t="s">
        <v>42</v>
      </c>
      <c r="B1007" s="223" t="s">
        <v>1236</v>
      </c>
      <c r="C1007" s="223" t="s">
        <v>1156</v>
      </c>
      <c r="D1007" s="320">
        <v>44865.0</v>
      </c>
      <c r="I1007" s="218">
        <v>350.0</v>
      </c>
      <c r="J1007" s="223" t="s">
        <v>52</v>
      </c>
      <c r="K1007" s="319">
        <v>2022.1</v>
      </c>
      <c r="L1007" s="218" t="s">
        <v>200</v>
      </c>
    </row>
    <row r="1008">
      <c r="A1008" s="223" t="s">
        <v>92</v>
      </c>
      <c r="B1008" s="223" t="s">
        <v>1289</v>
      </c>
      <c r="C1008" s="223" t="s">
        <v>1156</v>
      </c>
      <c r="D1008" s="320">
        <v>44865.0</v>
      </c>
      <c r="I1008" s="218">
        <v>212.5</v>
      </c>
      <c r="J1008" s="223" t="s">
        <v>52</v>
      </c>
      <c r="K1008" s="319">
        <v>2022.1</v>
      </c>
      <c r="L1008" s="218" t="s">
        <v>200</v>
      </c>
    </row>
    <row r="1009">
      <c r="A1009" s="223" t="s">
        <v>552</v>
      </c>
      <c r="B1009" s="223" t="s">
        <v>1394</v>
      </c>
      <c r="C1009" s="223" t="s">
        <v>1387</v>
      </c>
      <c r="D1009" s="320">
        <v>44865.0</v>
      </c>
      <c r="I1009" s="218">
        <v>21.0</v>
      </c>
      <c r="J1009" s="223" t="s">
        <v>1160</v>
      </c>
      <c r="K1009" s="319">
        <v>2022.0</v>
      </c>
      <c r="L1009" s="218" t="s">
        <v>200</v>
      </c>
    </row>
    <row r="1010">
      <c r="A1010" s="223" t="s">
        <v>82</v>
      </c>
      <c r="B1010" s="223" t="s">
        <v>1124</v>
      </c>
      <c r="C1010" s="223" t="s">
        <v>1156</v>
      </c>
      <c r="D1010" s="320">
        <v>44865.0</v>
      </c>
      <c r="I1010" s="218">
        <v>225.0</v>
      </c>
      <c r="J1010" s="223" t="s">
        <v>52</v>
      </c>
      <c r="K1010" s="319">
        <v>2022.1</v>
      </c>
      <c r="L1010" s="218" t="s">
        <v>200</v>
      </c>
    </row>
    <row r="1011">
      <c r="A1011" s="223" t="s">
        <v>92</v>
      </c>
      <c r="B1011" s="223" t="s">
        <v>1289</v>
      </c>
      <c r="C1011" s="223" t="s">
        <v>1156</v>
      </c>
      <c r="D1011" s="320">
        <v>44865.0</v>
      </c>
      <c r="I1011" s="218">
        <v>300.0</v>
      </c>
      <c r="J1011" s="223" t="s">
        <v>52</v>
      </c>
      <c r="K1011" s="319">
        <v>2022.1</v>
      </c>
      <c r="L1011" s="218" t="s">
        <v>200</v>
      </c>
    </row>
    <row r="1012">
      <c r="A1012" s="223" t="s">
        <v>427</v>
      </c>
      <c r="B1012" s="223" t="s">
        <v>1216</v>
      </c>
      <c r="C1012" s="223" t="s">
        <v>1355</v>
      </c>
      <c r="D1012" s="320">
        <v>44865.0</v>
      </c>
      <c r="I1012" s="218">
        <v>175.0</v>
      </c>
      <c r="J1012" s="223" t="s">
        <v>1160</v>
      </c>
      <c r="K1012" s="319">
        <v>2022.0</v>
      </c>
      <c r="L1012" s="218" t="s">
        <v>200</v>
      </c>
    </row>
    <row r="1013">
      <c r="A1013" s="223" t="s">
        <v>92</v>
      </c>
      <c r="B1013" s="223" t="s">
        <v>1289</v>
      </c>
      <c r="C1013" s="223" t="s">
        <v>1156</v>
      </c>
      <c r="D1013" s="320">
        <v>44865.0</v>
      </c>
      <c r="I1013" s="218">
        <v>275.0</v>
      </c>
      <c r="J1013" s="223" t="s">
        <v>52</v>
      </c>
      <c r="K1013" s="319">
        <v>2022.1</v>
      </c>
      <c r="L1013" s="218" t="s">
        <v>200</v>
      </c>
    </row>
    <row r="1014">
      <c r="A1014" s="223" t="s">
        <v>88</v>
      </c>
      <c r="B1014" s="223" t="s">
        <v>1256</v>
      </c>
      <c r="C1014" s="223" t="s">
        <v>1156</v>
      </c>
      <c r="D1014" s="320">
        <v>44865.0</v>
      </c>
      <c r="I1014" s="218">
        <v>45.0</v>
      </c>
      <c r="J1014" s="223" t="s">
        <v>52</v>
      </c>
      <c r="K1014" s="319">
        <v>2022.1</v>
      </c>
      <c r="L1014" s="218" t="s">
        <v>200</v>
      </c>
    </row>
    <row r="1015">
      <c r="A1015" s="223" t="s">
        <v>97</v>
      </c>
      <c r="B1015" s="223" t="s">
        <v>1286</v>
      </c>
      <c r="C1015" s="223" t="s">
        <v>1156</v>
      </c>
      <c r="D1015" s="320">
        <v>44865.0</v>
      </c>
      <c r="I1015" s="218">
        <v>30.0</v>
      </c>
      <c r="J1015" s="223" t="s">
        <v>52</v>
      </c>
      <c r="K1015" s="319">
        <v>2022.1</v>
      </c>
      <c r="L1015" s="218" t="s">
        <v>200</v>
      </c>
    </row>
    <row r="1016">
      <c r="A1016" s="223" t="s">
        <v>82</v>
      </c>
      <c r="B1016" s="223" t="s">
        <v>1124</v>
      </c>
      <c r="C1016" s="223" t="s">
        <v>1156</v>
      </c>
      <c r="D1016" s="320">
        <v>44865.0</v>
      </c>
      <c r="I1016" s="218">
        <v>75.0</v>
      </c>
      <c r="J1016" s="223" t="s">
        <v>52</v>
      </c>
      <c r="K1016" s="319">
        <v>2022.1</v>
      </c>
      <c r="L1016" s="218" t="s">
        <v>200</v>
      </c>
    </row>
    <row r="1017">
      <c r="A1017" s="223" t="s">
        <v>99</v>
      </c>
      <c r="B1017" s="223" t="s">
        <v>1192</v>
      </c>
      <c r="C1017" s="223" t="s">
        <v>1156</v>
      </c>
      <c r="D1017" s="320">
        <v>44865.0</v>
      </c>
      <c r="I1017" s="218">
        <v>270.0</v>
      </c>
      <c r="J1017" s="223" t="s">
        <v>52</v>
      </c>
      <c r="K1017" s="319">
        <v>2022.1</v>
      </c>
      <c r="L1017" s="218" t="s">
        <v>200</v>
      </c>
    </row>
    <row r="1018">
      <c r="A1018" s="223" t="s">
        <v>42</v>
      </c>
      <c r="B1018" s="223" t="s">
        <v>1236</v>
      </c>
      <c r="C1018" s="223" t="s">
        <v>1156</v>
      </c>
      <c r="D1018" s="320">
        <v>44865.0</v>
      </c>
      <c r="I1018" s="218">
        <v>135.0</v>
      </c>
      <c r="J1018" s="223" t="s">
        <v>52</v>
      </c>
      <c r="K1018" s="319">
        <v>2022.1</v>
      </c>
      <c r="L1018" s="218" t="s">
        <v>200</v>
      </c>
    </row>
    <row r="1019">
      <c r="A1019" s="223" t="s">
        <v>58</v>
      </c>
      <c r="B1019" s="223" t="s">
        <v>1197</v>
      </c>
      <c r="C1019" s="223" t="s">
        <v>1156</v>
      </c>
      <c r="D1019" s="320">
        <v>44865.0</v>
      </c>
      <c r="I1019" s="218">
        <v>400.0</v>
      </c>
      <c r="J1019" s="223" t="s">
        <v>52</v>
      </c>
      <c r="K1019" s="319">
        <v>2022.1</v>
      </c>
      <c r="L1019" s="218" t="s">
        <v>200</v>
      </c>
    </row>
    <row r="1020">
      <c r="A1020" s="223" t="s">
        <v>123</v>
      </c>
      <c r="B1020" s="223" t="s">
        <v>1300</v>
      </c>
      <c r="C1020" s="223" t="s">
        <v>1156</v>
      </c>
      <c r="D1020" s="320">
        <v>44865.0</v>
      </c>
      <c r="I1020" s="218">
        <v>300.0</v>
      </c>
      <c r="J1020" s="223" t="s">
        <v>52</v>
      </c>
      <c r="K1020" s="319">
        <v>2022.1</v>
      </c>
      <c r="L1020" s="218" t="s">
        <v>200</v>
      </c>
    </row>
    <row r="1021">
      <c r="A1021" s="223" t="s">
        <v>73</v>
      </c>
      <c r="B1021" s="223" t="s">
        <v>1327</v>
      </c>
      <c r="C1021" s="223" t="s">
        <v>1156</v>
      </c>
      <c r="D1021" s="320">
        <v>44865.0</v>
      </c>
      <c r="I1021" s="218">
        <v>60.0</v>
      </c>
      <c r="J1021" s="223" t="s">
        <v>52</v>
      </c>
      <c r="K1021" s="319">
        <v>2022.1</v>
      </c>
      <c r="L1021" s="218" t="s">
        <v>200</v>
      </c>
    </row>
    <row r="1022">
      <c r="A1022" s="223" t="s">
        <v>50</v>
      </c>
      <c r="B1022" s="223" t="s">
        <v>1275</v>
      </c>
      <c r="C1022" s="223" t="s">
        <v>1156</v>
      </c>
      <c r="D1022" s="320">
        <v>44865.0</v>
      </c>
      <c r="I1022" s="218">
        <v>30.0</v>
      </c>
      <c r="J1022" s="223" t="s">
        <v>52</v>
      </c>
      <c r="K1022" s="319">
        <v>2022.1</v>
      </c>
      <c r="L1022" s="218" t="s">
        <v>200</v>
      </c>
    </row>
    <row r="1023">
      <c r="A1023" s="223" t="s">
        <v>62</v>
      </c>
      <c r="B1023" s="223" t="s">
        <v>1304</v>
      </c>
      <c r="C1023" s="223" t="s">
        <v>1156</v>
      </c>
      <c r="D1023" s="320">
        <v>44865.0</v>
      </c>
      <c r="I1023" s="218">
        <v>300.0</v>
      </c>
      <c r="J1023" s="223" t="s">
        <v>52</v>
      </c>
      <c r="K1023" s="319">
        <v>2022.1</v>
      </c>
      <c r="L1023" s="218" t="s">
        <v>200</v>
      </c>
    </row>
    <row r="1024">
      <c r="A1024" s="223" t="s">
        <v>223</v>
      </c>
      <c r="B1024" s="223" t="s">
        <v>1176</v>
      </c>
      <c r="C1024" s="223" t="s">
        <v>1156</v>
      </c>
      <c r="D1024" s="320">
        <v>44865.0</v>
      </c>
      <c r="I1024" s="218">
        <v>75.0</v>
      </c>
      <c r="J1024" s="223" t="s">
        <v>52</v>
      </c>
      <c r="K1024" s="319">
        <v>2022.1</v>
      </c>
      <c r="L1024" s="218" t="s">
        <v>200</v>
      </c>
    </row>
    <row r="1025">
      <c r="A1025" s="223" t="s">
        <v>225</v>
      </c>
      <c r="B1025" s="223" t="s">
        <v>1257</v>
      </c>
      <c r="C1025" s="223" t="s">
        <v>1156</v>
      </c>
      <c r="D1025" s="320">
        <v>44865.0</v>
      </c>
      <c r="I1025" s="218">
        <v>1860.0</v>
      </c>
      <c r="J1025" s="223" t="s">
        <v>52</v>
      </c>
      <c r="K1025" s="319">
        <v>2022.1</v>
      </c>
      <c r="L1025" s="218" t="s">
        <v>200</v>
      </c>
    </row>
    <row r="1026">
      <c r="A1026" s="223" t="s">
        <v>66</v>
      </c>
      <c r="B1026" s="223" t="s">
        <v>1324</v>
      </c>
      <c r="C1026" s="223" t="s">
        <v>1156</v>
      </c>
      <c r="D1026" s="320">
        <v>44865.0</v>
      </c>
      <c r="I1026" s="218">
        <v>60.0</v>
      </c>
      <c r="J1026" s="223" t="s">
        <v>52</v>
      </c>
      <c r="K1026" s="319">
        <v>2022.1</v>
      </c>
      <c r="L1026" s="218" t="s">
        <v>200</v>
      </c>
    </row>
    <row r="1027">
      <c r="A1027" s="223" t="s">
        <v>427</v>
      </c>
      <c r="B1027" s="223" t="s">
        <v>1216</v>
      </c>
      <c r="C1027" s="223" t="s">
        <v>1355</v>
      </c>
      <c r="D1027" s="320">
        <v>44865.0</v>
      </c>
      <c r="I1027" s="218">
        <v>45.0</v>
      </c>
      <c r="J1027" s="223" t="s">
        <v>1160</v>
      </c>
      <c r="K1027" s="319">
        <v>2022.0</v>
      </c>
      <c r="L1027" s="218" t="s">
        <v>200</v>
      </c>
    </row>
    <row r="1028">
      <c r="A1028" s="223" t="s">
        <v>499</v>
      </c>
      <c r="B1028" s="223" t="s">
        <v>1330</v>
      </c>
      <c r="C1028" s="223" t="s">
        <v>1375</v>
      </c>
      <c r="D1028" s="320">
        <v>44865.0</v>
      </c>
      <c r="I1028" s="218">
        <v>150.0</v>
      </c>
      <c r="J1028" s="223" t="s">
        <v>52</v>
      </c>
      <c r="K1028" s="319">
        <v>2022.1</v>
      </c>
      <c r="L1028" s="218" t="s">
        <v>200</v>
      </c>
    </row>
    <row r="1029">
      <c r="A1029" s="223" t="s">
        <v>611</v>
      </c>
      <c r="B1029" s="223" t="s">
        <v>1377</v>
      </c>
      <c r="C1029" s="223" t="s">
        <v>1420</v>
      </c>
      <c r="D1029" s="320">
        <v>44865.0</v>
      </c>
      <c r="I1029" s="218">
        <v>180.0</v>
      </c>
      <c r="J1029" s="223" t="s">
        <v>1160</v>
      </c>
      <c r="K1029" s="319">
        <v>2022.0</v>
      </c>
      <c r="L1029" s="218" t="s">
        <v>200</v>
      </c>
    </row>
    <row r="1030">
      <c r="A1030" s="223" t="s">
        <v>451</v>
      </c>
      <c r="B1030" s="223" t="s">
        <v>1363</v>
      </c>
      <c r="C1030" s="223" t="s">
        <v>1364</v>
      </c>
      <c r="D1030" s="320">
        <v>44865.0</v>
      </c>
      <c r="I1030" s="218">
        <v>60.0</v>
      </c>
      <c r="J1030" s="223" t="s">
        <v>1160</v>
      </c>
      <c r="K1030" s="319">
        <v>2022.0</v>
      </c>
      <c r="L1030" s="218" t="s">
        <v>200</v>
      </c>
    </row>
    <row r="1031">
      <c r="A1031" s="223" t="s">
        <v>549</v>
      </c>
      <c r="B1031" s="223" t="s">
        <v>1368</v>
      </c>
      <c r="C1031" s="223" t="s">
        <v>1393</v>
      </c>
      <c r="D1031" s="320">
        <v>44865.0</v>
      </c>
      <c r="I1031" s="218">
        <v>45.0</v>
      </c>
      <c r="J1031" s="223" t="s">
        <v>52</v>
      </c>
      <c r="K1031" s="319">
        <v>2022.1</v>
      </c>
      <c r="L1031" s="218" t="s">
        <v>200</v>
      </c>
    </row>
    <row r="1032">
      <c r="A1032" s="223" t="s">
        <v>481</v>
      </c>
      <c r="B1032" s="223" t="s">
        <v>1200</v>
      </c>
      <c r="C1032" s="223" t="s">
        <v>1374</v>
      </c>
      <c r="D1032" s="320">
        <v>44865.0</v>
      </c>
      <c r="I1032" s="218">
        <v>257.5</v>
      </c>
      <c r="J1032" s="223" t="s">
        <v>1160</v>
      </c>
      <c r="K1032" s="319">
        <v>2022.0</v>
      </c>
      <c r="L1032" s="218" t="s">
        <v>200</v>
      </c>
    </row>
    <row r="1033">
      <c r="A1033" s="223" t="s">
        <v>102</v>
      </c>
      <c r="B1033" s="223" t="s">
        <v>1259</v>
      </c>
      <c r="C1033" s="223" t="s">
        <v>1156</v>
      </c>
      <c r="D1033" s="320">
        <v>44865.0</v>
      </c>
      <c r="I1033" s="218">
        <v>150.0</v>
      </c>
      <c r="J1033" s="223" t="s">
        <v>52</v>
      </c>
      <c r="K1033" s="319">
        <v>2022.1</v>
      </c>
      <c r="L1033" s="218" t="s">
        <v>200</v>
      </c>
    </row>
    <row r="1034">
      <c r="A1034" s="223" t="s">
        <v>115</v>
      </c>
      <c r="B1034" s="223" t="s">
        <v>1308</v>
      </c>
      <c r="C1034" s="223" t="s">
        <v>1156</v>
      </c>
      <c r="D1034" s="320">
        <v>44865.0</v>
      </c>
      <c r="I1034" s="218">
        <v>662.5</v>
      </c>
      <c r="J1034" s="223" t="s">
        <v>52</v>
      </c>
      <c r="K1034" s="319">
        <v>2022.1</v>
      </c>
      <c r="L1034" s="218" t="s">
        <v>200</v>
      </c>
    </row>
    <row r="1035">
      <c r="A1035" s="223" t="s">
        <v>118</v>
      </c>
      <c r="B1035" s="223" t="s">
        <v>1312</v>
      </c>
      <c r="C1035" s="223" t="s">
        <v>1156</v>
      </c>
      <c r="D1035" s="320">
        <v>44865.0</v>
      </c>
      <c r="I1035" s="218">
        <v>662.5</v>
      </c>
      <c r="J1035" s="223" t="s">
        <v>52</v>
      </c>
      <c r="K1035" s="319">
        <v>2022.1</v>
      </c>
      <c r="L1035" s="218" t="s">
        <v>200</v>
      </c>
    </row>
    <row r="1036">
      <c r="A1036" s="223" t="s">
        <v>92</v>
      </c>
      <c r="B1036" s="223" t="s">
        <v>1289</v>
      </c>
      <c r="C1036" s="223" t="s">
        <v>1156</v>
      </c>
      <c r="D1036" s="320">
        <v>44865.0</v>
      </c>
      <c r="I1036" s="218">
        <v>350.0</v>
      </c>
      <c r="J1036" s="223" t="s">
        <v>52</v>
      </c>
      <c r="K1036" s="319">
        <v>2022.1</v>
      </c>
      <c r="L1036" s="218" t="s">
        <v>200</v>
      </c>
    </row>
    <row r="1037">
      <c r="A1037" s="223" t="s">
        <v>84</v>
      </c>
      <c r="B1037" s="223" t="s">
        <v>1227</v>
      </c>
      <c r="C1037" s="223" t="s">
        <v>1156</v>
      </c>
      <c r="D1037" s="320">
        <v>44865.0</v>
      </c>
      <c r="I1037" s="218">
        <v>475.0</v>
      </c>
      <c r="J1037" s="223" t="s">
        <v>52</v>
      </c>
      <c r="K1037" s="319">
        <v>2022.1</v>
      </c>
      <c r="L1037" s="218" t="s">
        <v>200</v>
      </c>
    </row>
    <row r="1038">
      <c r="A1038" s="223" t="s">
        <v>123</v>
      </c>
      <c r="B1038" s="223" t="s">
        <v>1300</v>
      </c>
      <c r="C1038" s="223" t="s">
        <v>1156</v>
      </c>
      <c r="D1038" s="320">
        <v>44865.0</v>
      </c>
      <c r="I1038" s="218">
        <v>1087.5</v>
      </c>
      <c r="J1038" s="223" t="s">
        <v>52</v>
      </c>
      <c r="K1038" s="319">
        <v>2022.1</v>
      </c>
      <c r="L1038" s="218" t="s">
        <v>200</v>
      </c>
    </row>
    <row r="1039">
      <c r="A1039" s="223" t="s">
        <v>62</v>
      </c>
      <c r="B1039" s="223" t="s">
        <v>1304</v>
      </c>
      <c r="C1039" s="223" t="s">
        <v>1156</v>
      </c>
      <c r="D1039" s="320">
        <v>44865.0</v>
      </c>
      <c r="I1039" s="218">
        <v>450.0</v>
      </c>
      <c r="J1039" s="223" t="s">
        <v>52</v>
      </c>
      <c r="K1039" s="319">
        <v>2022.1</v>
      </c>
      <c r="L1039" s="218" t="s">
        <v>200</v>
      </c>
    </row>
    <row r="1040">
      <c r="A1040" s="223" t="s">
        <v>99</v>
      </c>
      <c r="B1040" s="223" t="s">
        <v>1192</v>
      </c>
      <c r="C1040" s="223" t="s">
        <v>1156</v>
      </c>
      <c r="D1040" s="320">
        <v>44865.0</v>
      </c>
      <c r="I1040" s="218">
        <v>337.5</v>
      </c>
      <c r="J1040" s="223" t="s">
        <v>52</v>
      </c>
      <c r="K1040" s="319">
        <v>2022.1</v>
      </c>
      <c r="L1040" s="218" t="s">
        <v>200</v>
      </c>
    </row>
    <row r="1041">
      <c r="A1041" s="223" t="s">
        <v>611</v>
      </c>
      <c r="B1041" s="223" t="s">
        <v>1377</v>
      </c>
      <c r="C1041" s="223" t="s">
        <v>1420</v>
      </c>
      <c r="D1041" s="320">
        <v>44865.0</v>
      </c>
      <c r="I1041" s="218">
        <v>450.0</v>
      </c>
      <c r="J1041" s="223" t="s">
        <v>1160</v>
      </c>
      <c r="K1041" s="319">
        <v>2022.0</v>
      </c>
      <c r="L1041" s="218" t="s">
        <v>200</v>
      </c>
    </row>
    <row r="1042">
      <c r="A1042" s="223" t="s">
        <v>42</v>
      </c>
      <c r="B1042" s="223" t="s">
        <v>1236</v>
      </c>
      <c r="C1042" s="223" t="s">
        <v>1156</v>
      </c>
      <c r="D1042" s="320">
        <v>44865.0</v>
      </c>
      <c r="I1042" s="218">
        <v>212.5</v>
      </c>
      <c r="J1042" s="223" t="s">
        <v>52</v>
      </c>
      <c r="K1042" s="319">
        <v>2022.1</v>
      </c>
      <c r="L1042" s="218" t="s">
        <v>200</v>
      </c>
    </row>
    <row r="1043">
      <c r="A1043" s="223" t="s">
        <v>499</v>
      </c>
      <c r="B1043" s="223" t="s">
        <v>1330</v>
      </c>
      <c r="C1043" s="223" t="s">
        <v>1375</v>
      </c>
      <c r="D1043" s="320">
        <v>44865.0</v>
      </c>
      <c r="I1043" s="218">
        <v>150.0</v>
      </c>
      <c r="J1043" s="223" t="s">
        <v>52</v>
      </c>
      <c r="K1043" s="319">
        <v>2022.1</v>
      </c>
      <c r="L1043" s="218" t="s">
        <v>200</v>
      </c>
    </row>
    <row r="1044">
      <c r="A1044" s="223" t="s">
        <v>549</v>
      </c>
      <c r="B1044" s="223" t="s">
        <v>1368</v>
      </c>
      <c r="C1044" s="223" t="s">
        <v>1393</v>
      </c>
      <c r="D1044" s="320">
        <v>44865.0</v>
      </c>
      <c r="I1044" s="218">
        <v>175.0</v>
      </c>
      <c r="J1044" s="223" t="s">
        <v>52</v>
      </c>
      <c r="K1044" s="319">
        <v>2022.1</v>
      </c>
      <c r="L1044" s="218" t="s">
        <v>200</v>
      </c>
    </row>
    <row r="1045">
      <c r="A1045" s="223" t="s">
        <v>523</v>
      </c>
      <c r="B1045" s="223" t="s">
        <v>1357</v>
      </c>
      <c r="C1045" s="223" t="s">
        <v>1156</v>
      </c>
      <c r="D1045" s="320">
        <v>44865.0</v>
      </c>
      <c r="I1045" s="218">
        <v>150.0</v>
      </c>
      <c r="J1045" s="223" t="s">
        <v>52</v>
      </c>
      <c r="K1045" s="319">
        <v>2022.1</v>
      </c>
      <c r="L1045" s="218" t="s">
        <v>200</v>
      </c>
    </row>
    <row r="1046">
      <c r="A1046" s="223" t="s">
        <v>1271</v>
      </c>
      <c r="B1046" s="223" t="s">
        <v>1264</v>
      </c>
      <c r="C1046" s="223" t="s">
        <v>1272</v>
      </c>
      <c r="D1046" s="320">
        <v>44877.0</v>
      </c>
      <c r="I1046" s="218">
        <v>15.3</v>
      </c>
      <c r="J1046" s="223" t="s">
        <v>1152</v>
      </c>
      <c r="K1046" s="319">
        <v>2022.0</v>
      </c>
      <c r="L1046" s="218" t="s">
        <v>200</v>
      </c>
    </row>
    <row r="1047">
      <c r="A1047" s="223" t="s">
        <v>1271</v>
      </c>
      <c r="B1047" s="223" t="s">
        <v>1264</v>
      </c>
      <c r="C1047" s="223" t="s">
        <v>1272</v>
      </c>
      <c r="D1047" s="320">
        <v>44878.0</v>
      </c>
      <c r="I1047" s="218">
        <v>239.04</v>
      </c>
      <c r="J1047" s="223" t="s">
        <v>1152</v>
      </c>
      <c r="K1047" s="319">
        <v>2022.0</v>
      </c>
      <c r="L1047" s="218" t="s">
        <v>200</v>
      </c>
    </row>
    <row r="1048">
      <c r="A1048" s="223" t="s">
        <v>1271</v>
      </c>
      <c r="B1048" s="223" t="s">
        <v>1264</v>
      </c>
      <c r="C1048" s="223" t="s">
        <v>1272</v>
      </c>
      <c r="D1048" s="320">
        <v>44879.0</v>
      </c>
      <c r="I1048" s="218">
        <v>65.53</v>
      </c>
      <c r="J1048" s="223" t="s">
        <v>1152</v>
      </c>
      <c r="K1048" s="319">
        <v>2022.0</v>
      </c>
      <c r="L1048" s="218" t="s">
        <v>200</v>
      </c>
    </row>
    <row r="1049">
      <c r="A1049" s="223" t="s">
        <v>1271</v>
      </c>
      <c r="B1049" s="223" t="s">
        <v>1264</v>
      </c>
      <c r="C1049" s="223" t="s">
        <v>1272</v>
      </c>
      <c r="D1049" s="320">
        <v>44880.0</v>
      </c>
      <c r="I1049" s="218">
        <v>78.73</v>
      </c>
      <c r="J1049" s="223" t="s">
        <v>1152</v>
      </c>
      <c r="K1049" s="319">
        <v>2022.0</v>
      </c>
      <c r="L1049" s="218" t="s">
        <v>200</v>
      </c>
    </row>
    <row r="1050">
      <c r="A1050" s="223" t="s">
        <v>189</v>
      </c>
      <c r="B1050" s="223" t="s">
        <v>1158</v>
      </c>
      <c r="C1050" s="223" t="s">
        <v>1159</v>
      </c>
      <c r="D1050" s="320">
        <v>44865.0</v>
      </c>
      <c r="I1050" s="218">
        <v>61.74</v>
      </c>
      <c r="J1050" s="223" t="s">
        <v>1160</v>
      </c>
      <c r="K1050" s="319">
        <v>2022.0</v>
      </c>
      <c r="L1050" s="218" t="s">
        <v>200</v>
      </c>
    </row>
    <row r="1051">
      <c r="A1051" s="223" t="s">
        <v>630</v>
      </c>
      <c r="B1051" s="223" t="s">
        <v>1345</v>
      </c>
      <c r="C1051" s="223" t="s">
        <v>469</v>
      </c>
      <c r="D1051" s="320">
        <v>44865.0</v>
      </c>
      <c r="I1051" s="218">
        <v>53.49</v>
      </c>
      <c r="J1051" s="223" t="s">
        <v>52</v>
      </c>
      <c r="K1051" s="319">
        <v>2022.1</v>
      </c>
      <c r="L1051" s="218" t="s">
        <v>200</v>
      </c>
    </row>
    <row r="1052">
      <c r="A1052" s="223" t="s">
        <v>120</v>
      </c>
      <c r="B1052" s="223" t="s">
        <v>1215</v>
      </c>
      <c r="C1052" s="223" t="s">
        <v>1156</v>
      </c>
      <c r="D1052" s="320">
        <v>44865.0</v>
      </c>
      <c r="I1052" s="218">
        <v>19.74</v>
      </c>
      <c r="J1052" s="223" t="s">
        <v>52</v>
      </c>
      <c r="K1052" s="319">
        <v>2022.1</v>
      </c>
      <c r="L1052" s="218" t="s">
        <v>200</v>
      </c>
    </row>
    <row r="1053">
      <c r="A1053" s="223" t="s">
        <v>632</v>
      </c>
      <c r="B1053" s="223" t="s">
        <v>1383</v>
      </c>
      <c r="C1053" s="223" t="s">
        <v>36</v>
      </c>
      <c r="D1053" s="320">
        <v>44865.0</v>
      </c>
      <c r="I1053" s="218">
        <v>1741.31</v>
      </c>
      <c r="J1053" s="223" t="s">
        <v>1160</v>
      </c>
      <c r="K1053" s="319">
        <v>2022.0</v>
      </c>
      <c r="L1053" s="218" t="s">
        <v>200</v>
      </c>
    </row>
    <row r="1054">
      <c r="A1054" s="223" t="s">
        <v>584</v>
      </c>
      <c r="B1054" s="223" t="s">
        <v>1398</v>
      </c>
      <c r="C1054" s="223" t="s">
        <v>1403</v>
      </c>
      <c r="D1054" s="320">
        <v>44865.0</v>
      </c>
      <c r="I1054" s="218">
        <v>37.85</v>
      </c>
      <c r="J1054" s="223" t="s">
        <v>1160</v>
      </c>
      <c r="K1054" s="319">
        <v>2022.0</v>
      </c>
      <c r="L1054" s="218" t="s">
        <v>200</v>
      </c>
    </row>
    <row r="1055">
      <c r="A1055" s="223" t="s">
        <v>82</v>
      </c>
      <c r="B1055" s="223" t="s">
        <v>1124</v>
      </c>
      <c r="C1055" s="223" t="s">
        <v>1156</v>
      </c>
      <c r="D1055" s="320">
        <v>44865.0</v>
      </c>
      <c r="I1055" s="218">
        <v>24.78</v>
      </c>
      <c r="J1055" s="223" t="s">
        <v>52</v>
      </c>
      <c r="K1055" s="319">
        <v>2022.1</v>
      </c>
      <c r="L1055" s="218" t="s">
        <v>200</v>
      </c>
    </row>
    <row r="1056">
      <c r="A1056" s="223" t="s">
        <v>606</v>
      </c>
      <c r="B1056" s="223" t="s">
        <v>1256</v>
      </c>
      <c r="C1056" s="223" t="s">
        <v>1190</v>
      </c>
      <c r="D1056" s="320">
        <v>44865.0</v>
      </c>
      <c r="I1056" s="218">
        <v>16.42</v>
      </c>
      <c r="J1056" s="223" t="s">
        <v>1160</v>
      </c>
      <c r="K1056" s="319">
        <v>2022.0</v>
      </c>
      <c r="L1056" s="218" t="s">
        <v>200</v>
      </c>
    </row>
    <row r="1057">
      <c r="A1057" s="223" t="s">
        <v>1266</v>
      </c>
      <c r="B1057" s="223" t="s">
        <v>1264</v>
      </c>
      <c r="C1057" s="223" t="s">
        <v>1267</v>
      </c>
      <c r="D1057" s="320">
        <v>44865.0</v>
      </c>
      <c r="I1057" s="218">
        <v>325.32</v>
      </c>
      <c r="J1057" s="223" t="s">
        <v>1152</v>
      </c>
      <c r="K1057" s="319">
        <v>2022.0</v>
      </c>
      <c r="L1057" s="218" t="s">
        <v>200</v>
      </c>
    </row>
    <row r="1058">
      <c r="A1058" s="223" t="s">
        <v>90</v>
      </c>
      <c r="B1058" s="223" t="s">
        <v>1282</v>
      </c>
      <c r="C1058" s="223" t="s">
        <v>1156</v>
      </c>
      <c r="D1058" s="320">
        <v>44865.0</v>
      </c>
      <c r="I1058" s="218">
        <v>23.46</v>
      </c>
      <c r="J1058" s="223" t="s">
        <v>52</v>
      </c>
      <c r="K1058" s="319">
        <v>2022.1</v>
      </c>
      <c r="L1058" s="218" t="s">
        <v>200</v>
      </c>
    </row>
    <row r="1059">
      <c r="A1059" s="223" t="s">
        <v>645</v>
      </c>
      <c r="B1059" s="223" t="s">
        <v>1283</v>
      </c>
      <c r="C1059" s="223" t="s">
        <v>36</v>
      </c>
      <c r="D1059" s="320">
        <v>44865.0</v>
      </c>
      <c r="I1059" s="218">
        <v>2255.64</v>
      </c>
      <c r="J1059" s="223" t="s">
        <v>1160</v>
      </c>
      <c r="K1059" s="319">
        <v>2022.0</v>
      </c>
      <c r="L1059" s="218" t="s">
        <v>200</v>
      </c>
    </row>
    <row r="1060">
      <c r="A1060" s="223" t="s">
        <v>92</v>
      </c>
      <c r="B1060" s="223" t="s">
        <v>1289</v>
      </c>
      <c r="C1060" s="223" t="s">
        <v>1156</v>
      </c>
      <c r="D1060" s="320">
        <v>44865.0</v>
      </c>
      <c r="I1060" s="218">
        <v>64.62</v>
      </c>
      <c r="J1060" s="223" t="s">
        <v>52</v>
      </c>
      <c r="K1060" s="319">
        <v>2022.1</v>
      </c>
      <c r="L1060" s="218" t="s">
        <v>200</v>
      </c>
    </row>
    <row r="1061">
      <c r="A1061" s="223" t="s">
        <v>676</v>
      </c>
      <c r="B1061" s="223" t="s">
        <v>1441</v>
      </c>
      <c r="C1061" s="223" t="s">
        <v>2312</v>
      </c>
      <c r="D1061" s="320">
        <v>44865.0</v>
      </c>
      <c r="I1061" s="218">
        <v>186.88</v>
      </c>
      <c r="J1061" s="223" t="s">
        <v>1160</v>
      </c>
      <c r="K1061" s="319">
        <v>2022.0</v>
      </c>
      <c r="L1061" s="218" t="s">
        <v>200</v>
      </c>
    </row>
    <row r="1062">
      <c r="A1062" s="223" t="s">
        <v>587</v>
      </c>
      <c r="B1062" s="223" t="s">
        <v>1406</v>
      </c>
      <c r="C1062" s="223" t="s">
        <v>1403</v>
      </c>
      <c r="D1062" s="320">
        <v>44865.0</v>
      </c>
      <c r="I1062" s="218">
        <v>0.0</v>
      </c>
      <c r="J1062" s="223" t="s">
        <v>1160</v>
      </c>
      <c r="K1062" s="319">
        <v>2022.0</v>
      </c>
      <c r="L1062" s="218" t="s">
        <v>200</v>
      </c>
    </row>
    <row r="1063">
      <c r="A1063" s="223" t="s">
        <v>123</v>
      </c>
      <c r="B1063" s="223" t="s">
        <v>1300</v>
      </c>
      <c r="C1063" s="223" t="s">
        <v>1156</v>
      </c>
      <c r="D1063" s="320">
        <v>44865.0</v>
      </c>
      <c r="I1063" s="218">
        <v>39.13</v>
      </c>
      <c r="J1063" s="223" t="s">
        <v>52</v>
      </c>
      <c r="K1063" s="319">
        <v>2022.1</v>
      </c>
      <c r="L1063" s="218" t="s">
        <v>200</v>
      </c>
    </row>
    <row r="1064">
      <c r="A1064" s="223" t="s">
        <v>629</v>
      </c>
      <c r="B1064" s="223" t="s">
        <v>1395</v>
      </c>
      <c r="C1064" s="223" t="s">
        <v>469</v>
      </c>
      <c r="D1064" s="320">
        <v>44865.0</v>
      </c>
      <c r="I1064" s="218">
        <v>122.3</v>
      </c>
      <c r="J1064" s="223" t="s">
        <v>52</v>
      </c>
      <c r="K1064" s="319">
        <v>2022.1</v>
      </c>
      <c r="L1064" s="218" t="s">
        <v>200</v>
      </c>
    </row>
    <row r="1065">
      <c r="A1065" s="223" t="s">
        <v>92</v>
      </c>
      <c r="B1065" s="223" t="s">
        <v>1289</v>
      </c>
      <c r="C1065" s="223" t="s">
        <v>1156</v>
      </c>
      <c r="D1065" s="320">
        <v>44852.0</v>
      </c>
      <c r="I1065" s="218">
        <v>46.04</v>
      </c>
      <c r="J1065" s="223" t="s">
        <v>52</v>
      </c>
      <c r="K1065" s="319">
        <v>2022.1</v>
      </c>
      <c r="L1065" s="218">
        <v>46.04</v>
      </c>
    </row>
    <row r="1066">
      <c r="A1066" s="223" t="s">
        <v>118</v>
      </c>
      <c r="B1066" s="223" t="s">
        <v>1312</v>
      </c>
      <c r="C1066" s="223" t="s">
        <v>1156</v>
      </c>
      <c r="D1066" s="324">
        <v>44858.0</v>
      </c>
      <c r="I1066" s="218">
        <v>750.0</v>
      </c>
      <c r="J1066" s="223" t="s">
        <v>52</v>
      </c>
      <c r="K1066" s="319">
        <v>2022.1</v>
      </c>
      <c r="L1066" s="218">
        <v>750.0</v>
      </c>
    </row>
    <row r="1067">
      <c r="A1067" s="223" t="s">
        <v>1271</v>
      </c>
      <c r="B1067" s="223" t="s">
        <v>1264</v>
      </c>
      <c r="C1067" s="223" t="s">
        <v>1272</v>
      </c>
      <c r="D1067" s="320">
        <v>44866.0</v>
      </c>
      <c r="I1067" s="218">
        <v>500.04</v>
      </c>
      <c r="J1067" s="223" t="s">
        <v>1152</v>
      </c>
      <c r="K1067" s="319">
        <v>2022.0</v>
      </c>
      <c r="L1067" s="218" t="s">
        <v>200</v>
      </c>
    </row>
    <row r="1068">
      <c r="A1068" s="223" t="s">
        <v>115</v>
      </c>
      <c r="B1068" s="223" t="s">
        <v>1308</v>
      </c>
      <c r="C1068" s="223" t="s">
        <v>1156</v>
      </c>
      <c r="D1068" s="320">
        <v>44866.0</v>
      </c>
      <c r="I1068" s="218">
        <v>750.0</v>
      </c>
      <c r="J1068" s="223" t="s">
        <v>52</v>
      </c>
      <c r="K1068" s="319">
        <v>2022.11</v>
      </c>
      <c r="L1068" s="218">
        <v>750.0</v>
      </c>
    </row>
    <row r="1069">
      <c r="A1069" s="223" t="s">
        <v>118</v>
      </c>
      <c r="B1069" s="223" t="s">
        <v>1312</v>
      </c>
      <c r="C1069" s="223" t="s">
        <v>1156</v>
      </c>
      <c r="D1069" s="320">
        <v>44866.0</v>
      </c>
      <c r="I1069" s="218">
        <v>549.82</v>
      </c>
      <c r="J1069" s="223" t="s">
        <v>52</v>
      </c>
      <c r="K1069" s="319">
        <v>2022.11</v>
      </c>
      <c r="L1069" s="218">
        <v>549.82</v>
      </c>
    </row>
    <row r="1070">
      <c r="A1070" s="223" t="s">
        <v>92</v>
      </c>
      <c r="B1070" s="223" t="s">
        <v>1289</v>
      </c>
      <c r="C1070" s="223" t="s">
        <v>1156</v>
      </c>
      <c r="D1070" s="320">
        <v>44866.0</v>
      </c>
      <c r="I1070" s="218">
        <v>70.0</v>
      </c>
      <c r="J1070" s="223" t="s">
        <v>52</v>
      </c>
      <c r="K1070" s="319">
        <v>2022.11</v>
      </c>
      <c r="L1070" s="218">
        <v>70.0</v>
      </c>
    </row>
    <row r="1071">
      <c r="A1071" s="223" t="s">
        <v>115</v>
      </c>
      <c r="B1071" s="223" t="s">
        <v>1308</v>
      </c>
      <c r="C1071" s="223" t="s">
        <v>1156</v>
      </c>
      <c r="D1071" s="320">
        <v>44866.0</v>
      </c>
      <c r="I1071" s="218">
        <v>219.87</v>
      </c>
      <c r="J1071" s="223" t="s">
        <v>52</v>
      </c>
      <c r="K1071" s="319">
        <v>2022.11</v>
      </c>
      <c r="L1071" s="218">
        <v>219.87</v>
      </c>
    </row>
    <row r="1072">
      <c r="A1072" s="223" t="s">
        <v>665</v>
      </c>
      <c r="B1072" s="223" t="s">
        <v>1305</v>
      </c>
      <c r="C1072" s="223" t="s">
        <v>2311</v>
      </c>
      <c r="D1072" s="320">
        <v>44895.0</v>
      </c>
      <c r="I1072" s="218">
        <v>44.0</v>
      </c>
      <c r="J1072" s="317" t="s">
        <v>1992</v>
      </c>
      <c r="K1072" s="319">
        <v>2022.0</v>
      </c>
      <c r="L1072" s="218" t="s">
        <v>200</v>
      </c>
    </row>
    <row r="1073">
      <c r="A1073" s="223" t="s">
        <v>82</v>
      </c>
      <c r="B1073" s="223" t="s">
        <v>1124</v>
      </c>
      <c r="C1073" s="223" t="s">
        <v>1156</v>
      </c>
      <c r="D1073" s="320">
        <v>44895.0</v>
      </c>
      <c r="I1073" s="218">
        <v>225.0</v>
      </c>
      <c r="J1073" s="317" t="s">
        <v>52</v>
      </c>
      <c r="K1073" s="319">
        <v>2022.11</v>
      </c>
      <c r="L1073" s="218" t="s">
        <v>200</v>
      </c>
    </row>
    <row r="1074">
      <c r="A1074" s="223" t="s">
        <v>92</v>
      </c>
      <c r="B1074" s="223" t="s">
        <v>1289</v>
      </c>
      <c r="C1074" s="223" t="s">
        <v>1156</v>
      </c>
      <c r="D1074" s="320">
        <v>44895.0</v>
      </c>
      <c r="I1074" s="218">
        <v>300.0</v>
      </c>
      <c r="J1074" s="317" t="s">
        <v>52</v>
      </c>
      <c r="K1074" s="319">
        <v>2022.11</v>
      </c>
      <c r="L1074" s="218" t="s">
        <v>200</v>
      </c>
    </row>
    <row r="1075">
      <c r="A1075" s="223" t="s">
        <v>695</v>
      </c>
      <c r="B1075" s="223" t="s">
        <v>1216</v>
      </c>
      <c r="C1075" s="223" t="s">
        <v>1451</v>
      </c>
      <c r="D1075" s="320">
        <v>44895.0</v>
      </c>
      <c r="I1075" s="218">
        <v>175.0</v>
      </c>
      <c r="J1075" s="317" t="s">
        <v>52</v>
      </c>
      <c r="K1075" s="319">
        <v>2022.11</v>
      </c>
      <c r="L1075" s="218" t="s">
        <v>200</v>
      </c>
    </row>
    <row r="1076">
      <c r="A1076" s="223" t="s">
        <v>66</v>
      </c>
      <c r="B1076" s="223" t="s">
        <v>1324</v>
      </c>
      <c r="C1076" s="223" t="s">
        <v>1156</v>
      </c>
      <c r="D1076" s="320">
        <v>44895.0</v>
      </c>
      <c r="I1076" s="218">
        <v>312.5</v>
      </c>
      <c r="J1076" s="317" t="s">
        <v>52</v>
      </c>
      <c r="K1076" s="319">
        <v>2022.11</v>
      </c>
      <c r="L1076" s="218" t="s">
        <v>200</v>
      </c>
    </row>
    <row r="1077">
      <c r="A1077" s="223" t="s">
        <v>97</v>
      </c>
      <c r="B1077" s="223" t="s">
        <v>1286</v>
      </c>
      <c r="C1077" s="223" t="s">
        <v>1156</v>
      </c>
      <c r="D1077" s="320">
        <v>44895.0</v>
      </c>
      <c r="I1077" s="218">
        <v>125.0</v>
      </c>
      <c r="J1077" s="317" t="s">
        <v>52</v>
      </c>
      <c r="K1077" s="319">
        <v>2022.11</v>
      </c>
      <c r="L1077" s="218" t="s">
        <v>200</v>
      </c>
    </row>
    <row r="1078">
      <c r="A1078" s="223" t="s">
        <v>88</v>
      </c>
      <c r="B1078" s="223" t="s">
        <v>1256</v>
      </c>
      <c r="C1078" s="223" t="s">
        <v>1156</v>
      </c>
      <c r="D1078" s="320">
        <v>44895.0</v>
      </c>
      <c r="I1078" s="218">
        <v>312.5</v>
      </c>
      <c r="J1078" s="317" t="s">
        <v>52</v>
      </c>
      <c r="K1078" s="319">
        <v>2022.11</v>
      </c>
      <c r="L1078" s="218" t="s">
        <v>200</v>
      </c>
    </row>
    <row r="1079">
      <c r="A1079" s="223" t="s">
        <v>73</v>
      </c>
      <c r="B1079" s="223" t="s">
        <v>1327</v>
      </c>
      <c r="C1079" s="223" t="s">
        <v>1156</v>
      </c>
      <c r="D1079" s="320">
        <v>44895.0</v>
      </c>
      <c r="I1079" s="218">
        <v>262.5</v>
      </c>
      <c r="J1079" s="317" t="s">
        <v>52</v>
      </c>
      <c r="K1079" s="319">
        <v>2022.11</v>
      </c>
      <c r="L1079" s="218" t="s">
        <v>200</v>
      </c>
    </row>
    <row r="1080">
      <c r="A1080" s="223" t="s">
        <v>223</v>
      </c>
      <c r="B1080" s="223" t="s">
        <v>1176</v>
      </c>
      <c r="C1080" s="223" t="s">
        <v>1156</v>
      </c>
      <c r="D1080" s="320">
        <v>44895.0</v>
      </c>
      <c r="I1080" s="218">
        <v>500.0</v>
      </c>
      <c r="J1080" s="317" t="s">
        <v>52</v>
      </c>
      <c r="K1080" s="319">
        <v>2022.11</v>
      </c>
      <c r="L1080" s="218" t="s">
        <v>200</v>
      </c>
    </row>
    <row r="1081">
      <c r="A1081" s="223" t="s">
        <v>50</v>
      </c>
      <c r="B1081" s="223" t="s">
        <v>1275</v>
      </c>
      <c r="C1081" s="223" t="s">
        <v>1156</v>
      </c>
      <c r="D1081" s="320">
        <v>44895.0</v>
      </c>
      <c r="I1081" s="218">
        <v>137.5</v>
      </c>
      <c r="J1081" s="317" t="s">
        <v>52</v>
      </c>
      <c r="K1081" s="319">
        <v>2022.11</v>
      </c>
      <c r="L1081" s="218" t="s">
        <v>200</v>
      </c>
    </row>
    <row r="1082">
      <c r="A1082" s="223" t="s">
        <v>451</v>
      </c>
      <c r="B1082" s="223" t="s">
        <v>1363</v>
      </c>
      <c r="C1082" s="223" t="s">
        <v>1364</v>
      </c>
      <c r="D1082" s="320">
        <v>44895.0</v>
      </c>
      <c r="I1082" s="218">
        <v>237.5</v>
      </c>
      <c r="J1082" s="317" t="s">
        <v>1160</v>
      </c>
      <c r="K1082" s="319">
        <v>2022.0</v>
      </c>
      <c r="L1082" s="218" t="s">
        <v>200</v>
      </c>
    </row>
    <row r="1083">
      <c r="A1083" s="223" t="s">
        <v>1269</v>
      </c>
      <c r="B1083" s="223" t="s">
        <v>1264</v>
      </c>
      <c r="C1083" s="223" t="s">
        <v>1270</v>
      </c>
      <c r="D1083" s="320">
        <v>44895.0</v>
      </c>
      <c r="I1083" s="218">
        <v>150.0</v>
      </c>
      <c r="J1083" s="317" t="s">
        <v>1152</v>
      </c>
      <c r="K1083" s="319">
        <v>2022.0</v>
      </c>
      <c r="L1083" s="218" t="s">
        <v>200</v>
      </c>
    </row>
    <row r="1084">
      <c r="A1084" s="223" t="s">
        <v>102</v>
      </c>
      <c r="B1084" s="223" t="s">
        <v>1259</v>
      </c>
      <c r="C1084" s="223" t="s">
        <v>1156</v>
      </c>
      <c r="D1084" s="320">
        <v>44895.0</v>
      </c>
      <c r="I1084" s="218">
        <v>150.0</v>
      </c>
      <c r="J1084" s="317" t="s">
        <v>52</v>
      </c>
      <c r="K1084" s="319">
        <v>2022.11</v>
      </c>
      <c r="L1084" s="218" t="s">
        <v>200</v>
      </c>
    </row>
    <row r="1085">
      <c r="A1085" s="223" t="s">
        <v>92</v>
      </c>
      <c r="B1085" s="223" t="s">
        <v>1289</v>
      </c>
      <c r="C1085" s="223" t="s">
        <v>1156</v>
      </c>
      <c r="D1085" s="320">
        <v>44895.0</v>
      </c>
      <c r="I1085" s="218">
        <v>212.5</v>
      </c>
      <c r="J1085" s="317" t="s">
        <v>52</v>
      </c>
      <c r="K1085" s="319">
        <v>2022.11</v>
      </c>
      <c r="L1085" s="218" t="s">
        <v>200</v>
      </c>
    </row>
    <row r="1086">
      <c r="A1086" s="223" t="s">
        <v>42</v>
      </c>
      <c r="B1086" s="223" t="s">
        <v>1236</v>
      </c>
      <c r="C1086" s="223" t="s">
        <v>1156</v>
      </c>
      <c r="D1086" s="320">
        <v>44895.0</v>
      </c>
      <c r="I1086" s="218">
        <v>175.0</v>
      </c>
      <c r="J1086" s="317" t="s">
        <v>52</v>
      </c>
      <c r="K1086" s="319">
        <v>2022.11</v>
      </c>
      <c r="L1086" s="218" t="s">
        <v>200</v>
      </c>
    </row>
    <row r="1087">
      <c r="A1087" s="223" t="s">
        <v>54</v>
      </c>
      <c r="B1087" s="223" t="s">
        <v>1187</v>
      </c>
      <c r="C1087" s="223" t="s">
        <v>1156</v>
      </c>
      <c r="D1087" s="320">
        <v>44895.0</v>
      </c>
      <c r="I1087" s="218">
        <v>50.0</v>
      </c>
      <c r="J1087" s="317" t="s">
        <v>52</v>
      </c>
      <c r="K1087" s="319">
        <v>2022.11</v>
      </c>
      <c r="L1087" s="218" t="s">
        <v>200</v>
      </c>
    </row>
    <row r="1088">
      <c r="A1088" s="223" t="s">
        <v>92</v>
      </c>
      <c r="B1088" s="223" t="s">
        <v>1289</v>
      </c>
      <c r="C1088" s="223" t="s">
        <v>1156</v>
      </c>
      <c r="D1088" s="320">
        <v>44895.0</v>
      </c>
      <c r="I1088" s="218">
        <v>375.0</v>
      </c>
      <c r="J1088" s="317" t="s">
        <v>52</v>
      </c>
      <c r="K1088" s="319">
        <v>2022.11</v>
      </c>
      <c r="L1088" s="218" t="s">
        <v>200</v>
      </c>
    </row>
    <row r="1089">
      <c r="A1089" s="223" t="s">
        <v>88</v>
      </c>
      <c r="B1089" s="223" t="s">
        <v>1256</v>
      </c>
      <c r="C1089" s="223" t="s">
        <v>1156</v>
      </c>
      <c r="D1089" s="320">
        <v>44895.0</v>
      </c>
      <c r="I1089" s="218">
        <v>45.0</v>
      </c>
      <c r="J1089" s="317" t="s">
        <v>52</v>
      </c>
      <c r="K1089" s="319">
        <v>2022.11</v>
      </c>
      <c r="L1089" s="218" t="s">
        <v>200</v>
      </c>
    </row>
    <row r="1090">
      <c r="A1090" s="223" t="s">
        <v>97</v>
      </c>
      <c r="B1090" s="223" t="s">
        <v>1286</v>
      </c>
      <c r="C1090" s="223" t="s">
        <v>1156</v>
      </c>
      <c r="D1090" s="320">
        <v>44895.0</v>
      </c>
      <c r="I1090" s="218">
        <v>30.0</v>
      </c>
      <c r="J1090" s="317" t="s">
        <v>52</v>
      </c>
      <c r="K1090" s="319">
        <v>2022.11</v>
      </c>
      <c r="L1090" s="218" t="s">
        <v>200</v>
      </c>
    </row>
    <row r="1091">
      <c r="A1091" s="223" t="s">
        <v>82</v>
      </c>
      <c r="B1091" s="223" t="s">
        <v>1124</v>
      </c>
      <c r="C1091" s="223" t="s">
        <v>1156</v>
      </c>
      <c r="D1091" s="320">
        <v>44895.0</v>
      </c>
      <c r="I1091" s="218">
        <v>175.0</v>
      </c>
      <c r="J1091" s="317" t="s">
        <v>52</v>
      </c>
      <c r="K1091" s="319">
        <v>2022.11</v>
      </c>
      <c r="L1091" s="218" t="s">
        <v>200</v>
      </c>
    </row>
    <row r="1092">
      <c r="A1092" s="223" t="s">
        <v>99</v>
      </c>
      <c r="B1092" s="223" t="s">
        <v>1192</v>
      </c>
      <c r="C1092" s="223" t="s">
        <v>1156</v>
      </c>
      <c r="D1092" s="320">
        <v>44895.0</v>
      </c>
      <c r="I1092" s="218">
        <v>270.0</v>
      </c>
      <c r="J1092" s="317" t="s">
        <v>52</v>
      </c>
      <c r="K1092" s="319">
        <v>2022.11</v>
      </c>
      <c r="L1092" s="218" t="s">
        <v>200</v>
      </c>
    </row>
    <row r="1093">
      <c r="A1093" s="223" t="s">
        <v>42</v>
      </c>
      <c r="B1093" s="223" t="s">
        <v>1236</v>
      </c>
      <c r="C1093" s="223" t="s">
        <v>1156</v>
      </c>
      <c r="D1093" s="320">
        <v>44895.0</v>
      </c>
      <c r="I1093" s="218">
        <v>135.0</v>
      </c>
      <c r="J1093" s="317" t="s">
        <v>52</v>
      </c>
      <c r="K1093" s="319">
        <v>2022.11</v>
      </c>
      <c r="L1093" s="218" t="s">
        <v>200</v>
      </c>
    </row>
    <row r="1094">
      <c r="A1094" s="223" t="s">
        <v>58</v>
      </c>
      <c r="B1094" s="223" t="s">
        <v>1197</v>
      </c>
      <c r="C1094" s="223" t="s">
        <v>1156</v>
      </c>
      <c r="D1094" s="320">
        <v>44895.0</v>
      </c>
      <c r="I1094" s="218">
        <v>200.0</v>
      </c>
      <c r="J1094" s="317" t="s">
        <v>52</v>
      </c>
      <c r="K1094" s="319">
        <v>2022.11</v>
      </c>
      <c r="L1094" s="218" t="s">
        <v>200</v>
      </c>
    </row>
    <row r="1095">
      <c r="A1095" s="223" t="s">
        <v>123</v>
      </c>
      <c r="B1095" s="223" t="s">
        <v>1300</v>
      </c>
      <c r="C1095" s="223" t="s">
        <v>1156</v>
      </c>
      <c r="D1095" s="320">
        <v>44895.0</v>
      </c>
      <c r="I1095" s="218">
        <v>450.0</v>
      </c>
      <c r="J1095" s="317" t="s">
        <v>52</v>
      </c>
      <c r="K1095" s="319">
        <v>2022.11</v>
      </c>
      <c r="L1095" s="218" t="s">
        <v>200</v>
      </c>
    </row>
    <row r="1096">
      <c r="A1096" s="223" t="s">
        <v>73</v>
      </c>
      <c r="B1096" s="223" t="s">
        <v>1327</v>
      </c>
      <c r="C1096" s="223" t="s">
        <v>1156</v>
      </c>
      <c r="D1096" s="320">
        <v>44895.0</v>
      </c>
      <c r="I1096" s="218">
        <v>60.0</v>
      </c>
      <c r="J1096" s="317" t="s">
        <v>52</v>
      </c>
      <c r="K1096" s="319">
        <v>2022.11</v>
      </c>
      <c r="L1096" s="218" t="s">
        <v>200</v>
      </c>
    </row>
    <row r="1097">
      <c r="A1097" s="223" t="s">
        <v>50</v>
      </c>
      <c r="B1097" s="223" t="s">
        <v>1275</v>
      </c>
      <c r="C1097" s="223" t="s">
        <v>1156</v>
      </c>
      <c r="D1097" s="320">
        <v>44895.0</v>
      </c>
      <c r="I1097" s="218">
        <v>30.0</v>
      </c>
      <c r="J1097" s="317" t="s">
        <v>52</v>
      </c>
      <c r="K1097" s="319">
        <v>2022.11</v>
      </c>
      <c r="L1097" s="218" t="s">
        <v>200</v>
      </c>
    </row>
    <row r="1098">
      <c r="A1098" s="223" t="s">
        <v>62</v>
      </c>
      <c r="B1098" s="223" t="s">
        <v>1304</v>
      </c>
      <c r="C1098" s="223" t="s">
        <v>1156</v>
      </c>
      <c r="D1098" s="320">
        <v>44895.0</v>
      </c>
      <c r="I1098" s="218">
        <v>300.0</v>
      </c>
      <c r="J1098" s="317" t="s">
        <v>52</v>
      </c>
      <c r="K1098" s="319">
        <v>2022.11</v>
      </c>
      <c r="L1098" s="218" t="s">
        <v>200</v>
      </c>
    </row>
    <row r="1099">
      <c r="A1099" s="223" t="s">
        <v>223</v>
      </c>
      <c r="B1099" s="223" t="s">
        <v>1176</v>
      </c>
      <c r="C1099" s="223" t="s">
        <v>1156</v>
      </c>
      <c r="D1099" s="320">
        <v>44895.0</v>
      </c>
      <c r="I1099" s="218">
        <v>75.0</v>
      </c>
      <c r="J1099" s="317" t="s">
        <v>52</v>
      </c>
      <c r="K1099" s="319">
        <v>2022.11</v>
      </c>
      <c r="L1099" s="218" t="s">
        <v>200</v>
      </c>
    </row>
    <row r="1100">
      <c r="A1100" s="223" t="s">
        <v>225</v>
      </c>
      <c r="B1100" s="223" t="s">
        <v>1257</v>
      </c>
      <c r="C1100" s="223" t="s">
        <v>1156</v>
      </c>
      <c r="D1100" s="320">
        <v>44895.0</v>
      </c>
      <c r="I1100" s="218">
        <v>1860.0</v>
      </c>
      <c r="J1100" s="317" t="s">
        <v>52</v>
      </c>
      <c r="K1100" s="319">
        <v>2022.11</v>
      </c>
      <c r="L1100" s="218" t="s">
        <v>200</v>
      </c>
    </row>
    <row r="1101">
      <c r="A1101" s="223" t="s">
        <v>66</v>
      </c>
      <c r="B1101" s="223" t="s">
        <v>1324</v>
      </c>
      <c r="C1101" s="223" t="s">
        <v>1156</v>
      </c>
      <c r="D1101" s="320">
        <v>44895.0</v>
      </c>
      <c r="I1101" s="218">
        <v>60.0</v>
      </c>
      <c r="J1101" s="317" t="s">
        <v>52</v>
      </c>
      <c r="K1101" s="319">
        <v>2022.11</v>
      </c>
      <c r="L1101" s="218" t="s">
        <v>200</v>
      </c>
    </row>
    <row r="1102">
      <c r="A1102" s="223" t="s">
        <v>695</v>
      </c>
      <c r="B1102" s="223" t="s">
        <v>1216</v>
      </c>
      <c r="C1102" s="223" t="s">
        <v>1451</v>
      </c>
      <c r="D1102" s="320">
        <v>44895.0</v>
      </c>
      <c r="I1102" s="218">
        <v>45.0</v>
      </c>
      <c r="J1102" s="317" t="s">
        <v>52</v>
      </c>
      <c r="K1102" s="319">
        <v>2022.11</v>
      </c>
      <c r="L1102" s="218" t="s">
        <v>200</v>
      </c>
    </row>
    <row r="1103">
      <c r="A1103" s="223" t="s">
        <v>499</v>
      </c>
      <c r="B1103" s="223" t="s">
        <v>1330</v>
      </c>
      <c r="C1103" s="223" t="s">
        <v>1375</v>
      </c>
      <c r="D1103" s="320">
        <v>44895.0</v>
      </c>
      <c r="I1103" s="218">
        <v>150.0</v>
      </c>
      <c r="J1103" s="317" t="s">
        <v>52</v>
      </c>
      <c r="K1103" s="319">
        <v>2022.11</v>
      </c>
      <c r="L1103" s="218" t="s">
        <v>200</v>
      </c>
    </row>
    <row r="1104">
      <c r="A1104" s="223" t="s">
        <v>451</v>
      </c>
      <c r="B1104" s="223" t="s">
        <v>1363</v>
      </c>
      <c r="C1104" s="223" t="s">
        <v>1364</v>
      </c>
      <c r="D1104" s="320">
        <v>44895.0</v>
      </c>
      <c r="I1104" s="218">
        <v>60.0</v>
      </c>
      <c r="J1104" s="317" t="s">
        <v>1160</v>
      </c>
      <c r="K1104" s="319">
        <v>2022.0</v>
      </c>
      <c r="L1104" s="218" t="s">
        <v>200</v>
      </c>
    </row>
    <row r="1105">
      <c r="A1105" s="223" t="s">
        <v>549</v>
      </c>
      <c r="B1105" s="223" t="s">
        <v>1368</v>
      </c>
      <c r="C1105" s="223" t="s">
        <v>1393</v>
      </c>
      <c r="D1105" s="320">
        <v>44895.0</v>
      </c>
      <c r="I1105" s="218">
        <v>45.0</v>
      </c>
      <c r="J1105" s="317" t="s">
        <v>52</v>
      </c>
      <c r="K1105" s="319">
        <v>2022.11</v>
      </c>
      <c r="L1105" s="218" t="s">
        <v>200</v>
      </c>
    </row>
    <row r="1106">
      <c r="A1106" s="223" t="s">
        <v>478</v>
      </c>
      <c r="B1106" s="223" t="s">
        <v>1200</v>
      </c>
      <c r="C1106" s="223" t="s">
        <v>1373</v>
      </c>
      <c r="D1106" s="320">
        <v>44895.0</v>
      </c>
      <c r="I1106" s="218">
        <v>257.5</v>
      </c>
      <c r="J1106" s="317" t="s">
        <v>1160</v>
      </c>
      <c r="K1106" s="319">
        <v>2022.0</v>
      </c>
      <c r="L1106" s="218" t="s">
        <v>200</v>
      </c>
    </row>
    <row r="1107">
      <c r="A1107" s="223" t="s">
        <v>676</v>
      </c>
      <c r="B1107" s="223" t="s">
        <v>1441</v>
      </c>
      <c r="C1107" s="223" t="s">
        <v>2312</v>
      </c>
      <c r="D1107" s="320">
        <v>44895.0</v>
      </c>
      <c r="I1107" s="218">
        <v>485.0</v>
      </c>
      <c r="J1107" s="317" t="s">
        <v>1160</v>
      </c>
      <c r="K1107" s="319">
        <v>2022.0</v>
      </c>
      <c r="L1107" s="218" t="s">
        <v>200</v>
      </c>
    </row>
    <row r="1108">
      <c r="A1108" s="223" t="s">
        <v>653</v>
      </c>
      <c r="B1108" s="223" t="s">
        <v>1426</v>
      </c>
      <c r="C1108" s="223" t="s">
        <v>1427</v>
      </c>
      <c r="D1108" s="320">
        <v>44895.0</v>
      </c>
      <c r="I1108" s="218">
        <v>970.0</v>
      </c>
      <c r="J1108" s="317" t="s">
        <v>1160</v>
      </c>
      <c r="K1108" s="319">
        <v>2022.0</v>
      </c>
      <c r="L1108" s="218" t="s">
        <v>200</v>
      </c>
    </row>
    <row r="1109">
      <c r="A1109" s="223" t="s">
        <v>762</v>
      </c>
      <c r="B1109" s="223" t="s">
        <v>1429</v>
      </c>
      <c r="C1109" s="223" t="s">
        <v>1432</v>
      </c>
      <c r="D1109" s="320">
        <v>44895.0</v>
      </c>
      <c r="I1109" s="218">
        <v>415.0</v>
      </c>
      <c r="J1109" s="317" t="s">
        <v>52</v>
      </c>
      <c r="K1109" s="319">
        <v>2022.11</v>
      </c>
      <c r="L1109" s="218" t="s">
        <v>200</v>
      </c>
    </row>
    <row r="1110">
      <c r="A1110" s="223" t="s">
        <v>686</v>
      </c>
      <c r="B1110" s="223" t="s">
        <v>1447</v>
      </c>
      <c r="C1110" s="223" t="s">
        <v>1448</v>
      </c>
      <c r="D1110" s="320">
        <v>44895.0</v>
      </c>
      <c r="I1110" s="218">
        <v>100.0</v>
      </c>
      <c r="J1110" s="317" t="s">
        <v>1160</v>
      </c>
      <c r="K1110" s="319">
        <v>2022.0</v>
      </c>
      <c r="L1110" s="218" t="s">
        <v>200</v>
      </c>
    </row>
    <row r="1111">
      <c r="A1111" s="223" t="s">
        <v>1266</v>
      </c>
      <c r="B1111" s="223" t="s">
        <v>1264</v>
      </c>
      <c r="C1111" s="223" t="s">
        <v>1267</v>
      </c>
      <c r="D1111" s="320">
        <v>44895.0</v>
      </c>
      <c r="I1111" s="218">
        <v>300.0</v>
      </c>
      <c r="J1111" s="317" t="s">
        <v>1152</v>
      </c>
      <c r="K1111" s="319">
        <v>2022.0</v>
      </c>
      <c r="L1111" s="218" t="s">
        <v>200</v>
      </c>
    </row>
    <row r="1112">
      <c r="A1112" s="223" t="s">
        <v>115</v>
      </c>
      <c r="B1112" s="223" t="s">
        <v>1308</v>
      </c>
      <c r="C1112" s="223" t="s">
        <v>1156</v>
      </c>
      <c r="D1112" s="320">
        <v>44895.0</v>
      </c>
      <c r="I1112" s="218">
        <v>662.5</v>
      </c>
      <c r="J1112" s="317" t="s">
        <v>52</v>
      </c>
      <c r="K1112" s="319">
        <v>2022.11</v>
      </c>
      <c r="L1112" s="218" t="s">
        <v>200</v>
      </c>
    </row>
    <row r="1113">
      <c r="A1113" s="223" t="s">
        <v>118</v>
      </c>
      <c r="B1113" s="223" t="s">
        <v>1312</v>
      </c>
      <c r="C1113" s="223" t="s">
        <v>1156</v>
      </c>
      <c r="D1113" s="320">
        <v>44895.0</v>
      </c>
      <c r="I1113" s="218">
        <v>662.5</v>
      </c>
      <c r="J1113" s="317" t="s">
        <v>52</v>
      </c>
      <c r="K1113" s="319">
        <v>2022.11</v>
      </c>
      <c r="L1113" s="218" t="s">
        <v>200</v>
      </c>
    </row>
    <row r="1114">
      <c r="A1114" s="223" t="s">
        <v>92</v>
      </c>
      <c r="B1114" s="223" t="s">
        <v>1289</v>
      </c>
      <c r="C1114" s="223" t="s">
        <v>1156</v>
      </c>
      <c r="D1114" s="320">
        <v>44895.0</v>
      </c>
      <c r="I1114" s="218">
        <v>475.0</v>
      </c>
      <c r="J1114" s="317" t="s">
        <v>52</v>
      </c>
      <c r="K1114" s="319">
        <v>2022.11</v>
      </c>
      <c r="L1114" s="218" t="s">
        <v>200</v>
      </c>
    </row>
    <row r="1115">
      <c r="A1115" s="223" t="s">
        <v>84</v>
      </c>
      <c r="B1115" s="223" t="s">
        <v>1227</v>
      </c>
      <c r="C1115" s="223" t="s">
        <v>1156</v>
      </c>
      <c r="D1115" s="320">
        <v>44895.0</v>
      </c>
      <c r="I1115" s="218">
        <v>475.0</v>
      </c>
      <c r="J1115" s="317" t="s">
        <v>52</v>
      </c>
      <c r="K1115" s="319">
        <v>2022.11</v>
      </c>
      <c r="L1115" s="218" t="s">
        <v>200</v>
      </c>
    </row>
    <row r="1116">
      <c r="A1116" s="223" t="s">
        <v>123</v>
      </c>
      <c r="B1116" s="223" t="s">
        <v>1300</v>
      </c>
      <c r="C1116" s="223" t="s">
        <v>1156</v>
      </c>
      <c r="D1116" s="320">
        <v>44895.0</v>
      </c>
      <c r="I1116" s="218">
        <v>937.5</v>
      </c>
      <c r="J1116" s="317" t="s">
        <v>52</v>
      </c>
      <c r="K1116" s="319">
        <v>2022.11</v>
      </c>
      <c r="L1116" s="218" t="s">
        <v>200</v>
      </c>
    </row>
    <row r="1117">
      <c r="A1117" s="223" t="s">
        <v>62</v>
      </c>
      <c r="B1117" s="223" t="s">
        <v>1304</v>
      </c>
      <c r="C1117" s="223" t="s">
        <v>1156</v>
      </c>
      <c r="D1117" s="320">
        <v>44895.0</v>
      </c>
      <c r="I1117" s="218">
        <v>450.0</v>
      </c>
      <c r="J1117" s="317" t="s">
        <v>52</v>
      </c>
      <c r="K1117" s="319">
        <v>2022.11</v>
      </c>
      <c r="L1117" s="218" t="s">
        <v>200</v>
      </c>
    </row>
    <row r="1118">
      <c r="A1118" s="223" t="s">
        <v>99</v>
      </c>
      <c r="B1118" s="223" t="s">
        <v>1192</v>
      </c>
      <c r="C1118" s="223" t="s">
        <v>1156</v>
      </c>
      <c r="D1118" s="320">
        <v>44895.0</v>
      </c>
      <c r="I1118" s="218">
        <v>437.5</v>
      </c>
      <c r="J1118" s="317" t="s">
        <v>52</v>
      </c>
      <c r="K1118" s="319">
        <v>2022.11</v>
      </c>
      <c r="L1118" s="218" t="s">
        <v>200</v>
      </c>
    </row>
    <row r="1119">
      <c r="A1119" s="223" t="s">
        <v>611</v>
      </c>
      <c r="B1119" s="223" t="s">
        <v>1377</v>
      </c>
      <c r="C1119" s="223" t="s">
        <v>1420</v>
      </c>
      <c r="D1119" s="320">
        <v>44895.0</v>
      </c>
      <c r="I1119" s="218">
        <v>450.0</v>
      </c>
      <c r="J1119" s="317" t="s">
        <v>1160</v>
      </c>
      <c r="K1119" s="319">
        <v>2022.0</v>
      </c>
      <c r="L1119" s="218" t="s">
        <v>200</v>
      </c>
    </row>
    <row r="1120">
      <c r="A1120" s="223" t="s">
        <v>42</v>
      </c>
      <c r="B1120" s="223" t="s">
        <v>1236</v>
      </c>
      <c r="C1120" s="223" t="s">
        <v>1156</v>
      </c>
      <c r="D1120" s="320">
        <v>44895.0</v>
      </c>
      <c r="I1120" s="218">
        <v>212.5</v>
      </c>
      <c r="J1120" s="317" t="s">
        <v>52</v>
      </c>
      <c r="K1120" s="319">
        <v>2022.11</v>
      </c>
      <c r="L1120" s="218" t="s">
        <v>200</v>
      </c>
    </row>
    <row r="1121">
      <c r="A1121" s="223" t="s">
        <v>499</v>
      </c>
      <c r="B1121" s="223" t="s">
        <v>1330</v>
      </c>
      <c r="C1121" s="223" t="s">
        <v>1375</v>
      </c>
      <c r="D1121" s="320">
        <v>44895.0</v>
      </c>
      <c r="I1121" s="218">
        <v>100.0</v>
      </c>
      <c r="J1121" s="317" t="s">
        <v>52</v>
      </c>
      <c r="K1121" s="319">
        <v>2022.11</v>
      </c>
      <c r="L1121" s="218" t="s">
        <v>200</v>
      </c>
    </row>
    <row r="1122">
      <c r="A1122" s="223" t="s">
        <v>662</v>
      </c>
      <c r="B1122" s="223" t="s">
        <v>1433</v>
      </c>
      <c r="C1122" s="223" t="s">
        <v>1434</v>
      </c>
      <c r="D1122" s="320">
        <v>44895.0</v>
      </c>
      <c r="I1122" s="218">
        <v>500.0</v>
      </c>
      <c r="J1122" s="317" t="s">
        <v>52</v>
      </c>
      <c r="K1122" s="319">
        <v>2022.11</v>
      </c>
      <c r="L1122" s="218" t="s">
        <v>200</v>
      </c>
    </row>
    <row r="1123">
      <c r="A1123" s="223" t="s">
        <v>725</v>
      </c>
      <c r="B1123" s="223" t="s">
        <v>1286</v>
      </c>
      <c r="C1123" s="223" t="s">
        <v>1458</v>
      </c>
      <c r="D1123" s="320">
        <v>44904.0</v>
      </c>
      <c r="I1123" s="218">
        <v>72.0</v>
      </c>
      <c r="J1123" s="317" t="s">
        <v>716</v>
      </c>
      <c r="K1123" s="319">
        <v>2022.0</v>
      </c>
      <c r="L1123" s="218" t="s">
        <v>200</v>
      </c>
    </row>
    <row r="1124">
      <c r="A1124" s="223" t="s">
        <v>180</v>
      </c>
      <c r="B1124" s="223" t="s">
        <v>1158</v>
      </c>
      <c r="C1124" s="223" t="s">
        <v>1163</v>
      </c>
      <c r="D1124" s="320">
        <v>44904.0</v>
      </c>
      <c r="I1124" s="218">
        <v>114.0</v>
      </c>
      <c r="J1124" s="317" t="s">
        <v>716</v>
      </c>
      <c r="K1124" s="319">
        <v>2022.0</v>
      </c>
      <c r="L1124" s="218" t="s">
        <v>200</v>
      </c>
    </row>
    <row r="1125">
      <c r="A1125" s="223" t="s">
        <v>180</v>
      </c>
      <c r="B1125" s="223" t="s">
        <v>1158</v>
      </c>
      <c r="C1125" s="223" t="s">
        <v>1163</v>
      </c>
      <c r="D1125" s="320">
        <v>44904.0</v>
      </c>
      <c r="I1125" s="218">
        <v>144.0</v>
      </c>
      <c r="J1125" s="317" t="s">
        <v>716</v>
      </c>
      <c r="K1125" s="319">
        <v>2022.0</v>
      </c>
      <c r="L1125" s="218" t="s">
        <v>200</v>
      </c>
    </row>
    <row r="1126">
      <c r="A1126" s="223" t="s">
        <v>467</v>
      </c>
      <c r="B1126" s="223" t="s">
        <v>1209</v>
      </c>
      <c r="C1126" s="223" t="s">
        <v>469</v>
      </c>
      <c r="D1126" s="320">
        <v>44904.0</v>
      </c>
      <c r="I1126" s="218">
        <v>72.0</v>
      </c>
      <c r="J1126" s="317" t="s">
        <v>52</v>
      </c>
      <c r="K1126" s="319">
        <v>2022.12</v>
      </c>
      <c r="L1126" s="218" t="s">
        <v>200</v>
      </c>
    </row>
    <row r="1127">
      <c r="A1127" s="223" t="s">
        <v>467</v>
      </c>
      <c r="B1127" s="223" t="s">
        <v>1209</v>
      </c>
      <c r="C1127" s="223" t="s">
        <v>469</v>
      </c>
      <c r="D1127" s="320">
        <v>44904.0</v>
      </c>
      <c r="I1127" s="218">
        <v>114.0</v>
      </c>
      <c r="J1127" s="317" t="s">
        <v>52</v>
      </c>
      <c r="K1127" s="319">
        <v>2022.12</v>
      </c>
      <c r="L1127" s="218" t="s">
        <v>200</v>
      </c>
    </row>
    <row r="1128">
      <c r="A1128" s="223" t="s">
        <v>105</v>
      </c>
      <c r="B1128" s="223" t="s">
        <v>1280</v>
      </c>
      <c r="C1128" s="223" t="s">
        <v>2308</v>
      </c>
      <c r="D1128" s="320">
        <v>44904.0</v>
      </c>
      <c r="I1128" s="218">
        <v>144.0</v>
      </c>
      <c r="J1128" s="317" t="s">
        <v>1992</v>
      </c>
      <c r="K1128" s="319">
        <v>2022.0</v>
      </c>
      <c r="L1128" s="218" t="s">
        <v>200</v>
      </c>
    </row>
    <row r="1129">
      <c r="A1129" s="223" t="s">
        <v>105</v>
      </c>
      <c r="B1129" s="223" t="s">
        <v>1280</v>
      </c>
      <c r="C1129" s="223" t="s">
        <v>2308</v>
      </c>
      <c r="D1129" s="320">
        <v>44904.0</v>
      </c>
      <c r="I1129" s="218">
        <v>114.0</v>
      </c>
      <c r="J1129" s="317" t="s">
        <v>1992</v>
      </c>
      <c r="K1129" s="319">
        <v>2022.0</v>
      </c>
      <c r="L1129" s="218" t="s">
        <v>200</v>
      </c>
    </row>
    <row r="1130">
      <c r="A1130" s="223" t="s">
        <v>754</v>
      </c>
      <c r="B1130" s="223" t="s">
        <v>1215</v>
      </c>
      <c r="C1130" s="223" t="s">
        <v>1302</v>
      </c>
      <c r="D1130" s="320">
        <v>44904.0</v>
      </c>
      <c r="I1130" s="218">
        <v>72.0</v>
      </c>
      <c r="J1130" s="317" t="s">
        <v>716</v>
      </c>
      <c r="K1130" s="319">
        <v>2022.0</v>
      </c>
      <c r="L1130" s="218" t="s">
        <v>200</v>
      </c>
    </row>
    <row r="1131">
      <c r="A1131" s="223" t="s">
        <v>755</v>
      </c>
      <c r="B1131" s="223" t="s">
        <v>1259</v>
      </c>
      <c r="C1131" s="223" t="s">
        <v>1302</v>
      </c>
      <c r="D1131" s="320">
        <v>44904.0</v>
      </c>
      <c r="I1131" s="218">
        <v>72.0</v>
      </c>
      <c r="J1131" s="317" t="s">
        <v>716</v>
      </c>
      <c r="K1131" s="319">
        <v>2022.0</v>
      </c>
      <c r="L1131" s="218" t="s">
        <v>200</v>
      </c>
    </row>
    <row r="1132">
      <c r="A1132" s="223" t="s">
        <v>1465</v>
      </c>
      <c r="B1132" s="223" t="s">
        <v>1283</v>
      </c>
      <c r="C1132" s="223" t="s">
        <v>1302</v>
      </c>
      <c r="D1132" s="320">
        <v>44904.0</v>
      </c>
      <c r="I1132" s="218">
        <v>72.0</v>
      </c>
      <c r="J1132" s="317" t="s">
        <v>716</v>
      </c>
      <c r="K1132" s="319">
        <v>2022.0</v>
      </c>
      <c r="L1132" s="218" t="s">
        <v>200</v>
      </c>
    </row>
    <row r="1133">
      <c r="A1133" s="223" t="s">
        <v>725</v>
      </c>
      <c r="B1133" s="223" t="s">
        <v>1286</v>
      </c>
      <c r="C1133" s="223" t="s">
        <v>1458</v>
      </c>
      <c r="D1133" s="320">
        <v>44904.0</v>
      </c>
      <c r="I1133" s="218">
        <v>72.0</v>
      </c>
      <c r="J1133" s="317" t="s">
        <v>716</v>
      </c>
      <c r="K1133" s="319">
        <v>2022.0</v>
      </c>
      <c r="L1133" s="218" t="s">
        <v>200</v>
      </c>
    </row>
    <row r="1134">
      <c r="A1134" s="223" t="s">
        <v>92</v>
      </c>
      <c r="B1134" s="223" t="s">
        <v>1289</v>
      </c>
      <c r="C1134" s="223" t="s">
        <v>1156</v>
      </c>
      <c r="D1134" s="320">
        <v>44904.0</v>
      </c>
      <c r="I1134" s="218">
        <v>72.0</v>
      </c>
      <c r="J1134" s="317" t="s">
        <v>52</v>
      </c>
      <c r="K1134" s="319">
        <v>2022.12</v>
      </c>
      <c r="L1134" s="218" t="s">
        <v>200</v>
      </c>
    </row>
    <row r="1135">
      <c r="A1135" s="223" t="s">
        <v>276</v>
      </c>
      <c r="B1135" s="223" t="s">
        <v>1300</v>
      </c>
      <c r="C1135" s="223" t="s">
        <v>1302</v>
      </c>
      <c r="D1135" s="320">
        <v>44904.0</v>
      </c>
      <c r="I1135" s="218">
        <v>72.0</v>
      </c>
      <c r="J1135" s="317" t="s">
        <v>716</v>
      </c>
      <c r="K1135" s="319">
        <v>2022.0</v>
      </c>
      <c r="L1135" s="218" t="s">
        <v>200</v>
      </c>
    </row>
    <row r="1136">
      <c r="A1136" s="223" t="s">
        <v>180</v>
      </c>
      <c r="B1136" s="223" t="s">
        <v>1158</v>
      </c>
      <c r="C1136" s="223" t="s">
        <v>1163</v>
      </c>
      <c r="D1136" s="320">
        <v>44904.0</v>
      </c>
      <c r="I1136" s="218">
        <v>72.0</v>
      </c>
      <c r="J1136" s="317" t="s">
        <v>716</v>
      </c>
      <c r="K1136" s="319">
        <v>2022.0</v>
      </c>
      <c r="L1136" s="218" t="s">
        <v>200</v>
      </c>
    </row>
    <row r="1137">
      <c r="A1137" s="223" t="s">
        <v>467</v>
      </c>
      <c r="B1137" s="223" t="s">
        <v>1209</v>
      </c>
      <c r="C1137" s="223" t="s">
        <v>469</v>
      </c>
      <c r="D1137" s="320">
        <v>44904.0</v>
      </c>
      <c r="I1137" s="218">
        <v>72.0</v>
      </c>
      <c r="J1137" s="317" t="s">
        <v>52</v>
      </c>
      <c r="K1137" s="319">
        <v>2022.12</v>
      </c>
      <c r="L1137" s="218" t="s">
        <v>200</v>
      </c>
    </row>
    <row r="1138">
      <c r="A1138" s="223" t="s">
        <v>105</v>
      </c>
      <c r="B1138" s="223" t="s">
        <v>1280</v>
      </c>
      <c r="C1138" s="223" t="s">
        <v>2308</v>
      </c>
      <c r="D1138" s="320">
        <v>44904.0</v>
      </c>
      <c r="I1138" s="218">
        <v>72.0</v>
      </c>
      <c r="J1138" s="317" t="s">
        <v>1992</v>
      </c>
      <c r="K1138" s="319">
        <v>2022.0</v>
      </c>
      <c r="L1138" s="218" t="s">
        <v>200</v>
      </c>
    </row>
    <row r="1139">
      <c r="A1139" s="223" t="s">
        <v>54</v>
      </c>
      <c r="B1139" s="223" t="s">
        <v>1187</v>
      </c>
      <c r="C1139" s="223" t="s">
        <v>1156</v>
      </c>
      <c r="D1139" s="320">
        <v>44895.0</v>
      </c>
      <c r="I1139" s="218">
        <v>287.5</v>
      </c>
      <c r="J1139" s="317" t="s">
        <v>52</v>
      </c>
      <c r="K1139" s="319">
        <v>2022.11</v>
      </c>
      <c r="L1139" s="218" t="s">
        <v>200</v>
      </c>
    </row>
    <row r="1140">
      <c r="A1140" s="223" t="s">
        <v>58</v>
      </c>
      <c r="B1140" s="223" t="s">
        <v>1197</v>
      </c>
      <c r="C1140" s="223" t="s">
        <v>1156</v>
      </c>
      <c r="D1140" s="320">
        <v>44895.0</v>
      </c>
      <c r="I1140" s="218">
        <v>112.5</v>
      </c>
      <c r="J1140" s="317" t="s">
        <v>52</v>
      </c>
      <c r="K1140" s="319">
        <v>2022.11</v>
      </c>
      <c r="L1140" s="218" t="s">
        <v>200</v>
      </c>
    </row>
    <row r="1141">
      <c r="A1141" s="223" t="s">
        <v>120</v>
      </c>
      <c r="B1141" s="223" t="s">
        <v>1215</v>
      </c>
      <c r="C1141" s="223" t="s">
        <v>1156</v>
      </c>
      <c r="D1141" s="320">
        <v>44895.0</v>
      </c>
      <c r="I1141" s="218">
        <v>575.0</v>
      </c>
      <c r="J1141" s="317" t="s">
        <v>52</v>
      </c>
      <c r="K1141" s="319">
        <v>2022.11</v>
      </c>
      <c r="L1141" s="218" t="s">
        <v>200</v>
      </c>
    </row>
    <row r="1142">
      <c r="A1142" s="223" t="s">
        <v>632</v>
      </c>
      <c r="B1142" s="223" t="s">
        <v>1383</v>
      </c>
      <c r="C1142" s="223" t="s">
        <v>36</v>
      </c>
      <c r="D1142" s="320">
        <v>44895.0</v>
      </c>
      <c r="I1142" s="218">
        <v>515.0</v>
      </c>
      <c r="J1142" s="317" t="s">
        <v>1160</v>
      </c>
      <c r="K1142" s="319">
        <v>2022.0</v>
      </c>
      <c r="L1142" s="218" t="s">
        <v>200</v>
      </c>
    </row>
    <row r="1143">
      <c r="A1143" s="223" t="s">
        <v>82</v>
      </c>
      <c r="B1143" s="223" t="s">
        <v>1124</v>
      </c>
      <c r="C1143" s="223" t="s">
        <v>1156</v>
      </c>
      <c r="D1143" s="320">
        <v>44895.0</v>
      </c>
      <c r="I1143" s="218">
        <v>327.5</v>
      </c>
      <c r="J1143" s="317" t="s">
        <v>52</v>
      </c>
      <c r="K1143" s="319">
        <v>2022.11</v>
      </c>
      <c r="L1143" s="218" t="s">
        <v>200</v>
      </c>
    </row>
    <row r="1144">
      <c r="A1144" s="223" t="s">
        <v>90</v>
      </c>
      <c r="B1144" s="223" t="s">
        <v>1282</v>
      </c>
      <c r="C1144" s="223" t="s">
        <v>1156</v>
      </c>
      <c r="D1144" s="320">
        <v>44895.0</v>
      </c>
      <c r="I1144" s="218">
        <v>540.0</v>
      </c>
      <c r="J1144" s="317" t="s">
        <v>52</v>
      </c>
      <c r="K1144" s="319">
        <v>2022.11</v>
      </c>
      <c r="L1144" s="218" t="s">
        <v>200</v>
      </c>
    </row>
    <row r="1145">
      <c r="A1145" s="223" t="s">
        <v>668</v>
      </c>
      <c r="B1145" s="223" t="s">
        <v>1223</v>
      </c>
      <c r="C1145" s="223" t="s">
        <v>1440</v>
      </c>
      <c r="D1145" s="320">
        <v>44895.0</v>
      </c>
      <c r="I1145" s="218">
        <v>1000.0</v>
      </c>
      <c r="J1145" s="317" t="s">
        <v>1160</v>
      </c>
      <c r="K1145" s="319">
        <v>2022.0</v>
      </c>
      <c r="L1145" s="218" t="s">
        <v>200</v>
      </c>
    </row>
    <row r="1146">
      <c r="A1146" s="223" t="s">
        <v>713</v>
      </c>
      <c r="B1146" s="223" t="s">
        <v>1456</v>
      </c>
      <c r="C1146" s="223" t="s">
        <v>1179</v>
      </c>
      <c r="D1146" s="320">
        <v>44895.0</v>
      </c>
      <c r="I1146" s="218">
        <v>125.0</v>
      </c>
      <c r="J1146" s="317" t="s">
        <v>1160</v>
      </c>
      <c r="K1146" s="319">
        <v>2022.0</v>
      </c>
      <c r="L1146" s="218" t="s">
        <v>200</v>
      </c>
    </row>
    <row r="1147">
      <c r="A1147" s="223" t="s">
        <v>352</v>
      </c>
      <c r="B1147" s="223" t="s">
        <v>1283</v>
      </c>
      <c r="C1147" s="223" t="s">
        <v>1334</v>
      </c>
      <c r="D1147" s="320">
        <v>44895.0</v>
      </c>
      <c r="I1147" s="218">
        <v>250.0</v>
      </c>
      <c r="J1147" s="317" t="s">
        <v>1160</v>
      </c>
      <c r="K1147" s="319">
        <v>2022.0</v>
      </c>
      <c r="L1147" s="218" t="s">
        <v>200</v>
      </c>
    </row>
    <row r="1148">
      <c r="A1148" s="223" t="s">
        <v>740</v>
      </c>
      <c r="B1148" s="223" t="s">
        <v>1209</v>
      </c>
      <c r="C1148" s="223" t="s">
        <v>1463</v>
      </c>
      <c r="D1148" s="320">
        <v>44895.0</v>
      </c>
      <c r="I1148" s="218">
        <v>30.0</v>
      </c>
      <c r="J1148" s="317" t="s">
        <v>1160</v>
      </c>
      <c r="K1148" s="319">
        <v>2022.0</v>
      </c>
      <c r="L1148" s="218" t="s">
        <v>200</v>
      </c>
    </row>
    <row r="1149">
      <c r="A1149" s="223" t="s">
        <v>686</v>
      </c>
      <c r="B1149" s="223" t="s">
        <v>1447</v>
      </c>
      <c r="C1149" s="223" t="s">
        <v>1448</v>
      </c>
      <c r="D1149" s="320">
        <v>44895.0</v>
      </c>
      <c r="I1149" s="218">
        <v>250.0</v>
      </c>
      <c r="J1149" s="317" t="s">
        <v>1160</v>
      </c>
      <c r="K1149" s="319">
        <v>2022.0</v>
      </c>
      <c r="L1149" s="218" t="s">
        <v>200</v>
      </c>
    </row>
    <row r="1150">
      <c r="A1150" s="223" t="s">
        <v>1466</v>
      </c>
      <c r="B1150" s="223" t="s">
        <v>1345</v>
      </c>
      <c r="C1150" s="223" t="s">
        <v>1302</v>
      </c>
      <c r="D1150" s="320">
        <v>44904.0</v>
      </c>
      <c r="I1150" s="218">
        <v>72.0</v>
      </c>
      <c r="J1150" s="317" t="s">
        <v>716</v>
      </c>
      <c r="K1150" s="319">
        <v>2022.0</v>
      </c>
      <c r="L1150" s="218" t="s">
        <v>200</v>
      </c>
    </row>
    <row r="1151">
      <c r="A1151" s="223" t="s">
        <v>629</v>
      </c>
      <c r="B1151" s="223" t="s">
        <v>1395</v>
      </c>
      <c r="C1151" s="223" t="s">
        <v>469</v>
      </c>
      <c r="D1151" s="320">
        <v>44904.0</v>
      </c>
      <c r="I1151" s="218">
        <v>24.0</v>
      </c>
      <c r="J1151" s="317" t="s">
        <v>52</v>
      </c>
      <c r="K1151" s="319">
        <v>2022.12</v>
      </c>
      <c r="L1151" s="218" t="s">
        <v>200</v>
      </c>
    </row>
    <row r="1152">
      <c r="A1152" s="223" t="s">
        <v>629</v>
      </c>
      <c r="B1152" s="223" t="s">
        <v>1395</v>
      </c>
      <c r="C1152" s="223" t="s">
        <v>469</v>
      </c>
      <c r="D1152" s="320">
        <v>44905.0</v>
      </c>
      <c r="I1152" s="218">
        <v>72.0</v>
      </c>
      <c r="J1152" s="317" t="s">
        <v>52</v>
      </c>
      <c r="K1152" s="319">
        <v>2022.12</v>
      </c>
      <c r="L1152" s="218" t="s">
        <v>200</v>
      </c>
    </row>
    <row r="1153">
      <c r="A1153" s="223" t="s">
        <v>227</v>
      </c>
      <c r="B1153" s="223" t="s">
        <v>1294</v>
      </c>
      <c r="C1153" s="223" t="s">
        <v>1163</v>
      </c>
      <c r="D1153" s="322">
        <v>44909.0</v>
      </c>
      <c r="I1153" s="218">
        <v>144.0</v>
      </c>
      <c r="J1153" s="317" t="s">
        <v>716</v>
      </c>
      <c r="K1153" s="319">
        <v>2022.0</v>
      </c>
      <c r="L1153" s="218" t="s">
        <v>200</v>
      </c>
    </row>
    <row r="1154">
      <c r="A1154" s="223" t="s">
        <v>227</v>
      </c>
      <c r="B1154" s="223" t="s">
        <v>1294</v>
      </c>
      <c r="C1154" s="223" t="s">
        <v>1163</v>
      </c>
      <c r="D1154" s="322">
        <v>44909.0</v>
      </c>
      <c r="I1154" s="218">
        <v>72.0</v>
      </c>
      <c r="J1154" s="317" t="s">
        <v>716</v>
      </c>
      <c r="K1154" s="319">
        <v>2022.0</v>
      </c>
      <c r="L1154" s="218" t="s">
        <v>200</v>
      </c>
    </row>
    <row r="1155">
      <c r="A1155" s="223" t="s">
        <v>594</v>
      </c>
      <c r="B1155" s="223" t="s">
        <v>1404</v>
      </c>
      <c r="C1155" s="223" t="s">
        <v>1413</v>
      </c>
      <c r="D1155" s="322">
        <v>44909.0</v>
      </c>
      <c r="I1155" s="218">
        <v>72.0</v>
      </c>
      <c r="J1155" s="317"/>
      <c r="K1155" s="319">
        <v>2022.0</v>
      </c>
      <c r="L1155" s="218" t="s">
        <v>200</v>
      </c>
    </row>
    <row r="1156">
      <c r="A1156" s="223" t="s">
        <v>595</v>
      </c>
      <c r="B1156" s="223" t="s">
        <v>1406</v>
      </c>
      <c r="C1156" s="223" t="s">
        <v>1413</v>
      </c>
      <c r="D1156" s="322">
        <v>44909.0</v>
      </c>
      <c r="I1156" s="218">
        <v>144.0</v>
      </c>
      <c r="J1156" s="317"/>
      <c r="K1156" s="319">
        <v>2022.0</v>
      </c>
      <c r="L1156" s="218" t="s">
        <v>200</v>
      </c>
    </row>
    <row r="1157">
      <c r="A1157" s="223" t="s">
        <v>592</v>
      </c>
      <c r="B1157" s="223" t="s">
        <v>1398</v>
      </c>
      <c r="C1157" s="223" t="s">
        <v>1413</v>
      </c>
      <c r="D1157" s="322">
        <v>44909.0</v>
      </c>
      <c r="I1157" s="218">
        <v>144.0</v>
      </c>
      <c r="J1157" s="317"/>
      <c r="K1157" s="319">
        <v>2022.0</v>
      </c>
      <c r="L1157" s="218" t="s">
        <v>200</v>
      </c>
    </row>
    <row r="1158">
      <c r="A1158" s="223" t="s">
        <v>1271</v>
      </c>
      <c r="B1158" s="223" t="s">
        <v>1264</v>
      </c>
      <c r="C1158" s="223" t="s">
        <v>1272</v>
      </c>
      <c r="D1158" s="320">
        <v>44909.0</v>
      </c>
      <c r="I1158" s="218">
        <v>137.27</v>
      </c>
      <c r="J1158" s="317" t="s">
        <v>1152</v>
      </c>
      <c r="K1158" s="319">
        <v>2022.0</v>
      </c>
      <c r="L1158" s="218" t="s">
        <v>200</v>
      </c>
    </row>
    <row r="1159">
      <c r="A1159" s="223" t="s">
        <v>1271</v>
      </c>
      <c r="B1159" s="223" t="s">
        <v>1264</v>
      </c>
      <c r="C1159" s="223" t="s">
        <v>1272</v>
      </c>
      <c r="D1159" s="320">
        <v>44909.0</v>
      </c>
      <c r="I1159" s="218">
        <v>3.13</v>
      </c>
      <c r="J1159" s="317" t="s">
        <v>1152</v>
      </c>
      <c r="K1159" s="319">
        <v>2022.0</v>
      </c>
      <c r="L1159" s="218" t="s">
        <v>200</v>
      </c>
    </row>
    <row r="1160">
      <c r="A1160" s="223" t="s">
        <v>1271</v>
      </c>
      <c r="B1160" s="223" t="s">
        <v>1264</v>
      </c>
      <c r="C1160" s="223" t="s">
        <v>1272</v>
      </c>
      <c r="D1160" s="324">
        <v>44909.0</v>
      </c>
      <c r="I1160" s="218">
        <v>65.53</v>
      </c>
      <c r="J1160" s="317" t="s">
        <v>1152</v>
      </c>
      <c r="K1160" s="319">
        <v>2022.0</v>
      </c>
      <c r="L1160" s="218" t="s">
        <v>200</v>
      </c>
    </row>
    <row r="1161">
      <c r="A1161" s="223" t="s">
        <v>189</v>
      </c>
      <c r="B1161" s="223" t="s">
        <v>1158</v>
      </c>
      <c r="C1161" s="223" t="s">
        <v>1159</v>
      </c>
      <c r="D1161" s="320">
        <v>44895.0</v>
      </c>
      <c r="I1161" s="218">
        <v>155.91</v>
      </c>
      <c r="J1161" s="317" t="s">
        <v>1160</v>
      </c>
      <c r="K1161" s="319">
        <v>2022.0</v>
      </c>
      <c r="L1161" s="218" t="s">
        <v>200</v>
      </c>
    </row>
    <row r="1162">
      <c r="A1162" s="223" t="s">
        <v>630</v>
      </c>
      <c r="B1162" s="223" t="s">
        <v>1345</v>
      </c>
      <c r="C1162" s="223" t="s">
        <v>469</v>
      </c>
      <c r="D1162" s="320">
        <v>44896.0</v>
      </c>
      <c r="I1162" s="218">
        <v>84.42</v>
      </c>
      <c r="J1162" s="317" t="s">
        <v>52</v>
      </c>
      <c r="K1162" s="319">
        <v>2022.12</v>
      </c>
      <c r="L1162" s="218" t="s">
        <v>200</v>
      </c>
    </row>
    <row r="1163">
      <c r="A1163" s="223" t="s">
        <v>149</v>
      </c>
      <c r="B1163" s="223" t="s">
        <v>1191</v>
      </c>
      <c r="C1163" s="223" t="s">
        <v>1190</v>
      </c>
      <c r="D1163" s="320">
        <v>44896.0</v>
      </c>
      <c r="I1163" s="218">
        <v>4.45</v>
      </c>
      <c r="J1163" s="317" t="s">
        <v>1152</v>
      </c>
      <c r="K1163" s="319">
        <v>2022.0</v>
      </c>
      <c r="L1163" s="218" t="s">
        <v>200</v>
      </c>
    </row>
    <row r="1164">
      <c r="A1164" s="223" t="s">
        <v>667</v>
      </c>
      <c r="B1164" s="223" t="s">
        <v>1439</v>
      </c>
      <c r="C1164" s="223" t="s">
        <v>1190</v>
      </c>
      <c r="D1164" s="320">
        <v>44896.0</v>
      </c>
      <c r="I1164" s="218">
        <v>107.57</v>
      </c>
      <c r="J1164" s="317" t="s">
        <v>1160</v>
      </c>
      <c r="K1164" s="319">
        <v>2022.0</v>
      </c>
      <c r="L1164" s="218" t="s">
        <v>200</v>
      </c>
    </row>
    <row r="1165">
      <c r="A1165" s="223" t="s">
        <v>515</v>
      </c>
      <c r="B1165" s="223" t="s">
        <v>1383</v>
      </c>
      <c r="C1165" s="223" t="s">
        <v>1384</v>
      </c>
      <c r="D1165" s="320">
        <v>44896.0</v>
      </c>
      <c r="I1165" s="218">
        <v>1869.37</v>
      </c>
      <c r="J1165" s="317" t="s">
        <v>1160</v>
      </c>
      <c r="K1165" s="319">
        <v>2022.0</v>
      </c>
      <c r="L1165" s="218" t="s">
        <v>200</v>
      </c>
    </row>
    <row r="1166">
      <c r="A1166" s="223" t="s">
        <v>668</v>
      </c>
      <c r="B1166" s="223" t="s">
        <v>1223</v>
      </c>
      <c r="C1166" s="223" t="s">
        <v>1440</v>
      </c>
      <c r="D1166" s="320">
        <v>44896.0</v>
      </c>
      <c r="I1166" s="218">
        <v>683.2</v>
      </c>
      <c r="J1166" s="317" t="s">
        <v>1160</v>
      </c>
      <c r="K1166" s="319">
        <v>2022.0</v>
      </c>
      <c r="L1166" s="218" t="s">
        <v>200</v>
      </c>
    </row>
    <row r="1167">
      <c r="A1167" s="223" t="s">
        <v>1266</v>
      </c>
      <c r="B1167" s="223" t="s">
        <v>1264</v>
      </c>
      <c r="C1167" s="223" t="s">
        <v>1267</v>
      </c>
      <c r="D1167" s="320">
        <v>44896.0</v>
      </c>
      <c r="I1167" s="218">
        <v>877.58</v>
      </c>
      <c r="J1167" s="317" t="s">
        <v>1152</v>
      </c>
      <c r="K1167" s="319">
        <v>2022.0</v>
      </c>
      <c r="L1167" s="218" t="s">
        <v>200</v>
      </c>
    </row>
    <row r="1168">
      <c r="A1168" s="223" t="s">
        <v>50</v>
      </c>
      <c r="B1168" s="223" t="s">
        <v>1275</v>
      </c>
      <c r="C1168" s="223" t="s">
        <v>1156</v>
      </c>
      <c r="D1168" s="320">
        <v>44896.0</v>
      </c>
      <c r="I1168" s="218">
        <v>25.31</v>
      </c>
      <c r="J1168" s="317" t="s">
        <v>52</v>
      </c>
      <c r="K1168" s="319">
        <v>2022.12</v>
      </c>
      <c r="L1168" s="218" t="s">
        <v>200</v>
      </c>
    </row>
    <row r="1169">
      <c r="A1169" s="223" t="s">
        <v>90</v>
      </c>
      <c r="B1169" s="223" t="s">
        <v>1282</v>
      </c>
      <c r="C1169" s="223" t="s">
        <v>1156</v>
      </c>
      <c r="D1169" s="320">
        <v>44896.0</v>
      </c>
      <c r="I1169" s="218">
        <v>201.19</v>
      </c>
      <c r="J1169" s="317" t="s">
        <v>52</v>
      </c>
      <c r="K1169" s="319">
        <v>2022.12</v>
      </c>
      <c r="L1169" s="218" t="s">
        <v>200</v>
      </c>
    </row>
    <row r="1170">
      <c r="A1170" s="223" t="s">
        <v>645</v>
      </c>
      <c r="B1170" s="223" t="s">
        <v>1283</v>
      </c>
      <c r="C1170" s="223" t="s">
        <v>36</v>
      </c>
      <c r="D1170" s="320">
        <v>44896.0</v>
      </c>
      <c r="I1170" s="218">
        <v>744.263603655236</v>
      </c>
      <c r="J1170" s="317" t="s">
        <v>1160</v>
      </c>
      <c r="K1170" s="319">
        <v>2022.0</v>
      </c>
      <c r="L1170" s="218" t="s">
        <v>200</v>
      </c>
    </row>
    <row r="1171">
      <c r="A1171" s="223" t="s">
        <v>731</v>
      </c>
      <c r="B1171" s="223" t="s">
        <v>1283</v>
      </c>
      <c r="C1171" s="223" t="s">
        <v>1190</v>
      </c>
      <c r="D1171" s="320">
        <v>44896.0</v>
      </c>
      <c r="I1171" s="218">
        <v>40.53</v>
      </c>
      <c r="J1171" s="317" t="s">
        <v>1160</v>
      </c>
      <c r="K1171" s="319">
        <v>2022.0</v>
      </c>
      <c r="L1171" s="218" t="s">
        <v>200</v>
      </c>
    </row>
    <row r="1172">
      <c r="A1172" s="223" t="s">
        <v>713</v>
      </c>
      <c r="B1172" s="223" t="s">
        <v>1456</v>
      </c>
      <c r="C1172" s="223" t="s">
        <v>1179</v>
      </c>
      <c r="D1172" s="320">
        <v>44896.0</v>
      </c>
      <c r="I1172" s="218">
        <v>298.97</v>
      </c>
      <c r="J1172" s="317" t="s">
        <v>1160</v>
      </c>
      <c r="K1172" s="319">
        <v>2022.0</v>
      </c>
      <c r="L1172" s="218" t="s">
        <v>200</v>
      </c>
    </row>
    <row r="1173">
      <c r="A1173" s="223" t="s">
        <v>629</v>
      </c>
      <c r="B1173" s="223" t="s">
        <v>1395</v>
      </c>
      <c r="C1173" s="223" t="s">
        <v>469</v>
      </c>
      <c r="D1173" s="320">
        <v>44896.0</v>
      </c>
      <c r="I1173" s="218">
        <v>22.49</v>
      </c>
      <c r="J1173" s="317" t="s">
        <v>52</v>
      </c>
      <c r="K1173" s="319">
        <v>2022.12</v>
      </c>
      <c r="L1173" s="218" t="s">
        <v>200</v>
      </c>
    </row>
    <row r="1174">
      <c r="A1174" s="223" t="s">
        <v>92</v>
      </c>
      <c r="B1174" s="223" t="s">
        <v>1289</v>
      </c>
      <c r="C1174" s="223" t="s">
        <v>1156</v>
      </c>
      <c r="D1174" s="324">
        <v>44881.0</v>
      </c>
      <c r="I1174" s="218">
        <v>50.0</v>
      </c>
      <c r="J1174" s="317" t="s">
        <v>52</v>
      </c>
      <c r="K1174" s="319">
        <v>2022.11</v>
      </c>
      <c r="L1174" s="218">
        <v>50.0</v>
      </c>
    </row>
    <row r="1175">
      <c r="A1175" s="223" t="s">
        <v>118</v>
      </c>
      <c r="B1175" s="223" t="s">
        <v>1312</v>
      </c>
      <c r="C1175" s="223" t="s">
        <v>1156</v>
      </c>
      <c r="D1175" s="320">
        <v>44885.0</v>
      </c>
      <c r="I1175" s="218">
        <v>750.0</v>
      </c>
      <c r="J1175" s="317" t="s">
        <v>52</v>
      </c>
      <c r="K1175" s="319">
        <v>2022.11</v>
      </c>
      <c r="L1175" s="218">
        <v>750.0</v>
      </c>
    </row>
    <row r="1176">
      <c r="A1176" s="223" t="s">
        <v>115</v>
      </c>
      <c r="B1176" s="223" t="s">
        <v>1308</v>
      </c>
      <c r="C1176" s="223" t="s">
        <v>1156</v>
      </c>
      <c r="D1176" s="320">
        <v>44889.0</v>
      </c>
      <c r="I1176" s="218">
        <v>750.0</v>
      </c>
      <c r="J1176" s="317" t="s">
        <v>52</v>
      </c>
      <c r="K1176" s="319">
        <v>2022.11</v>
      </c>
      <c r="L1176" s="218">
        <v>750.0</v>
      </c>
    </row>
    <row r="1177">
      <c r="A1177" s="223" t="s">
        <v>118</v>
      </c>
      <c r="B1177" s="223" t="s">
        <v>1312</v>
      </c>
      <c r="C1177" s="223" t="s">
        <v>1156</v>
      </c>
      <c r="D1177" s="320">
        <v>44896.0</v>
      </c>
      <c r="I1177" s="218">
        <v>412.95</v>
      </c>
      <c r="J1177" s="317" t="s">
        <v>52</v>
      </c>
      <c r="K1177" s="319">
        <v>2022.12</v>
      </c>
      <c r="L1177" s="218">
        <v>412.95</v>
      </c>
    </row>
    <row r="1178">
      <c r="A1178" s="223" t="s">
        <v>115</v>
      </c>
      <c r="B1178" s="223" t="s">
        <v>1308</v>
      </c>
      <c r="C1178" s="223" t="s">
        <v>1156</v>
      </c>
      <c r="D1178" s="320">
        <v>44896.0</v>
      </c>
      <c r="I1178" s="218">
        <v>220.33</v>
      </c>
      <c r="J1178" s="317" t="s">
        <v>52</v>
      </c>
      <c r="K1178" s="319">
        <v>2022.12</v>
      </c>
      <c r="L1178" s="218">
        <v>220.33</v>
      </c>
    </row>
    <row r="1179">
      <c r="A1179" s="223" t="s">
        <v>1271</v>
      </c>
      <c r="B1179" s="223" t="s">
        <v>1264</v>
      </c>
      <c r="C1179" s="223" t="s">
        <v>1272</v>
      </c>
      <c r="D1179" s="320">
        <v>44904.0</v>
      </c>
      <c r="I1179" s="218">
        <v>363.52</v>
      </c>
      <c r="J1179" s="317" t="s">
        <v>1152</v>
      </c>
      <c r="K1179" s="319">
        <v>2022.0</v>
      </c>
      <c r="L1179" s="218" t="s">
        <v>200</v>
      </c>
    </row>
    <row r="1180">
      <c r="A1180" s="223" t="s">
        <v>102</v>
      </c>
      <c r="B1180" s="223" t="s">
        <v>1259</v>
      </c>
      <c r="C1180" s="223" t="s">
        <v>1156</v>
      </c>
      <c r="D1180" s="320">
        <v>44926.0</v>
      </c>
      <c r="I1180" s="218">
        <v>150.0</v>
      </c>
      <c r="J1180" s="317" t="s">
        <v>52</v>
      </c>
      <c r="K1180" s="319">
        <v>2022.12</v>
      </c>
      <c r="L1180" s="218" t="s">
        <v>200</v>
      </c>
    </row>
    <row r="1181">
      <c r="A1181" s="223" t="s">
        <v>66</v>
      </c>
      <c r="B1181" s="223" t="s">
        <v>1324</v>
      </c>
      <c r="C1181" s="223" t="s">
        <v>1156</v>
      </c>
      <c r="D1181" s="320">
        <v>44926.0</v>
      </c>
      <c r="I1181" s="218">
        <v>312.5</v>
      </c>
      <c r="J1181" s="317" t="s">
        <v>52</v>
      </c>
      <c r="K1181" s="319">
        <v>2022.12</v>
      </c>
      <c r="L1181" s="218" t="s">
        <v>200</v>
      </c>
    </row>
    <row r="1182">
      <c r="A1182" s="223" t="s">
        <v>97</v>
      </c>
      <c r="B1182" s="223" t="s">
        <v>1286</v>
      </c>
      <c r="C1182" s="223" t="s">
        <v>1156</v>
      </c>
      <c r="D1182" s="320">
        <v>44926.0</v>
      </c>
      <c r="I1182" s="218">
        <v>125.0</v>
      </c>
      <c r="J1182" s="317" t="s">
        <v>52</v>
      </c>
      <c r="K1182" s="319">
        <v>2022.12</v>
      </c>
      <c r="L1182" s="218" t="s">
        <v>200</v>
      </c>
    </row>
    <row r="1183">
      <c r="A1183" s="223" t="s">
        <v>88</v>
      </c>
      <c r="B1183" s="223" t="s">
        <v>1256</v>
      </c>
      <c r="C1183" s="223" t="s">
        <v>1156</v>
      </c>
      <c r="D1183" s="320">
        <v>44926.0</v>
      </c>
      <c r="I1183" s="218">
        <v>212.5</v>
      </c>
      <c r="J1183" s="317" t="s">
        <v>52</v>
      </c>
      <c r="K1183" s="319">
        <v>2022.12</v>
      </c>
      <c r="L1183" s="218" t="s">
        <v>200</v>
      </c>
    </row>
    <row r="1184">
      <c r="A1184" s="223" t="s">
        <v>73</v>
      </c>
      <c r="B1184" s="223" t="s">
        <v>1327</v>
      </c>
      <c r="C1184" s="223" t="s">
        <v>1156</v>
      </c>
      <c r="D1184" s="320">
        <v>44926.0</v>
      </c>
      <c r="I1184" s="218">
        <v>262.5</v>
      </c>
      <c r="J1184" s="317" t="s">
        <v>52</v>
      </c>
      <c r="K1184" s="319">
        <v>2022.12</v>
      </c>
      <c r="L1184" s="218" t="s">
        <v>200</v>
      </c>
    </row>
    <row r="1185">
      <c r="A1185" s="223" t="s">
        <v>223</v>
      </c>
      <c r="B1185" s="223" t="s">
        <v>1176</v>
      </c>
      <c r="C1185" s="223" t="s">
        <v>1156</v>
      </c>
      <c r="D1185" s="320">
        <v>44926.0</v>
      </c>
      <c r="I1185" s="218">
        <v>500.0</v>
      </c>
      <c r="J1185" s="317" t="s">
        <v>52</v>
      </c>
      <c r="K1185" s="319">
        <v>2022.12</v>
      </c>
      <c r="L1185" s="218" t="s">
        <v>200</v>
      </c>
    </row>
    <row r="1186">
      <c r="A1186" s="223" t="s">
        <v>50</v>
      </c>
      <c r="B1186" s="223" t="s">
        <v>1275</v>
      </c>
      <c r="C1186" s="223" t="s">
        <v>1156</v>
      </c>
      <c r="D1186" s="320">
        <v>44926.0</v>
      </c>
      <c r="I1186" s="218">
        <v>137.5</v>
      </c>
      <c r="J1186" s="317" t="s">
        <v>52</v>
      </c>
      <c r="K1186" s="319">
        <v>2022.12</v>
      </c>
      <c r="L1186" s="218" t="s">
        <v>200</v>
      </c>
    </row>
    <row r="1187">
      <c r="A1187" s="223" t="s">
        <v>451</v>
      </c>
      <c r="B1187" s="223" t="s">
        <v>1363</v>
      </c>
      <c r="C1187" s="223" t="s">
        <v>1364</v>
      </c>
      <c r="D1187" s="320">
        <v>44926.0</v>
      </c>
      <c r="I1187" s="218">
        <v>237.5</v>
      </c>
      <c r="J1187" s="317" t="s">
        <v>1160</v>
      </c>
      <c r="K1187" s="319">
        <v>2022.0</v>
      </c>
      <c r="L1187" s="218" t="s">
        <v>200</v>
      </c>
    </row>
    <row r="1188">
      <c r="A1188" s="223" t="s">
        <v>665</v>
      </c>
      <c r="B1188" s="223" t="s">
        <v>1305</v>
      </c>
      <c r="C1188" s="223" t="s">
        <v>2311</v>
      </c>
      <c r="D1188" s="320">
        <v>44926.0</v>
      </c>
      <c r="I1188" s="218">
        <v>44.0</v>
      </c>
      <c r="J1188" s="317" t="s">
        <v>1992</v>
      </c>
      <c r="K1188" s="319">
        <v>2022.0</v>
      </c>
      <c r="L1188" s="218" t="s">
        <v>200</v>
      </c>
    </row>
    <row r="1189">
      <c r="A1189" s="223" t="s">
        <v>82</v>
      </c>
      <c r="B1189" s="223" t="s">
        <v>1124</v>
      </c>
      <c r="C1189" s="223" t="s">
        <v>1156</v>
      </c>
      <c r="D1189" s="320">
        <v>44926.0</v>
      </c>
      <c r="I1189" s="218">
        <v>225.0</v>
      </c>
      <c r="J1189" s="317" t="s">
        <v>52</v>
      </c>
      <c r="K1189" s="319">
        <v>2022.12</v>
      </c>
      <c r="L1189" s="218" t="s">
        <v>200</v>
      </c>
    </row>
    <row r="1190">
      <c r="A1190" s="223" t="s">
        <v>92</v>
      </c>
      <c r="B1190" s="223" t="s">
        <v>1289</v>
      </c>
      <c r="C1190" s="223" t="s">
        <v>1156</v>
      </c>
      <c r="D1190" s="320">
        <v>44926.0</v>
      </c>
      <c r="I1190" s="218">
        <v>300.0</v>
      </c>
      <c r="J1190" s="317" t="s">
        <v>52</v>
      </c>
      <c r="K1190" s="319">
        <v>2022.12</v>
      </c>
      <c r="L1190" s="218" t="s">
        <v>200</v>
      </c>
    </row>
    <row r="1191">
      <c r="A1191" s="223" t="s">
        <v>695</v>
      </c>
      <c r="B1191" s="223" t="s">
        <v>1216</v>
      </c>
      <c r="C1191" s="223" t="s">
        <v>1451</v>
      </c>
      <c r="D1191" s="320">
        <v>44926.0</v>
      </c>
      <c r="I1191" s="218">
        <v>175.0</v>
      </c>
      <c r="J1191" s="317" t="s">
        <v>52</v>
      </c>
      <c r="K1191" s="319">
        <v>2022.12</v>
      </c>
      <c r="L1191" s="218" t="s">
        <v>200</v>
      </c>
    </row>
    <row r="1192">
      <c r="A1192" s="223" t="s">
        <v>1269</v>
      </c>
      <c r="B1192" s="223" t="s">
        <v>1264</v>
      </c>
      <c r="C1192" s="223" t="s">
        <v>1270</v>
      </c>
      <c r="D1192" s="320">
        <v>44926.0</v>
      </c>
      <c r="I1192" s="218">
        <v>400.0</v>
      </c>
      <c r="J1192" s="317" t="s">
        <v>1152</v>
      </c>
      <c r="K1192" s="319">
        <v>2022.0</v>
      </c>
      <c r="L1192" s="218" t="s">
        <v>200</v>
      </c>
    </row>
    <row r="1193">
      <c r="A1193" s="223" t="s">
        <v>92</v>
      </c>
      <c r="B1193" s="223" t="s">
        <v>1289</v>
      </c>
      <c r="C1193" s="223" t="s">
        <v>1156</v>
      </c>
      <c r="D1193" s="320">
        <v>44926.0</v>
      </c>
      <c r="I1193" s="218">
        <v>275.0</v>
      </c>
      <c r="J1193" s="317" t="s">
        <v>52</v>
      </c>
      <c r="K1193" s="319">
        <v>2022.12</v>
      </c>
      <c r="L1193" s="218" t="s">
        <v>200</v>
      </c>
    </row>
    <row r="1194">
      <c r="A1194" s="223" t="s">
        <v>88</v>
      </c>
      <c r="B1194" s="223" t="s">
        <v>1256</v>
      </c>
      <c r="C1194" s="223" t="s">
        <v>1156</v>
      </c>
      <c r="D1194" s="320">
        <v>44926.0</v>
      </c>
      <c r="I1194" s="218">
        <v>45.0</v>
      </c>
      <c r="J1194" s="317" t="s">
        <v>52</v>
      </c>
      <c r="K1194" s="319">
        <v>2022.12</v>
      </c>
      <c r="L1194" s="218" t="s">
        <v>200</v>
      </c>
    </row>
    <row r="1195">
      <c r="A1195" s="223" t="s">
        <v>97</v>
      </c>
      <c r="B1195" s="223" t="s">
        <v>1286</v>
      </c>
      <c r="C1195" s="223" t="s">
        <v>1156</v>
      </c>
      <c r="D1195" s="320">
        <v>44926.0</v>
      </c>
      <c r="I1195" s="218">
        <v>30.0</v>
      </c>
      <c r="J1195" s="317" t="s">
        <v>52</v>
      </c>
      <c r="K1195" s="319">
        <v>2022.12</v>
      </c>
      <c r="L1195" s="218" t="s">
        <v>200</v>
      </c>
    </row>
    <row r="1196">
      <c r="A1196" s="223" t="s">
        <v>82</v>
      </c>
      <c r="B1196" s="223" t="s">
        <v>1124</v>
      </c>
      <c r="C1196" s="223" t="s">
        <v>1156</v>
      </c>
      <c r="D1196" s="320">
        <v>44926.0</v>
      </c>
      <c r="I1196" s="218">
        <v>75.0</v>
      </c>
      <c r="J1196" s="317" t="s">
        <v>52</v>
      </c>
      <c r="K1196" s="319">
        <v>2022.12</v>
      </c>
      <c r="L1196" s="218" t="s">
        <v>200</v>
      </c>
    </row>
    <row r="1197">
      <c r="A1197" s="223" t="s">
        <v>99</v>
      </c>
      <c r="B1197" s="223" t="s">
        <v>1192</v>
      </c>
      <c r="C1197" s="223" t="s">
        <v>1156</v>
      </c>
      <c r="D1197" s="320">
        <v>44926.0</v>
      </c>
      <c r="I1197" s="218">
        <v>170.0</v>
      </c>
      <c r="J1197" s="317" t="s">
        <v>52</v>
      </c>
      <c r="K1197" s="319">
        <v>2022.12</v>
      </c>
      <c r="L1197" s="218" t="s">
        <v>200</v>
      </c>
    </row>
    <row r="1198">
      <c r="A1198" s="223" t="s">
        <v>42</v>
      </c>
      <c r="B1198" s="223" t="s">
        <v>1236</v>
      </c>
      <c r="C1198" s="223" t="s">
        <v>1156</v>
      </c>
      <c r="D1198" s="320">
        <v>44926.0</v>
      </c>
      <c r="I1198" s="218">
        <v>235.0</v>
      </c>
      <c r="J1198" s="317" t="s">
        <v>52</v>
      </c>
      <c r="K1198" s="319">
        <v>2022.12</v>
      </c>
      <c r="L1198" s="218" t="s">
        <v>200</v>
      </c>
    </row>
    <row r="1199">
      <c r="A1199" s="223" t="s">
        <v>123</v>
      </c>
      <c r="B1199" s="223" t="s">
        <v>1300</v>
      </c>
      <c r="C1199" s="223" t="s">
        <v>1156</v>
      </c>
      <c r="D1199" s="320">
        <v>44926.0</v>
      </c>
      <c r="I1199" s="218">
        <v>600.0</v>
      </c>
      <c r="J1199" s="317" t="s">
        <v>52</v>
      </c>
      <c r="K1199" s="319">
        <v>2022.12</v>
      </c>
      <c r="L1199" s="218" t="s">
        <v>200</v>
      </c>
    </row>
    <row r="1200">
      <c r="A1200" s="223" t="s">
        <v>73</v>
      </c>
      <c r="B1200" s="223" t="s">
        <v>1327</v>
      </c>
      <c r="C1200" s="223" t="s">
        <v>1156</v>
      </c>
      <c r="D1200" s="320">
        <v>44926.0</v>
      </c>
      <c r="I1200" s="218">
        <v>60.0</v>
      </c>
      <c r="J1200" s="317" t="s">
        <v>52</v>
      </c>
      <c r="K1200" s="319">
        <v>2022.12</v>
      </c>
      <c r="L1200" s="218" t="s">
        <v>200</v>
      </c>
    </row>
    <row r="1201">
      <c r="A1201" s="223" t="s">
        <v>50</v>
      </c>
      <c r="B1201" s="223" t="s">
        <v>1275</v>
      </c>
      <c r="C1201" s="223" t="s">
        <v>1156</v>
      </c>
      <c r="D1201" s="320">
        <v>44926.0</v>
      </c>
      <c r="I1201" s="218">
        <v>30.0</v>
      </c>
      <c r="J1201" s="317" t="s">
        <v>52</v>
      </c>
      <c r="K1201" s="319">
        <v>2022.12</v>
      </c>
      <c r="L1201" s="218" t="s">
        <v>200</v>
      </c>
    </row>
    <row r="1202">
      <c r="A1202" s="223" t="s">
        <v>62</v>
      </c>
      <c r="B1202" s="223" t="s">
        <v>1304</v>
      </c>
      <c r="C1202" s="223" t="s">
        <v>1156</v>
      </c>
      <c r="D1202" s="320">
        <v>44926.0</v>
      </c>
      <c r="I1202" s="218">
        <v>300.0</v>
      </c>
      <c r="J1202" s="317" t="s">
        <v>52</v>
      </c>
      <c r="K1202" s="319">
        <v>2022.12</v>
      </c>
      <c r="L1202" s="218" t="s">
        <v>200</v>
      </c>
    </row>
    <row r="1203">
      <c r="A1203" s="223" t="s">
        <v>223</v>
      </c>
      <c r="B1203" s="223" t="s">
        <v>1176</v>
      </c>
      <c r="C1203" s="223" t="s">
        <v>1156</v>
      </c>
      <c r="D1203" s="320">
        <v>44926.0</v>
      </c>
      <c r="I1203" s="218">
        <v>75.0</v>
      </c>
      <c r="J1203" s="317" t="s">
        <v>52</v>
      </c>
      <c r="K1203" s="319">
        <v>2022.12</v>
      </c>
      <c r="L1203" s="218" t="s">
        <v>200</v>
      </c>
    </row>
    <row r="1204">
      <c r="A1204" s="223" t="s">
        <v>225</v>
      </c>
      <c r="B1204" s="223" t="s">
        <v>1257</v>
      </c>
      <c r="C1204" s="223" t="s">
        <v>1156</v>
      </c>
      <c r="D1204" s="320">
        <v>44926.0</v>
      </c>
      <c r="I1204" s="218">
        <v>1860.0</v>
      </c>
      <c r="J1204" s="317" t="s">
        <v>52</v>
      </c>
      <c r="K1204" s="319">
        <v>2022.12</v>
      </c>
      <c r="L1204" s="218" t="s">
        <v>200</v>
      </c>
    </row>
    <row r="1205">
      <c r="A1205" s="223" t="s">
        <v>66</v>
      </c>
      <c r="B1205" s="223" t="s">
        <v>1324</v>
      </c>
      <c r="C1205" s="223" t="s">
        <v>1156</v>
      </c>
      <c r="D1205" s="320">
        <v>44926.0</v>
      </c>
      <c r="I1205" s="218">
        <v>60.0</v>
      </c>
      <c r="J1205" s="317" t="s">
        <v>52</v>
      </c>
      <c r="K1205" s="319">
        <v>2022.12</v>
      </c>
      <c r="L1205" s="218" t="s">
        <v>200</v>
      </c>
    </row>
    <row r="1206">
      <c r="A1206" s="223" t="s">
        <v>695</v>
      </c>
      <c r="B1206" s="223" t="s">
        <v>1216</v>
      </c>
      <c r="C1206" s="223" t="s">
        <v>1451</v>
      </c>
      <c r="D1206" s="320">
        <v>44926.0</v>
      </c>
      <c r="I1206" s="218">
        <v>45.0</v>
      </c>
      <c r="J1206" s="317" t="s">
        <v>52</v>
      </c>
      <c r="K1206" s="319">
        <v>2022.12</v>
      </c>
      <c r="L1206" s="218" t="s">
        <v>200</v>
      </c>
    </row>
    <row r="1207">
      <c r="A1207" s="223" t="s">
        <v>499</v>
      </c>
      <c r="B1207" s="223" t="s">
        <v>1330</v>
      </c>
      <c r="C1207" s="223" t="s">
        <v>1375</v>
      </c>
      <c r="D1207" s="320">
        <v>44926.0</v>
      </c>
      <c r="I1207" s="218">
        <v>100.0</v>
      </c>
      <c r="J1207" s="317" t="s">
        <v>52</v>
      </c>
      <c r="K1207" s="319">
        <v>2022.12</v>
      </c>
      <c r="L1207" s="218" t="s">
        <v>200</v>
      </c>
    </row>
    <row r="1208">
      <c r="A1208" s="223" t="s">
        <v>451</v>
      </c>
      <c r="B1208" s="223" t="s">
        <v>1363</v>
      </c>
      <c r="C1208" s="223" t="s">
        <v>1364</v>
      </c>
      <c r="D1208" s="320">
        <v>44926.0</v>
      </c>
      <c r="I1208" s="218">
        <v>60.0</v>
      </c>
      <c r="J1208" s="317" t="s">
        <v>1160</v>
      </c>
      <c r="K1208" s="319">
        <v>2022.0</v>
      </c>
      <c r="L1208" s="218" t="s">
        <v>200</v>
      </c>
    </row>
    <row r="1209">
      <c r="A1209" s="223" t="s">
        <v>481</v>
      </c>
      <c r="B1209" s="223" t="s">
        <v>1200</v>
      </c>
      <c r="C1209" s="223" t="s">
        <v>1374</v>
      </c>
      <c r="D1209" s="320">
        <v>44926.0</v>
      </c>
      <c r="I1209" s="218">
        <v>257.5</v>
      </c>
      <c r="J1209" s="317" t="s">
        <v>1160</v>
      </c>
      <c r="K1209" s="319">
        <v>2022.0</v>
      </c>
      <c r="L1209" s="218" t="s">
        <v>200</v>
      </c>
    </row>
    <row r="1210">
      <c r="A1210" s="223" t="s">
        <v>676</v>
      </c>
      <c r="B1210" s="223" t="s">
        <v>1441</v>
      </c>
      <c r="C1210" s="223" t="s">
        <v>2312</v>
      </c>
      <c r="D1210" s="320">
        <v>44926.0</v>
      </c>
      <c r="I1210" s="218">
        <v>180.0</v>
      </c>
      <c r="J1210" s="317" t="s">
        <v>1160</v>
      </c>
      <c r="K1210" s="319">
        <v>2022.0</v>
      </c>
      <c r="L1210" s="218" t="s">
        <v>200</v>
      </c>
    </row>
    <row r="1211">
      <c r="A1211" s="223" t="s">
        <v>762</v>
      </c>
      <c r="B1211" s="223" t="s">
        <v>1429</v>
      </c>
      <c r="C1211" s="223" t="s">
        <v>1432</v>
      </c>
      <c r="D1211" s="320">
        <v>44926.0</v>
      </c>
      <c r="I1211" s="218">
        <v>322.5</v>
      </c>
      <c r="J1211" s="317" t="s">
        <v>52</v>
      </c>
      <c r="K1211" s="319">
        <v>2022.12</v>
      </c>
      <c r="L1211" s="218" t="s">
        <v>200</v>
      </c>
    </row>
    <row r="1212">
      <c r="A1212" s="223" t="s">
        <v>740</v>
      </c>
      <c r="B1212" s="223" t="s">
        <v>1209</v>
      </c>
      <c r="C1212" s="223" t="s">
        <v>1463</v>
      </c>
      <c r="D1212" s="320">
        <v>44926.0</v>
      </c>
      <c r="I1212" s="218">
        <v>425.0</v>
      </c>
      <c r="J1212" s="317" t="s">
        <v>1160</v>
      </c>
      <c r="K1212" s="319">
        <v>2022.0</v>
      </c>
      <c r="L1212" s="218" t="s">
        <v>200</v>
      </c>
    </row>
    <row r="1213">
      <c r="A1213" s="223" t="s">
        <v>99</v>
      </c>
      <c r="B1213" s="223" t="s">
        <v>1192</v>
      </c>
      <c r="C1213" s="223" t="s">
        <v>1156</v>
      </c>
      <c r="D1213" s="320">
        <v>44926.0</v>
      </c>
      <c r="I1213" s="218">
        <v>337.5</v>
      </c>
      <c r="J1213" s="317" t="s">
        <v>52</v>
      </c>
      <c r="K1213" s="319">
        <v>2022.12</v>
      </c>
      <c r="L1213" s="218" t="s">
        <v>200</v>
      </c>
    </row>
    <row r="1214">
      <c r="A1214" s="223" t="s">
        <v>42</v>
      </c>
      <c r="B1214" s="223" t="s">
        <v>1236</v>
      </c>
      <c r="C1214" s="223" t="s">
        <v>1156</v>
      </c>
      <c r="D1214" s="320">
        <v>44926.0</v>
      </c>
      <c r="I1214" s="218">
        <v>212.5</v>
      </c>
      <c r="J1214" s="317" t="s">
        <v>52</v>
      </c>
      <c r="K1214" s="319">
        <v>2022.12</v>
      </c>
      <c r="L1214" s="218" t="s">
        <v>200</v>
      </c>
    </row>
    <row r="1215">
      <c r="A1215" s="223" t="s">
        <v>499</v>
      </c>
      <c r="B1215" s="223" t="s">
        <v>1330</v>
      </c>
      <c r="C1215" s="223" t="s">
        <v>1375</v>
      </c>
      <c r="D1215" s="320">
        <v>44926.0</v>
      </c>
      <c r="I1215" s="218">
        <v>150.0</v>
      </c>
      <c r="J1215" s="317" t="s">
        <v>52</v>
      </c>
      <c r="K1215" s="319">
        <v>2022.12</v>
      </c>
      <c r="L1215" s="218" t="s">
        <v>200</v>
      </c>
    </row>
    <row r="1216">
      <c r="A1216" s="223" t="s">
        <v>662</v>
      </c>
      <c r="B1216" s="223" t="s">
        <v>1433</v>
      </c>
      <c r="C1216" s="223" t="s">
        <v>1434</v>
      </c>
      <c r="D1216" s="320">
        <v>44926.0</v>
      </c>
      <c r="I1216" s="218">
        <v>750.0</v>
      </c>
      <c r="J1216" s="317" t="s">
        <v>52</v>
      </c>
      <c r="K1216" s="319">
        <v>2022.12</v>
      </c>
      <c r="L1216" s="218" t="s">
        <v>200</v>
      </c>
    </row>
    <row r="1217">
      <c r="A1217" s="223" t="s">
        <v>115</v>
      </c>
      <c r="B1217" s="223" t="s">
        <v>1308</v>
      </c>
      <c r="C1217" s="223" t="s">
        <v>1156</v>
      </c>
      <c r="D1217" s="320">
        <v>44926.0</v>
      </c>
      <c r="I1217" s="218">
        <v>662.5</v>
      </c>
      <c r="J1217" s="317" t="s">
        <v>52</v>
      </c>
      <c r="K1217" s="319">
        <v>2022.12</v>
      </c>
      <c r="L1217" s="218" t="s">
        <v>200</v>
      </c>
    </row>
    <row r="1218">
      <c r="A1218" s="223" t="s">
        <v>118</v>
      </c>
      <c r="B1218" s="223" t="s">
        <v>1312</v>
      </c>
      <c r="C1218" s="223" t="s">
        <v>1156</v>
      </c>
      <c r="D1218" s="320">
        <v>44926.0</v>
      </c>
      <c r="I1218" s="218">
        <v>662.5</v>
      </c>
      <c r="J1218" s="317" t="s">
        <v>52</v>
      </c>
      <c r="K1218" s="319">
        <v>2022.12</v>
      </c>
      <c r="L1218" s="218" t="s">
        <v>200</v>
      </c>
    </row>
    <row r="1219">
      <c r="A1219" s="223" t="s">
        <v>92</v>
      </c>
      <c r="B1219" s="223" t="s">
        <v>1289</v>
      </c>
      <c r="C1219" s="223" t="s">
        <v>1156</v>
      </c>
      <c r="D1219" s="320">
        <v>44926.0</v>
      </c>
      <c r="I1219" s="218">
        <v>562.5</v>
      </c>
      <c r="J1219" s="317" t="s">
        <v>52</v>
      </c>
      <c r="K1219" s="319">
        <v>2022.12</v>
      </c>
      <c r="L1219" s="218" t="s">
        <v>200</v>
      </c>
    </row>
    <row r="1220">
      <c r="A1220" s="223" t="s">
        <v>84</v>
      </c>
      <c r="B1220" s="223" t="s">
        <v>1227</v>
      </c>
      <c r="C1220" s="223" t="s">
        <v>1156</v>
      </c>
      <c r="D1220" s="320">
        <v>44926.0</v>
      </c>
      <c r="I1220" s="218">
        <v>475.0</v>
      </c>
      <c r="J1220" s="317" t="s">
        <v>52</v>
      </c>
      <c r="K1220" s="319">
        <v>2022.12</v>
      </c>
      <c r="L1220" s="218" t="s">
        <v>200</v>
      </c>
    </row>
    <row r="1221">
      <c r="A1221" s="223" t="s">
        <v>123</v>
      </c>
      <c r="B1221" s="223" t="s">
        <v>1300</v>
      </c>
      <c r="C1221" s="223" t="s">
        <v>1156</v>
      </c>
      <c r="D1221" s="320">
        <v>44926.0</v>
      </c>
      <c r="I1221" s="218">
        <v>787.5</v>
      </c>
      <c r="J1221" s="317" t="s">
        <v>52</v>
      </c>
      <c r="K1221" s="319">
        <v>2022.12</v>
      </c>
      <c r="L1221" s="218" t="s">
        <v>200</v>
      </c>
    </row>
    <row r="1222">
      <c r="A1222" s="223" t="s">
        <v>62</v>
      </c>
      <c r="B1222" s="223" t="s">
        <v>1304</v>
      </c>
      <c r="C1222" s="223" t="s">
        <v>1156</v>
      </c>
      <c r="D1222" s="320">
        <v>44926.0</v>
      </c>
      <c r="I1222" s="218">
        <v>450.0</v>
      </c>
      <c r="J1222" s="317" t="s">
        <v>52</v>
      </c>
      <c r="K1222" s="319">
        <v>2022.12</v>
      </c>
      <c r="L1222" s="218" t="s">
        <v>200</v>
      </c>
    </row>
    <row r="1223">
      <c r="A1223" s="223" t="s">
        <v>54</v>
      </c>
      <c r="B1223" s="223" t="s">
        <v>1187</v>
      </c>
      <c r="C1223" s="223" t="s">
        <v>1156</v>
      </c>
      <c r="D1223" s="320">
        <v>44926.0</v>
      </c>
      <c r="I1223" s="218">
        <v>337.5</v>
      </c>
      <c r="J1223" s="317" t="s">
        <v>52</v>
      </c>
      <c r="K1223" s="319">
        <v>2022.12</v>
      </c>
      <c r="L1223" s="218" t="s">
        <v>200</v>
      </c>
    </row>
    <row r="1224">
      <c r="A1224" s="223" t="s">
        <v>120</v>
      </c>
      <c r="B1224" s="223" t="s">
        <v>1215</v>
      </c>
      <c r="C1224" s="223" t="s">
        <v>1156</v>
      </c>
      <c r="D1224" s="320">
        <v>44926.0</v>
      </c>
      <c r="I1224" s="218">
        <v>590.0</v>
      </c>
      <c r="J1224" s="317" t="s">
        <v>52</v>
      </c>
      <c r="K1224" s="319">
        <v>2022.12</v>
      </c>
      <c r="L1224" s="218" t="s">
        <v>200</v>
      </c>
    </row>
    <row r="1225">
      <c r="A1225" s="223" t="s">
        <v>499</v>
      </c>
      <c r="B1225" s="223" t="s">
        <v>1330</v>
      </c>
      <c r="C1225" s="223" t="s">
        <v>1375</v>
      </c>
      <c r="D1225" s="320">
        <v>44926.0</v>
      </c>
      <c r="I1225" s="218">
        <v>262.5</v>
      </c>
      <c r="J1225" s="317" t="s">
        <v>52</v>
      </c>
      <c r="K1225" s="319">
        <v>2022.12</v>
      </c>
      <c r="L1225" s="218" t="s">
        <v>200</v>
      </c>
    </row>
    <row r="1226">
      <c r="A1226" s="223" t="s">
        <v>90</v>
      </c>
      <c r="B1226" s="223" t="s">
        <v>1282</v>
      </c>
      <c r="C1226" s="223" t="s">
        <v>1156</v>
      </c>
      <c r="D1226" s="320">
        <v>44926.0</v>
      </c>
      <c r="I1226" s="218">
        <v>540.0</v>
      </c>
      <c r="J1226" s="317" t="s">
        <v>52</v>
      </c>
      <c r="K1226" s="319">
        <v>2022.12</v>
      </c>
      <c r="L1226" s="218" t="s">
        <v>200</v>
      </c>
    </row>
    <row r="1227">
      <c r="A1227" s="223" t="s">
        <v>737</v>
      </c>
      <c r="B1227" s="223" t="s">
        <v>1460</v>
      </c>
      <c r="C1227" s="223" t="s">
        <v>1461</v>
      </c>
      <c r="D1227" s="320">
        <v>44926.0</v>
      </c>
      <c r="I1227" s="218">
        <v>415.0</v>
      </c>
      <c r="J1227" s="317" t="s">
        <v>1160</v>
      </c>
      <c r="K1227" s="319">
        <v>2022.0</v>
      </c>
      <c r="L1227" s="218" t="s">
        <v>200</v>
      </c>
    </row>
    <row r="1228">
      <c r="A1228" s="223" t="s">
        <v>707</v>
      </c>
      <c r="B1228" s="223" t="s">
        <v>1452</v>
      </c>
      <c r="C1228" s="223" t="s">
        <v>1232</v>
      </c>
      <c r="D1228" s="320">
        <v>44926.0</v>
      </c>
      <c r="I1228" s="218">
        <v>450.0</v>
      </c>
      <c r="J1228" s="317" t="s">
        <v>1160</v>
      </c>
      <c r="K1228" s="319">
        <v>2022.0</v>
      </c>
      <c r="L1228" s="218" t="s">
        <v>200</v>
      </c>
    </row>
    <row r="1229">
      <c r="A1229" s="223" t="s">
        <v>740</v>
      </c>
      <c r="B1229" s="223" t="s">
        <v>1209</v>
      </c>
      <c r="C1229" s="223" t="s">
        <v>1463</v>
      </c>
      <c r="D1229" s="320">
        <v>44926.0</v>
      </c>
      <c r="I1229" s="218">
        <v>500.0</v>
      </c>
      <c r="J1229" s="317" t="s">
        <v>1160</v>
      </c>
      <c r="K1229" s="319">
        <v>2022.0</v>
      </c>
      <c r="L1229" s="218" t="s">
        <v>200</v>
      </c>
    </row>
    <row r="1230">
      <c r="A1230" s="223" t="s">
        <v>768</v>
      </c>
      <c r="B1230" s="223" t="s">
        <v>1383</v>
      </c>
      <c r="C1230" s="223" t="s">
        <v>1179</v>
      </c>
      <c r="D1230" s="320">
        <v>44926.0</v>
      </c>
      <c r="I1230" s="218">
        <v>30.0</v>
      </c>
      <c r="J1230" s="317" t="s">
        <v>1160</v>
      </c>
      <c r="K1230" s="319">
        <v>2022.0</v>
      </c>
      <c r="L1230" s="218" t="s">
        <v>200</v>
      </c>
    </row>
    <row r="1231">
      <c r="A1231" s="223" t="s">
        <v>1271</v>
      </c>
      <c r="B1231" s="223" t="s">
        <v>1264</v>
      </c>
      <c r="C1231" s="223" t="s">
        <v>1272</v>
      </c>
      <c r="D1231" s="320">
        <v>44940.0</v>
      </c>
      <c r="I1231" s="218">
        <v>3.13</v>
      </c>
      <c r="J1231" s="317" t="s">
        <v>1152</v>
      </c>
      <c r="K1231" s="319">
        <v>2023.0</v>
      </c>
      <c r="L1231" s="218" t="s">
        <v>200</v>
      </c>
    </row>
    <row r="1232">
      <c r="A1232" s="223" t="s">
        <v>1271</v>
      </c>
      <c r="B1232" s="223" t="s">
        <v>1264</v>
      </c>
      <c r="C1232" s="223" t="s">
        <v>1272</v>
      </c>
      <c r="D1232" s="320">
        <v>44940.0</v>
      </c>
      <c r="I1232" s="218">
        <v>138.91</v>
      </c>
      <c r="J1232" s="317" t="s">
        <v>1152</v>
      </c>
      <c r="K1232" s="319">
        <v>2023.0</v>
      </c>
      <c r="L1232" s="218" t="s">
        <v>200</v>
      </c>
    </row>
    <row r="1233">
      <c r="A1233" s="223" t="s">
        <v>1269</v>
      </c>
      <c r="B1233" s="223" t="s">
        <v>1264</v>
      </c>
      <c r="C1233" s="223" t="s">
        <v>1270</v>
      </c>
      <c r="D1233" s="320">
        <v>44940.0</v>
      </c>
      <c r="I1233" s="218">
        <v>420.0</v>
      </c>
      <c r="J1233" s="317" t="s">
        <v>1152</v>
      </c>
      <c r="K1233" s="319">
        <v>2023.0</v>
      </c>
      <c r="L1233" s="218" t="s">
        <v>200</v>
      </c>
    </row>
    <row r="1234">
      <c r="A1234" s="223" t="s">
        <v>1271</v>
      </c>
      <c r="B1234" s="223" t="s">
        <v>1264</v>
      </c>
      <c r="C1234" s="223" t="s">
        <v>1272</v>
      </c>
      <c r="D1234" s="320">
        <v>44940.0</v>
      </c>
      <c r="I1234" s="218">
        <v>14.97</v>
      </c>
      <c r="J1234" s="317" t="s">
        <v>1152</v>
      </c>
      <c r="K1234" s="319">
        <v>2023.0</v>
      </c>
      <c r="L1234" s="218" t="s">
        <v>200</v>
      </c>
    </row>
    <row r="1235">
      <c r="A1235" s="223" t="s">
        <v>118</v>
      </c>
      <c r="B1235" s="223" t="s">
        <v>1312</v>
      </c>
      <c r="C1235" s="223" t="s">
        <v>1156</v>
      </c>
      <c r="D1235" s="320">
        <v>44916.0</v>
      </c>
      <c r="I1235" s="218">
        <v>750.0</v>
      </c>
      <c r="J1235" s="317" t="s">
        <v>52</v>
      </c>
      <c r="K1235" s="319">
        <v>2022.12</v>
      </c>
      <c r="L1235" s="218">
        <v>750.0</v>
      </c>
    </row>
    <row r="1236">
      <c r="A1236" s="223" t="s">
        <v>115</v>
      </c>
      <c r="B1236" s="223" t="s">
        <v>1308</v>
      </c>
      <c r="C1236" s="223" t="s">
        <v>1156</v>
      </c>
      <c r="D1236" s="320">
        <v>44920.0</v>
      </c>
      <c r="I1236" s="218">
        <v>750.0</v>
      </c>
      <c r="J1236" s="317" t="s">
        <v>52</v>
      </c>
      <c r="K1236" s="319">
        <v>2022.12</v>
      </c>
      <c r="L1236" s="218">
        <v>750.0</v>
      </c>
    </row>
    <row r="1237">
      <c r="A1237" s="223" t="s">
        <v>92</v>
      </c>
      <c r="B1237" s="223" t="s">
        <v>1289</v>
      </c>
      <c r="C1237" s="223" t="s">
        <v>1156</v>
      </c>
      <c r="D1237" s="320">
        <v>44920.0</v>
      </c>
      <c r="I1237" s="218">
        <v>81.73</v>
      </c>
      <c r="J1237" s="317" t="s">
        <v>52</v>
      </c>
      <c r="K1237" s="319">
        <v>2022.12</v>
      </c>
      <c r="L1237" s="218">
        <v>81.73</v>
      </c>
    </row>
    <row r="1238">
      <c r="A1238" s="223" t="s">
        <v>586</v>
      </c>
      <c r="B1238" s="223" t="s">
        <v>1404</v>
      </c>
      <c r="C1238" s="223" t="s">
        <v>1403</v>
      </c>
      <c r="D1238" s="320">
        <v>44925.0</v>
      </c>
      <c r="I1238" s="218">
        <v>98.22</v>
      </c>
      <c r="J1238" s="317" t="s">
        <v>1160</v>
      </c>
      <c r="K1238" s="319">
        <v>2022.0</v>
      </c>
      <c r="L1238" s="218" t="s">
        <v>200</v>
      </c>
    </row>
    <row r="1239">
      <c r="A1239" s="223" t="s">
        <v>584</v>
      </c>
      <c r="B1239" s="223" t="s">
        <v>1398</v>
      </c>
      <c r="C1239" s="223" t="s">
        <v>1403</v>
      </c>
      <c r="D1239" s="320">
        <v>44925.0</v>
      </c>
      <c r="I1239" s="218">
        <v>267.54</v>
      </c>
      <c r="J1239" s="317" t="s">
        <v>1160</v>
      </c>
      <c r="K1239" s="319">
        <v>2022.0</v>
      </c>
      <c r="L1239" s="218" t="s">
        <v>200</v>
      </c>
    </row>
    <row r="1240">
      <c r="A1240" s="223" t="s">
        <v>118</v>
      </c>
      <c r="B1240" s="223" t="s">
        <v>1312</v>
      </c>
      <c r="C1240" s="223" t="s">
        <v>1156</v>
      </c>
      <c r="D1240" s="320">
        <v>44927.0</v>
      </c>
      <c r="I1240" s="218">
        <v>415.5</v>
      </c>
      <c r="J1240" s="317" t="s">
        <v>52</v>
      </c>
      <c r="K1240" s="319">
        <v>2023.01</v>
      </c>
      <c r="L1240" s="218">
        <v>415.5</v>
      </c>
    </row>
    <row r="1241">
      <c r="A1241" s="223" t="s">
        <v>115</v>
      </c>
      <c r="B1241" s="223" t="s">
        <v>1308</v>
      </c>
      <c r="C1241" s="223" t="s">
        <v>1156</v>
      </c>
      <c r="D1241" s="320">
        <v>44927.0</v>
      </c>
      <c r="I1241" s="218">
        <v>953.98</v>
      </c>
      <c r="J1241" s="317" t="s">
        <v>52</v>
      </c>
      <c r="K1241" s="319">
        <v>2023.01</v>
      </c>
      <c r="L1241" s="218">
        <v>953.98</v>
      </c>
    </row>
    <row r="1242">
      <c r="A1242" s="223" t="s">
        <v>1266</v>
      </c>
      <c r="B1242" s="223" t="s">
        <v>1264</v>
      </c>
      <c r="C1242" s="223" t="s">
        <v>1267</v>
      </c>
      <c r="D1242" s="320">
        <v>44930.0</v>
      </c>
      <c r="I1242" s="218">
        <v>121.2</v>
      </c>
      <c r="J1242" s="317" t="s">
        <v>1152</v>
      </c>
      <c r="K1242" s="319">
        <v>2023.0</v>
      </c>
      <c r="L1242" s="218" t="s">
        <v>200</v>
      </c>
    </row>
    <row r="1243">
      <c r="A1243" s="223" t="s">
        <v>326</v>
      </c>
      <c r="B1243" s="223" t="s">
        <v>1209</v>
      </c>
      <c r="C1243" s="223" t="s">
        <v>1210</v>
      </c>
      <c r="D1243" s="320">
        <v>44935.0</v>
      </c>
      <c r="I1243" s="218">
        <v>69.03</v>
      </c>
      <c r="J1243" s="317" t="s">
        <v>1160</v>
      </c>
      <c r="K1243" s="319">
        <v>2023.0</v>
      </c>
      <c r="L1243" s="218">
        <v>69.03</v>
      </c>
    </row>
    <row r="1244">
      <c r="A1244" s="223" t="s">
        <v>737</v>
      </c>
      <c r="B1244" s="223" t="s">
        <v>1460</v>
      </c>
      <c r="C1244" s="223" t="s">
        <v>1461</v>
      </c>
      <c r="D1244" s="320">
        <v>44926.0</v>
      </c>
      <c r="I1244" s="218">
        <v>52.13</v>
      </c>
      <c r="J1244" s="317" t="s">
        <v>1160</v>
      </c>
      <c r="K1244" s="319">
        <v>2022.0</v>
      </c>
      <c r="L1244" s="218" t="s">
        <v>200</v>
      </c>
    </row>
    <row r="1245">
      <c r="A1245" s="223" t="s">
        <v>54</v>
      </c>
      <c r="B1245" s="223" t="s">
        <v>1187</v>
      </c>
      <c r="C1245" s="223" t="s">
        <v>1156</v>
      </c>
      <c r="D1245" s="320">
        <v>44926.0</v>
      </c>
      <c r="I1245" s="218">
        <v>4.97</v>
      </c>
      <c r="J1245" s="317" t="s">
        <v>52</v>
      </c>
      <c r="K1245" s="319">
        <v>2022.12</v>
      </c>
      <c r="L1245" s="218" t="s">
        <v>200</v>
      </c>
    </row>
    <row r="1246">
      <c r="A1246" s="223" t="s">
        <v>740</v>
      </c>
      <c r="B1246" s="223" t="s">
        <v>1209</v>
      </c>
      <c r="C1246" s="223" t="s">
        <v>1463</v>
      </c>
      <c r="D1246" s="320">
        <v>44926.0</v>
      </c>
      <c r="I1246" s="218">
        <v>110.07</v>
      </c>
      <c r="J1246" s="317" t="s">
        <v>1160</v>
      </c>
      <c r="K1246" s="319">
        <v>2022.0</v>
      </c>
      <c r="L1246" s="218" t="s">
        <v>200</v>
      </c>
    </row>
    <row r="1247">
      <c r="A1247" s="223" t="s">
        <v>120</v>
      </c>
      <c r="B1247" s="223" t="s">
        <v>1215</v>
      </c>
      <c r="C1247" s="223" t="s">
        <v>1156</v>
      </c>
      <c r="D1247" s="320">
        <v>44926.0</v>
      </c>
      <c r="I1247" s="218">
        <v>128.88</v>
      </c>
      <c r="J1247" s="317" t="s">
        <v>52</v>
      </c>
      <c r="K1247" s="319">
        <v>2022.12</v>
      </c>
      <c r="L1247" s="218" t="s">
        <v>200</v>
      </c>
    </row>
    <row r="1248">
      <c r="A1248" s="223" t="s">
        <v>768</v>
      </c>
      <c r="B1248" s="223" t="s">
        <v>1383</v>
      </c>
      <c r="C1248" s="223" t="s">
        <v>1179</v>
      </c>
      <c r="D1248" s="320">
        <v>44926.0</v>
      </c>
      <c r="I1248" s="218">
        <v>196.67</v>
      </c>
      <c r="J1248" s="317" t="s">
        <v>1160</v>
      </c>
      <c r="K1248" s="319">
        <v>2022.0</v>
      </c>
      <c r="L1248" s="218" t="s">
        <v>200</v>
      </c>
    </row>
    <row r="1249">
      <c r="A1249" s="223" t="s">
        <v>42</v>
      </c>
      <c r="B1249" s="223" t="s">
        <v>1236</v>
      </c>
      <c r="C1249" s="223" t="s">
        <v>1156</v>
      </c>
      <c r="D1249" s="320">
        <v>44926.0</v>
      </c>
      <c r="I1249" s="218">
        <v>147.06</v>
      </c>
      <c r="J1249" s="317" t="s">
        <v>52</v>
      </c>
      <c r="K1249" s="319">
        <v>2022.12</v>
      </c>
      <c r="L1249" s="218" t="s">
        <v>200</v>
      </c>
    </row>
    <row r="1250">
      <c r="A1250" s="223" t="s">
        <v>82</v>
      </c>
      <c r="B1250" s="223" t="s">
        <v>1124</v>
      </c>
      <c r="C1250" s="223" t="s">
        <v>1156</v>
      </c>
      <c r="D1250" s="320">
        <v>44926.0</v>
      </c>
      <c r="I1250" s="218">
        <v>85.28</v>
      </c>
      <c r="J1250" s="317" t="s">
        <v>52</v>
      </c>
      <c r="K1250" s="319">
        <v>2022.12</v>
      </c>
      <c r="L1250" s="218" t="s">
        <v>200</v>
      </c>
    </row>
    <row r="1251">
      <c r="A1251" s="223" t="s">
        <v>1266</v>
      </c>
      <c r="B1251" s="223" t="s">
        <v>1264</v>
      </c>
      <c r="C1251" s="223" t="s">
        <v>1267</v>
      </c>
      <c r="D1251" s="320">
        <v>44926.0</v>
      </c>
      <c r="I1251" s="218">
        <v>1040.1</v>
      </c>
      <c r="J1251" s="317" t="s">
        <v>1152</v>
      </c>
      <c r="K1251" s="319">
        <v>2022.0</v>
      </c>
      <c r="L1251" s="218" t="s">
        <v>200</v>
      </c>
    </row>
    <row r="1252">
      <c r="A1252" s="223" t="s">
        <v>90</v>
      </c>
      <c r="B1252" s="223" t="s">
        <v>1282</v>
      </c>
      <c r="C1252" s="223" t="s">
        <v>1156</v>
      </c>
      <c r="D1252" s="320">
        <v>44926.0</v>
      </c>
      <c r="I1252" s="218">
        <v>34.79</v>
      </c>
      <c r="J1252" s="317" t="s">
        <v>52</v>
      </c>
      <c r="K1252" s="319">
        <v>2022.12</v>
      </c>
      <c r="L1252" s="218" t="s">
        <v>200</v>
      </c>
    </row>
    <row r="1253">
      <c r="A1253" s="223" t="s">
        <v>731</v>
      </c>
      <c r="B1253" s="223" t="s">
        <v>1283</v>
      </c>
      <c r="C1253" s="223" t="s">
        <v>1190</v>
      </c>
      <c r="D1253" s="320">
        <v>44926.0</v>
      </c>
      <c r="I1253" s="218">
        <v>25.23</v>
      </c>
      <c r="J1253" s="317" t="s">
        <v>1160</v>
      </c>
      <c r="K1253" s="319">
        <v>2022.0</v>
      </c>
      <c r="L1253" s="218" t="s">
        <v>200</v>
      </c>
    </row>
    <row r="1254">
      <c r="A1254" s="223" t="s">
        <v>732</v>
      </c>
      <c r="B1254" s="223" t="s">
        <v>1283</v>
      </c>
      <c r="C1254" s="223" t="s">
        <v>1179</v>
      </c>
      <c r="D1254" s="320">
        <v>44926.0</v>
      </c>
      <c r="I1254" s="218">
        <v>142.26</v>
      </c>
      <c r="J1254" s="317" t="s">
        <v>1160</v>
      </c>
      <c r="K1254" s="319">
        <v>2022.0</v>
      </c>
      <c r="L1254" s="218" t="s">
        <v>200</v>
      </c>
    </row>
    <row r="1255">
      <c r="A1255" s="223" t="s">
        <v>713</v>
      </c>
      <c r="B1255" s="223" t="s">
        <v>1456</v>
      </c>
      <c r="C1255" s="223" t="s">
        <v>1179</v>
      </c>
      <c r="D1255" s="320">
        <v>44926.0</v>
      </c>
      <c r="I1255" s="218">
        <v>100.91</v>
      </c>
      <c r="J1255" s="317" t="s">
        <v>1160</v>
      </c>
      <c r="K1255" s="319">
        <v>2022.0</v>
      </c>
      <c r="L1255" s="218" t="s">
        <v>200</v>
      </c>
    </row>
    <row r="1256">
      <c r="A1256" s="223" t="s">
        <v>92</v>
      </c>
      <c r="B1256" s="223" t="s">
        <v>1289</v>
      </c>
      <c r="C1256" s="223" t="s">
        <v>1156</v>
      </c>
      <c r="D1256" s="320">
        <v>44926.0</v>
      </c>
      <c r="I1256" s="218">
        <v>57.66</v>
      </c>
      <c r="J1256" s="317" t="s">
        <v>52</v>
      </c>
      <c r="K1256" s="319">
        <v>2022.12</v>
      </c>
      <c r="L1256" s="218" t="s">
        <v>200</v>
      </c>
    </row>
    <row r="1257">
      <c r="A1257" s="223" t="s">
        <v>62</v>
      </c>
      <c r="B1257" s="223" t="s">
        <v>1304</v>
      </c>
      <c r="C1257" s="223" t="s">
        <v>1156</v>
      </c>
      <c r="D1257" s="320">
        <v>44926.0</v>
      </c>
      <c r="I1257" s="218">
        <v>0.0</v>
      </c>
      <c r="J1257" s="317" t="s">
        <v>52</v>
      </c>
      <c r="K1257" s="319">
        <v>2022.12</v>
      </c>
      <c r="L1257" s="218" t="s">
        <v>200</v>
      </c>
    </row>
    <row r="1258">
      <c r="A1258" s="223" t="s">
        <v>115</v>
      </c>
      <c r="B1258" s="223" t="s">
        <v>1308</v>
      </c>
      <c r="C1258" s="223" t="s">
        <v>1156</v>
      </c>
      <c r="D1258" s="320">
        <v>44926.0</v>
      </c>
      <c r="I1258" s="218">
        <v>7.51</v>
      </c>
      <c r="J1258" s="317" t="s">
        <v>52</v>
      </c>
      <c r="K1258" s="319">
        <v>2022.12</v>
      </c>
      <c r="L1258" s="218" t="s">
        <v>200</v>
      </c>
    </row>
    <row r="1259">
      <c r="A1259" s="223" t="s">
        <v>118</v>
      </c>
      <c r="B1259" s="223" t="s">
        <v>1312</v>
      </c>
      <c r="C1259" s="223" t="s">
        <v>1156</v>
      </c>
      <c r="D1259" s="320">
        <v>44926.0</v>
      </c>
      <c r="I1259" s="218">
        <v>6.02</v>
      </c>
      <c r="J1259" s="317" t="s">
        <v>52</v>
      </c>
      <c r="K1259" s="319">
        <v>2022.12</v>
      </c>
      <c r="L1259" s="218" t="s">
        <v>200</v>
      </c>
    </row>
    <row r="1260">
      <c r="A1260" s="223" t="s">
        <v>560</v>
      </c>
      <c r="B1260" s="223" t="s">
        <v>1395</v>
      </c>
      <c r="C1260" s="223" t="s">
        <v>36</v>
      </c>
      <c r="D1260" s="320">
        <v>44926.0</v>
      </c>
      <c r="I1260" s="218">
        <v>362.92</v>
      </c>
      <c r="J1260" s="317" t="s">
        <v>1160</v>
      </c>
      <c r="K1260" s="319">
        <v>2022.0</v>
      </c>
      <c r="L1260" s="218" t="s">
        <v>200</v>
      </c>
    </row>
    <row r="1261">
      <c r="A1261" s="223" t="s">
        <v>1328</v>
      </c>
      <c r="B1261" s="223" t="s">
        <v>1329</v>
      </c>
      <c r="C1261" s="223" t="s">
        <v>1190</v>
      </c>
      <c r="D1261" s="320">
        <v>44926.0</v>
      </c>
      <c r="I1261" s="218">
        <v>11.9</v>
      </c>
      <c r="J1261" s="317" t="s">
        <v>1152</v>
      </c>
      <c r="K1261" s="319">
        <v>2022.0</v>
      </c>
      <c r="L1261" s="218" t="s">
        <v>200</v>
      </c>
    </row>
    <row r="1262">
      <c r="A1262" s="223" t="s">
        <v>66</v>
      </c>
      <c r="B1262" s="223" t="s">
        <v>1324</v>
      </c>
      <c r="C1262" s="223" t="s">
        <v>1156</v>
      </c>
      <c r="D1262" s="320">
        <v>44957.0</v>
      </c>
      <c r="I1262" s="218">
        <v>312.5</v>
      </c>
      <c r="J1262" s="317" t="s">
        <v>52</v>
      </c>
      <c r="K1262" s="319">
        <v>2023.01</v>
      </c>
      <c r="L1262" s="218" t="s">
        <v>200</v>
      </c>
    </row>
    <row r="1263">
      <c r="A1263" s="223" t="s">
        <v>97</v>
      </c>
      <c r="B1263" s="223" t="s">
        <v>1286</v>
      </c>
      <c r="C1263" s="223" t="s">
        <v>1156</v>
      </c>
      <c r="D1263" s="320">
        <v>44957.0</v>
      </c>
      <c r="I1263" s="218">
        <v>125.0</v>
      </c>
      <c r="J1263" s="317" t="s">
        <v>52</v>
      </c>
      <c r="K1263" s="319">
        <v>2023.01</v>
      </c>
      <c r="L1263" s="218" t="s">
        <v>200</v>
      </c>
    </row>
    <row r="1264">
      <c r="A1264" s="223" t="s">
        <v>88</v>
      </c>
      <c r="B1264" s="223" t="s">
        <v>1256</v>
      </c>
      <c r="C1264" s="223" t="s">
        <v>1156</v>
      </c>
      <c r="D1264" s="320">
        <v>44957.0</v>
      </c>
      <c r="I1264" s="218">
        <v>212.5</v>
      </c>
      <c r="J1264" s="317" t="s">
        <v>52</v>
      </c>
      <c r="K1264" s="319">
        <v>2023.01</v>
      </c>
      <c r="L1264" s="218" t="s">
        <v>200</v>
      </c>
    </row>
    <row r="1265">
      <c r="A1265" s="223" t="s">
        <v>73</v>
      </c>
      <c r="B1265" s="223" t="s">
        <v>1327</v>
      </c>
      <c r="C1265" s="223" t="s">
        <v>1156</v>
      </c>
      <c r="D1265" s="320">
        <v>44957.0</v>
      </c>
      <c r="I1265" s="218">
        <v>262.5</v>
      </c>
      <c r="J1265" s="317" t="s">
        <v>52</v>
      </c>
      <c r="K1265" s="319">
        <v>2023.01</v>
      </c>
      <c r="L1265" s="218" t="s">
        <v>200</v>
      </c>
    </row>
    <row r="1266">
      <c r="A1266" s="223" t="s">
        <v>223</v>
      </c>
      <c r="B1266" s="223" t="s">
        <v>1176</v>
      </c>
      <c r="C1266" s="223" t="s">
        <v>1156</v>
      </c>
      <c r="D1266" s="320">
        <v>44957.0</v>
      </c>
      <c r="I1266" s="218">
        <v>500.0</v>
      </c>
      <c r="J1266" s="317" t="s">
        <v>52</v>
      </c>
      <c r="K1266" s="319">
        <v>2023.01</v>
      </c>
      <c r="L1266" s="218" t="s">
        <v>200</v>
      </c>
    </row>
    <row r="1267">
      <c r="A1267" s="223" t="s">
        <v>50</v>
      </c>
      <c r="B1267" s="223" t="s">
        <v>1275</v>
      </c>
      <c r="C1267" s="223" t="s">
        <v>1156</v>
      </c>
      <c r="D1267" s="320">
        <v>44957.0</v>
      </c>
      <c r="I1267" s="218">
        <v>137.5</v>
      </c>
      <c r="J1267" s="317" t="s">
        <v>52</v>
      </c>
      <c r="K1267" s="319">
        <v>2023.01</v>
      </c>
      <c r="L1267" s="218" t="s">
        <v>200</v>
      </c>
    </row>
    <row r="1268">
      <c r="A1268" s="223" t="s">
        <v>810</v>
      </c>
      <c r="B1268" s="223" t="s">
        <v>1363</v>
      </c>
      <c r="C1268" s="223" t="s">
        <v>1393</v>
      </c>
      <c r="D1268" s="320">
        <v>44957.0</v>
      </c>
      <c r="I1268" s="218">
        <v>237.5</v>
      </c>
      <c r="J1268" s="317" t="s">
        <v>52</v>
      </c>
      <c r="K1268" s="319">
        <v>2023.01</v>
      </c>
      <c r="L1268" s="218" t="s">
        <v>200</v>
      </c>
    </row>
    <row r="1269">
      <c r="A1269" s="223" t="s">
        <v>740</v>
      </c>
      <c r="B1269" s="223" t="s">
        <v>1209</v>
      </c>
      <c r="C1269" s="223" t="s">
        <v>1463</v>
      </c>
      <c r="D1269" s="320">
        <v>44941.0</v>
      </c>
      <c r="I1269" s="218">
        <v>275.58</v>
      </c>
      <c r="J1269" s="317" t="s">
        <v>1160</v>
      </c>
      <c r="K1269" s="319">
        <v>2023.0</v>
      </c>
      <c r="L1269" s="218">
        <v>275.58</v>
      </c>
    </row>
    <row r="1270">
      <c r="A1270" s="223" t="s">
        <v>118</v>
      </c>
      <c r="B1270" s="223" t="s">
        <v>1312</v>
      </c>
      <c r="C1270" s="223" t="s">
        <v>1156</v>
      </c>
      <c r="D1270" s="320">
        <v>44946.0</v>
      </c>
      <c r="I1270" s="218">
        <v>750.0</v>
      </c>
      <c r="J1270" s="317" t="s">
        <v>52</v>
      </c>
      <c r="K1270" s="319">
        <v>2023.01</v>
      </c>
      <c r="L1270" s="218">
        <v>750.0</v>
      </c>
    </row>
    <row r="1271">
      <c r="A1271" s="223" t="s">
        <v>115</v>
      </c>
      <c r="B1271" s="223" t="s">
        <v>1308</v>
      </c>
      <c r="C1271" s="223" t="s">
        <v>1156</v>
      </c>
      <c r="D1271" s="320">
        <v>44950.0</v>
      </c>
      <c r="I1271" s="218">
        <v>18.0</v>
      </c>
      <c r="J1271" s="317" t="s">
        <v>52</v>
      </c>
      <c r="K1271" s="319">
        <v>2023.01</v>
      </c>
      <c r="L1271" s="218">
        <v>18.0</v>
      </c>
    </row>
    <row r="1272">
      <c r="A1272" s="223" t="s">
        <v>92</v>
      </c>
      <c r="B1272" s="223" t="s">
        <v>1289</v>
      </c>
      <c r="C1272" s="223" t="s">
        <v>1156</v>
      </c>
      <c r="D1272" s="320">
        <v>44951.0</v>
      </c>
      <c r="I1272" s="218">
        <v>100.0</v>
      </c>
      <c r="J1272" s="317" t="s">
        <v>52</v>
      </c>
      <c r="K1272" s="319">
        <v>2023.01</v>
      </c>
      <c r="L1272" s="218">
        <v>100.0</v>
      </c>
    </row>
    <row r="1273">
      <c r="A1273" s="223" t="s">
        <v>1266</v>
      </c>
      <c r="B1273" s="223" t="s">
        <v>1264</v>
      </c>
      <c r="C1273" s="223" t="s">
        <v>1267</v>
      </c>
      <c r="D1273" s="320">
        <v>44957.0</v>
      </c>
      <c r="I1273" s="218">
        <v>492.22</v>
      </c>
      <c r="J1273" s="317" t="s">
        <v>1152</v>
      </c>
      <c r="K1273" s="319">
        <v>2023.0</v>
      </c>
      <c r="L1273" s="218">
        <v>492.22</v>
      </c>
    </row>
    <row r="1274">
      <c r="A1274" s="223" t="s">
        <v>118</v>
      </c>
      <c r="B1274" s="223" t="s">
        <v>1312</v>
      </c>
      <c r="C1274" s="223" t="s">
        <v>1156</v>
      </c>
      <c r="D1274" s="320">
        <v>44958.0</v>
      </c>
      <c r="I1274" s="218">
        <v>420.22</v>
      </c>
      <c r="J1274" s="317" t="s">
        <v>52</v>
      </c>
      <c r="K1274" s="319">
        <v>2023.02</v>
      </c>
      <c r="L1274" s="218">
        <v>420.22</v>
      </c>
    </row>
    <row r="1275">
      <c r="A1275" s="223" t="s">
        <v>740</v>
      </c>
      <c r="B1275" s="223" t="s">
        <v>1209</v>
      </c>
      <c r="C1275" s="223" t="s">
        <v>1463</v>
      </c>
      <c r="D1275" s="320">
        <v>44958.0</v>
      </c>
      <c r="I1275" s="218">
        <v>448.77</v>
      </c>
      <c r="J1275" s="317" t="s">
        <v>1160</v>
      </c>
      <c r="K1275" s="319">
        <v>2023.0</v>
      </c>
      <c r="L1275" s="218">
        <v>448.77</v>
      </c>
    </row>
    <row r="1276">
      <c r="A1276" s="223" t="s">
        <v>115</v>
      </c>
      <c r="B1276" s="223" t="s">
        <v>1308</v>
      </c>
      <c r="C1276" s="223" t="s">
        <v>1156</v>
      </c>
      <c r="D1276" s="320">
        <v>44958.0</v>
      </c>
      <c r="I1276" s="218">
        <v>222.21</v>
      </c>
      <c r="J1276" s="317" t="s">
        <v>52</v>
      </c>
      <c r="K1276" s="319">
        <v>2023.02</v>
      </c>
      <c r="L1276" s="218">
        <v>222.21</v>
      </c>
    </row>
    <row r="1277">
      <c r="A1277" s="223" t="s">
        <v>806</v>
      </c>
      <c r="B1277" s="223" t="s">
        <v>1305</v>
      </c>
      <c r="C1277" s="223" t="s">
        <v>1435</v>
      </c>
      <c r="D1277" s="325">
        <v>44957.0</v>
      </c>
      <c r="I1277" s="218">
        <v>44.0</v>
      </c>
      <c r="J1277" s="317" t="s">
        <v>1436</v>
      </c>
      <c r="K1277" s="319">
        <v>2023.0</v>
      </c>
      <c r="L1277" s="218" t="s">
        <v>200</v>
      </c>
    </row>
    <row r="1278">
      <c r="A1278" s="223" t="s">
        <v>82</v>
      </c>
      <c r="B1278" s="223" t="s">
        <v>1124</v>
      </c>
      <c r="C1278" s="223" t="s">
        <v>1156</v>
      </c>
      <c r="D1278" s="325">
        <v>44957.0</v>
      </c>
      <c r="I1278" s="218">
        <v>225.0</v>
      </c>
      <c r="J1278" s="317" t="s">
        <v>52</v>
      </c>
      <c r="K1278" s="319">
        <v>2023.01</v>
      </c>
      <c r="L1278" s="218" t="s">
        <v>200</v>
      </c>
    </row>
    <row r="1279">
      <c r="A1279" s="223" t="s">
        <v>92</v>
      </c>
      <c r="B1279" s="223" t="s">
        <v>1289</v>
      </c>
      <c r="C1279" s="223" t="s">
        <v>1156</v>
      </c>
      <c r="D1279" s="325">
        <v>44957.0</v>
      </c>
      <c r="I1279" s="218">
        <v>300.0</v>
      </c>
      <c r="J1279" s="317" t="s">
        <v>52</v>
      </c>
      <c r="K1279" s="319">
        <v>2023.01</v>
      </c>
      <c r="L1279" s="218" t="s">
        <v>200</v>
      </c>
    </row>
    <row r="1280">
      <c r="A1280" s="223" t="s">
        <v>695</v>
      </c>
      <c r="B1280" s="223" t="s">
        <v>1216</v>
      </c>
      <c r="C1280" s="223" t="s">
        <v>1451</v>
      </c>
      <c r="D1280" s="325">
        <v>44957.0</v>
      </c>
      <c r="I1280" s="218">
        <v>175.0</v>
      </c>
      <c r="J1280" s="317" t="s">
        <v>52</v>
      </c>
      <c r="K1280" s="319">
        <v>2023.01</v>
      </c>
      <c r="L1280" s="218" t="s">
        <v>200</v>
      </c>
    </row>
    <row r="1281">
      <c r="A1281" s="223" t="s">
        <v>92</v>
      </c>
      <c r="B1281" s="223" t="s">
        <v>1289</v>
      </c>
      <c r="C1281" s="223" t="s">
        <v>1156</v>
      </c>
      <c r="D1281" s="325">
        <v>44957.0</v>
      </c>
      <c r="I1281" s="218">
        <v>275.0</v>
      </c>
      <c r="J1281" s="317" t="s">
        <v>52</v>
      </c>
      <c r="K1281" s="319">
        <v>2023.01</v>
      </c>
      <c r="L1281" s="218" t="s">
        <v>200</v>
      </c>
    </row>
    <row r="1282">
      <c r="A1282" s="223" t="s">
        <v>88</v>
      </c>
      <c r="B1282" s="223" t="s">
        <v>1256</v>
      </c>
      <c r="C1282" s="223" t="s">
        <v>1156</v>
      </c>
      <c r="D1282" s="325">
        <v>44957.0</v>
      </c>
      <c r="I1282" s="218">
        <v>45.0</v>
      </c>
      <c r="J1282" s="317" t="s">
        <v>52</v>
      </c>
      <c r="K1282" s="319">
        <v>2023.01</v>
      </c>
      <c r="L1282" s="218" t="s">
        <v>200</v>
      </c>
    </row>
    <row r="1283">
      <c r="A1283" s="223" t="s">
        <v>97</v>
      </c>
      <c r="B1283" s="223" t="s">
        <v>1286</v>
      </c>
      <c r="C1283" s="223" t="s">
        <v>1156</v>
      </c>
      <c r="D1283" s="325">
        <v>44957.0</v>
      </c>
      <c r="I1283" s="218">
        <v>30.0</v>
      </c>
      <c r="J1283" s="317" t="s">
        <v>52</v>
      </c>
      <c r="K1283" s="319">
        <v>2023.01</v>
      </c>
      <c r="L1283" s="218" t="s">
        <v>200</v>
      </c>
    </row>
    <row r="1284">
      <c r="A1284" s="223" t="s">
        <v>82</v>
      </c>
      <c r="B1284" s="223" t="s">
        <v>1124</v>
      </c>
      <c r="C1284" s="223" t="s">
        <v>1156</v>
      </c>
      <c r="D1284" s="325">
        <v>44957.0</v>
      </c>
      <c r="I1284" s="218">
        <v>75.0</v>
      </c>
      <c r="J1284" s="317" t="s">
        <v>52</v>
      </c>
      <c r="K1284" s="319">
        <v>2023.01</v>
      </c>
      <c r="L1284" s="218" t="s">
        <v>200</v>
      </c>
    </row>
    <row r="1285">
      <c r="A1285" s="223" t="s">
        <v>99</v>
      </c>
      <c r="B1285" s="223" t="s">
        <v>1192</v>
      </c>
      <c r="C1285" s="223" t="s">
        <v>1156</v>
      </c>
      <c r="D1285" s="325">
        <v>44957.0</v>
      </c>
      <c r="I1285" s="218">
        <v>220.0</v>
      </c>
      <c r="J1285" s="317" t="s">
        <v>52</v>
      </c>
      <c r="K1285" s="319">
        <v>2023.01</v>
      </c>
      <c r="L1285" s="218" t="s">
        <v>200</v>
      </c>
    </row>
    <row r="1286">
      <c r="A1286" s="223" t="s">
        <v>42</v>
      </c>
      <c r="B1286" s="223" t="s">
        <v>1236</v>
      </c>
      <c r="C1286" s="223" t="s">
        <v>1156</v>
      </c>
      <c r="D1286" s="325">
        <v>44957.0</v>
      </c>
      <c r="I1286" s="218">
        <v>285.0</v>
      </c>
      <c r="J1286" s="317" t="s">
        <v>52</v>
      </c>
      <c r="K1286" s="319">
        <v>2023.01</v>
      </c>
      <c r="L1286" s="218" t="s">
        <v>200</v>
      </c>
    </row>
    <row r="1287">
      <c r="A1287" s="223" t="s">
        <v>123</v>
      </c>
      <c r="B1287" s="223" t="s">
        <v>1300</v>
      </c>
      <c r="C1287" s="223" t="s">
        <v>1156</v>
      </c>
      <c r="D1287" s="325">
        <v>44957.0</v>
      </c>
      <c r="I1287" s="218">
        <v>300.0</v>
      </c>
      <c r="J1287" s="317" t="s">
        <v>52</v>
      </c>
      <c r="K1287" s="319">
        <v>2023.01</v>
      </c>
      <c r="L1287" s="218" t="s">
        <v>200</v>
      </c>
    </row>
    <row r="1288">
      <c r="A1288" s="223" t="s">
        <v>73</v>
      </c>
      <c r="B1288" s="223" t="s">
        <v>1327</v>
      </c>
      <c r="C1288" s="223" t="s">
        <v>1156</v>
      </c>
      <c r="D1288" s="325">
        <v>44957.0</v>
      </c>
      <c r="I1288" s="218">
        <v>60.0</v>
      </c>
      <c r="J1288" s="317" t="s">
        <v>52</v>
      </c>
      <c r="K1288" s="319">
        <v>2023.01</v>
      </c>
      <c r="L1288" s="218" t="s">
        <v>200</v>
      </c>
    </row>
    <row r="1289">
      <c r="A1289" s="223" t="s">
        <v>50</v>
      </c>
      <c r="B1289" s="223" t="s">
        <v>1275</v>
      </c>
      <c r="C1289" s="223" t="s">
        <v>1156</v>
      </c>
      <c r="D1289" s="325">
        <v>44957.0</v>
      </c>
      <c r="I1289" s="218">
        <v>30.0</v>
      </c>
      <c r="J1289" s="317" t="s">
        <v>52</v>
      </c>
      <c r="K1289" s="319">
        <v>2023.01</v>
      </c>
      <c r="L1289" s="218" t="s">
        <v>200</v>
      </c>
    </row>
    <row r="1290">
      <c r="A1290" s="223" t="s">
        <v>62</v>
      </c>
      <c r="B1290" s="223" t="s">
        <v>1304</v>
      </c>
      <c r="C1290" s="223" t="s">
        <v>1156</v>
      </c>
      <c r="D1290" s="325">
        <v>44957.0</v>
      </c>
      <c r="I1290" s="218">
        <v>300.0</v>
      </c>
      <c r="J1290" s="317" t="s">
        <v>52</v>
      </c>
      <c r="K1290" s="319">
        <v>2023.01</v>
      </c>
      <c r="L1290" s="218" t="s">
        <v>200</v>
      </c>
    </row>
    <row r="1291">
      <c r="A1291" s="223" t="s">
        <v>223</v>
      </c>
      <c r="B1291" s="223" t="s">
        <v>1176</v>
      </c>
      <c r="C1291" s="223" t="s">
        <v>1156</v>
      </c>
      <c r="D1291" s="325">
        <v>44957.0</v>
      </c>
      <c r="I1291" s="218">
        <v>75.0</v>
      </c>
      <c r="J1291" s="317" t="s">
        <v>52</v>
      </c>
      <c r="K1291" s="319">
        <v>2023.01</v>
      </c>
      <c r="L1291" s="218" t="s">
        <v>200</v>
      </c>
    </row>
    <row r="1292">
      <c r="A1292" s="223" t="s">
        <v>225</v>
      </c>
      <c r="B1292" s="223" t="s">
        <v>1257</v>
      </c>
      <c r="C1292" s="223" t="s">
        <v>1156</v>
      </c>
      <c r="D1292" s="325">
        <v>44957.0</v>
      </c>
      <c r="I1292" s="218">
        <v>1860.0</v>
      </c>
      <c r="J1292" s="317" t="s">
        <v>52</v>
      </c>
      <c r="K1292" s="319">
        <v>2023.01</v>
      </c>
      <c r="L1292" s="218" t="s">
        <v>200</v>
      </c>
    </row>
    <row r="1293">
      <c r="A1293" s="223" t="s">
        <v>66</v>
      </c>
      <c r="B1293" s="223" t="s">
        <v>1324</v>
      </c>
      <c r="C1293" s="223" t="s">
        <v>1156</v>
      </c>
      <c r="D1293" s="325">
        <v>44957.0</v>
      </c>
      <c r="I1293" s="218">
        <v>60.0</v>
      </c>
      <c r="J1293" s="317" t="s">
        <v>52</v>
      </c>
      <c r="K1293" s="319">
        <v>2023.01</v>
      </c>
      <c r="L1293" s="218" t="s">
        <v>200</v>
      </c>
    </row>
    <row r="1294">
      <c r="A1294" s="223" t="s">
        <v>695</v>
      </c>
      <c r="B1294" s="223" t="s">
        <v>1216</v>
      </c>
      <c r="C1294" s="223" t="s">
        <v>1451</v>
      </c>
      <c r="D1294" s="325">
        <v>44957.0</v>
      </c>
      <c r="I1294" s="218">
        <v>45.0</v>
      </c>
      <c r="J1294" s="317" t="s">
        <v>52</v>
      </c>
      <c r="K1294" s="319">
        <v>2023.01</v>
      </c>
      <c r="L1294" s="218" t="s">
        <v>200</v>
      </c>
    </row>
    <row r="1295">
      <c r="A1295" s="223" t="s">
        <v>499</v>
      </c>
      <c r="B1295" s="223" t="s">
        <v>1330</v>
      </c>
      <c r="C1295" s="223" t="s">
        <v>1375</v>
      </c>
      <c r="D1295" s="325">
        <v>44957.0</v>
      </c>
      <c r="I1295" s="218">
        <v>100.0</v>
      </c>
      <c r="J1295" s="317" t="s">
        <v>52</v>
      </c>
      <c r="K1295" s="319">
        <v>2023.01</v>
      </c>
      <c r="L1295" s="218" t="s">
        <v>200</v>
      </c>
    </row>
    <row r="1296">
      <c r="A1296" s="223" t="s">
        <v>810</v>
      </c>
      <c r="B1296" s="223" t="s">
        <v>1363</v>
      </c>
      <c r="C1296" s="223" t="s">
        <v>1393</v>
      </c>
      <c r="D1296" s="325">
        <v>44957.0</v>
      </c>
      <c r="I1296" s="218">
        <v>60.0</v>
      </c>
      <c r="J1296" s="317" t="s">
        <v>52</v>
      </c>
      <c r="K1296" s="319">
        <v>2023.01</v>
      </c>
      <c r="L1296" s="218" t="s">
        <v>200</v>
      </c>
    </row>
    <row r="1297">
      <c r="A1297" s="223" t="s">
        <v>481</v>
      </c>
      <c r="B1297" s="223" t="s">
        <v>1200</v>
      </c>
      <c r="C1297" s="223" t="s">
        <v>1374</v>
      </c>
      <c r="D1297" s="325">
        <v>44957.0</v>
      </c>
      <c r="I1297" s="218">
        <v>257.5</v>
      </c>
      <c r="J1297" s="317" t="s">
        <v>1160</v>
      </c>
      <c r="K1297" s="319">
        <v>2023.0</v>
      </c>
      <c r="L1297" s="218" t="s">
        <v>200</v>
      </c>
    </row>
    <row r="1298">
      <c r="A1298" s="223" t="s">
        <v>676</v>
      </c>
      <c r="B1298" s="223" t="s">
        <v>1441</v>
      </c>
      <c r="C1298" s="223" t="s">
        <v>2312</v>
      </c>
      <c r="D1298" s="325">
        <v>44957.0</v>
      </c>
      <c r="I1298" s="218">
        <v>180.0</v>
      </c>
      <c r="J1298" s="317" t="s">
        <v>1160</v>
      </c>
      <c r="K1298" s="319">
        <v>2023.0</v>
      </c>
      <c r="L1298" s="218" t="s">
        <v>200</v>
      </c>
    </row>
    <row r="1299">
      <c r="A1299" s="223" t="s">
        <v>762</v>
      </c>
      <c r="B1299" s="223" t="s">
        <v>1429</v>
      </c>
      <c r="C1299" s="223" t="s">
        <v>1432</v>
      </c>
      <c r="D1299" s="325">
        <v>44957.0</v>
      </c>
      <c r="I1299" s="218">
        <v>322.5</v>
      </c>
      <c r="J1299" s="317" t="s">
        <v>52</v>
      </c>
      <c r="K1299" s="319">
        <v>2023.01</v>
      </c>
      <c r="L1299" s="218" t="s">
        <v>200</v>
      </c>
    </row>
    <row r="1300">
      <c r="A1300" s="223" t="s">
        <v>740</v>
      </c>
      <c r="B1300" s="223" t="s">
        <v>1209</v>
      </c>
      <c r="C1300" s="223" t="s">
        <v>1463</v>
      </c>
      <c r="D1300" s="325">
        <v>44957.0</v>
      </c>
      <c r="I1300" s="218">
        <v>425.0</v>
      </c>
      <c r="J1300" s="317" t="s">
        <v>1160</v>
      </c>
      <c r="K1300" s="319">
        <v>2023.0</v>
      </c>
      <c r="L1300" s="218" t="s">
        <v>200</v>
      </c>
    </row>
    <row r="1301">
      <c r="A1301" s="223" t="s">
        <v>788</v>
      </c>
      <c r="B1301" s="223" t="s">
        <v>1250</v>
      </c>
      <c r="C1301" s="223" t="s">
        <v>1470</v>
      </c>
      <c r="D1301" s="325">
        <v>44957.0</v>
      </c>
      <c r="I1301" s="218">
        <v>200.0</v>
      </c>
      <c r="J1301" s="317" t="s">
        <v>52</v>
      </c>
      <c r="K1301" s="319">
        <v>2023.01</v>
      </c>
      <c r="L1301" s="218" t="s">
        <v>200</v>
      </c>
    </row>
    <row r="1302">
      <c r="A1302" s="223" t="s">
        <v>737</v>
      </c>
      <c r="B1302" s="223" t="s">
        <v>1460</v>
      </c>
      <c r="C1302" s="223" t="s">
        <v>1461</v>
      </c>
      <c r="D1302" s="325">
        <v>44957.0</v>
      </c>
      <c r="I1302" s="218">
        <v>100.0</v>
      </c>
      <c r="J1302" s="317" t="s">
        <v>1160</v>
      </c>
      <c r="K1302" s="319">
        <v>2023.0</v>
      </c>
      <c r="L1302" s="218" t="s">
        <v>200</v>
      </c>
    </row>
    <row r="1303">
      <c r="A1303" s="223" t="s">
        <v>1269</v>
      </c>
      <c r="B1303" s="223" t="s">
        <v>1264</v>
      </c>
      <c r="C1303" s="223" t="s">
        <v>1270</v>
      </c>
      <c r="D1303" s="325">
        <v>44957.0</v>
      </c>
      <c r="I1303" s="218">
        <v>250.0</v>
      </c>
      <c r="J1303" s="317" t="s">
        <v>1152</v>
      </c>
      <c r="K1303" s="319">
        <v>2023.0</v>
      </c>
      <c r="L1303" s="218" t="s">
        <v>200</v>
      </c>
    </row>
    <row r="1304">
      <c r="A1304" s="223" t="s">
        <v>99</v>
      </c>
      <c r="B1304" s="223" t="s">
        <v>1192</v>
      </c>
      <c r="C1304" s="223" t="s">
        <v>1156</v>
      </c>
      <c r="D1304" s="320">
        <v>44957.0</v>
      </c>
      <c r="I1304" s="218">
        <v>387.5</v>
      </c>
      <c r="J1304" s="317" t="s">
        <v>52</v>
      </c>
      <c r="K1304" s="319">
        <v>2023.01</v>
      </c>
      <c r="L1304" s="218" t="s">
        <v>200</v>
      </c>
    </row>
    <row r="1305">
      <c r="A1305" s="223" t="s">
        <v>42</v>
      </c>
      <c r="B1305" s="223" t="s">
        <v>1236</v>
      </c>
      <c r="C1305" s="223" t="s">
        <v>1156</v>
      </c>
      <c r="D1305" s="320">
        <v>44957.0</v>
      </c>
      <c r="I1305" s="218">
        <v>212.5</v>
      </c>
      <c r="J1305" s="317" t="s">
        <v>52</v>
      </c>
      <c r="K1305" s="319">
        <v>2023.01</v>
      </c>
      <c r="L1305" s="218" t="s">
        <v>200</v>
      </c>
    </row>
    <row r="1306">
      <c r="A1306" s="223" t="s">
        <v>499</v>
      </c>
      <c r="B1306" s="223" t="s">
        <v>1330</v>
      </c>
      <c r="C1306" s="223" t="s">
        <v>1375</v>
      </c>
      <c r="D1306" s="320">
        <v>44957.0</v>
      </c>
      <c r="I1306" s="218">
        <v>150.0</v>
      </c>
      <c r="J1306" s="317" t="s">
        <v>52</v>
      </c>
      <c r="K1306" s="319">
        <v>2023.01</v>
      </c>
      <c r="L1306" s="218" t="s">
        <v>200</v>
      </c>
    </row>
    <row r="1307">
      <c r="A1307" s="223" t="s">
        <v>662</v>
      </c>
      <c r="B1307" s="223" t="s">
        <v>1433</v>
      </c>
      <c r="C1307" s="223" t="s">
        <v>1434</v>
      </c>
      <c r="D1307" s="320">
        <v>44957.0</v>
      </c>
      <c r="I1307" s="218">
        <v>550.0</v>
      </c>
      <c r="J1307" s="317" t="s">
        <v>52</v>
      </c>
      <c r="K1307" s="319">
        <v>2023.01</v>
      </c>
      <c r="L1307" s="218" t="s">
        <v>200</v>
      </c>
    </row>
    <row r="1308">
      <c r="A1308" s="223" t="s">
        <v>102</v>
      </c>
      <c r="B1308" s="223" t="s">
        <v>1259</v>
      </c>
      <c r="C1308" s="223" t="s">
        <v>1156</v>
      </c>
      <c r="D1308" s="320">
        <v>44957.0</v>
      </c>
      <c r="I1308" s="218">
        <v>150.0</v>
      </c>
      <c r="J1308" s="317" t="s">
        <v>52</v>
      </c>
      <c r="K1308" s="319">
        <v>2023.01</v>
      </c>
      <c r="L1308" s="218" t="s">
        <v>200</v>
      </c>
    </row>
    <row r="1309">
      <c r="A1309" s="223" t="s">
        <v>115</v>
      </c>
      <c r="B1309" s="223" t="s">
        <v>1308</v>
      </c>
      <c r="C1309" s="223" t="s">
        <v>1156</v>
      </c>
      <c r="D1309" s="320">
        <v>44957.0</v>
      </c>
      <c r="I1309" s="218">
        <v>62.5</v>
      </c>
      <c r="J1309" s="317" t="s">
        <v>52</v>
      </c>
      <c r="K1309" s="319">
        <v>2023.01</v>
      </c>
      <c r="L1309" s="218" t="s">
        <v>200</v>
      </c>
    </row>
    <row r="1310">
      <c r="A1310" s="223" t="s">
        <v>118</v>
      </c>
      <c r="B1310" s="223" t="s">
        <v>1312</v>
      </c>
      <c r="C1310" s="223" t="s">
        <v>1156</v>
      </c>
      <c r="D1310" s="320">
        <v>44957.0</v>
      </c>
      <c r="I1310" s="218">
        <v>662.5</v>
      </c>
      <c r="J1310" s="317" t="s">
        <v>52</v>
      </c>
      <c r="K1310" s="319">
        <v>2023.01</v>
      </c>
      <c r="L1310" s="218" t="s">
        <v>200</v>
      </c>
    </row>
    <row r="1311">
      <c r="A1311" s="223" t="s">
        <v>92</v>
      </c>
      <c r="B1311" s="223" t="s">
        <v>1289</v>
      </c>
      <c r="C1311" s="223" t="s">
        <v>1156</v>
      </c>
      <c r="D1311" s="320">
        <v>44957.0</v>
      </c>
      <c r="I1311" s="218">
        <v>562.5</v>
      </c>
      <c r="J1311" s="317" t="s">
        <v>52</v>
      </c>
      <c r="K1311" s="319">
        <v>2023.01</v>
      </c>
      <c r="L1311" s="218" t="s">
        <v>200</v>
      </c>
    </row>
    <row r="1312">
      <c r="A1312" s="223" t="s">
        <v>84</v>
      </c>
      <c r="B1312" s="223" t="s">
        <v>1227</v>
      </c>
      <c r="C1312" s="223" t="s">
        <v>1156</v>
      </c>
      <c r="D1312" s="320">
        <v>44957.0</v>
      </c>
      <c r="I1312" s="218">
        <v>475.0</v>
      </c>
      <c r="J1312" s="317" t="s">
        <v>52</v>
      </c>
      <c r="K1312" s="319">
        <v>2023.01</v>
      </c>
      <c r="L1312" s="218" t="s">
        <v>200</v>
      </c>
    </row>
    <row r="1313">
      <c r="A1313" s="223" t="s">
        <v>123</v>
      </c>
      <c r="B1313" s="223" t="s">
        <v>1300</v>
      </c>
      <c r="C1313" s="223" t="s">
        <v>1156</v>
      </c>
      <c r="D1313" s="320">
        <v>44957.0</v>
      </c>
      <c r="I1313" s="218">
        <v>937.5</v>
      </c>
      <c r="J1313" s="317" t="s">
        <v>52</v>
      </c>
      <c r="K1313" s="319">
        <v>2023.01</v>
      </c>
      <c r="L1313" s="218" t="s">
        <v>200</v>
      </c>
    </row>
    <row r="1314">
      <c r="A1314" s="223" t="s">
        <v>62</v>
      </c>
      <c r="B1314" s="223" t="s">
        <v>1304</v>
      </c>
      <c r="C1314" s="223" t="s">
        <v>1156</v>
      </c>
      <c r="D1314" s="320">
        <v>44957.0</v>
      </c>
      <c r="I1314" s="218">
        <v>450.0</v>
      </c>
      <c r="J1314" s="317" t="s">
        <v>52</v>
      </c>
      <c r="K1314" s="319">
        <v>2023.01</v>
      </c>
      <c r="L1314" s="218" t="s">
        <v>200</v>
      </c>
    </row>
    <row r="1315">
      <c r="A1315" s="223" t="s">
        <v>54</v>
      </c>
      <c r="B1315" s="223" t="s">
        <v>1187</v>
      </c>
      <c r="C1315" s="223" t="s">
        <v>1156</v>
      </c>
      <c r="D1315" s="320">
        <v>44957.0</v>
      </c>
      <c r="I1315" s="218">
        <v>337.5</v>
      </c>
      <c r="J1315" s="317" t="s">
        <v>52</v>
      </c>
      <c r="K1315" s="319">
        <v>2023.01</v>
      </c>
      <c r="L1315" s="218" t="s">
        <v>200</v>
      </c>
    </row>
    <row r="1316">
      <c r="A1316" s="223" t="s">
        <v>120</v>
      </c>
      <c r="B1316" s="223" t="s">
        <v>1215</v>
      </c>
      <c r="C1316" s="223" t="s">
        <v>1156</v>
      </c>
      <c r="D1316" s="320">
        <v>44957.0</v>
      </c>
      <c r="I1316" s="218">
        <v>575.0</v>
      </c>
      <c r="J1316" s="317" t="s">
        <v>52</v>
      </c>
      <c r="K1316" s="319">
        <v>2023.01</v>
      </c>
      <c r="L1316" s="218" t="s">
        <v>200</v>
      </c>
    </row>
    <row r="1317">
      <c r="A1317" s="223" t="s">
        <v>499</v>
      </c>
      <c r="B1317" s="223" t="s">
        <v>1330</v>
      </c>
      <c r="C1317" s="223" t="s">
        <v>1375</v>
      </c>
      <c r="D1317" s="320">
        <v>44957.0</v>
      </c>
      <c r="I1317" s="218">
        <v>262.5</v>
      </c>
      <c r="J1317" s="317" t="s">
        <v>52</v>
      </c>
      <c r="K1317" s="319">
        <v>2023.01</v>
      </c>
      <c r="L1317" s="218" t="s">
        <v>200</v>
      </c>
    </row>
    <row r="1318">
      <c r="A1318" s="223" t="s">
        <v>90</v>
      </c>
      <c r="B1318" s="223" t="s">
        <v>1282</v>
      </c>
      <c r="C1318" s="223" t="s">
        <v>1156</v>
      </c>
      <c r="D1318" s="320">
        <v>44957.0</v>
      </c>
      <c r="I1318" s="218">
        <v>540.0</v>
      </c>
      <c r="J1318" s="317" t="s">
        <v>52</v>
      </c>
      <c r="K1318" s="319">
        <v>2023.01</v>
      </c>
      <c r="L1318" s="218" t="s">
        <v>200</v>
      </c>
    </row>
    <row r="1319">
      <c r="A1319" s="223" t="s">
        <v>768</v>
      </c>
      <c r="B1319" s="223" t="s">
        <v>1383</v>
      </c>
      <c r="C1319" s="223" t="s">
        <v>1179</v>
      </c>
      <c r="D1319" s="320">
        <v>44957.0</v>
      </c>
      <c r="I1319" s="218">
        <v>1500.0</v>
      </c>
      <c r="J1319" s="317" t="s">
        <v>1160</v>
      </c>
      <c r="K1319" s="319">
        <v>2023.0</v>
      </c>
      <c r="L1319" s="218" t="s">
        <v>200</v>
      </c>
    </row>
    <row r="1320">
      <c r="A1320" s="223" t="s">
        <v>42</v>
      </c>
      <c r="B1320" s="223" t="s">
        <v>1236</v>
      </c>
      <c r="C1320" s="223" t="s">
        <v>1156</v>
      </c>
      <c r="D1320" s="320">
        <v>44957.0</v>
      </c>
      <c r="I1320" s="218">
        <v>200.0</v>
      </c>
      <c r="J1320" s="317" t="s">
        <v>52</v>
      </c>
      <c r="K1320" s="319">
        <v>2023.01</v>
      </c>
      <c r="L1320" s="218" t="s">
        <v>200</v>
      </c>
    </row>
    <row r="1321">
      <c r="A1321" s="223" t="s">
        <v>82</v>
      </c>
      <c r="B1321" s="223" t="s">
        <v>1124</v>
      </c>
      <c r="C1321" s="223" t="s">
        <v>1156</v>
      </c>
      <c r="D1321" s="320">
        <v>44957.0</v>
      </c>
      <c r="I1321" s="218">
        <v>75.0</v>
      </c>
      <c r="J1321" s="317" t="s">
        <v>52</v>
      </c>
      <c r="K1321" s="319">
        <v>2023.01</v>
      </c>
      <c r="L1321" s="218" t="s">
        <v>200</v>
      </c>
    </row>
    <row r="1322">
      <c r="A1322" s="223" t="s">
        <v>788</v>
      </c>
      <c r="B1322" s="223" t="s">
        <v>1250</v>
      </c>
      <c r="C1322" s="223" t="s">
        <v>1470</v>
      </c>
      <c r="D1322" s="320">
        <v>44957.0</v>
      </c>
      <c r="I1322" s="218">
        <v>200.0</v>
      </c>
      <c r="J1322" s="317" t="s">
        <v>52</v>
      </c>
      <c r="K1322" s="319">
        <v>2023.01</v>
      </c>
      <c r="L1322" s="218" t="s">
        <v>200</v>
      </c>
    </row>
    <row r="1323">
      <c r="A1323" s="223" t="s">
        <v>662</v>
      </c>
      <c r="B1323" s="223" t="s">
        <v>1433</v>
      </c>
      <c r="C1323" s="223" t="s">
        <v>1434</v>
      </c>
      <c r="D1323" s="320">
        <v>44957.0</v>
      </c>
      <c r="I1323" s="218">
        <v>265.0</v>
      </c>
      <c r="J1323" s="317" t="s">
        <v>52</v>
      </c>
      <c r="K1323" s="319">
        <v>2023.01</v>
      </c>
      <c r="L1323" s="218" t="s">
        <v>200</v>
      </c>
    </row>
    <row r="1324">
      <c r="A1324" s="223" t="s">
        <v>737</v>
      </c>
      <c r="B1324" s="223" t="s">
        <v>1460</v>
      </c>
      <c r="C1324" s="223" t="s">
        <v>1461</v>
      </c>
      <c r="D1324" s="320">
        <v>44957.0</v>
      </c>
      <c r="I1324" s="218">
        <v>30.0</v>
      </c>
      <c r="J1324" s="317" t="s">
        <v>1160</v>
      </c>
      <c r="K1324" s="319">
        <v>2023.0</v>
      </c>
      <c r="L1324" s="218" t="s">
        <v>200</v>
      </c>
    </row>
    <row r="1325">
      <c r="A1325" s="223" t="s">
        <v>668</v>
      </c>
      <c r="B1325" s="223" t="s">
        <v>1223</v>
      </c>
      <c r="C1325" s="223" t="s">
        <v>1440</v>
      </c>
      <c r="D1325" s="320">
        <v>44957.0</v>
      </c>
      <c r="I1325" s="218">
        <v>60.0</v>
      </c>
      <c r="J1325" s="317" t="s">
        <v>1160</v>
      </c>
      <c r="K1325" s="319">
        <v>2023.0</v>
      </c>
      <c r="L1325" s="218" t="s">
        <v>200</v>
      </c>
    </row>
    <row r="1326">
      <c r="A1326" s="223" t="s">
        <v>1271</v>
      </c>
      <c r="B1326" s="223" t="s">
        <v>1264</v>
      </c>
      <c r="C1326" s="223" t="s">
        <v>1272</v>
      </c>
      <c r="D1326" s="320">
        <v>44977.0</v>
      </c>
      <c r="I1326" s="218">
        <v>138.67</v>
      </c>
      <c r="J1326" s="317" t="s">
        <v>1152</v>
      </c>
      <c r="K1326" s="319">
        <v>2023.0</v>
      </c>
      <c r="L1326" s="218" t="s">
        <v>200</v>
      </c>
    </row>
    <row r="1327">
      <c r="A1327" s="223" t="s">
        <v>1271</v>
      </c>
      <c r="B1327" s="223" t="s">
        <v>1264</v>
      </c>
      <c r="C1327" s="223" t="s">
        <v>1272</v>
      </c>
      <c r="D1327" s="320">
        <v>44977.0</v>
      </c>
      <c r="I1327" s="218">
        <v>14.8</v>
      </c>
      <c r="J1327" s="317" t="s">
        <v>1152</v>
      </c>
      <c r="K1327" s="319">
        <v>2023.0</v>
      </c>
      <c r="L1327" s="218" t="s">
        <v>200</v>
      </c>
    </row>
    <row r="1328">
      <c r="A1328" s="223" t="s">
        <v>1271</v>
      </c>
      <c r="B1328" s="223" t="s">
        <v>1264</v>
      </c>
      <c r="C1328" s="223" t="s">
        <v>1272</v>
      </c>
      <c r="D1328" s="320">
        <v>44977.0</v>
      </c>
      <c r="I1328" s="218">
        <v>65.53</v>
      </c>
      <c r="J1328" s="317" t="s">
        <v>1152</v>
      </c>
      <c r="K1328" s="319">
        <v>2023.0</v>
      </c>
      <c r="L1328" s="218" t="s">
        <v>200</v>
      </c>
    </row>
    <row r="1329">
      <c r="A1329" s="223" t="s">
        <v>1271</v>
      </c>
      <c r="B1329" s="223" t="s">
        <v>1264</v>
      </c>
      <c r="C1329" s="223" t="s">
        <v>1272</v>
      </c>
      <c r="D1329" s="320">
        <v>44977.0</v>
      </c>
      <c r="I1329" s="218">
        <v>183.8</v>
      </c>
      <c r="J1329" s="317" t="s">
        <v>1152</v>
      </c>
      <c r="K1329" s="319">
        <v>2023.0</v>
      </c>
      <c r="L1329" s="218" t="s">
        <v>200</v>
      </c>
    </row>
    <row r="1330">
      <c r="A1330" s="223" t="s">
        <v>740</v>
      </c>
      <c r="B1330" s="223" t="s">
        <v>1209</v>
      </c>
      <c r="C1330" s="223" t="s">
        <v>1463</v>
      </c>
      <c r="D1330" s="320">
        <v>44957.0</v>
      </c>
      <c r="I1330" s="218">
        <v>10.05</v>
      </c>
      <c r="J1330" s="317" t="s">
        <v>1160</v>
      </c>
      <c r="K1330" s="319">
        <v>2023.0</v>
      </c>
      <c r="L1330" s="218" t="s">
        <v>200</v>
      </c>
    </row>
    <row r="1331">
      <c r="A1331" s="223" t="s">
        <v>120</v>
      </c>
      <c r="B1331" s="223" t="s">
        <v>1215</v>
      </c>
      <c r="C1331" s="223" t="s">
        <v>1156</v>
      </c>
      <c r="D1331" s="320">
        <v>44957.0</v>
      </c>
      <c r="I1331" s="218">
        <v>117.24</v>
      </c>
      <c r="J1331" s="317" t="s">
        <v>52</v>
      </c>
      <c r="K1331" s="319">
        <v>2023.01</v>
      </c>
      <c r="L1331" s="218" t="s">
        <v>200</v>
      </c>
    </row>
    <row r="1332">
      <c r="A1332" s="223" t="s">
        <v>42</v>
      </c>
      <c r="B1332" s="223" t="s">
        <v>1236</v>
      </c>
      <c r="C1332" s="223" t="s">
        <v>1156</v>
      </c>
      <c r="D1332" s="320">
        <v>44957.0</v>
      </c>
      <c r="I1332" s="218">
        <v>117.4</v>
      </c>
      <c r="J1332" s="317" t="s">
        <v>52</v>
      </c>
      <c r="K1332" s="319">
        <v>2023.01</v>
      </c>
      <c r="L1332" s="218" t="s">
        <v>200</v>
      </c>
    </row>
    <row r="1333">
      <c r="A1333" s="223" t="s">
        <v>681</v>
      </c>
      <c r="B1333" s="223" t="s">
        <v>1444</v>
      </c>
      <c r="C1333" s="223" t="s">
        <v>1445</v>
      </c>
      <c r="D1333" s="320">
        <v>44957.0</v>
      </c>
      <c r="I1333" s="218">
        <v>145.66</v>
      </c>
      <c r="J1333" s="317" t="s">
        <v>1160</v>
      </c>
      <c r="K1333" s="319">
        <v>2023.0</v>
      </c>
      <c r="L1333" s="218" t="s">
        <v>200</v>
      </c>
    </row>
    <row r="1334">
      <c r="A1334" s="223" t="s">
        <v>1266</v>
      </c>
      <c r="B1334" s="223" t="s">
        <v>1264</v>
      </c>
      <c r="C1334" s="223" t="s">
        <v>1267</v>
      </c>
      <c r="D1334" s="320">
        <v>44957.0</v>
      </c>
      <c r="I1334" s="218">
        <v>545.13</v>
      </c>
      <c r="J1334" s="317" t="s">
        <v>1152</v>
      </c>
      <c r="K1334" s="319">
        <v>2023.0</v>
      </c>
      <c r="L1334" s="218" t="s">
        <v>200</v>
      </c>
    </row>
    <row r="1335">
      <c r="A1335" s="223" t="s">
        <v>92</v>
      </c>
      <c r="B1335" s="223" t="s">
        <v>1289</v>
      </c>
      <c r="C1335" s="223" t="s">
        <v>1156</v>
      </c>
      <c r="D1335" s="320">
        <v>44957.0</v>
      </c>
      <c r="I1335" s="218">
        <v>17.06</v>
      </c>
      <c r="J1335" s="317" t="s">
        <v>52</v>
      </c>
      <c r="K1335" s="319">
        <v>2023.01</v>
      </c>
      <c r="L1335" s="218" t="s">
        <v>200</v>
      </c>
    </row>
    <row r="1336">
      <c r="A1336" s="223" t="s">
        <v>773</v>
      </c>
      <c r="B1336" s="223" t="s">
        <v>1304</v>
      </c>
      <c r="C1336" s="223" t="s">
        <v>1190</v>
      </c>
      <c r="D1336" s="320">
        <v>44957.0</v>
      </c>
      <c r="I1336" s="218">
        <v>226.52</v>
      </c>
      <c r="J1336" s="317" t="s">
        <v>1160</v>
      </c>
      <c r="K1336" s="319">
        <v>2023.0</v>
      </c>
      <c r="L1336" s="218" t="s">
        <v>200</v>
      </c>
    </row>
    <row r="1337">
      <c r="A1337" s="223" t="s">
        <v>115</v>
      </c>
      <c r="B1337" s="223" t="s">
        <v>1308</v>
      </c>
      <c r="C1337" s="223" t="s">
        <v>1156</v>
      </c>
      <c r="D1337" s="320">
        <v>44957.0</v>
      </c>
      <c r="I1337" s="218">
        <v>32.18</v>
      </c>
      <c r="J1337" s="317" t="s">
        <v>52</v>
      </c>
      <c r="K1337" s="319">
        <v>2023.01</v>
      </c>
      <c r="L1337" s="218" t="s">
        <v>200</v>
      </c>
    </row>
    <row r="1338">
      <c r="A1338" s="223" t="s">
        <v>118</v>
      </c>
      <c r="B1338" s="223" t="s">
        <v>1312</v>
      </c>
      <c r="C1338" s="223" t="s">
        <v>1156</v>
      </c>
      <c r="D1338" s="320">
        <v>44957.0</v>
      </c>
      <c r="I1338" s="218">
        <v>5.47</v>
      </c>
      <c r="J1338" s="317" t="s">
        <v>52</v>
      </c>
      <c r="K1338" s="319">
        <v>2023.01</v>
      </c>
      <c r="L1338" s="218" t="s">
        <v>200</v>
      </c>
    </row>
    <row r="1339">
      <c r="A1339" s="223" t="s">
        <v>740</v>
      </c>
      <c r="B1339" s="223" t="s">
        <v>1209</v>
      </c>
      <c r="C1339" s="223" t="s">
        <v>1463</v>
      </c>
      <c r="D1339" s="320">
        <v>44941.0</v>
      </c>
      <c r="I1339" s="218">
        <v>257.58</v>
      </c>
      <c r="J1339" s="317" t="s">
        <v>1160</v>
      </c>
      <c r="K1339" s="319">
        <v>2023.0</v>
      </c>
      <c r="L1339" s="218">
        <v>257.58</v>
      </c>
    </row>
    <row r="1340">
      <c r="A1340" s="223" t="s">
        <v>118</v>
      </c>
      <c r="B1340" s="223" t="s">
        <v>1312</v>
      </c>
      <c r="C1340" s="223" t="s">
        <v>1156</v>
      </c>
      <c r="D1340" s="320">
        <v>44946.0</v>
      </c>
      <c r="I1340" s="218">
        <v>750.0</v>
      </c>
      <c r="J1340" s="317" t="s">
        <v>52</v>
      </c>
      <c r="K1340" s="319">
        <v>2023.01</v>
      </c>
      <c r="L1340" s="218">
        <v>750.0</v>
      </c>
    </row>
    <row r="1341">
      <c r="A1341" s="223" t="s">
        <v>1271</v>
      </c>
      <c r="B1341" s="223" t="s">
        <v>1264</v>
      </c>
      <c r="C1341" s="223" t="s">
        <v>1272</v>
      </c>
      <c r="D1341" s="320">
        <v>44949.0</v>
      </c>
      <c r="I1341" s="218">
        <v>81.16</v>
      </c>
      <c r="J1341" s="317" t="s">
        <v>1152</v>
      </c>
      <c r="K1341" s="319">
        <v>2023.0</v>
      </c>
      <c r="L1341" s="218" t="s">
        <v>200</v>
      </c>
    </row>
    <row r="1342">
      <c r="A1342" s="223" t="s">
        <v>92</v>
      </c>
      <c r="B1342" s="223" t="s">
        <v>1289</v>
      </c>
      <c r="C1342" s="223" t="s">
        <v>1156</v>
      </c>
      <c r="D1342" s="320">
        <v>44951.0</v>
      </c>
      <c r="I1342" s="218">
        <v>100.0</v>
      </c>
      <c r="J1342" s="317" t="s">
        <v>52</v>
      </c>
      <c r="K1342" s="319">
        <v>2023.01</v>
      </c>
      <c r="L1342" s="218">
        <v>100.0</v>
      </c>
    </row>
    <row r="1343">
      <c r="A1343" s="223" t="s">
        <v>1271</v>
      </c>
      <c r="B1343" s="223" t="s">
        <v>1264</v>
      </c>
      <c r="C1343" s="223" t="s">
        <v>1272</v>
      </c>
      <c r="D1343" s="320">
        <v>44958.0</v>
      </c>
      <c r="I1343" s="218">
        <v>492.22</v>
      </c>
      <c r="J1343" s="317" t="s">
        <v>1152</v>
      </c>
      <c r="K1343" s="319">
        <v>2023.0</v>
      </c>
      <c r="L1343" s="218" t="s">
        <v>200</v>
      </c>
    </row>
    <row r="1344">
      <c r="A1344" s="223" t="s">
        <v>115</v>
      </c>
      <c r="B1344" s="223" t="s">
        <v>1308</v>
      </c>
      <c r="C1344" s="223" t="s">
        <v>1156</v>
      </c>
      <c r="D1344" s="320">
        <v>44958.0</v>
      </c>
      <c r="I1344" s="218">
        <v>222.21</v>
      </c>
      <c r="J1344" s="317" t="s">
        <v>52</v>
      </c>
      <c r="K1344" s="319">
        <v>2023.02</v>
      </c>
      <c r="L1344" s="218">
        <v>222.21</v>
      </c>
    </row>
    <row r="1345">
      <c r="A1345" s="223" t="s">
        <v>118</v>
      </c>
      <c r="B1345" s="223" t="s">
        <v>1312</v>
      </c>
      <c r="C1345" s="223" t="s">
        <v>1156</v>
      </c>
      <c r="D1345" s="320">
        <v>44958.0</v>
      </c>
      <c r="I1345" s="218">
        <v>420.22</v>
      </c>
      <c r="J1345" s="317" t="s">
        <v>52</v>
      </c>
      <c r="K1345" s="319">
        <v>2023.02</v>
      </c>
      <c r="L1345" s="218">
        <v>420.22</v>
      </c>
    </row>
    <row r="1346">
      <c r="A1346" s="223" t="s">
        <v>740</v>
      </c>
      <c r="B1346" s="223" t="s">
        <v>1209</v>
      </c>
      <c r="C1346" s="223" t="s">
        <v>1463</v>
      </c>
      <c r="D1346" s="320">
        <v>44958.0</v>
      </c>
      <c r="I1346" s="218">
        <v>445.7</v>
      </c>
      <c r="J1346" s="317" t="s">
        <v>1160</v>
      </c>
      <c r="K1346" s="319">
        <v>2023.0</v>
      </c>
      <c r="L1346" s="218">
        <v>445.7</v>
      </c>
    </row>
    <row r="1347">
      <c r="A1347" s="223" t="s">
        <v>66</v>
      </c>
      <c r="B1347" s="223" t="s">
        <v>1324</v>
      </c>
      <c r="C1347" s="223" t="s">
        <v>1156</v>
      </c>
      <c r="D1347" s="320">
        <v>44985.0</v>
      </c>
      <c r="I1347" s="218">
        <v>312.5</v>
      </c>
      <c r="J1347" s="317" t="s">
        <v>52</v>
      </c>
      <c r="K1347" s="319">
        <v>2023.02</v>
      </c>
      <c r="L1347" s="218" t="s">
        <v>200</v>
      </c>
    </row>
    <row r="1348">
      <c r="A1348" s="223" t="s">
        <v>97</v>
      </c>
      <c r="B1348" s="223" t="s">
        <v>1286</v>
      </c>
      <c r="C1348" s="223" t="s">
        <v>1156</v>
      </c>
      <c r="D1348" s="320">
        <v>44985.0</v>
      </c>
      <c r="I1348" s="218">
        <v>125.0</v>
      </c>
      <c r="J1348" s="317" t="s">
        <v>52</v>
      </c>
      <c r="K1348" s="319">
        <v>2023.02</v>
      </c>
      <c r="L1348" s="218" t="s">
        <v>200</v>
      </c>
    </row>
    <row r="1349">
      <c r="A1349" s="223" t="s">
        <v>88</v>
      </c>
      <c r="B1349" s="223" t="s">
        <v>1256</v>
      </c>
      <c r="C1349" s="223" t="s">
        <v>1156</v>
      </c>
      <c r="D1349" s="320">
        <v>44985.0</v>
      </c>
      <c r="I1349" s="218">
        <v>212.5</v>
      </c>
      <c r="J1349" s="317" t="s">
        <v>52</v>
      </c>
      <c r="K1349" s="319">
        <v>2023.02</v>
      </c>
      <c r="L1349" s="218" t="s">
        <v>200</v>
      </c>
    </row>
    <row r="1350">
      <c r="A1350" s="223" t="s">
        <v>73</v>
      </c>
      <c r="B1350" s="223" t="s">
        <v>1327</v>
      </c>
      <c r="C1350" s="223" t="s">
        <v>1156</v>
      </c>
      <c r="D1350" s="320">
        <v>44985.0</v>
      </c>
      <c r="I1350" s="218">
        <v>262.5</v>
      </c>
      <c r="J1350" s="317" t="s">
        <v>52</v>
      </c>
      <c r="K1350" s="319">
        <v>2023.02</v>
      </c>
      <c r="L1350" s="218" t="s">
        <v>200</v>
      </c>
    </row>
    <row r="1351">
      <c r="A1351" s="223" t="s">
        <v>223</v>
      </c>
      <c r="B1351" s="223" t="s">
        <v>1176</v>
      </c>
      <c r="C1351" s="223" t="s">
        <v>1156</v>
      </c>
      <c r="D1351" s="320">
        <v>44985.0</v>
      </c>
      <c r="I1351" s="218">
        <v>500.0</v>
      </c>
      <c r="J1351" s="317" t="s">
        <v>52</v>
      </c>
      <c r="K1351" s="319">
        <v>2023.02</v>
      </c>
      <c r="L1351" s="218" t="s">
        <v>200</v>
      </c>
    </row>
    <row r="1352">
      <c r="A1352" s="223" t="s">
        <v>50</v>
      </c>
      <c r="B1352" s="223" t="s">
        <v>1275</v>
      </c>
      <c r="C1352" s="223" t="s">
        <v>1156</v>
      </c>
      <c r="D1352" s="320">
        <v>44985.0</v>
      </c>
      <c r="I1352" s="218">
        <v>137.5</v>
      </c>
      <c r="J1352" s="317" t="s">
        <v>52</v>
      </c>
      <c r="K1352" s="319">
        <v>2023.02</v>
      </c>
      <c r="L1352" s="218" t="s">
        <v>200</v>
      </c>
    </row>
    <row r="1353">
      <c r="A1353" s="223" t="s">
        <v>810</v>
      </c>
      <c r="B1353" s="223" t="s">
        <v>1363</v>
      </c>
      <c r="C1353" s="223" t="s">
        <v>1393</v>
      </c>
      <c r="D1353" s="320">
        <v>44985.0</v>
      </c>
      <c r="I1353" s="218">
        <v>237.5</v>
      </c>
      <c r="J1353" s="317" t="s">
        <v>52</v>
      </c>
      <c r="K1353" s="319">
        <v>2023.02</v>
      </c>
      <c r="L1353" s="218" t="s">
        <v>200</v>
      </c>
    </row>
    <row r="1354">
      <c r="A1354" s="223" t="s">
        <v>817</v>
      </c>
      <c r="B1354" s="223" t="s">
        <v>1473</v>
      </c>
      <c r="C1354" s="223" t="s">
        <v>1393</v>
      </c>
      <c r="D1354" s="320">
        <v>44985.0</v>
      </c>
      <c r="I1354" s="218">
        <v>1250.0</v>
      </c>
      <c r="J1354" s="317" t="s">
        <v>52</v>
      </c>
      <c r="K1354" s="319">
        <v>2023.02</v>
      </c>
      <c r="L1354" s="218" t="s">
        <v>200</v>
      </c>
    </row>
    <row r="1355">
      <c r="A1355" s="223" t="s">
        <v>806</v>
      </c>
      <c r="B1355" s="223" t="s">
        <v>1305</v>
      </c>
      <c r="C1355" s="223" t="s">
        <v>1435</v>
      </c>
      <c r="D1355" s="320">
        <v>44985.0</v>
      </c>
      <c r="I1355" s="218">
        <v>87.5</v>
      </c>
      <c r="J1355" s="317" t="s">
        <v>1436</v>
      </c>
      <c r="K1355" s="319">
        <v>2023.0</v>
      </c>
      <c r="L1355" s="218" t="s">
        <v>200</v>
      </c>
    </row>
    <row r="1356">
      <c r="A1356" s="223" t="s">
        <v>82</v>
      </c>
      <c r="B1356" s="223" t="s">
        <v>1124</v>
      </c>
      <c r="C1356" s="223" t="s">
        <v>1156</v>
      </c>
      <c r="D1356" s="320">
        <v>44985.0</v>
      </c>
      <c r="I1356" s="218">
        <v>225.0</v>
      </c>
      <c r="J1356" s="317" t="s">
        <v>52</v>
      </c>
      <c r="K1356" s="319">
        <v>2023.02</v>
      </c>
      <c r="L1356" s="218" t="s">
        <v>200</v>
      </c>
    </row>
    <row r="1357">
      <c r="A1357" s="223" t="s">
        <v>92</v>
      </c>
      <c r="B1357" s="223" t="s">
        <v>1289</v>
      </c>
      <c r="C1357" s="223" t="s">
        <v>1156</v>
      </c>
      <c r="D1357" s="320">
        <v>44985.0</v>
      </c>
      <c r="I1357" s="218">
        <v>300.0</v>
      </c>
      <c r="J1357" s="317" t="s">
        <v>52</v>
      </c>
      <c r="K1357" s="319">
        <v>2023.02</v>
      </c>
      <c r="L1357" s="218" t="s">
        <v>200</v>
      </c>
    </row>
    <row r="1358">
      <c r="A1358" s="223" t="s">
        <v>695</v>
      </c>
      <c r="B1358" s="223" t="s">
        <v>1216</v>
      </c>
      <c r="C1358" s="223" t="s">
        <v>1451</v>
      </c>
      <c r="D1358" s="320">
        <v>44985.0</v>
      </c>
      <c r="I1358" s="218">
        <v>175.0</v>
      </c>
      <c r="J1358" s="317" t="s">
        <v>52</v>
      </c>
      <c r="K1358" s="319">
        <v>2023.02</v>
      </c>
      <c r="L1358" s="218" t="s">
        <v>200</v>
      </c>
    </row>
    <row r="1359">
      <c r="A1359" s="223" t="s">
        <v>795</v>
      </c>
      <c r="B1359" s="223" t="s">
        <v>1352</v>
      </c>
      <c r="C1359" s="223" t="s">
        <v>1393</v>
      </c>
      <c r="D1359" s="320">
        <v>44985.0</v>
      </c>
      <c r="I1359" s="218">
        <v>400.0</v>
      </c>
      <c r="J1359" s="317" t="s">
        <v>52</v>
      </c>
      <c r="K1359" s="319">
        <v>2023.02</v>
      </c>
      <c r="L1359" s="218" t="s">
        <v>200</v>
      </c>
    </row>
    <row r="1360">
      <c r="A1360" s="223" t="s">
        <v>42</v>
      </c>
      <c r="B1360" s="223" t="s">
        <v>1236</v>
      </c>
      <c r="C1360" s="223" t="s">
        <v>1156</v>
      </c>
      <c r="D1360" s="322">
        <v>44985.0</v>
      </c>
      <c r="I1360" s="218">
        <v>350.0</v>
      </c>
      <c r="J1360" s="317" t="s">
        <v>52</v>
      </c>
      <c r="K1360" s="319">
        <v>2023.02</v>
      </c>
      <c r="L1360" s="218" t="s">
        <v>200</v>
      </c>
    </row>
    <row r="1361">
      <c r="A1361" s="223" t="s">
        <v>99</v>
      </c>
      <c r="B1361" s="223" t="s">
        <v>1192</v>
      </c>
      <c r="C1361" s="223" t="s">
        <v>1156</v>
      </c>
      <c r="D1361" s="322">
        <v>44985.0</v>
      </c>
      <c r="I1361" s="218">
        <v>387.5</v>
      </c>
      <c r="J1361" s="317" t="s">
        <v>52</v>
      </c>
      <c r="K1361" s="319">
        <v>2023.02</v>
      </c>
      <c r="L1361" s="218" t="s">
        <v>200</v>
      </c>
    </row>
    <row r="1362">
      <c r="A1362" s="223" t="s">
        <v>42</v>
      </c>
      <c r="B1362" s="223" t="s">
        <v>1236</v>
      </c>
      <c r="C1362" s="223" t="s">
        <v>1156</v>
      </c>
      <c r="D1362" s="322">
        <v>44985.0</v>
      </c>
      <c r="I1362" s="218">
        <v>162.5</v>
      </c>
      <c r="J1362" s="317" t="s">
        <v>52</v>
      </c>
      <c r="K1362" s="319">
        <v>2023.02</v>
      </c>
      <c r="L1362" s="218" t="s">
        <v>200</v>
      </c>
    </row>
    <row r="1363">
      <c r="A1363" s="223" t="s">
        <v>499</v>
      </c>
      <c r="B1363" s="223" t="s">
        <v>1330</v>
      </c>
      <c r="C1363" s="223" t="s">
        <v>1375</v>
      </c>
      <c r="D1363" s="322">
        <v>44985.0</v>
      </c>
      <c r="I1363" s="218">
        <v>200.0</v>
      </c>
      <c r="J1363" s="317" t="s">
        <v>52</v>
      </c>
      <c r="K1363" s="319">
        <v>2023.02</v>
      </c>
      <c r="L1363" s="218" t="s">
        <v>200</v>
      </c>
    </row>
    <row r="1364">
      <c r="A1364" s="223" t="s">
        <v>821</v>
      </c>
      <c r="B1364" s="223" t="s">
        <v>1475</v>
      </c>
      <c r="C1364" s="223" t="s">
        <v>1476</v>
      </c>
      <c r="D1364" s="322">
        <v>44985.0</v>
      </c>
      <c r="I1364" s="218">
        <v>680.0</v>
      </c>
      <c r="J1364" s="317" t="s">
        <v>1160</v>
      </c>
      <c r="K1364" s="319">
        <v>2023.0</v>
      </c>
      <c r="L1364" s="218" t="s">
        <v>200</v>
      </c>
    </row>
    <row r="1365">
      <c r="A1365" s="223" t="s">
        <v>662</v>
      </c>
      <c r="B1365" s="223" t="s">
        <v>1433</v>
      </c>
      <c r="C1365" s="223" t="s">
        <v>1434</v>
      </c>
      <c r="D1365" s="322">
        <v>44985.0</v>
      </c>
      <c r="I1365" s="218">
        <v>550.0</v>
      </c>
      <c r="J1365" s="317" t="s">
        <v>52</v>
      </c>
      <c r="K1365" s="319">
        <v>2023.02</v>
      </c>
      <c r="L1365" s="218" t="s">
        <v>200</v>
      </c>
    </row>
    <row r="1366">
      <c r="A1366" s="223" t="s">
        <v>102</v>
      </c>
      <c r="B1366" s="223" t="s">
        <v>1259</v>
      </c>
      <c r="C1366" s="223" t="s">
        <v>1156</v>
      </c>
      <c r="D1366" s="322">
        <v>44985.0</v>
      </c>
      <c r="I1366" s="218">
        <v>150.0</v>
      </c>
      <c r="J1366" s="317" t="s">
        <v>52</v>
      </c>
      <c r="K1366" s="319">
        <v>2023.02</v>
      </c>
      <c r="L1366" s="218" t="s">
        <v>200</v>
      </c>
    </row>
    <row r="1367">
      <c r="A1367" s="223" t="s">
        <v>115</v>
      </c>
      <c r="B1367" s="223" t="s">
        <v>1308</v>
      </c>
      <c r="C1367" s="223" t="s">
        <v>1156</v>
      </c>
      <c r="D1367" s="322">
        <v>44985.0</v>
      </c>
      <c r="I1367" s="218">
        <v>662.5</v>
      </c>
      <c r="J1367" s="317" t="s">
        <v>52</v>
      </c>
      <c r="K1367" s="319">
        <v>2023.02</v>
      </c>
      <c r="L1367" s="218" t="s">
        <v>200</v>
      </c>
    </row>
    <row r="1368">
      <c r="A1368" s="223" t="s">
        <v>118</v>
      </c>
      <c r="B1368" s="223" t="s">
        <v>1312</v>
      </c>
      <c r="C1368" s="223" t="s">
        <v>1156</v>
      </c>
      <c r="D1368" s="322">
        <v>44985.0</v>
      </c>
      <c r="I1368" s="218">
        <v>662.5</v>
      </c>
      <c r="J1368" s="317" t="s">
        <v>52</v>
      </c>
      <c r="K1368" s="319">
        <v>2023.02</v>
      </c>
      <c r="L1368" s="218" t="s">
        <v>200</v>
      </c>
    </row>
    <row r="1369">
      <c r="A1369" s="223" t="s">
        <v>92</v>
      </c>
      <c r="B1369" s="223" t="s">
        <v>1289</v>
      </c>
      <c r="C1369" s="223" t="s">
        <v>1156</v>
      </c>
      <c r="D1369" s="322">
        <v>44985.0</v>
      </c>
      <c r="I1369" s="218">
        <v>562.5</v>
      </c>
      <c r="J1369" s="317" t="s">
        <v>52</v>
      </c>
      <c r="K1369" s="319">
        <v>2023.02</v>
      </c>
      <c r="L1369" s="218" t="s">
        <v>200</v>
      </c>
    </row>
    <row r="1370">
      <c r="A1370" s="223" t="s">
        <v>84</v>
      </c>
      <c r="B1370" s="223" t="s">
        <v>1227</v>
      </c>
      <c r="C1370" s="223" t="s">
        <v>1156</v>
      </c>
      <c r="D1370" s="322">
        <v>44985.0</v>
      </c>
      <c r="I1370" s="218">
        <v>475.0</v>
      </c>
      <c r="J1370" s="317" t="s">
        <v>52</v>
      </c>
      <c r="K1370" s="319">
        <v>2023.02</v>
      </c>
      <c r="L1370" s="218" t="s">
        <v>200</v>
      </c>
    </row>
    <row r="1371">
      <c r="A1371" s="223" t="s">
        <v>123</v>
      </c>
      <c r="B1371" s="223" t="s">
        <v>1300</v>
      </c>
      <c r="C1371" s="223" t="s">
        <v>1156</v>
      </c>
      <c r="D1371" s="322">
        <v>44985.0</v>
      </c>
      <c r="I1371" s="218">
        <v>937.5</v>
      </c>
      <c r="J1371" s="317" t="s">
        <v>52</v>
      </c>
      <c r="K1371" s="319">
        <v>2023.02</v>
      </c>
      <c r="L1371" s="218" t="s">
        <v>200</v>
      </c>
    </row>
    <row r="1372">
      <c r="A1372" s="223" t="s">
        <v>62</v>
      </c>
      <c r="B1372" s="223" t="s">
        <v>1304</v>
      </c>
      <c r="C1372" s="223" t="s">
        <v>1156</v>
      </c>
      <c r="D1372" s="322">
        <v>44985.0</v>
      </c>
      <c r="I1372" s="218">
        <v>450.0</v>
      </c>
      <c r="J1372" s="317" t="s">
        <v>52</v>
      </c>
      <c r="K1372" s="319">
        <v>2023.02</v>
      </c>
      <c r="L1372" s="218" t="s">
        <v>200</v>
      </c>
    </row>
    <row r="1373">
      <c r="A1373" s="223" t="s">
        <v>92</v>
      </c>
      <c r="B1373" s="223" t="s">
        <v>1289</v>
      </c>
      <c r="C1373" s="223" t="s">
        <v>1156</v>
      </c>
      <c r="D1373" s="322">
        <v>44985.0</v>
      </c>
      <c r="I1373" s="218">
        <v>275.0</v>
      </c>
      <c r="J1373" s="317" t="s">
        <v>52</v>
      </c>
      <c r="K1373" s="319">
        <v>2023.02</v>
      </c>
      <c r="L1373" s="218" t="s">
        <v>200</v>
      </c>
    </row>
    <row r="1374">
      <c r="A1374" s="223" t="s">
        <v>88</v>
      </c>
      <c r="B1374" s="223" t="s">
        <v>1256</v>
      </c>
      <c r="C1374" s="223" t="s">
        <v>1156</v>
      </c>
      <c r="D1374" s="322">
        <v>44985.0</v>
      </c>
      <c r="I1374" s="218">
        <v>45.0</v>
      </c>
      <c r="J1374" s="317" t="s">
        <v>52</v>
      </c>
      <c r="K1374" s="319">
        <v>2023.02</v>
      </c>
      <c r="L1374" s="218" t="s">
        <v>200</v>
      </c>
    </row>
    <row r="1375">
      <c r="A1375" s="223" t="s">
        <v>97</v>
      </c>
      <c r="B1375" s="223" t="s">
        <v>1286</v>
      </c>
      <c r="C1375" s="223" t="s">
        <v>1156</v>
      </c>
      <c r="D1375" s="322">
        <v>44985.0</v>
      </c>
      <c r="I1375" s="218">
        <v>30.0</v>
      </c>
      <c r="J1375" s="317" t="s">
        <v>52</v>
      </c>
      <c r="K1375" s="319">
        <v>2023.02</v>
      </c>
      <c r="L1375" s="218" t="s">
        <v>200</v>
      </c>
    </row>
    <row r="1376">
      <c r="A1376" s="223" t="s">
        <v>82</v>
      </c>
      <c r="B1376" s="223" t="s">
        <v>1124</v>
      </c>
      <c r="C1376" s="223" t="s">
        <v>1156</v>
      </c>
      <c r="D1376" s="322">
        <v>44985.0</v>
      </c>
      <c r="I1376" s="218">
        <v>90.0</v>
      </c>
      <c r="J1376" s="317" t="s">
        <v>52</v>
      </c>
      <c r="K1376" s="319">
        <v>2023.02</v>
      </c>
      <c r="L1376" s="218" t="s">
        <v>200</v>
      </c>
    </row>
    <row r="1377">
      <c r="A1377" s="223" t="s">
        <v>99</v>
      </c>
      <c r="B1377" s="223" t="s">
        <v>1192</v>
      </c>
      <c r="C1377" s="223" t="s">
        <v>1156</v>
      </c>
      <c r="D1377" s="322">
        <v>44985.0</v>
      </c>
      <c r="I1377" s="218">
        <v>235.0</v>
      </c>
      <c r="J1377" s="317" t="s">
        <v>52</v>
      </c>
      <c r="K1377" s="319">
        <v>2023.02</v>
      </c>
      <c r="L1377" s="218" t="s">
        <v>200</v>
      </c>
    </row>
    <row r="1378">
      <c r="A1378" s="223" t="s">
        <v>42</v>
      </c>
      <c r="B1378" s="223" t="s">
        <v>1236</v>
      </c>
      <c r="C1378" s="223" t="s">
        <v>1156</v>
      </c>
      <c r="D1378" s="322">
        <v>44985.0</v>
      </c>
      <c r="I1378" s="218">
        <v>135.0</v>
      </c>
      <c r="J1378" s="317" t="s">
        <v>52</v>
      </c>
      <c r="K1378" s="319">
        <v>2023.02</v>
      </c>
      <c r="L1378" s="218" t="s">
        <v>200</v>
      </c>
    </row>
    <row r="1379">
      <c r="A1379" s="223" t="s">
        <v>123</v>
      </c>
      <c r="B1379" s="223" t="s">
        <v>1300</v>
      </c>
      <c r="C1379" s="223" t="s">
        <v>1156</v>
      </c>
      <c r="D1379" s="322">
        <v>44985.0</v>
      </c>
      <c r="I1379" s="218">
        <v>300.0</v>
      </c>
      <c r="J1379" s="317" t="s">
        <v>52</v>
      </c>
      <c r="K1379" s="319">
        <v>2023.02</v>
      </c>
      <c r="L1379" s="218" t="s">
        <v>200</v>
      </c>
    </row>
    <row r="1380">
      <c r="A1380" s="223" t="s">
        <v>73</v>
      </c>
      <c r="B1380" s="223" t="s">
        <v>1327</v>
      </c>
      <c r="C1380" s="223" t="s">
        <v>1156</v>
      </c>
      <c r="D1380" s="322">
        <v>44985.0</v>
      </c>
      <c r="I1380" s="218">
        <v>75.0</v>
      </c>
      <c r="J1380" s="317" t="s">
        <v>52</v>
      </c>
      <c r="K1380" s="319">
        <v>2023.02</v>
      </c>
      <c r="L1380" s="218" t="s">
        <v>200</v>
      </c>
    </row>
    <row r="1381">
      <c r="A1381" s="223" t="s">
        <v>50</v>
      </c>
      <c r="B1381" s="223" t="s">
        <v>1275</v>
      </c>
      <c r="C1381" s="223" t="s">
        <v>1156</v>
      </c>
      <c r="D1381" s="322">
        <v>44985.0</v>
      </c>
      <c r="I1381" s="218">
        <v>30.0</v>
      </c>
      <c r="J1381" s="317" t="s">
        <v>52</v>
      </c>
      <c r="K1381" s="319">
        <v>2023.02</v>
      </c>
      <c r="L1381" s="218" t="s">
        <v>200</v>
      </c>
    </row>
    <row r="1382">
      <c r="A1382" s="223" t="s">
        <v>62</v>
      </c>
      <c r="B1382" s="223" t="s">
        <v>1304</v>
      </c>
      <c r="C1382" s="223" t="s">
        <v>1156</v>
      </c>
      <c r="D1382" s="322">
        <v>44985.0</v>
      </c>
      <c r="I1382" s="218">
        <v>300.0</v>
      </c>
      <c r="J1382" s="317" t="s">
        <v>52</v>
      </c>
      <c r="K1382" s="319">
        <v>2023.02</v>
      </c>
      <c r="L1382" s="218" t="s">
        <v>200</v>
      </c>
    </row>
    <row r="1383">
      <c r="A1383" s="223" t="s">
        <v>223</v>
      </c>
      <c r="B1383" s="223" t="s">
        <v>1176</v>
      </c>
      <c r="C1383" s="223" t="s">
        <v>1156</v>
      </c>
      <c r="D1383" s="322">
        <v>44985.0</v>
      </c>
      <c r="I1383" s="218">
        <v>75.0</v>
      </c>
      <c r="J1383" s="317" t="s">
        <v>52</v>
      </c>
      <c r="K1383" s="319">
        <v>2023.02</v>
      </c>
      <c r="L1383" s="218" t="s">
        <v>200</v>
      </c>
    </row>
    <row r="1384">
      <c r="A1384" s="223" t="s">
        <v>225</v>
      </c>
      <c r="B1384" s="223" t="s">
        <v>1257</v>
      </c>
      <c r="C1384" s="223" t="s">
        <v>1156</v>
      </c>
      <c r="D1384" s="322">
        <v>44985.0</v>
      </c>
      <c r="I1384" s="218">
        <v>1860.0</v>
      </c>
      <c r="J1384" s="317" t="s">
        <v>52</v>
      </c>
      <c r="K1384" s="319">
        <v>2023.02</v>
      </c>
      <c r="L1384" s="218" t="s">
        <v>200</v>
      </c>
    </row>
    <row r="1385">
      <c r="A1385" s="223" t="s">
        <v>66</v>
      </c>
      <c r="B1385" s="223" t="s">
        <v>1324</v>
      </c>
      <c r="C1385" s="223" t="s">
        <v>1156</v>
      </c>
      <c r="D1385" s="322">
        <v>44985.0</v>
      </c>
      <c r="I1385" s="218">
        <v>90.0</v>
      </c>
      <c r="J1385" s="317" t="s">
        <v>52</v>
      </c>
      <c r="K1385" s="319">
        <v>2023.02</v>
      </c>
      <c r="L1385" s="218" t="s">
        <v>200</v>
      </c>
    </row>
    <row r="1386">
      <c r="A1386" s="223" t="s">
        <v>695</v>
      </c>
      <c r="B1386" s="223" t="s">
        <v>1216</v>
      </c>
      <c r="C1386" s="223" t="s">
        <v>1451</v>
      </c>
      <c r="D1386" s="322">
        <v>44985.0</v>
      </c>
      <c r="I1386" s="218">
        <v>45.0</v>
      </c>
      <c r="J1386" s="317" t="s">
        <v>52</v>
      </c>
      <c r="K1386" s="319">
        <v>2023.02</v>
      </c>
      <c r="L1386" s="218" t="s">
        <v>200</v>
      </c>
    </row>
    <row r="1387">
      <c r="A1387" s="223" t="s">
        <v>499</v>
      </c>
      <c r="B1387" s="223" t="s">
        <v>1330</v>
      </c>
      <c r="C1387" s="223" t="s">
        <v>1375</v>
      </c>
      <c r="D1387" s="322">
        <v>44985.0</v>
      </c>
      <c r="I1387" s="218">
        <v>100.0</v>
      </c>
      <c r="J1387" s="317" t="s">
        <v>52</v>
      </c>
      <c r="K1387" s="319">
        <v>2023.02</v>
      </c>
      <c r="L1387" s="218" t="s">
        <v>200</v>
      </c>
    </row>
    <row r="1388">
      <c r="A1388" s="223" t="s">
        <v>810</v>
      </c>
      <c r="B1388" s="223" t="s">
        <v>1363</v>
      </c>
      <c r="C1388" s="223" t="s">
        <v>1393</v>
      </c>
      <c r="D1388" s="322">
        <v>44985.0</v>
      </c>
      <c r="I1388" s="218">
        <v>60.0</v>
      </c>
      <c r="J1388" s="317" t="s">
        <v>52</v>
      </c>
      <c r="K1388" s="319">
        <v>2023.02</v>
      </c>
      <c r="L1388" s="218" t="s">
        <v>200</v>
      </c>
    </row>
    <row r="1389">
      <c r="A1389" s="223" t="s">
        <v>676</v>
      </c>
      <c r="B1389" s="223" t="s">
        <v>1441</v>
      </c>
      <c r="C1389" s="223" t="s">
        <v>2312</v>
      </c>
      <c r="D1389" s="322">
        <v>44985.0</v>
      </c>
      <c r="I1389" s="218">
        <v>180.0</v>
      </c>
      <c r="J1389" s="317" t="s">
        <v>1160</v>
      </c>
      <c r="K1389" s="319">
        <v>2023.0</v>
      </c>
      <c r="L1389" s="218" t="s">
        <v>200</v>
      </c>
    </row>
    <row r="1390">
      <c r="A1390" s="223" t="s">
        <v>762</v>
      </c>
      <c r="B1390" s="223" t="s">
        <v>1429</v>
      </c>
      <c r="C1390" s="223" t="s">
        <v>1432</v>
      </c>
      <c r="D1390" s="322">
        <v>44985.0</v>
      </c>
      <c r="I1390" s="218">
        <v>322.5</v>
      </c>
      <c r="J1390" s="317" t="s">
        <v>52</v>
      </c>
      <c r="K1390" s="319">
        <v>2023.02</v>
      </c>
      <c r="L1390" s="218" t="s">
        <v>200</v>
      </c>
    </row>
    <row r="1391">
      <c r="A1391" s="223" t="s">
        <v>326</v>
      </c>
      <c r="B1391" s="223" t="s">
        <v>1209</v>
      </c>
      <c r="C1391" s="223" t="s">
        <v>1210</v>
      </c>
      <c r="D1391" s="322">
        <v>44985.0</v>
      </c>
      <c r="I1391" s="218">
        <v>425.0</v>
      </c>
      <c r="J1391" s="317" t="s">
        <v>1160</v>
      </c>
      <c r="K1391" s="319">
        <v>2023.0</v>
      </c>
      <c r="L1391" s="218" t="s">
        <v>200</v>
      </c>
    </row>
    <row r="1392">
      <c r="A1392" s="223" t="s">
        <v>788</v>
      </c>
      <c r="B1392" s="223" t="s">
        <v>1250</v>
      </c>
      <c r="C1392" s="223" t="s">
        <v>1470</v>
      </c>
      <c r="D1392" s="322">
        <v>44985.0</v>
      </c>
      <c r="I1392" s="218">
        <v>710.0</v>
      </c>
      <c r="J1392" s="317" t="s">
        <v>52</v>
      </c>
      <c r="K1392" s="319">
        <v>2023.02</v>
      </c>
      <c r="L1392" s="218" t="s">
        <v>200</v>
      </c>
    </row>
    <row r="1393">
      <c r="A1393" s="223" t="s">
        <v>817</v>
      </c>
      <c r="B1393" s="223" t="s">
        <v>1473</v>
      </c>
      <c r="C1393" s="223" t="s">
        <v>1393</v>
      </c>
      <c r="D1393" s="322">
        <v>44985.0</v>
      </c>
      <c r="I1393" s="218">
        <v>1560.0</v>
      </c>
      <c r="J1393" s="317" t="s">
        <v>52</v>
      </c>
      <c r="K1393" s="319">
        <v>2023.02</v>
      </c>
      <c r="L1393" s="218" t="s">
        <v>200</v>
      </c>
    </row>
    <row r="1394">
      <c r="A1394" s="223" t="s">
        <v>1271</v>
      </c>
      <c r="B1394" s="223" t="s">
        <v>1264</v>
      </c>
      <c r="C1394" s="223" t="s">
        <v>1272</v>
      </c>
      <c r="D1394" s="322">
        <v>44998.0</v>
      </c>
      <c r="I1394" s="218">
        <v>834.04</v>
      </c>
      <c r="J1394" s="317" t="s">
        <v>1152</v>
      </c>
      <c r="K1394" s="319">
        <v>2023.0</v>
      </c>
      <c r="L1394" s="218" t="s">
        <v>200</v>
      </c>
    </row>
    <row r="1395">
      <c r="A1395" s="223" t="s">
        <v>1271</v>
      </c>
      <c r="B1395" s="223" t="s">
        <v>1264</v>
      </c>
      <c r="C1395" s="223" t="s">
        <v>1272</v>
      </c>
      <c r="D1395" s="322">
        <v>44998.0</v>
      </c>
      <c r="I1395" s="218">
        <v>136.59</v>
      </c>
      <c r="J1395" s="317" t="s">
        <v>1152</v>
      </c>
      <c r="K1395" s="319">
        <v>2023.0</v>
      </c>
      <c r="L1395" s="218" t="s">
        <v>200</v>
      </c>
    </row>
    <row r="1396">
      <c r="A1396" s="223" t="s">
        <v>1271</v>
      </c>
      <c r="B1396" s="223" t="s">
        <v>1264</v>
      </c>
      <c r="C1396" s="223" t="s">
        <v>1272</v>
      </c>
      <c r="D1396" s="322">
        <v>44998.0</v>
      </c>
      <c r="I1396" s="218">
        <v>14.76</v>
      </c>
      <c r="J1396" s="317" t="s">
        <v>1152</v>
      </c>
      <c r="K1396" s="319">
        <v>2023.0</v>
      </c>
      <c r="L1396" s="218" t="s">
        <v>200</v>
      </c>
    </row>
    <row r="1397">
      <c r="A1397" s="223" t="s">
        <v>1271</v>
      </c>
      <c r="B1397" s="223" t="s">
        <v>1264</v>
      </c>
      <c r="C1397" s="223" t="s">
        <v>1272</v>
      </c>
      <c r="D1397" s="320">
        <v>44998.0</v>
      </c>
      <c r="I1397" s="218">
        <v>65.53</v>
      </c>
      <c r="J1397" s="317" t="s">
        <v>1152</v>
      </c>
      <c r="K1397" s="319">
        <v>2023.0</v>
      </c>
      <c r="L1397" s="218" t="s">
        <v>200</v>
      </c>
    </row>
    <row r="1398">
      <c r="A1398" s="223" t="s">
        <v>54</v>
      </c>
      <c r="B1398" s="223" t="s">
        <v>1187</v>
      </c>
      <c r="C1398" s="223" t="s">
        <v>1156</v>
      </c>
      <c r="D1398" s="322">
        <v>44985.0</v>
      </c>
      <c r="I1398" s="218">
        <v>337.5</v>
      </c>
      <c r="J1398" s="317" t="s">
        <v>52</v>
      </c>
      <c r="K1398" s="319">
        <v>2023.02</v>
      </c>
      <c r="L1398" s="218" t="s">
        <v>200</v>
      </c>
    </row>
    <row r="1399">
      <c r="A1399" s="223" t="s">
        <v>120</v>
      </c>
      <c r="B1399" s="223" t="s">
        <v>1215</v>
      </c>
      <c r="C1399" s="223" t="s">
        <v>1156</v>
      </c>
      <c r="D1399" s="322">
        <v>44985.0</v>
      </c>
      <c r="I1399" s="218">
        <v>575.0</v>
      </c>
      <c r="J1399" s="317" t="s">
        <v>52</v>
      </c>
      <c r="K1399" s="319">
        <v>2023.02</v>
      </c>
      <c r="L1399" s="218" t="s">
        <v>200</v>
      </c>
    </row>
    <row r="1400">
      <c r="A1400" s="223" t="s">
        <v>499</v>
      </c>
      <c r="B1400" s="223" t="s">
        <v>1330</v>
      </c>
      <c r="C1400" s="223" t="s">
        <v>1375</v>
      </c>
      <c r="D1400" s="322">
        <v>44985.0</v>
      </c>
      <c r="I1400" s="218">
        <v>262.5</v>
      </c>
      <c r="J1400" s="317" t="s">
        <v>52</v>
      </c>
      <c r="K1400" s="319">
        <v>2023.02</v>
      </c>
      <c r="L1400" s="218" t="s">
        <v>200</v>
      </c>
    </row>
    <row r="1401">
      <c r="A1401" s="223" t="s">
        <v>90</v>
      </c>
      <c r="B1401" s="223" t="s">
        <v>1282</v>
      </c>
      <c r="C1401" s="223" t="s">
        <v>1156</v>
      </c>
      <c r="D1401" s="322">
        <v>44985.0</v>
      </c>
      <c r="I1401" s="218">
        <v>450.0</v>
      </c>
      <c r="J1401" s="317" t="s">
        <v>52</v>
      </c>
      <c r="K1401" s="319">
        <v>2023.02</v>
      </c>
      <c r="L1401" s="218" t="s">
        <v>200</v>
      </c>
    </row>
    <row r="1402">
      <c r="A1402" s="223" t="s">
        <v>788</v>
      </c>
      <c r="B1402" s="223" t="s">
        <v>1250</v>
      </c>
      <c r="C1402" s="223" t="s">
        <v>1470</v>
      </c>
      <c r="D1402" s="322">
        <v>44985.0</v>
      </c>
      <c r="I1402" s="218">
        <v>315.0</v>
      </c>
      <c r="J1402" s="317" t="s">
        <v>52</v>
      </c>
      <c r="K1402" s="319">
        <v>2023.02</v>
      </c>
      <c r="L1402" s="218" t="s">
        <v>200</v>
      </c>
    </row>
    <row r="1403">
      <c r="A1403" s="223" t="s">
        <v>740</v>
      </c>
      <c r="B1403" s="223" t="s">
        <v>1209</v>
      </c>
      <c r="C1403" s="223" t="s">
        <v>1463</v>
      </c>
      <c r="D1403" s="322">
        <v>44985.0</v>
      </c>
      <c r="I1403" s="218">
        <v>280.0</v>
      </c>
      <c r="J1403" s="317" t="s">
        <v>1160</v>
      </c>
      <c r="K1403" s="319">
        <v>2023.0</v>
      </c>
      <c r="L1403" s="218" t="s">
        <v>200</v>
      </c>
    </row>
    <row r="1404">
      <c r="A1404" s="223" t="s">
        <v>662</v>
      </c>
      <c r="B1404" s="223" t="s">
        <v>1433</v>
      </c>
      <c r="C1404" s="223" t="s">
        <v>1434</v>
      </c>
      <c r="D1404" s="322">
        <v>44985.0</v>
      </c>
      <c r="I1404" s="218">
        <v>215.0</v>
      </c>
      <c r="J1404" s="317" t="s">
        <v>52</v>
      </c>
      <c r="K1404" s="319">
        <v>2023.02</v>
      </c>
      <c r="L1404" s="218" t="s">
        <v>200</v>
      </c>
    </row>
    <row r="1405">
      <c r="A1405" s="223" t="s">
        <v>223</v>
      </c>
      <c r="B1405" s="223" t="s">
        <v>1176</v>
      </c>
      <c r="C1405" s="223" t="s">
        <v>1156</v>
      </c>
      <c r="D1405" s="322">
        <v>44985.0</v>
      </c>
      <c r="I1405" s="218">
        <v>400.0</v>
      </c>
      <c r="J1405" s="317" t="s">
        <v>52</v>
      </c>
      <c r="K1405" s="319">
        <v>2023.02</v>
      </c>
      <c r="L1405" s="218" t="s">
        <v>200</v>
      </c>
    </row>
    <row r="1406">
      <c r="A1406" s="223" t="s">
        <v>768</v>
      </c>
      <c r="B1406" s="223" t="s">
        <v>1383</v>
      </c>
      <c r="C1406" s="223" t="s">
        <v>1179</v>
      </c>
      <c r="D1406" s="322">
        <v>44985.0</v>
      </c>
      <c r="I1406" s="218">
        <v>37.5</v>
      </c>
      <c r="J1406" s="317" t="s">
        <v>1160</v>
      </c>
      <c r="K1406" s="319">
        <v>2023.0</v>
      </c>
      <c r="L1406" s="218" t="s">
        <v>200</v>
      </c>
    </row>
    <row r="1407">
      <c r="A1407" s="223" t="s">
        <v>118</v>
      </c>
      <c r="B1407" s="223" t="s">
        <v>1312</v>
      </c>
      <c r="C1407" s="223" t="s">
        <v>1156</v>
      </c>
      <c r="D1407" s="320">
        <v>44974.0</v>
      </c>
      <c r="I1407" s="218">
        <v>750.0</v>
      </c>
      <c r="J1407" s="317" t="s">
        <v>52</v>
      </c>
      <c r="K1407" s="319">
        <v>2023.02</v>
      </c>
      <c r="L1407" s="218">
        <v>750.0</v>
      </c>
    </row>
    <row r="1408">
      <c r="A1408" s="223" t="s">
        <v>115</v>
      </c>
      <c r="B1408" s="223" t="s">
        <v>1308</v>
      </c>
      <c r="C1408" s="223" t="s">
        <v>1156</v>
      </c>
      <c r="D1408" s="320">
        <v>44976.0</v>
      </c>
      <c r="I1408" s="218">
        <v>750.0</v>
      </c>
      <c r="J1408" s="317" t="s">
        <v>52</v>
      </c>
      <c r="K1408" s="319">
        <v>2023.02</v>
      </c>
      <c r="L1408" s="218">
        <v>750.0</v>
      </c>
    </row>
    <row r="1409">
      <c r="A1409" s="223" t="s">
        <v>118</v>
      </c>
      <c r="B1409" s="223" t="s">
        <v>1312</v>
      </c>
      <c r="C1409" s="223" t="s">
        <v>1156</v>
      </c>
      <c r="D1409" s="320">
        <v>44986.0</v>
      </c>
      <c r="I1409" s="218">
        <v>763.48</v>
      </c>
      <c r="J1409" s="317" t="s">
        <v>52</v>
      </c>
      <c r="K1409" s="319">
        <v>2023.03</v>
      </c>
      <c r="L1409" s="218">
        <v>763.48</v>
      </c>
    </row>
    <row r="1410">
      <c r="A1410" s="223" t="s">
        <v>115</v>
      </c>
      <c r="B1410" s="223" t="s">
        <v>1308</v>
      </c>
      <c r="C1410" s="223" t="s">
        <v>1156</v>
      </c>
      <c r="D1410" s="320">
        <v>44986.0</v>
      </c>
      <c r="I1410" s="218">
        <v>708.52</v>
      </c>
      <c r="J1410" s="317" t="s">
        <v>52</v>
      </c>
      <c r="K1410" s="319">
        <v>2023.03</v>
      </c>
      <c r="L1410" s="218">
        <v>708.52</v>
      </c>
    </row>
    <row r="1411">
      <c r="A1411" s="223" t="s">
        <v>326</v>
      </c>
      <c r="B1411" s="223" t="s">
        <v>1209</v>
      </c>
      <c r="C1411" s="223" t="s">
        <v>1210</v>
      </c>
      <c r="D1411" s="320">
        <v>44986.0</v>
      </c>
      <c r="I1411" s="218">
        <v>347.27</v>
      </c>
      <c r="J1411" s="317" t="s">
        <v>1160</v>
      </c>
      <c r="K1411" s="319">
        <v>2023.0</v>
      </c>
      <c r="L1411" s="218">
        <v>347.27</v>
      </c>
    </row>
    <row r="1412">
      <c r="A1412" s="223" t="s">
        <v>115</v>
      </c>
      <c r="B1412" s="223" t="s">
        <v>1308</v>
      </c>
      <c r="C1412" s="223" t="s">
        <v>1156</v>
      </c>
      <c r="D1412" s="320">
        <v>44996.0</v>
      </c>
      <c r="I1412" s="218">
        <v>750.0</v>
      </c>
      <c r="J1412" s="317" t="s">
        <v>52</v>
      </c>
      <c r="K1412" s="319">
        <v>2023.03</v>
      </c>
      <c r="L1412" s="218">
        <v>750.0</v>
      </c>
    </row>
    <row r="1413">
      <c r="A1413" s="223" t="s">
        <v>118</v>
      </c>
      <c r="B1413" s="223" t="s">
        <v>1312</v>
      </c>
      <c r="C1413" s="223" t="s">
        <v>1156</v>
      </c>
      <c r="D1413" s="320">
        <v>44997.0</v>
      </c>
      <c r="I1413" s="218">
        <v>750.0</v>
      </c>
      <c r="J1413" s="317" t="s">
        <v>52</v>
      </c>
      <c r="K1413" s="319">
        <v>2023.03</v>
      </c>
      <c r="L1413" s="218">
        <v>750.0</v>
      </c>
    </row>
    <row r="1414">
      <c r="A1414" s="223" t="s">
        <v>92</v>
      </c>
      <c r="B1414" s="223" t="s">
        <v>1289</v>
      </c>
      <c r="C1414" s="223" t="s">
        <v>1156</v>
      </c>
      <c r="D1414" s="320">
        <v>44982.0</v>
      </c>
      <c r="I1414" s="218">
        <v>66.39</v>
      </c>
      <c r="J1414" s="317" t="s">
        <v>52</v>
      </c>
      <c r="K1414" s="319">
        <v>2023.02</v>
      </c>
      <c r="L1414" s="218">
        <v>66.39</v>
      </c>
    </row>
    <row r="1415">
      <c r="A1415" s="223" t="s">
        <v>92</v>
      </c>
      <c r="B1415" s="223" t="s">
        <v>1289</v>
      </c>
      <c r="C1415" s="223" t="s">
        <v>1156</v>
      </c>
      <c r="D1415" s="320">
        <v>44974.0</v>
      </c>
      <c r="I1415" s="218">
        <v>100.0</v>
      </c>
      <c r="J1415" s="317" t="s">
        <v>52</v>
      </c>
      <c r="K1415" s="319">
        <v>2023.02</v>
      </c>
      <c r="L1415" s="218">
        <v>100.0</v>
      </c>
    </row>
    <row r="1416">
      <c r="A1416" s="223" t="s">
        <v>54</v>
      </c>
      <c r="B1416" s="223" t="s">
        <v>1187</v>
      </c>
      <c r="C1416" s="223" t="s">
        <v>1156</v>
      </c>
      <c r="D1416" s="320">
        <v>44985.0</v>
      </c>
      <c r="I1416" s="218">
        <v>12.02</v>
      </c>
      <c r="J1416" s="317" t="s">
        <v>52</v>
      </c>
      <c r="K1416" s="319">
        <v>2023.02</v>
      </c>
      <c r="L1416" s="218" t="s">
        <v>200</v>
      </c>
    </row>
    <row r="1417">
      <c r="A1417" s="223" t="s">
        <v>99</v>
      </c>
      <c r="B1417" s="223" t="s">
        <v>1192</v>
      </c>
      <c r="C1417" s="223" t="s">
        <v>1156</v>
      </c>
      <c r="D1417" s="320">
        <v>44985.0</v>
      </c>
      <c r="I1417" s="218">
        <v>14.67</v>
      </c>
      <c r="J1417" s="317" t="s">
        <v>52</v>
      </c>
      <c r="K1417" s="319">
        <v>2023.02</v>
      </c>
      <c r="L1417" s="218" t="s">
        <v>200</v>
      </c>
    </row>
    <row r="1418">
      <c r="A1418" s="223" t="s">
        <v>326</v>
      </c>
      <c r="B1418" s="223" t="s">
        <v>1209</v>
      </c>
      <c r="C1418" s="223" t="s">
        <v>1210</v>
      </c>
      <c r="D1418" s="320">
        <v>44985.0</v>
      </c>
      <c r="I1418" s="218">
        <v>9.46</v>
      </c>
      <c r="J1418" s="317" t="s">
        <v>1160</v>
      </c>
      <c r="K1418" s="319">
        <v>2023.0</v>
      </c>
      <c r="L1418" s="218" t="s">
        <v>200</v>
      </c>
    </row>
    <row r="1419">
      <c r="A1419" s="223" t="s">
        <v>120</v>
      </c>
      <c r="B1419" s="223" t="s">
        <v>1215</v>
      </c>
      <c r="C1419" s="223" t="s">
        <v>1156</v>
      </c>
      <c r="D1419" s="320">
        <v>44985.0</v>
      </c>
      <c r="I1419" s="218">
        <v>64.07</v>
      </c>
      <c r="J1419" s="317" t="s">
        <v>52</v>
      </c>
      <c r="K1419" s="319">
        <v>2023.02</v>
      </c>
      <c r="L1419" s="218" t="s">
        <v>200</v>
      </c>
    </row>
    <row r="1420">
      <c r="A1420" s="223" t="s">
        <v>788</v>
      </c>
      <c r="B1420" s="223" t="s">
        <v>1250</v>
      </c>
      <c r="C1420" s="223" t="s">
        <v>1470</v>
      </c>
      <c r="D1420" s="320">
        <v>44985.0</v>
      </c>
      <c r="I1420" s="218">
        <v>723.46</v>
      </c>
      <c r="J1420" s="317" t="s">
        <v>52</v>
      </c>
      <c r="K1420" s="319">
        <v>2023.02</v>
      </c>
      <c r="L1420" s="218" t="s">
        <v>200</v>
      </c>
    </row>
    <row r="1421">
      <c r="A1421" s="223" t="s">
        <v>835</v>
      </c>
      <c r="B1421" s="223" t="s">
        <v>1478</v>
      </c>
      <c r="C1421" s="223" t="s">
        <v>36</v>
      </c>
      <c r="D1421" s="320">
        <v>44985.0</v>
      </c>
      <c r="I1421" s="218">
        <v>916.58</v>
      </c>
      <c r="J1421" s="317" t="s">
        <v>1160</v>
      </c>
      <c r="K1421" s="319">
        <v>2023.0</v>
      </c>
      <c r="L1421" s="218" t="s">
        <v>200</v>
      </c>
    </row>
    <row r="1422">
      <c r="A1422" s="223" t="s">
        <v>840</v>
      </c>
      <c r="B1422" s="223" t="s">
        <v>1216</v>
      </c>
      <c r="C1422" s="223" t="s">
        <v>1471</v>
      </c>
      <c r="D1422" s="320">
        <v>44985.0</v>
      </c>
      <c r="I1422" s="218">
        <v>222.26</v>
      </c>
      <c r="J1422" s="317" t="s">
        <v>1160</v>
      </c>
      <c r="K1422" s="319">
        <v>2023.0</v>
      </c>
      <c r="L1422" s="218" t="s">
        <v>200</v>
      </c>
    </row>
    <row r="1423">
      <c r="A1423" s="223" t="s">
        <v>768</v>
      </c>
      <c r="B1423" s="223" t="s">
        <v>1383</v>
      </c>
      <c r="C1423" s="223" t="s">
        <v>1179</v>
      </c>
      <c r="D1423" s="320">
        <v>44985.0</v>
      </c>
      <c r="I1423" s="218">
        <v>164.95999999999998</v>
      </c>
      <c r="J1423" s="317" t="s">
        <v>1160</v>
      </c>
      <c r="K1423" s="319">
        <v>2023.0</v>
      </c>
      <c r="L1423" s="218" t="s">
        <v>200</v>
      </c>
    </row>
    <row r="1424">
      <c r="A1424" s="223" t="s">
        <v>42</v>
      </c>
      <c r="B1424" s="223" t="s">
        <v>1236</v>
      </c>
      <c r="C1424" s="223" t="s">
        <v>1156</v>
      </c>
      <c r="D1424" s="320">
        <v>44985.0</v>
      </c>
      <c r="I1424" s="218">
        <v>85.38</v>
      </c>
      <c r="J1424" s="317" t="s">
        <v>52</v>
      </c>
      <c r="K1424" s="319">
        <v>2023.02</v>
      </c>
      <c r="L1424" s="218" t="s">
        <v>200</v>
      </c>
    </row>
    <row r="1425">
      <c r="A1425" s="223" t="s">
        <v>1266</v>
      </c>
      <c r="B1425" s="223" t="s">
        <v>1264</v>
      </c>
      <c r="C1425" s="223" t="s">
        <v>1267</v>
      </c>
      <c r="D1425" s="320">
        <v>44985.0</v>
      </c>
      <c r="I1425" s="218">
        <v>651.62</v>
      </c>
      <c r="J1425" s="317" t="s">
        <v>1152</v>
      </c>
      <c r="K1425" s="319">
        <v>2023.0</v>
      </c>
      <c r="L1425" s="218" t="s">
        <v>200</v>
      </c>
    </row>
    <row r="1426">
      <c r="A1426" s="223" t="s">
        <v>50</v>
      </c>
      <c r="B1426" s="223" t="s">
        <v>1275</v>
      </c>
      <c r="C1426" s="223" t="s">
        <v>1156</v>
      </c>
      <c r="D1426" s="320">
        <v>44985.0</v>
      </c>
      <c r="I1426" s="218">
        <v>20.92</v>
      </c>
      <c r="J1426" s="317" t="s">
        <v>52</v>
      </c>
      <c r="K1426" s="319">
        <v>2023.02</v>
      </c>
      <c r="L1426" s="218" t="s">
        <v>200</v>
      </c>
    </row>
    <row r="1427">
      <c r="A1427" s="223" t="s">
        <v>105</v>
      </c>
      <c r="B1427" s="223" t="s">
        <v>1280</v>
      </c>
      <c r="C1427" s="223" t="s">
        <v>2308</v>
      </c>
      <c r="D1427" s="320">
        <v>44985.0</v>
      </c>
      <c r="I1427" s="218">
        <v>2.66</v>
      </c>
      <c r="J1427" s="317" t="s">
        <v>1992</v>
      </c>
      <c r="K1427" s="319">
        <v>2023.0</v>
      </c>
      <c r="L1427" s="218" t="s">
        <v>200</v>
      </c>
    </row>
    <row r="1428">
      <c r="A1428" s="223" t="s">
        <v>90</v>
      </c>
      <c r="B1428" s="223" t="s">
        <v>1282</v>
      </c>
      <c r="C1428" s="223" t="s">
        <v>1156</v>
      </c>
      <c r="D1428" s="320">
        <v>44985.0</v>
      </c>
      <c r="I1428" s="218">
        <v>156.0</v>
      </c>
      <c r="J1428" s="317" t="s">
        <v>52</v>
      </c>
      <c r="K1428" s="319">
        <v>2023.02</v>
      </c>
      <c r="L1428" s="218" t="s">
        <v>200</v>
      </c>
    </row>
    <row r="1429">
      <c r="A1429" s="223" t="s">
        <v>867</v>
      </c>
      <c r="B1429" s="223" t="s">
        <v>1456</v>
      </c>
      <c r="C1429" s="223" t="s">
        <v>1151</v>
      </c>
      <c r="D1429" s="320">
        <v>44985.0</v>
      </c>
      <c r="I1429" s="218">
        <v>11.22</v>
      </c>
      <c r="J1429" s="317" t="s">
        <v>1160</v>
      </c>
      <c r="K1429" s="319">
        <v>2023.0</v>
      </c>
      <c r="L1429" s="218" t="s">
        <v>200</v>
      </c>
    </row>
    <row r="1430">
      <c r="A1430" s="223" t="s">
        <v>871</v>
      </c>
      <c r="B1430" s="223" t="s">
        <v>1491</v>
      </c>
      <c r="C1430" s="223" t="s">
        <v>1492</v>
      </c>
      <c r="D1430" s="320">
        <v>44985.0</v>
      </c>
      <c r="I1430" s="218">
        <v>5.22</v>
      </c>
      <c r="J1430" s="317" t="s">
        <v>1160</v>
      </c>
      <c r="K1430" s="319">
        <v>2023.0</v>
      </c>
      <c r="L1430" s="218" t="s">
        <v>200</v>
      </c>
    </row>
    <row r="1431">
      <c r="A1431" s="223" t="s">
        <v>92</v>
      </c>
      <c r="B1431" s="223" t="s">
        <v>1289</v>
      </c>
      <c r="C1431" s="223" t="s">
        <v>1156</v>
      </c>
      <c r="D1431" s="320">
        <v>44985.0</v>
      </c>
      <c r="I1431" s="218">
        <v>74.72</v>
      </c>
      <c r="J1431" s="317" t="s">
        <v>52</v>
      </c>
      <c r="K1431" s="319">
        <v>2023.02</v>
      </c>
      <c r="L1431" s="218" t="s">
        <v>200</v>
      </c>
    </row>
    <row r="1432">
      <c r="A1432" s="223" t="s">
        <v>808</v>
      </c>
      <c r="B1432" s="223" t="s">
        <v>1352</v>
      </c>
      <c r="C1432" s="223" t="s">
        <v>1471</v>
      </c>
      <c r="D1432" s="320">
        <v>44985.0</v>
      </c>
      <c r="I1432" s="218">
        <v>894.42</v>
      </c>
      <c r="J1432" s="317" t="s">
        <v>1160</v>
      </c>
      <c r="K1432" s="319">
        <v>2023.0</v>
      </c>
      <c r="L1432" s="218" t="s">
        <v>200</v>
      </c>
    </row>
    <row r="1433">
      <c r="A1433" s="223" t="s">
        <v>869</v>
      </c>
      <c r="B1433" s="223" t="s">
        <v>1352</v>
      </c>
      <c r="C1433" s="223" t="s">
        <v>1490</v>
      </c>
      <c r="D1433" s="320">
        <v>44985.0</v>
      </c>
      <c r="I1433" s="218">
        <v>146.09</v>
      </c>
      <c r="J1433" s="317" t="s">
        <v>1160</v>
      </c>
      <c r="K1433" s="319">
        <v>2023.0</v>
      </c>
      <c r="L1433" s="218" t="s">
        <v>200</v>
      </c>
    </row>
    <row r="1434">
      <c r="A1434" s="223" t="s">
        <v>42</v>
      </c>
      <c r="B1434" s="223" t="s">
        <v>1236</v>
      </c>
      <c r="C1434" s="223" t="s">
        <v>1156</v>
      </c>
      <c r="D1434" s="320">
        <v>44985.0</v>
      </c>
      <c r="I1434" s="218">
        <v>60.00694444444445</v>
      </c>
      <c r="J1434" s="317" t="s">
        <v>52</v>
      </c>
      <c r="K1434" s="319">
        <v>2023.02</v>
      </c>
      <c r="L1434" s="218" t="s">
        <v>200</v>
      </c>
    </row>
    <row r="1435">
      <c r="A1435" s="223" t="s">
        <v>587</v>
      </c>
      <c r="B1435" s="223" t="s">
        <v>1406</v>
      </c>
      <c r="C1435" s="223" t="s">
        <v>1403</v>
      </c>
      <c r="D1435" s="320">
        <v>44985.0</v>
      </c>
      <c r="I1435" s="218">
        <v>49.26</v>
      </c>
      <c r="J1435" s="317" t="s">
        <v>1160</v>
      </c>
      <c r="K1435" s="319">
        <v>2023.0</v>
      </c>
      <c r="L1435" s="218" t="s">
        <v>200</v>
      </c>
    </row>
    <row r="1436">
      <c r="A1436" s="223" t="s">
        <v>123</v>
      </c>
      <c r="B1436" s="223" t="s">
        <v>1300</v>
      </c>
      <c r="C1436" s="223" t="s">
        <v>1156</v>
      </c>
      <c r="D1436" s="320">
        <v>44985.0</v>
      </c>
      <c r="I1436" s="218">
        <v>223.88</v>
      </c>
      <c r="J1436" s="317" t="s">
        <v>52</v>
      </c>
      <c r="K1436" s="319">
        <v>2023.02</v>
      </c>
      <c r="L1436" s="218" t="s">
        <v>200</v>
      </c>
    </row>
    <row r="1437">
      <c r="A1437" s="223" t="s">
        <v>62</v>
      </c>
      <c r="B1437" s="223" t="s">
        <v>1304</v>
      </c>
      <c r="C1437" s="223" t="s">
        <v>1156</v>
      </c>
      <c r="D1437" s="320">
        <v>44985.0</v>
      </c>
      <c r="I1437" s="218">
        <v>8.69</v>
      </c>
      <c r="J1437" s="317" t="s">
        <v>52</v>
      </c>
      <c r="K1437" s="319">
        <v>2023.02</v>
      </c>
      <c r="L1437" s="218" t="s">
        <v>200</v>
      </c>
    </row>
    <row r="1438">
      <c r="A1438" s="223" t="s">
        <v>858</v>
      </c>
      <c r="B1438" s="223" t="s">
        <v>1481</v>
      </c>
      <c r="C1438" s="223" t="s">
        <v>1482</v>
      </c>
      <c r="D1438" s="320">
        <v>44985.0</v>
      </c>
      <c r="I1438" s="218">
        <v>4.03</v>
      </c>
      <c r="J1438" s="317" t="s">
        <v>1160</v>
      </c>
      <c r="K1438" s="319">
        <v>2023.0</v>
      </c>
      <c r="L1438" s="218" t="s">
        <v>200</v>
      </c>
    </row>
    <row r="1439">
      <c r="A1439" s="223" t="s">
        <v>115</v>
      </c>
      <c r="B1439" s="223" t="s">
        <v>1308</v>
      </c>
      <c r="C1439" s="223" t="s">
        <v>1156</v>
      </c>
      <c r="D1439" s="320">
        <v>44985.0</v>
      </c>
      <c r="I1439" s="218">
        <v>137.17</v>
      </c>
      <c r="J1439" s="317" t="s">
        <v>52</v>
      </c>
      <c r="K1439" s="319">
        <v>2023.02</v>
      </c>
      <c r="L1439" s="218" t="s">
        <v>200</v>
      </c>
    </row>
    <row r="1440">
      <c r="A1440" s="223" t="s">
        <v>118</v>
      </c>
      <c r="B1440" s="223" t="s">
        <v>1312</v>
      </c>
      <c r="C1440" s="223" t="s">
        <v>1156</v>
      </c>
      <c r="D1440" s="320">
        <v>44985.0</v>
      </c>
      <c r="I1440" s="218">
        <v>27.24</v>
      </c>
      <c r="J1440" s="317" t="s">
        <v>52</v>
      </c>
      <c r="K1440" s="319">
        <v>2023.02</v>
      </c>
      <c r="L1440" s="218" t="s">
        <v>200</v>
      </c>
    </row>
    <row r="1441">
      <c r="A1441" s="223" t="s">
        <v>66</v>
      </c>
      <c r="B1441" s="223" t="s">
        <v>1324</v>
      </c>
      <c r="C1441" s="223" t="s">
        <v>1156</v>
      </c>
      <c r="D1441" s="320">
        <v>44985.0</v>
      </c>
      <c r="I1441" s="218">
        <v>123.13</v>
      </c>
      <c r="J1441" s="317" t="s">
        <v>52</v>
      </c>
      <c r="K1441" s="319">
        <v>2023.02</v>
      </c>
      <c r="L1441" s="218" t="s">
        <v>200</v>
      </c>
    </row>
    <row r="1442">
      <c r="A1442" s="223" t="s">
        <v>608</v>
      </c>
      <c r="B1442" s="223" t="s">
        <v>1417</v>
      </c>
      <c r="C1442" s="223" t="s">
        <v>1418</v>
      </c>
      <c r="D1442" s="320">
        <v>44985.0</v>
      </c>
      <c r="I1442" s="218">
        <v>199.6805555555556</v>
      </c>
      <c r="J1442" s="317" t="s">
        <v>1160</v>
      </c>
      <c r="K1442" s="319">
        <v>2023.0</v>
      </c>
      <c r="L1442" s="218" t="s">
        <v>200</v>
      </c>
    </row>
    <row r="1443">
      <c r="A1443" s="223" t="s">
        <v>668</v>
      </c>
      <c r="B1443" s="223" t="s">
        <v>1223</v>
      </c>
      <c r="C1443" s="223" t="s">
        <v>1440</v>
      </c>
      <c r="D1443" s="320">
        <v>44985.0</v>
      </c>
      <c r="I1443" s="218">
        <v>73.35416666666666</v>
      </c>
      <c r="J1443" s="317" t="s">
        <v>1160</v>
      </c>
      <c r="K1443" s="319">
        <v>2023.0</v>
      </c>
      <c r="L1443" s="218" t="s">
        <v>200</v>
      </c>
    </row>
    <row r="1444">
      <c r="A1444" s="223" t="s">
        <v>681</v>
      </c>
      <c r="B1444" s="223" t="s">
        <v>1444</v>
      </c>
      <c r="C1444" s="223" t="s">
        <v>1445</v>
      </c>
      <c r="D1444" s="320">
        <v>44985.0</v>
      </c>
      <c r="I1444" s="218">
        <v>34.90277777777777</v>
      </c>
      <c r="J1444" s="317" t="s">
        <v>1160</v>
      </c>
      <c r="K1444" s="319">
        <v>2023.0</v>
      </c>
      <c r="L1444" s="218" t="s">
        <v>200</v>
      </c>
    </row>
    <row r="1445">
      <c r="A1445" s="223" t="s">
        <v>584</v>
      </c>
      <c r="B1445" s="223" t="s">
        <v>1398</v>
      </c>
      <c r="C1445" s="223" t="s">
        <v>1403</v>
      </c>
      <c r="D1445" s="320">
        <v>44985.0</v>
      </c>
      <c r="I1445" s="218">
        <v>3.7152777777777777</v>
      </c>
      <c r="J1445" s="317" t="s">
        <v>1160</v>
      </c>
      <c r="K1445" s="319">
        <v>2023.0</v>
      </c>
      <c r="L1445" s="218" t="s">
        <v>200</v>
      </c>
    </row>
    <row r="1446">
      <c r="A1446" s="223" t="s">
        <v>123</v>
      </c>
      <c r="B1446" s="223" t="s">
        <v>1300</v>
      </c>
      <c r="C1446" s="223" t="s">
        <v>1156</v>
      </c>
      <c r="D1446" s="320">
        <v>44985.0</v>
      </c>
      <c r="I1446" s="218">
        <v>143.99999999999997</v>
      </c>
      <c r="J1446" s="317" t="s">
        <v>52</v>
      </c>
      <c r="K1446" s="319">
        <v>2023.02</v>
      </c>
      <c r="L1446" s="218" t="s">
        <v>200</v>
      </c>
    </row>
    <row r="1447">
      <c r="A1447" s="223" t="s">
        <v>629</v>
      </c>
      <c r="B1447" s="223" t="s">
        <v>1395</v>
      </c>
      <c r="C1447" s="223" t="s">
        <v>469</v>
      </c>
      <c r="D1447" s="320">
        <v>44985.0</v>
      </c>
      <c r="I1447" s="218">
        <v>15.152777777777779</v>
      </c>
      <c r="J1447" s="317" t="s">
        <v>52</v>
      </c>
      <c r="K1447" s="319">
        <v>2023.02</v>
      </c>
      <c r="L1447" s="218" t="s">
        <v>200</v>
      </c>
    </row>
    <row r="1448">
      <c r="A1448" s="223" t="s">
        <v>806</v>
      </c>
      <c r="B1448" s="223" t="s">
        <v>1305</v>
      </c>
      <c r="C1448" s="223" t="s">
        <v>1435</v>
      </c>
      <c r="D1448" s="320">
        <v>45016.0</v>
      </c>
      <c r="I1448" s="218">
        <v>87.5</v>
      </c>
      <c r="J1448" s="317" t="s">
        <v>1436</v>
      </c>
      <c r="K1448" s="319">
        <v>2023.0</v>
      </c>
      <c r="L1448" s="218" t="s">
        <v>200</v>
      </c>
    </row>
    <row r="1449">
      <c r="A1449" s="223" t="s">
        <v>82</v>
      </c>
      <c r="B1449" s="223" t="s">
        <v>1124</v>
      </c>
      <c r="C1449" s="223" t="s">
        <v>1156</v>
      </c>
      <c r="D1449" s="320">
        <v>45016.0</v>
      </c>
      <c r="I1449" s="218">
        <v>225.0</v>
      </c>
      <c r="J1449" s="317" t="s">
        <v>52</v>
      </c>
      <c r="K1449" s="319">
        <v>2023.03</v>
      </c>
      <c r="L1449" s="218" t="s">
        <v>200</v>
      </c>
    </row>
    <row r="1450">
      <c r="A1450" s="223" t="s">
        <v>92</v>
      </c>
      <c r="B1450" s="223" t="s">
        <v>1289</v>
      </c>
      <c r="C1450" s="223" t="s">
        <v>1156</v>
      </c>
      <c r="D1450" s="320">
        <v>45016.0</v>
      </c>
      <c r="I1450" s="218">
        <v>300.0</v>
      </c>
      <c r="J1450" s="317" t="s">
        <v>52</v>
      </c>
      <c r="K1450" s="319">
        <v>2023.03</v>
      </c>
      <c r="L1450" s="218" t="s">
        <v>200</v>
      </c>
    </row>
    <row r="1451">
      <c r="A1451" s="223" t="s">
        <v>695</v>
      </c>
      <c r="B1451" s="223" t="s">
        <v>1216</v>
      </c>
      <c r="C1451" s="223" t="s">
        <v>1451</v>
      </c>
      <c r="D1451" s="320">
        <v>45016.0</v>
      </c>
      <c r="I1451" s="218">
        <v>175.0</v>
      </c>
      <c r="J1451" s="317" t="s">
        <v>52</v>
      </c>
      <c r="K1451" s="319">
        <v>2023.03</v>
      </c>
      <c r="L1451" s="218" t="s">
        <v>200</v>
      </c>
    </row>
    <row r="1452">
      <c r="A1452" s="223" t="s">
        <v>795</v>
      </c>
      <c r="B1452" s="223" t="s">
        <v>1352</v>
      </c>
      <c r="C1452" s="223" t="s">
        <v>1393</v>
      </c>
      <c r="D1452" s="320">
        <v>45016.0</v>
      </c>
      <c r="I1452" s="218">
        <v>400.0</v>
      </c>
      <c r="J1452" s="317" t="s">
        <v>52</v>
      </c>
      <c r="K1452" s="319">
        <v>2023.03</v>
      </c>
      <c r="L1452" s="218" t="s">
        <v>200</v>
      </c>
    </row>
    <row r="1453">
      <c r="A1453" s="223" t="s">
        <v>1269</v>
      </c>
      <c r="B1453" s="223" t="s">
        <v>1264</v>
      </c>
      <c r="C1453" s="223" t="s">
        <v>1270</v>
      </c>
      <c r="D1453" s="320">
        <v>45016.0</v>
      </c>
      <c r="I1453" s="218">
        <v>120.0</v>
      </c>
      <c r="J1453" s="317" t="s">
        <v>1152</v>
      </c>
      <c r="K1453" s="319">
        <v>2023.0</v>
      </c>
      <c r="L1453" s="218" t="s">
        <v>200</v>
      </c>
    </row>
    <row r="1454">
      <c r="A1454" s="223" t="s">
        <v>92</v>
      </c>
      <c r="B1454" s="223" t="s">
        <v>1289</v>
      </c>
      <c r="C1454" s="223" t="s">
        <v>1156</v>
      </c>
      <c r="D1454" s="320">
        <v>45016.0</v>
      </c>
      <c r="I1454" s="218">
        <v>275.0</v>
      </c>
      <c r="J1454" s="317" t="s">
        <v>52</v>
      </c>
      <c r="K1454" s="319">
        <v>2023.03</v>
      </c>
      <c r="L1454" s="218" t="s">
        <v>200</v>
      </c>
    </row>
    <row r="1455">
      <c r="A1455" s="223" t="s">
        <v>88</v>
      </c>
      <c r="B1455" s="223" t="s">
        <v>1256</v>
      </c>
      <c r="C1455" s="223" t="s">
        <v>1156</v>
      </c>
      <c r="D1455" s="320">
        <v>45016.0</v>
      </c>
      <c r="I1455" s="218">
        <v>45.0</v>
      </c>
      <c r="J1455" s="317" t="s">
        <v>52</v>
      </c>
      <c r="K1455" s="319">
        <v>2023.03</v>
      </c>
      <c r="L1455" s="218" t="s">
        <v>200</v>
      </c>
    </row>
    <row r="1456">
      <c r="A1456" s="223" t="s">
        <v>97</v>
      </c>
      <c r="B1456" s="223" t="s">
        <v>1286</v>
      </c>
      <c r="C1456" s="223" t="s">
        <v>1156</v>
      </c>
      <c r="D1456" s="320">
        <v>45016.0</v>
      </c>
      <c r="I1456" s="218">
        <v>30.0</v>
      </c>
      <c r="J1456" s="317" t="s">
        <v>52</v>
      </c>
      <c r="K1456" s="319">
        <v>2023.03</v>
      </c>
      <c r="L1456" s="218" t="s">
        <v>200</v>
      </c>
    </row>
    <row r="1457">
      <c r="A1457" s="223" t="s">
        <v>82</v>
      </c>
      <c r="B1457" s="223" t="s">
        <v>1124</v>
      </c>
      <c r="C1457" s="223" t="s">
        <v>1156</v>
      </c>
      <c r="D1457" s="320">
        <v>45016.0</v>
      </c>
      <c r="I1457" s="218">
        <v>90.0</v>
      </c>
      <c r="J1457" s="317" t="s">
        <v>52</v>
      </c>
      <c r="K1457" s="319">
        <v>2023.03</v>
      </c>
      <c r="L1457" s="218" t="s">
        <v>200</v>
      </c>
    </row>
    <row r="1458">
      <c r="A1458" s="223" t="s">
        <v>99</v>
      </c>
      <c r="B1458" s="223" t="s">
        <v>1192</v>
      </c>
      <c r="C1458" s="223" t="s">
        <v>1156</v>
      </c>
      <c r="D1458" s="320">
        <v>45016.0</v>
      </c>
      <c r="I1458" s="218">
        <v>235.0</v>
      </c>
      <c r="J1458" s="317" t="s">
        <v>52</v>
      </c>
      <c r="K1458" s="319">
        <v>2023.03</v>
      </c>
      <c r="L1458" s="218" t="s">
        <v>200</v>
      </c>
    </row>
    <row r="1459">
      <c r="A1459" s="223" t="s">
        <v>42</v>
      </c>
      <c r="B1459" s="223" t="s">
        <v>1236</v>
      </c>
      <c r="C1459" s="223" t="s">
        <v>1156</v>
      </c>
      <c r="D1459" s="320">
        <v>45016.0</v>
      </c>
      <c r="I1459" s="218">
        <v>135.0</v>
      </c>
      <c r="J1459" s="317" t="s">
        <v>52</v>
      </c>
      <c r="K1459" s="319">
        <v>2023.03</v>
      </c>
      <c r="L1459" s="218" t="s">
        <v>200</v>
      </c>
    </row>
    <row r="1460">
      <c r="A1460" s="223" t="s">
        <v>123</v>
      </c>
      <c r="B1460" s="223" t="s">
        <v>1300</v>
      </c>
      <c r="C1460" s="223" t="s">
        <v>1156</v>
      </c>
      <c r="D1460" s="320">
        <v>45016.0</v>
      </c>
      <c r="I1460" s="218">
        <v>200.0</v>
      </c>
      <c r="J1460" s="317" t="s">
        <v>52</v>
      </c>
      <c r="K1460" s="319">
        <v>2023.03</v>
      </c>
      <c r="L1460" s="218" t="s">
        <v>200</v>
      </c>
    </row>
    <row r="1461">
      <c r="A1461" s="223" t="s">
        <v>73</v>
      </c>
      <c r="B1461" s="223" t="s">
        <v>1327</v>
      </c>
      <c r="C1461" s="223" t="s">
        <v>1156</v>
      </c>
      <c r="D1461" s="320">
        <v>45016.0</v>
      </c>
      <c r="I1461" s="218">
        <v>75.0</v>
      </c>
      <c r="J1461" s="317" t="s">
        <v>52</v>
      </c>
      <c r="K1461" s="319">
        <v>2023.03</v>
      </c>
      <c r="L1461" s="218" t="s">
        <v>200</v>
      </c>
    </row>
    <row r="1462">
      <c r="A1462" s="223" t="s">
        <v>50</v>
      </c>
      <c r="B1462" s="223" t="s">
        <v>1275</v>
      </c>
      <c r="C1462" s="223" t="s">
        <v>1156</v>
      </c>
      <c r="D1462" s="320">
        <v>45016.0</v>
      </c>
      <c r="I1462" s="218">
        <v>30.0</v>
      </c>
      <c r="J1462" s="317" t="s">
        <v>52</v>
      </c>
      <c r="K1462" s="319">
        <v>2023.03</v>
      </c>
      <c r="L1462" s="218" t="s">
        <v>200</v>
      </c>
    </row>
    <row r="1463">
      <c r="A1463" s="223" t="s">
        <v>62</v>
      </c>
      <c r="B1463" s="223" t="s">
        <v>1304</v>
      </c>
      <c r="C1463" s="223" t="s">
        <v>1156</v>
      </c>
      <c r="D1463" s="320">
        <v>45016.0</v>
      </c>
      <c r="I1463" s="218">
        <v>300.0</v>
      </c>
      <c r="J1463" s="317" t="s">
        <v>52</v>
      </c>
      <c r="K1463" s="319">
        <v>2023.03</v>
      </c>
      <c r="L1463" s="218" t="s">
        <v>200</v>
      </c>
    </row>
    <row r="1464">
      <c r="A1464" s="223" t="s">
        <v>223</v>
      </c>
      <c r="B1464" s="223" t="s">
        <v>1176</v>
      </c>
      <c r="C1464" s="223" t="s">
        <v>1156</v>
      </c>
      <c r="D1464" s="320">
        <v>45016.0</v>
      </c>
      <c r="I1464" s="218">
        <v>75.0</v>
      </c>
      <c r="J1464" s="317" t="s">
        <v>52</v>
      </c>
      <c r="K1464" s="319">
        <v>2023.03</v>
      </c>
      <c r="L1464" s="218" t="s">
        <v>200</v>
      </c>
    </row>
    <row r="1465">
      <c r="A1465" s="223" t="s">
        <v>225</v>
      </c>
      <c r="B1465" s="223" t="s">
        <v>1257</v>
      </c>
      <c r="C1465" s="223" t="s">
        <v>1156</v>
      </c>
      <c r="D1465" s="320">
        <v>45016.0</v>
      </c>
      <c r="I1465" s="218">
        <v>1860.0</v>
      </c>
      <c r="J1465" s="317" t="s">
        <v>52</v>
      </c>
      <c r="K1465" s="319">
        <v>2023.03</v>
      </c>
      <c r="L1465" s="218" t="s">
        <v>200</v>
      </c>
    </row>
    <row r="1466">
      <c r="A1466" s="223" t="s">
        <v>66</v>
      </c>
      <c r="B1466" s="223" t="s">
        <v>1324</v>
      </c>
      <c r="C1466" s="223" t="s">
        <v>1156</v>
      </c>
      <c r="D1466" s="320">
        <v>45016.0</v>
      </c>
      <c r="I1466" s="218">
        <v>90.0</v>
      </c>
      <c r="J1466" s="317" t="s">
        <v>52</v>
      </c>
      <c r="K1466" s="319">
        <v>2023.03</v>
      </c>
      <c r="L1466" s="218" t="s">
        <v>200</v>
      </c>
    </row>
    <row r="1467">
      <c r="A1467" s="223" t="s">
        <v>695</v>
      </c>
      <c r="B1467" s="223" t="s">
        <v>1216</v>
      </c>
      <c r="C1467" s="223" t="s">
        <v>1451</v>
      </c>
      <c r="D1467" s="320">
        <v>45016.0</v>
      </c>
      <c r="I1467" s="218">
        <v>45.0</v>
      </c>
      <c r="J1467" s="317" t="s">
        <v>52</v>
      </c>
      <c r="K1467" s="319">
        <v>2023.03</v>
      </c>
      <c r="L1467" s="218" t="s">
        <v>200</v>
      </c>
    </row>
    <row r="1468">
      <c r="A1468" s="223" t="s">
        <v>499</v>
      </c>
      <c r="B1468" s="223" t="s">
        <v>1330</v>
      </c>
      <c r="C1468" s="223" t="s">
        <v>1375</v>
      </c>
      <c r="D1468" s="320">
        <v>45016.0</v>
      </c>
      <c r="I1468" s="218">
        <v>100.0</v>
      </c>
      <c r="J1468" s="317" t="s">
        <v>52</v>
      </c>
      <c r="K1468" s="319">
        <v>2023.03</v>
      </c>
      <c r="L1468" s="218" t="s">
        <v>200</v>
      </c>
    </row>
    <row r="1469">
      <c r="A1469" s="223" t="s">
        <v>810</v>
      </c>
      <c r="B1469" s="223" t="s">
        <v>1363</v>
      </c>
      <c r="C1469" s="223" t="s">
        <v>1393</v>
      </c>
      <c r="D1469" s="320">
        <v>45016.0</v>
      </c>
      <c r="I1469" s="218">
        <v>60.0</v>
      </c>
      <c r="J1469" s="317" t="s">
        <v>52</v>
      </c>
      <c r="K1469" s="319">
        <v>2023.03</v>
      </c>
      <c r="L1469" s="218" t="s">
        <v>200</v>
      </c>
    </row>
    <row r="1470">
      <c r="A1470" s="223" t="s">
        <v>762</v>
      </c>
      <c r="B1470" s="223" t="s">
        <v>1429</v>
      </c>
      <c r="C1470" s="223" t="s">
        <v>1432</v>
      </c>
      <c r="D1470" s="320">
        <v>45016.0</v>
      </c>
      <c r="I1470" s="218">
        <v>322.5</v>
      </c>
      <c r="J1470" s="317" t="s">
        <v>52</v>
      </c>
      <c r="K1470" s="319">
        <v>2023.03</v>
      </c>
      <c r="L1470" s="218" t="s">
        <v>200</v>
      </c>
    </row>
    <row r="1471">
      <c r="A1471" s="223" t="s">
        <v>740</v>
      </c>
      <c r="B1471" s="223" t="s">
        <v>1209</v>
      </c>
      <c r="C1471" s="223" t="s">
        <v>1463</v>
      </c>
      <c r="D1471" s="320">
        <v>45016.0</v>
      </c>
      <c r="I1471" s="218">
        <v>425.0</v>
      </c>
      <c r="J1471" s="317" t="s">
        <v>1160</v>
      </c>
      <c r="K1471" s="319">
        <v>2023.0</v>
      </c>
      <c r="L1471" s="218" t="s">
        <v>200</v>
      </c>
    </row>
    <row r="1472">
      <c r="A1472" s="223" t="s">
        <v>788</v>
      </c>
      <c r="B1472" s="223" t="s">
        <v>1250</v>
      </c>
      <c r="C1472" s="223" t="s">
        <v>1470</v>
      </c>
      <c r="D1472" s="320">
        <v>45016.0</v>
      </c>
      <c r="I1472" s="218">
        <v>710.0</v>
      </c>
      <c r="J1472" s="317" t="s">
        <v>52</v>
      </c>
      <c r="K1472" s="319">
        <v>2023.03</v>
      </c>
      <c r="L1472" s="218" t="s">
        <v>200</v>
      </c>
    </row>
    <row r="1473">
      <c r="A1473" s="223" t="s">
        <v>817</v>
      </c>
      <c r="B1473" s="223" t="s">
        <v>1473</v>
      </c>
      <c r="C1473" s="223" t="s">
        <v>1393</v>
      </c>
      <c r="D1473" s="320">
        <v>45016.0</v>
      </c>
      <c r="I1473" s="218">
        <v>1200.0</v>
      </c>
      <c r="J1473" s="317" t="s">
        <v>52</v>
      </c>
      <c r="K1473" s="319">
        <v>2023.03</v>
      </c>
      <c r="L1473" s="218" t="s">
        <v>200</v>
      </c>
    </row>
    <row r="1474">
      <c r="A1474" s="223" t="s">
        <v>795</v>
      </c>
      <c r="B1474" s="223" t="s">
        <v>1352</v>
      </c>
      <c r="C1474" s="223" t="s">
        <v>1393</v>
      </c>
      <c r="D1474" s="320">
        <v>45016.0</v>
      </c>
      <c r="I1474" s="218">
        <v>390.0</v>
      </c>
      <c r="J1474" s="317" t="s">
        <v>52</v>
      </c>
      <c r="K1474" s="319">
        <v>2023.03</v>
      </c>
      <c r="L1474" s="218" t="s">
        <v>200</v>
      </c>
    </row>
    <row r="1475">
      <c r="A1475" s="223" t="s">
        <v>481</v>
      </c>
      <c r="B1475" s="223" t="s">
        <v>1200</v>
      </c>
      <c r="C1475" s="223" t="s">
        <v>1374</v>
      </c>
      <c r="D1475" s="320">
        <v>45016.0</v>
      </c>
      <c r="I1475" s="218">
        <v>175.0</v>
      </c>
      <c r="J1475" s="317" t="s">
        <v>1160</v>
      </c>
      <c r="K1475" s="319">
        <v>2023.0</v>
      </c>
      <c r="L1475" s="218" t="s">
        <v>200</v>
      </c>
    </row>
    <row r="1476">
      <c r="A1476" s="223" t="s">
        <v>861</v>
      </c>
      <c r="B1476" s="223" t="s">
        <v>1483</v>
      </c>
      <c r="C1476" s="223" t="s">
        <v>1393</v>
      </c>
      <c r="D1476" s="320">
        <v>45016.0</v>
      </c>
      <c r="I1476" s="218">
        <v>930.0</v>
      </c>
      <c r="J1476" s="317" t="s">
        <v>52</v>
      </c>
      <c r="K1476" s="319">
        <v>2023.03</v>
      </c>
      <c r="L1476" s="218" t="s">
        <v>200</v>
      </c>
    </row>
    <row r="1477">
      <c r="A1477" s="223" t="s">
        <v>806</v>
      </c>
      <c r="B1477" s="223" t="s">
        <v>1305</v>
      </c>
      <c r="C1477" s="223" t="s">
        <v>1435</v>
      </c>
      <c r="D1477" s="320">
        <v>45016.0</v>
      </c>
      <c r="I1477" s="218">
        <v>45.0</v>
      </c>
      <c r="J1477" s="317" t="s">
        <v>1436</v>
      </c>
      <c r="K1477" s="319">
        <v>2023.0</v>
      </c>
      <c r="L1477" s="218" t="s">
        <v>200</v>
      </c>
    </row>
    <row r="1478">
      <c r="A1478" s="223" t="s">
        <v>102</v>
      </c>
      <c r="B1478" s="223" t="s">
        <v>1259</v>
      </c>
      <c r="C1478" s="223" t="s">
        <v>1156</v>
      </c>
      <c r="D1478" s="320">
        <v>45016.0</v>
      </c>
      <c r="I1478" s="218">
        <v>150.0</v>
      </c>
      <c r="J1478" s="317" t="s">
        <v>52</v>
      </c>
      <c r="K1478" s="319">
        <v>2023.03</v>
      </c>
      <c r="L1478" s="218" t="s">
        <v>200</v>
      </c>
    </row>
    <row r="1479">
      <c r="A1479" s="223" t="s">
        <v>115</v>
      </c>
      <c r="B1479" s="223" t="s">
        <v>1308</v>
      </c>
      <c r="C1479" s="223" t="s">
        <v>1156</v>
      </c>
      <c r="D1479" s="320">
        <v>45016.0</v>
      </c>
      <c r="I1479" s="218">
        <v>662.5</v>
      </c>
      <c r="J1479" s="317" t="s">
        <v>52</v>
      </c>
      <c r="K1479" s="319">
        <v>2023.03</v>
      </c>
      <c r="L1479" s="218" t="s">
        <v>200</v>
      </c>
    </row>
    <row r="1480">
      <c r="A1480" s="223" t="s">
        <v>118</v>
      </c>
      <c r="B1480" s="223" t="s">
        <v>1312</v>
      </c>
      <c r="C1480" s="223" t="s">
        <v>1156</v>
      </c>
      <c r="D1480" s="320">
        <v>45016.0</v>
      </c>
      <c r="I1480" s="218">
        <v>662.5</v>
      </c>
      <c r="J1480" s="317" t="s">
        <v>52</v>
      </c>
      <c r="K1480" s="319">
        <v>2023.03</v>
      </c>
      <c r="L1480" s="218" t="s">
        <v>200</v>
      </c>
    </row>
    <row r="1481">
      <c r="A1481" s="223" t="s">
        <v>92</v>
      </c>
      <c r="B1481" s="223" t="s">
        <v>1289</v>
      </c>
      <c r="C1481" s="223" t="s">
        <v>1156</v>
      </c>
      <c r="D1481" s="320">
        <v>45016.0</v>
      </c>
      <c r="I1481" s="218">
        <v>562.5</v>
      </c>
      <c r="J1481" s="317" t="s">
        <v>52</v>
      </c>
      <c r="K1481" s="319">
        <v>2023.03</v>
      </c>
      <c r="L1481" s="218" t="s">
        <v>200</v>
      </c>
    </row>
    <row r="1482">
      <c r="A1482" s="223" t="s">
        <v>123</v>
      </c>
      <c r="B1482" s="223" t="s">
        <v>1300</v>
      </c>
      <c r="C1482" s="223" t="s">
        <v>1156</v>
      </c>
      <c r="D1482" s="320">
        <v>45016.0</v>
      </c>
      <c r="I1482" s="218">
        <v>675.0</v>
      </c>
      <c r="J1482" s="317" t="s">
        <v>52</v>
      </c>
      <c r="K1482" s="319">
        <v>2023.03</v>
      </c>
      <c r="L1482" s="218" t="s">
        <v>200</v>
      </c>
    </row>
    <row r="1483">
      <c r="A1483" s="223" t="s">
        <v>62</v>
      </c>
      <c r="B1483" s="223" t="s">
        <v>1304</v>
      </c>
      <c r="C1483" s="223" t="s">
        <v>1156</v>
      </c>
      <c r="D1483" s="320">
        <v>45016.0</v>
      </c>
      <c r="I1483" s="218">
        <v>450.0</v>
      </c>
      <c r="J1483" s="317" t="s">
        <v>52</v>
      </c>
      <c r="K1483" s="319">
        <v>2023.03</v>
      </c>
      <c r="L1483" s="218" t="s">
        <v>200</v>
      </c>
    </row>
    <row r="1484">
      <c r="A1484" s="223" t="s">
        <v>99</v>
      </c>
      <c r="B1484" s="223" t="s">
        <v>1192</v>
      </c>
      <c r="C1484" s="223" t="s">
        <v>1156</v>
      </c>
      <c r="D1484" s="320">
        <v>45016.0</v>
      </c>
      <c r="I1484" s="218">
        <v>400.0</v>
      </c>
      <c r="J1484" s="317" t="s">
        <v>52</v>
      </c>
      <c r="K1484" s="319">
        <v>2023.03</v>
      </c>
      <c r="L1484" s="218" t="s">
        <v>200</v>
      </c>
    </row>
    <row r="1485">
      <c r="A1485" s="223" t="s">
        <v>42</v>
      </c>
      <c r="B1485" s="223" t="s">
        <v>1236</v>
      </c>
      <c r="C1485" s="223" t="s">
        <v>1156</v>
      </c>
      <c r="D1485" s="320">
        <v>45016.0</v>
      </c>
      <c r="I1485" s="218">
        <v>287.5</v>
      </c>
      <c r="J1485" s="317" t="s">
        <v>52</v>
      </c>
      <c r="K1485" s="319">
        <v>2023.03</v>
      </c>
      <c r="L1485" s="218" t="s">
        <v>200</v>
      </c>
    </row>
    <row r="1486">
      <c r="A1486" s="223" t="s">
        <v>499</v>
      </c>
      <c r="B1486" s="223" t="s">
        <v>1330</v>
      </c>
      <c r="C1486" s="223" t="s">
        <v>1375</v>
      </c>
      <c r="D1486" s="320">
        <v>45016.0</v>
      </c>
      <c r="I1486" s="218">
        <v>200.0</v>
      </c>
      <c r="J1486" s="317" t="s">
        <v>52</v>
      </c>
      <c r="K1486" s="319">
        <v>2023.03</v>
      </c>
      <c r="L1486" s="218" t="s">
        <v>200</v>
      </c>
    </row>
    <row r="1487">
      <c r="A1487" s="223" t="s">
        <v>861</v>
      </c>
      <c r="B1487" s="223" t="s">
        <v>1483</v>
      </c>
      <c r="C1487" s="223" t="s">
        <v>1393</v>
      </c>
      <c r="D1487" s="320">
        <v>45016.0</v>
      </c>
      <c r="I1487" s="218">
        <v>1100.0</v>
      </c>
      <c r="J1487" s="317" t="s">
        <v>52</v>
      </c>
      <c r="K1487" s="319">
        <v>2023.03</v>
      </c>
      <c r="L1487" s="218" t="s">
        <v>200</v>
      </c>
    </row>
    <row r="1488">
      <c r="A1488" s="223" t="s">
        <v>890</v>
      </c>
      <c r="B1488" s="223" t="s">
        <v>1475</v>
      </c>
      <c r="C1488" s="223" t="s">
        <v>1499</v>
      </c>
      <c r="D1488" s="320">
        <v>45016.0</v>
      </c>
      <c r="I1488" s="218">
        <v>300.0</v>
      </c>
      <c r="J1488" s="317" t="s">
        <v>52</v>
      </c>
      <c r="K1488" s="319">
        <v>2023.03</v>
      </c>
      <c r="L1488" s="218" t="s">
        <v>200</v>
      </c>
    </row>
    <row r="1489">
      <c r="A1489" s="223" t="s">
        <v>549</v>
      </c>
      <c r="B1489" s="223" t="s">
        <v>1368</v>
      </c>
      <c r="C1489" s="223" t="s">
        <v>1393</v>
      </c>
      <c r="D1489" s="320">
        <v>45016.0</v>
      </c>
      <c r="I1489" s="218">
        <v>150.0</v>
      </c>
      <c r="J1489" s="317" t="s">
        <v>52</v>
      </c>
      <c r="K1489" s="319">
        <v>2023.03</v>
      </c>
      <c r="L1489" s="218" t="s">
        <v>200</v>
      </c>
    </row>
    <row r="1490">
      <c r="A1490" s="223" t="s">
        <v>662</v>
      </c>
      <c r="B1490" s="223" t="s">
        <v>1433</v>
      </c>
      <c r="C1490" s="223" t="s">
        <v>1434</v>
      </c>
      <c r="D1490" s="320">
        <v>45016.0</v>
      </c>
      <c r="I1490" s="218">
        <v>550.0</v>
      </c>
      <c r="J1490" s="317" t="s">
        <v>52</v>
      </c>
      <c r="K1490" s="319">
        <v>2023.03</v>
      </c>
      <c r="L1490" s="218" t="s">
        <v>200</v>
      </c>
    </row>
    <row r="1491">
      <c r="A1491" s="223" t="s">
        <v>42</v>
      </c>
      <c r="B1491" s="223" t="s">
        <v>1236</v>
      </c>
      <c r="C1491" s="223" t="s">
        <v>1156</v>
      </c>
      <c r="D1491" s="320">
        <v>45016.0</v>
      </c>
      <c r="I1491" s="218">
        <v>350.0</v>
      </c>
      <c r="J1491" s="317" t="s">
        <v>52</v>
      </c>
      <c r="K1491" s="319">
        <v>2023.03</v>
      </c>
      <c r="L1491" s="218" t="s">
        <v>200</v>
      </c>
    </row>
    <row r="1492">
      <c r="A1492" s="223" t="s">
        <v>54</v>
      </c>
      <c r="B1492" s="223" t="s">
        <v>1187</v>
      </c>
      <c r="C1492" s="223" t="s">
        <v>1156</v>
      </c>
      <c r="D1492" s="320">
        <v>45016.0</v>
      </c>
      <c r="I1492" s="218">
        <v>337.5</v>
      </c>
      <c r="J1492" s="317" t="s">
        <v>52</v>
      </c>
      <c r="K1492" s="319">
        <v>2023.03</v>
      </c>
      <c r="L1492" s="218" t="s">
        <v>200</v>
      </c>
    </row>
    <row r="1493">
      <c r="A1493" s="223" t="s">
        <v>120</v>
      </c>
      <c r="B1493" s="223" t="s">
        <v>1215</v>
      </c>
      <c r="C1493" s="223" t="s">
        <v>1156</v>
      </c>
      <c r="D1493" s="320">
        <v>45016.0</v>
      </c>
      <c r="I1493" s="218">
        <v>562.5</v>
      </c>
      <c r="J1493" s="317" t="s">
        <v>52</v>
      </c>
      <c r="K1493" s="319">
        <v>2023.03</v>
      </c>
      <c r="L1493" s="218" t="s">
        <v>200</v>
      </c>
    </row>
    <row r="1494">
      <c r="A1494" s="223" t="s">
        <v>499</v>
      </c>
      <c r="B1494" s="223" t="s">
        <v>1330</v>
      </c>
      <c r="C1494" s="223" t="s">
        <v>1375</v>
      </c>
      <c r="D1494" s="320">
        <v>45016.0</v>
      </c>
      <c r="I1494" s="218">
        <v>300.0</v>
      </c>
      <c r="J1494" s="317" t="s">
        <v>52</v>
      </c>
      <c r="K1494" s="319">
        <v>2023.03</v>
      </c>
      <c r="L1494" s="218" t="s">
        <v>200</v>
      </c>
    </row>
    <row r="1495">
      <c r="A1495" s="223" t="s">
        <v>788</v>
      </c>
      <c r="B1495" s="223" t="s">
        <v>1250</v>
      </c>
      <c r="C1495" s="223" t="s">
        <v>1470</v>
      </c>
      <c r="D1495" s="320">
        <v>45016.0</v>
      </c>
      <c r="I1495" s="218">
        <v>300.0</v>
      </c>
      <c r="J1495" s="317" t="s">
        <v>52</v>
      </c>
      <c r="K1495" s="319">
        <v>2023.03</v>
      </c>
      <c r="L1495" s="218" t="s">
        <v>200</v>
      </c>
    </row>
    <row r="1496">
      <c r="A1496" s="223" t="s">
        <v>662</v>
      </c>
      <c r="B1496" s="223" t="s">
        <v>1433</v>
      </c>
      <c r="C1496" s="223" t="s">
        <v>1434</v>
      </c>
      <c r="D1496" s="320">
        <v>45016.0</v>
      </c>
      <c r="I1496" s="218">
        <v>315.0</v>
      </c>
      <c r="J1496" s="317" t="s">
        <v>52</v>
      </c>
      <c r="K1496" s="319">
        <v>2023.03</v>
      </c>
      <c r="L1496" s="218" t="s">
        <v>200</v>
      </c>
    </row>
    <row r="1497">
      <c r="A1497" s="223" t="s">
        <v>858</v>
      </c>
      <c r="B1497" s="223" t="s">
        <v>1481</v>
      </c>
      <c r="C1497" s="223" t="s">
        <v>1482</v>
      </c>
      <c r="D1497" s="320">
        <v>45016.0</v>
      </c>
      <c r="I1497" s="218">
        <v>400.0</v>
      </c>
      <c r="J1497" s="317" t="s">
        <v>1160</v>
      </c>
      <c r="K1497" s="319">
        <v>2023.0</v>
      </c>
      <c r="L1497" s="218" t="s">
        <v>200</v>
      </c>
    </row>
    <row r="1498">
      <c r="A1498" s="223" t="s">
        <v>865</v>
      </c>
      <c r="B1498" s="223" t="s">
        <v>1487</v>
      </c>
      <c r="C1498" s="223" t="s">
        <v>1172</v>
      </c>
      <c r="D1498" s="320">
        <v>45016.0</v>
      </c>
      <c r="I1498" s="218">
        <v>465.0</v>
      </c>
      <c r="J1498" s="317" t="s">
        <v>1160</v>
      </c>
      <c r="K1498" s="319">
        <v>2023.0</v>
      </c>
      <c r="L1498" s="218" t="s">
        <v>200</v>
      </c>
    </row>
    <row r="1499">
      <c r="A1499" s="223" t="s">
        <v>768</v>
      </c>
      <c r="B1499" s="223" t="s">
        <v>1383</v>
      </c>
      <c r="C1499" s="223" t="s">
        <v>1179</v>
      </c>
      <c r="D1499" s="320">
        <v>45016.0</v>
      </c>
      <c r="I1499" s="218">
        <v>165.0</v>
      </c>
      <c r="J1499" s="317" t="s">
        <v>1160</v>
      </c>
      <c r="K1499" s="319">
        <v>2023.0</v>
      </c>
      <c r="L1499" s="218" t="s">
        <v>200</v>
      </c>
    </row>
    <row r="1500">
      <c r="A1500" s="223" t="s">
        <v>608</v>
      </c>
      <c r="B1500" s="223" t="s">
        <v>1417</v>
      </c>
      <c r="C1500" s="223" t="s">
        <v>1418</v>
      </c>
      <c r="D1500" s="320">
        <v>45016.0</v>
      </c>
      <c r="I1500" s="218">
        <v>50.0</v>
      </c>
      <c r="J1500" s="317" t="s">
        <v>1160</v>
      </c>
      <c r="K1500" s="319">
        <v>2023.0</v>
      </c>
      <c r="L1500" s="218" t="s">
        <v>200</v>
      </c>
    </row>
    <row r="1501">
      <c r="A1501" s="223" t="s">
        <v>66</v>
      </c>
      <c r="B1501" s="223" t="s">
        <v>1324</v>
      </c>
      <c r="C1501" s="223" t="s">
        <v>1156</v>
      </c>
      <c r="D1501" s="320">
        <v>45016.0</v>
      </c>
      <c r="I1501" s="218">
        <v>325.0</v>
      </c>
      <c r="J1501" s="317" t="s">
        <v>52</v>
      </c>
      <c r="K1501" s="319">
        <v>2023.03</v>
      </c>
      <c r="L1501" s="218" t="s">
        <v>200</v>
      </c>
    </row>
    <row r="1502">
      <c r="A1502" s="223" t="s">
        <v>97</v>
      </c>
      <c r="B1502" s="223" t="s">
        <v>1286</v>
      </c>
      <c r="C1502" s="223" t="s">
        <v>1156</v>
      </c>
      <c r="D1502" s="320">
        <v>45016.0</v>
      </c>
      <c r="I1502" s="218">
        <v>137.5</v>
      </c>
      <c r="J1502" s="317" t="s">
        <v>52</v>
      </c>
      <c r="K1502" s="319">
        <v>2023.03</v>
      </c>
      <c r="L1502" s="218" t="s">
        <v>200</v>
      </c>
    </row>
    <row r="1503">
      <c r="A1503" s="223" t="s">
        <v>73</v>
      </c>
      <c r="B1503" s="223" t="s">
        <v>1327</v>
      </c>
      <c r="C1503" s="223" t="s">
        <v>1156</v>
      </c>
      <c r="D1503" s="320">
        <v>45016.0</v>
      </c>
      <c r="I1503" s="218">
        <v>287.5</v>
      </c>
      <c r="J1503" s="317" t="s">
        <v>52</v>
      </c>
      <c r="K1503" s="319">
        <v>2023.03</v>
      </c>
      <c r="L1503" s="218" t="s">
        <v>200</v>
      </c>
    </row>
    <row r="1504">
      <c r="A1504" s="223" t="s">
        <v>223</v>
      </c>
      <c r="B1504" s="223" t="s">
        <v>1176</v>
      </c>
      <c r="C1504" s="223" t="s">
        <v>1156</v>
      </c>
      <c r="D1504" s="320">
        <v>45016.0</v>
      </c>
      <c r="I1504" s="218">
        <v>400.0</v>
      </c>
      <c r="J1504" s="317" t="s">
        <v>52</v>
      </c>
      <c r="K1504" s="319">
        <v>2023.03</v>
      </c>
      <c r="L1504" s="218" t="s">
        <v>200</v>
      </c>
    </row>
    <row r="1505">
      <c r="A1505" s="223" t="s">
        <v>50</v>
      </c>
      <c r="B1505" s="223" t="s">
        <v>1275</v>
      </c>
      <c r="C1505" s="223" t="s">
        <v>1156</v>
      </c>
      <c r="D1505" s="320">
        <v>45016.0</v>
      </c>
      <c r="I1505" s="218">
        <v>150.0</v>
      </c>
      <c r="J1505" s="317" t="s">
        <v>52</v>
      </c>
      <c r="K1505" s="319">
        <v>2023.03</v>
      </c>
      <c r="L1505" s="218" t="s">
        <v>200</v>
      </c>
    </row>
    <row r="1506">
      <c r="A1506" s="223" t="s">
        <v>810</v>
      </c>
      <c r="B1506" s="223" t="s">
        <v>1363</v>
      </c>
      <c r="C1506" s="223" t="s">
        <v>1393</v>
      </c>
      <c r="D1506" s="320">
        <v>45016.0</v>
      </c>
      <c r="I1506" s="218">
        <v>262.5</v>
      </c>
      <c r="J1506" s="317" t="s">
        <v>52</v>
      </c>
      <c r="K1506" s="319">
        <v>2023.03</v>
      </c>
      <c r="L1506" s="218" t="s">
        <v>200</v>
      </c>
    </row>
    <row r="1507">
      <c r="A1507" s="223" t="s">
        <v>817</v>
      </c>
      <c r="B1507" s="223" t="s">
        <v>1473</v>
      </c>
      <c r="C1507" s="223" t="s">
        <v>1393</v>
      </c>
      <c r="D1507" s="320">
        <v>45016.0</v>
      </c>
      <c r="I1507" s="218">
        <v>1250.0</v>
      </c>
      <c r="J1507" s="317" t="s">
        <v>52</v>
      </c>
      <c r="K1507" s="319">
        <v>2023.03</v>
      </c>
      <c r="L1507" s="218" t="s">
        <v>200</v>
      </c>
    </row>
    <row r="1508">
      <c r="A1508" s="223" t="s">
        <v>88</v>
      </c>
      <c r="B1508" s="223" t="s">
        <v>1256</v>
      </c>
      <c r="C1508" s="223" t="s">
        <v>1156</v>
      </c>
      <c r="D1508" s="320">
        <v>45016.0</v>
      </c>
      <c r="I1508" s="218">
        <v>212.5</v>
      </c>
      <c r="J1508" s="317" t="s">
        <v>52</v>
      </c>
      <c r="K1508" s="319">
        <v>2023.03</v>
      </c>
      <c r="L1508" s="218" t="s">
        <v>200</v>
      </c>
    </row>
    <row r="1509">
      <c r="A1509" s="223" t="s">
        <v>768</v>
      </c>
      <c r="B1509" s="223" t="s">
        <v>1383</v>
      </c>
      <c r="C1509" s="223" t="s">
        <v>1179</v>
      </c>
      <c r="D1509" s="320">
        <v>45016.0</v>
      </c>
      <c r="I1509" s="218">
        <v>75.0</v>
      </c>
      <c r="J1509" s="317" t="s">
        <v>1160</v>
      </c>
      <c r="K1509" s="319">
        <v>2023.0</v>
      </c>
      <c r="L1509" s="218" t="s">
        <v>200</v>
      </c>
    </row>
    <row r="1510">
      <c r="A1510" s="223" t="s">
        <v>1271</v>
      </c>
      <c r="B1510" s="223" t="s">
        <v>1264</v>
      </c>
      <c r="C1510" s="223" t="s">
        <v>1272</v>
      </c>
      <c r="D1510" s="320">
        <v>45029.0</v>
      </c>
      <c r="I1510" s="218">
        <v>6.16</v>
      </c>
      <c r="J1510" s="317" t="s">
        <v>1152</v>
      </c>
      <c r="K1510" s="319">
        <v>2023.0</v>
      </c>
      <c r="L1510" s="218" t="s">
        <v>200</v>
      </c>
    </row>
    <row r="1511">
      <c r="A1511" s="223" t="s">
        <v>1271</v>
      </c>
      <c r="B1511" s="223" t="s">
        <v>1264</v>
      </c>
      <c r="C1511" s="223" t="s">
        <v>1272</v>
      </c>
      <c r="D1511" s="320">
        <v>45029.0</v>
      </c>
      <c r="I1511" s="218">
        <v>140.0</v>
      </c>
      <c r="J1511" s="317" t="s">
        <v>1152</v>
      </c>
      <c r="K1511" s="319">
        <v>2023.0</v>
      </c>
      <c r="L1511" s="218" t="s">
        <v>200</v>
      </c>
    </row>
    <row r="1512">
      <c r="A1512" s="223" t="s">
        <v>1271</v>
      </c>
      <c r="B1512" s="223" t="s">
        <v>1264</v>
      </c>
      <c r="C1512" s="223" t="s">
        <v>1272</v>
      </c>
      <c r="D1512" s="320">
        <v>45029.0</v>
      </c>
      <c r="I1512" s="218">
        <v>15.14</v>
      </c>
      <c r="J1512" s="317" t="s">
        <v>1152</v>
      </c>
      <c r="K1512" s="319">
        <v>2023.0</v>
      </c>
      <c r="L1512" s="218" t="s">
        <v>200</v>
      </c>
    </row>
    <row r="1513">
      <c r="A1513" s="223" t="s">
        <v>1271</v>
      </c>
      <c r="B1513" s="223" t="s">
        <v>1264</v>
      </c>
      <c r="C1513" s="223" t="s">
        <v>1272</v>
      </c>
      <c r="D1513" s="320">
        <v>45029.0</v>
      </c>
      <c r="I1513" s="218">
        <v>131.25</v>
      </c>
      <c r="J1513" s="317" t="s">
        <v>1152</v>
      </c>
      <c r="K1513" s="319">
        <v>2023.0</v>
      </c>
      <c r="L1513" s="218" t="s">
        <v>200</v>
      </c>
    </row>
    <row r="1514">
      <c r="A1514" s="223" t="s">
        <v>1269</v>
      </c>
      <c r="B1514" s="223" t="s">
        <v>1264</v>
      </c>
      <c r="C1514" s="223" t="s">
        <v>1270</v>
      </c>
      <c r="D1514" s="320">
        <v>45029.0</v>
      </c>
      <c r="I1514" s="218">
        <v>41.03</v>
      </c>
      <c r="J1514" s="317" t="s">
        <v>1152</v>
      </c>
      <c r="K1514" s="319">
        <v>2023.0</v>
      </c>
      <c r="L1514" s="218" t="s">
        <v>200</v>
      </c>
    </row>
    <row r="1515">
      <c r="A1515" s="223" t="s">
        <v>1271</v>
      </c>
      <c r="B1515" s="223" t="s">
        <v>1264</v>
      </c>
      <c r="C1515" s="223" t="s">
        <v>1272</v>
      </c>
      <c r="D1515" s="320">
        <v>45029.0</v>
      </c>
      <c r="I1515" s="218">
        <v>65.81</v>
      </c>
      <c r="J1515" s="317" t="s">
        <v>1152</v>
      </c>
      <c r="K1515" s="319">
        <v>2023.0</v>
      </c>
      <c r="L1515" s="218" t="s">
        <v>200</v>
      </c>
    </row>
    <row r="1516">
      <c r="A1516" s="223" t="s">
        <v>1271</v>
      </c>
      <c r="B1516" s="223" t="s">
        <v>1264</v>
      </c>
      <c r="C1516" s="223" t="s">
        <v>1272</v>
      </c>
      <c r="D1516" s="320">
        <v>45029.0</v>
      </c>
      <c r="I1516" s="218">
        <v>198.85</v>
      </c>
      <c r="J1516" s="317" t="s">
        <v>1152</v>
      </c>
      <c r="K1516" s="319">
        <v>2023.0</v>
      </c>
      <c r="L1516" s="218" t="s">
        <v>200</v>
      </c>
    </row>
    <row r="1517">
      <c r="A1517" s="223" t="s">
        <v>1271</v>
      </c>
      <c r="B1517" s="223" t="s">
        <v>1264</v>
      </c>
      <c r="C1517" s="223" t="s">
        <v>1272</v>
      </c>
      <c r="D1517" s="320">
        <v>45029.0</v>
      </c>
      <c r="I1517" s="218">
        <v>137.31</v>
      </c>
      <c r="J1517" s="317" t="s">
        <v>1152</v>
      </c>
      <c r="K1517" s="319">
        <v>2023.0</v>
      </c>
      <c r="L1517" s="218" t="s">
        <v>200</v>
      </c>
    </row>
    <row r="1518">
      <c r="A1518" s="223" t="s">
        <v>740</v>
      </c>
      <c r="B1518" s="223" t="s">
        <v>1209</v>
      </c>
      <c r="C1518" s="223" t="s">
        <v>1463</v>
      </c>
      <c r="D1518" s="320">
        <v>45016.0</v>
      </c>
      <c r="I1518" s="218">
        <v>143.81</v>
      </c>
      <c r="J1518" s="317" t="s">
        <v>1160</v>
      </c>
      <c r="K1518" s="319">
        <v>2023.0</v>
      </c>
      <c r="L1518" s="218" t="s">
        <v>200</v>
      </c>
    </row>
    <row r="1519">
      <c r="A1519" s="223" t="s">
        <v>788</v>
      </c>
      <c r="B1519" s="223" t="s">
        <v>1250</v>
      </c>
      <c r="C1519" s="223" t="s">
        <v>1470</v>
      </c>
      <c r="D1519" s="320">
        <v>45016.0</v>
      </c>
      <c r="I1519" s="218">
        <v>296.92</v>
      </c>
      <c r="J1519" s="317" t="s">
        <v>52</v>
      </c>
      <c r="K1519" s="319">
        <v>2023.03</v>
      </c>
      <c r="L1519" s="218" t="s">
        <v>200</v>
      </c>
    </row>
    <row r="1520">
      <c r="A1520" s="223" t="s">
        <v>835</v>
      </c>
      <c r="B1520" s="223" t="s">
        <v>1478</v>
      </c>
      <c r="C1520" s="223" t="s">
        <v>36</v>
      </c>
      <c r="D1520" s="320">
        <v>45016.0</v>
      </c>
      <c r="I1520" s="218">
        <v>2017.17</v>
      </c>
      <c r="J1520" s="317" t="s">
        <v>1160</v>
      </c>
      <c r="K1520" s="319">
        <v>2023.0</v>
      </c>
      <c r="L1520" s="218" t="s">
        <v>200</v>
      </c>
    </row>
    <row r="1521">
      <c r="A1521" s="223" t="s">
        <v>890</v>
      </c>
      <c r="B1521" s="223" t="s">
        <v>1475</v>
      </c>
      <c r="C1521" s="223" t="s">
        <v>1499</v>
      </c>
      <c r="D1521" s="320">
        <v>45016.0</v>
      </c>
      <c r="I1521" s="218">
        <v>87.53</v>
      </c>
      <c r="J1521" s="317" t="s">
        <v>52</v>
      </c>
      <c r="K1521" s="319">
        <v>2023.03</v>
      </c>
      <c r="L1521" s="218" t="s">
        <v>200</v>
      </c>
    </row>
    <row r="1522">
      <c r="A1522" s="223" t="s">
        <v>890</v>
      </c>
      <c r="B1522" s="223" t="s">
        <v>1475</v>
      </c>
      <c r="C1522" s="223" t="s">
        <v>1499</v>
      </c>
      <c r="D1522" s="320">
        <v>45016.0</v>
      </c>
      <c r="I1522" s="218">
        <v>54.15</v>
      </c>
      <c r="J1522" s="317" t="s">
        <v>52</v>
      </c>
      <c r="K1522" s="319">
        <v>2023.03</v>
      </c>
      <c r="L1522" s="218" t="s">
        <v>200</v>
      </c>
    </row>
    <row r="1523">
      <c r="A1523" s="223" t="s">
        <v>898</v>
      </c>
      <c r="B1523" s="223" t="s">
        <v>1383</v>
      </c>
      <c r="C1523" s="223" t="s">
        <v>1503</v>
      </c>
      <c r="D1523" s="320">
        <v>45016.0</v>
      </c>
      <c r="I1523" s="218">
        <v>19.38</v>
      </c>
      <c r="J1523" s="317" t="s">
        <v>1160</v>
      </c>
      <c r="K1523" s="319">
        <v>2023.0</v>
      </c>
      <c r="L1523" s="218" t="s">
        <v>200</v>
      </c>
    </row>
    <row r="1524">
      <c r="A1524" s="223" t="s">
        <v>82</v>
      </c>
      <c r="B1524" s="223" t="s">
        <v>1124</v>
      </c>
      <c r="C1524" s="223" t="s">
        <v>1156</v>
      </c>
      <c r="D1524" s="320">
        <v>45016.0</v>
      </c>
      <c r="I1524" s="218">
        <v>131.95</v>
      </c>
      <c r="J1524" s="317" t="s">
        <v>52</v>
      </c>
      <c r="K1524" s="319">
        <v>2023.03</v>
      </c>
      <c r="L1524" s="218" t="s">
        <v>200</v>
      </c>
    </row>
    <row r="1525">
      <c r="A1525" s="223" t="s">
        <v>785</v>
      </c>
      <c r="B1525" s="223" t="s">
        <v>1368</v>
      </c>
      <c r="C1525" s="223" t="s">
        <v>1190</v>
      </c>
      <c r="D1525" s="320">
        <v>45016.0</v>
      </c>
      <c r="I1525" s="218">
        <v>20.14</v>
      </c>
      <c r="J1525" s="317" t="s">
        <v>1160</v>
      </c>
      <c r="K1525" s="319">
        <v>2023.0</v>
      </c>
      <c r="L1525" s="218" t="s">
        <v>200</v>
      </c>
    </row>
    <row r="1526">
      <c r="A1526" s="223" t="s">
        <v>1266</v>
      </c>
      <c r="B1526" s="223" t="s">
        <v>1264</v>
      </c>
      <c r="C1526" s="223" t="s">
        <v>1267</v>
      </c>
      <c r="D1526" s="320">
        <v>45016.0</v>
      </c>
      <c r="I1526" s="218">
        <v>722.99</v>
      </c>
      <c r="J1526" s="317" t="s">
        <v>1152</v>
      </c>
      <c r="K1526" s="319">
        <v>2023.0</v>
      </c>
      <c r="L1526" s="218" t="s">
        <v>200</v>
      </c>
    </row>
    <row r="1527">
      <c r="A1527" s="223"/>
      <c r="B1527" s="223" t="s">
        <v>200</v>
      </c>
      <c r="C1527" s="223"/>
      <c r="D1527" s="320"/>
      <c r="I1527" s="218"/>
      <c r="J1527" s="317" t="s">
        <v>200</v>
      </c>
      <c r="K1527" s="319" t="s">
        <v>200</v>
      </c>
      <c r="L1527" s="218" t="s">
        <v>200</v>
      </c>
    </row>
    <row r="1528">
      <c r="A1528" s="223" t="s">
        <v>855</v>
      </c>
      <c r="B1528" s="223" t="s">
        <v>1283</v>
      </c>
      <c r="C1528" s="223" t="s">
        <v>1480</v>
      </c>
      <c r="D1528" s="320">
        <v>45016.0</v>
      </c>
      <c r="I1528" s="218">
        <v>250.66</v>
      </c>
      <c r="J1528" s="317" t="s">
        <v>52</v>
      </c>
      <c r="K1528" s="319">
        <v>2023.03</v>
      </c>
      <c r="L1528" s="218" t="s">
        <v>200</v>
      </c>
    </row>
    <row r="1529">
      <c r="A1529" s="223" t="s">
        <v>867</v>
      </c>
      <c r="B1529" s="223" t="s">
        <v>1456</v>
      </c>
      <c r="C1529" s="223" t="s">
        <v>1151</v>
      </c>
      <c r="D1529" s="320">
        <v>45016.0</v>
      </c>
      <c r="I1529" s="218">
        <v>295.59</v>
      </c>
      <c r="J1529" s="317" t="s">
        <v>1160</v>
      </c>
      <c r="K1529" s="319">
        <v>2023.0</v>
      </c>
      <c r="L1529" s="218" t="s">
        <v>200</v>
      </c>
    </row>
    <row r="1530">
      <c r="A1530" s="223" t="s">
        <v>871</v>
      </c>
      <c r="B1530" s="223" t="s">
        <v>1491</v>
      </c>
      <c r="C1530" s="223" t="s">
        <v>1492</v>
      </c>
      <c r="D1530" s="320">
        <v>45016.0</v>
      </c>
      <c r="I1530" s="218">
        <v>14.67</v>
      </c>
      <c r="J1530" s="317" t="s">
        <v>1160</v>
      </c>
      <c r="K1530" s="319">
        <v>2023.0</v>
      </c>
      <c r="L1530" s="218" t="s">
        <v>200</v>
      </c>
    </row>
    <row r="1531">
      <c r="A1531" s="223" t="s">
        <v>92</v>
      </c>
      <c r="B1531" s="223" t="s">
        <v>1289</v>
      </c>
      <c r="C1531" s="223" t="s">
        <v>1156</v>
      </c>
      <c r="D1531" s="320">
        <v>45016.0</v>
      </c>
      <c r="I1531" s="218">
        <v>101.57</v>
      </c>
      <c r="J1531" s="317" t="s">
        <v>52</v>
      </c>
      <c r="K1531" s="319">
        <v>2023.03</v>
      </c>
      <c r="L1531" s="218" t="s">
        <v>200</v>
      </c>
    </row>
    <row r="1532">
      <c r="A1532" s="223" t="s">
        <v>795</v>
      </c>
      <c r="B1532" s="223" t="s">
        <v>1352</v>
      </c>
      <c r="C1532" s="223" t="s">
        <v>1393</v>
      </c>
      <c r="D1532" s="320">
        <v>45016.0</v>
      </c>
      <c r="I1532" s="218">
        <v>277.61</v>
      </c>
      <c r="J1532" s="317" t="s">
        <v>52</v>
      </c>
      <c r="K1532" s="319">
        <v>2023.03</v>
      </c>
      <c r="L1532" s="218" t="s">
        <v>200</v>
      </c>
    </row>
    <row r="1533">
      <c r="A1533" s="223" t="s">
        <v>584</v>
      </c>
      <c r="B1533" s="223" t="s">
        <v>1398</v>
      </c>
      <c r="C1533" s="223" t="s">
        <v>1403</v>
      </c>
      <c r="D1533" s="320">
        <v>45016.0</v>
      </c>
      <c r="I1533" s="218">
        <v>48.2</v>
      </c>
      <c r="J1533" s="317" t="s">
        <v>1160</v>
      </c>
      <c r="K1533" s="319">
        <v>2023.0</v>
      </c>
      <c r="L1533" s="218" t="s">
        <v>200</v>
      </c>
    </row>
    <row r="1534">
      <c r="A1534" s="223" t="s">
        <v>587</v>
      </c>
      <c r="B1534" s="223" t="s">
        <v>1406</v>
      </c>
      <c r="C1534" s="223" t="s">
        <v>1403</v>
      </c>
      <c r="D1534" s="320">
        <v>45016.0</v>
      </c>
      <c r="I1534" s="218">
        <v>128.03</v>
      </c>
      <c r="J1534" s="317" t="s">
        <v>1160</v>
      </c>
      <c r="K1534" s="319">
        <v>2023.0</v>
      </c>
      <c r="L1534" s="218" t="s">
        <v>200</v>
      </c>
    </row>
    <row r="1535">
      <c r="A1535" s="223" t="s">
        <v>587</v>
      </c>
      <c r="B1535" s="223" t="s">
        <v>1406</v>
      </c>
      <c r="C1535" s="223" t="s">
        <v>1403</v>
      </c>
      <c r="D1535" s="320">
        <v>45016.0</v>
      </c>
      <c r="I1535" s="218">
        <v>91.63</v>
      </c>
      <c r="J1535" s="317" t="s">
        <v>1160</v>
      </c>
      <c r="K1535" s="319">
        <v>2023.0</v>
      </c>
      <c r="L1535" s="218" t="s">
        <v>200</v>
      </c>
    </row>
    <row r="1536">
      <c r="A1536" s="223" t="s">
        <v>62</v>
      </c>
      <c r="B1536" s="223" t="s">
        <v>1304</v>
      </c>
      <c r="C1536" s="223" t="s">
        <v>1156</v>
      </c>
      <c r="D1536" s="320">
        <v>45016.0</v>
      </c>
      <c r="I1536" s="218">
        <v>85.85</v>
      </c>
      <c r="J1536" s="317" t="s">
        <v>52</v>
      </c>
      <c r="K1536" s="319">
        <v>2023.03</v>
      </c>
      <c r="L1536" s="218" t="s">
        <v>200</v>
      </c>
    </row>
    <row r="1537">
      <c r="A1537" s="223" t="s">
        <v>858</v>
      </c>
      <c r="B1537" s="223" t="s">
        <v>1481</v>
      </c>
      <c r="C1537" s="223" t="s">
        <v>1482</v>
      </c>
      <c r="D1537" s="320">
        <v>45016.0</v>
      </c>
      <c r="I1537" s="218">
        <v>78.42</v>
      </c>
      <c r="J1537" s="317" t="s">
        <v>1160</v>
      </c>
      <c r="K1537" s="319">
        <v>2023.0</v>
      </c>
      <c r="L1537" s="218" t="s">
        <v>200</v>
      </c>
    </row>
    <row r="1538">
      <c r="A1538" s="223" t="s">
        <v>66</v>
      </c>
      <c r="B1538" s="223" t="s">
        <v>1324</v>
      </c>
      <c r="C1538" s="223" t="s">
        <v>1156</v>
      </c>
      <c r="D1538" s="320">
        <v>45016.0</v>
      </c>
      <c r="I1538" s="218">
        <v>142.92</v>
      </c>
      <c r="J1538" s="317" t="s">
        <v>52</v>
      </c>
      <c r="K1538" s="319">
        <v>2023.03</v>
      </c>
      <c r="L1538" s="218" t="s">
        <v>200</v>
      </c>
    </row>
    <row r="1539">
      <c r="A1539" s="223" t="s">
        <v>326</v>
      </c>
      <c r="B1539" s="223" t="s">
        <v>1209</v>
      </c>
      <c r="C1539" s="223" t="s">
        <v>1210</v>
      </c>
      <c r="D1539" s="320">
        <v>45004.0</v>
      </c>
      <c r="I1539" s="218">
        <v>494.21</v>
      </c>
      <c r="J1539" s="317" t="s">
        <v>1160</v>
      </c>
      <c r="K1539" s="319">
        <v>2023.0</v>
      </c>
      <c r="L1539" s="218">
        <v>494.21</v>
      </c>
    </row>
    <row r="1540">
      <c r="A1540" s="223"/>
      <c r="B1540" s="223" t="s">
        <v>200</v>
      </c>
      <c r="C1540" s="223"/>
      <c r="D1540" s="320"/>
      <c r="I1540" s="218"/>
      <c r="J1540" s="317" t="s">
        <v>200</v>
      </c>
      <c r="K1540" s="319" t="s">
        <v>200</v>
      </c>
      <c r="L1540" s="218" t="s">
        <v>200</v>
      </c>
    </row>
    <row r="1541">
      <c r="A1541" s="223" t="s">
        <v>115</v>
      </c>
      <c r="B1541" s="223" t="s">
        <v>1308</v>
      </c>
      <c r="C1541" s="223" t="s">
        <v>1156</v>
      </c>
      <c r="D1541" s="320">
        <v>45014.0</v>
      </c>
      <c r="I1541" s="218">
        <v>750.0</v>
      </c>
      <c r="J1541" s="317" t="s">
        <v>52</v>
      </c>
      <c r="K1541" s="319">
        <v>2023.03</v>
      </c>
      <c r="L1541" s="218">
        <v>750.0</v>
      </c>
    </row>
    <row r="1542">
      <c r="A1542" s="223" t="s">
        <v>118</v>
      </c>
      <c r="B1542" s="223" t="s">
        <v>1312</v>
      </c>
      <c r="C1542" s="223" t="s">
        <v>1156</v>
      </c>
      <c r="D1542" s="320">
        <v>45015.0</v>
      </c>
      <c r="I1542" s="218">
        <v>750.0</v>
      </c>
      <c r="J1542" s="317" t="s">
        <v>52</v>
      </c>
      <c r="K1542" s="319">
        <v>2023.03</v>
      </c>
      <c r="L1542" s="218">
        <v>750.0</v>
      </c>
    </row>
    <row r="1543">
      <c r="A1543" s="223" t="s">
        <v>118</v>
      </c>
      <c r="B1543" s="223" t="s">
        <v>1312</v>
      </c>
      <c r="C1543" s="223" t="s">
        <v>1156</v>
      </c>
      <c r="D1543" s="320">
        <v>45017.0</v>
      </c>
      <c r="I1543" s="218">
        <v>61.46</v>
      </c>
      <c r="J1543" s="317" t="s">
        <v>52</v>
      </c>
      <c r="K1543" s="319">
        <v>2023.04</v>
      </c>
      <c r="L1543" s="218">
        <v>61.46</v>
      </c>
    </row>
    <row r="1544">
      <c r="A1544" s="223"/>
      <c r="B1544" s="223" t="s">
        <v>200</v>
      </c>
      <c r="C1544" s="223"/>
      <c r="D1544" s="320"/>
      <c r="I1544" s="218"/>
      <c r="J1544" s="317" t="s">
        <v>200</v>
      </c>
      <c r="K1544" s="319" t="s">
        <v>200</v>
      </c>
      <c r="L1544" s="218" t="s">
        <v>200</v>
      </c>
    </row>
    <row r="1545">
      <c r="A1545" s="223" t="s">
        <v>115</v>
      </c>
      <c r="B1545" s="223" t="s">
        <v>1308</v>
      </c>
      <c r="C1545" s="223" t="s">
        <v>1156</v>
      </c>
      <c r="D1545" s="320">
        <v>45017.0</v>
      </c>
      <c r="I1545" s="218">
        <v>67.98</v>
      </c>
      <c r="J1545" s="317" t="s">
        <v>52</v>
      </c>
      <c r="K1545" s="319">
        <v>2023.04</v>
      </c>
      <c r="L1545" s="218">
        <v>67.98</v>
      </c>
    </row>
    <row r="1546">
      <c r="A1546" s="223" t="s">
        <v>326</v>
      </c>
      <c r="B1546" s="223" t="s">
        <v>1209</v>
      </c>
      <c r="C1546" s="223" t="s">
        <v>1210</v>
      </c>
      <c r="D1546" s="320">
        <v>45017.0</v>
      </c>
      <c r="I1546" s="218">
        <v>417.22</v>
      </c>
      <c r="J1546" s="317" t="s">
        <v>1160</v>
      </c>
      <c r="K1546" s="319">
        <v>2023.0</v>
      </c>
      <c r="L1546" s="218">
        <v>417.22</v>
      </c>
    </row>
    <row r="1547">
      <c r="A1547" s="223" t="s">
        <v>92</v>
      </c>
      <c r="B1547" s="223" t="s">
        <v>1289</v>
      </c>
      <c r="C1547" s="223" t="s">
        <v>1156</v>
      </c>
      <c r="D1547" s="320">
        <v>45010.0</v>
      </c>
      <c r="I1547" s="218">
        <v>23.73</v>
      </c>
      <c r="J1547" s="317" t="s">
        <v>52</v>
      </c>
      <c r="K1547" s="319">
        <v>2023.03</v>
      </c>
      <c r="L1547" s="218">
        <v>23.73</v>
      </c>
    </row>
    <row r="1548">
      <c r="A1548" s="223" t="s">
        <v>66</v>
      </c>
      <c r="B1548" s="223" t="s">
        <v>1324</v>
      </c>
      <c r="C1548" s="223" t="s">
        <v>1156</v>
      </c>
      <c r="D1548" s="320">
        <v>45046.0</v>
      </c>
      <c r="I1548" s="218">
        <v>325.0</v>
      </c>
      <c r="J1548" s="317" t="s">
        <v>52</v>
      </c>
      <c r="K1548" s="319">
        <v>2023.04</v>
      </c>
      <c r="L1548" s="218" t="s">
        <v>200</v>
      </c>
    </row>
    <row r="1549">
      <c r="A1549" s="223" t="s">
        <v>97</v>
      </c>
      <c r="B1549" s="223" t="s">
        <v>1286</v>
      </c>
      <c r="C1549" s="223" t="s">
        <v>1156</v>
      </c>
      <c r="D1549" s="320">
        <v>45046.0</v>
      </c>
      <c r="I1549" s="218">
        <v>137.5</v>
      </c>
      <c r="J1549" s="317" t="s">
        <v>52</v>
      </c>
      <c r="K1549" s="319">
        <v>2023.04</v>
      </c>
      <c r="L1549" s="218" t="s">
        <v>200</v>
      </c>
    </row>
    <row r="1550">
      <c r="A1550" s="223" t="s">
        <v>73</v>
      </c>
      <c r="B1550" s="223" t="s">
        <v>1327</v>
      </c>
      <c r="C1550" s="223" t="s">
        <v>1156</v>
      </c>
      <c r="D1550" s="320">
        <v>45046.0</v>
      </c>
      <c r="I1550" s="218">
        <v>287.5</v>
      </c>
      <c r="J1550" s="317" t="s">
        <v>52</v>
      </c>
      <c r="K1550" s="319">
        <v>2023.04</v>
      </c>
      <c r="L1550" s="218" t="s">
        <v>200</v>
      </c>
    </row>
    <row r="1551">
      <c r="A1551" s="223" t="s">
        <v>223</v>
      </c>
      <c r="B1551" s="223" t="s">
        <v>1176</v>
      </c>
      <c r="C1551" s="223" t="s">
        <v>1156</v>
      </c>
      <c r="D1551" s="320">
        <v>45046.0</v>
      </c>
      <c r="I1551" s="218">
        <v>300.0</v>
      </c>
      <c r="J1551" s="317" t="s">
        <v>52</v>
      </c>
      <c r="K1551" s="319">
        <v>2023.04</v>
      </c>
      <c r="L1551" s="218" t="s">
        <v>200</v>
      </c>
    </row>
    <row r="1552">
      <c r="A1552" s="223" t="s">
        <v>50</v>
      </c>
      <c r="B1552" s="223" t="s">
        <v>1275</v>
      </c>
      <c r="C1552" s="223" t="s">
        <v>1156</v>
      </c>
      <c r="D1552" s="320">
        <v>45046.0</v>
      </c>
      <c r="I1552" s="218">
        <v>150.0</v>
      </c>
      <c r="J1552" s="317" t="s">
        <v>52</v>
      </c>
      <c r="K1552" s="319">
        <v>2023.04</v>
      </c>
      <c r="L1552" s="218" t="s">
        <v>200</v>
      </c>
    </row>
    <row r="1553">
      <c r="A1553" s="223" t="s">
        <v>810</v>
      </c>
      <c r="B1553" s="223" t="s">
        <v>1363</v>
      </c>
      <c r="C1553" s="223" t="s">
        <v>1393</v>
      </c>
      <c r="D1553" s="320">
        <v>45046.0</v>
      </c>
      <c r="I1553" s="218">
        <v>262.5</v>
      </c>
      <c r="J1553" s="317" t="s">
        <v>52</v>
      </c>
      <c r="K1553" s="319">
        <v>2023.04</v>
      </c>
      <c r="L1553" s="218" t="s">
        <v>200</v>
      </c>
    </row>
    <row r="1554">
      <c r="A1554" s="223" t="s">
        <v>88</v>
      </c>
      <c r="B1554" s="223" t="s">
        <v>1256</v>
      </c>
      <c r="C1554" s="223" t="s">
        <v>1156</v>
      </c>
      <c r="D1554" s="320">
        <v>45046.0</v>
      </c>
      <c r="I1554" s="218">
        <v>212.5</v>
      </c>
      <c r="J1554" s="317" t="s">
        <v>52</v>
      </c>
      <c r="K1554" s="319">
        <v>2023.04</v>
      </c>
      <c r="L1554" s="218" t="s">
        <v>200</v>
      </c>
    </row>
    <row r="1555">
      <c r="A1555" s="223" t="s">
        <v>1266</v>
      </c>
      <c r="B1555" s="223" t="s">
        <v>1264</v>
      </c>
      <c r="C1555" s="223" t="s">
        <v>1267</v>
      </c>
      <c r="D1555" s="320">
        <v>45046.0</v>
      </c>
      <c r="I1555" s="218">
        <v>2500.0</v>
      </c>
      <c r="J1555" s="317" t="s">
        <v>1152</v>
      </c>
      <c r="K1555" s="319">
        <v>2023.0</v>
      </c>
      <c r="L1555" s="218" t="s">
        <v>200</v>
      </c>
    </row>
    <row r="1556">
      <c r="A1556" s="223" t="s">
        <v>806</v>
      </c>
      <c r="B1556" s="223" t="s">
        <v>1305</v>
      </c>
      <c r="C1556" s="223" t="s">
        <v>1435</v>
      </c>
      <c r="D1556" s="320">
        <v>45046.0</v>
      </c>
      <c r="I1556" s="218">
        <v>87.5</v>
      </c>
      <c r="J1556" s="317" t="s">
        <v>1436</v>
      </c>
      <c r="K1556" s="319">
        <v>2023.0</v>
      </c>
      <c r="L1556" s="218" t="s">
        <v>200</v>
      </c>
    </row>
    <row r="1557">
      <c r="A1557" s="223" t="s">
        <v>82</v>
      </c>
      <c r="B1557" s="223" t="s">
        <v>1124</v>
      </c>
      <c r="C1557" s="223" t="s">
        <v>1156</v>
      </c>
      <c r="D1557" s="320">
        <v>45046.0</v>
      </c>
      <c r="I1557" s="218">
        <v>225.0</v>
      </c>
      <c r="J1557" s="317" t="s">
        <v>52</v>
      </c>
      <c r="K1557" s="319">
        <v>2023.04</v>
      </c>
      <c r="L1557" s="218" t="s">
        <v>200</v>
      </c>
    </row>
    <row r="1558">
      <c r="A1558" s="223" t="s">
        <v>92</v>
      </c>
      <c r="B1558" s="223" t="s">
        <v>1289</v>
      </c>
      <c r="C1558" s="223" t="s">
        <v>1156</v>
      </c>
      <c r="D1558" s="320">
        <v>45046.0</v>
      </c>
      <c r="I1558" s="218">
        <v>300.0</v>
      </c>
      <c r="J1558" s="317" t="s">
        <v>52</v>
      </c>
      <c r="K1558" s="319">
        <v>2023.04</v>
      </c>
      <c r="L1558" s="218" t="s">
        <v>200</v>
      </c>
    </row>
    <row r="1559">
      <c r="A1559" s="223" t="s">
        <v>695</v>
      </c>
      <c r="B1559" s="223" t="s">
        <v>1216</v>
      </c>
      <c r="C1559" s="223" t="s">
        <v>1451</v>
      </c>
      <c r="D1559" s="320">
        <v>45046.0</v>
      </c>
      <c r="I1559" s="218">
        <v>175.0</v>
      </c>
      <c r="J1559" s="317" t="s">
        <v>52</v>
      </c>
      <c r="K1559" s="319">
        <v>2023.04</v>
      </c>
      <c r="L1559" s="218" t="s">
        <v>200</v>
      </c>
    </row>
    <row r="1560">
      <c r="A1560" s="223" t="s">
        <v>795</v>
      </c>
      <c r="B1560" s="223" t="s">
        <v>1352</v>
      </c>
      <c r="C1560" s="223" t="s">
        <v>1393</v>
      </c>
      <c r="D1560" s="320">
        <v>45046.0</v>
      </c>
      <c r="I1560" s="218">
        <v>400.0</v>
      </c>
      <c r="J1560" s="317" t="s">
        <v>52</v>
      </c>
      <c r="K1560" s="319">
        <v>2023.04</v>
      </c>
      <c r="L1560" s="218" t="s">
        <v>200</v>
      </c>
    </row>
    <row r="1561">
      <c r="A1561" s="223" t="s">
        <v>1269</v>
      </c>
      <c r="B1561" s="223" t="s">
        <v>1264</v>
      </c>
      <c r="C1561" s="223" t="s">
        <v>1270</v>
      </c>
      <c r="D1561" s="320">
        <v>45046.0</v>
      </c>
      <c r="I1561" s="218">
        <v>132.8</v>
      </c>
      <c r="J1561" s="317" t="s">
        <v>1152</v>
      </c>
      <c r="K1561" s="319">
        <v>2023.0</v>
      </c>
      <c r="L1561" s="218" t="s">
        <v>200</v>
      </c>
    </row>
    <row r="1562">
      <c r="A1562" s="223" t="s">
        <v>99</v>
      </c>
      <c r="B1562" s="223" t="s">
        <v>1192</v>
      </c>
      <c r="C1562" s="223" t="s">
        <v>1156</v>
      </c>
      <c r="D1562" s="320">
        <v>45046.0</v>
      </c>
      <c r="I1562" s="218">
        <v>400.0</v>
      </c>
      <c r="J1562" s="317" t="s">
        <v>52</v>
      </c>
      <c r="K1562" s="319">
        <v>2023.04</v>
      </c>
      <c r="L1562" s="218" t="s">
        <v>200</v>
      </c>
    </row>
    <row r="1563">
      <c r="A1563" s="223" t="s">
        <v>42</v>
      </c>
      <c r="B1563" s="223" t="s">
        <v>1236</v>
      </c>
      <c r="C1563" s="223" t="s">
        <v>1156</v>
      </c>
      <c r="D1563" s="320">
        <v>45046.0</v>
      </c>
      <c r="I1563" s="218">
        <v>287.5</v>
      </c>
      <c r="J1563" s="317" t="s">
        <v>52</v>
      </c>
      <c r="K1563" s="319">
        <v>2023.04</v>
      </c>
      <c r="L1563" s="218" t="s">
        <v>200</v>
      </c>
    </row>
    <row r="1564">
      <c r="A1564" s="223" t="s">
        <v>499</v>
      </c>
      <c r="B1564" s="223" t="s">
        <v>1330</v>
      </c>
      <c r="C1564" s="223" t="s">
        <v>1375</v>
      </c>
      <c r="D1564" s="320">
        <v>45046.0</v>
      </c>
      <c r="I1564" s="218">
        <v>200.0</v>
      </c>
      <c r="J1564" s="317" t="s">
        <v>52</v>
      </c>
      <c r="K1564" s="319">
        <v>2023.04</v>
      </c>
      <c r="L1564" s="218" t="s">
        <v>200</v>
      </c>
    </row>
    <row r="1565">
      <c r="A1565" s="223" t="s">
        <v>861</v>
      </c>
      <c r="B1565" s="223" t="s">
        <v>1483</v>
      </c>
      <c r="C1565" s="223" t="s">
        <v>1393</v>
      </c>
      <c r="D1565" s="320">
        <v>45046.0</v>
      </c>
      <c r="I1565" s="218">
        <v>887.5</v>
      </c>
      <c r="J1565" s="317" t="s">
        <v>52</v>
      </c>
      <c r="K1565" s="319">
        <v>2023.04</v>
      </c>
      <c r="L1565" s="218" t="s">
        <v>200</v>
      </c>
    </row>
    <row r="1566">
      <c r="A1566" s="223" t="s">
        <v>890</v>
      </c>
      <c r="B1566" s="223" t="s">
        <v>1475</v>
      </c>
      <c r="C1566" s="223" t="s">
        <v>1499</v>
      </c>
      <c r="D1566" s="320">
        <v>45046.0</v>
      </c>
      <c r="I1566" s="218">
        <v>400.0</v>
      </c>
      <c r="J1566" s="317" t="s">
        <v>52</v>
      </c>
      <c r="K1566" s="319">
        <v>2023.04</v>
      </c>
      <c r="L1566" s="218" t="s">
        <v>200</v>
      </c>
    </row>
    <row r="1567">
      <c r="A1567" s="223" t="s">
        <v>549</v>
      </c>
      <c r="B1567" s="223" t="s">
        <v>1368</v>
      </c>
      <c r="C1567" s="223" t="s">
        <v>1393</v>
      </c>
      <c r="D1567" s="320">
        <v>45046.0</v>
      </c>
      <c r="I1567" s="218">
        <v>150.0</v>
      </c>
      <c r="J1567" s="317" t="s">
        <v>52</v>
      </c>
      <c r="K1567" s="319">
        <v>2023.04</v>
      </c>
      <c r="L1567" s="218" t="s">
        <v>200</v>
      </c>
    </row>
    <row r="1568">
      <c r="A1568" s="223" t="s">
        <v>662</v>
      </c>
      <c r="B1568" s="223" t="s">
        <v>1433</v>
      </c>
      <c r="C1568" s="223" t="s">
        <v>1434</v>
      </c>
      <c r="D1568" s="320">
        <v>45046.0</v>
      </c>
      <c r="I1568" s="218">
        <v>550.0</v>
      </c>
      <c r="J1568" s="317" t="s">
        <v>52</v>
      </c>
      <c r="K1568" s="319">
        <v>2023.04</v>
      </c>
      <c r="L1568" s="218" t="s">
        <v>200</v>
      </c>
    </row>
    <row r="1569">
      <c r="A1569" s="223" t="s">
        <v>42</v>
      </c>
      <c r="B1569" s="223" t="s">
        <v>1236</v>
      </c>
      <c r="C1569" s="223" t="s">
        <v>1156</v>
      </c>
      <c r="D1569" s="320">
        <v>45046.0</v>
      </c>
      <c r="I1569" s="218">
        <v>350.0</v>
      </c>
      <c r="J1569" s="317" t="s">
        <v>52</v>
      </c>
      <c r="K1569" s="319">
        <v>2023.04</v>
      </c>
      <c r="L1569" s="218" t="s">
        <v>200</v>
      </c>
    </row>
    <row r="1570">
      <c r="A1570" s="223" t="s">
        <v>115</v>
      </c>
      <c r="B1570" s="223" t="s">
        <v>1308</v>
      </c>
      <c r="C1570" s="223" t="s">
        <v>1156</v>
      </c>
      <c r="D1570" s="320">
        <v>45046.0</v>
      </c>
      <c r="I1570" s="218">
        <v>662.5</v>
      </c>
      <c r="J1570" s="317" t="s">
        <v>52</v>
      </c>
      <c r="K1570" s="319">
        <v>2023.04</v>
      </c>
      <c r="L1570" s="218" t="s">
        <v>200</v>
      </c>
    </row>
    <row r="1571">
      <c r="A1571" s="223" t="s">
        <v>118</v>
      </c>
      <c r="B1571" s="223" t="s">
        <v>1312</v>
      </c>
      <c r="C1571" s="223" t="s">
        <v>1156</v>
      </c>
      <c r="D1571" s="320">
        <v>45046.0</v>
      </c>
      <c r="I1571" s="218">
        <v>662.5</v>
      </c>
      <c r="J1571" s="317" t="s">
        <v>52</v>
      </c>
      <c r="K1571" s="319">
        <v>2023.04</v>
      </c>
      <c r="L1571" s="218" t="s">
        <v>200</v>
      </c>
    </row>
    <row r="1572">
      <c r="A1572" s="223" t="s">
        <v>92</v>
      </c>
      <c r="B1572" s="223" t="s">
        <v>1289</v>
      </c>
      <c r="C1572" s="223" t="s">
        <v>1156</v>
      </c>
      <c r="D1572" s="320">
        <v>45046.0</v>
      </c>
      <c r="I1572" s="218">
        <v>562.5</v>
      </c>
      <c r="J1572" s="317" t="s">
        <v>52</v>
      </c>
      <c r="K1572" s="319">
        <v>2023.04</v>
      </c>
      <c r="L1572" s="218" t="s">
        <v>200</v>
      </c>
    </row>
    <row r="1573">
      <c r="A1573" s="223" t="s">
        <v>123</v>
      </c>
      <c r="B1573" s="223" t="s">
        <v>1300</v>
      </c>
      <c r="C1573" s="223" t="s">
        <v>1156</v>
      </c>
      <c r="D1573" s="320">
        <v>45046.0</v>
      </c>
      <c r="I1573" s="218">
        <v>737.5</v>
      </c>
      <c r="J1573" s="317" t="s">
        <v>52</v>
      </c>
      <c r="K1573" s="319">
        <v>2023.04</v>
      </c>
      <c r="L1573" s="218" t="s">
        <v>200</v>
      </c>
    </row>
    <row r="1574">
      <c r="A1574" s="223" t="s">
        <v>62</v>
      </c>
      <c r="B1574" s="223" t="s">
        <v>1304</v>
      </c>
      <c r="C1574" s="223" t="s">
        <v>1156</v>
      </c>
      <c r="D1574" s="320">
        <v>45046.0</v>
      </c>
      <c r="I1574" s="218">
        <v>450.0</v>
      </c>
      <c r="J1574" s="317" t="s">
        <v>52</v>
      </c>
      <c r="K1574" s="319">
        <v>2023.04</v>
      </c>
      <c r="L1574" s="218" t="s">
        <v>200</v>
      </c>
    </row>
    <row r="1575">
      <c r="A1575" s="223" t="s">
        <v>92</v>
      </c>
      <c r="B1575" s="223" t="s">
        <v>1289</v>
      </c>
      <c r="C1575" s="223" t="s">
        <v>1156</v>
      </c>
      <c r="D1575" s="320">
        <v>45046.0</v>
      </c>
      <c r="I1575" s="218">
        <v>275.0</v>
      </c>
      <c r="J1575" s="317" t="s">
        <v>52</v>
      </c>
      <c r="K1575" s="319">
        <v>2023.04</v>
      </c>
      <c r="L1575" s="218" t="s">
        <v>200</v>
      </c>
    </row>
    <row r="1576">
      <c r="A1576" s="223" t="s">
        <v>88</v>
      </c>
      <c r="B1576" s="223" t="s">
        <v>1256</v>
      </c>
      <c r="C1576" s="223" t="s">
        <v>1156</v>
      </c>
      <c r="D1576" s="320">
        <v>45046.0</v>
      </c>
      <c r="I1576" s="218">
        <v>45.0</v>
      </c>
      <c r="J1576" s="317" t="s">
        <v>52</v>
      </c>
      <c r="K1576" s="319">
        <v>2023.04</v>
      </c>
      <c r="L1576" s="218" t="s">
        <v>200</v>
      </c>
    </row>
    <row r="1577">
      <c r="A1577" s="223" t="s">
        <v>97</v>
      </c>
      <c r="B1577" s="223" t="s">
        <v>1286</v>
      </c>
      <c r="C1577" s="223" t="s">
        <v>1156</v>
      </c>
      <c r="D1577" s="320">
        <v>45046.0</v>
      </c>
      <c r="I1577" s="218">
        <v>30.0</v>
      </c>
      <c r="J1577" s="317" t="s">
        <v>52</v>
      </c>
      <c r="K1577" s="319">
        <v>2023.04</v>
      </c>
      <c r="L1577" s="218" t="s">
        <v>200</v>
      </c>
    </row>
    <row r="1578">
      <c r="A1578" s="223" t="s">
        <v>82</v>
      </c>
      <c r="B1578" s="223" t="s">
        <v>1124</v>
      </c>
      <c r="C1578" s="223" t="s">
        <v>1156</v>
      </c>
      <c r="D1578" s="320">
        <v>45046.0</v>
      </c>
      <c r="I1578" s="218">
        <v>90.0</v>
      </c>
      <c r="J1578" s="317" t="s">
        <v>52</v>
      </c>
      <c r="K1578" s="319">
        <v>2023.04</v>
      </c>
      <c r="L1578" s="218" t="s">
        <v>200</v>
      </c>
    </row>
    <row r="1579">
      <c r="A1579" s="223" t="s">
        <v>99</v>
      </c>
      <c r="B1579" s="223" t="s">
        <v>1192</v>
      </c>
      <c r="C1579" s="223" t="s">
        <v>1156</v>
      </c>
      <c r="D1579" s="320">
        <v>45046.0</v>
      </c>
      <c r="I1579" s="218">
        <v>235.0</v>
      </c>
      <c r="J1579" s="317" t="s">
        <v>52</v>
      </c>
      <c r="K1579" s="319">
        <v>2023.04</v>
      </c>
      <c r="L1579" s="218" t="s">
        <v>200</v>
      </c>
    </row>
    <row r="1580">
      <c r="A1580" s="223" t="s">
        <v>42</v>
      </c>
      <c r="B1580" s="223" t="s">
        <v>1236</v>
      </c>
      <c r="C1580" s="223" t="s">
        <v>1156</v>
      </c>
      <c r="D1580" s="320">
        <v>45046.0</v>
      </c>
      <c r="I1580" s="218">
        <v>135.0</v>
      </c>
      <c r="J1580" s="317" t="s">
        <v>52</v>
      </c>
      <c r="K1580" s="319">
        <v>2023.04</v>
      </c>
      <c r="L1580" s="218" t="s">
        <v>200</v>
      </c>
    </row>
    <row r="1581">
      <c r="A1581" s="223" t="s">
        <v>123</v>
      </c>
      <c r="B1581" s="223" t="s">
        <v>1300</v>
      </c>
      <c r="C1581" s="223" t="s">
        <v>1156</v>
      </c>
      <c r="D1581" s="320">
        <v>45046.0</v>
      </c>
      <c r="I1581" s="218">
        <v>200.0</v>
      </c>
      <c r="J1581" s="317" t="s">
        <v>52</v>
      </c>
      <c r="K1581" s="319">
        <v>2023.04</v>
      </c>
      <c r="L1581" s="218" t="s">
        <v>200</v>
      </c>
    </row>
    <row r="1582">
      <c r="A1582" s="223" t="s">
        <v>73</v>
      </c>
      <c r="B1582" s="223" t="s">
        <v>1327</v>
      </c>
      <c r="C1582" s="223" t="s">
        <v>1156</v>
      </c>
      <c r="D1582" s="320">
        <v>45046.0</v>
      </c>
      <c r="I1582" s="218">
        <v>75.0</v>
      </c>
      <c r="J1582" s="317" t="s">
        <v>52</v>
      </c>
      <c r="K1582" s="319">
        <v>2023.04</v>
      </c>
      <c r="L1582" s="218" t="s">
        <v>200</v>
      </c>
    </row>
    <row r="1583">
      <c r="A1583" s="223" t="s">
        <v>50</v>
      </c>
      <c r="B1583" s="223" t="s">
        <v>1275</v>
      </c>
      <c r="C1583" s="223" t="s">
        <v>1156</v>
      </c>
      <c r="D1583" s="320">
        <v>45046.0</v>
      </c>
      <c r="I1583" s="218">
        <v>30.0</v>
      </c>
      <c r="J1583" s="317" t="s">
        <v>52</v>
      </c>
      <c r="K1583" s="319">
        <v>2023.04</v>
      </c>
      <c r="L1583" s="218" t="s">
        <v>200</v>
      </c>
    </row>
    <row r="1584">
      <c r="A1584" s="223" t="s">
        <v>62</v>
      </c>
      <c r="B1584" s="223" t="s">
        <v>1304</v>
      </c>
      <c r="C1584" s="223" t="s">
        <v>1156</v>
      </c>
      <c r="D1584" s="320">
        <v>45046.0</v>
      </c>
      <c r="I1584" s="218">
        <v>300.0</v>
      </c>
      <c r="J1584" s="317" t="s">
        <v>52</v>
      </c>
      <c r="K1584" s="319">
        <v>2023.04</v>
      </c>
      <c r="L1584" s="218" t="s">
        <v>200</v>
      </c>
    </row>
    <row r="1585">
      <c r="A1585" s="223" t="s">
        <v>223</v>
      </c>
      <c r="B1585" s="223" t="s">
        <v>1176</v>
      </c>
      <c r="C1585" s="223" t="s">
        <v>1156</v>
      </c>
      <c r="D1585" s="320">
        <v>45046.0</v>
      </c>
      <c r="I1585" s="218">
        <v>75.0</v>
      </c>
      <c r="J1585" s="317" t="s">
        <v>52</v>
      </c>
      <c r="K1585" s="319">
        <v>2023.04</v>
      </c>
      <c r="L1585" s="218" t="s">
        <v>200</v>
      </c>
    </row>
    <row r="1586">
      <c r="A1586" s="223" t="s">
        <v>225</v>
      </c>
      <c r="B1586" s="223" t="s">
        <v>1257</v>
      </c>
      <c r="C1586" s="223" t="s">
        <v>1156</v>
      </c>
      <c r="D1586" s="320">
        <v>45046.0</v>
      </c>
      <c r="I1586" s="218">
        <v>1860.0</v>
      </c>
      <c r="J1586" s="317" t="s">
        <v>52</v>
      </c>
      <c r="K1586" s="319">
        <v>2023.04</v>
      </c>
      <c r="L1586" s="218" t="s">
        <v>200</v>
      </c>
    </row>
    <row r="1587">
      <c r="A1587" s="223" t="s">
        <v>66</v>
      </c>
      <c r="B1587" s="223" t="s">
        <v>1324</v>
      </c>
      <c r="C1587" s="223" t="s">
        <v>1156</v>
      </c>
      <c r="D1587" s="320">
        <v>45046.0</v>
      </c>
      <c r="I1587" s="218">
        <v>90.0</v>
      </c>
      <c r="J1587" s="317" t="s">
        <v>52</v>
      </c>
      <c r="K1587" s="319">
        <v>2023.04</v>
      </c>
      <c r="L1587" s="218" t="s">
        <v>200</v>
      </c>
    </row>
    <row r="1588">
      <c r="A1588" s="223" t="s">
        <v>695</v>
      </c>
      <c r="B1588" s="223" t="s">
        <v>1216</v>
      </c>
      <c r="C1588" s="223" t="s">
        <v>1451</v>
      </c>
      <c r="D1588" s="320">
        <v>45046.0</v>
      </c>
      <c r="I1588" s="218">
        <v>45.0</v>
      </c>
      <c r="J1588" s="317" t="s">
        <v>52</v>
      </c>
      <c r="K1588" s="319">
        <v>2023.04</v>
      </c>
      <c r="L1588" s="218" t="s">
        <v>200</v>
      </c>
    </row>
    <row r="1589">
      <c r="A1589" s="223" t="s">
        <v>499</v>
      </c>
      <c r="B1589" s="223" t="s">
        <v>1330</v>
      </c>
      <c r="C1589" s="223" t="s">
        <v>1375</v>
      </c>
      <c r="D1589" s="320">
        <v>45046.0</v>
      </c>
      <c r="I1589" s="218">
        <v>100.0</v>
      </c>
      <c r="J1589" s="317" t="s">
        <v>52</v>
      </c>
      <c r="K1589" s="319">
        <v>2023.04</v>
      </c>
      <c r="L1589" s="218" t="s">
        <v>200</v>
      </c>
    </row>
    <row r="1590">
      <c r="A1590" s="223" t="s">
        <v>810</v>
      </c>
      <c r="B1590" s="223" t="s">
        <v>1363</v>
      </c>
      <c r="C1590" s="223" t="s">
        <v>1393</v>
      </c>
      <c r="D1590" s="320">
        <v>45046.0</v>
      </c>
      <c r="I1590" s="218">
        <v>60.0</v>
      </c>
      <c r="J1590" s="317" t="s">
        <v>52</v>
      </c>
      <c r="K1590" s="319">
        <v>2023.04</v>
      </c>
      <c r="L1590" s="218" t="s">
        <v>200</v>
      </c>
    </row>
    <row r="1591">
      <c r="A1591" s="223" t="s">
        <v>762</v>
      </c>
      <c r="B1591" s="223" t="s">
        <v>1429</v>
      </c>
      <c r="C1591" s="223" t="s">
        <v>1432</v>
      </c>
      <c r="D1591" s="320">
        <v>45046.0</v>
      </c>
      <c r="I1591" s="218">
        <v>322.5</v>
      </c>
      <c r="J1591" s="317" t="s">
        <v>52</v>
      </c>
      <c r="K1591" s="319">
        <v>2023.04</v>
      </c>
      <c r="L1591" s="218" t="s">
        <v>200</v>
      </c>
    </row>
    <row r="1592">
      <c r="A1592" s="223" t="s">
        <v>788</v>
      </c>
      <c r="B1592" s="223" t="s">
        <v>1250</v>
      </c>
      <c r="C1592" s="223" t="s">
        <v>1470</v>
      </c>
      <c r="D1592" s="320">
        <v>45046.0</v>
      </c>
      <c r="I1592" s="218">
        <v>500.0</v>
      </c>
      <c r="J1592" s="317" t="s">
        <v>52</v>
      </c>
      <c r="K1592" s="319">
        <v>2023.04</v>
      </c>
      <c r="L1592" s="218" t="s">
        <v>200</v>
      </c>
    </row>
    <row r="1593">
      <c r="A1593" s="223" t="s">
        <v>795</v>
      </c>
      <c r="B1593" s="223" t="s">
        <v>1352</v>
      </c>
      <c r="C1593" s="223" t="s">
        <v>1393</v>
      </c>
      <c r="D1593" s="320">
        <v>45046.0</v>
      </c>
      <c r="I1593" s="218">
        <v>330.0</v>
      </c>
      <c r="J1593" s="317" t="s">
        <v>52</v>
      </c>
      <c r="K1593" s="319">
        <v>2023.04</v>
      </c>
      <c r="L1593" s="218" t="s">
        <v>200</v>
      </c>
    </row>
    <row r="1594">
      <c r="A1594" s="223" t="s">
        <v>886</v>
      </c>
      <c r="B1594" s="223" t="s">
        <v>1200</v>
      </c>
      <c r="C1594" s="223" t="s">
        <v>1376</v>
      </c>
      <c r="D1594" s="320">
        <v>45046.0</v>
      </c>
      <c r="I1594" s="218">
        <v>175.0</v>
      </c>
      <c r="J1594" s="317" t="s">
        <v>1160</v>
      </c>
      <c r="K1594" s="319">
        <v>2023.0</v>
      </c>
      <c r="L1594" s="218" t="s">
        <v>200</v>
      </c>
    </row>
    <row r="1595">
      <c r="A1595" s="223" t="s">
        <v>861</v>
      </c>
      <c r="B1595" s="223" t="s">
        <v>1483</v>
      </c>
      <c r="C1595" s="223" t="s">
        <v>1393</v>
      </c>
      <c r="D1595" s="320">
        <v>45046.0</v>
      </c>
      <c r="I1595" s="218">
        <v>651.0</v>
      </c>
      <c r="J1595" s="317" t="s">
        <v>52</v>
      </c>
      <c r="K1595" s="319">
        <v>2023.04</v>
      </c>
      <c r="L1595" s="218" t="s">
        <v>200</v>
      </c>
    </row>
    <row r="1596">
      <c r="A1596" s="223" t="s">
        <v>549</v>
      </c>
      <c r="B1596" s="223" t="s">
        <v>1368</v>
      </c>
      <c r="C1596" s="223" t="s">
        <v>1393</v>
      </c>
      <c r="D1596" s="320">
        <v>45046.0</v>
      </c>
      <c r="I1596" s="218">
        <v>45.0</v>
      </c>
      <c r="J1596" s="317" t="s">
        <v>52</v>
      </c>
      <c r="K1596" s="319">
        <v>2023.04</v>
      </c>
      <c r="L1596" s="218" t="s">
        <v>200</v>
      </c>
    </row>
    <row r="1597">
      <c r="A1597" s="223" t="s">
        <v>102</v>
      </c>
      <c r="B1597" s="223" t="s">
        <v>1259</v>
      </c>
      <c r="C1597" s="223" t="s">
        <v>1156</v>
      </c>
      <c r="D1597" s="320">
        <v>45046.0</v>
      </c>
      <c r="I1597" s="218">
        <v>150.0</v>
      </c>
      <c r="J1597" s="317" t="s">
        <v>52</v>
      </c>
      <c r="K1597" s="319">
        <v>2023.04</v>
      </c>
      <c r="L1597" s="218" t="s">
        <v>200</v>
      </c>
    </row>
    <row r="1598">
      <c r="A1598" s="223" t="s">
        <v>963</v>
      </c>
      <c r="B1598" s="223" t="s">
        <v>1485</v>
      </c>
      <c r="C1598" s="223" t="s">
        <v>1393</v>
      </c>
      <c r="D1598" s="320">
        <v>45046.0</v>
      </c>
      <c r="I1598" s="218">
        <v>279.0</v>
      </c>
      <c r="J1598" s="317" t="s">
        <v>52</v>
      </c>
      <c r="K1598" s="319">
        <v>2023.04</v>
      </c>
      <c r="L1598" s="218" t="s">
        <v>200</v>
      </c>
    </row>
    <row r="1599">
      <c r="A1599" s="223" t="s">
        <v>54</v>
      </c>
      <c r="B1599" s="223" t="s">
        <v>1187</v>
      </c>
      <c r="C1599" s="223" t="s">
        <v>1156</v>
      </c>
      <c r="D1599" s="320">
        <v>45046.0</v>
      </c>
      <c r="I1599" s="218">
        <v>9.17</v>
      </c>
      <c r="J1599" s="317" t="s">
        <v>52</v>
      </c>
      <c r="K1599" s="319">
        <v>2023.04</v>
      </c>
      <c r="L1599" s="218" t="s">
        <v>200</v>
      </c>
    </row>
    <row r="1600">
      <c r="A1600" s="223" t="s">
        <v>913</v>
      </c>
      <c r="B1600" s="223" t="s">
        <v>1429</v>
      </c>
      <c r="C1600" s="223" t="s">
        <v>1471</v>
      </c>
      <c r="D1600" s="320">
        <v>45046.0</v>
      </c>
      <c r="I1600" s="218">
        <v>248.2</v>
      </c>
      <c r="J1600" s="317" t="s">
        <v>1160</v>
      </c>
      <c r="K1600" s="319">
        <v>2023.0</v>
      </c>
      <c r="L1600" s="218" t="s">
        <v>200</v>
      </c>
    </row>
    <row r="1601">
      <c r="A1601" s="223" t="s">
        <v>896</v>
      </c>
      <c r="B1601" s="223" t="s">
        <v>1501</v>
      </c>
      <c r="C1601" s="223" t="s">
        <v>1471</v>
      </c>
      <c r="D1601" s="320">
        <v>45046.0</v>
      </c>
      <c r="I1601" s="218">
        <v>594.17</v>
      </c>
      <c r="J1601" s="317" t="s">
        <v>1160</v>
      </c>
      <c r="K1601" s="319">
        <v>2023.0</v>
      </c>
      <c r="L1601" s="218" t="s">
        <v>200</v>
      </c>
    </row>
    <row r="1602">
      <c r="A1602" s="223" t="s">
        <v>120</v>
      </c>
      <c r="B1602" s="223" t="s">
        <v>1215</v>
      </c>
      <c r="C1602" s="223" t="s">
        <v>1156</v>
      </c>
      <c r="D1602" s="320">
        <v>45046.0</v>
      </c>
      <c r="I1602" s="218">
        <v>14.84</v>
      </c>
      <c r="J1602" s="317" t="s">
        <v>52</v>
      </c>
      <c r="K1602" s="319">
        <v>2023.04</v>
      </c>
      <c r="L1602" s="218" t="s">
        <v>200</v>
      </c>
    </row>
    <row r="1603">
      <c r="A1603" s="223" t="s">
        <v>788</v>
      </c>
      <c r="B1603" s="223" t="s">
        <v>1250</v>
      </c>
      <c r="C1603" s="223" t="s">
        <v>1470</v>
      </c>
      <c r="D1603" s="320">
        <v>45046.0</v>
      </c>
      <c r="I1603" s="218">
        <v>67.62</v>
      </c>
      <c r="J1603" s="317" t="s">
        <v>52</v>
      </c>
      <c r="K1603" s="319">
        <v>2023.04</v>
      </c>
      <c r="L1603" s="218" t="s">
        <v>200</v>
      </c>
    </row>
    <row r="1604">
      <c r="A1604" s="223" t="s">
        <v>918</v>
      </c>
      <c r="B1604" s="223" t="s">
        <v>1439</v>
      </c>
      <c r="C1604" s="223" t="s">
        <v>36</v>
      </c>
      <c r="D1604" s="320">
        <v>45046.0</v>
      </c>
      <c r="I1604" s="218">
        <v>457.85</v>
      </c>
      <c r="J1604" s="317" t="s">
        <v>1160</v>
      </c>
      <c r="K1604" s="319">
        <v>2023.0</v>
      </c>
      <c r="L1604" s="218" t="s">
        <v>200</v>
      </c>
    </row>
    <row r="1605">
      <c r="A1605" s="223" t="s">
        <v>835</v>
      </c>
      <c r="B1605" s="223" t="s">
        <v>1478</v>
      </c>
      <c r="C1605" s="223" t="s">
        <v>36</v>
      </c>
      <c r="D1605" s="320">
        <v>45046.0</v>
      </c>
      <c r="I1605" s="218">
        <v>1184.57</v>
      </c>
      <c r="J1605" s="317" t="s">
        <v>1160</v>
      </c>
      <c r="K1605" s="319">
        <v>2023.0</v>
      </c>
      <c r="L1605" s="218" t="s">
        <v>200</v>
      </c>
    </row>
    <row r="1606">
      <c r="A1606" s="223" t="s">
        <v>890</v>
      </c>
      <c r="B1606" s="223" t="s">
        <v>1475</v>
      </c>
      <c r="C1606" s="223" t="s">
        <v>1499</v>
      </c>
      <c r="D1606" s="320">
        <v>45046.0</v>
      </c>
      <c r="I1606" s="218">
        <v>2.15</v>
      </c>
      <c r="J1606" s="317" t="s">
        <v>52</v>
      </c>
      <c r="K1606" s="319">
        <v>2023.04</v>
      </c>
      <c r="L1606" s="218" t="s">
        <v>200</v>
      </c>
    </row>
    <row r="1607">
      <c r="A1607" s="223" t="s">
        <v>890</v>
      </c>
      <c r="B1607" s="223" t="s">
        <v>1475</v>
      </c>
      <c r="C1607" s="223" t="s">
        <v>1499</v>
      </c>
      <c r="D1607" s="320">
        <v>45046.0</v>
      </c>
      <c r="I1607" s="218">
        <v>66.7</v>
      </c>
      <c r="J1607" s="317" t="s">
        <v>52</v>
      </c>
      <c r="K1607" s="319">
        <v>2023.04</v>
      </c>
      <c r="L1607" s="218" t="s">
        <v>200</v>
      </c>
    </row>
    <row r="1608">
      <c r="A1608" s="223" t="s">
        <v>898</v>
      </c>
      <c r="B1608" s="223" t="s">
        <v>1383</v>
      </c>
      <c r="C1608" s="223" t="s">
        <v>1503</v>
      </c>
      <c r="D1608" s="320">
        <v>45046.0</v>
      </c>
      <c r="I1608" s="218">
        <v>25.5</v>
      </c>
      <c r="J1608" s="317" t="s">
        <v>1160</v>
      </c>
      <c r="K1608" s="319">
        <v>2023.0</v>
      </c>
      <c r="L1608" s="218" t="s">
        <v>200</v>
      </c>
    </row>
    <row r="1609">
      <c r="A1609" s="223" t="s">
        <v>148</v>
      </c>
      <c r="B1609" s="223" t="s">
        <v>1239</v>
      </c>
      <c r="C1609" s="223" t="s">
        <v>1190</v>
      </c>
      <c r="D1609" s="320">
        <v>45046.0</v>
      </c>
      <c r="I1609" s="218">
        <v>31.76</v>
      </c>
      <c r="J1609" s="317" t="s">
        <v>1160</v>
      </c>
      <c r="K1609" s="319">
        <v>2023.0</v>
      </c>
      <c r="L1609" s="218" t="s">
        <v>200</v>
      </c>
    </row>
    <row r="1610">
      <c r="A1610" s="223" t="s">
        <v>70</v>
      </c>
      <c r="B1610" s="223" t="s">
        <v>1239</v>
      </c>
      <c r="C1610" s="223" t="s">
        <v>1168</v>
      </c>
      <c r="D1610" s="320">
        <v>45046.0</v>
      </c>
      <c r="I1610" s="218">
        <v>407.24</v>
      </c>
      <c r="J1610" s="317" t="s">
        <v>1160</v>
      </c>
      <c r="K1610" s="319">
        <v>2023.0</v>
      </c>
      <c r="L1610" s="218" t="s">
        <v>200</v>
      </c>
    </row>
    <row r="1611">
      <c r="A1611" s="223" t="s">
        <v>861</v>
      </c>
      <c r="B1611" s="223" t="s">
        <v>1483</v>
      </c>
      <c r="C1611" s="223" t="s">
        <v>1393</v>
      </c>
      <c r="D1611" s="320">
        <v>45046.0</v>
      </c>
      <c r="I1611" s="218">
        <v>19.27</v>
      </c>
      <c r="J1611" s="317" t="s">
        <v>52</v>
      </c>
      <c r="K1611" s="319">
        <v>2023.04</v>
      </c>
      <c r="L1611" s="218" t="s">
        <v>200</v>
      </c>
    </row>
    <row r="1612">
      <c r="A1612" s="223" t="s">
        <v>932</v>
      </c>
      <c r="B1612" s="223" t="s">
        <v>1507</v>
      </c>
      <c r="C1612" s="223" t="s">
        <v>1381</v>
      </c>
      <c r="D1612" s="320">
        <v>45046.0</v>
      </c>
      <c r="I1612" s="218">
        <v>294.33</v>
      </c>
      <c r="J1612" s="317" t="s">
        <v>1160</v>
      </c>
      <c r="K1612" s="319">
        <v>2023.0</v>
      </c>
      <c r="L1612" s="218" t="s">
        <v>200</v>
      </c>
    </row>
    <row r="1613">
      <c r="A1613" s="223" t="s">
        <v>1266</v>
      </c>
      <c r="B1613" s="223" t="s">
        <v>1264</v>
      </c>
      <c r="C1613" s="223" t="s">
        <v>1267</v>
      </c>
      <c r="D1613" s="320">
        <v>45046.0</v>
      </c>
      <c r="I1613" s="218">
        <v>717.72</v>
      </c>
      <c r="J1613" s="317" t="s">
        <v>1152</v>
      </c>
      <c r="K1613" s="319">
        <v>2023.0</v>
      </c>
      <c r="L1613" s="218" t="s">
        <v>200</v>
      </c>
    </row>
    <row r="1614">
      <c r="A1614" s="223" t="s">
        <v>855</v>
      </c>
      <c r="B1614" s="223" t="s">
        <v>1283</v>
      </c>
      <c r="C1614" s="223" t="s">
        <v>1480</v>
      </c>
      <c r="D1614" s="320">
        <v>45046.0</v>
      </c>
      <c r="I1614" s="218">
        <v>166.24</v>
      </c>
      <c r="J1614" s="317" t="s">
        <v>52</v>
      </c>
      <c r="K1614" s="319">
        <v>2023.04</v>
      </c>
      <c r="L1614" s="218" t="s">
        <v>200</v>
      </c>
    </row>
    <row r="1615">
      <c r="A1615" s="223" t="s">
        <v>871</v>
      </c>
      <c r="B1615" s="223" t="s">
        <v>1491</v>
      </c>
      <c r="C1615" s="223" t="s">
        <v>1492</v>
      </c>
      <c r="D1615" s="320">
        <v>45046.0</v>
      </c>
      <c r="I1615" s="218">
        <v>6.14</v>
      </c>
      <c r="J1615" s="317" t="s">
        <v>1160</v>
      </c>
      <c r="K1615" s="319">
        <v>2023.0</v>
      </c>
      <c r="L1615" s="218" t="s">
        <v>200</v>
      </c>
    </row>
    <row r="1616">
      <c r="A1616" s="223" t="s">
        <v>586</v>
      </c>
      <c r="B1616" s="223" t="s">
        <v>1404</v>
      </c>
      <c r="C1616" s="223" t="s">
        <v>1403</v>
      </c>
      <c r="D1616" s="320">
        <v>45046.0</v>
      </c>
      <c r="I1616" s="218">
        <v>10.81</v>
      </c>
      <c r="J1616" s="317" t="s">
        <v>1160</v>
      </c>
      <c r="K1616" s="319">
        <v>2023.0</v>
      </c>
      <c r="L1616" s="218" t="s">
        <v>200</v>
      </c>
    </row>
    <row r="1617">
      <c r="A1617" s="223" t="s">
        <v>584</v>
      </c>
      <c r="B1617" s="223" t="s">
        <v>1398</v>
      </c>
      <c r="C1617" s="223" t="s">
        <v>1403</v>
      </c>
      <c r="D1617" s="320">
        <v>45046.0</v>
      </c>
      <c r="I1617" s="218">
        <v>94.45</v>
      </c>
      <c r="J1617" s="317" t="s">
        <v>1160</v>
      </c>
      <c r="K1617" s="319">
        <v>2023.0</v>
      </c>
      <c r="L1617" s="218" t="s">
        <v>200</v>
      </c>
    </row>
    <row r="1618">
      <c r="A1618" s="223" t="s">
        <v>587</v>
      </c>
      <c r="B1618" s="223" t="s">
        <v>1406</v>
      </c>
      <c r="C1618" s="223" t="s">
        <v>1403</v>
      </c>
      <c r="D1618" s="320">
        <v>45046.0</v>
      </c>
      <c r="I1618" s="218">
        <v>57.18</v>
      </c>
      <c r="J1618" s="317" t="s">
        <v>1160</v>
      </c>
      <c r="K1618" s="319">
        <v>2023.0</v>
      </c>
      <c r="L1618" s="218" t="s">
        <v>200</v>
      </c>
    </row>
    <row r="1619">
      <c r="A1619" s="223" t="s">
        <v>123</v>
      </c>
      <c r="B1619" s="223" t="s">
        <v>1300</v>
      </c>
      <c r="C1619" s="223" t="s">
        <v>1156</v>
      </c>
      <c r="D1619" s="320">
        <v>45046.0</v>
      </c>
      <c r="I1619" s="218">
        <v>104.36</v>
      </c>
      <c r="J1619" s="317" t="s">
        <v>52</v>
      </c>
      <c r="K1619" s="319">
        <v>2023.04</v>
      </c>
      <c r="L1619" s="218" t="s">
        <v>200</v>
      </c>
    </row>
    <row r="1620">
      <c r="A1620" s="223" t="s">
        <v>629</v>
      </c>
      <c r="B1620" s="223" t="s">
        <v>1395</v>
      </c>
      <c r="C1620" s="223" t="s">
        <v>469</v>
      </c>
      <c r="D1620" s="320">
        <v>45046.0</v>
      </c>
      <c r="I1620" s="218">
        <v>8.75</v>
      </c>
      <c r="J1620" s="317" t="s">
        <v>52</v>
      </c>
      <c r="K1620" s="319">
        <v>2023.04</v>
      </c>
      <c r="L1620" s="218" t="s">
        <v>200</v>
      </c>
    </row>
    <row r="1621">
      <c r="A1621" s="223" t="s">
        <v>118</v>
      </c>
      <c r="B1621" s="223" t="s">
        <v>1312</v>
      </c>
      <c r="C1621" s="223" t="s">
        <v>1156</v>
      </c>
      <c r="D1621" s="320">
        <v>45035.0</v>
      </c>
      <c r="I1621" s="218">
        <v>750.0</v>
      </c>
      <c r="J1621" s="317" t="s">
        <v>52</v>
      </c>
      <c r="K1621" s="319">
        <v>2023.04</v>
      </c>
      <c r="L1621" s="218">
        <v>750.0</v>
      </c>
    </row>
    <row r="1622">
      <c r="A1622" s="223" t="s">
        <v>115</v>
      </c>
      <c r="B1622" s="223" t="s">
        <v>1308</v>
      </c>
      <c r="C1622" s="223" t="s">
        <v>1156</v>
      </c>
      <c r="D1622" s="320">
        <v>45036.0</v>
      </c>
      <c r="I1622" s="218">
        <v>750.0</v>
      </c>
      <c r="J1622" s="317" t="s">
        <v>52</v>
      </c>
      <c r="K1622" s="319">
        <v>2023.04</v>
      </c>
      <c r="L1622" s="218">
        <v>750.0</v>
      </c>
    </row>
    <row r="1623">
      <c r="A1623" s="223" t="s">
        <v>92</v>
      </c>
      <c r="B1623" s="223" t="s">
        <v>1289</v>
      </c>
      <c r="C1623" s="223" t="s">
        <v>1156</v>
      </c>
      <c r="D1623" s="320">
        <v>45041.0</v>
      </c>
      <c r="I1623" s="218">
        <v>46.19</v>
      </c>
      <c r="J1623" s="317" t="s">
        <v>52</v>
      </c>
      <c r="K1623" s="319">
        <v>2023.04</v>
      </c>
      <c r="L1623" s="218">
        <v>46.19</v>
      </c>
    </row>
    <row r="1624">
      <c r="A1624" s="223" t="s">
        <v>118</v>
      </c>
      <c r="B1624" s="223" t="s">
        <v>1312</v>
      </c>
      <c r="C1624" s="223" t="s">
        <v>1156</v>
      </c>
      <c r="D1624" s="320">
        <v>45047.0</v>
      </c>
      <c r="I1624" s="218">
        <v>723.74</v>
      </c>
      <c r="J1624" s="317" t="s">
        <v>52</v>
      </c>
      <c r="K1624" s="319">
        <v>2023.05</v>
      </c>
      <c r="L1624" s="218">
        <v>723.74</v>
      </c>
    </row>
    <row r="1625">
      <c r="A1625" s="223" t="s">
        <v>1271</v>
      </c>
      <c r="B1625" s="223" t="s">
        <v>1264</v>
      </c>
      <c r="C1625" s="223" t="s">
        <v>1272</v>
      </c>
      <c r="D1625" s="320">
        <v>45047.0</v>
      </c>
      <c r="I1625" s="218">
        <v>499.41</v>
      </c>
      <c r="J1625" s="317" t="s">
        <v>1152</v>
      </c>
      <c r="K1625" s="319">
        <v>2023.0</v>
      </c>
      <c r="L1625" s="218" t="s">
        <v>200</v>
      </c>
    </row>
    <row r="1626">
      <c r="A1626" s="223" t="s">
        <v>115</v>
      </c>
      <c r="B1626" s="223" t="s">
        <v>1308</v>
      </c>
      <c r="C1626" s="223" t="s">
        <v>1156</v>
      </c>
      <c r="D1626" s="320">
        <v>45047.0</v>
      </c>
      <c r="I1626" s="218">
        <v>688.47</v>
      </c>
      <c r="J1626" s="317" t="s">
        <v>52</v>
      </c>
      <c r="K1626" s="319">
        <v>2023.05</v>
      </c>
      <c r="L1626" s="218">
        <v>688.47</v>
      </c>
    </row>
    <row r="1627">
      <c r="A1627" s="223" t="s">
        <v>54</v>
      </c>
      <c r="B1627" s="223" t="s">
        <v>1187</v>
      </c>
      <c r="C1627" s="223" t="s">
        <v>1156</v>
      </c>
      <c r="D1627" s="320">
        <v>45046.0</v>
      </c>
      <c r="I1627" s="218">
        <v>337.5</v>
      </c>
      <c r="J1627" s="317" t="s">
        <v>52</v>
      </c>
      <c r="K1627" s="319">
        <v>2023.04</v>
      </c>
      <c r="L1627" s="218" t="s">
        <v>200</v>
      </c>
    </row>
    <row r="1628">
      <c r="A1628" s="223" t="s">
        <v>120</v>
      </c>
      <c r="B1628" s="223" t="s">
        <v>1215</v>
      </c>
      <c r="C1628" s="223" t="s">
        <v>1156</v>
      </c>
      <c r="D1628" s="320">
        <v>45046.0</v>
      </c>
      <c r="I1628" s="218">
        <v>350.0</v>
      </c>
      <c r="J1628" s="317" t="s">
        <v>52</v>
      </c>
      <c r="K1628" s="319">
        <v>2023.04</v>
      </c>
      <c r="L1628" s="218" t="s">
        <v>200</v>
      </c>
    </row>
    <row r="1629">
      <c r="A1629" s="223" t="s">
        <v>499</v>
      </c>
      <c r="B1629" s="223" t="s">
        <v>1330</v>
      </c>
      <c r="C1629" s="223" t="s">
        <v>1375</v>
      </c>
      <c r="D1629" s="320">
        <v>45046.0</v>
      </c>
      <c r="I1629" s="218">
        <v>300.0</v>
      </c>
      <c r="J1629" s="317" t="s">
        <v>52</v>
      </c>
      <c r="K1629" s="319">
        <v>2023.04</v>
      </c>
      <c r="L1629" s="218" t="s">
        <v>200</v>
      </c>
    </row>
    <row r="1630">
      <c r="A1630" s="223" t="s">
        <v>788</v>
      </c>
      <c r="B1630" s="223" t="s">
        <v>1250</v>
      </c>
      <c r="C1630" s="223" t="s">
        <v>1470</v>
      </c>
      <c r="D1630" s="320">
        <v>45046.0</v>
      </c>
      <c r="I1630" s="218">
        <v>300.0</v>
      </c>
      <c r="J1630" s="317" t="s">
        <v>52</v>
      </c>
      <c r="K1630" s="319">
        <v>2023.04</v>
      </c>
      <c r="L1630" s="218" t="s">
        <v>200</v>
      </c>
    </row>
    <row r="1631">
      <c r="A1631" s="223" t="s">
        <v>662</v>
      </c>
      <c r="B1631" s="223" t="s">
        <v>1433</v>
      </c>
      <c r="C1631" s="223" t="s">
        <v>1434</v>
      </c>
      <c r="D1631" s="320">
        <v>45046.0</v>
      </c>
      <c r="I1631" s="218">
        <v>215.0</v>
      </c>
      <c r="J1631" s="317" t="s">
        <v>52</v>
      </c>
      <c r="K1631" s="319">
        <v>2023.04</v>
      </c>
      <c r="L1631" s="218" t="s">
        <v>200</v>
      </c>
    </row>
    <row r="1632">
      <c r="A1632" s="223" t="s">
        <v>890</v>
      </c>
      <c r="B1632" s="223" t="s">
        <v>1475</v>
      </c>
      <c r="C1632" s="223" t="s">
        <v>1499</v>
      </c>
      <c r="D1632" s="320">
        <v>45046.0</v>
      </c>
      <c r="I1632" s="218">
        <v>665.0</v>
      </c>
      <c r="J1632" s="317" t="s">
        <v>52</v>
      </c>
      <c r="K1632" s="319">
        <v>2023.04</v>
      </c>
      <c r="L1632" s="218" t="s">
        <v>200</v>
      </c>
    </row>
    <row r="1633">
      <c r="A1633" s="223" t="s">
        <v>874</v>
      </c>
      <c r="B1633" s="223" t="s">
        <v>1495</v>
      </c>
      <c r="C1633" s="223" t="s">
        <v>1496</v>
      </c>
      <c r="D1633" s="320">
        <v>45046.0</v>
      </c>
      <c r="I1633" s="218">
        <v>1125.0</v>
      </c>
      <c r="J1633" s="317" t="s">
        <v>1160</v>
      </c>
      <c r="K1633" s="319">
        <v>2023.0</v>
      </c>
      <c r="L1633" s="218" t="s">
        <v>200</v>
      </c>
    </row>
    <row r="1634">
      <c r="A1634" s="223" t="s">
        <v>768</v>
      </c>
      <c r="B1634" s="223" t="s">
        <v>1383</v>
      </c>
      <c r="C1634" s="223" t="s">
        <v>1179</v>
      </c>
      <c r="D1634" s="320">
        <v>45046.0</v>
      </c>
      <c r="I1634" s="218">
        <v>15.0</v>
      </c>
      <c r="J1634" s="317" t="s">
        <v>1160</v>
      </c>
      <c r="K1634" s="319">
        <v>2023.0</v>
      </c>
      <c r="L1634" s="218" t="s">
        <v>200</v>
      </c>
    </row>
    <row r="1635">
      <c r="A1635" s="223" t="s">
        <v>1271</v>
      </c>
      <c r="B1635" s="223" t="s">
        <v>1264</v>
      </c>
      <c r="C1635" s="223" t="s">
        <v>1272</v>
      </c>
      <c r="D1635" s="320">
        <v>45057.0</v>
      </c>
      <c r="I1635" s="218">
        <v>14.74</v>
      </c>
      <c r="J1635" s="317" t="s">
        <v>1152</v>
      </c>
      <c r="K1635" s="319">
        <v>2023.0</v>
      </c>
      <c r="L1635" s="218" t="s">
        <v>200</v>
      </c>
    </row>
    <row r="1636">
      <c r="A1636" s="223" t="s">
        <v>1269</v>
      </c>
      <c r="B1636" s="223" t="s">
        <v>1264</v>
      </c>
      <c r="C1636" s="223" t="s">
        <v>1270</v>
      </c>
      <c r="D1636" s="320">
        <v>45057.0</v>
      </c>
      <c r="I1636" s="218">
        <v>40.73</v>
      </c>
      <c r="J1636" s="317" t="s">
        <v>1152</v>
      </c>
      <c r="K1636" s="319">
        <v>2023.0</v>
      </c>
      <c r="L1636" s="218" t="s">
        <v>200</v>
      </c>
    </row>
    <row r="1637">
      <c r="A1637" s="223" t="s">
        <v>1271</v>
      </c>
      <c r="B1637" s="223" t="s">
        <v>1264</v>
      </c>
      <c r="C1637" s="223" t="s">
        <v>1272</v>
      </c>
      <c r="D1637" s="320">
        <v>45057.0</v>
      </c>
      <c r="I1637" s="218">
        <v>69.89</v>
      </c>
      <c r="J1637" s="317" t="s">
        <v>1152</v>
      </c>
      <c r="K1637" s="319">
        <v>2023.0</v>
      </c>
      <c r="L1637" s="218" t="s">
        <v>200</v>
      </c>
    </row>
    <row r="1638">
      <c r="A1638" s="223" t="s">
        <v>1266</v>
      </c>
      <c r="B1638" s="223" t="s">
        <v>1264</v>
      </c>
      <c r="C1638" s="223" t="s">
        <v>1267</v>
      </c>
      <c r="D1638" s="320">
        <v>45077.0</v>
      </c>
      <c r="I1638" s="218">
        <v>2500.0</v>
      </c>
      <c r="J1638" s="317" t="s">
        <v>1152</v>
      </c>
      <c r="K1638" s="319">
        <v>2023.0</v>
      </c>
      <c r="L1638" s="218" t="s">
        <v>200</v>
      </c>
    </row>
    <row r="1639">
      <c r="A1639" s="223" t="s">
        <v>99</v>
      </c>
      <c r="B1639" s="223" t="s">
        <v>1192</v>
      </c>
      <c r="C1639" s="223" t="s">
        <v>1156</v>
      </c>
      <c r="D1639" s="320">
        <v>45077.0</v>
      </c>
      <c r="I1639" s="218">
        <v>400.0</v>
      </c>
      <c r="J1639" s="317" t="s">
        <v>52</v>
      </c>
      <c r="K1639" s="319">
        <v>2023.05</v>
      </c>
      <c r="L1639" s="218" t="s">
        <v>200</v>
      </c>
    </row>
    <row r="1640">
      <c r="A1640" s="223" t="s">
        <v>42</v>
      </c>
      <c r="B1640" s="223" t="s">
        <v>1236</v>
      </c>
      <c r="C1640" s="223" t="s">
        <v>1156</v>
      </c>
      <c r="D1640" s="320">
        <v>45077.0</v>
      </c>
      <c r="I1640" s="218">
        <v>287.5</v>
      </c>
      <c r="J1640" s="317" t="s">
        <v>52</v>
      </c>
      <c r="K1640" s="319">
        <v>2023.05</v>
      </c>
      <c r="L1640" s="218" t="s">
        <v>200</v>
      </c>
    </row>
    <row r="1641">
      <c r="A1641" s="223" t="s">
        <v>499</v>
      </c>
      <c r="B1641" s="223" t="s">
        <v>1330</v>
      </c>
      <c r="C1641" s="223" t="s">
        <v>1375</v>
      </c>
      <c r="D1641" s="320">
        <v>45077.0</v>
      </c>
      <c r="I1641" s="218">
        <v>200.0</v>
      </c>
      <c r="J1641" s="317" t="s">
        <v>52</v>
      </c>
      <c r="K1641" s="319">
        <v>2023.05</v>
      </c>
      <c r="L1641" s="218" t="s">
        <v>200</v>
      </c>
    </row>
    <row r="1642">
      <c r="A1642" s="223" t="s">
        <v>861</v>
      </c>
      <c r="B1642" s="223" t="s">
        <v>1483</v>
      </c>
      <c r="C1642" s="223" t="s">
        <v>1393</v>
      </c>
      <c r="D1642" s="320">
        <v>45077.0</v>
      </c>
      <c r="I1642" s="218">
        <v>887.5</v>
      </c>
      <c r="J1642" s="317" t="s">
        <v>52</v>
      </c>
      <c r="K1642" s="319">
        <v>2023.05</v>
      </c>
      <c r="L1642" s="218" t="s">
        <v>200</v>
      </c>
    </row>
    <row r="1643">
      <c r="A1643" s="223" t="s">
        <v>890</v>
      </c>
      <c r="B1643" s="223" t="s">
        <v>1475</v>
      </c>
      <c r="C1643" s="223" t="s">
        <v>1499</v>
      </c>
      <c r="D1643" s="320">
        <v>45077.0</v>
      </c>
      <c r="I1643" s="218">
        <v>300.0</v>
      </c>
      <c r="J1643" s="317" t="s">
        <v>52</v>
      </c>
      <c r="K1643" s="319">
        <v>2023.05</v>
      </c>
      <c r="L1643" s="218" t="s">
        <v>200</v>
      </c>
    </row>
    <row r="1644">
      <c r="A1644" s="223" t="s">
        <v>549</v>
      </c>
      <c r="B1644" s="223" t="s">
        <v>1368</v>
      </c>
      <c r="C1644" s="223" t="s">
        <v>1393</v>
      </c>
      <c r="D1644" s="320">
        <v>45077.0</v>
      </c>
      <c r="I1644" s="218">
        <v>150.0</v>
      </c>
      <c r="J1644" s="317" t="s">
        <v>52</v>
      </c>
      <c r="K1644" s="319">
        <v>2023.05</v>
      </c>
      <c r="L1644" s="218" t="s">
        <v>200</v>
      </c>
    </row>
    <row r="1645">
      <c r="A1645" s="223" t="s">
        <v>662</v>
      </c>
      <c r="B1645" s="223" t="s">
        <v>1433</v>
      </c>
      <c r="C1645" s="223" t="s">
        <v>1434</v>
      </c>
      <c r="D1645" s="320">
        <v>45077.0</v>
      </c>
      <c r="I1645" s="218">
        <v>550.0</v>
      </c>
      <c r="J1645" s="317" t="s">
        <v>52</v>
      </c>
      <c r="K1645" s="319">
        <v>2023.05</v>
      </c>
      <c r="L1645" s="218" t="s">
        <v>200</v>
      </c>
    </row>
    <row r="1646">
      <c r="A1646" s="223" t="s">
        <v>1269</v>
      </c>
      <c r="B1646" s="223" t="s">
        <v>1264</v>
      </c>
      <c r="C1646" s="223" t="s">
        <v>1270</v>
      </c>
      <c r="D1646" s="320">
        <v>45077.0</v>
      </c>
      <c r="I1646" s="218">
        <v>140.0</v>
      </c>
      <c r="J1646" s="317" t="s">
        <v>1152</v>
      </c>
      <c r="K1646" s="319">
        <v>2023.0</v>
      </c>
      <c r="L1646" s="218" t="s">
        <v>200</v>
      </c>
    </row>
    <row r="1647">
      <c r="A1647" s="223" t="s">
        <v>806</v>
      </c>
      <c r="B1647" s="223" t="s">
        <v>1305</v>
      </c>
      <c r="C1647" s="223" t="s">
        <v>1435</v>
      </c>
      <c r="D1647" s="320">
        <v>45077.0</v>
      </c>
      <c r="I1647" s="218">
        <v>87.5</v>
      </c>
      <c r="J1647" s="317" t="s">
        <v>1436</v>
      </c>
      <c r="K1647" s="319">
        <v>2023.0</v>
      </c>
      <c r="L1647" s="218" t="s">
        <v>200</v>
      </c>
    </row>
    <row r="1648">
      <c r="A1648" s="223" t="s">
        <v>82</v>
      </c>
      <c r="B1648" s="223" t="s">
        <v>1124</v>
      </c>
      <c r="C1648" s="223" t="s">
        <v>1156</v>
      </c>
      <c r="D1648" s="320">
        <v>45077.0</v>
      </c>
      <c r="I1648" s="218">
        <v>262.5</v>
      </c>
      <c r="J1648" s="317" t="s">
        <v>52</v>
      </c>
      <c r="K1648" s="319">
        <v>2023.05</v>
      </c>
      <c r="L1648" s="218" t="s">
        <v>200</v>
      </c>
    </row>
    <row r="1649">
      <c r="A1649" s="223" t="s">
        <v>92</v>
      </c>
      <c r="B1649" s="223" t="s">
        <v>1289</v>
      </c>
      <c r="C1649" s="223" t="s">
        <v>1156</v>
      </c>
      <c r="D1649" s="320">
        <v>45077.0</v>
      </c>
      <c r="I1649" s="218">
        <v>300.0</v>
      </c>
      <c r="J1649" s="317" t="s">
        <v>52</v>
      </c>
      <c r="K1649" s="319">
        <v>2023.05</v>
      </c>
      <c r="L1649" s="218" t="s">
        <v>200</v>
      </c>
    </row>
    <row r="1650">
      <c r="A1650" s="223" t="s">
        <v>427</v>
      </c>
      <c r="B1650" s="223" t="s">
        <v>1216</v>
      </c>
      <c r="C1650" s="223" t="s">
        <v>1355</v>
      </c>
      <c r="D1650" s="320">
        <v>45077.0</v>
      </c>
      <c r="I1650" s="218">
        <v>175.0</v>
      </c>
      <c r="J1650" s="317" t="s">
        <v>1160</v>
      </c>
      <c r="K1650" s="319">
        <v>2023.0</v>
      </c>
      <c r="L1650" s="218" t="s">
        <v>200</v>
      </c>
    </row>
    <row r="1651">
      <c r="A1651" s="223" t="s">
        <v>795</v>
      </c>
      <c r="B1651" s="223" t="s">
        <v>1352</v>
      </c>
      <c r="C1651" s="223" t="s">
        <v>1393</v>
      </c>
      <c r="D1651" s="320">
        <v>45077.0</v>
      </c>
      <c r="I1651" s="218">
        <v>450.0</v>
      </c>
      <c r="J1651" s="317" t="s">
        <v>52</v>
      </c>
      <c r="K1651" s="319">
        <v>2023.05</v>
      </c>
      <c r="L1651" s="218" t="s">
        <v>200</v>
      </c>
    </row>
    <row r="1652">
      <c r="A1652" s="223" t="s">
        <v>1269</v>
      </c>
      <c r="B1652" s="223" t="s">
        <v>1264</v>
      </c>
      <c r="C1652" s="223" t="s">
        <v>1270</v>
      </c>
      <c r="D1652" s="320">
        <v>45077.0</v>
      </c>
      <c r="I1652" s="218">
        <v>226.8</v>
      </c>
      <c r="J1652" s="317" t="s">
        <v>1152</v>
      </c>
      <c r="K1652" s="319">
        <v>2023.0</v>
      </c>
      <c r="L1652" s="218" t="s">
        <v>200</v>
      </c>
    </row>
    <row r="1653">
      <c r="A1653" s="223" t="s">
        <v>1269</v>
      </c>
      <c r="B1653" s="223" t="s">
        <v>1264</v>
      </c>
      <c r="C1653" s="223" t="s">
        <v>1270</v>
      </c>
      <c r="D1653" s="320">
        <v>45077.0</v>
      </c>
      <c r="I1653" s="218">
        <v>200.0</v>
      </c>
      <c r="J1653" s="317" t="s">
        <v>1152</v>
      </c>
      <c r="K1653" s="319">
        <v>2023.0</v>
      </c>
      <c r="L1653" s="218" t="s">
        <v>200</v>
      </c>
    </row>
    <row r="1654">
      <c r="A1654" s="223" t="s">
        <v>768</v>
      </c>
      <c r="B1654" s="223" t="s">
        <v>1383</v>
      </c>
      <c r="C1654" s="223" t="s">
        <v>1179</v>
      </c>
      <c r="D1654" s="320">
        <v>45077.0</v>
      </c>
      <c r="I1654" s="218">
        <v>150.0</v>
      </c>
      <c r="J1654" s="317" t="s">
        <v>1160</v>
      </c>
      <c r="K1654" s="319">
        <v>2023.0</v>
      </c>
      <c r="L1654" s="218" t="s">
        <v>200</v>
      </c>
    </row>
    <row r="1655">
      <c r="A1655" s="223" t="s">
        <v>810</v>
      </c>
      <c r="B1655" s="223" t="s">
        <v>1363</v>
      </c>
      <c r="C1655" s="223" t="s">
        <v>1393</v>
      </c>
      <c r="D1655" s="320">
        <v>45077.0</v>
      </c>
      <c r="I1655" s="218">
        <v>262.5</v>
      </c>
      <c r="J1655" s="317" t="s">
        <v>52</v>
      </c>
      <c r="K1655" s="319">
        <v>2023.05</v>
      </c>
      <c r="L1655" s="218" t="s">
        <v>200</v>
      </c>
    </row>
    <row r="1656">
      <c r="A1656" s="223" t="s">
        <v>97</v>
      </c>
      <c r="B1656" s="223" t="s">
        <v>1286</v>
      </c>
      <c r="C1656" s="223" t="s">
        <v>1156</v>
      </c>
      <c r="D1656" s="320">
        <v>45077.0</v>
      </c>
      <c r="I1656" s="218">
        <v>137.5</v>
      </c>
      <c r="J1656" s="317" t="s">
        <v>52</v>
      </c>
      <c r="K1656" s="319">
        <v>2023.05</v>
      </c>
      <c r="L1656" s="218" t="s">
        <v>200</v>
      </c>
    </row>
    <row r="1657">
      <c r="A1657" s="223" t="s">
        <v>88</v>
      </c>
      <c r="B1657" s="223" t="s">
        <v>1256</v>
      </c>
      <c r="C1657" s="223" t="s">
        <v>1156</v>
      </c>
      <c r="D1657" s="320">
        <v>45077.0</v>
      </c>
      <c r="I1657" s="218">
        <v>212.5</v>
      </c>
      <c r="J1657" s="317" t="s">
        <v>52</v>
      </c>
      <c r="K1657" s="319">
        <v>2023.05</v>
      </c>
      <c r="L1657" s="218" t="s">
        <v>200</v>
      </c>
    </row>
    <row r="1658">
      <c r="A1658" s="223" t="s">
        <v>73</v>
      </c>
      <c r="B1658" s="223" t="s">
        <v>1327</v>
      </c>
      <c r="C1658" s="223" t="s">
        <v>1156</v>
      </c>
      <c r="D1658" s="320">
        <v>45077.0</v>
      </c>
      <c r="I1658" s="218">
        <v>287.5</v>
      </c>
      <c r="J1658" s="317" t="s">
        <v>52</v>
      </c>
      <c r="K1658" s="319">
        <v>2023.05</v>
      </c>
      <c r="L1658" s="218" t="s">
        <v>200</v>
      </c>
    </row>
    <row r="1659">
      <c r="A1659" s="223" t="s">
        <v>223</v>
      </c>
      <c r="B1659" s="223" t="s">
        <v>1176</v>
      </c>
      <c r="C1659" s="223" t="s">
        <v>1156</v>
      </c>
      <c r="D1659" s="320">
        <v>45077.0</v>
      </c>
      <c r="I1659" s="218">
        <v>300.0</v>
      </c>
      <c r="J1659" s="317" t="s">
        <v>52</v>
      </c>
      <c r="K1659" s="319">
        <v>2023.05</v>
      </c>
      <c r="L1659" s="218" t="s">
        <v>200</v>
      </c>
    </row>
    <row r="1660">
      <c r="A1660" s="223" t="s">
        <v>50</v>
      </c>
      <c r="B1660" s="223" t="s">
        <v>1275</v>
      </c>
      <c r="C1660" s="223" t="s">
        <v>1156</v>
      </c>
      <c r="D1660" s="320">
        <v>45077.0</v>
      </c>
      <c r="I1660" s="218">
        <v>150.0</v>
      </c>
      <c r="J1660" s="317" t="s">
        <v>52</v>
      </c>
      <c r="K1660" s="319">
        <v>2023.05</v>
      </c>
      <c r="L1660" s="218" t="s">
        <v>200</v>
      </c>
    </row>
    <row r="1661">
      <c r="A1661" s="223" t="s">
        <v>102</v>
      </c>
      <c r="B1661" s="223" t="s">
        <v>1259</v>
      </c>
      <c r="C1661" s="223" t="s">
        <v>1156</v>
      </c>
      <c r="D1661" s="320">
        <v>45077.0</v>
      </c>
      <c r="I1661" s="218">
        <v>150.0</v>
      </c>
      <c r="J1661" s="317" t="s">
        <v>52</v>
      </c>
      <c r="K1661" s="319">
        <v>2023.05</v>
      </c>
      <c r="L1661" s="218" t="s">
        <v>200</v>
      </c>
    </row>
    <row r="1662">
      <c r="A1662" s="223" t="s">
        <v>115</v>
      </c>
      <c r="B1662" s="223" t="s">
        <v>1308</v>
      </c>
      <c r="C1662" s="223" t="s">
        <v>1156</v>
      </c>
      <c r="D1662" s="320">
        <v>45077.0</v>
      </c>
      <c r="I1662" s="218">
        <v>662.5</v>
      </c>
      <c r="J1662" s="317" t="s">
        <v>52</v>
      </c>
      <c r="K1662" s="319">
        <v>2023.05</v>
      </c>
      <c r="L1662" s="218" t="s">
        <v>200</v>
      </c>
    </row>
    <row r="1663">
      <c r="A1663" s="223" t="s">
        <v>118</v>
      </c>
      <c r="B1663" s="223" t="s">
        <v>1312</v>
      </c>
      <c r="C1663" s="223" t="s">
        <v>1156</v>
      </c>
      <c r="D1663" s="320">
        <v>45077.0</v>
      </c>
      <c r="I1663" s="218">
        <v>662.5</v>
      </c>
      <c r="J1663" s="317" t="s">
        <v>52</v>
      </c>
      <c r="K1663" s="319">
        <v>2023.05</v>
      </c>
      <c r="L1663" s="218" t="s">
        <v>200</v>
      </c>
    </row>
    <row r="1664">
      <c r="A1664" s="223" t="s">
        <v>92</v>
      </c>
      <c r="B1664" s="223" t="s">
        <v>1289</v>
      </c>
      <c r="C1664" s="223" t="s">
        <v>1156</v>
      </c>
      <c r="D1664" s="320">
        <v>45077.0</v>
      </c>
      <c r="I1664" s="218">
        <v>562.5</v>
      </c>
      <c r="J1664" s="317" t="s">
        <v>52</v>
      </c>
      <c r="K1664" s="319">
        <v>2023.05</v>
      </c>
      <c r="L1664" s="218" t="s">
        <v>200</v>
      </c>
    </row>
    <row r="1665">
      <c r="A1665" s="223" t="s">
        <v>123</v>
      </c>
      <c r="B1665" s="223" t="s">
        <v>1300</v>
      </c>
      <c r="C1665" s="223" t="s">
        <v>1156</v>
      </c>
      <c r="D1665" s="320">
        <v>45077.0</v>
      </c>
      <c r="I1665" s="218">
        <v>825.0</v>
      </c>
      <c r="J1665" s="317" t="s">
        <v>52</v>
      </c>
      <c r="K1665" s="319">
        <v>2023.05</v>
      </c>
      <c r="L1665" s="218" t="s">
        <v>200</v>
      </c>
    </row>
    <row r="1666">
      <c r="A1666" s="223" t="s">
        <v>62</v>
      </c>
      <c r="B1666" s="223" t="s">
        <v>1304</v>
      </c>
      <c r="C1666" s="223" t="s">
        <v>1156</v>
      </c>
      <c r="D1666" s="320">
        <v>45077.0</v>
      </c>
      <c r="I1666" s="218">
        <v>450.0</v>
      </c>
      <c r="J1666" s="317" t="s">
        <v>52</v>
      </c>
      <c r="K1666" s="319">
        <v>2023.05</v>
      </c>
      <c r="L1666" s="218" t="s">
        <v>200</v>
      </c>
    </row>
    <row r="1667">
      <c r="A1667" s="223" t="s">
        <v>92</v>
      </c>
      <c r="B1667" s="223" t="s">
        <v>1289</v>
      </c>
      <c r="C1667" s="223" t="s">
        <v>1156</v>
      </c>
      <c r="D1667" s="320">
        <v>45077.0</v>
      </c>
      <c r="I1667" s="218">
        <v>275.0</v>
      </c>
      <c r="J1667" s="317" t="s">
        <v>52</v>
      </c>
      <c r="K1667" s="319">
        <v>2023.05</v>
      </c>
      <c r="L1667" s="218" t="s">
        <v>200</v>
      </c>
    </row>
    <row r="1668">
      <c r="A1668" s="223" t="s">
        <v>88</v>
      </c>
      <c r="B1668" s="223" t="s">
        <v>1256</v>
      </c>
      <c r="C1668" s="223" t="s">
        <v>1156</v>
      </c>
      <c r="D1668" s="320">
        <v>45077.0</v>
      </c>
      <c r="I1668" s="218">
        <v>45.0</v>
      </c>
      <c r="J1668" s="317" t="s">
        <v>52</v>
      </c>
      <c r="K1668" s="319">
        <v>2023.05</v>
      </c>
      <c r="L1668" s="218" t="s">
        <v>200</v>
      </c>
    </row>
    <row r="1669">
      <c r="A1669" s="223" t="s">
        <v>97</v>
      </c>
      <c r="B1669" s="223" t="s">
        <v>1286</v>
      </c>
      <c r="C1669" s="223" t="s">
        <v>1156</v>
      </c>
      <c r="D1669" s="320">
        <v>45077.0</v>
      </c>
      <c r="I1669" s="218">
        <v>30.0</v>
      </c>
      <c r="J1669" s="317" t="s">
        <v>52</v>
      </c>
      <c r="K1669" s="319">
        <v>2023.05</v>
      </c>
      <c r="L1669" s="218" t="s">
        <v>200</v>
      </c>
    </row>
    <row r="1670">
      <c r="A1670" s="223" t="s">
        <v>82</v>
      </c>
      <c r="B1670" s="223" t="s">
        <v>1124</v>
      </c>
      <c r="C1670" s="223" t="s">
        <v>1156</v>
      </c>
      <c r="D1670" s="320">
        <v>45077.0</v>
      </c>
      <c r="I1670" s="218">
        <v>90.0</v>
      </c>
      <c r="J1670" s="317" t="s">
        <v>52</v>
      </c>
      <c r="K1670" s="319">
        <v>2023.05</v>
      </c>
      <c r="L1670" s="218" t="s">
        <v>200</v>
      </c>
    </row>
    <row r="1671">
      <c r="A1671" s="223" t="s">
        <v>99</v>
      </c>
      <c r="B1671" s="223" t="s">
        <v>1192</v>
      </c>
      <c r="C1671" s="223" t="s">
        <v>1156</v>
      </c>
      <c r="D1671" s="320">
        <v>45077.0</v>
      </c>
      <c r="I1671" s="218">
        <v>235.0</v>
      </c>
      <c r="J1671" s="317" t="s">
        <v>52</v>
      </c>
      <c r="K1671" s="319">
        <v>2023.05</v>
      </c>
      <c r="L1671" s="218" t="s">
        <v>200</v>
      </c>
    </row>
    <row r="1672">
      <c r="A1672" s="223" t="s">
        <v>42</v>
      </c>
      <c r="B1672" s="223" t="s">
        <v>1236</v>
      </c>
      <c r="C1672" s="223" t="s">
        <v>1156</v>
      </c>
      <c r="D1672" s="320">
        <v>45077.0</v>
      </c>
      <c r="I1672" s="218">
        <v>135.0</v>
      </c>
      <c r="J1672" s="317" t="s">
        <v>52</v>
      </c>
      <c r="K1672" s="319">
        <v>2023.05</v>
      </c>
      <c r="L1672" s="218" t="s">
        <v>200</v>
      </c>
    </row>
    <row r="1673">
      <c r="A1673" s="223" t="s">
        <v>123</v>
      </c>
      <c r="B1673" s="223" t="s">
        <v>1300</v>
      </c>
      <c r="C1673" s="223" t="s">
        <v>1156</v>
      </c>
      <c r="D1673" s="320">
        <v>45077.0</v>
      </c>
      <c r="I1673" s="218">
        <v>200.0</v>
      </c>
      <c r="J1673" s="317" t="s">
        <v>52</v>
      </c>
      <c r="K1673" s="319">
        <v>2023.05</v>
      </c>
      <c r="L1673" s="218" t="s">
        <v>200</v>
      </c>
    </row>
    <row r="1674">
      <c r="A1674" s="223" t="s">
        <v>73</v>
      </c>
      <c r="B1674" s="223" t="s">
        <v>1327</v>
      </c>
      <c r="C1674" s="223" t="s">
        <v>1156</v>
      </c>
      <c r="D1674" s="320">
        <v>45077.0</v>
      </c>
      <c r="I1674" s="218">
        <v>75.0</v>
      </c>
      <c r="J1674" s="317" t="s">
        <v>52</v>
      </c>
      <c r="K1674" s="319">
        <v>2023.05</v>
      </c>
      <c r="L1674" s="218" t="s">
        <v>200</v>
      </c>
    </row>
    <row r="1675">
      <c r="A1675" s="223" t="s">
        <v>50</v>
      </c>
      <c r="B1675" s="223" t="s">
        <v>1275</v>
      </c>
      <c r="C1675" s="223" t="s">
        <v>1156</v>
      </c>
      <c r="D1675" s="320">
        <v>45077.0</v>
      </c>
      <c r="I1675" s="218">
        <v>30.0</v>
      </c>
      <c r="J1675" s="317" t="s">
        <v>52</v>
      </c>
      <c r="K1675" s="319">
        <v>2023.05</v>
      </c>
      <c r="L1675" s="218" t="s">
        <v>200</v>
      </c>
    </row>
    <row r="1676">
      <c r="A1676" s="223" t="s">
        <v>62</v>
      </c>
      <c r="B1676" s="223" t="s">
        <v>1304</v>
      </c>
      <c r="C1676" s="223" t="s">
        <v>1156</v>
      </c>
      <c r="D1676" s="320">
        <v>45077.0</v>
      </c>
      <c r="I1676" s="218">
        <v>300.0</v>
      </c>
      <c r="J1676" s="317" t="s">
        <v>52</v>
      </c>
      <c r="K1676" s="319">
        <v>2023.05</v>
      </c>
      <c r="L1676" s="218" t="s">
        <v>200</v>
      </c>
    </row>
    <row r="1677">
      <c r="A1677" s="223" t="s">
        <v>223</v>
      </c>
      <c r="B1677" s="223" t="s">
        <v>1176</v>
      </c>
      <c r="C1677" s="223" t="s">
        <v>1156</v>
      </c>
      <c r="D1677" s="320">
        <v>45077.0</v>
      </c>
      <c r="I1677" s="218">
        <v>75.0</v>
      </c>
      <c r="J1677" s="317" t="s">
        <v>52</v>
      </c>
      <c r="K1677" s="319">
        <v>2023.05</v>
      </c>
      <c r="L1677" s="218" t="s">
        <v>200</v>
      </c>
    </row>
    <row r="1678">
      <c r="A1678" s="223" t="s">
        <v>225</v>
      </c>
      <c r="B1678" s="223" t="s">
        <v>1257</v>
      </c>
      <c r="C1678" s="223" t="s">
        <v>1156</v>
      </c>
      <c r="D1678" s="320">
        <v>45077.0</v>
      </c>
      <c r="I1678" s="218">
        <v>1860.0</v>
      </c>
      <c r="J1678" s="317" t="s">
        <v>52</v>
      </c>
      <c r="K1678" s="319">
        <v>2023.05</v>
      </c>
      <c r="L1678" s="218" t="s">
        <v>200</v>
      </c>
    </row>
    <row r="1679">
      <c r="A1679" s="223" t="s">
        <v>695</v>
      </c>
      <c r="B1679" s="223" t="s">
        <v>1216</v>
      </c>
      <c r="C1679" s="223" t="s">
        <v>1451</v>
      </c>
      <c r="D1679" s="320">
        <v>45077.0</v>
      </c>
      <c r="I1679" s="218">
        <v>45.0</v>
      </c>
      <c r="J1679" s="317" t="s">
        <v>52</v>
      </c>
      <c r="K1679" s="319">
        <v>2023.05</v>
      </c>
      <c r="L1679" s="218" t="s">
        <v>200</v>
      </c>
    </row>
    <row r="1680">
      <c r="A1680" s="223" t="s">
        <v>499</v>
      </c>
      <c r="B1680" s="223" t="s">
        <v>1330</v>
      </c>
      <c r="C1680" s="223" t="s">
        <v>1375</v>
      </c>
      <c r="D1680" s="320">
        <v>45077.0</v>
      </c>
      <c r="I1680" s="218">
        <v>100.0</v>
      </c>
      <c r="J1680" s="317" t="s">
        <v>52</v>
      </c>
      <c r="K1680" s="319">
        <v>2023.05</v>
      </c>
      <c r="L1680" s="218" t="s">
        <v>200</v>
      </c>
    </row>
    <row r="1681">
      <c r="A1681" s="223" t="s">
        <v>810</v>
      </c>
      <c r="B1681" s="223" t="s">
        <v>1363</v>
      </c>
      <c r="C1681" s="223" t="s">
        <v>1393</v>
      </c>
      <c r="D1681" s="320">
        <v>45077.0</v>
      </c>
      <c r="I1681" s="218">
        <v>60.0</v>
      </c>
      <c r="J1681" s="317" t="s">
        <v>52</v>
      </c>
      <c r="K1681" s="319">
        <v>2023.05</v>
      </c>
      <c r="L1681" s="218" t="s">
        <v>200</v>
      </c>
    </row>
    <row r="1682">
      <c r="A1682" s="223" t="s">
        <v>762</v>
      </c>
      <c r="B1682" s="223" t="s">
        <v>1429</v>
      </c>
      <c r="C1682" s="223" t="s">
        <v>1432</v>
      </c>
      <c r="D1682" s="320">
        <v>45077.0</v>
      </c>
      <c r="I1682" s="218">
        <v>322.5</v>
      </c>
      <c r="J1682" s="317" t="s">
        <v>52</v>
      </c>
      <c r="K1682" s="319">
        <v>2023.05</v>
      </c>
      <c r="L1682" s="218" t="s">
        <v>200</v>
      </c>
    </row>
    <row r="1683">
      <c r="A1683" s="223" t="s">
        <v>788</v>
      </c>
      <c r="B1683" s="223" t="s">
        <v>1250</v>
      </c>
      <c r="C1683" s="223" t="s">
        <v>1470</v>
      </c>
      <c r="D1683" s="320">
        <v>45077.0</v>
      </c>
      <c r="I1683" s="218">
        <v>500.0</v>
      </c>
      <c r="J1683" s="317" t="s">
        <v>52</v>
      </c>
      <c r="K1683" s="319">
        <v>2023.05</v>
      </c>
      <c r="L1683" s="218" t="s">
        <v>200</v>
      </c>
    </row>
    <row r="1684">
      <c r="A1684" s="223" t="s">
        <v>795</v>
      </c>
      <c r="B1684" s="223" t="s">
        <v>1352</v>
      </c>
      <c r="C1684" s="223" t="s">
        <v>1393</v>
      </c>
      <c r="D1684" s="320">
        <v>45077.0</v>
      </c>
      <c r="I1684" s="218">
        <v>330.0</v>
      </c>
      <c r="J1684" s="317" t="s">
        <v>52</v>
      </c>
      <c r="K1684" s="319">
        <v>2023.05</v>
      </c>
      <c r="L1684" s="218" t="s">
        <v>200</v>
      </c>
    </row>
    <row r="1685">
      <c r="A1685" s="223" t="s">
        <v>481</v>
      </c>
      <c r="B1685" s="223" t="s">
        <v>1200</v>
      </c>
      <c r="C1685" s="223" t="s">
        <v>1374</v>
      </c>
      <c r="D1685" s="320">
        <v>45077.0</v>
      </c>
      <c r="I1685" s="218">
        <v>175.0</v>
      </c>
      <c r="J1685" s="317" t="s">
        <v>1160</v>
      </c>
      <c r="K1685" s="319">
        <v>2023.0</v>
      </c>
      <c r="L1685" s="218" t="s">
        <v>200</v>
      </c>
    </row>
    <row r="1686">
      <c r="A1686" s="223" t="s">
        <v>861</v>
      </c>
      <c r="B1686" s="223" t="s">
        <v>1483</v>
      </c>
      <c r="C1686" s="223" t="s">
        <v>1393</v>
      </c>
      <c r="D1686" s="320">
        <v>45077.0</v>
      </c>
      <c r="I1686" s="218">
        <v>630.0</v>
      </c>
      <c r="J1686" s="317" t="s">
        <v>52</v>
      </c>
      <c r="K1686" s="319">
        <v>2023.05</v>
      </c>
      <c r="L1686" s="218" t="s">
        <v>200</v>
      </c>
    </row>
    <row r="1687">
      <c r="A1687" s="223" t="s">
        <v>963</v>
      </c>
      <c r="B1687" s="223" t="s">
        <v>1485</v>
      </c>
      <c r="C1687" s="223" t="s">
        <v>1393</v>
      </c>
      <c r="D1687" s="320">
        <v>45077.0</v>
      </c>
      <c r="I1687" s="218">
        <v>300.0</v>
      </c>
      <c r="J1687" s="317" t="s">
        <v>52</v>
      </c>
      <c r="K1687" s="319">
        <v>2023.05</v>
      </c>
      <c r="L1687" s="218" t="s">
        <v>200</v>
      </c>
    </row>
    <row r="1688">
      <c r="A1688" s="223" t="s">
        <v>549</v>
      </c>
      <c r="B1688" s="223" t="s">
        <v>1368</v>
      </c>
      <c r="C1688" s="223" t="s">
        <v>1393</v>
      </c>
      <c r="D1688" s="320">
        <v>45077.0</v>
      </c>
      <c r="I1688" s="218">
        <v>45.0</v>
      </c>
      <c r="J1688" s="317" t="s">
        <v>52</v>
      </c>
      <c r="K1688" s="319">
        <v>2023.05</v>
      </c>
      <c r="L1688" s="218" t="s">
        <v>200</v>
      </c>
    </row>
    <row r="1689">
      <c r="A1689" s="223" t="s">
        <v>966</v>
      </c>
      <c r="B1689" s="223" t="s">
        <v>1487</v>
      </c>
      <c r="C1689" s="223" t="s">
        <v>1510</v>
      </c>
      <c r="D1689" s="320">
        <v>45077.0</v>
      </c>
      <c r="I1689" s="218">
        <v>375.0</v>
      </c>
      <c r="J1689" s="317" t="s">
        <v>52</v>
      </c>
      <c r="K1689" s="319">
        <v>2023.05</v>
      </c>
      <c r="L1689" s="218" t="s">
        <v>200</v>
      </c>
    </row>
    <row r="1690">
      <c r="A1690" s="223" t="s">
        <v>979</v>
      </c>
      <c r="B1690" s="223" t="s">
        <v>1511</v>
      </c>
      <c r="C1690" s="223" t="s">
        <v>1512</v>
      </c>
      <c r="D1690" s="320">
        <v>45077.0</v>
      </c>
      <c r="I1690" s="218">
        <v>400.0</v>
      </c>
      <c r="J1690" s="317" t="s">
        <v>1160</v>
      </c>
      <c r="K1690" s="319">
        <v>2023.0</v>
      </c>
      <c r="L1690" s="218" t="s">
        <v>200</v>
      </c>
    </row>
    <row r="1691">
      <c r="A1691" s="223" t="s">
        <v>599</v>
      </c>
      <c r="B1691" s="223" t="s">
        <v>1398</v>
      </c>
      <c r="C1691" s="223" t="s">
        <v>1416</v>
      </c>
      <c r="D1691" s="320">
        <v>45089.0</v>
      </c>
      <c r="I1691" s="218">
        <v>28.32</v>
      </c>
      <c r="J1691" s="317"/>
      <c r="K1691" s="319">
        <v>2023.0</v>
      </c>
      <c r="L1691" s="218" t="s">
        <v>200</v>
      </c>
    </row>
    <row r="1692">
      <c r="A1692" s="223" t="s">
        <v>54</v>
      </c>
      <c r="B1692" s="223" t="s">
        <v>1187</v>
      </c>
      <c r="C1692" s="223" t="s">
        <v>1156</v>
      </c>
      <c r="D1692" s="320">
        <v>45077.0</v>
      </c>
      <c r="I1692" s="218">
        <v>352.5</v>
      </c>
      <c r="J1692" s="317" t="s">
        <v>52</v>
      </c>
      <c r="K1692" s="319">
        <v>2023.05</v>
      </c>
      <c r="L1692" s="218" t="s">
        <v>200</v>
      </c>
    </row>
    <row r="1693">
      <c r="A1693" s="223" t="s">
        <v>120</v>
      </c>
      <c r="B1693" s="223" t="s">
        <v>1215</v>
      </c>
      <c r="C1693" s="223" t="s">
        <v>1156</v>
      </c>
      <c r="D1693" s="320">
        <v>45077.0</v>
      </c>
      <c r="I1693" s="218">
        <v>350.0</v>
      </c>
      <c r="J1693" s="317" t="s">
        <v>52</v>
      </c>
      <c r="K1693" s="319">
        <v>2023.05</v>
      </c>
      <c r="L1693" s="218" t="s">
        <v>200</v>
      </c>
    </row>
    <row r="1694">
      <c r="A1694" s="223" t="s">
        <v>499</v>
      </c>
      <c r="B1694" s="223" t="s">
        <v>1330</v>
      </c>
      <c r="C1694" s="223" t="s">
        <v>1375</v>
      </c>
      <c r="D1694" s="320">
        <v>45077.0</v>
      </c>
      <c r="I1694" s="218">
        <v>300.0</v>
      </c>
      <c r="J1694" s="317" t="s">
        <v>52</v>
      </c>
      <c r="K1694" s="319">
        <v>2023.05</v>
      </c>
      <c r="L1694" s="218" t="s">
        <v>200</v>
      </c>
    </row>
    <row r="1695">
      <c r="A1695" s="223" t="s">
        <v>966</v>
      </c>
      <c r="B1695" s="223" t="s">
        <v>1487</v>
      </c>
      <c r="C1695" s="223" t="s">
        <v>1510</v>
      </c>
      <c r="D1695" s="320">
        <v>45077.0</v>
      </c>
      <c r="I1695" s="218">
        <v>627.5</v>
      </c>
      <c r="J1695" s="317" t="s">
        <v>52</v>
      </c>
      <c r="K1695" s="319">
        <v>2023.05</v>
      </c>
      <c r="L1695" s="218" t="s">
        <v>200</v>
      </c>
    </row>
    <row r="1696">
      <c r="A1696" s="223" t="s">
        <v>932</v>
      </c>
      <c r="B1696" s="223" t="s">
        <v>1507</v>
      </c>
      <c r="C1696" s="223" t="s">
        <v>1381</v>
      </c>
      <c r="D1696" s="320">
        <v>45077.0</v>
      </c>
      <c r="I1696" s="218">
        <v>500.0</v>
      </c>
      <c r="J1696" s="317" t="s">
        <v>1160</v>
      </c>
      <c r="K1696" s="319">
        <v>2023.0</v>
      </c>
      <c r="L1696" s="218" t="s">
        <v>200</v>
      </c>
    </row>
    <row r="1697">
      <c r="A1697" s="223" t="s">
        <v>788</v>
      </c>
      <c r="B1697" s="223" t="s">
        <v>1250</v>
      </c>
      <c r="C1697" s="223" t="s">
        <v>1470</v>
      </c>
      <c r="D1697" s="320">
        <v>45077.0</v>
      </c>
      <c r="I1697" s="218">
        <v>265.0</v>
      </c>
      <c r="J1697" s="317" t="s">
        <v>52</v>
      </c>
      <c r="K1697" s="319">
        <v>2023.05</v>
      </c>
      <c r="L1697" s="218" t="s">
        <v>200</v>
      </c>
    </row>
    <row r="1698">
      <c r="A1698" s="223" t="s">
        <v>662</v>
      </c>
      <c r="B1698" s="223" t="s">
        <v>1433</v>
      </c>
      <c r="C1698" s="223" t="s">
        <v>1434</v>
      </c>
      <c r="D1698" s="320">
        <v>45077.0</v>
      </c>
      <c r="I1698" s="218">
        <v>200.0</v>
      </c>
      <c r="J1698" s="317" t="s">
        <v>52</v>
      </c>
      <c r="K1698" s="319">
        <v>2023.05</v>
      </c>
      <c r="L1698" s="218" t="s">
        <v>200</v>
      </c>
    </row>
    <row r="1699">
      <c r="A1699" s="223" t="s">
        <v>1271</v>
      </c>
      <c r="B1699" s="223" t="s">
        <v>1264</v>
      </c>
      <c r="C1699" s="223" t="s">
        <v>1272</v>
      </c>
      <c r="D1699" s="320">
        <v>45092.0</v>
      </c>
      <c r="I1699" s="218">
        <v>3.13</v>
      </c>
      <c r="J1699" s="317" t="s">
        <v>1152</v>
      </c>
      <c r="K1699" s="319">
        <v>2023.0</v>
      </c>
      <c r="L1699" s="218" t="s">
        <v>200</v>
      </c>
    </row>
    <row r="1700">
      <c r="A1700" s="223" t="s">
        <v>1271</v>
      </c>
      <c r="B1700" s="223" t="s">
        <v>1264</v>
      </c>
      <c r="C1700" s="223" t="s">
        <v>1272</v>
      </c>
      <c r="D1700" s="320">
        <v>45092.0</v>
      </c>
      <c r="I1700" s="218">
        <v>135.87</v>
      </c>
      <c r="J1700" s="317" t="s">
        <v>1152</v>
      </c>
      <c r="K1700" s="319">
        <v>2023.0</v>
      </c>
      <c r="L1700" s="218" t="s">
        <v>200</v>
      </c>
    </row>
    <row r="1701">
      <c r="A1701" s="223" t="s">
        <v>1271</v>
      </c>
      <c r="B1701" s="223" t="s">
        <v>1264</v>
      </c>
      <c r="C1701" s="223" t="s">
        <v>1272</v>
      </c>
      <c r="D1701" s="320">
        <v>45092.0</v>
      </c>
      <c r="I1701" s="218">
        <v>14.92</v>
      </c>
      <c r="J1701" s="317" t="s">
        <v>1152</v>
      </c>
      <c r="K1701" s="319">
        <v>2023.0</v>
      </c>
      <c r="L1701" s="218" t="s">
        <v>200</v>
      </c>
    </row>
    <row r="1702">
      <c r="A1702" s="223" t="s">
        <v>1269</v>
      </c>
      <c r="B1702" s="223" t="s">
        <v>1264</v>
      </c>
      <c r="C1702" s="223" t="s">
        <v>1270</v>
      </c>
      <c r="D1702" s="320">
        <v>45092.0</v>
      </c>
      <c r="I1702" s="218">
        <v>40.75</v>
      </c>
      <c r="J1702" s="317" t="s">
        <v>1152</v>
      </c>
      <c r="K1702" s="319">
        <v>2023.0</v>
      </c>
      <c r="L1702" s="218" t="s">
        <v>200</v>
      </c>
    </row>
    <row r="1703">
      <c r="A1703" s="223" t="s">
        <v>1271</v>
      </c>
      <c r="B1703" s="223" t="s">
        <v>1264</v>
      </c>
      <c r="C1703" s="223" t="s">
        <v>1272</v>
      </c>
      <c r="D1703" s="320">
        <v>45092.0</v>
      </c>
      <c r="I1703" s="218">
        <v>69.89</v>
      </c>
      <c r="J1703" s="317" t="s">
        <v>1152</v>
      </c>
      <c r="K1703" s="319">
        <v>2023.0</v>
      </c>
      <c r="L1703" s="218" t="s">
        <v>200</v>
      </c>
    </row>
    <row r="1704">
      <c r="A1704" s="223" t="s">
        <v>1269</v>
      </c>
      <c r="B1704" s="223" t="s">
        <v>1264</v>
      </c>
      <c r="C1704" s="223" t="s">
        <v>1270</v>
      </c>
      <c r="D1704" s="320">
        <v>45092.0</v>
      </c>
      <c r="I1704" s="218">
        <v>131.33</v>
      </c>
      <c r="J1704" s="317" t="s">
        <v>1152</v>
      </c>
      <c r="K1704" s="319">
        <v>2023.0</v>
      </c>
      <c r="L1704" s="218" t="s">
        <v>200</v>
      </c>
    </row>
    <row r="1705">
      <c r="A1705" s="223" t="s">
        <v>115</v>
      </c>
      <c r="B1705" s="223" t="s">
        <v>1308</v>
      </c>
      <c r="C1705" s="223" t="s">
        <v>1156</v>
      </c>
      <c r="D1705" s="320">
        <v>45059.0</v>
      </c>
      <c r="I1705" s="218">
        <v>750.0</v>
      </c>
      <c r="J1705" s="317" t="s">
        <v>52</v>
      </c>
      <c r="K1705" s="319">
        <v>2023.05</v>
      </c>
      <c r="L1705" s="218" t="s">
        <v>200</v>
      </c>
    </row>
    <row r="1706">
      <c r="A1706" s="223" t="s">
        <v>118</v>
      </c>
      <c r="B1706" s="223" t="s">
        <v>1312</v>
      </c>
      <c r="C1706" s="223" t="s">
        <v>1156</v>
      </c>
      <c r="D1706" s="320">
        <v>45059.0</v>
      </c>
      <c r="I1706" s="218">
        <v>750.0</v>
      </c>
      <c r="J1706" s="317" t="s">
        <v>52</v>
      </c>
      <c r="K1706" s="319">
        <v>2023.05</v>
      </c>
      <c r="L1706" s="218" t="s">
        <v>200</v>
      </c>
    </row>
    <row r="1707">
      <c r="A1707" s="223" t="s">
        <v>1271</v>
      </c>
      <c r="B1707" s="223" t="s">
        <v>1264</v>
      </c>
      <c r="C1707" s="223" t="s">
        <v>1272</v>
      </c>
      <c r="D1707" s="320">
        <v>45071.0</v>
      </c>
      <c r="I1707" s="218">
        <v>68.35</v>
      </c>
      <c r="J1707" s="317" t="s">
        <v>1152</v>
      </c>
      <c r="K1707" s="319">
        <v>2023.0</v>
      </c>
      <c r="L1707" s="218" t="s">
        <v>200</v>
      </c>
    </row>
    <row r="1708">
      <c r="A1708" s="223" t="s">
        <v>115</v>
      </c>
      <c r="B1708" s="223" t="s">
        <v>1308</v>
      </c>
      <c r="C1708" s="223" t="s">
        <v>1156</v>
      </c>
      <c r="D1708" s="320">
        <v>45072.0</v>
      </c>
      <c r="I1708" s="218">
        <v>750.0</v>
      </c>
      <c r="J1708" s="317" t="s">
        <v>52</v>
      </c>
      <c r="K1708" s="319">
        <v>2023.05</v>
      </c>
      <c r="L1708" s="218" t="s">
        <v>200</v>
      </c>
    </row>
    <row r="1709">
      <c r="A1709" s="223" t="s">
        <v>118</v>
      </c>
      <c r="B1709" s="223" t="s">
        <v>1312</v>
      </c>
      <c r="C1709" s="223" t="s">
        <v>1156</v>
      </c>
      <c r="D1709" s="320">
        <v>45072.0</v>
      </c>
      <c r="I1709" s="218">
        <v>750.0</v>
      </c>
      <c r="J1709" s="317" t="s">
        <v>52</v>
      </c>
      <c r="K1709" s="319">
        <v>2023.05</v>
      </c>
      <c r="L1709" s="218" t="s">
        <v>200</v>
      </c>
    </row>
    <row r="1710">
      <c r="A1710" s="223" t="s">
        <v>115</v>
      </c>
      <c r="B1710" s="223" t="s">
        <v>1308</v>
      </c>
      <c r="C1710" s="223" t="s">
        <v>1156</v>
      </c>
      <c r="D1710" s="320">
        <v>45078.0</v>
      </c>
      <c r="I1710" s="218">
        <v>240.94</v>
      </c>
      <c r="J1710" s="317" t="s">
        <v>52</v>
      </c>
      <c r="K1710" s="319">
        <v>2023.06</v>
      </c>
      <c r="L1710" s="218" t="s">
        <v>200</v>
      </c>
    </row>
    <row r="1711">
      <c r="A1711" s="223" t="s">
        <v>118</v>
      </c>
      <c r="B1711" s="223" t="s">
        <v>1312</v>
      </c>
      <c r="C1711" s="223" t="s">
        <v>1156</v>
      </c>
      <c r="D1711" s="320">
        <v>45078.0</v>
      </c>
      <c r="I1711" s="218">
        <v>269.11</v>
      </c>
      <c r="J1711" s="317" t="s">
        <v>52</v>
      </c>
      <c r="K1711" s="319">
        <v>2023.06</v>
      </c>
      <c r="L1711" s="218" t="s">
        <v>200</v>
      </c>
    </row>
    <row r="1712">
      <c r="A1712" s="223" t="s">
        <v>92</v>
      </c>
      <c r="B1712" s="223" t="s">
        <v>1289</v>
      </c>
      <c r="C1712" s="223" t="s">
        <v>1156</v>
      </c>
      <c r="D1712" s="320">
        <v>45071.0</v>
      </c>
      <c r="I1712" s="218">
        <v>76.93</v>
      </c>
      <c r="J1712" s="317" t="s">
        <v>52</v>
      </c>
      <c r="K1712" s="319">
        <v>2023.05</v>
      </c>
      <c r="L1712" s="218" t="s">
        <v>200</v>
      </c>
    </row>
    <row r="1713">
      <c r="A1713" s="223" t="s">
        <v>223</v>
      </c>
      <c r="B1713" s="223" t="s">
        <v>1176</v>
      </c>
      <c r="C1713" s="223" t="s">
        <v>1156</v>
      </c>
      <c r="D1713" s="320">
        <v>45076.0</v>
      </c>
      <c r="I1713" s="218">
        <v>107.12500000000001</v>
      </c>
      <c r="J1713" s="317" t="s">
        <v>52</v>
      </c>
      <c r="K1713" s="319">
        <v>2023.05</v>
      </c>
      <c r="L1713" s="218" t="s">
        <v>200</v>
      </c>
    </row>
    <row r="1714">
      <c r="A1714" s="223" t="s">
        <v>526</v>
      </c>
      <c r="B1714" s="223" t="s">
        <v>1389</v>
      </c>
      <c r="C1714" s="223" t="s">
        <v>1179</v>
      </c>
      <c r="D1714" s="320">
        <v>45076.0</v>
      </c>
      <c r="I1714" s="218">
        <v>25.277777777777775</v>
      </c>
      <c r="J1714" s="317" t="s">
        <v>1160</v>
      </c>
      <c r="K1714" s="319">
        <v>2023.0</v>
      </c>
      <c r="L1714" s="218" t="s">
        <v>200</v>
      </c>
    </row>
    <row r="1715">
      <c r="A1715" s="223" t="s">
        <v>99</v>
      </c>
      <c r="B1715" s="223" t="s">
        <v>1192</v>
      </c>
      <c r="C1715" s="223" t="s">
        <v>1156</v>
      </c>
      <c r="D1715" s="320">
        <v>45076.0</v>
      </c>
      <c r="I1715" s="218">
        <v>147.93055555555554</v>
      </c>
      <c r="J1715" s="317" t="s">
        <v>52</v>
      </c>
      <c r="K1715" s="319">
        <v>2023.05</v>
      </c>
      <c r="L1715" s="218" t="s">
        <v>200</v>
      </c>
    </row>
    <row r="1716">
      <c r="A1716" s="223" t="s">
        <v>896</v>
      </c>
      <c r="B1716" s="223" t="s">
        <v>1501</v>
      </c>
      <c r="C1716" s="223" t="s">
        <v>1471</v>
      </c>
      <c r="D1716" s="320">
        <v>45076.0</v>
      </c>
      <c r="I1716" s="218">
        <v>87.21527777777779</v>
      </c>
      <c r="J1716" s="317" t="s">
        <v>1160</v>
      </c>
      <c r="K1716" s="319">
        <v>2023.0</v>
      </c>
      <c r="L1716" s="218" t="s">
        <v>200</v>
      </c>
    </row>
    <row r="1717">
      <c r="A1717" s="223" t="s">
        <v>835</v>
      </c>
      <c r="B1717" s="223" t="s">
        <v>1478</v>
      </c>
      <c r="C1717" s="223" t="s">
        <v>36</v>
      </c>
      <c r="D1717" s="320">
        <v>45076.0</v>
      </c>
      <c r="I1717" s="218">
        <v>9.881944444444445</v>
      </c>
      <c r="J1717" s="317" t="s">
        <v>1160</v>
      </c>
      <c r="K1717" s="319">
        <v>2023.0</v>
      </c>
      <c r="L1717" s="218" t="s">
        <v>200</v>
      </c>
    </row>
    <row r="1718">
      <c r="A1718" s="223" t="s">
        <v>356</v>
      </c>
      <c r="B1718" s="223" t="s">
        <v>1216</v>
      </c>
      <c r="C1718" s="223" t="s">
        <v>1340</v>
      </c>
      <c r="D1718" s="320">
        <v>45076.0</v>
      </c>
      <c r="I1718" s="218">
        <v>157.31944444444446</v>
      </c>
      <c r="J1718" s="317" t="s">
        <v>1160</v>
      </c>
      <c r="K1718" s="319">
        <v>2023.0</v>
      </c>
      <c r="L1718" s="218" t="s">
        <v>200</v>
      </c>
    </row>
    <row r="1719">
      <c r="A1719" s="223" t="s">
        <v>898</v>
      </c>
      <c r="B1719" s="223" t="s">
        <v>1383</v>
      </c>
      <c r="C1719" s="223" t="s">
        <v>1503</v>
      </c>
      <c r="D1719" s="320">
        <v>45076.0</v>
      </c>
      <c r="I1719" s="218">
        <v>34.708333333333336</v>
      </c>
      <c r="J1719" s="317" t="s">
        <v>1160</v>
      </c>
      <c r="K1719" s="319">
        <v>2023.0</v>
      </c>
      <c r="L1719" s="218" t="s">
        <v>200</v>
      </c>
    </row>
    <row r="1720">
      <c r="A1720" s="223" t="s">
        <v>42</v>
      </c>
      <c r="B1720" s="223" t="s">
        <v>1236</v>
      </c>
      <c r="C1720" s="223" t="s">
        <v>1156</v>
      </c>
      <c r="D1720" s="320">
        <v>45076.0</v>
      </c>
      <c r="I1720" s="218">
        <v>115.91666666666667</v>
      </c>
      <c r="J1720" s="317" t="s">
        <v>52</v>
      </c>
      <c r="K1720" s="319">
        <v>2023.05</v>
      </c>
      <c r="L1720" s="218" t="s">
        <v>200</v>
      </c>
    </row>
    <row r="1721">
      <c r="A1721" s="223" t="s">
        <v>586</v>
      </c>
      <c r="B1721" s="223" t="s">
        <v>1404</v>
      </c>
      <c r="C1721" s="223" t="s">
        <v>1403</v>
      </c>
      <c r="D1721" s="320">
        <v>45076.0</v>
      </c>
      <c r="I1721" s="218">
        <v>195.107777777778</v>
      </c>
      <c r="J1721" s="317" t="s">
        <v>1160</v>
      </c>
      <c r="K1721" s="319">
        <v>2023.0</v>
      </c>
      <c r="L1721" s="218" t="s">
        <v>200</v>
      </c>
    </row>
    <row r="1722">
      <c r="A1722" s="223" t="s">
        <v>584</v>
      </c>
      <c r="B1722" s="223" t="s">
        <v>1398</v>
      </c>
      <c r="C1722" s="223" t="s">
        <v>1403</v>
      </c>
      <c r="D1722" s="320">
        <v>45076.0</v>
      </c>
      <c r="I1722" s="218">
        <v>74.04</v>
      </c>
      <c r="J1722" s="317" t="s">
        <v>1160</v>
      </c>
      <c r="K1722" s="319">
        <v>2023.0</v>
      </c>
      <c r="L1722" s="218" t="s">
        <v>200</v>
      </c>
    </row>
    <row r="1723">
      <c r="A1723" s="223" t="s">
        <v>70</v>
      </c>
      <c r="B1723" s="223" t="s">
        <v>1239</v>
      </c>
      <c r="C1723" s="223" t="s">
        <v>1168</v>
      </c>
      <c r="D1723" s="320">
        <v>45076.0</v>
      </c>
      <c r="I1723" s="218">
        <v>2067.235246349974</v>
      </c>
      <c r="J1723" s="317" t="s">
        <v>1160</v>
      </c>
      <c r="K1723" s="319">
        <v>2023.0</v>
      </c>
      <c r="L1723" s="218" t="s">
        <v>200</v>
      </c>
    </row>
    <row r="1724">
      <c r="A1724" s="223" t="s">
        <v>148</v>
      </c>
      <c r="B1724" s="223" t="s">
        <v>1239</v>
      </c>
      <c r="C1724" s="223" t="s">
        <v>1190</v>
      </c>
      <c r="D1724" s="320">
        <v>45076.0</v>
      </c>
      <c r="I1724" s="218">
        <v>19.458333333333336</v>
      </c>
      <c r="J1724" s="317" t="s">
        <v>1160</v>
      </c>
      <c r="K1724" s="319">
        <v>2023.0</v>
      </c>
      <c r="L1724" s="218" t="s">
        <v>200</v>
      </c>
    </row>
    <row r="1725">
      <c r="A1725" s="223" t="s">
        <v>884</v>
      </c>
      <c r="B1725" s="223" t="s">
        <v>1493</v>
      </c>
      <c r="C1725" s="223" t="s">
        <v>1494</v>
      </c>
      <c r="D1725" s="320">
        <v>45076.0</v>
      </c>
      <c r="I1725" s="218">
        <v>7.222222222222221</v>
      </c>
      <c r="J1725" s="317" t="s">
        <v>52</v>
      </c>
      <c r="K1725" s="319">
        <v>2023.05</v>
      </c>
      <c r="L1725" s="218" t="s">
        <v>200</v>
      </c>
    </row>
    <row r="1726">
      <c r="A1726" s="223" t="s">
        <v>549</v>
      </c>
      <c r="B1726" s="223" t="s">
        <v>1368</v>
      </c>
      <c r="C1726" s="223" t="s">
        <v>1393</v>
      </c>
      <c r="D1726" s="320">
        <v>45076.0</v>
      </c>
      <c r="I1726" s="218">
        <v>75.04166666666667</v>
      </c>
      <c r="J1726" s="317" t="s">
        <v>52</v>
      </c>
      <c r="K1726" s="319">
        <v>2023.05</v>
      </c>
      <c r="L1726" s="218" t="s">
        <v>200</v>
      </c>
    </row>
    <row r="1727">
      <c r="A1727" s="223" t="s">
        <v>1266</v>
      </c>
      <c r="B1727" s="223" t="s">
        <v>1264</v>
      </c>
      <c r="C1727" s="223" t="s">
        <v>1267</v>
      </c>
      <c r="D1727" s="320">
        <v>45076.0</v>
      </c>
      <c r="I1727" s="218">
        <v>808.5624999999999</v>
      </c>
      <c r="J1727" s="317" t="s">
        <v>1152</v>
      </c>
      <c r="K1727" s="319">
        <v>2023.0</v>
      </c>
      <c r="L1727" s="218" t="s">
        <v>200</v>
      </c>
    </row>
    <row r="1728">
      <c r="A1728" s="223" t="s">
        <v>924</v>
      </c>
      <c r="B1728" s="223" t="s">
        <v>1280</v>
      </c>
      <c r="C1728" s="223" t="s">
        <v>1281</v>
      </c>
      <c r="D1728" s="320">
        <v>45076.0</v>
      </c>
      <c r="I1728" s="218">
        <v>126.77777777777774</v>
      </c>
      <c r="J1728" s="317" t="s">
        <v>52</v>
      </c>
      <c r="K1728" s="319">
        <v>2023.05</v>
      </c>
      <c r="L1728" s="218" t="s">
        <v>200</v>
      </c>
    </row>
    <row r="1729">
      <c r="A1729" s="223" t="s">
        <v>855</v>
      </c>
      <c r="B1729" s="223" t="s">
        <v>1283</v>
      </c>
      <c r="C1729" s="223" t="s">
        <v>1480</v>
      </c>
      <c r="D1729" s="320">
        <v>45076.0</v>
      </c>
      <c r="I1729" s="218">
        <v>33.40277777777778</v>
      </c>
      <c r="J1729" s="317" t="s">
        <v>52</v>
      </c>
      <c r="K1729" s="319">
        <v>2023.05</v>
      </c>
      <c r="L1729" s="218" t="s">
        <v>200</v>
      </c>
    </row>
    <row r="1730">
      <c r="A1730" s="223" t="s">
        <v>773</v>
      </c>
      <c r="B1730" s="223" t="s">
        <v>1304</v>
      </c>
      <c r="C1730" s="223" t="s">
        <v>1190</v>
      </c>
      <c r="D1730" s="320">
        <v>45076.0</v>
      </c>
      <c r="I1730" s="218">
        <v>73.38194444444446</v>
      </c>
      <c r="J1730" s="317" t="s">
        <v>1160</v>
      </c>
      <c r="K1730" s="319">
        <v>2023.0</v>
      </c>
      <c r="L1730" s="218" t="s">
        <v>200</v>
      </c>
    </row>
    <row r="1731">
      <c r="A1731" s="223" t="s">
        <v>115</v>
      </c>
      <c r="B1731" s="223" t="s">
        <v>1308</v>
      </c>
      <c r="C1731" s="223" t="s">
        <v>1156</v>
      </c>
      <c r="D1731" s="320">
        <v>45076.0</v>
      </c>
      <c r="I1731" s="218">
        <v>143.5902777777778</v>
      </c>
      <c r="J1731" s="317" t="s">
        <v>52</v>
      </c>
      <c r="K1731" s="319">
        <v>2023.05</v>
      </c>
      <c r="L1731" s="218" t="s">
        <v>200</v>
      </c>
    </row>
    <row r="1732">
      <c r="A1732" s="223" t="s">
        <v>118</v>
      </c>
      <c r="B1732" s="223" t="s">
        <v>1312</v>
      </c>
      <c r="C1732" s="223" t="s">
        <v>1156</v>
      </c>
      <c r="D1732" s="320">
        <v>45076.0</v>
      </c>
      <c r="I1732" s="218">
        <v>167.58333333333331</v>
      </c>
      <c r="J1732" s="317" t="s">
        <v>52</v>
      </c>
      <c r="K1732" s="319">
        <v>2023.05</v>
      </c>
      <c r="L1732" s="218" t="s">
        <v>200</v>
      </c>
    </row>
    <row r="1733">
      <c r="A1733" s="223" t="s">
        <v>966</v>
      </c>
      <c r="B1733" s="223" t="s">
        <v>1487</v>
      </c>
      <c r="C1733" s="223" t="s">
        <v>1510</v>
      </c>
      <c r="D1733" s="320">
        <v>45076.0</v>
      </c>
      <c r="I1733" s="218">
        <v>169.51000000000002</v>
      </c>
      <c r="J1733" s="317" t="s">
        <v>52</v>
      </c>
      <c r="K1733" s="319">
        <v>2023.05</v>
      </c>
      <c r="L1733" s="218" t="s">
        <v>200</v>
      </c>
    </row>
    <row r="1734">
      <c r="A1734" s="223" t="s">
        <v>935</v>
      </c>
      <c r="B1734" s="223" t="s">
        <v>1282</v>
      </c>
      <c r="C1734" s="223" t="s">
        <v>1509</v>
      </c>
      <c r="D1734" s="320">
        <v>45076.0</v>
      </c>
      <c r="I1734" s="218">
        <v>264.3472222222222</v>
      </c>
      <c r="J1734" s="317" t="s">
        <v>1160</v>
      </c>
      <c r="K1734" s="319">
        <v>2023.0</v>
      </c>
      <c r="L1734" s="218" t="s">
        <v>200</v>
      </c>
    </row>
    <row r="1735">
      <c r="A1735" s="223" t="s">
        <v>1269</v>
      </c>
      <c r="B1735" s="223" t="s">
        <v>1264</v>
      </c>
      <c r="C1735" s="223" t="s">
        <v>1270</v>
      </c>
      <c r="D1735" s="320">
        <v>45076.0</v>
      </c>
      <c r="I1735" s="218">
        <v>64.50694444444444</v>
      </c>
      <c r="J1735" s="317" t="s">
        <v>1152</v>
      </c>
      <c r="K1735" s="319">
        <v>2023.0</v>
      </c>
      <c r="L1735" s="218" t="s">
        <v>200</v>
      </c>
    </row>
    <row r="1736">
      <c r="A1736" s="223" t="s">
        <v>50</v>
      </c>
      <c r="B1736" s="223" t="s">
        <v>1275</v>
      </c>
      <c r="C1736" s="223" t="s">
        <v>1156</v>
      </c>
      <c r="D1736" s="320">
        <v>45076.0</v>
      </c>
      <c r="I1736" s="218">
        <v>50.63888888888889</v>
      </c>
      <c r="J1736" s="317" t="s">
        <v>52</v>
      </c>
      <c r="K1736" s="319">
        <v>2023.05</v>
      </c>
      <c r="L1736" s="218" t="s">
        <v>200</v>
      </c>
    </row>
    <row r="1737">
      <c r="A1737" s="223" t="s">
        <v>768</v>
      </c>
      <c r="B1737" s="223" t="s">
        <v>1383</v>
      </c>
      <c r="C1737" s="223" t="s">
        <v>1179</v>
      </c>
      <c r="D1737" s="320">
        <v>45107.0</v>
      </c>
      <c r="I1737" s="218">
        <v>650.0</v>
      </c>
      <c r="J1737" s="317" t="s">
        <v>1160</v>
      </c>
      <c r="K1737" s="319">
        <v>2023.0</v>
      </c>
      <c r="L1737" s="218" t="s">
        <v>200</v>
      </c>
    </row>
    <row r="1738">
      <c r="A1738" s="223" t="s">
        <v>810</v>
      </c>
      <c r="B1738" s="223" t="s">
        <v>1363</v>
      </c>
      <c r="C1738" s="223" t="s">
        <v>1393</v>
      </c>
      <c r="D1738" s="320">
        <v>45107.0</v>
      </c>
      <c r="I1738" s="218">
        <v>262.5</v>
      </c>
      <c r="J1738" s="317" t="s">
        <v>52</v>
      </c>
      <c r="K1738" s="319">
        <v>2023.06</v>
      </c>
      <c r="L1738" s="218" t="s">
        <v>200</v>
      </c>
    </row>
    <row r="1739">
      <c r="A1739" s="223" t="s">
        <v>50</v>
      </c>
      <c r="B1739" s="223" t="s">
        <v>1275</v>
      </c>
      <c r="C1739" s="223" t="s">
        <v>1156</v>
      </c>
      <c r="D1739" s="320">
        <v>45107.0</v>
      </c>
      <c r="I1739" s="218">
        <v>150.0</v>
      </c>
      <c r="J1739" s="317" t="s">
        <v>52</v>
      </c>
      <c r="K1739" s="319">
        <v>2023.06</v>
      </c>
      <c r="L1739" s="218" t="s">
        <v>200</v>
      </c>
    </row>
    <row r="1740">
      <c r="A1740" s="223" t="s">
        <v>223</v>
      </c>
      <c r="B1740" s="223" t="s">
        <v>1176</v>
      </c>
      <c r="C1740" s="223" t="s">
        <v>1156</v>
      </c>
      <c r="D1740" s="320">
        <v>45107.0</v>
      </c>
      <c r="I1740" s="218">
        <v>300.0</v>
      </c>
      <c r="J1740" s="317" t="s">
        <v>52</v>
      </c>
      <c r="K1740" s="319">
        <v>2023.06</v>
      </c>
      <c r="L1740" s="218" t="s">
        <v>200</v>
      </c>
    </row>
    <row r="1741">
      <c r="A1741" s="223" t="s">
        <v>73</v>
      </c>
      <c r="B1741" s="223" t="s">
        <v>1327</v>
      </c>
      <c r="C1741" s="223" t="s">
        <v>1156</v>
      </c>
      <c r="D1741" s="320">
        <v>45107.0</v>
      </c>
      <c r="I1741" s="218">
        <v>287.5</v>
      </c>
      <c r="J1741" s="317" t="s">
        <v>52</v>
      </c>
      <c r="K1741" s="319">
        <v>2023.06</v>
      </c>
      <c r="L1741" s="218" t="s">
        <v>200</v>
      </c>
    </row>
    <row r="1742">
      <c r="A1742" s="223" t="s">
        <v>88</v>
      </c>
      <c r="B1742" s="223" t="s">
        <v>1256</v>
      </c>
      <c r="C1742" s="223" t="s">
        <v>1156</v>
      </c>
      <c r="D1742" s="320">
        <v>45107.0</v>
      </c>
      <c r="I1742" s="218">
        <v>212.5</v>
      </c>
      <c r="J1742" s="317" t="s">
        <v>52</v>
      </c>
      <c r="K1742" s="319">
        <v>2023.06</v>
      </c>
      <c r="L1742" s="218" t="s">
        <v>200</v>
      </c>
    </row>
    <row r="1743">
      <c r="A1743" s="223" t="s">
        <v>97</v>
      </c>
      <c r="B1743" s="223" t="s">
        <v>1286</v>
      </c>
      <c r="C1743" s="223" t="s">
        <v>1156</v>
      </c>
      <c r="D1743" s="320">
        <v>45107.0</v>
      </c>
      <c r="I1743" s="218">
        <v>137.5</v>
      </c>
      <c r="J1743" s="317" t="s">
        <v>52</v>
      </c>
      <c r="K1743" s="319">
        <v>2023.06</v>
      </c>
      <c r="L1743" s="218" t="s">
        <v>200</v>
      </c>
    </row>
    <row r="1744">
      <c r="A1744" s="223" t="s">
        <v>82</v>
      </c>
      <c r="B1744" s="223" t="s">
        <v>1124</v>
      </c>
      <c r="C1744" s="223" t="s">
        <v>1156</v>
      </c>
      <c r="D1744" s="320">
        <v>45107.0</v>
      </c>
      <c r="I1744" s="218">
        <v>262.5</v>
      </c>
      <c r="J1744" s="317" t="s">
        <v>52</v>
      </c>
      <c r="K1744" s="319">
        <v>2023.06</v>
      </c>
      <c r="L1744" s="218" t="s">
        <v>200</v>
      </c>
    </row>
    <row r="1745">
      <c r="A1745" s="223" t="s">
        <v>92</v>
      </c>
      <c r="B1745" s="223" t="s">
        <v>1289</v>
      </c>
      <c r="C1745" s="223" t="s">
        <v>1156</v>
      </c>
      <c r="D1745" s="320">
        <v>45107.0</v>
      </c>
      <c r="I1745" s="218">
        <v>300.0</v>
      </c>
      <c r="J1745" s="317" t="s">
        <v>52</v>
      </c>
      <c r="K1745" s="319">
        <v>2023.06</v>
      </c>
      <c r="L1745" s="218" t="s">
        <v>200</v>
      </c>
    </row>
    <row r="1746">
      <c r="A1746" s="223" t="s">
        <v>695</v>
      </c>
      <c r="B1746" s="223" t="s">
        <v>1216</v>
      </c>
      <c r="C1746" s="223" t="s">
        <v>1451</v>
      </c>
      <c r="D1746" s="320">
        <v>45107.0</v>
      </c>
      <c r="I1746" s="218">
        <v>175.0</v>
      </c>
      <c r="J1746" s="317" t="s">
        <v>52</v>
      </c>
      <c r="K1746" s="319">
        <v>2023.06</v>
      </c>
      <c r="L1746" s="218" t="s">
        <v>200</v>
      </c>
    </row>
    <row r="1747">
      <c r="A1747" s="223" t="s">
        <v>795</v>
      </c>
      <c r="B1747" s="223" t="s">
        <v>1352</v>
      </c>
      <c r="C1747" s="223" t="s">
        <v>1393</v>
      </c>
      <c r="D1747" s="320">
        <v>45107.0</v>
      </c>
      <c r="I1747" s="218">
        <v>450.0</v>
      </c>
      <c r="J1747" s="317" t="s">
        <v>52</v>
      </c>
      <c r="K1747" s="319">
        <v>2023.06</v>
      </c>
      <c r="L1747" s="218" t="s">
        <v>200</v>
      </c>
    </row>
    <row r="1748">
      <c r="A1748" s="223" t="s">
        <v>1269</v>
      </c>
      <c r="B1748" s="223" t="s">
        <v>1264</v>
      </c>
      <c r="C1748" s="223" t="s">
        <v>1270</v>
      </c>
      <c r="D1748" s="320">
        <v>45107.0</v>
      </c>
      <c r="I1748" s="218">
        <v>256.0</v>
      </c>
      <c r="J1748" s="317" t="s">
        <v>1152</v>
      </c>
      <c r="K1748" s="319">
        <v>2023.0</v>
      </c>
      <c r="L1748" s="218" t="s">
        <v>200</v>
      </c>
    </row>
    <row r="1749">
      <c r="A1749" s="223" t="s">
        <v>99</v>
      </c>
      <c r="B1749" s="223" t="s">
        <v>1192</v>
      </c>
      <c r="C1749" s="223" t="s">
        <v>1156</v>
      </c>
      <c r="D1749" s="320">
        <v>45107.0</v>
      </c>
      <c r="I1749" s="218">
        <v>400.0</v>
      </c>
      <c r="J1749" s="317" t="s">
        <v>52</v>
      </c>
      <c r="K1749" s="319">
        <v>2023.06</v>
      </c>
      <c r="L1749" s="218" t="s">
        <v>200</v>
      </c>
    </row>
    <row r="1750">
      <c r="A1750" s="223" t="s">
        <v>42</v>
      </c>
      <c r="B1750" s="223" t="s">
        <v>1236</v>
      </c>
      <c r="C1750" s="223" t="s">
        <v>1156</v>
      </c>
      <c r="D1750" s="320">
        <v>45107.0</v>
      </c>
      <c r="I1750" s="218">
        <v>287.5</v>
      </c>
      <c r="J1750" s="317" t="s">
        <v>52</v>
      </c>
      <c r="K1750" s="319">
        <v>2023.06</v>
      </c>
      <c r="L1750" s="218" t="s">
        <v>200</v>
      </c>
    </row>
    <row r="1751">
      <c r="A1751" s="223" t="s">
        <v>499</v>
      </c>
      <c r="B1751" s="223" t="s">
        <v>1330</v>
      </c>
      <c r="C1751" s="223" t="s">
        <v>1375</v>
      </c>
      <c r="D1751" s="320">
        <v>45107.0</v>
      </c>
      <c r="I1751" s="218">
        <v>200.0</v>
      </c>
      <c r="J1751" s="317" t="s">
        <v>52</v>
      </c>
      <c r="K1751" s="319">
        <v>2023.06</v>
      </c>
      <c r="L1751" s="218" t="s">
        <v>200</v>
      </c>
    </row>
    <row r="1752">
      <c r="A1752" s="223" t="s">
        <v>861</v>
      </c>
      <c r="B1752" s="223" t="s">
        <v>1483</v>
      </c>
      <c r="C1752" s="223" t="s">
        <v>1393</v>
      </c>
      <c r="D1752" s="320">
        <v>45107.0</v>
      </c>
      <c r="I1752" s="218">
        <v>70.0</v>
      </c>
      <c r="J1752" s="317" t="s">
        <v>52</v>
      </c>
      <c r="K1752" s="319">
        <v>2023.06</v>
      </c>
      <c r="L1752" s="218" t="s">
        <v>200</v>
      </c>
    </row>
    <row r="1753">
      <c r="A1753" s="223" t="s">
        <v>963</v>
      </c>
      <c r="B1753" s="223" t="s">
        <v>1485</v>
      </c>
      <c r="C1753" s="223" t="s">
        <v>1393</v>
      </c>
      <c r="D1753" s="320">
        <v>45107.0</v>
      </c>
      <c r="I1753" s="218">
        <v>30.0</v>
      </c>
      <c r="J1753" s="317" t="s">
        <v>52</v>
      </c>
      <c r="K1753" s="319">
        <v>2023.06</v>
      </c>
      <c r="L1753" s="218" t="s">
        <v>200</v>
      </c>
    </row>
    <row r="1754">
      <c r="A1754" s="223" t="s">
        <v>861</v>
      </c>
      <c r="B1754" s="223" t="s">
        <v>1483</v>
      </c>
      <c r="C1754" s="223" t="s">
        <v>1393</v>
      </c>
      <c r="D1754" s="320">
        <v>45107.0</v>
      </c>
      <c r="I1754" s="218">
        <v>350.0</v>
      </c>
      <c r="J1754" s="317" t="s">
        <v>52</v>
      </c>
      <c r="K1754" s="319">
        <v>2023.06</v>
      </c>
      <c r="L1754" s="218" t="s">
        <v>200</v>
      </c>
    </row>
    <row r="1755">
      <c r="A1755" s="223" t="s">
        <v>963</v>
      </c>
      <c r="B1755" s="223" t="s">
        <v>1485</v>
      </c>
      <c r="C1755" s="223" t="s">
        <v>1393</v>
      </c>
      <c r="D1755" s="320">
        <v>45107.0</v>
      </c>
      <c r="I1755" s="218">
        <v>150.0</v>
      </c>
      <c r="J1755" s="317" t="s">
        <v>52</v>
      </c>
      <c r="K1755" s="319">
        <v>2023.06</v>
      </c>
      <c r="L1755" s="218" t="s">
        <v>200</v>
      </c>
    </row>
    <row r="1756">
      <c r="A1756" s="223" t="s">
        <v>1041</v>
      </c>
      <c r="B1756" s="223" t="s">
        <v>1475</v>
      </c>
      <c r="C1756" s="223" t="s">
        <v>1525</v>
      </c>
      <c r="D1756" s="320">
        <v>45107.0</v>
      </c>
      <c r="I1756" s="218">
        <v>362.5</v>
      </c>
      <c r="J1756" s="317" t="s">
        <v>52</v>
      </c>
      <c r="K1756" s="319">
        <v>2023.06</v>
      </c>
      <c r="L1756" s="218" t="s">
        <v>200</v>
      </c>
    </row>
    <row r="1757">
      <c r="A1757" s="223" t="s">
        <v>662</v>
      </c>
      <c r="B1757" s="223" t="s">
        <v>1433</v>
      </c>
      <c r="C1757" s="223" t="s">
        <v>1434</v>
      </c>
      <c r="D1757" s="320">
        <v>45107.0</v>
      </c>
      <c r="I1757" s="218">
        <v>550.0</v>
      </c>
      <c r="J1757" s="317" t="s">
        <v>52</v>
      </c>
      <c r="K1757" s="319">
        <v>2023.06</v>
      </c>
      <c r="L1757" s="218" t="s">
        <v>200</v>
      </c>
    </row>
    <row r="1758">
      <c r="A1758" s="223" t="s">
        <v>1269</v>
      </c>
      <c r="B1758" s="223" t="s">
        <v>1264</v>
      </c>
      <c r="C1758" s="223" t="s">
        <v>1270</v>
      </c>
      <c r="D1758" s="320">
        <v>45107.0</v>
      </c>
      <c r="I1758" s="218">
        <v>110.0</v>
      </c>
      <c r="J1758" s="317" t="s">
        <v>1152</v>
      </c>
      <c r="K1758" s="319">
        <v>2023.0</v>
      </c>
      <c r="L1758" s="218" t="s">
        <v>200</v>
      </c>
    </row>
    <row r="1759">
      <c r="A1759" s="223" t="s">
        <v>92</v>
      </c>
      <c r="B1759" s="223" t="s">
        <v>1289</v>
      </c>
      <c r="C1759" s="223" t="s">
        <v>1156</v>
      </c>
      <c r="D1759" s="320">
        <v>45107.0</v>
      </c>
      <c r="I1759" s="218">
        <v>275.0</v>
      </c>
      <c r="J1759" s="317" t="s">
        <v>52</v>
      </c>
      <c r="K1759" s="319">
        <v>2023.06</v>
      </c>
      <c r="L1759" s="218" t="s">
        <v>200</v>
      </c>
    </row>
    <row r="1760">
      <c r="A1760" s="223" t="s">
        <v>88</v>
      </c>
      <c r="B1760" s="223" t="s">
        <v>1256</v>
      </c>
      <c r="C1760" s="223" t="s">
        <v>1156</v>
      </c>
      <c r="D1760" s="320">
        <v>45107.0</v>
      </c>
      <c r="I1760" s="218">
        <v>45.0</v>
      </c>
      <c r="J1760" s="317" t="s">
        <v>52</v>
      </c>
      <c r="K1760" s="319">
        <v>2023.06</v>
      </c>
      <c r="L1760" s="218" t="s">
        <v>200</v>
      </c>
    </row>
    <row r="1761">
      <c r="A1761" s="223" t="s">
        <v>97</v>
      </c>
      <c r="B1761" s="223" t="s">
        <v>1286</v>
      </c>
      <c r="C1761" s="223" t="s">
        <v>1156</v>
      </c>
      <c r="D1761" s="320">
        <v>45107.0</v>
      </c>
      <c r="I1761" s="218">
        <v>30.0</v>
      </c>
      <c r="J1761" s="317" t="s">
        <v>52</v>
      </c>
      <c r="K1761" s="319">
        <v>2023.06</v>
      </c>
      <c r="L1761" s="218" t="s">
        <v>200</v>
      </c>
    </row>
    <row r="1762">
      <c r="A1762" s="223" t="s">
        <v>82</v>
      </c>
      <c r="B1762" s="223" t="s">
        <v>1124</v>
      </c>
      <c r="C1762" s="223" t="s">
        <v>1156</v>
      </c>
      <c r="D1762" s="320">
        <v>45107.0</v>
      </c>
      <c r="I1762" s="218">
        <v>90.0</v>
      </c>
      <c r="J1762" s="317" t="s">
        <v>52</v>
      </c>
      <c r="K1762" s="319">
        <v>2023.06</v>
      </c>
      <c r="L1762" s="218" t="s">
        <v>200</v>
      </c>
    </row>
    <row r="1763">
      <c r="A1763" s="223" t="s">
        <v>99</v>
      </c>
      <c r="B1763" s="223" t="s">
        <v>1192</v>
      </c>
      <c r="C1763" s="223" t="s">
        <v>1156</v>
      </c>
      <c r="D1763" s="320">
        <v>45107.0</v>
      </c>
      <c r="I1763" s="218">
        <v>260.0</v>
      </c>
      <c r="J1763" s="317" t="s">
        <v>52</v>
      </c>
      <c r="K1763" s="319">
        <v>2023.06</v>
      </c>
      <c r="L1763" s="218" t="s">
        <v>200</v>
      </c>
    </row>
    <row r="1764">
      <c r="A1764" s="223" t="s">
        <v>42</v>
      </c>
      <c r="B1764" s="223" t="s">
        <v>1236</v>
      </c>
      <c r="C1764" s="223" t="s">
        <v>1156</v>
      </c>
      <c r="D1764" s="320">
        <v>45107.0</v>
      </c>
      <c r="I1764" s="218">
        <v>135.0</v>
      </c>
      <c r="J1764" s="317" t="s">
        <v>52</v>
      </c>
      <c r="K1764" s="319">
        <v>2023.06</v>
      </c>
      <c r="L1764" s="218" t="s">
        <v>200</v>
      </c>
    </row>
    <row r="1765">
      <c r="A1765" s="223" t="s">
        <v>123</v>
      </c>
      <c r="B1765" s="223" t="s">
        <v>1300</v>
      </c>
      <c r="C1765" s="223" t="s">
        <v>1156</v>
      </c>
      <c r="D1765" s="320">
        <v>45107.0</v>
      </c>
      <c r="I1765" s="218">
        <v>200.0</v>
      </c>
      <c r="J1765" s="317" t="s">
        <v>52</v>
      </c>
      <c r="K1765" s="319">
        <v>2023.06</v>
      </c>
      <c r="L1765" s="218" t="s">
        <v>200</v>
      </c>
    </row>
    <row r="1766">
      <c r="A1766" s="223" t="s">
        <v>73</v>
      </c>
      <c r="B1766" s="223" t="s">
        <v>1327</v>
      </c>
      <c r="C1766" s="223" t="s">
        <v>1156</v>
      </c>
      <c r="D1766" s="320">
        <v>45107.0</v>
      </c>
      <c r="I1766" s="218">
        <v>75.0</v>
      </c>
      <c r="J1766" s="317" t="s">
        <v>52</v>
      </c>
      <c r="K1766" s="319">
        <v>2023.06</v>
      </c>
      <c r="L1766" s="218" t="s">
        <v>200</v>
      </c>
    </row>
    <row r="1767">
      <c r="A1767" s="223" t="s">
        <v>50</v>
      </c>
      <c r="B1767" s="223" t="s">
        <v>1275</v>
      </c>
      <c r="C1767" s="223" t="s">
        <v>1156</v>
      </c>
      <c r="D1767" s="320">
        <v>45107.0</v>
      </c>
      <c r="I1767" s="218">
        <v>30.0</v>
      </c>
      <c r="J1767" s="317" t="s">
        <v>52</v>
      </c>
      <c r="K1767" s="319">
        <v>2023.06</v>
      </c>
      <c r="L1767" s="218" t="s">
        <v>200</v>
      </c>
    </row>
    <row r="1768">
      <c r="A1768" s="223" t="s">
        <v>62</v>
      </c>
      <c r="B1768" s="223" t="s">
        <v>1304</v>
      </c>
      <c r="C1768" s="223" t="s">
        <v>1156</v>
      </c>
      <c r="D1768" s="320">
        <v>45107.0</v>
      </c>
      <c r="I1768" s="218">
        <v>300.0</v>
      </c>
      <c r="J1768" s="317" t="s">
        <v>52</v>
      </c>
      <c r="K1768" s="319">
        <v>2023.06</v>
      </c>
      <c r="L1768" s="218" t="s">
        <v>200</v>
      </c>
    </row>
    <row r="1769">
      <c r="A1769" s="223" t="s">
        <v>223</v>
      </c>
      <c r="B1769" s="223" t="s">
        <v>1176</v>
      </c>
      <c r="C1769" s="223" t="s">
        <v>1156</v>
      </c>
      <c r="D1769" s="320">
        <v>45107.0</v>
      </c>
      <c r="I1769" s="218">
        <v>75.0</v>
      </c>
      <c r="J1769" s="317" t="s">
        <v>52</v>
      </c>
      <c r="K1769" s="319">
        <v>2023.06</v>
      </c>
      <c r="L1769" s="218" t="s">
        <v>200</v>
      </c>
    </row>
    <row r="1770">
      <c r="A1770" s="223" t="s">
        <v>225</v>
      </c>
      <c r="B1770" s="223" t="s">
        <v>1257</v>
      </c>
      <c r="C1770" s="223" t="s">
        <v>1156</v>
      </c>
      <c r="D1770" s="320">
        <v>45107.0</v>
      </c>
      <c r="I1770" s="218">
        <v>1860.0</v>
      </c>
      <c r="J1770" s="317" t="s">
        <v>52</v>
      </c>
      <c r="K1770" s="319">
        <v>2023.06</v>
      </c>
      <c r="L1770" s="218" t="s">
        <v>200</v>
      </c>
    </row>
    <row r="1771">
      <c r="A1771" s="223" t="s">
        <v>695</v>
      </c>
      <c r="B1771" s="223" t="s">
        <v>1216</v>
      </c>
      <c r="C1771" s="223" t="s">
        <v>1451</v>
      </c>
      <c r="D1771" s="320">
        <v>45107.0</v>
      </c>
      <c r="I1771" s="218">
        <v>45.0</v>
      </c>
      <c r="J1771" s="317" t="s">
        <v>52</v>
      </c>
      <c r="K1771" s="319">
        <v>2023.06</v>
      </c>
      <c r="L1771" s="218" t="s">
        <v>200</v>
      </c>
    </row>
    <row r="1772">
      <c r="A1772" s="223" t="s">
        <v>499</v>
      </c>
      <c r="B1772" s="223" t="s">
        <v>1330</v>
      </c>
      <c r="C1772" s="223" t="s">
        <v>1375</v>
      </c>
      <c r="D1772" s="320">
        <v>45107.0</v>
      </c>
      <c r="I1772" s="218">
        <v>100.0</v>
      </c>
      <c r="J1772" s="317" t="s">
        <v>52</v>
      </c>
      <c r="K1772" s="319">
        <v>2023.06</v>
      </c>
      <c r="L1772" s="218" t="s">
        <v>200</v>
      </c>
    </row>
    <row r="1773">
      <c r="A1773" s="223" t="s">
        <v>810</v>
      </c>
      <c r="B1773" s="223" t="s">
        <v>1363</v>
      </c>
      <c r="C1773" s="223" t="s">
        <v>1393</v>
      </c>
      <c r="D1773" s="320">
        <v>45107.0</v>
      </c>
      <c r="I1773" s="218">
        <v>60.0</v>
      </c>
      <c r="J1773" s="317" t="s">
        <v>52</v>
      </c>
      <c r="K1773" s="319">
        <v>2023.06</v>
      </c>
      <c r="L1773" s="218" t="s">
        <v>200</v>
      </c>
    </row>
    <row r="1774">
      <c r="A1774" s="223" t="s">
        <v>762</v>
      </c>
      <c r="B1774" s="223" t="s">
        <v>1429</v>
      </c>
      <c r="C1774" s="223" t="s">
        <v>1432</v>
      </c>
      <c r="D1774" s="320">
        <v>45107.0</v>
      </c>
      <c r="I1774" s="218">
        <v>322.5</v>
      </c>
      <c r="J1774" s="317" t="s">
        <v>52</v>
      </c>
      <c r="K1774" s="319">
        <v>2023.06</v>
      </c>
      <c r="L1774" s="218" t="s">
        <v>200</v>
      </c>
    </row>
    <row r="1775">
      <c r="A1775" s="223" t="s">
        <v>788</v>
      </c>
      <c r="B1775" s="223" t="s">
        <v>1250</v>
      </c>
      <c r="C1775" s="223" t="s">
        <v>1470</v>
      </c>
      <c r="D1775" s="320">
        <v>45107.0</v>
      </c>
      <c r="I1775" s="218">
        <v>500.0</v>
      </c>
      <c r="J1775" s="317" t="s">
        <v>52</v>
      </c>
      <c r="K1775" s="319">
        <v>2023.06</v>
      </c>
      <c r="L1775" s="218" t="s">
        <v>200</v>
      </c>
    </row>
    <row r="1776">
      <c r="A1776" s="223" t="s">
        <v>795</v>
      </c>
      <c r="B1776" s="223" t="s">
        <v>1352</v>
      </c>
      <c r="C1776" s="223" t="s">
        <v>1393</v>
      </c>
      <c r="D1776" s="320">
        <v>45107.0</v>
      </c>
      <c r="I1776" s="218">
        <v>330.0</v>
      </c>
      <c r="J1776" s="317" t="s">
        <v>52</v>
      </c>
      <c r="K1776" s="319">
        <v>2023.06</v>
      </c>
      <c r="L1776" s="218" t="s">
        <v>200</v>
      </c>
    </row>
    <row r="1777">
      <c r="A1777" s="223" t="s">
        <v>861</v>
      </c>
      <c r="B1777" s="223" t="s">
        <v>1483</v>
      </c>
      <c r="C1777" s="223" t="s">
        <v>1393</v>
      </c>
      <c r="D1777" s="320">
        <v>45107.0</v>
      </c>
      <c r="I1777" s="218">
        <v>420.0</v>
      </c>
      <c r="J1777" s="317" t="s">
        <v>52</v>
      </c>
      <c r="K1777" s="319">
        <v>2023.06</v>
      </c>
      <c r="L1777" s="218" t="s">
        <v>200</v>
      </c>
    </row>
    <row r="1778">
      <c r="A1778" s="223" t="s">
        <v>963</v>
      </c>
      <c r="B1778" s="223" t="s">
        <v>1485</v>
      </c>
      <c r="C1778" s="223" t="s">
        <v>1393</v>
      </c>
      <c r="D1778" s="320">
        <v>45107.0</v>
      </c>
      <c r="I1778" s="218">
        <v>210.0</v>
      </c>
      <c r="J1778" s="317" t="s">
        <v>52</v>
      </c>
      <c r="K1778" s="319">
        <v>2023.06</v>
      </c>
      <c r="L1778" s="218" t="s">
        <v>200</v>
      </c>
    </row>
    <row r="1779">
      <c r="A1779" s="223" t="s">
        <v>966</v>
      </c>
      <c r="B1779" s="223" t="s">
        <v>1487</v>
      </c>
      <c r="C1779" s="223" t="s">
        <v>1510</v>
      </c>
      <c r="D1779" s="320">
        <v>45107.0</v>
      </c>
      <c r="I1779" s="218">
        <v>375.0</v>
      </c>
      <c r="J1779" s="317" t="s">
        <v>52</v>
      </c>
      <c r="K1779" s="319">
        <v>2023.06</v>
      </c>
      <c r="L1779" s="218" t="s">
        <v>200</v>
      </c>
    </row>
    <row r="1780">
      <c r="A1780" s="223" t="s">
        <v>979</v>
      </c>
      <c r="B1780" s="223" t="s">
        <v>1511</v>
      </c>
      <c r="C1780" s="223" t="s">
        <v>1512</v>
      </c>
      <c r="D1780" s="320">
        <v>45107.0</v>
      </c>
      <c r="I1780" s="218">
        <v>400.0</v>
      </c>
      <c r="J1780" s="317" t="s">
        <v>1160</v>
      </c>
      <c r="K1780" s="319">
        <v>2023.0</v>
      </c>
      <c r="L1780" s="218" t="s">
        <v>200</v>
      </c>
    </row>
    <row r="1781">
      <c r="A1781" s="223" t="s">
        <v>115</v>
      </c>
      <c r="B1781" s="223" t="s">
        <v>1308</v>
      </c>
      <c r="C1781" s="223" t="s">
        <v>1156</v>
      </c>
      <c r="D1781" s="320">
        <v>45107.0</v>
      </c>
      <c r="I1781" s="218">
        <v>662.5</v>
      </c>
      <c r="J1781" s="317" t="s">
        <v>52</v>
      </c>
      <c r="K1781" s="319">
        <v>2023.06</v>
      </c>
      <c r="L1781" s="218" t="s">
        <v>200</v>
      </c>
    </row>
    <row r="1782">
      <c r="A1782" s="223" t="s">
        <v>118</v>
      </c>
      <c r="B1782" s="223" t="s">
        <v>1312</v>
      </c>
      <c r="C1782" s="223" t="s">
        <v>1156</v>
      </c>
      <c r="D1782" s="320">
        <v>45107.0</v>
      </c>
      <c r="I1782" s="218">
        <v>662.5</v>
      </c>
      <c r="J1782" s="317" t="s">
        <v>52</v>
      </c>
      <c r="K1782" s="319">
        <v>2023.06</v>
      </c>
      <c r="L1782" s="218" t="s">
        <v>200</v>
      </c>
    </row>
    <row r="1783">
      <c r="A1783" s="223" t="s">
        <v>92</v>
      </c>
      <c r="B1783" s="223" t="s">
        <v>1289</v>
      </c>
      <c r="C1783" s="223" t="s">
        <v>1156</v>
      </c>
      <c r="D1783" s="320">
        <v>45107.0</v>
      </c>
      <c r="I1783" s="218">
        <v>662.5</v>
      </c>
      <c r="J1783" s="317" t="s">
        <v>52</v>
      </c>
      <c r="K1783" s="319">
        <v>2023.06</v>
      </c>
      <c r="L1783" s="218" t="s">
        <v>200</v>
      </c>
    </row>
    <row r="1784">
      <c r="A1784" s="223" t="s">
        <v>123</v>
      </c>
      <c r="B1784" s="223" t="s">
        <v>1300</v>
      </c>
      <c r="C1784" s="223" t="s">
        <v>1156</v>
      </c>
      <c r="D1784" s="320">
        <v>45107.0</v>
      </c>
      <c r="I1784" s="218">
        <v>825.0</v>
      </c>
      <c r="J1784" s="317" t="s">
        <v>52</v>
      </c>
      <c r="K1784" s="319">
        <v>2023.06</v>
      </c>
      <c r="L1784" s="218" t="s">
        <v>200</v>
      </c>
    </row>
    <row r="1785">
      <c r="A1785" s="223" t="s">
        <v>62</v>
      </c>
      <c r="B1785" s="223" t="s">
        <v>1304</v>
      </c>
      <c r="C1785" s="223" t="s">
        <v>1156</v>
      </c>
      <c r="D1785" s="320">
        <v>45107.0</v>
      </c>
      <c r="I1785" s="218">
        <v>450.0</v>
      </c>
      <c r="J1785" s="317" t="s">
        <v>52</v>
      </c>
      <c r="K1785" s="319">
        <v>2023.06</v>
      </c>
      <c r="L1785" s="218" t="s">
        <v>200</v>
      </c>
    </row>
    <row r="1786">
      <c r="A1786" s="223" t="s">
        <v>1018</v>
      </c>
      <c r="B1786" s="223" t="s">
        <v>1520</v>
      </c>
      <c r="C1786" s="223" t="s">
        <v>1168</v>
      </c>
      <c r="D1786" s="320">
        <v>45107.0</v>
      </c>
      <c r="I1786" s="218">
        <v>250.0</v>
      </c>
      <c r="J1786" s="317" t="s">
        <v>1160</v>
      </c>
      <c r="K1786" s="319">
        <v>2023.0</v>
      </c>
      <c r="L1786" s="218" t="s">
        <v>200</v>
      </c>
    </row>
    <row r="1787">
      <c r="A1787" s="223" t="s">
        <v>102</v>
      </c>
      <c r="B1787" s="223" t="s">
        <v>1259</v>
      </c>
      <c r="C1787" s="223" t="s">
        <v>1156</v>
      </c>
      <c r="D1787" s="320">
        <v>45107.0</v>
      </c>
      <c r="I1787" s="218">
        <v>150.0</v>
      </c>
      <c r="J1787" s="317" t="s">
        <v>52</v>
      </c>
      <c r="K1787" s="319">
        <v>2023.06</v>
      </c>
      <c r="L1787" s="218" t="s">
        <v>200</v>
      </c>
    </row>
    <row r="1788">
      <c r="A1788" s="223" t="s">
        <v>54</v>
      </c>
      <c r="B1788" s="223" t="s">
        <v>1187</v>
      </c>
      <c r="C1788" s="223" t="s">
        <v>1156</v>
      </c>
      <c r="D1788" s="320">
        <v>45107.0</v>
      </c>
      <c r="I1788" s="218">
        <v>387.5</v>
      </c>
      <c r="J1788" s="317" t="s">
        <v>52</v>
      </c>
      <c r="K1788" s="319">
        <v>2023.06</v>
      </c>
      <c r="L1788" s="218" t="s">
        <v>200</v>
      </c>
    </row>
    <row r="1789">
      <c r="A1789" s="223" t="s">
        <v>120</v>
      </c>
      <c r="B1789" s="223" t="s">
        <v>1215</v>
      </c>
      <c r="C1789" s="223" t="s">
        <v>1156</v>
      </c>
      <c r="D1789" s="320">
        <v>45107.0</v>
      </c>
      <c r="I1789" s="218">
        <v>350.0</v>
      </c>
      <c r="J1789" s="317" t="s">
        <v>52</v>
      </c>
      <c r="K1789" s="319">
        <v>2023.06</v>
      </c>
      <c r="L1789" s="218" t="s">
        <v>200</v>
      </c>
    </row>
    <row r="1790">
      <c r="A1790" s="223" t="s">
        <v>499</v>
      </c>
      <c r="B1790" s="223" t="s">
        <v>1330</v>
      </c>
      <c r="C1790" s="223" t="s">
        <v>1375</v>
      </c>
      <c r="D1790" s="320">
        <v>45107.0</v>
      </c>
      <c r="I1790" s="218">
        <v>300.0</v>
      </c>
      <c r="J1790" s="317" t="s">
        <v>52</v>
      </c>
      <c r="K1790" s="319">
        <v>2023.06</v>
      </c>
      <c r="L1790" s="218" t="s">
        <v>200</v>
      </c>
    </row>
    <row r="1791">
      <c r="A1791" s="223" t="s">
        <v>966</v>
      </c>
      <c r="B1791" s="223" t="s">
        <v>1487</v>
      </c>
      <c r="C1791" s="223" t="s">
        <v>1510</v>
      </c>
      <c r="D1791" s="320">
        <v>45107.0</v>
      </c>
      <c r="I1791" s="218">
        <v>552.5</v>
      </c>
      <c r="J1791" s="317" t="s">
        <v>52</v>
      </c>
      <c r="K1791" s="319">
        <v>2023.06</v>
      </c>
      <c r="L1791" s="218" t="s">
        <v>200</v>
      </c>
    </row>
    <row r="1792">
      <c r="A1792" s="223" t="s">
        <v>788</v>
      </c>
      <c r="B1792" s="223" t="s">
        <v>1250</v>
      </c>
      <c r="C1792" s="223" t="s">
        <v>1470</v>
      </c>
      <c r="D1792" s="320">
        <v>45107.0</v>
      </c>
      <c r="I1792" s="218">
        <v>265.0</v>
      </c>
      <c r="J1792" s="317" t="s">
        <v>52</v>
      </c>
      <c r="K1792" s="319">
        <v>2023.06</v>
      </c>
      <c r="L1792" s="218" t="s">
        <v>200</v>
      </c>
    </row>
    <row r="1793">
      <c r="A1793" s="223" t="s">
        <v>662</v>
      </c>
      <c r="B1793" s="223" t="s">
        <v>1433</v>
      </c>
      <c r="C1793" s="223" t="s">
        <v>1434</v>
      </c>
      <c r="D1793" s="320">
        <v>45107.0</v>
      </c>
      <c r="I1793" s="218">
        <v>200.0</v>
      </c>
      <c r="J1793" s="317" t="s">
        <v>52</v>
      </c>
      <c r="K1793" s="319">
        <v>2023.06</v>
      </c>
      <c r="L1793" s="218" t="s">
        <v>200</v>
      </c>
    </row>
    <row r="1794">
      <c r="A1794" s="223" t="s">
        <v>1014</v>
      </c>
      <c r="B1794" s="223" t="s">
        <v>1519</v>
      </c>
      <c r="C1794" s="223" t="s">
        <v>1509</v>
      </c>
      <c r="D1794" s="320">
        <v>45107.0</v>
      </c>
      <c r="I1794" s="218">
        <v>315.0</v>
      </c>
      <c r="J1794" s="317" t="s">
        <v>1160</v>
      </c>
      <c r="K1794" s="319">
        <v>2023.0</v>
      </c>
      <c r="L1794" s="218" t="s">
        <v>200</v>
      </c>
    </row>
    <row r="1795">
      <c r="A1795" s="223" t="s">
        <v>1266</v>
      </c>
      <c r="B1795" s="223" t="s">
        <v>1264</v>
      </c>
      <c r="C1795" s="223" t="s">
        <v>1267</v>
      </c>
      <c r="D1795" s="320">
        <v>45123.0</v>
      </c>
      <c r="I1795" s="218">
        <v>3.13</v>
      </c>
      <c r="J1795" s="317" t="s">
        <v>1152</v>
      </c>
      <c r="K1795" s="319">
        <v>2023.0</v>
      </c>
      <c r="L1795" s="218" t="s">
        <v>200</v>
      </c>
    </row>
    <row r="1796">
      <c r="A1796" s="223" t="s">
        <v>1266</v>
      </c>
      <c r="B1796" s="223" t="s">
        <v>1264</v>
      </c>
      <c r="C1796" s="223" t="s">
        <v>1267</v>
      </c>
      <c r="D1796" s="320">
        <v>45123.0</v>
      </c>
      <c r="I1796" s="218">
        <v>135.93</v>
      </c>
      <c r="J1796" s="317" t="s">
        <v>1152</v>
      </c>
      <c r="K1796" s="319">
        <v>2023.0</v>
      </c>
      <c r="L1796" s="218" t="s">
        <v>200</v>
      </c>
    </row>
    <row r="1797">
      <c r="A1797" s="223" t="s">
        <v>1269</v>
      </c>
      <c r="B1797" s="223" t="s">
        <v>1264</v>
      </c>
      <c r="C1797" s="223" t="s">
        <v>1270</v>
      </c>
      <c r="D1797" s="320">
        <v>45123.0</v>
      </c>
      <c r="I1797" s="218">
        <v>277.77</v>
      </c>
      <c r="J1797" s="317" t="s">
        <v>1152</v>
      </c>
      <c r="K1797" s="319">
        <v>2023.0</v>
      </c>
      <c r="L1797" s="218" t="s">
        <v>200</v>
      </c>
    </row>
    <row r="1798">
      <c r="A1798" s="223" t="s">
        <v>1266</v>
      </c>
      <c r="B1798" s="223" t="s">
        <v>1264</v>
      </c>
      <c r="C1798" s="223" t="s">
        <v>1267</v>
      </c>
      <c r="D1798" s="320">
        <v>45123.0</v>
      </c>
      <c r="I1798" s="218">
        <v>14.67</v>
      </c>
      <c r="J1798" s="317" t="s">
        <v>1152</v>
      </c>
      <c r="K1798" s="319">
        <v>2023.0</v>
      </c>
      <c r="L1798" s="218" t="s">
        <v>200</v>
      </c>
    </row>
    <row r="1799">
      <c r="A1799" s="223" t="s">
        <v>1269</v>
      </c>
      <c r="B1799" s="223" t="s">
        <v>1264</v>
      </c>
      <c r="C1799" s="223" t="s">
        <v>1270</v>
      </c>
      <c r="D1799" s="320">
        <v>45123.0</v>
      </c>
      <c r="I1799" s="218">
        <v>144.6</v>
      </c>
      <c r="J1799" s="317" t="s">
        <v>1152</v>
      </c>
      <c r="K1799" s="319">
        <v>2023.0</v>
      </c>
      <c r="L1799" s="218" t="s">
        <v>200</v>
      </c>
    </row>
    <row r="1800">
      <c r="A1800" s="223" t="s">
        <v>1269</v>
      </c>
      <c r="B1800" s="223" t="s">
        <v>1264</v>
      </c>
      <c r="C1800" s="223" t="s">
        <v>1270</v>
      </c>
      <c r="D1800" s="320">
        <v>45123.0</v>
      </c>
      <c r="I1800" s="218">
        <v>39.37</v>
      </c>
      <c r="J1800" s="317" t="s">
        <v>1152</v>
      </c>
      <c r="K1800" s="319">
        <v>2023.0</v>
      </c>
      <c r="L1800" s="218" t="s">
        <v>200</v>
      </c>
    </row>
    <row r="1801">
      <c r="A1801" s="223" t="s">
        <v>1266</v>
      </c>
      <c r="B1801" s="223" t="s">
        <v>1264</v>
      </c>
      <c r="C1801" s="223" t="s">
        <v>1267</v>
      </c>
      <c r="D1801" s="320">
        <v>45123.0</v>
      </c>
      <c r="I1801" s="218">
        <v>69.89</v>
      </c>
      <c r="J1801" s="317" t="s">
        <v>1152</v>
      </c>
      <c r="K1801" s="319">
        <v>2023.0</v>
      </c>
      <c r="L1801" s="218" t="s">
        <v>200</v>
      </c>
    </row>
    <row r="1802">
      <c r="A1802" s="223" t="s">
        <v>1266</v>
      </c>
      <c r="B1802" s="223" t="s">
        <v>1264</v>
      </c>
      <c r="C1802" s="223" t="s">
        <v>1267</v>
      </c>
      <c r="D1802" s="320">
        <v>45123.0</v>
      </c>
      <c r="I1802" s="218">
        <v>3.13</v>
      </c>
      <c r="J1802" s="317" t="s">
        <v>1152</v>
      </c>
      <c r="K1802" s="319">
        <v>2023.0</v>
      </c>
      <c r="L1802" s="218" t="s">
        <v>200</v>
      </c>
    </row>
    <row r="1803">
      <c r="A1803" s="223" t="s">
        <v>1266</v>
      </c>
      <c r="B1803" s="223" t="s">
        <v>1264</v>
      </c>
      <c r="C1803" s="223" t="s">
        <v>1267</v>
      </c>
      <c r="D1803" s="320">
        <v>45123.0</v>
      </c>
      <c r="I1803" s="218">
        <v>152.17</v>
      </c>
      <c r="J1803" s="317" t="s">
        <v>1152</v>
      </c>
      <c r="K1803" s="319">
        <v>2023.0</v>
      </c>
      <c r="L1803" s="218" t="s">
        <v>200</v>
      </c>
    </row>
    <row r="1804">
      <c r="A1804" s="223" t="s">
        <v>223</v>
      </c>
      <c r="B1804" s="223" t="s">
        <v>1176</v>
      </c>
      <c r="C1804" s="223" t="s">
        <v>1156</v>
      </c>
      <c r="D1804" s="320">
        <v>45107.0</v>
      </c>
      <c r="I1804" s="218">
        <v>2.21</v>
      </c>
      <c r="J1804" s="317" t="s">
        <v>52</v>
      </c>
      <c r="K1804" s="319">
        <v>2023.06</v>
      </c>
      <c r="L1804" s="218" t="s">
        <v>200</v>
      </c>
    </row>
    <row r="1805">
      <c r="A1805" s="223" t="s">
        <v>915</v>
      </c>
      <c r="B1805" s="223" t="s">
        <v>1389</v>
      </c>
      <c r="C1805" s="223" t="s">
        <v>1505</v>
      </c>
      <c r="D1805" s="320">
        <v>45107.0</v>
      </c>
      <c r="I1805" s="218">
        <v>75.03</v>
      </c>
      <c r="J1805" s="317" t="s">
        <v>1160</v>
      </c>
      <c r="K1805" s="319">
        <v>2023.0</v>
      </c>
      <c r="L1805" s="218" t="s">
        <v>200</v>
      </c>
    </row>
    <row r="1806">
      <c r="A1806" s="223" t="s">
        <v>54</v>
      </c>
      <c r="B1806" s="223" t="s">
        <v>1187</v>
      </c>
      <c r="C1806" s="223" t="s">
        <v>1156</v>
      </c>
      <c r="D1806" s="320">
        <v>45107.0</v>
      </c>
      <c r="I1806" s="218">
        <v>76.22</v>
      </c>
      <c r="J1806" s="317" t="s">
        <v>52</v>
      </c>
      <c r="K1806" s="319">
        <v>2023.06</v>
      </c>
      <c r="L1806" s="218" t="s">
        <v>200</v>
      </c>
    </row>
    <row r="1807">
      <c r="A1807" s="223" t="s">
        <v>120</v>
      </c>
      <c r="B1807" s="223" t="s">
        <v>1215</v>
      </c>
      <c r="C1807" s="223" t="s">
        <v>1156</v>
      </c>
      <c r="D1807" s="320">
        <v>45107.0</v>
      </c>
      <c r="I1807" s="218">
        <v>189.19</v>
      </c>
      <c r="J1807" s="317" t="s">
        <v>52</v>
      </c>
      <c r="K1807" s="319">
        <v>2023.06</v>
      </c>
      <c r="L1807" s="218" t="s">
        <v>200</v>
      </c>
    </row>
    <row r="1808">
      <c r="A1808" s="223" t="s">
        <v>120</v>
      </c>
      <c r="B1808" s="223" t="s">
        <v>1215</v>
      </c>
      <c r="C1808" s="223" t="s">
        <v>1156</v>
      </c>
      <c r="D1808" s="320">
        <v>45107.0</v>
      </c>
      <c r="I1808" s="218">
        <v>25.6</v>
      </c>
      <c r="J1808" s="317" t="s">
        <v>52</v>
      </c>
      <c r="K1808" s="319">
        <v>2023.06</v>
      </c>
      <c r="L1808" s="218" t="s">
        <v>200</v>
      </c>
    </row>
    <row r="1809">
      <c r="A1809" s="223" t="s">
        <v>1031</v>
      </c>
      <c r="B1809" s="223" t="s">
        <v>1216</v>
      </c>
      <c r="C1809" s="223" t="s">
        <v>1522</v>
      </c>
      <c r="D1809" s="320">
        <v>45107.0</v>
      </c>
      <c r="I1809" s="218">
        <v>217.81</v>
      </c>
      <c r="J1809" s="317" t="s">
        <v>1160</v>
      </c>
      <c r="K1809" s="319">
        <v>2023.0</v>
      </c>
      <c r="L1809" s="218" t="s">
        <v>200</v>
      </c>
    </row>
    <row r="1810">
      <c r="A1810" s="223" t="s">
        <v>1018</v>
      </c>
      <c r="B1810" s="223" t="s">
        <v>1520</v>
      </c>
      <c r="C1810" s="223" t="s">
        <v>1168</v>
      </c>
      <c r="D1810" s="320">
        <v>45107.0</v>
      </c>
      <c r="I1810" s="218">
        <v>154.41</v>
      </c>
      <c r="J1810" s="317" t="s">
        <v>1160</v>
      </c>
      <c r="K1810" s="319">
        <v>2023.0</v>
      </c>
      <c r="L1810" s="218" t="s">
        <v>200</v>
      </c>
    </row>
    <row r="1811">
      <c r="A1811" s="223" t="s">
        <v>356</v>
      </c>
      <c r="B1811" s="223" t="s">
        <v>1216</v>
      </c>
      <c r="C1811" s="223" t="s">
        <v>1340</v>
      </c>
      <c r="D1811" s="320">
        <v>45107.0</v>
      </c>
      <c r="I1811" s="218">
        <v>56.81</v>
      </c>
      <c r="J1811" s="317" t="s">
        <v>1160</v>
      </c>
      <c r="K1811" s="319">
        <v>2023.0</v>
      </c>
      <c r="L1811" s="218" t="s">
        <v>200</v>
      </c>
    </row>
    <row r="1812">
      <c r="A1812" s="223" t="s">
        <v>1008</v>
      </c>
      <c r="B1812" s="223" t="s">
        <v>1516</v>
      </c>
      <c r="C1812" s="223" t="s">
        <v>1509</v>
      </c>
      <c r="D1812" s="320">
        <v>45107.0</v>
      </c>
      <c r="I1812" s="218">
        <v>100.05</v>
      </c>
      <c r="J1812" s="317" t="s">
        <v>1160</v>
      </c>
      <c r="K1812" s="319">
        <v>2023.0</v>
      </c>
      <c r="L1812" s="218" t="s">
        <v>200</v>
      </c>
    </row>
    <row r="1813">
      <c r="A1813" s="223" t="s">
        <v>587</v>
      </c>
      <c r="B1813" s="223" t="s">
        <v>1406</v>
      </c>
      <c r="C1813" s="223" t="s">
        <v>1403</v>
      </c>
      <c r="D1813" s="320">
        <v>45107.0</v>
      </c>
      <c r="I1813" s="218">
        <v>36.7</v>
      </c>
      <c r="J1813" s="317" t="s">
        <v>1160</v>
      </c>
      <c r="K1813" s="319">
        <v>2023.0</v>
      </c>
      <c r="L1813" s="218" t="s">
        <v>200</v>
      </c>
    </row>
    <row r="1814">
      <c r="A1814" s="223" t="s">
        <v>586</v>
      </c>
      <c r="B1814" s="223" t="s">
        <v>1404</v>
      </c>
      <c r="C1814" s="223" t="s">
        <v>1403</v>
      </c>
      <c r="D1814" s="320">
        <v>45107.0</v>
      </c>
      <c r="I1814" s="218">
        <v>773.89</v>
      </c>
      <c r="J1814" s="317" t="s">
        <v>1160</v>
      </c>
      <c r="K1814" s="319">
        <v>2023.0</v>
      </c>
      <c r="L1814" s="218" t="s">
        <v>200</v>
      </c>
    </row>
    <row r="1815">
      <c r="A1815" s="223" t="s">
        <v>499</v>
      </c>
      <c r="B1815" s="223" t="s">
        <v>1330</v>
      </c>
      <c r="C1815" s="223" t="s">
        <v>1375</v>
      </c>
      <c r="D1815" s="320">
        <v>45107.0</v>
      </c>
      <c r="I1815" s="218">
        <v>78.08</v>
      </c>
      <c r="J1815" s="317" t="s">
        <v>52</v>
      </c>
      <c r="K1815" s="319">
        <v>2023.06</v>
      </c>
      <c r="L1815" s="218" t="s">
        <v>200</v>
      </c>
    </row>
    <row r="1816">
      <c r="A1816" s="223" t="s">
        <v>82</v>
      </c>
      <c r="B1816" s="223" t="s">
        <v>1124</v>
      </c>
      <c r="C1816" s="223" t="s">
        <v>1156</v>
      </c>
      <c r="D1816" s="320">
        <v>45107.0</v>
      </c>
      <c r="I1816" s="218">
        <v>38.59</v>
      </c>
      <c r="J1816" s="317" t="s">
        <v>52</v>
      </c>
      <c r="K1816" s="319">
        <v>2023.06</v>
      </c>
      <c r="L1816" s="218" t="s">
        <v>200</v>
      </c>
    </row>
    <row r="1817">
      <c r="A1817" s="223" t="s">
        <v>70</v>
      </c>
      <c r="B1817" s="223" t="s">
        <v>1239</v>
      </c>
      <c r="C1817" s="223" t="s">
        <v>1168</v>
      </c>
      <c r="D1817" s="320">
        <v>45107.0</v>
      </c>
      <c r="I1817" s="218">
        <v>574.71</v>
      </c>
      <c r="J1817" s="317" t="s">
        <v>1160</v>
      </c>
      <c r="K1817" s="319">
        <v>2023.0</v>
      </c>
      <c r="L1817" s="218" t="s">
        <v>200</v>
      </c>
    </row>
    <row r="1818">
      <c r="A1818" s="223" t="s">
        <v>148</v>
      </c>
      <c r="B1818" s="223" t="s">
        <v>1239</v>
      </c>
      <c r="C1818" s="223" t="s">
        <v>1190</v>
      </c>
      <c r="D1818" s="320">
        <v>45107.0</v>
      </c>
      <c r="I1818" s="218">
        <v>82.26</v>
      </c>
      <c r="J1818" s="317" t="s">
        <v>1160</v>
      </c>
      <c r="K1818" s="319">
        <v>2023.0</v>
      </c>
      <c r="L1818" s="218" t="s">
        <v>200</v>
      </c>
    </row>
    <row r="1819">
      <c r="A1819" s="223" t="s">
        <v>1014</v>
      </c>
      <c r="B1819" s="223" t="s">
        <v>1519</v>
      </c>
      <c r="C1819" s="223" t="s">
        <v>1509</v>
      </c>
      <c r="D1819" s="320">
        <v>45107.0</v>
      </c>
      <c r="I1819" s="218">
        <v>136.96</v>
      </c>
      <c r="J1819" s="317" t="s">
        <v>1160</v>
      </c>
      <c r="K1819" s="319">
        <v>2023.0</v>
      </c>
      <c r="L1819" s="218" t="s">
        <v>200</v>
      </c>
    </row>
    <row r="1820">
      <c r="A1820" s="223" t="s">
        <v>1006</v>
      </c>
      <c r="B1820" s="223" t="s">
        <v>1250</v>
      </c>
      <c r="C1820" s="223" t="s">
        <v>1514</v>
      </c>
      <c r="D1820" s="320">
        <v>45107.0</v>
      </c>
      <c r="I1820" s="218">
        <v>375.14</v>
      </c>
      <c r="J1820" s="317" t="s">
        <v>1160</v>
      </c>
      <c r="K1820" s="319">
        <v>2023.0</v>
      </c>
      <c r="L1820" s="218" t="s">
        <v>200</v>
      </c>
    </row>
    <row r="1821">
      <c r="A1821" s="223" t="s">
        <v>549</v>
      </c>
      <c r="B1821" s="223" t="s">
        <v>1368</v>
      </c>
      <c r="C1821" s="223" t="s">
        <v>1393</v>
      </c>
      <c r="D1821" s="320">
        <v>45107.0</v>
      </c>
      <c r="I1821" s="218">
        <v>3.12</v>
      </c>
      <c r="J1821" s="317" t="s">
        <v>52</v>
      </c>
      <c r="K1821" s="319">
        <v>2023.06</v>
      </c>
      <c r="L1821" s="218" t="s">
        <v>200</v>
      </c>
    </row>
    <row r="1822">
      <c r="A1822" s="223" t="s">
        <v>88</v>
      </c>
      <c r="B1822" s="223" t="s">
        <v>1256</v>
      </c>
      <c r="C1822" s="223" t="s">
        <v>1156</v>
      </c>
      <c r="D1822" s="320">
        <v>45107.0</v>
      </c>
      <c r="I1822" s="218">
        <v>76.67</v>
      </c>
      <c r="J1822" s="317" t="s">
        <v>52</v>
      </c>
      <c r="K1822" s="319">
        <v>2023.06</v>
      </c>
      <c r="L1822" s="218" t="s">
        <v>200</v>
      </c>
    </row>
    <row r="1823">
      <c r="A1823" s="223" t="s">
        <v>1266</v>
      </c>
      <c r="B1823" s="223" t="s">
        <v>1264</v>
      </c>
      <c r="C1823" s="223" t="s">
        <v>1267</v>
      </c>
      <c r="D1823" s="320">
        <v>45107.0</v>
      </c>
      <c r="I1823" s="218">
        <v>515.51</v>
      </c>
      <c r="J1823" s="317" t="s">
        <v>1152</v>
      </c>
      <c r="K1823" s="319">
        <v>2023.0</v>
      </c>
      <c r="L1823" s="218" t="s">
        <v>200</v>
      </c>
    </row>
    <row r="1824">
      <c r="A1824" s="223" t="s">
        <v>1269</v>
      </c>
      <c r="B1824" s="223" t="s">
        <v>1264</v>
      </c>
      <c r="C1824" s="223" t="s">
        <v>1270</v>
      </c>
      <c r="D1824" s="320">
        <v>45107.0</v>
      </c>
      <c r="I1824" s="218">
        <v>25.84</v>
      </c>
      <c r="J1824" s="317" t="s">
        <v>1152</v>
      </c>
      <c r="K1824" s="319">
        <v>2023.0</v>
      </c>
      <c r="L1824" s="218" t="s">
        <v>200</v>
      </c>
    </row>
    <row r="1825">
      <c r="A1825" s="223" t="s">
        <v>50</v>
      </c>
      <c r="B1825" s="223" t="s">
        <v>1275</v>
      </c>
      <c r="C1825" s="223" t="s">
        <v>1156</v>
      </c>
      <c r="D1825" s="320">
        <v>45107.0</v>
      </c>
      <c r="I1825" s="218">
        <v>125.05</v>
      </c>
      <c r="J1825" s="317" t="s">
        <v>52</v>
      </c>
      <c r="K1825" s="319">
        <v>2023.06</v>
      </c>
      <c r="L1825" s="218" t="s">
        <v>200</v>
      </c>
    </row>
    <row r="1826">
      <c r="A1826" s="223" t="s">
        <v>1066</v>
      </c>
      <c r="B1826" s="223" t="s">
        <v>1286</v>
      </c>
      <c r="C1826" s="223" t="s">
        <v>1168</v>
      </c>
      <c r="D1826" s="320">
        <v>45107.0</v>
      </c>
      <c r="I1826" s="218">
        <v>110.4</v>
      </c>
      <c r="J1826" s="317" t="s">
        <v>1160</v>
      </c>
      <c r="K1826" s="319">
        <v>2023.0</v>
      </c>
      <c r="L1826" s="218" t="s">
        <v>200</v>
      </c>
    </row>
    <row r="1827">
      <c r="A1827" s="223" t="s">
        <v>92</v>
      </c>
      <c r="B1827" s="223" t="s">
        <v>1289</v>
      </c>
      <c r="C1827" s="223" t="s">
        <v>1156</v>
      </c>
      <c r="D1827" s="320">
        <v>45107.0</v>
      </c>
      <c r="I1827" s="218">
        <v>133.27</v>
      </c>
      <c r="J1827" s="317" t="s">
        <v>52</v>
      </c>
      <c r="K1827" s="319">
        <v>2023.06</v>
      </c>
      <c r="L1827" s="218" t="s">
        <v>200</v>
      </c>
    </row>
    <row r="1828">
      <c r="A1828" s="223" t="s">
        <v>1001</v>
      </c>
      <c r="B1828" s="223" t="s">
        <v>1294</v>
      </c>
      <c r="C1828" s="223" t="s">
        <v>1471</v>
      </c>
      <c r="D1828" s="320">
        <v>45107.0</v>
      </c>
      <c r="I1828" s="218">
        <v>155.85</v>
      </c>
      <c r="J1828" s="317" t="s">
        <v>1160</v>
      </c>
      <c r="K1828" s="319">
        <v>2023.0</v>
      </c>
      <c r="L1828" s="218" t="s">
        <v>200</v>
      </c>
    </row>
    <row r="1829">
      <c r="A1829" s="223" t="s">
        <v>584</v>
      </c>
      <c r="B1829" s="223" t="s">
        <v>1398</v>
      </c>
      <c r="C1829" s="223" t="s">
        <v>1403</v>
      </c>
      <c r="D1829" s="320">
        <v>45107.0</v>
      </c>
      <c r="I1829" s="218">
        <v>41.93</v>
      </c>
      <c r="J1829" s="317" t="s">
        <v>1160</v>
      </c>
      <c r="K1829" s="319">
        <v>2023.0</v>
      </c>
      <c r="L1829" s="218" t="s">
        <v>200</v>
      </c>
    </row>
    <row r="1830">
      <c r="A1830" s="223" t="s">
        <v>584</v>
      </c>
      <c r="B1830" s="223" t="s">
        <v>1398</v>
      </c>
      <c r="C1830" s="223" t="s">
        <v>1403</v>
      </c>
      <c r="D1830" s="320">
        <v>45107.0</v>
      </c>
      <c r="I1830" s="218">
        <v>3.56</v>
      </c>
      <c r="J1830" s="317" t="s">
        <v>1160</v>
      </c>
      <c r="K1830" s="319">
        <v>2023.0</v>
      </c>
      <c r="L1830" s="218" t="s">
        <v>200</v>
      </c>
    </row>
    <row r="1831">
      <c r="A1831" s="223" t="s">
        <v>587</v>
      </c>
      <c r="B1831" s="223" t="s">
        <v>1406</v>
      </c>
      <c r="C1831" s="223" t="s">
        <v>1403</v>
      </c>
      <c r="D1831" s="320">
        <v>45107.0</v>
      </c>
      <c r="I1831" s="218">
        <v>39.77</v>
      </c>
      <c r="J1831" s="317" t="s">
        <v>1160</v>
      </c>
      <c r="K1831" s="319">
        <v>2023.0</v>
      </c>
      <c r="L1831" s="218" t="s">
        <v>200</v>
      </c>
    </row>
    <row r="1832">
      <c r="A1832" s="223" t="s">
        <v>773</v>
      </c>
      <c r="B1832" s="223" t="s">
        <v>1304</v>
      </c>
      <c r="C1832" s="223" t="s">
        <v>1190</v>
      </c>
      <c r="D1832" s="320">
        <v>45107.0</v>
      </c>
      <c r="I1832" s="218">
        <v>261.56</v>
      </c>
      <c r="J1832" s="317" t="s">
        <v>1160</v>
      </c>
      <c r="K1832" s="319">
        <v>2023.0</v>
      </c>
      <c r="L1832" s="218" t="s">
        <v>200</v>
      </c>
    </row>
    <row r="1833">
      <c r="A1833" s="223" t="s">
        <v>118</v>
      </c>
      <c r="B1833" s="223" t="s">
        <v>1312</v>
      </c>
      <c r="C1833" s="223" t="s">
        <v>1156</v>
      </c>
      <c r="D1833" s="320">
        <v>45107.0</v>
      </c>
      <c r="I1833" s="218">
        <v>29.3</v>
      </c>
      <c r="J1833" s="317" t="s">
        <v>52</v>
      </c>
      <c r="K1833" s="319">
        <v>2023.06</v>
      </c>
      <c r="L1833" s="218" t="s">
        <v>200</v>
      </c>
    </row>
    <row r="1834">
      <c r="A1834" s="223" t="s">
        <v>966</v>
      </c>
      <c r="B1834" s="223" t="s">
        <v>1487</v>
      </c>
      <c r="C1834" s="223" t="s">
        <v>1510</v>
      </c>
      <c r="D1834" s="320">
        <v>45107.0</v>
      </c>
      <c r="I1834" s="218">
        <v>61.23</v>
      </c>
      <c r="J1834" s="317" t="s">
        <v>52</v>
      </c>
      <c r="K1834" s="319">
        <v>2023.06</v>
      </c>
      <c r="L1834" s="218" t="s">
        <v>200</v>
      </c>
    </row>
    <row r="1835">
      <c r="A1835" s="223" t="s">
        <v>118</v>
      </c>
      <c r="B1835" s="223" t="s">
        <v>1312</v>
      </c>
      <c r="C1835" s="223" t="s">
        <v>1156</v>
      </c>
      <c r="D1835" s="320">
        <v>45095.0</v>
      </c>
      <c r="I1835" s="218">
        <v>750.0</v>
      </c>
      <c r="J1835" s="317" t="s">
        <v>52</v>
      </c>
      <c r="K1835" s="319">
        <v>2023.06</v>
      </c>
      <c r="L1835" s="218">
        <v>750.0</v>
      </c>
    </row>
    <row r="1836">
      <c r="A1836" s="223" t="s">
        <v>115</v>
      </c>
      <c r="B1836" s="223" t="s">
        <v>1308</v>
      </c>
      <c r="C1836" s="223" t="s">
        <v>1156</v>
      </c>
      <c r="D1836" s="320">
        <v>45095.0</v>
      </c>
      <c r="I1836" s="218">
        <v>750.0</v>
      </c>
      <c r="J1836" s="317" t="s">
        <v>52</v>
      </c>
      <c r="K1836" s="319">
        <v>2023.06</v>
      </c>
      <c r="L1836" s="218">
        <v>750.0</v>
      </c>
    </row>
    <row r="1837">
      <c r="A1837" s="223" t="s">
        <v>92</v>
      </c>
      <c r="B1837" s="223" t="s">
        <v>1289</v>
      </c>
      <c r="C1837" s="223" t="s">
        <v>1156</v>
      </c>
      <c r="D1837" s="320">
        <v>45102.0</v>
      </c>
      <c r="I1837" s="218">
        <v>88.68</v>
      </c>
      <c r="J1837" s="317" t="s">
        <v>52</v>
      </c>
      <c r="K1837" s="319">
        <v>2023.06</v>
      </c>
      <c r="L1837" s="218">
        <v>88.68</v>
      </c>
    </row>
    <row r="1838">
      <c r="A1838" s="223" t="s">
        <v>118</v>
      </c>
      <c r="B1838" s="223" t="s">
        <v>1312</v>
      </c>
      <c r="C1838" s="223" t="s">
        <v>1156</v>
      </c>
      <c r="D1838" s="320">
        <v>45108.0</v>
      </c>
      <c r="I1838" s="218">
        <v>556.75</v>
      </c>
      <c r="J1838" s="317" t="s">
        <v>52</v>
      </c>
      <c r="K1838" s="319">
        <v>2023.07</v>
      </c>
      <c r="L1838" s="218">
        <v>556.75</v>
      </c>
    </row>
    <row r="1839">
      <c r="A1839" s="223" t="s">
        <v>115</v>
      </c>
      <c r="B1839" s="223" t="s">
        <v>1308</v>
      </c>
      <c r="C1839" s="223" t="s">
        <v>1156</v>
      </c>
      <c r="D1839" s="320">
        <v>45108.0</v>
      </c>
      <c r="I1839" s="218">
        <v>551.57</v>
      </c>
      <c r="J1839" s="317" t="s">
        <v>52</v>
      </c>
      <c r="K1839" s="319">
        <v>2023.07</v>
      </c>
      <c r="L1839" s="218">
        <v>551.57</v>
      </c>
    </row>
    <row r="1840">
      <c r="A1840" s="223" t="s">
        <v>42</v>
      </c>
      <c r="B1840" s="223" t="s">
        <v>1236</v>
      </c>
      <c r="C1840" s="223" t="s">
        <v>1156</v>
      </c>
      <c r="D1840" s="320">
        <v>45077.0</v>
      </c>
      <c r="I1840" s="218">
        <v>350.0</v>
      </c>
      <c r="J1840" s="317" t="s">
        <v>52</v>
      </c>
      <c r="K1840" s="319">
        <v>2023.05</v>
      </c>
      <c r="L1840" s="218" t="s">
        <v>200</v>
      </c>
    </row>
    <row r="1841">
      <c r="A1841" s="223" t="s">
        <v>42</v>
      </c>
      <c r="B1841" s="223" t="s">
        <v>1236</v>
      </c>
      <c r="C1841" s="223" t="s">
        <v>1156</v>
      </c>
      <c r="D1841" s="320">
        <v>45107.0</v>
      </c>
      <c r="I1841" s="218">
        <v>350.0</v>
      </c>
      <c r="J1841" s="317" t="s">
        <v>52</v>
      </c>
      <c r="K1841" s="319">
        <v>2023.06</v>
      </c>
      <c r="L1841" s="218" t="s">
        <v>200</v>
      </c>
    </row>
    <row r="1842">
      <c r="A1842" s="223" t="s">
        <v>1060</v>
      </c>
      <c r="B1842" s="223" t="s">
        <v>1532</v>
      </c>
      <c r="C1842" s="223" t="s">
        <v>1533</v>
      </c>
      <c r="D1842" s="320">
        <v>45138.0</v>
      </c>
      <c r="I1842" s="218">
        <v>750.0</v>
      </c>
      <c r="J1842" s="317" t="s">
        <v>1160</v>
      </c>
      <c r="K1842" s="319">
        <v>2023.0</v>
      </c>
      <c r="L1842" s="218" t="s">
        <v>200</v>
      </c>
    </row>
    <row r="1843">
      <c r="A1843" s="223" t="s">
        <v>99</v>
      </c>
      <c r="B1843" s="223" t="s">
        <v>1192</v>
      </c>
      <c r="C1843" s="223" t="s">
        <v>1156</v>
      </c>
      <c r="D1843" s="320">
        <v>45138.0</v>
      </c>
      <c r="I1843" s="218">
        <v>400.0</v>
      </c>
      <c r="J1843" s="317" t="s">
        <v>52</v>
      </c>
      <c r="K1843" s="319">
        <v>2023.07</v>
      </c>
      <c r="L1843" s="218" t="s">
        <v>200</v>
      </c>
    </row>
    <row r="1844">
      <c r="A1844" s="223" t="s">
        <v>42</v>
      </c>
      <c r="B1844" s="223" t="s">
        <v>1236</v>
      </c>
      <c r="C1844" s="223" t="s">
        <v>1156</v>
      </c>
      <c r="D1844" s="320">
        <v>45138.0</v>
      </c>
      <c r="I1844" s="218">
        <v>287.5</v>
      </c>
      <c r="J1844" s="317" t="s">
        <v>52</v>
      </c>
      <c r="K1844" s="319">
        <v>2023.07</v>
      </c>
      <c r="L1844" s="218" t="s">
        <v>200</v>
      </c>
    </row>
    <row r="1845">
      <c r="A1845" s="223" t="s">
        <v>499</v>
      </c>
      <c r="B1845" s="223" t="s">
        <v>1330</v>
      </c>
      <c r="C1845" s="223" t="s">
        <v>1375</v>
      </c>
      <c r="D1845" s="320">
        <v>45138.0</v>
      </c>
      <c r="I1845" s="218">
        <v>200.0</v>
      </c>
      <c r="J1845" s="317" t="s">
        <v>52</v>
      </c>
      <c r="K1845" s="319">
        <v>2023.07</v>
      </c>
      <c r="L1845" s="218" t="s">
        <v>200</v>
      </c>
    </row>
    <row r="1846">
      <c r="A1846" s="223" t="s">
        <v>861</v>
      </c>
      <c r="B1846" s="223" t="s">
        <v>1483</v>
      </c>
      <c r="C1846" s="223" t="s">
        <v>1393</v>
      </c>
      <c r="D1846" s="320">
        <v>45138.0</v>
      </c>
      <c r="I1846" s="218">
        <v>420.0</v>
      </c>
      <c r="J1846" s="317" t="s">
        <v>52</v>
      </c>
      <c r="K1846" s="319">
        <v>2023.07</v>
      </c>
      <c r="L1846" s="218" t="s">
        <v>200</v>
      </c>
    </row>
    <row r="1847">
      <c r="A1847" s="223" t="s">
        <v>963</v>
      </c>
      <c r="B1847" s="223" t="s">
        <v>1485</v>
      </c>
      <c r="C1847" s="223" t="s">
        <v>1393</v>
      </c>
      <c r="D1847" s="320">
        <v>45138.0</v>
      </c>
      <c r="I1847" s="218">
        <v>180.0</v>
      </c>
      <c r="J1847" s="317" t="s">
        <v>52</v>
      </c>
      <c r="K1847" s="319">
        <v>2023.07</v>
      </c>
      <c r="L1847" s="218" t="s">
        <v>200</v>
      </c>
    </row>
    <row r="1848">
      <c r="A1848" s="223" t="s">
        <v>1041</v>
      </c>
      <c r="B1848" s="223" t="s">
        <v>1475</v>
      </c>
      <c r="C1848" s="223" t="s">
        <v>1525</v>
      </c>
      <c r="D1848" s="320">
        <v>45138.0</v>
      </c>
      <c r="I1848" s="218">
        <v>362.5</v>
      </c>
      <c r="J1848" s="317" t="s">
        <v>52</v>
      </c>
      <c r="K1848" s="319">
        <v>2023.07</v>
      </c>
      <c r="L1848" s="218" t="s">
        <v>200</v>
      </c>
    </row>
    <row r="1849">
      <c r="A1849" s="223" t="s">
        <v>662</v>
      </c>
      <c r="B1849" s="223" t="s">
        <v>1433</v>
      </c>
      <c r="C1849" s="223" t="s">
        <v>1434</v>
      </c>
      <c r="D1849" s="320">
        <v>45138.0</v>
      </c>
      <c r="I1849" s="218">
        <v>550.0</v>
      </c>
      <c r="J1849" s="317" t="s">
        <v>52</v>
      </c>
      <c r="K1849" s="319">
        <v>2023.07</v>
      </c>
      <c r="L1849" s="218" t="s">
        <v>200</v>
      </c>
    </row>
    <row r="1850">
      <c r="A1850" s="223" t="s">
        <v>1066</v>
      </c>
      <c r="B1850" s="223" t="s">
        <v>1286</v>
      </c>
      <c r="C1850" s="223" t="s">
        <v>1168</v>
      </c>
      <c r="D1850" s="320">
        <v>45138.0</v>
      </c>
      <c r="I1850" s="218">
        <v>1037.5</v>
      </c>
      <c r="J1850" s="317" t="s">
        <v>1160</v>
      </c>
      <c r="K1850" s="319">
        <v>2023.0</v>
      </c>
      <c r="L1850" s="218" t="s">
        <v>200</v>
      </c>
    </row>
    <row r="1851">
      <c r="A1851" s="223" t="s">
        <v>88</v>
      </c>
      <c r="B1851" s="223" t="s">
        <v>1256</v>
      </c>
      <c r="C1851" s="223" t="s">
        <v>1156</v>
      </c>
      <c r="D1851" s="320">
        <v>45138.0</v>
      </c>
      <c r="I1851" s="218">
        <v>212.5</v>
      </c>
      <c r="J1851" s="317" t="s">
        <v>52</v>
      </c>
      <c r="K1851" s="319">
        <v>2023.07</v>
      </c>
      <c r="L1851" s="218" t="s">
        <v>200</v>
      </c>
    </row>
    <row r="1852">
      <c r="A1852" s="223" t="s">
        <v>73</v>
      </c>
      <c r="B1852" s="223" t="s">
        <v>1327</v>
      </c>
      <c r="C1852" s="223" t="s">
        <v>1156</v>
      </c>
      <c r="D1852" s="320">
        <v>45138.0</v>
      </c>
      <c r="I1852" s="218">
        <v>287.5</v>
      </c>
      <c r="J1852" s="317" t="s">
        <v>52</v>
      </c>
      <c r="K1852" s="319">
        <v>2023.07</v>
      </c>
      <c r="L1852" s="218" t="s">
        <v>200</v>
      </c>
    </row>
    <row r="1853">
      <c r="A1853" s="223" t="s">
        <v>223</v>
      </c>
      <c r="B1853" s="223" t="s">
        <v>1176</v>
      </c>
      <c r="C1853" s="223" t="s">
        <v>1156</v>
      </c>
      <c r="D1853" s="320">
        <v>45138.0</v>
      </c>
      <c r="I1853" s="218">
        <v>300.0</v>
      </c>
      <c r="J1853" s="317" t="s">
        <v>52</v>
      </c>
      <c r="K1853" s="319">
        <v>2023.07</v>
      </c>
      <c r="L1853" s="218" t="s">
        <v>200</v>
      </c>
    </row>
    <row r="1854">
      <c r="A1854" s="223" t="s">
        <v>50</v>
      </c>
      <c r="B1854" s="223" t="s">
        <v>1275</v>
      </c>
      <c r="C1854" s="223" t="s">
        <v>1156</v>
      </c>
      <c r="D1854" s="320">
        <v>45138.0</v>
      </c>
      <c r="I1854" s="218">
        <v>150.0</v>
      </c>
      <c r="J1854" s="317" t="s">
        <v>52</v>
      </c>
      <c r="K1854" s="319">
        <v>2023.07</v>
      </c>
      <c r="L1854" s="218" t="s">
        <v>200</v>
      </c>
    </row>
    <row r="1855">
      <c r="A1855" s="223" t="s">
        <v>810</v>
      </c>
      <c r="B1855" s="223" t="s">
        <v>1363</v>
      </c>
      <c r="C1855" s="223" t="s">
        <v>1393</v>
      </c>
      <c r="D1855" s="320">
        <v>45138.0</v>
      </c>
      <c r="I1855" s="218">
        <v>262.5</v>
      </c>
      <c r="J1855" s="317" t="s">
        <v>52</v>
      </c>
      <c r="K1855" s="319">
        <v>2023.07</v>
      </c>
      <c r="L1855" s="218" t="s">
        <v>200</v>
      </c>
    </row>
    <row r="1856">
      <c r="A1856" s="223" t="s">
        <v>1070</v>
      </c>
      <c r="B1856" s="223" t="s">
        <v>1540</v>
      </c>
      <c r="C1856" s="223" t="s">
        <v>1393</v>
      </c>
      <c r="D1856" s="320">
        <v>45138.0</v>
      </c>
      <c r="I1856" s="218">
        <v>225.0</v>
      </c>
      <c r="J1856" s="317" t="s">
        <v>52</v>
      </c>
      <c r="K1856" s="319">
        <v>2023.07</v>
      </c>
      <c r="L1856" s="218" t="s">
        <v>200</v>
      </c>
    </row>
    <row r="1857">
      <c r="A1857" s="223" t="s">
        <v>92</v>
      </c>
      <c r="B1857" s="223" t="s">
        <v>1289</v>
      </c>
      <c r="C1857" s="223" t="s">
        <v>1156</v>
      </c>
      <c r="D1857" s="320">
        <v>45138.0</v>
      </c>
      <c r="I1857" s="218">
        <v>275.0</v>
      </c>
      <c r="J1857" s="317" t="s">
        <v>52</v>
      </c>
      <c r="K1857" s="319">
        <v>2023.07</v>
      </c>
      <c r="L1857" s="218" t="s">
        <v>200</v>
      </c>
    </row>
    <row r="1858">
      <c r="A1858" s="223" t="s">
        <v>88</v>
      </c>
      <c r="B1858" s="223" t="s">
        <v>1256</v>
      </c>
      <c r="C1858" s="223" t="s">
        <v>1156</v>
      </c>
      <c r="D1858" s="320">
        <v>45138.0</v>
      </c>
      <c r="I1858" s="218">
        <v>45.0</v>
      </c>
      <c r="J1858" s="317" t="s">
        <v>52</v>
      </c>
      <c r="K1858" s="319">
        <v>2023.07</v>
      </c>
      <c r="L1858" s="218" t="s">
        <v>200</v>
      </c>
    </row>
    <row r="1859">
      <c r="A1859" s="223" t="s">
        <v>97</v>
      </c>
      <c r="B1859" s="223" t="s">
        <v>1286</v>
      </c>
      <c r="C1859" s="223" t="s">
        <v>1156</v>
      </c>
      <c r="D1859" s="320">
        <v>45138.0</v>
      </c>
      <c r="I1859" s="218">
        <v>30.0</v>
      </c>
      <c r="J1859" s="317" t="s">
        <v>52</v>
      </c>
      <c r="K1859" s="319">
        <v>2023.07</v>
      </c>
      <c r="L1859" s="218" t="s">
        <v>200</v>
      </c>
    </row>
    <row r="1860">
      <c r="A1860" s="223" t="s">
        <v>82</v>
      </c>
      <c r="B1860" s="223" t="s">
        <v>1124</v>
      </c>
      <c r="C1860" s="223" t="s">
        <v>1156</v>
      </c>
      <c r="D1860" s="320">
        <v>45138.0</v>
      </c>
      <c r="I1860" s="218">
        <v>90.0</v>
      </c>
      <c r="J1860" s="317" t="s">
        <v>52</v>
      </c>
      <c r="K1860" s="319">
        <v>2023.07</v>
      </c>
      <c r="L1860" s="218" t="s">
        <v>200</v>
      </c>
    </row>
    <row r="1861">
      <c r="A1861" s="223" t="s">
        <v>99</v>
      </c>
      <c r="B1861" s="223" t="s">
        <v>1192</v>
      </c>
      <c r="C1861" s="223" t="s">
        <v>1156</v>
      </c>
      <c r="D1861" s="320">
        <v>45138.0</v>
      </c>
      <c r="I1861" s="218">
        <v>260.0</v>
      </c>
      <c r="J1861" s="317" t="s">
        <v>52</v>
      </c>
      <c r="K1861" s="319">
        <v>2023.07</v>
      </c>
      <c r="L1861" s="218" t="s">
        <v>200</v>
      </c>
    </row>
    <row r="1862">
      <c r="A1862" s="223" t="s">
        <v>42</v>
      </c>
      <c r="B1862" s="223" t="s">
        <v>1236</v>
      </c>
      <c r="C1862" s="223" t="s">
        <v>1156</v>
      </c>
      <c r="D1862" s="320">
        <v>45138.0</v>
      </c>
      <c r="I1862" s="218">
        <v>135.0</v>
      </c>
      <c r="J1862" s="317" t="s">
        <v>52</v>
      </c>
      <c r="K1862" s="319">
        <v>2023.07</v>
      </c>
      <c r="L1862" s="218" t="s">
        <v>200</v>
      </c>
    </row>
    <row r="1863">
      <c r="A1863" s="223" t="s">
        <v>123</v>
      </c>
      <c r="B1863" s="223" t="s">
        <v>1300</v>
      </c>
      <c r="C1863" s="223" t="s">
        <v>1156</v>
      </c>
      <c r="D1863" s="320">
        <v>45138.0</v>
      </c>
      <c r="I1863" s="218">
        <v>200.0</v>
      </c>
      <c r="J1863" s="317" t="s">
        <v>52</v>
      </c>
      <c r="K1863" s="319">
        <v>2023.07</v>
      </c>
      <c r="L1863" s="218" t="s">
        <v>200</v>
      </c>
    </row>
    <row r="1864">
      <c r="A1864" s="223" t="s">
        <v>73</v>
      </c>
      <c r="B1864" s="223" t="s">
        <v>1327</v>
      </c>
      <c r="C1864" s="223" t="s">
        <v>1156</v>
      </c>
      <c r="D1864" s="320">
        <v>45138.0</v>
      </c>
      <c r="I1864" s="218">
        <v>75.0</v>
      </c>
      <c r="J1864" s="317" t="s">
        <v>52</v>
      </c>
      <c r="K1864" s="319">
        <v>2023.07</v>
      </c>
      <c r="L1864" s="218" t="s">
        <v>200</v>
      </c>
    </row>
    <row r="1865">
      <c r="A1865" s="223" t="s">
        <v>50</v>
      </c>
      <c r="B1865" s="223" t="s">
        <v>1275</v>
      </c>
      <c r="C1865" s="223" t="s">
        <v>1156</v>
      </c>
      <c r="D1865" s="320">
        <v>45138.0</v>
      </c>
      <c r="I1865" s="218">
        <v>30.0</v>
      </c>
      <c r="J1865" s="317" t="s">
        <v>52</v>
      </c>
      <c r="K1865" s="319">
        <v>2023.07</v>
      </c>
      <c r="L1865" s="218" t="s">
        <v>200</v>
      </c>
    </row>
    <row r="1866">
      <c r="A1866" s="223" t="s">
        <v>62</v>
      </c>
      <c r="B1866" s="223" t="s">
        <v>1304</v>
      </c>
      <c r="C1866" s="223" t="s">
        <v>1156</v>
      </c>
      <c r="D1866" s="320">
        <v>45138.0</v>
      </c>
      <c r="I1866" s="218">
        <v>300.0</v>
      </c>
      <c r="J1866" s="317" t="s">
        <v>52</v>
      </c>
      <c r="K1866" s="319">
        <v>2023.07</v>
      </c>
      <c r="L1866" s="218" t="s">
        <v>200</v>
      </c>
    </row>
    <row r="1867">
      <c r="A1867" s="223" t="s">
        <v>223</v>
      </c>
      <c r="B1867" s="223" t="s">
        <v>1176</v>
      </c>
      <c r="C1867" s="223" t="s">
        <v>1156</v>
      </c>
      <c r="D1867" s="320">
        <v>45138.0</v>
      </c>
      <c r="I1867" s="218">
        <v>75.0</v>
      </c>
      <c r="J1867" s="317" t="s">
        <v>52</v>
      </c>
      <c r="K1867" s="319">
        <v>2023.07</v>
      </c>
      <c r="L1867" s="218" t="s">
        <v>200</v>
      </c>
    </row>
    <row r="1868">
      <c r="A1868" s="223" t="s">
        <v>225</v>
      </c>
      <c r="B1868" s="223" t="s">
        <v>1257</v>
      </c>
      <c r="C1868" s="223" t="s">
        <v>1156</v>
      </c>
      <c r="D1868" s="320">
        <v>45138.0</v>
      </c>
      <c r="I1868" s="218">
        <v>1860.0</v>
      </c>
      <c r="J1868" s="317" t="s">
        <v>52</v>
      </c>
      <c r="K1868" s="319">
        <v>2023.07</v>
      </c>
      <c r="L1868" s="218" t="s">
        <v>200</v>
      </c>
    </row>
    <row r="1869">
      <c r="A1869" s="223" t="s">
        <v>695</v>
      </c>
      <c r="B1869" s="223" t="s">
        <v>1216</v>
      </c>
      <c r="C1869" s="223" t="s">
        <v>1451</v>
      </c>
      <c r="D1869" s="320">
        <v>45138.0</v>
      </c>
      <c r="I1869" s="218">
        <v>45.0</v>
      </c>
      <c r="J1869" s="317" t="s">
        <v>52</v>
      </c>
      <c r="K1869" s="319">
        <v>2023.07</v>
      </c>
      <c r="L1869" s="218" t="s">
        <v>200</v>
      </c>
    </row>
    <row r="1870">
      <c r="A1870" s="223" t="s">
        <v>499</v>
      </c>
      <c r="B1870" s="223" t="s">
        <v>1330</v>
      </c>
      <c r="C1870" s="223" t="s">
        <v>1375</v>
      </c>
      <c r="D1870" s="320">
        <v>45138.0</v>
      </c>
      <c r="I1870" s="218">
        <v>100.0</v>
      </c>
      <c r="J1870" s="317" t="s">
        <v>52</v>
      </c>
      <c r="K1870" s="319">
        <v>2023.07</v>
      </c>
      <c r="L1870" s="218" t="s">
        <v>200</v>
      </c>
    </row>
    <row r="1871">
      <c r="A1871" s="223" t="s">
        <v>810</v>
      </c>
      <c r="B1871" s="223" t="s">
        <v>1363</v>
      </c>
      <c r="C1871" s="223" t="s">
        <v>1393</v>
      </c>
      <c r="D1871" s="320">
        <v>45138.0</v>
      </c>
      <c r="I1871" s="218">
        <v>60.0</v>
      </c>
      <c r="J1871" s="317" t="s">
        <v>52</v>
      </c>
      <c r="K1871" s="319">
        <v>2023.07</v>
      </c>
      <c r="L1871" s="218" t="s">
        <v>200</v>
      </c>
    </row>
    <row r="1872">
      <c r="A1872" s="223" t="s">
        <v>762</v>
      </c>
      <c r="B1872" s="223" t="s">
        <v>1429</v>
      </c>
      <c r="C1872" s="223" t="s">
        <v>1432</v>
      </c>
      <c r="D1872" s="320">
        <v>45138.0</v>
      </c>
      <c r="I1872" s="218">
        <v>322.5</v>
      </c>
      <c r="J1872" s="317" t="s">
        <v>52</v>
      </c>
      <c r="K1872" s="319">
        <v>2023.07</v>
      </c>
      <c r="L1872" s="218" t="s">
        <v>200</v>
      </c>
    </row>
    <row r="1873">
      <c r="A1873" s="223" t="s">
        <v>788</v>
      </c>
      <c r="B1873" s="223" t="s">
        <v>1250</v>
      </c>
      <c r="C1873" s="223" t="s">
        <v>1470</v>
      </c>
      <c r="D1873" s="320">
        <v>45138.0</v>
      </c>
      <c r="I1873" s="218">
        <v>500.0</v>
      </c>
      <c r="J1873" s="317" t="s">
        <v>52</v>
      </c>
      <c r="K1873" s="319">
        <v>2023.07</v>
      </c>
      <c r="L1873" s="218" t="s">
        <v>200</v>
      </c>
    </row>
    <row r="1874">
      <c r="A1874" s="223" t="s">
        <v>795</v>
      </c>
      <c r="B1874" s="223" t="s">
        <v>1352</v>
      </c>
      <c r="C1874" s="223" t="s">
        <v>1393</v>
      </c>
      <c r="D1874" s="320">
        <v>45138.0</v>
      </c>
      <c r="I1874" s="218">
        <v>330.0</v>
      </c>
      <c r="J1874" s="317" t="s">
        <v>52</v>
      </c>
      <c r="K1874" s="319">
        <v>2023.07</v>
      </c>
      <c r="L1874" s="218" t="s">
        <v>200</v>
      </c>
    </row>
    <row r="1875">
      <c r="A1875" s="223" t="s">
        <v>861</v>
      </c>
      <c r="B1875" s="223" t="s">
        <v>1483</v>
      </c>
      <c r="C1875" s="223" t="s">
        <v>1393</v>
      </c>
      <c r="D1875" s="320">
        <v>45138.0</v>
      </c>
      <c r="I1875" s="218">
        <v>420.0</v>
      </c>
      <c r="J1875" s="317" t="s">
        <v>52</v>
      </c>
      <c r="K1875" s="319">
        <v>2023.07</v>
      </c>
      <c r="L1875" s="218" t="s">
        <v>200</v>
      </c>
    </row>
    <row r="1876">
      <c r="A1876" s="223" t="s">
        <v>963</v>
      </c>
      <c r="B1876" s="223" t="s">
        <v>1485</v>
      </c>
      <c r="C1876" s="223" t="s">
        <v>1393</v>
      </c>
      <c r="D1876" s="320">
        <v>45138.0</v>
      </c>
      <c r="I1876" s="218">
        <v>210.0</v>
      </c>
      <c r="J1876" s="317" t="s">
        <v>52</v>
      </c>
      <c r="K1876" s="319">
        <v>2023.07</v>
      </c>
      <c r="L1876" s="218" t="s">
        <v>200</v>
      </c>
    </row>
    <row r="1877">
      <c r="A1877" s="223" t="s">
        <v>966</v>
      </c>
      <c r="B1877" s="223" t="s">
        <v>1487</v>
      </c>
      <c r="C1877" s="223" t="s">
        <v>1510</v>
      </c>
      <c r="D1877" s="320">
        <v>45138.0</v>
      </c>
      <c r="I1877" s="218">
        <v>375.0</v>
      </c>
      <c r="J1877" s="317" t="s">
        <v>52</v>
      </c>
      <c r="K1877" s="319">
        <v>2023.07</v>
      </c>
      <c r="L1877" s="218" t="s">
        <v>200</v>
      </c>
    </row>
    <row r="1878">
      <c r="A1878" s="223" t="s">
        <v>979</v>
      </c>
      <c r="B1878" s="223" t="s">
        <v>1511</v>
      </c>
      <c r="C1878" s="223" t="s">
        <v>1512</v>
      </c>
      <c r="D1878" s="320">
        <v>45138.0</v>
      </c>
      <c r="I1878" s="218">
        <v>400.0</v>
      </c>
      <c r="J1878" s="317" t="s">
        <v>1160</v>
      </c>
      <c r="K1878" s="319">
        <v>2023.0</v>
      </c>
      <c r="L1878" s="218" t="s">
        <v>200</v>
      </c>
    </row>
    <row r="1879">
      <c r="A1879" s="223" t="s">
        <v>896</v>
      </c>
      <c r="B1879" s="223" t="s">
        <v>1501</v>
      </c>
      <c r="C1879" s="223" t="s">
        <v>1471</v>
      </c>
      <c r="D1879" s="320">
        <v>45138.0</v>
      </c>
      <c r="I1879" s="218">
        <v>400.0</v>
      </c>
      <c r="J1879" s="317" t="s">
        <v>1160</v>
      </c>
      <c r="K1879" s="319">
        <v>2023.0</v>
      </c>
      <c r="L1879" s="218" t="s">
        <v>200</v>
      </c>
    </row>
    <row r="1880">
      <c r="A1880" s="223" t="s">
        <v>92</v>
      </c>
      <c r="B1880" s="223" t="s">
        <v>1289</v>
      </c>
      <c r="C1880" s="223" t="s">
        <v>1156</v>
      </c>
      <c r="D1880" s="320">
        <v>45138.0</v>
      </c>
      <c r="I1880" s="218">
        <v>300.0</v>
      </c>
      <c r="J1880" s="317" t="s">
        <v>52</v>
      </c>
      <c r="K1880" s="319">
        <v>2023.07</v>
      </c>
      <c r="L1880" s="218" t="s">
        <v>200</v>
      </c>
    </row>
    <row r="1881">
      <c r="A1881" s="223" t="s">
        <v>695</v>
      </c>
      <c r="B1881" s="223" t="s">
        <v>1216</v>
      </c>
      <c r="C1881" s="223" t="s">
        <v>1451</v>
      </c>
      <c r="D1881" s="320">
        <v>45138.0</v>
      </c>
      <c r="I1881" s="218">
        <v>175.0</v>
      </c>
      <c r="J1881" s="317" t="s">
        <v>52</v>
      </c>
      <c r="K1881" s="319">
        <v>2023.07</v>
      </c>
      <c r="L1881" s="218" t="s">
        <v>200</v>
      </c>
    </row>
    <row r="1882">
      <c r="A1882" s="223" t="s">
        <v>82</v>
      </c>
      <c r="B1882" s="223" t="s">
        <v>1124</v>
      </c>
      <c r="C1882" s="223" t="s">
        <v>1156</v>
      </c>
      <c r="D1882" s="320">
        <v>45138.0</v>
      </c>
      <c r="I1882" s="218">
        <v>262.5</v>
      </c>
      <c r="J1882" s="317" t="s">
        <v>52</v>
      </c>
      <c r="K1882" s="319">
        <v>2023.07</v>
      </c>
      <c r="L1882" s="218" t="s">
        <v>200</v>
      </c>
    </row>
    <row r="1883">
      <c r="A1883" s="223" t="s">
        <v>795</v>
      </c>
      <c r="B1883" s="223" t="s">
        <v>1352</v>
      </c>
      <c r="C1883" s="223" t="s">
        <v>1393</v>
      </c>
      <c r="D1883" s="320">
        <v>45138.0</v>
      </c>
      <c r="I1883" s="218">
        <v>450.0</v>
      </c>
      <c r="J1883" s="317" t="s">
        <v>52</v>
      </c>
      <c r="K1883" s="319">
        <v>2023.07</v>
      </c>
      <c r="L1883" s="218" t="s">
        <v>200</v>
      </c>
    </row>
    <row r="1884">
      <c r="A1884" s="223" t="s">
        <v>1269</v>
      </c>
      <c r="B1884" s="223" t="s">
        <v>1264</v>
      </c>
      <c r="C1884" s="223" t="s">
        <v>1270</v>
      </c>
      <c r="D1884" s="320">
        <v>45138.0</v>
      </c>
      <c r="I1884" s="218">
        <v>300.0</v>
      </c>
      <c r="J1884" s="317" t="s">
        <v>1152</v>
      </c>
      <c r="K1884" s="319">
        <v>2023.0</v>
      </c>
      <c r="L1884" s="218" t="s">
        <v>200</v>
      </c>
    </row>
    <row r="1885">
      <c r="A1885" s="223" t="s">
        <v>115</v>
      </c>
      <c r="B1885" s="223" t="s">
        <v>1308</v>
      </c>
      <c r="C1885" s="223" t="s">
        <v>1156</v>
      </c>
      <c r="D1885" s="320">
        <v>45138.0</v>
      </c>
      <c r="I1885" s="218">
        <v>662.5</v>
      </c>
      <c r="J1885" s="317" t="s">
        <v>52</v>
      </c>
      <c r="K1885" s="319">
        <v>2023.07</v>
      </c>
      <c r="L1885" s="218" t="s">
        <v>200</v>
      </c>
    </row>
    <row r="1886">
      <c r="A1886" s="223" t="s">
        <v>118</v>
      </c>
      <c r="B1886" s="223" t="s">
        <v>1312</v>
      </c>
      <c r="C1886" s="223" t="s">
        <v>1156</v>
      </c>
      <c r="D1886" s="320">
        <v>45138.0</v>
      </c>
      <c r="I1886" s="218">
        <v>662.5</v>
      </c>
      <c r="J1886" s="317" t="s">
        <v>52</v>
      </c>
      <c r="K1886" s="319">
        <v>2023.07</v>
      </c>
      <c r="L1886" s="218" t="s">
        <v>200</v>
      </c>
    </row>
    <row r="1887">
      <c r="A1887" s="223" t="s">
        <v>92</v>
      </c>
      <c r="B1887" s="223" t="s">
        <v>1289</v>
      </c>
      <c r="C1887" s="223" t="s">
        <v>1156</v>
      </c>
      <c r="D1887" s="320">
        <v>45138.0</v>
      </c>
      <c r="I1887" s="218">
        <v>662.5</v>
      </c>
      <c r="J1887" s="317" t="s">
        <v>52</v>
      </c>
      <c r="K1887" s="319">
        <v>2023.07</v>
      </c>
      <c r="L1887" s="218" t="s">
        <v>200</v>
      </c>
    </row>
    <row r="1888">
      <c r="A1888" s="223" t="s">
        <v>123</v>
      </c>
      <c r="B1888" s="223" t="s">
        <v>1300</v>
      </c>
      <c r="C1888" s="223" t="s">
        <v>1156</v>
      </c>
      <c r="D1888" s="320">
        <v>45138.0</v>
      </c>
      <c r="I1888" s="218">
        <v>825.0</v>
      </c>
      <c r="J1888" s="317" t="s">
        <v>52</v>
      </c>
      <c r="K1888" s="319">
        <v>2023.07</v>
      </c>
      <c r="L1888" s="218" t="s">
        <v>200</v>
      </c>
    </row>
    <row r="1889">
      <c r="A1889" s="223" t="s">
        <v>62</v>
      </c>
      <c r="B1889" s="223" t="s">
        <v>1304</v>
      </c>
      <c r="C1889" s="223" t="s">
        <v>1156</v>
      </c>
      <c r="D1889" s="320">
        <v>45138.0</v>
      </c>
      <c r="I1889" s="218">
        <v>450.0</v>
      </c>
      <c r="J1889" s="317" t="s">
        <v>52</v>
      </c>
      <c r="K1889" s="319">
        <v>2023.07</v>
      </c>
      <c r="L1889" s="218" t="s">
        <v>200</v>
      </c>
    </row>
    <row r="1890">
      <c r="A1890" s="223" t="s">
        <v>102</v>
      </c>
      <c r="B1890" s="223" t="s">
        <v>1259</v>
      </c>
      <c r="C1890" s="223" t="s">
        <v>1156</v>
      </c>
      <c r="D1890" s="320">
        <v>45138.0</v>
      </c>
      <c r="I1890" s="218">
        <v>150.0</v>
      </c>
      <c r="J1890" s="317" t="s">
        <v>52</v>
      </c>
      <c r="K1890" s="319">
        <v>2023.07</v>
      </c>
      <c r="L1890" s="218" t="s">
        <v>200</v>
      </c>
    </row>
    <row r="1891">
      <c r="A1891" s="223" t="s">
        <v>42</v>
      </c>
      <c r="B1891" s="223" t="s">
        <v>1236</v>
      </c>
      <c r="C1891" s="223" t="s">
        <v>1156</v>
      </c>
      <c r="D1891" s="320">
        <v>45138.0</v>
      </c>
      <c r="I1891" s="218">
        <v>350.0</v>
      </c>
      <c r="J1891" s="317" t="s">
        <v>52</v>
      </c>
      <c r="K1891" s="319">
        <v>2023.07</v>
      </c>
      <c r="L1891" s="218" t="s">
        <v>200</v>
      </c>
    </row>
    <row r="1892">
      <c r="A1892" s="223" t="s">
        <v>54</v>
      </c>
      <c r="B1892" s="223" t="s">
        <v>1187</v>
      </c>
      <c r="C1892" s="223" t="s">
        <v>1156</v>
      </c>
      <c r="D1892" s="320">
        <v>45138.0</v>
      </c>
      <c r="I1892" s="218">
        <v>337.5</v>
      </c>
      <c r="J1892" s="317" t="s">
        <v>52</v>
      </c>
      <c r="K1892" s="319">
        <v>2023.07</v>
      </c>
      <c r="L1892" s="218" t="s">
        <v>200</v>
      </c>
    </row>
    <row r="1893">
      <c r="A1893" s="223" t="s">
        <v>120</v>
      </c>
      <c r="B1893" s="223" t="s">
        <v>1215</v>
      </c>
      <c r="C1893" s="223" t="s">
        <v>1156</v>
      </c>
      <c r="D1893" s="320">
        <v>45138.0</v>
      </c>
      <c r="I1893" s="218">
        <v>350.0</v>
      </c>
      <c r="J1893" s="317" t="s">
        <v>52</v>
      </c>
      <c r="K1893" s="319">
        <v>2023.07</v>
      </c>
      <c r="L1893" s="218" t="s">
        <v>200</v>
      </c>
    </row>
    <row r="1894">
      <c r="A1894" s="223" t="s">
        <v>499</v>
      </c>
      <c r="B1894" s="223" t="s">
        <v>1330</v>
      </c>
      <c r="C1894" s="223" t="s">
        <v>1375</v>
      </c>
      <c r="D1894" s="320">
        <v>45138.0</v>
      </c>
      <c r="I1894" s="218">
        <v>300.0</v>
      </c>
      <c r="J1894" s="317" t="s">
        <v>52</v>
      </c>
      <c r="K1894" s="319">
        <v>2023.07</v>
      </c>
      <c r="L1894" s="218" t="s">
        <v>200</v>
      </c>
    </row>
    <row r="1895">
      <c r="A1895" s="223" t="s">
        <v>966</v>
      </c>
      <c r="B1895" s="223" t="s">
        <v>1487</v>
      </c>
      <c r="C1895" s="223" t="s">
        <v>1510</v>
      </c>
      <c r="D1895" s="320">
        <v>45138.0</v>
      </c>
      <c r="I1895" s="218">
        <v>337.5</v>
      </c>
      <c r="J1895" s="317" t="s">
        <v>52</v>
      </c>
      <c r="K1895" s="319">
        <v>2023.07</v>
      </c>
      <c r="L1895" s="218" t="s">
        <v>200</v>
      </c>
    </row>
    <row r="1896">
      <c r="A1896" s="223" t="s">
        <v>788</v>
      </c>
      <c r="B1896" s="223" t="s">
        <v>1250</v>
      </c>
      <c r="C1896" s="223" t="s">
        <v>1470</v>
      </c>
      <c r="D1896" s="320">
        <v>45138.0</v>
      </c>
      <c r="I1896" s="218">
        <v>265.0</v>
      </c>
      <c r="J1896" s="317" t="s">
        <v>52</v>
      </c>
      <c r="K1896" s="319">
        <v>2023.07</v>
      </c>
      <c r="L1896" s="218" t="s">
        <v>200</v>
      </c>
    </row>
    <row r="1897">
      <c r="A1897" s="223" t="s">
        <v>662</v>
      </c>
      <c r="B1897" s="223" t="s">
        <v>1433</v>
      </c>
      <c r="C1897" s="223" t="s">
        <v>1434</v>
      </c>
      <c r="D1897" s="320">
        <v>45138.0</v>
      </c>
      <c r="I1897" s="218">
        <v>200.0</v>
      </c>
      <c r="J1897" s="317" t="s">
        <v>52</v>
      </c>
      <c r="K1897" s="319">
        <v>2023.07</v>
      </c>
      <c r="L1897" s="218" t="s">
        <v>200</v>
      </c>
    </row>
    <row r="1898">
      <c r="A1898" s="223" t="s">
        <v>148</v>
      </c>
      <c r="B1898" s="223" t="s">
        <v>1239</v>
      </c>
      <c r="C1898" s="223" t="s">
        <v>1190</v>
      </c>
      <c r="D1898" s="320">
        <v>45138.0</v>
      </c>
      <c r="I1898" s="218">
        <v>350.0</v>
      </c>
      <c r="J1898" s="317" t="s">
        <v>1160</v>
      </c>
      <c r="K1898" s="319">
        <v>2023.0</v>
      </c>
      <c r="L1898" s="218" t="s">
        <v>200</v>
      </c>
    </row>
    <row r="1899">
      <c r="A1899" s="223" t="s">
        <v>1066</v>
      </c>
      <c r="B1899" s="223" t="s">
        <v>1286</v>
      </c>
      <c r="C1899" s="223" t="s">
        <v>1168</v>
      </c>
      <c r="D1899" s="320">
        <v>45138.0</v>
      </c>
      <c r="I1899" s="218">
        <v>1265.0</v>
      </c>
      <c r="J1899" s="317" t="s">
        <v>1160</v>
      </c>
      <c r="K1899" s="319">
        <v>2023.0</v>
      </c>
      <c r="L1899" s="218" t="s">
        <v>200</v>
      </c>
    </row>
    <row r="1900">
      <c r="A1900" s="223" t="s">
        <v>1271</v>
      </c>
      <c r="B1900" s="223" t="s">
        <v>1264</v>
      </c>
      <c r="C1900" s="223" t="s">
        <v>1272</v>
      </c>
      <c r="D1900" s="320">
        <v>45158.0</v>
      </c>
      <c r="I1900" s="218">
        <v>14.55</v>
      </c>
      <c r="J1900" s="317" t="s">
        <v>1152</v>
      </c>
      <c r="K1900" s="319">
        <v>2023.0</v>
      </c>
      <c r="L1900" s="218" t="s">
        <v>200</v>
      </c>
    </row>
    <row r="1901">
      <c r="A1901" s="223" t="s">
        <v>1269</v>
      </c>
      <c r="B1901" s="223" t="s">
        <v>1264</v>
      </c>
      <c r="C1901" s="223" t="s">
        <v>1270</v>
      </c>
      <c r="D1901" s="320">
        <v>45158.0</v>
      </c>
      <c r="I1901" s="218">
        <v>39.52</v>
      </c>
      <c r="J1901" s="317" t="s">
        <v>1152</v>
      </c>
      <c r="K1901" s="319">
        <v>2023.0</v>
      </c>
      <c r="L1901" s="218" t="s">
        <v>200</v>
      </c>
    </row>
    <row r="1902">
      <c r="A1902" s="223" t="s">
        <v>1271</v>
      </c>
      <c r="B1902" s="223" t="s">
        <v>1264</v>
      </c>
      <c r="C1902" s="223" t="s">
        <v>1272</v>
      </c>
      <c r="D1902" s="320">
        <v>45158.0</v>
      </c>
      <c r="I1902" s="218">
        <v>69.89</v>
      </c>
      <c r="J1902" s="317" t="s">
        <v>1152</v>
      </c>
      <c r="K1902" s="319">
        <v>2023.0</v>
      </c>
      <c r="L1902" s="218" t="s">
        <v>200</v>
      </c>
    </row>
    <row r="1903">
      <c r="A1903" s="223" t="s">
        <v>1269</v>
      </c>
      <c r="B1903" s="223" t="s">
        <v>1264</v>
      </c>
      <c r="C1903" s="223" t="s">
        <v>1270</v>
      </c>
      <c r="D1903" s="320">
        <v>45158.0</v>
      </c>
      <c r="I1903" s="218">
        <v>639.32</v>
      </c>
      <c r="J1903" s="317" t="s">
        <v>1152</v>
      </c>
      <c r="K1903" s="319">
        <v>2023.0</v>
      </c>
      <c r="L1903" s="218" t="s">
        <v>200</v>
      </c>
    </row>
    <row r="1904">
      <c r="A1904" s="223" t="s">
        <v>1269</v>
      </c>
      <c r="B1904" s="223" t="s">
        <v>1264</v>
      </c>
      <c r="C1904" s="223" t="s">
        <v>1270</v>
      </c>
      <c r="D1904" s="320">
        <v>45158.0</v>
      </c>
      <c r="I1904" s="218">
        <v>216.01</v>
      </c>
      <c r="J1904" s="317" t="s">
        <v>1152</v>
      </c>
      <c r="K1904" s="319">
        <v>2023.0</v>
      </c>
      <c r="L1904" s="218" t="s">
        <v>200</v>
      </c>
    </row>
    <row r="1905">
      <c r="A1905" s="223" t="s">
        <v>1269</v>
      </c>
      <c r="B1905" s="223" t="s">
        <v>1264</v>
      </c>
      <c r="C1905" s="223" t="s">
        <v>1270</v>
      </c>
      <c r="D1905" s="320">
        <v>45158.0</v>
      </c>
      <c r="I1905" s="218">
        <v>216.27</v>
      </c>
      <c r="J1905" s="317" t="s">
        <v>1152</v>
      </c>
      <c r="K1905" s="319">
        <v>2023.0</v>
      </c>
      <c r="L1905" s="218" t="s">
        <v>200</v>
      </c>
    </row>
    <row r="1906">
      <c r="A1906" s="223" t="s">
        <v>115</v>
      </c>
      <c r="B1906" s="223" t="s">
        <v>1308</v>
      </c>
      <c r="C1906" s="223" t="s">
        <v>1156</v>
      </c>
      <c r="D1906" s="320">
        <v>45124.0</v>
      </c>
      <c r="I1906" s="218">
        <v>750.0</v>
      </c>
      <c r="J1906" s="317" t="s">
        <v>52</v>
      </c>
      <c r="K1906" s="319">
        <v>2023.07</v>
      </c>
      <c r="L1906" s="218">
        <v>750.0</v>
      </c>
    </row>
    <row r="1907">
      <c r="A1907" s="223" t="s">
        <v>92</v>
      </c>
      <c r="B1907" s="223" t="s">
        <v>1289</v>
      </c>
      <c r="C1907" s="223" t="s">
        <v>1156</v>
      </c>
      <c r="D1907" s="320">
        <v>45115.0</v>
      </c>
      <c r="I1907" s="218">
        <v>18.0</v>
      </c>
      <c r="J1907" s="317" t="s">
        <v>52</v>
      </c>
      <c r="K1907" s="319">
        <v>2023.07</v>
      </c>
      <c r="L1907" s="218">
        <v>18.0</v>
      </c>
    </row>
    <row r="1908">
      <c r="A1908" s="223" t="s">
        <v>92</v>
      </c>
      <c r="B1908" s="223" t="s">
        <v>1289</v>
      </c>
      <c r="C1908" s="223" t="s">
        <v>1156</v>
      </c>
      <c r="D1908" s="320">
        <v>45117.0</v>
      </c>
      <c r="I1908" s="218">
        <v>9.0</v>
      </c>
      <c r="J1908" s="317" t="s">
        <v>52</v>
      </c>
      <c r="K1908" s="319">
        <v>2023.07</v>
      </c>
      <c r="L1908" s="218">
        <v>9.0</v>
      </c>
    </row>
    <row r="1909">
      <c r="A1909" s="223" t="s">
        <v>118</v>
      </c>
      <c r="B1909" s="223" t="s">
        <v>1312</v>
      </c>
      <c r="C1909" s="223" t="s">
        <v>1156</v>
      </c>
      <c r="D1909" s="320">
        <v>45124.0</v>
      </c>
      <c r="I1909" s="218">
        <v>750.0</v>
      </c>
      <c r="J1909" s="317" t="s">
        <v>52</v>
      </c>
      <c r="K1909" s="319">
        <v>2023.07</v>
      </c>
      <c r="L1909" s="218">
        <v>750.0</v>
      </c>
    </row>
    <row r="1910">
      <c r="A1910" s="223" t="s">
        <v>92</v>
      </c>
      <c r="B1910" s="223" t="s">
        <v>1289</v>
      </c>
      <c r="C1910" s="223" t="s">
        <v>1156</v>
      </c>
      <c r="D1910" s="320">
        <v>45132.0</v>
      </c>
      <c r="I1910" s="218">
        <v>100.0</v>
      </c>
      <c r="J1910" s="317" t="s">
        <v>52</v>
      </c>
      <c r="K1910" s="319">
        <v>2023.07</v>
      </c>
      <c r="L1910" s="218">
        <v>100.0</v>
      </c>
    </row>
    <row r="1911">
      <c r="A1911" s="223" t="s">
        <v>1266</v>
      </c>
      <c r="B1911" s="223" t="s">
        <v>1264</v>
      </c>
      <c r="C1911" s="223" t="s">
        <v>1267</v>
      </c>
      <c r="D1911" s="320">
        <v>45139.0</v>
      </c>
      <c r="I1911" s="218">
        <v>484.55</v>
      </c>
      <c r="J1911" s="317" t="s">
        <v>1152</v>
      </c>
      <c r="K1911" s="319">
        <v>2023.0</v>
      </c>
      <c r="L1911" s="218" t="s">
        <v>200</v>
      </c>
    </row>
    <row r="1912">
      <c r="A1912" s="223" t="s">
        <v>115</v>
      </c>
      <c r="B1912" s="223" t="s">
        <v>1308</v>
      </c>
      <c r="C1912" s="223" t="s">
        <v>1156</v>
      </c>
      <c r="D1912" s="320">
        <v>45139.0</v>
      </c>
      <c r="I1912" s="218">
        <v>617.55</v>
      </c>
      <c r="J1912" s="317" t="s">
        <v>52</v>
      </c>
      <c r="K1912" s="319">
        <v>2023.08</v>
      </c>
      <c r="L1912" s="218">
        <v>617.55</v>
      </c>
    </row>
    <row r="1913">
      <c r="A1913" s="223" t="s">
        <v>118</v>
      </c>
      <c r="B1913" s="223" t="s">
        <v>1312</v>
      </c>
      <c r="C1913" s="223" t="s">
        <v>1156</v>
      </c>
      <c r="D1913" s="320">
        <v>45139.0</v>
      </c>
      <c r="I1913" s="218">
        <v>616.5</v>
      </c>
      <c r="J1913" s="317" t="s">
        <v>52</v>
      </c>
      <c r="K1913" s="319">
        <v>2023.08</v>
      </c>
      <c r="L1913" s="218">
        <v>616.5</v>
      </c>
    </row>
    <row r="1914">
      <c r="A1914" s="223" t="s">
        <v>918</v>
      </c>
      <c r="B1914" s="223" t="s">
        <v>1439</v>
      </c>
      <c r="C1914" s="223" t="s">
        <v>36</v>
      </c>
      <c r="D1914" s="320">
        <v>45138.0</v>
      </c>
      <c r="I1914" s="218">
        <v>207.67</v>
      </c>
      <c r="J1914" s="317" t="s">
        <v>1160</v>
      </c>
      <c r="K1914" s="319">
        <v>2023.0</v>
      </c>
      <c r="L1914" s="218" t="s">
        <v>200</v>
      </c>
    </row>
    <row r="1915">
      <c r="A1915" s="223" t="s">
        <v>835</v>
      </c>
      <c r="B1915" s="223" t="s">
        <v>1478</v>
      </c>
      <c r="C1915" s="223" t="s">
        <v>36</v>
      </c>
      <c r="D1915" s="320">
        <v>45138.0</v>
      </c>
      <c r="I1915" s="218">
        <v>35.61</v>
      </c>
      <c r="J1915" s="317" t="s">
        <v>1160</v>
      </c>
      <c r="K1915" s="319">
        <v>2023.0</v>
      </c>
      <c r="L1915" s="218" t="s">
        <v>200</v>
      </c>
    </row>
    <row r="1916">
      <c r="A1916" s="223" t="s">
        <v>1008</v>
      </c>
      <c r="B1916" s="223" t="s">
        <v>1516</v>
      </c>
      <c r="C1916" s="223" t="s">
        <v>1509</v>
      </c>
      <c r="D1916" s="320">
        <v>45138.0</v>
      </c>
      <c r="I1916" s="218">
        <v>155.92</v>
      </c>
      <c r="J1916" s="317" t="s">
        <v>1160</v>
      </c>
      <c r="K1916" s="319">
        <v>2023.0</v>
      </c>
      <c r="L1916" s="218" t="s">
        <v>200</v>
      </c>
    </row>
    <row r="1917">
      <c r="A1917" s="223" t="s">
        <v>587</v>
      </c>
      <c r="B1917" s="223" t="s">
        <v>1406</v>
      </c>
      <c r="C1917" s="223" t="s">
        <v>1403</v>
      </c>
      <c r="D1917" s="320">
        <v>45138.0</v>
      </c>
      <c r="I1917" s="218">
        <v>2.96</v>
      </c>
      <c r="J1917" s="317" t="s">
        <v>1160</v>
      </c>
      <c r="K1917" s="319">
        <v>2023.0</v>
      </c>
      <c r="L1917" s="218" t="s">
        <v>200</v>
      </c>
    </row>
    <row r="1918">
      <c r="A1918" s="223" t="s">
        <v>1011</v>
      </c>
      <c r="B1918" s="223" t="s">
        <v>1404</v>
      </c>
      <c r="C1918" s="223" t="s">
        <v>1518</v>
      </c>
      <c r="D1918" s="320">
        <v>45138.0</v>
      </c>
      <c r="I1918" s="218">
        <v>993.92</v>
      </c>
      <c r="J1918" s="317" t="s">
        <v>1160</v>
      </c>
      <c r="K1918" s="319">
        <v>2023.0</v>
      </c>
      <c r="L1918" s="218" t="s">
        <v>200</v>
      </c>
    </row>
    <row r="1919">
      <c r="A1919" s="223" t="s">
        <v>82</v>
      </c>
      <c r="B1919" s="223" t="s">
        <v>1124</v>
      </c>
      <c r="C1919" s="223" t="s">
        <v>1156</v>
      </c>
      <c r="D1919" s="320">
        <v>45138.0</v>
      </c>
      <c r="I1919" s="218">
        <v>80.53</v>
      </c>
      <c r="J1919" s="317" t="s">
        <v>52</v>
      </c>
      <c r="K1919" s="319">
        <v>2023.07</v>
      </c>
      <c r="L1919" s="218" t="s">
        <v>200</v>
      </c>
    </row>
    <row r="1920">
      <c r="A1920" s="223" t="s">
        <v>1014</v>
      </c>
      <c r="B1920" s="223" t="s">
        <v>1519</v>
      </c>
      <c r="C1920" s="223" t="s">
        <v>1509</v>
      </c>
      <c r="D1920" s="320">
        <v>45138.0</v>
      </c>
      <c r="I1920" s="218">
        <v>14.73</v>
      </c>
      <c r="J1920" s="317" t="s">
        <v>1160</v>
      </c>
      <c r="K1920" s="319">
        <v>2023.0</v>
      </c>
      <c r="L1920" s="218" t="s">
        <v>200</v>
      </c>
    </row>
    <row r="1921">
      <c r="A1921" s="223" t="s">
        <v>1266</v>
      </c>
      <c r="B1921" s="223" t="s">
        <v>1264</v>
      </c>
      <c r="C1921" s="223" t="s">
        <v>1267</v>
      </c>
      <c r="D1921" s="320">
        <v>45138.0</v>
      </c>
      <c r="I1921" s="218">
        <v>795.79</v>
      </c>
      <c r="J1921" s="317" t="s">
        <v>1152</v>
      </c>
      <c r="K1921" s="319">
        <v>2023.0</v>
      </c>
      <c r="L1921" s="218" t="s">
        <v>200</v>
      </c>
    </row>
    <row r="1922">
      <c r="A1922" s="223" t="s">
        <v>855</v>
      </c>
      <c r="B1922" s="223" t="s">
        <v>1283</v>
      </c>
      <c r="C1922" s="223" t="s">
        <v>1480</v>
      </c>
      <c r="D1922" s="320">
        <v>45138.0</v>
      </c>
      <c r="I1922" s="218">
        <v>6.65</v>
      </c>
      <c r="J1922" s="317" t="s">
        <v>52</v>
      </c>
      <c r="K1922" s="319">
        <v>2023.07</v>
      </c>
      <c r="L1922" s="218" t="s">
        <v>200</v>
      </c>
    </row>
    <row r="1923">
      <c r="A1923" s="223" t="s">
        <v>1066</v>
      </c>
      <c r="B1923" s="223" t="s">
        <v>1286</v>
      </c>
      <c r="C1923" s="223" t="s">
        <v>1168</v>
      </c>
      <c r="D1923" s="320">
        <v>45138.0</v>
      </c>
      <c r="I1923" s="218">
        <v>1492.62</v>
      </c>
      <c r="J1923" s="317" t="s">
        <v>1160</v>
      </c>
      <c r="K1923" s="319">
        <v>2023.0</v>
      </c>
      <c r="L1923" s="218" t="s">
        <v>200</v>
      </c>
    </row>
    <row r="1924">
      <c r="A1924" s="223" t="s">
        <v>92</v>
      </c>
      <c r="B1924" s="223" t="s">
        <v>1289</v>
      </c>
      <c r="C1924" s="223" t="s">
        <v>1156</v>
      </c>
      <c r="D1924" s="320">
        <v>45138.0</v>
      </c>
      <c r="I1924" s="218">
        <v>2.64</v>
      </c>
      <c r="J1924" s="317" t="s">
        <v>52</v>
      </c>
      <c r="K1924" s="319">
        <v>2023.07</v>
      </c>
      <c r="L1924" s="218" t="s">
        <v>200</v>
      </c>
    </row>
    <row r="1925">
      <c r="A1925" s="223" t="s">
        <v>586</v>
      </c>
      <c r="B1925" s="223" t="s">
        <v>1404</v>
      </c>
      <c r="C1925" s="223" t="s">
        <v>1403</v>
      </c>
      <c r="D1925" s="320">
        <v>45138.0</v>
      </c>
      <c r="I1925" s="218">
        <v>178.19</v>
      </c>
      <c r="J1925" s="317" t="s">
        <v>1160</v>
      </c>
      <c r="K1925" s="319">
        <v>2023.0</v>
      </c>
      <c r="L1925" s="218" t="s">
        <v>200</v>
      </c>
    </row>
    <row r="1926">
      <c r="A1926" s="223" t="s">
        <v>584</v>
      </c>
      <c r="B1926" s="223" t="s">
        <v>1398</v>
      </c>
      <c r="C1926" s="223" t="s">
        <v>1403</v>
      </c>
      <c r="D1926" s="320">
        <v>45138.0</v>
      </c>
      <c r="I1926" s="218">
        <v>5.56</v>
      </c>
      <c r="J1926" s="317" t="s">
        <v>1160</v>
      </c>
      <c r="K1926" s="319">
        <v>2023.0</v>
      </c>
      <c r="L1926" s="218" t="s">
        <v>200</v>
      </c>
    </row>
    <row r="1927">
      <c r="A1927" s="223" t="s">
        <v>115</v>
      </c>
      <c r="B1927" s="223" t="s">
        <v>1308</v>
      </c>
      <c r="C1927" s="223" t="s">
        <v>1156</v>
      </c>
      <c r="D1927" s="320">
        <v>45138.0</v>
      </c>
      <c r="I1927" s="218">
        <v>43.15</v>
      </c>
      <c r="J1927" s="317" t="s">
        <v>52</v>
      </c>
      <c r="K1927" s="319">
        <v>2023.07</v>
      </c>
      <c r="L1927" s="218" t="s">
        <v>200</v>
      </c>
    </row>
    <row r="1928">
      <c r="A1928" s="223" t="s">
        <v>118</v>
      </c>
      <c r="B1928" s="223" t="s">
        <v>1312</v>
      </c>
      <c r="C1928" s="223" t="s">
        <v>1156</v>
      </c>
      <c r="D1928" s="320">
        <v>45138.0</v>
      </c>
      <c r="I1928" s="218">
        <v>5.63</v>
      </c>
      <c r="J1928" s="317" t="s">
        <v>52</v>
      </c>
      <c r="K1928" s="319">
        <v>2023.07</v>
      </c>
      <c r="L1928" s="218" t="s">
        <v>200</v>
      </c>
    </row>
    <row r="1929">
      <c r="A1929" s="223" t="s">
        <v>1060</v>
      </c>
      <c r="B1929" s="223" t="s">
        <v>1532</v>
      </c>
      <c r="C1929" s="223" t="s">
        <v>1533</v>
      </c>
      <c r="D1929" s="320">
        <v>45169.0</v>
      </c>
      <c r="I1929" s="218">
        <v>750.0</v>
      </c>
      <c r="J1929" s="317" t="s">
        <v>1160</v>
      </c>
      <c r="K1929" s="319">
        <v>2023.0</v>
      </c>
      <c r="L1929" s="218" t="s">
        <v>200</v>
      </c>
    </row>
    <row r="1930">
      <c r="A1930" s="223" t="s">
        <v>97</v>
      </c>
      <c r="B1930" s="223" t="s">
        <v>1286</v>
      </c>
      <c r="C1930" s="223" t="s">
        <v>1156</v>
      </c>
      <c r="D1930" s="320">
        <v>45169.0</v>
      </c>
      <c r="I1930" s="218">
        <v>137.5</v>
      </c>
      <c r="J1930" s="317" t="s">
        <v>52</v>
      </c>
      <c r="K1930" s="319">
        <v>2023.08</v>
      </c>
      <c r="L1930" s="218" t="s">
        <v>200</v>
      </c>
    </row>
    <row r="1931">
      <c r="A1931" s="223" t="s">
        <v>88</v>
      </c>
      <c r="B1931" s="223" t="s">
        <v>1256</v>
      </c>
      <c r="C1931" s="223" t="s">
        <v>1156</v>
      </c>
      <c r="D1931" s="320">
        <v>45169.0</v>
      </c>
      <c r="I1931" s="218">
        <v>212.5</v>
      </c>
      <c r="J1931" s="317" t="s">
        <v>52</v>
      </c>
      <c r="K1931" s="319">
        <v>2023.08</v>
      </c>
      <c r="L1931" s="218" t="s">
        <v>200</v>
      </c>
    </row>
    <row r="1932">
      <c r="A1932" s="223" t="s">
        <v>73</v>
      </c>
      <c r="B1932" s="223" t="s">
        <v>1327</v>
      </c>
      <c r="C1932" s="223" t="s">
        <v>1156</v>
      </c>
      <c r="D1932" s="320">
        <v>45169.0</v>
      </c>
      <c r="I1932" s="218">
        <v>287.5</v>
      </c>
      <c r="J1932" s="317" t="s">
        <v>52</v>
      </c>
      <c r="K1932" s="319">
        <v>2023.08</v>
      </c>
      <c r="L1932" s="218" t="s">
        <v>200</v>
      </c>
    </row>
    <row r="1933">
      <c r="A1933" s="223" t="s">
        <v>223</v>
      </c>
      <c r="B1933" s="223" t="s">
        <v>1176</v>
      </c>
      <c r="C1933" s="223" t="s">
        <v>1156</v>
      </c>
      <c r="D1933" s="320">
        <v>45169.0</v>
      </c>
      <c r="I1933" s="218">
        <v>300.0</v>
      </c>
      <c r="J1933" s="317" t="s">
        <v>52</v>
      </c>
      <c r="K1933" s="319">
        <v>2023.08</v>
      </c>
      <c r="L1933" s="218" t="s">
        <v>200</v>
      </c>
    </row>
    <row r="1934">
      <c r="A1934" s="223" t="s">
        <v>50</v>
      </c>
      <c r="B1934" s="223" t="s">
        <v>1275</v>
      </c>
      <c r="C1934" s="223" t="s">
        <v>1156</v>
      </c>
      <c r="D1934" s="320">
        <v>45169.0</v>
      </c>
      <c r="I1934" s="218">
        <v>150.0</v>
      </c>
      <c r="J1934" s="317" t="s">
        <v>52</v>
      </c>
      <c r="K1934" s="319">
        <v>2023.08</v>
      </c>
      <c r="L1934" s="218" t="s">
        <v>200</v>
      </c>
    </row>
    <row r="1935">
      <c r="A1935" s="223" t="s">
        <v>810</v>
      </c>
      <c r="B1935" s="223" t="s">
        <v>1363</v>
      </c>
      <c r="C1935" s="223" t="s">
        <v>1393</v>
      </c>
      <c r="D1935" s="320">
        <v>45169.0</v>
      </c>
      <c r="I1935" s="218">
        <v>262.5</v>
      </c>
      <c r="J1935" s="317" t="s">
        <v>52</v>
      </c>
      <c r="K1935" s="319">
        <v>2023.08</v>
      </c>
      <c r="L1935" s="218" t="s">
        <v>200</v>
      </c>
    </row>
    <row r="1936">
      <c r="A1936" s="223" t="s">
        <v>1070</v>
      </c>
      <c r="B1936" s="223" t="s">
        <v>1540</v>
      </c>
      <c r="C1936" s="223" t="s">
        <v>1393</v>
      </c>
      <c r="D1936" s="320">
        <v>45169.0</v>
      </c>
      <c r="I1936" s="218">
        <v>225.0</v>
      </c>
      <c r="J1936" s="317" t="s">
        <v>52</v>
      </c>
      <c r="K1936" s="319">
        <v>2023.08</v>
      </c>
      <c r="L1936" s="218" t="s">
        <v>200</v>
      </c>
    </row>
    <row r="1937">
      <c r="A1937" s="223" t="s">
        <v>662</v>
      </c>
      <c r="B1937" s="223" t="s">
        <v>1433</v>
      </c>
      <c r="C1937" s="223" t="s">
        <v>1434</v>
      </c>
      <c r="D1937" s="320">
        <v>45169.0</v>
      </c>
      <c r="I1937" s="218">
        <v>550.0</v>
      </c>
      <c r="J1937" s="317" t="s">
        <v>52</v>
      </c>
      <c r="K1937" s="319">
        <v>2023.08</v>
      </c>
      <c r="L1937" s="218" t="s">
        <v>200</v>
      </c>
    </row>
    <row r="1938">
      <c r="A1938" s="223" t="s">
        <v>1041</v>
      </c>
      <c r="B1938" s="223" t="s">
        <v>1475</v>
      </c>
      <c r="C1938" s="223" t="s">
        <v>1525</v>
      </c>
      <c r="D1938" s="320">
        <v>45169.0</v>
      </c>
      <c r="I1938" s="218">
        <v>250.0</v>
      </c>
      <c r="J1938" s="317" t="s">
        <v>52</v>
      </c>
      <c r="K1938" s="319">
        <v>2023.08</v>
      </c>
      <c r="L1938" s="218" t="s">
        <v>200</v>
      </c>
    </row>
    <row r="1939">
      <c r="A1939" s="223"/>
      <c r="B1939" s="223" t="s">
        <v>200</v>
      </c>
      <c r="C1939" s="223"/>
      <c r="D1939" s="320"/>
      <c r="I1939" s="218"/>
      <c r="J1939" s="317" t="s">
        <v>200</v>
      </c>
      <c r="K1939" s="319" t="s">
        <v>200</v>
      </c>
      <c r="L1939" s="218" t="s">
        <v>200</v>
      </c>
    </row>
    <row r="1940">
      <c r="A1940" s="223"/>
      <c r="B1940" s="223" t="s">
        <v>200</v>
      </c>
      <c r="C1940" s="223"/>
      <c r="D1940" s="320"/>
      <c r="I1940" s="218"/>
      <c r="J1940" s="317" t="s">
        <v>200</v>
      </c>
      <c r="K1940" s="319" t="s">
        <v>200</v>
      </c>
      <c r="L1940" s="218" t="s">
        <v>200</v>
      </c>
    </row>
    <row r="1941">
      <c r="A1941" s="223"/>
      <c r="B1941" s="223" t="s">
        <v>200</v>
      </c>
      <c r="C1941" s="223"/>
      <c r="D1941" s="320"/>
      <c r="I1941" s="218"/>
      <c r="J1941" s="317" t="s">
        <v>200</v>
      </c>
      <c r="K1941" s="319" t="s">
        <v>200</v>
      </c>
      <c r="L1941" s="218" t="s">
        <v>200</v>
      </c>
    </row>
    <row r="1942">
      <c r="A1942" s="223"/>
      <c r="B1942" s="223" t="s">
        <v>200</v>
      </c>
      <c r="C1942" s="223"/>
      <c r="D1942" s="320"/>
      <c r="I1942" s="218"/>
      <c r="J1942" s="317" t="s">
        <v>200</v>
      </c>
      <c r="K1942" s="319" t="s">
        <v>200</v>
      </c>
      <c r="L1942" s="218" t="s">
        <v>200</v>
      </c>
    </row>
    <row r="1943">
      <c r="A1943" s="223"/>
      <c r="B1943" s="223" t="s">
        <v>200</v>
      </c>
      <c r="C1943" s="223"/>
      <c r="D1943" s="320"/>
      <c r="I1943" s="218"/>
      <c r="J1943" s="317" t="s">
        <v>200</v>
      </c>
      <c r="K1943" s="319" t="s">
        <v>200</v>
      </c>
      <c r="L1943" s="218" t="s">
        <v>200</v>
      </c>
    </row>
    <row r="1944">
      <c r="A1944" s="223"/>
      <c r="B1944" s="223" t="s">
        <v>200</v>
      </c>
      <c r="C1944" s="223"/>
      <c r="D1944" s="320"/>
      <c r="I1944" s="218"/>
      <c r="J1944" s="317" t="s">
        <v>200</v>
      </c>
      <c r="K1944" s="319" t="s">
        <v>200</v>
      </c>
      <c r="L1944" s="218" t="s">
        <v>200</v>
      </c>
    </row>
    <row r="1945">
      <c r="A1945" s="223"/>
      <c r="B1945" s="223" t="s">
        <v>200</v>
      </c>
      <c r="C1945" s="223"/>
      <c r="D1945" s="320"/>
      <c r="I1945" s="218"/>
      <c r="J1945" s="317" t="s">
        <v>200</v>
      </c>
      <c r="K1945" s="319" t="s">
        <v>200</v>
      </c>
      <c r="L1945" s="218" t="s">
        <v>200</v>
      </c>
    </row>
    <row r="1946">
      <c r="A1946" s="223"/>
      <c r="B1946" s="223" t="s">
        <v>200</v>
      </c>
      <c r="C1946" s="223"/>
      <c r="D1946" s="320"/>
      <c r="I1946" s="218"/>
      <c r="J1946" s="317" t="s">
        <v>200</v>
      </c>
      <c r="K1946" s="319" t="s">
        <v>200</v>
      </c>
      <c r="L1946" s="218" t="s">
        <v>200</v>
      </c>
    </row>
    <row r="1947">
      <c r="A1947" s="223"/>
      <c r="B1947" s="223" t="s">
        <v>200</v>
      </c>
      <c r="C1947" s="223"/>
      <c r="D1947" s="320"/>
      <c r="I1947" s="218"/>
      <c r="J1947" s="317" t="s">
        <v>200</v>
      </c>
      <c r="K1947" s="319" t="s">
        <v>200</v>
      </c>
      <c r="L1947" s="218" t="s">
        <v>200</v>
      </c>
    </row>
    <row r="1948">
      <c r="A1948" s="223"/>
      <c r="B1948" s="223" t="s">
        <v>200</v>
      </c>
      <c r="C1948" s="223"/>
      <c r="D1948" s="320"/>
      <c r="I1948" s="218"/>
      <c r="J1948" s="317" t="s">
        <v>200</v>
      </c>
      <c r="K1948" s="319" t="s">
        <v>200</v>
      </c>
      <c r="L1948" s="218" t="s">
        <v>200</v>
      </c>
    </row>
    <row r="1949">
      <c r="A1949" s="223"/>
      <c r="B1949" s="223" t="s">
        <v>200</v>
      </c>
      <c r="C1949" s="223"/>
      <c r="D1949" s="320"/>
      <c r="I1949" s="218"/>
      <c r="J1949" s="317" t="s">
        <v>200</v>
      </c>
      <c r="K1949" s="319" t="s">
        <v>200</v>
      </c>
      <c r="L1949" s="218" t="s">
        <v>200</v>
      </c>
    </row>
    <row r="1950">
      <c r="A1950" s="223"/>
      <c r="B1950" s="223" t="s">
        <v>200</v>
      </c>
      <c r="C1950" s="223"/>
      <c r="D1950" s="320"/>
      <c r="I1950" s="218"/>
      <c r="J1950" s="317" t="s">
        <v>200</v>
      </c>
      <c r="K1950" s="319" t="s">
        <v>200</v>
      </c>
      <c r="L1950" s="218" t="s">
        <v>200</v>
      </c>
    </row>
    <row r="1951">
      <c r="A1951" s="223"/>
      <c r="B1951" s="223" t="s">
        <v>200</v>
      </c>
      <c r="C1951" s="223"/>
      <c r="D1951" s="320"/>
      <c r="I1951" s="218"/>
      <c r="J1951" s="317" t="s">
        <v>200</v>
      </c>
      <c r="K1951" s="319" t="s">
        <v>200</v>
      </c>
      <c r="L1951" s="218" t="s">
        <v>200</v>
      </c>
    </row>
    <row r="1952">
      <c r="A1952" s="223"/>
      <c r="B1952" s="223" t="s">
        <v>200</v>
      </c>
      <c r="C1952" s="223"/>
      <c r="D1952" s="320"/>
      <c r="I1952" s="218"/>
      <c r="J1952" s="317" t="s">
        <v>200</v>
      </c>
      <c r="K1952" s="319" t="s">
        <v>200</v>
      </c>
      <c r="L1952" s="218" t="s">
        <v>200</v>
      </c>
    </row>
    <row r="1953">
      <c r="A1953" s="223"/>
      <c r="B1953" s="223" t="s">
        <v>200</v>
      </c>
      <c r="C1953" s="223"/>
      <c r="D1953" s="320"/>
      <c r="I1953" s="218"/>
      <c r="J1953" s="317" t="s">
        <v>200</v>
      </c>
      <c r="K1953" s="319" t="s">
        <v>200</v>
      </c>
      <c r="L1953" s="218" t="s">
        <v>200</v>
      </c>
    </row>
    <row r="1954">
      <c r="A1954" s="223"/>
      <c r="B1954" s="223" t="s">
        <v>200</v>
      </c>
      <c r="C1954" s="223"/>
      <c r="D1954" s="320"/>
      <c r="I1954" s="218"/>
      <c r="J1954" s="317" t="s">
        <v>200</v>
      </c>
      <c r="K1954" s="319" t="s">
        <v>200</v>
      </c>
      <c r="L1954" s="218" t="s">
        <v>200</v>
      </c>
    </row>
    <row r="1955">
      <c r="A1955" s="223"/>
      <c r="B1955" s="223" t="s">
        <v>200</v>
      </c>
      <c r="C1955" s="223"/>
      <c r="D1955" s="320"/>
      <c r="I1955" s="218"/>
      <c r="J1955" s="317" t="s">
        <v>200</v>
      </c>
      <c r="K1955" s="319" t="s">
        <v>200</v>
      </c>
      <c r="L1955" s="218" t="s">
        <v>200</v>
      </c>
    </row>
    <row r="1956">
      <c r="A1956" s="223"/>
      <c r="B1956" s="223" t="s">
        <v>200</v>
      </c>
      <c r="C1956" s="223"/>
      <c r="D1956" s="320"/>
      <c r="I1956" s="218"/>
      <c r="J1956" s="317" t="s">
        <v>200</v>
      </c>
      <c r="K1956" s="319" t="s">
        <v>200</v>
      </c>
      <c r="L1956" s="218" t="s">
        <v>200</v>
      </c>
    </row>
    <row r="1957">
      <c r="A1957" s="223"/>
      <c r="B1957" s="223" t="s">
        <v>200</v>
      </c>
      <c r="C1957" s="223"/>
      <c r="D1957" s="320"/>
      <c r="I1957" s="218"/>
      <c r="J1957" s="317" t="s">
        <v>200</v>
      </c>
      <c r="K1957" s="319" t="s">
        <v>200</v>
      </c>
      <c r="L1957" s="218" t="s">
        <v>200</v>
      </c>
    </row>
    <row r="1958">
      <c r="A1958" s="223"/>
      <c r="B1958" s="223" t="s">
        <v>200</v>
      </c>
      <c r="C1958" s="223"/>
      <c r="D1958" s="320"/>
      <c r="I1958" s="218"/>
      <c r="J1958" s="317" t="s">
        <v>200</v>
      </c>
      <c r="K1958" s="319" t="s">
        <v>200</v>
      </c>
      <c r="L1958" s="218" t="s">
        <v>200</v>
      </c>
    </row>
    <row r="1959">
      <c r="A1959" s="223"/>
      <c r="B1959" s="223" t="s">
        <v>200</v>
      </c>
      <c r="C1959" s="223"/>
      <c r="D1959" s="320"/>
      <c r="I1959" s="218"/>
      <c r="J1959" s="317" t="s">
        <v>200</v>
      </c>
      <c r="K1959" s="319" t="s">
        <v>200</v>
      </c>
      <c r="L1959" s="218" t="s">
        <v>200</v>
      </c>
    </row>
    <row r="1960">
      <c r="A1960" s="223"/>
      <c r="B1960" s="223" t="s">
        <v>200</v>
      </c>
      <c r="C1960" s="223"/>
      <c r="D1960" s="320"/>
      <c r="I1960" s="218"/>
      <c r="J1960" s="317" t="s">
        <v>200</v>
      </c>
      <c r="K1960" s="319" t="s">
        <v>200</v>
      </c>
      <c r="L1960" s="218" t="s">
        <v>200</v>
      </c>
    </row>
    <row r="1961">
      <c r="A1961" s="223"/>
      <c r="B1961" s="223" t="s">
        <v>200</v>
      </c>
      <c r="C1961" s="223"/>
      <c r="D1961" s="320"/>
      <c r="I1961" s="218"/>
      <c r="J1961" s="317" t="s">
        <v>200</v>
      </c>
      <c r="K1961" s="319" t="s">
        <v>200</v>
      </c>
      <c r="L1961" s="218" t="s">
        <v>200</v>
      </c>
    </row>
    <row r="1962">
      <c r="A1962" s="223"/>
      <c r="B1962" s="223" t="s">
        <v>200</v>
      </c>
      <c r="C1962" s="223"/>
      <c r="D1962" s="320"/>
      <c r="I1962" s="218"/>
      <c r="J1962" s="317" t="s">
        <v>200</v>
      </c>
      <c r="K1962" s="319" t="s">
        <v>200</v>
      </c>
      <c r="L1962" s="218" t="s">
        <v>200</v>
      </c>
    </row>
    <row r="1963">
      <c r="A1963" s="223"/>
      <c r="B1963" s="223" t="s">
        <v>200</v>
      </c>
      <c r="C1963" s="223"/>
      <c r="D1963" s="320"/>
      <c r="I1963" s="218"/>
      <c r="J1963" s="317" t="s">
        <v>200</v>
      </c>
      <c r="K1963" s="319" t="s">
        <v>200</v>
      </c>
      <c r="L1963" s="218" t="s">
        <v>200</v>
      </c>
    </row>
    <row r="1964">
      <c r="A1964" s="223"/>
      <c r="B1964" s="223" t="s">
        <v>200</v>
      </c>
      <c r="C1964" s="223"/>
      <c r="D1964" s="320"/>
      <c r="I1964" s="218"/>
      <c r="J1964" s="317" t="s">
        <v>200</v>
      </c>
      <c r="K1964" s="319" t="s">
        <v>200</v>
      </c>
      <c r="L1964" s="218" t="s">
        <v>200</v>
      </c>
    </row>
    <row r="1965">
      <c r="A1965" s="223"/>
      <c r="B1965" s="223" t="s">
        <v>200</v>
      </c>
      <c r="C1965" s="223"/>
      <c r="D1965" s="320"/>
      <c r="I1965" s="218"/>
      <c r="J1965" s="317" t="s">
        <v>200</v>
      </c>
      <c r="K1965" s="319" t="s">
        <v>200</v>
      </c>
      <c r="L1965" s="218" t="s">
        <v>200</v>
      </c>
    </row>
    <row r="1966">
      <c r="A1966" s="223"/>
      <c r="B1966" s="223" t="s">
        <v>200</v>
      </c>
      <c r="C1966" s="223"/>
      <c r="D1966" s="320"/>
      <c r="I1966" s="218"/>
      <c r="J1966" s="317" t="s">
        <v>200</v>
      </c>
      <c r="K1966" s="319" t="s">
        <v>200</v>
      </c>
      <c r="L1966" s="218" t="s">
        <v>200</v>
      </c>
    </row>
    <row r="1967">
      <c r="A1967" s="223"/>
      <c r="B1967" s="223" t="s">
        <v>200</v>
      </c>
      <c r="C1967" s="223"/>
      <c r="D1967" s="320"/>
      <c r="I1967" s="218"/>
      <c r="J1967" s="317" t="s">
        <v>200</v>
      </c>
      <c r="K1967" s="319" t="s">
        <v>200</v>
      </c>
      <c r="L1967" s="218" t="s">
        <v>200</v>
      </c>
    </row>
    <row r="1968">
      <c r="A1968" s="223"/>
      <c r="B1968" s="223" t="s">
        <v>200</v>
      </c>
      <c r="C1968" s="223"/>
      <c r="D1968" s="320"/>
      <c r="I1968" s="218"/>
      <c r="J1968" s="317" t="s">
        <v>200</v>
      </c>
      <c r="K1968" s="319" t="s">
        <v>200</v>
      </c>
      <c r="L1968" s="218" t="s">
        <v>200</v>
      </c>
    </row>
    <row r="1969">
      <c r="A1969" s="223"/>
      <c r="B1969" s="223" t="s">
        <v>200</v>
      </c>
      <c r="C1969" s="223"/>
      <c r="D1969" s="320"/>
      <c r="I1969" s="218"/>
      <c r="J1969" s="317" t="s">
        <v>200</v>
      </c>
      <c r="K1969" s="319" t="s">
        <v>200</v>
      </c>
      <c r="L1969" s="218" t="s">
        <v>200</v>
      </c>
    </row>
    <row r="1970">
      <c r="A1970" s="223"/>
      <c r="B1970" s="223" t="s">
        <v>200</v>
      </c>
      <c r="C1970" s="223"/>
      <c r="D1970" s="320"/>
      <c r="I1970" s="218"/>
      <c r="J1970" s="317" t="s">
        <v>200</v>
      </c>
      <c r="K1970" s="319" t="s">
        <v>200</v>
      </c>
      <c r="L1970" s="218" t="s">
        <v>200</v>
      </c>
    </row>
    <row r="1971">
      <c r="A1971" s="223"/>
      <c r="B1971" s="223" t="s">
        <v>200</v>
      </c>
      <c r="C1971" s="223"/>
      <c r="D1971" s="320"/>
      <c r="I1971" s="218"/>
      <c r="J1971" s="317" t="s">
        <v>200</v>
      </c>
      <c r="K1971" s="319" t="s">
        <v>200</v>
      </c>
      <c r="L1971" s="218" t="s">
        <v>200</v>
      </c>
    </row>
    <row r="1972">
      <c r="A1972" s="223"/>
      <c r="B1972" s="223" t="s">
        <v>200</v>
      </c>
      <c r="C1972" s="223"/>
      <c r="D1972" s="320"/>
      <c r="I1972" s="218"/>
      <c r="J1972" s="317" t="s">
        <v>200</v>
      </c>
      <c r="K1972" s="319" t="s">
        <v>200</v>
      </c>
      <c r="L1972" s="218" t="s">
        <v>200</v>
      </c>
    </row>
    <row r="1973">
      <c r="A1973" s="223"/>
      <c r="B1973" s="223" t="s">
        <v>200</v>
      </c>
      <c r="C1973" s="223"/>
      <c r="D1973" s="320"/>
      <c r="I1973" s="218"/>
      <c r="J1973" s="317" t="s">
        <v>200</v>
      </c>
      <c r="K1973" s="319" t="s">
        <v>200</v>
      </c>
      <c r="L1973" s="218" t="s">
        <v>200</v>
      </c>
    </row>
    <row r="1974">
      <c r="A1974" s="223"/>
      <c r="B1974" s="223" t="s">
        <v>200</v>
      </c>
      <c r="C1974" s="223"/>
      <c r="D1974" s="320"/>
      <c r="I1974" s="218"/>
      <c r="J1974" s="317" t="s">
        <v>200</v>
      </c>
      <c r="K1974" s="319" t="s">
        <v>200</v>
      </c>
      <c r="L1974" s="218" t="s">
        <v>200</v>
      </c>
    </row>
    <row r="1975">
      <c r="A1975" s="223"/>
      <c r="B1975" s="223" t="s">
        <v>200</v>
      </c>
      <c r="C1975" s="223"/>
      <c r="D1975" s="320"/>
      <c r="I1975" s="218"/>
      <c r="J1975" s="317" t="s">
        <v>200</v>
      </c>
      <c r="K1975" s="319" t="s">
        <v>200</v>
      </c>
      <c r="L1975" s="218" t="s">
        <v>200</v>
      </c>
    </row>
    <row r="1976">
      <c r="B1976" s="223" t="s">
        <v>200</v>
      </c>
      <c r="C1976" s="223"/>
      <c r="K1976" s="319"/>
      <c r="L1976" s="218"/>
    </row>
    <row r="1977">
      <c r="B1977" s="223" t="s">
        <v>200</v>
      </c>
      <c r="C1977" s="223"/>
      <c r="K1977" s="319"/>
      <c r="L1977" s="218"/>
    </row>
    <row r="1978">
      <c r="B1978" s="223" t="s">
        <v>200</v>
      </c>
      <c r="C1978" s="223"/>
      <c r="K1978" s="319"/>
      <c r="L1978" s="218"/>
    </row>
    <row r="1979">
      <c r="B1979" s="223" t="s">
        <v>200</v>
      </c>
      <c r="C1979" s="223"/>
      <c r="K1979" s="319"/>
      <c r="L1979" s="218"/>
    </row>
    <row r="1980">
      <c r="B1980" s="223" t="s">
        <v>200</v>
      </c>
      <c r="C1980" s="223"/>
      <c r="K1980" s="319"/>
      <c r="L1980" s="218"/>
    </row>
    <row r="1981">
      <c r="B1981" s="223" t="s">
        <v>200</v>
      </c>
      <c r="C1981" s="223"/>
      <c r="K1981" s="319"/>
      <c r="L1981" s="218"/>
    </row>
    <row r="1982">
      <c r="B1982" s="223" t="s">
        <v>200</v>
      </c>
      <c r="C1982" s="223"/>
      <c r="K1982" s="319"/>
      <c r="L1982" s="218"/>
    </row>
    <row r="1983">
      <c r="B1983" s="223" t="s">
        <v>200</v>
      </c>
      <c r="C1983" s="223"/>
      <c r="K1983" s="319"/>
      <c r="L1983" s="218"/>
    </row>
    <row r="1984">
      <c r="B1984" s="223" t="s">
        <v>200</v>
      </c>
      <c r="C1984" s="223"/>
      <c r="K1984" s="319"/>
      <c r="L1984" s="218"/>
    </row>
    <row r="1985">
      <c r="B1985" s="223" t="s">
        <v>200</v>
      </c>
      <c r="C1985" s="223"/>
      <c r="K1985" s="319"/>
      <c r="L1985" s="218"/>
    </row>
    <row r="1986">
      <c r="B1986" s="223" t="s">
        <v>200</v>
      </c>
      <c r="C1986" s="223"/>
      <c r="K1986" s="319"/>
      <c r="L1986" s="218"/>
    </row>
    <row r="1987">
      <c r="B1987" s="223" t="s">
        <v>200</v>
      </c>
      <c r="C1987" s="223"/>
      <c r="K1987" s="319"/>
      <c r="L1987" s="218"/>
    </row>
    <row r="1988">
      <c r="B1988" s="223" t="s">
        <v>200</v>
      </c>
      <c r="C1988" s="223"/>
      <c r="K1988" s="319"/>
      <c r="L1988" s="218"/>
    </row>
    <row r="1989">
      <c r="B1989" s="223" t="s">
        <v>200</v>
      </c>
      <c r="C1989" s="223"/>
      <c r="K1989" s="319"/>
      <c r="L1989" s="218"/>
    </row>
    <row r="1990">
      <c r="B1990" s="223" t="s">
        <v>200</v>
      </c>
      <c r="C1990" s="223"/>
      <c r="K1990" s="319"/>
      <c r="L1990" s="218"/>
    </row>
    <row r="1991">
      <c r="B1991" s="223" t="s">
        <v>200</v>
      </c>
      <c r="C1991" s="223"/>
      <c r="K1991" s="319"/>
      <c r="L1991" s="218"/>
    </row>
    <row r="1992">
      <c r="B1992" s="223" t="s">
        <v>200</v>
      </c>
      <c r="C1992" s="223"/>
      <c r="K1992" s="319"/>
      <c r="L1992" s="218"/>
    </row>
    <row r="1993">
      <c r="B1993" s="223" t="s">
        <v>200</v>
      </c>
      <c r="C1993" s="223"/>
      <c r="K1993" s="319"/>
      <c r="L1993" s="218"/>
    </row>
    <row r="1994">
      <c r="B1994" s="223" t="s">
        <v>200</v>
      </c>
      <c r="C1994" s="223"/>
      <c r="K1994" s="319"/>
      <c r="L1994" s="218"/>
    </row>
    <row r="1995">
      <c r="B1995" s="223" t="s">
        <v>200</v>
      </c>
      <c r="C1995" s="223"/>
      <c r="K1995" s="319"/>
      <c r="L1995" s="218"/>
    </row>
    <row r="1996">
      <c r="B1996" s="223" t="s">
        <v>200</v>
      </c>
      <c r="C1996" s="223"/>
      <c r="K1996" s="319"/>
      <c r="L1996" s="218"/>
    </row>
    <row r="1997">
      <c r="B1997" s="223" t="s">
        <v>200</v>
      </c>
      <c r="C1997" s="223"/>
      <c r="K1997" s="319"/>
      <c r="L1997" s="218"/>
    </row>
    <row r="1998">
      <c r="B1998" s="223" t="s">
        <v>200</v>
      </c>
      <c r="C1998" s="223"/>
      <c r="K1998" s="319"/>
      <c r="L1998" s="218"/>
    </row>
    <row r="1999">
      <c r="B1999" s="223" t="s">
        <v>200</v>
      </c>
      <c r="C1999" s="223"/>
      <c r="K1999" s="319"/>
      <c r="L1999" s="218"/>
    </row>
    <row r="2000">
      <c r="B2000" s="223" t="s">
        <v>200</v>
      </c>
      <c r="C2000" s="223"/>
      <c r="K2000" s="319"/>
      <c r="L2000" s="218"/>
    </row>
    <row r="2001">
      <c r="B2001" s="223" t="s">
        <v>200</v>
      </c>
      <c r="C2001" s="223"/>
      <c r="K2001" s="319"/>
      <c r="L2001" s="218"/>
    </row>
    <row r="2002">
      <c r="B2002" s="223" t="s">
        <v>200</v>
      </c>
      <c r="C2002" s="223"/>
      <c r="K2002" s="319"/>
      <c r="L2002" s="218"/>
    </row>
    <row r="2003">
      <c r="B2003" s="223" t="s">
        <v>200</v>
      </c>
      <c r="C2003" s="223"/>
      <c r="K2003" s="319"/>
      <c r="L2003" s="218"/>
    </row>
    <row r="2004">
      <c r="B2004" s="223" t="s">
        <v>200</v>
      </c>
      <c r="C2004" s="223"/>
      <c r="K2004" s="319"/>
      <c r="L2004" s="218"/>
    </row>
    <row r="2005">
      <c r="B2005" s="223" t="s">
        <v>200</v>
      </c>
      <c r="C2005" s="223"/>
      <c r="K2005" s="319"/>
      <c r="L2005" s="218"/>
    </row>
    <row r="2006">
      <c r="B2006" s="223" t="s">
        <v>200</v>
      </c>
      <c r="C2006" s="223"/>
      <c r="K2006" s="319"/>
      <c r="L2006" s="218"/>
    </row>
    <row r="2007">
      <c r="B2007" s="223" t="s">
        <v>200</v>
      </c>
      <c r="C2007" s="223"/>
      <c r="K2007" s="319"/>
      <c r="L2007" s="218"/>
    </row>
    <row r="2008">
      <c r="B2008" s="223" t="s">
        <v>200</v>
      </c>
      <c r="C2008" s="223"/>
      <c r="K2008" s="319"/>
      <c r="L2008" s="218"/>
    </row>
    <row r="2009">
      <c r="B2009" s="223" t="s">
        <v>200</v>
      </c>
      <c r="C2009" s="223"/>
      <c r="K2009" s="319"/>
      <c r="L2009" s="218"/>
    </row>
    <row r="2010">
      <c r="B2010" s="223" t="s">
        <v>200</v>
      </c>
      <c r="C2010" s="223"/>
      <c r="K2010" s="319"/>
      <c r="L2010" s="218"/>
    </row>
    <row r="2011">
      <c r="B2011" s="223" t="s">
        <v>200</v>
      </c>
      <c r="C2011" s="223"/>
      <c r="K2011" s="319"/>
      <c r="L2011" s="218"/>
    </row>
    <row r="2012">
      <c r="B2012" s="223" t="s">
        <v>200</v>
      </c>
      <c r="C2012" s="223"/>
      <c r="K2012" s="319"/>
      <c r="L2012" s="218"/>
    </row>
    <row r="2013">
      <c r="B2013" s="223" t="s">
        <v>200</v>
      </c>
      <c r="C2013" s="223"/>
      <c r="K2013" s="319"/>
      <c r="L2013" s="218"/>
    </row>
    <row r="2014">
      <c r="B2014" s="223" t="s">
        <v>200</v>
      </c>
      <c r="C2014" s="223"/>
      <c r="K2014" s="319"/>
      <c r="L2014" s="218"/>
    </row>
    <row r="2015">
      <c r="B2015" s="223" t="s">
        <v>200</v>
      </c>
      <c r="C2015" s="223"/>
      <c r="K2015" s="319"/>
      <c r="L2015" s="218"/>
    </row>
    <row r="2016">
      <c r="B2016" s="223" t="s">
        <v>200</v>
      </c>
      <c r="C2016" s="223"/>
      <c r="K2016" s="319"/>
      <c r="L2016" s="218"/>
    </row>
    <row r="2017">
      <c r="B2017" s="223" t="s">
        <v>200</v>
      </c>
      <c r="C2017" s="223"/>
      <c r="K2017" s="319"/>
      <c r="L2017" s="218"/>
    </row>
    <row r="2018">
      <c r="B2018" s="223" t="s">
        <v>200</v>
      </c>
      <c r="C2018" s="223"/>
      <c r="K2018" s="319"/>
      <c r="L2018" s="218"/>
    </row>
    <row r="2019">
      <c r="B2019" s="223" t="s">
        <v>200</v>
      </c>
      <c r="C2019" s="223"/>
      <c r="K2019" s="319"/>
      <c r="L2019" s="218"/>
    </row>
    <row r="2020">
      <c r="B2020" s="223" t="s">
        <v>200</v>
      </c>
      <c r="C2020" s="223"/>
      <c r="K2020" s="319"/>
      <c r="L2020" s="218"/>
    </row>
    <row r="2021">
      <c r="B2021" s="223" t="s">
        <v>200</v>
      </c>
      <c r="C2021" s="223"/>
      <c r="K2021" s="319"/>
      <c r="L2021" s="218"/>
    </row>
    <row r="2022">
      <c r="B2022" s="223" t="s">
        <v>200</v>
      </c>
      <c r="C2022" s="223"/>
      <c r="K2022" s="319"/>
      <c r="L2022" s="218"/>
    </row>
    <row r="2023">
      <c r="B2023" s="223" t="s">
        <v>200</v>
      </c>
      <c r="C2023" s="223"/>
      <c r="K2023" s="319"/>
      <c r="L2023" s="218"/>
    </row>
    <row r="2024">
      <c r="B2024" s="223" t="s">
        <v>200</v>
      </c>
      <c r="C2024" s="223"/>
      <c r="K2024" s="319"/>
      <c r="L2024" s="218"/>
    </row>
    <row r="2025">
      <c r="B2025" s="223" t="s">
        <v>200</v>
      </c>
      <c r="C2025" s="223"/>
      <c r="K2025" s="319"/>
      <c r="L2025" s="218"/>
    </row>
    <row r="2026">
      <c r="B2026" s="223" t="s">
        <v>200</v>
      </c>
      <c r="C2026" s="223"/>
      <c r="K2026" s="319"/>
      <c r="L2026" s="218"/>
    </row>
    <row r="2027">
      <c r="B2027" s="223" t="s">
        <v>200</v>
      </c>
      <c r="C2027" s="223"/>
      <c r="K2027" s="319"/>
      <c r="L2027" s="218"/>
    </row>
    <row r="2028">
      <c r="B2028" s="223" t="s">
        <v>200</v>
      </c>
      <c r="C2028" s="223"/>
      <c r="K2028" s="319"/>
      <c r="L2028" s="218"/>
    </row>
    <row r="2029">
      <c r="B2029" s="223" t="s">
        <v>200</v>
      </c>
      <c r="C2029" s="223"/>
      <c r="K2029" s="319"/>
      <c r="L2029" s="218"/>
    </row>
    <row r="2030">
      <c r="B2030" s="223" t="s">
        <v>200</v>
      </c>
      <c r="C2030" s="223"/>
      <c r="K2030" s="319"/>
      <c r="L2030" s="218"/>
    </row>
    <row r="2031">
      <c r="B2031" s="223" t="s">
        <v>200</v>
      </c>
      <c r="C2031" s="223"/>
      <c r="K2031" s="319"/>
      <c r="L2031" s="218"/>
    </row>
    <row r="2032">
      <c r="B2032" s="223" t="s">
        <v>200</v>
      </c>
      <c r="C2032" s="223"/>
      <c r="K2032" s="319"/>
      <c r="L2032" s="218"/>
    </row>
    <row r="2033">
      <c r="B2033" s="223" t="s">
        <v>200</v>
      </c>
      <c r="C2033" s="223"/>
      <c r="K2033" s="319"/>
      <c r="L2033" s="218"/>
    </row>
    <row r="2034">
      <c r="B2034" s="223" t="s">
        <v>200</v>
      </c>
      <c r="C2034" s="223"/>
      <c r="K2034" s="319"/>
      <c r="L2034" s="218"/>
    </row>
    <row r="2035">
      <c r="B2035" s="223" t="s">
        <v>200</v>
      </c>
      <c r="C2035" s="223"/>
      <c r="K2035" s="319"/>
      <c r="L2035" s="218"/>
    </row>
    <row r="2036">
      <c r="B2036" s="223" t="s">
        <v>200</v>
      </c>
      <c r="C2036" s="223"/>
      <c r="K2036" s="319"/>
      <c r="L2036" s="218"/>
    </row>
    <row r="2037">
      <c r="B2037" s="223" t="s">
        <v>200</v>
      </c>
      <c r="C2037" s="223"/>
      <c r="K2037" s="319"/>
      <c r="L2037" s="218"/>
    </row>
    <row r="2038">
      <c r="B2038" s="223" t="s">
        <v>200</v>
      </c>
      <c r="C2038" s="223"/>
      <c r="K2038" s="319"/>
      <c r="L2038" s="218"/>
    </row>
    <row r="2039">
      <c r="B2039" s="223" t="s">
        <v>200</v>
      </c>
      <c r="C2039" s="223"/>
      <c r="K2039" s="319"/>
      <c r="L2039" s="218"/>
    </row>
    <row r="2040">
      <c r="B2040" s="223" t="s">
        <v>200</v>
      </c>
      <c r="C2040" s="223"/>
      <c r="K2040" s="319"/>
      <c r="L2040" s="218"/>
    </row>
    <row r="2041">
      <c r="B2041" s="223" t="s">
        <v>200</v>
      </c>
      <c r="C2041" s="223"/>
      <c r="K2041" s="319"/>
      <c r="L2041" s="218"/>
    </row>
    <row r="2042">
      <c r="B2042" s="223" t="s">
        <v>200</v>
      </c>
      <c r="C2042" s="223"/>
      <c r="K2042" s="319"/>
      <c r="L2042" s="218"/>
    </row>
    <row r="2043">
      <c r="B2043" s="223" t="s">
        <v>200</v>
      </c>
      <c r="C2043" s="223"/>
      <c r="K2043" s="319"/>
      <c r="L2043" s="218"/>
    </row>
    <row r="2044">
      <c r="B2044" s="223" t="s">
        <v>200</v>
      </c>
      <c r="C2044" s="223"/>
      <c r="K2044" s="319"/>
      <c r="L2044" s="218"/>
    </row>
    <row r="2045">
      <c r="B2045" s="223" t="s">
        <v>200</v>
      </c>
      <c r="C2045" s="223"/>
      <c r="K2045" s="319"/>
      <c r="L2045" s="218"/>
    </row>
    <row r="2046">
      <c r="B2046" s="223" t="s">
        <v>200</v>
      </c>
      <c r="C2046" s="223"/>
      <c r="K2046" s="319"/>
      <c r="L2046" s="218"/>
    </row>
    <row r="2047">
      <c r="B2047" s="223" t="s">
        <v>200</v>
      </c>
      <c r="C2047" s="223"/>
      <c r="K2047" s="319"/>
      <c r="L2047" s="218"/>
    </row>
    <row r="2048">
      <c r="B2048" s="223" t="s">
        <v>200</v>
      </c>
      <c r="C2048" s="223"/>
      <c r="K2048" s="319"/>
      <c r="L2048" s="218"/>
    </row>
    <row r="2049">
      <c r="B2049" s="223" t="s">
        <v>200</v>
      </c>
      <c r="C2049" s="223"/>
      <c r="K2049" s="319"/>
      <c r="L2049" s="218"/>
    </row>
    <row r="2050">
      <c r="B2050" s="223" t="s">
        <v>200</v>
      </c>
      <c r="C2050" s="223"/>
      <c r="K2050" s="319"/>
      <c r="L2050" s="218"/>
    </row>
    <row r="2051">
      <c r="B2051" s="223" t="s">
        <v>200</v>
      </c>
      <c r="C2051" s="223"/>
      <c r="K2051" s="319"/>
      <c r="L2051" s="218"/>
    </row>
    <row r="2052">
      <c r="B2052" s="223" t="s">
        <v>200</v>
      </c>
      <c r="C2052" s="223"/>
      <c r="K2052" s="319"/>
      <c r="L2052" s="218"/>
    </row>
    <row r="2053">
      <c r="B2053" s="223" t="s">
        <v>200</v>
      </c>
      <c r="C2053" s="223"/>
      <c r="K2053" s="319"/>
      <c r="L2053" s="218"/>
    </row>
    <row r="2054">
      <c r="B2054" s="223" t="s">
        <v>200</v>
      </c>
      <c r="C2054" s="223"/>
      <c r="K2054" s="319"/>
      <c r="L2054" s="218"/>
    </row>
    <row r="2055">
      <c r="B2055" s="223" t="s">
        <v>200</v>
      </c>
      <c r="C2055" s="223"/>
      <c r="K2055" s="319"/>
      <c r="L2055" s="218"/>
    </row>
    <row r="2056">
      <c r="B2056" s="223" t="s">
        <v>200</v>
      </c>
      <c r="C2056" s="223"/>
      <c r="K2056" s="319"/>
      <c r="L2056" s="218"/>
    </row>
    <row r="2057">
      <c r="B2057" s="223" t="s">
        <v>200</v>
      </c>
      <c r="C2057" s="223"/>
      <c r="K2057" s="319"/>
      <c r="L2057" s="218"/>
    </row>
    <row r="2058">
      <c r="B2058" s="223" t="s">
        <v>200</v>
      </c>
      <c r="C2058" s="223"/>
      <c r="K2058" s="319"/>
      <c r="L2058" s="218"/>
    </row>
    <row r="2059">
      <c r="B2059" s="223" t="s">
        <v>200</v>
      </c>
      <c r="C2059" s="223"/>
      <c r="K2059" s="319"/>
      <c r="L2059" s="218"/>
    </row>
    <row r="2060">
      <c r="B2060" s="223" t="s">
        <v>200</v>
      </c>
      <c r="C2060" s="223"/>
      <c r="K2060" s="319"/>
      <c r="L2060" s="218"/>
    </row>
    <row r="2061">
      <c r="B2061" s="223" t="s">
        <v>200</v>
      </c>
      <c r="C2061" s="223"/>
      <c r="K2061" s="319"/>
      <c r="L2061" s="218"/>
    </row>
    <row r="2062">
      <c r="B2062" s="223" t="s">
        <v>200</v>
      </c>
      <c r="C2062" s="223"/>
      <c r="K2062" s="319"/>
      <c r="L2062" s="218"/>
    </row>
    <row r="2063">
      <c r="B2063" s="223" t="s">
        <v>200</v>
      </c>
      <c r="C2063" s="223"/>
      <c r="K2063" s="319"/>
      <c r="L2063" s="218"/>
    </row>
    <row r="2064">
      <c r="B2064" s="223" t="s">
        <v>200</v>
      </c>
      <c r="C2064" s="223"/>
      <c r="K2064" s="319"/>
      <c r="L2064" s="218"/>
    </row>
    <row r="2065">
      <c r="B2065" s="223" t="s">
        <v>200</v>
      </c>
      <c r="C2065" s="223"/>
      <c r="K2065" s="319"/>
      <c r="L2065" s="218"/>
    </row>
    <row r="2066">
      <c r="B2066" s="223" t="s">
        <v>200</v>
      </c>
      <c r="C2066" s="223"/>
      <c r="K2066" s="319"/>
      <c r="L2066" s="218"/>
    </row>
    <row r="2067">
      <c r="B2067" s="223" t="s">
        <v>200</v>
      </c>
      <c r="C2067" s="223"/>
      <c r="K2067" s="319"/>
      <c r="L2067" s="218"/>
    </row>
    <row r="2068">
      <c r="B2068" s="223" t="s">
        <v>200</v>
      </c>
      <c r="C2068" s="223"/>
      <c r="K2068" s="319"/>
      <c r="L2068" s="218"/>
    </row>
    <row r="2069">
      <c r="B2069" s="223" t="s">
        <v>200</v>
      </c>
      <c r="C2069" s="223"/>
      <c r="K2069" s="319"/>
      <c r="L2069" s="218"/>
    </row>
    <row r="2070">
      <c r="B2070" s="223" t="s">
        <v>200</v>
      </c>
      <c r="C2070" s="223"/>
      <c r="K2070" s="319"/>
      <c r="L2070" s="218"/>
    </row>
    <row r="2071">
      <c r="B2071" s="223" t="s">
        <v>200</v>
      </c>
      <c r="C2071" s="223"/>
      <c r="K2071" s="319"/>
      <c r="L2071" s="218"/>
    </row>
    <row r="2072">
      <c r="B2072" s="223" t="s">
        <v>200</v>
      </c>
      <c r="C2072" s="223"/>
      <c r="K2072" s="319"/>
      <c r="L2072" s="218"/>
    </row>
    <row r="2073">
      <c r="B2073" s="223" t="s">
        <v>200</v>
      </c>
      <c r="C2073" s="223"/>
      <c r="K2073" s="319"/>
      <c r="L2073" s="218"/>
    </row>
    <row r="2074">
      <c r="B2074" s="223" t="s">
        <v>200</v>
      </c>
      <c r="C2074" s="223"/>
      <c r="K2074" s="319"/>
      <c r="L2074" s="218"/>
    </row>
    <row r="2075">
      <c r="B2075" s="223" t="s">
        <v>200</v>
      </c>
      <c r="C2075" s="223"/>
      <c r="K2075" s="319"/>
      <c r="L2075" s="218"/>
    </row>
    <row r="2076">
      <c r="B2076" s="223" t="s">
        <v>200</v>
      </c>
      <c r="C2076" s="223"/>
      <c r="K2076" s="319"/>
      <c r="L2076" s="218"/>
    </row>
    <row r="2077">
      <c r="B2077" s="223" t="s">
        <v>200</v>
      </c>
      <c r="C2077" s="223"/>
      <c r="K2077" s="319"/>
      <c r="L2077" s="218"/>
    </row>
    <row r="2078">
      <c r="B2078" s="223" t="s">
        <v>200</v>
      </c>
      <c r="C2078" s="223"/>
      <c r="K2078" s="319"/>
      <c r="L2078" s="218"/>
    </row>
    <row r="2079">
      <c r="B2079" s="223" t="s">
        <v>200</v>
      </c>
      <c r="C2079" s="223"/>
      <c r="K2079" s="319"/>
      <c r="L2079" s="218"/>
    </row>
    <row r="2080">
      <c r="B2080" s="223" t="s">
        <v>200</v>
      </c>
      <c r="C2080" s="223"/>
      <c r="K2080" s="319"/>
      <c r="L2080" s="218"/>
    </row>
    <row r="2081">
      <c r="B2081" s="223" t="s">
        <v>200</v>
      </c>
      <c r="C2081" s="223"/>
      <c r="K2081" s="319"/>
      <c r="L2081" s="218"/>
    </row>
    <row r="2082">
      <c r="B2082" s="223" t="s">
        <v>200</v>
      </c>
      <c r="C2082" s="223"/>
      <c r="K2082" s="319"/>
      <c r="L2082" s="218"/>
    </row>
    <row r="2083">
      <c r="B2083" s="223" t="s">
        <v>200</v>
      </c>
      <c r="C2083" s="223"/>
      <c r="K2083" s="319"/>
      <c r="L2083" s="218"/>
    </row>
    <row r="2084">
      <c r="B2084" s="223" t="s">
        <v>200</v>
      </c>
      <c r="C2084" s="223"/>
      <c r="K2084" s="319"/>
      <c r="L2084" s="218"/>
    </row>
    <row r="2085">
      <c r="B2085" s="223" t="s">
        <v>200</v>
      </c>
      <c r="C2085" s="223"/>
      <c r="K2085" s="319"/>
      <c r="L2085" s="218"/>
    </row>
    <row r="2086">
      <c r="B2086" s="223" t="s">
        <v>200</v>
      </c>
      <c r="C2086" s="223"/>
      <c r="K2086" s="319"/>
      <c r="L2086" s="218"/>
    </row>
    <row r="2087">
      <c r="B2087" s="223" t="s">
        <v>200</v>
      </c>
      <c r="C2087" s="223"/>
      <c r="K2087" s="319"/>
      <c r="L2087" s="218"/>
    </row>
    <row r="2088">
      <c r="B2088" s="223" t="s">
        <v>200</v>
      </c>
      <c r="C2088" s="223"/>
      <c r="K2088" s="319"/>
      <c r="L2088" s="218"/>
    </row>
    <row r="2089">
      <c r="B2089" s="223" t="s">
        <v>200</v>
      </c>
      <c r="C2089" s="223"/>
      <c r="K2089" s="319"/>
      <c r="L2089" s="218"/>
    </row>
    <row r="2090">
      <c r="B2090" s="223" t="s">
        <v>200</v>
      </c>
      <c r="C2090" s="223"/>
      <c r="K2090" s="319"/>
      <c r="L2090" s="218"/>
    </row>
    <row r="2091">
      <c r="B2091" s="223" t="s">
        <v>200</v>
      </c>
      <c r="C2091" s="223"/>
      <c r="K2091" s="319"/>
      <c r="L2091" s="218"/>
    </row>
    <row r="2092">
      <c r="B2092" s="223" t="s">
        <v>200</v>
      </c>
      <c r="C2092" s="223"/>
      <c r="K2092" s="319"/>
      <c r="L2092" s="218"/>
    </row>
    <row r="2093">
      <c r="B2093" s="223" t="s">
        <v>200</v>
      </c>
      <c r="C2093" s="223"/>
      <c r="K2093" s="319"/>
      <c r="L2093" s="218"/>
    </row>
    <row r="2094">
      <c r="B2094" s="223" t="s">
        <v>200</v>
      </c>
      <c r="C2094" s="223"/>
      <c r="K2094" s="319"/>
      <c r="L2094" s="218"/>
    </row>
    <row r="2095">
      <c r="B2095" s="223" t="s">
        <v>200</v>
      </c>
      <c r="C2095" s="223"/>
      <c r="K2095" s="319"/>
      <c r="L2095" s="218"/>
    </row>
    <row r="2096">
      <c r="B2096" s="223" t="s">
        <v>200</v>
      </c>
      <c r="C2096" s="223"/>
      <c r="K2096" s="319"/>
      <c r="L2096" s="218"/>
    </row>
    <row r="2097">
      <c r="B2097" s="223" t="s">
        <v>200</v>
      </c>
      <c r="C2097" s="223"/>
      <c r="K2097" s="319"/>
      <c r="L2097" s="218"/>
    </row>
    <row r="2098">
      <c r="B2098" s="223" t="s">
        <v>200</v>
      </c>
      <c r="C2098" s="223"/>
      <c r="K2098" s="319"/>
      <c r="L2098" s="218"/>
    </row>
    <row r="2099">
      <c r="B2099" s="223" t="s">
        <v>200</v>
      </c>
      <c r="C2099" s="223"/>
      <c r="K2099" s="319"/>
      <c r="L2099" s="218"/>
    </row>
    <row r="2100">
      <c r="B2100" s="223" t="s">
        <v>200</v>
      </c>
      <c r="C2100" s="223"/>
      <c r="K2100" s="319"/>
      <c r="L2100" s="218"/>
    </row>
    <row r="2101">
      <c r="B2101" s="223" t="s">
        <v>200</v>
      </c>
      <c r="C2101" s="223"/>
      <c r="K2101" s="319"/>
      <c r="L2101" s="218"/>
    </row>
    <row r="2102">
      <c r="B2102" s="223" t="s">
        <v>200</v>
      </c>
      <c r="C2102" s="223"/>
      <c r="K2102" s="319"/>
      <c r="L2102" s="218"/>
    </row>
    <row r="2103">
      <c r="B2103" s="223" t="s">
        <v>200</v>
      </c>
      <c r="C2103" s="223"/>
      <c r="K2103" s="319"/>
      <c r="L2103" s="218"/>
    </row>
    <row r="2104">
      <c r="B2104" s="223" t="s">
        <v>200</v>
      </c>
      <c r="C2104" s="223"/>
      <c r="K2104" s="319"/>
      <c r="L2104" s="218"/>
    </row>
    <row r="2105">
      <c r="B2105" s="223" t="s">
        <v>200</v>
      </c>
      <c r="C2105" s="223"/>
      <c r="K2105" s="319"/>
      <c r="L2105" s="218"/>
    </row>
    <row r="2106">
      <c r="B2106" s="223" t="s">
        <v>200</v>
      </c>
      <c r="C2106" s="223"/>
      <c r="K2106" s="319"/>
      <c r="L2106" s="218"/>
    </row>
    <row r="2107">
      <c r="B2107" s="223" t="s">
        <v>200</v>
      </c>
      <c r="C2107" s="223"/>
      <c r="K2107" s="319"/>
      <c r="L2107" s="218"/>
    </row>
    <row r="2108">
      <c r="B2108" s="223" t="s">
        <v>200</v>
      </c>
      <c r="C2108" s="223"/>
      <c r="K2108" s="319"/>
      <c r="L2108" s="218"/>
    </row>
    <row r="2109">
      <c r="B2109" s="223" t="s">
        <v>200</v>
      </c>
      <c r="C2109" s="223"/>
      <c r="K2109" s="319"/>
      <c r="L2109" s="218"/>
    </row>
    <row r="2110">
      <c r="B2110" s="223" t="s">
        <v>200</v>
      </c>
      <c r="C2110" s="223"/>
      <c r="K2110" s="319"/>
      <c r="L2110" s="218"/>
    </row>
    <row r="2111">
      <c r="B2111" s="223" t="s">
        <v>200</v>
      </c>
      <c r="C2111" s="223"/>
      <c r="K2111" s="319"/>
      <c r="L2111" s="218"/>
    </row>
    <row r="2112">
      <c r="B2112" s="223" t="s">
        <v>200</v>
      </c>
      <c r="C2112" s="223"/>
      <c r="K2112" s="319"/>
      <c r="L2112" s="218"/>
    </row>
    <row r="2113">
      <c r="B2113" s="223" t="s">
        <v>200</v>
      </c>
      <c r="C2113" s="223"/>
      <c r="K2113" s="319"/>
      <c r="L2113" s="218"/>
    </row>
    <row r="2114">
      <c r="B2114" s="223" t="s">
        <v>200</v>
      </c>
      <c r="C2114" s="223"/>
      <c r="K2114" s="319"/>
      <c r="L2114" s="218"/>
    </row>
    <row r="2115">
      <c r="B2115" s="223" t="s">
        <v>200</v>
      </c>
      <c r="C2115" s="223"/>
      <c r="K2115" s="319"/>
      <c r="L2115" s="218"/>
    </row>
    <row r="2116">
      <c r="B2116" s="223" t="s">
        <v>200</v>
      </c>
      <c r="C2116" s="223"/>
      <c r="K2116" s="319"/>
      <c r="L2116" s="218"/>
    </row>
    <row r="2117">
      <c r="B2117" s="223" t="s">
        <v>200</v>
      </c>
      <c r="C2117" s="223"/>
      <c r="K2117" s="319"/>
      <c r="L2117" s="218"/>
    </row>
    <row r="2118">
      <c r="B2118" s="223" t="s">
        <v>200</v>
      </c>
      <c r="C2118" s="223"/>
      <c r="K2118" s="319"/>
      <c r="L2118" s="218"/>
    </row>
    <row r="2119">
      <c r="B2119" s="223" t="s">
        <v>200</v>
      </c>
      <c r="C2119" s="223"/>
      <c r="K2119" s="319"/>
      <c r="L2119" s="218"/>
    </row>
    <row r="2120">
      <c r="B2120" s="223" t="s">
        <v>200</v>
      </c>
      <c r="C2120" s="223"/>
      <c r="K2120" s="319"/>
      <c r="L2120" s="218"/>
    </row>
    <row r="2121">
      <c r="B2121" s="223" t="s">
        <v>200</v>
      </c>
      <c r="C2121" s="223"/>
      <c r="K2121" s="319"/>
      <c r="L2121" s="218"/>
    </row>
    <row r="2122">
      <c r="B2122" s="223" t="s">
        <v>200</v>
      </c>
      <c r="C2122" s="223"/>
      <c r="K2122" s="319"/>
      <c r="L2122" s="218"/>
    </row>
    <row r="2123">
      <c r="B2123" s="223" t="s">
        <v>200</v>
      </c>
      <c r="C2123" s="223"/>
      <c r="K2123" s="319"/>
      <c r="L2123" s="218"/>
    </row>
    <row r="2124">
      <c r="B2124" s="223" t="s">
        <v>200</v>
      </c>
      <c r="C2124" s="223"/>
      <c r="K2124" s="319"/>
      <c r="L2124" s="218"/>
    </row>
    <row r="2125">
      <c r="B2125" s="223" t="s">
        <v>200</v>
      </c>
      <c r="C2125" s="223"/>
      <c r="K2125" s="319"/>
      <c r="L2125" s="218"/>
    </row>
    <row r="2126">
      <c r="B2126" s="223" t="s">
        <v>200</v>
      </c>
      <c r="C2126" s="223"/>
      <c r="K2126" s="319"/>
      <c r="L2126" s="218"/>
    </row>
    <row r="2127">
      <c r="B2127" s="223" t="s">
        <v>200</v>
      </c>
      <c r="C2127" s="223"/>
      <c r="K2127" s="319"/>
      <c r="L2127" s="218"/>
    </row>
    <row r="2128">
      <c r="B2128" s="223" t="s">
        <v>200</v>
      </c>
      <c r="C2128" s="223"/>
      <c r="K2128" s="319"/>
      <c r="L2128" s="218"/>
    </row>
    <row r="2129">
      <c r="B2129" s="223" t="s">
        <v>200</v>
      </c>
      <c r="C2129" s="223"/>
      <c r="K2129" s="319"/>
      <c r="L2129" s="218"/>
    </row>
    <row r="2130">
      <c r="B2130" s="223" t="s">
        <v>200</v>
      </c>
      <c r="C2130" s="223"/>
      <c r="K2130" s="319"/>
      <c r="L2130" s="218"/>
    </row>
    <row r="2131">
      <c r="B2131" s="223" t="s">
        <v>200</v>
      </c>
      <c r="C2131" s="223"/>
      <c r="K2131" s="319"/>
      <c r="L2131" s="218"/>
    </row>
    <row r="2132">
      <c r="B2132" s="223" t="s">
        <v>200</v>
      </c>
      <c r="C2132" s="223"/>
      <c r="K2132" s="319"/>
      <c r="L2132" s="218"/>
    </row>
    <row r="2133">
      <c r="B2133" s="223" t="s">
        <v>200</v>
      </c>
      <c r="C2133" s="223"/>
      <c r="K2133" s="319"/>
      <c r="L2133" s="218"/>
    </row>
    <row r="2134">
      <c r="B2134" s="223" t="s">
        <v>200</v>
      </c>
      <c r="C2134" s="223"/>
      <c r="K2134" s="319"/>
      <c r="L2134" s="218"/>
    </row>
    <row r="2135">
      <c r="B2135" s="223" t="s">
        <v>200</v>
      </c>
      <c r="C2135" s="223"/>
      <c r="K2135" s="319"/>
      <c r="L2135" s="218"/>
    </row>
    <row r="2136">
      <c r="B2136" s="223" t="s">
        <v>200</v>
      </c>
      <c r="C2136" s="223"/>
      <c r="K2136" s="319"/>
      <c r="L2136" s="218"/>
    </row>
    <row r="2137">
      <c r="B2137" s="223" t="s">
        <v>200</v>
      </c>
      <c r="C2137" s="223"/>
      <c r="K2137" s="319"/>
      <c r="L2137" s="218"/>
    </row>
    <row r="2138">
      <c r="B2138" s="223" t="s">
        <v>200</v>
      </c>
      <c r="C2138" s="223"/>
      <c r="K2138" s="319"/>
      <c r="L2138" s="218"/>
    </row>
    <row r="2139">
      <c r="B2139" s="223" t="s">
        <v>200</v>
      </c>
      <c r="C2139" s="223"/>
      <c r="K2139" s="319"/>
      <c r="L2139" s="218"/>
    </row>
    <row r="2140">
      <c r="B2140" s="223" t="s">
        <v>200</v>
      </c>
      <c r="C2140" s="223"/>
      <c r="K2140" s="319"/>
      <c r="L2140" s="218"/>
    </row>
    <row r="2141">
      <c r="B2141" s="223" t="s">
        <v>200</v>
      </c>
      <c r="C2141" s="223"/>
      <c r="K2141" s="319"/>
      <c r="L2141" s="218"/>
    </row>
    <row r="2142">
      <c r="B2142" s="223" t="s">
        <v>200</v>
      </c>
      <c r="C2142" s="223"/>
      <c r="K2142" s="319"/>
      <c r="L2142" s="218"/>
    </row>
    <row r="2143">
      <c r="B2143" s="223" t="s">
        <v>200</v>
      </c>
      <c r="C2143" s="223"/>
      <c r="K2143" s="319"/>
      <c r="L2143" s="218"/>
    </row>
    <row r="2144">
      <c r="B2144" s="223" t="s">
        <v>200</v>
      </c>
      <c r="C2144" s="223"/>
      <c r="K2144" s="319"/>
      <c r="L2144" s="218"/>
    </row>
    <row r="2145">
      <c r="B2145" s="223" t="s">
        <v>200</v>
      </c>
      <c r="C2145" s="223"/>
      <c r="K2145" s="319"/>
      <c r="L2145" s="218"/>
    </row>
    <row r="2146">
      <c r="B2146" s="223" t="s">
        <v>200</v>
      </c>
      <c r="C2146" s="223"/>
      <c r="K2146" s="319"/>
      <c r="L2146" s="218"/>
    </row>
    <row r="2147">
      <c r="B2147" s="223" t="s">
        <v>200</v>
      </c>
      <c r="C2147" s="223"/>
      <c r="K2147" s="319"/>
      <c r="L2147" s="218"/>
    </row>
    <row r="2148">
      <c r="B2148" s="223" t="s">
        <v>200</v>
      </c>
      <c r="C2148" s="223"/>
      <c r="K2148" s="319"/>
      <c r="L2148" s="218"/>
    </row>
    <row r="2149">
      <c r="B2149" s="223" t="s">
        <v>200</v>
      </c>
      <c r="C2149" s="223"/>
      <c r="K2149" s="319"/>
      <c r="L2149" s="218"/>
    </row>
    <row r="2150">
      <c r="B2150" s="223" t="s">
        <v>200</v>
      </c>
      <c r="C2150" s="223"/>
      <c r="K2150" s="319"/>
      <c r="L2150" s="218"/>
    </row>
    <row r="2151">
      <c r="B2151" s="223" t="s">
        <v>200</v>
      </c>
      <c r="C2151" s="223"/>
      <c r="K2151" s="319"/>
      <c r="L2151" s="218"/>
    </row>
    <row r="2152">
      <c r="B2152" s="223" t="s">
        <v>200</v>
      </c>
      <c r="C2152" s="223"/>
      <c r="K2152" s="319"/>
      <c r="L2152" s="218"/>
    </row>
    <row r="2153">
      <c r="B2153" s="223" t="s">
        <v>200</v>
      </c>
      <c r="C2153" s="223"/>
      <c r="K2153" s="319"/>
      <c r="L2153" s="218"/>
    </row>
    <row r="2154">
      <c r="B2154" s="223" t="s">
        <v>200</v>
      </c>
      <c r="C2154" s="223"/>
      <c r="K2154" s="319"/>
      <c r="L2154" s="218"/>
    </row>
    <row r="2155">
      <c r="B2155" s="223" t="s">
        <v>200</v>
      </c>
      <c r="C2155" s="223"/>
      <c r="K2155" s="319"/>
      <c r="L2155" s="218"/>
    </row>
    <row r="2156">
      <c r="B2156" s="223" t="s">
        <v>200</v>
      </c>
      <c r="C2156" s="223"/>
      <c r="K2156" s="319"/>
      <c r="L2156" s="218"/>
    </row>
    <row r="2157">
      <c r="B2157" s="223" t="s">
        <v>200</v>
      </c>
      <c r="C2157" s="223"/>
      <c r="K2157" s="319"/>
      <c r="L2157" s="218"/>
    </row>
    <row r="2158">
      <c r="B2158" s="223" t="s">
        <v>200</v>
      </c>
      <c r="C2158" s="223"/>
      <c r="K2158" s="319"/>
      <c r="L2158" s="218"/>
    </row>
    <row r="2159">
      <c r="B2159" s="223" t="s">
        <v>200</v>
      </c>
      <c r="C2159" s="223"/>
      <c r="K2159" s="319"/>
      <c r="L2159" s="218"/>
    </row>
    <row r="2160">
      <c r="B2160" s="223" t="s">
        <v>200</v>
      </c>
      <c r="C2160" s="223"/>
      <c r="K2160" s="319"/>
      <c r="L2160" s="218"/>
    </row>
    <row r="2161">
      <c r="B2161" s="223" t="s">
        <v>200</v>
      </c>
      <c r="C2161" s="223"/>
      <c r="K2161" s="319"/>
      <c r="L2161" s="218"/>
    </row>
    <row r="2162">
      <c r="B2162" s="223" t="s">
        <v>200</v>
      </c>
      <c r="C2162" s="223"/>
      <c r="K2162" s="319"/>
      <c r="L2162" s="218"/>
    </row>
    <row r="2163">
      <c r="B2163" s="223" t="s">
        <v>200</v>
      </c>
      <c r="C2163" s="223"/>
      <c r="K2163" s="319"/>
      <c r="L2163" s="218"/>
    </row>
    <row r="2164">
      <c r="B2164" s="223" t="s">
        <v>200</v>
      </c>
      <c r="C2164" s="223"/>
      <c r="K2164" s="319"/>
      <c r="L2164" s="218"/>
    </row>
    <row r="2165">
      <c r="B2165" s="223" t="s">
        <v>200</v>
      </c>
      <c r="C2165" s="223"/>
      <c r="K2165" s="319"/>
      <c r="L2165" s="218"/>
    </row>
    <row r="2166">
      <c r="B2166" s="223" t="s">
        <v>200</v>
      </c>
      <c r="C2166" s="223"/>
      <c r="K2166" s="319"/>
      <c r="L2166" s="218"/>
    </row>
    <row r="2167">
      <c r="B2167" s="223" t="s">
        <v>200</v>
      </c>
      <c r="C2167" s="223"/>
      <c r="K2167" s="319"/>
      <c r="L2167" s="218"/>
    </row>
    <row r="2168">
      <c r="B2168" s="223" t="s">
        <v>200</v>
      </c>
      <c r="C2168" s="223"/>
      <c r="K2168" s="319"/>
      <c r="L2168" s="218"/>
    </row>
    <row r="2169">
      <c r="B2169" s="223" t="s">
        <v>200</v>
      </c>
      <c r="C2169" s="223"/>
      <c r="K2169" s="319"/>
      <c r="L2169" s="218"/>
    </row>
    <row r="2170">
      <c r="B2170" s="223" t="s">
        <v>200</v>
      </c>
      <c r="C2170" s="223"/>
      <c r="K2170" s="319"/>
      <c r="L2170" s="218"/>
    </row>
    <row r="2171">
      <c r="B2171" s="223" t="s">
        <v>200</v>
      </c>
      <c r="C2171" s="223"/>
      <c r="K2171" s="319"/>
      <c r="L2171" s="218"/>
    </row>
    <row r="2172">
      <c r="B2172" s="223" t="s">
        <v>200</v>
      </c>
      <c r="C2172" s="223"/>
      <c r="K2172" s="319"/>
      <c r="L2172" s="218"/>
    </row>
    <row r="2173">
      <c r="B2173" s="223" t="s">
        <v>200</v>
      </c>
      <c r="C2173" s="223"/>
      <c r="K2173" s="319"/>
      <c r="L2173" s="218"/>
    </row>
    <row r="2174">
      <c r="B2174" s="223" t="s">
        <v>200</v>
      </c>
      <c r="C2174" s="223"/>
      <c r="K2174" s="319"/>
      <c r="L2174" s="218"/>
    </row>
    <row r="2175">
      <c r="B2175" s="223" t="s">
        <v>200</v>
      </c>
      <c r="C2175" s="223"/>
      <c r="K2175" s="319"/>
      <c r="L2175" s="218"/>
    </row>
    <row r="2176">
      <c r="B2176" s="223" t="s">
        <v>200</v>
      </c>
      <c r="C2176" s="223"/>
      <c r="K2176" s="319"/>
      <c r="L2176" s="218"/>
    </row>
    <row r="2177">
      <c r="B2177" s="223" t="s">
        <v>200</v>
      </c>
      <c r="C2177" s="223"/>
      <c r="K2177" s="319"/>
      <c r="L2177" s="218"/>
    </row>
    <row r="2178">
      <c r="B2178" s="223" t="s">
        <v>200</v>
      </c>
      <c r="C2178" s="223"/>
      <c r="K2178" s="319"/>
      <c r="L2178" s="218"/>
    </row>
    <row r="2179">
      <c r="B2179" s="223" t="s">
        <v>200</v>
      </c>
      <c r="C2179" s="223"/>
      <c r="K2179" s="319"/>
      <c r="L2179" s="218"/>
    </row>
    <row r="2180">
      <c r="B2180" s="223" t="s">
        <v>200</v>
      </c>
      <c r="C2180" s="223"/>
      <c r="K2180" s="319"/>
      <c r="L2180" s="218"/>
    </row>
    <row r="2181">
      <c r="B2181" s="223" t="s">
        <v>200</v>
      </c>
      <c r="C2181" s="223"/>
      <c r="K2181" s="319"/>
      <c r="L2181" s="218"/>
    </row>
    <row r="2182">
      <c r="B2182" s="223" t="s">
        <v>200</v>
      </c>
      <c r="C2182" s="223"/>
      <c r="K2182" s="319"/>
      <c r="L2182" s="218"/>
    </row>
    <row r="2183">
      <c r="B2183" s="223" t="s">
        <v>200</v>
      </c>
      <c r="C2183" s="223"/>
      <c r="K2183" s="319"/>
      <c r="L2183" s="218"/>
    </row>
    <row r="2184">
      <c r="B2184" s="223" t="s">
        <v>200</v>
      </c>
      <c r="C2184" s="223"/>
      <c r="K2184" s="319"/>
      <c r="L2184" s="218"/>
    </row>
    <row r="2185">
      <c r="B2185" s="223" t="s">
        <v>200</v>
      </c>
      <c r="C2185" s="223"/>
      <c r="K2185" s="319"/>
      <c r="L2185" s="218"/>
    </row>
    <row r="2186">
      <c r="B2186" s="223" t="s">
        <v>200</v>
      </c>
      <c r="C2186" s="223"/>
      <c r="K2186" s="319"/>
      <c r="L2186" s="218"/>
    </row>
    <row r="2187">
      <c r="B2187" s="223" t="s">
        <v>200</v>
      </c>
      <c r="C2187" s="223"/>
      <c r="K2187" s="319"/>
      <c r="L2187" s="218"/>
    </row>
    <row r="2188">
      <c r="B2188" s="223" t="s">
        <v>200</v>
      </c>
      <c r="C2188" s="223"/>
      <c r="K2188" s="319"/>
      <c r="L2188" s="218"/>
    </row>
    <row r="2189">
      <c r="B2189" s="223" t="s">
        <v>200</v>
      </c>
      <c r="C2189" s="223"/>
      <c r="K2189" s="319"/>
      <c r="L2189" s="218"/>
    </row>
    <row r="2190">
      <c r="B2190" s="223" t="s">
        <v>200</v>
      </c>
      <c r="C2190" s="223"/>
      <c r="K2190" s="319"/>
      <c r="L2190" s="218"/>
    </row>
    <row r="2191">
      <c r="B2191" s="223" t="s">
        <v>200</v>
      </c>
      <c r="C2191" s="223"/>
      <c r="K2191" s="319"/>
      <c r="L2191" s="218"/>
    </row>
    <row r="2192">
      <c r="B2192" s="223" t="s">
        <v>200</v>
      </c>
      <c r="C2192" s="223"/>
      <c r="K2192" s="319"/>
      <c r="L2192" s="218"/>
    </row>
    <row r="2193">
      <c r="B2193" s="223" t="s">
        <v>200</v>
      </c>
      <c r="C2193" s="223"/>
      <c r="K2193" s="319"/>
      <c r="L2193" s="218"/>
    </row>
    <row r="2194">
      <c r="B2194" s="223" t="s">
        <v>200</v>
      </c>
      <c r="C2194" s="223"/>
      <c r="K2194" s="319"/>
      <c r="L2194" s="218"/>
    </row>
    <row r="2195">
      <c r="B2195" s="223" t="s">
        <v>200</v>
      </c>
      <c r="C2195" s="223"/>
      <c r="K2195" s="319"/>
      <c r="L2195" s="218"/>
    </row>
    <row r="2196">
      <c r="B2196" s="223" t="s">
        <v>200</v>
      </c>
      <c r="C2196" s="223"/>
      <c r="K2196" s="319"/>
      <c r="L2196" s="218"/>
    </row>
    <row r="2197">
      <c r="B2197" s="223" t="s">
        <v>200</v>
      </c>
      <c r="C2197" s="223"/>
      <c r="K2197" s="319"/>
      <c r="L2197" s="218"/>
    </row>
    <row r="2198">
      <c r="B2198" s="223" t="s">
        <v>200</v>
      </c>
      <c r="C2198" s="223"/>
      <c r="K2198" s="319"/>
      <c r="L2198" s="218"/>
    </row>
    <row r="2199">
      <c r="B2199" s="223" t="s">
        <v>200</v>
      </c>
      <c r="C2199" s="223"/>
      <c r="K2199" s="319"/>
      <c r="L2199" s="218"/>
    </row>
    <row r="2200">
      <c r="B2200" s="223" t="s">
        <v>200</v>
      </c>
      <c r="C2200" s="223"/>
      <c r="K2200" s="319"/>
      <c r="L2200" s="218"/>
    </row>
    <row r="2201">
      <c r="B2201" s="223" t="s">
        <v>200</v>
      </c>
      <c r="C2201" s="223"/>
      <c r="K2201" s="319"/>
      <c r="L2201" s="218"/>
    </row>
    <row r="2202">
      <c r="B2202" s="223" t="s">
        <v>200</v>
      </c>
      <c r="C2202" s="223"/>
      <c r="K2202" s="319"/>
      <c r="L2202" s="218"/>
    </row>
    <row r="2203">
      <c r="B2203" s="223" t="s">
        <v>200</v>
      </c>
      <c r="C2203" s="223"/>
      <c r="K2203" s="319"/>
      <c r="L2203" s="218"/>
    </row>
    <row r="2204">
      <c r="B2204" s="223" t="s">
        <v>200</v>
      </c>
      <c r="C2204" s="223"/>
      <c r="K2204" s="319"/>
      <c r="L2204" s="218"/>
    </row>
    <row r="2205">
      <c r="B2205" s="223" t="s">
        <v>200</v>
      </c>
      <c r="C2205" s="223"/>
      <c r="K2205" s="319"/>
      <c r="L2205" s="218"/>
    </row>
    <row r="2206">
      <c r="B2206" s="223" t="s">
        <v>200</v>
      </c>
      <c r="C2206" s="223"/>
      <c r="K2206" s="319"/>
      <c r="L2206" s="218"/>
    </row>
    <row r="2207">
      <c r="B2207" s="223" t="s">
        <v>200</v>
      </c>
      <c r="C2207" s="223"/>
      <c r="K2207" s="319"/>
      <c r="L2207" s="218"/>
    </row>
    <row r="2208">
      <c r="B2208" s="223" t="s">
        <v>200</v>
      </c>
      <c r="C2208" s="223"/>
      <c r="K2208" s="319"/>
      <c r="L2208" s="218"/>
    </row>
    <row r="2209">
      <c r="B2209" s="223" t="s">
        <v>200</v>
      </c>
      <c r="C2209" s="223"/>
      <c r="K2209" s="319"/>
      <c r="L2209" s="218"/>
    </row>
    <row r="2210">
      <c r="B2210" s="223" t="s">
        <v>200</v>
      </c>
      <c r="C2210" s="223"/>
      <c r="K2210" s="319"/>
      <c r="L2210" s="218"/>
    </row>
    <row r="2211">
      <c r="B2211" s="223" t="s">
        <v>200</v>
      </c>
      <c r="C2211" s="223"/>
      <c r="K2211" s="319"/>
      <c r="L2211" s="218"/>
    </row>
    <row r="2212">
      <c r="B2212" s="223" t="s">
        <v>200</v>
      </c>
      <c r="C2212" s="223"/>
      <c r="K2212" s="319"/>
      <c r="L2212" s="218"/>
    </row>
    <row r="2213">
      <c r="B2213" s="223" t="s">
        <v>200</v>
      </c>
      <c r="C2213" s="223"/>
      <c r="K2213" s="319"/>
      <c r="L2213" s="218"/>
    </row>
    <row r="2214">
      <c r="B2214" s="223" t="s">
        <v>200</v>
      </c>
      <c r="C2214" s="223"/>
      <c r="K2214" s="319"/>
      <c r="L2214" s="218"/>
    </row>
    <row r="2215">
      <c r="B2215" s="223" t="s">
        <v>200</v>
      </c>
      <c r="C2215" s="223"/>
      <c r="K2215" s="319"/>
      <c r="L2215" s="218"/>
    </row>
    <row r="2216">
      <c r="B2216" s="223" t="s">
        <v>200</v>
      </c>
      <c r="C2216" s="223"/>
      <c r="K2216" s="319"/>
      <c r="L2216" s="218"/>
    </row>
    <row r="2217">
      <c r="B2217" s="223" t="s">
        <v>200</v>
      </c>
      <c r="C2217" s="223"/>
      <c r="K2217" s="319"/>
      <c r="L2217" s="218"/>
    </row>
    <row r="2218">
      <c r="B2218" s="223" t="s">
        <v>200</v>
      </c>
      <c r="C2218" s="223"/>
      <c r="K2218" s="319"/>
      <c r="L2218" s="218"/>
    </row>
    <row r="2219">
      <c r="B2219" s="223" t="s">
        <v>200</v>
      </c>
      <c r="C2219" s="223"/>
      <c r="K2219" s="319"/>
      <c r="L2219" s="218"/>
    </row>
    <row r="2220">
      <c r="B2220" s="223" t="s">
        <v>200</v>
      </c>
      <c r="C2220" s="223"/>
      <c r="K2220" s="319"/>
      <c r="L2220" s="218"/>
    </row>
    <row r="2221">
      <c r="B2221" s="223" t="s">
        <v>200</v>
      </c>
      <c r="C2221" s="223"/>
      <c r="K2221" s="319"/>
      <c r="L2221" s="218"/>
    </row>
    <row r="2222">
      <c r="B2222" s="223" t="s">
        <v>200</v>
      </c>
      <c r="C2222" s="223"/>
      <c r="K2222" s="319"/>
      <c r="L2222" s="218"/>
    </row>
    <row r="2223">
      <c r="B2223" s="223" t="s">
        <v>200</v>
      </c>
      <c r="C2223" s="223"/>
      <c r="K2223" s="319"/>
      <c r="L2223" s="218"/>
    </row>
    <row r="2224">
      <c r="B2224" s="223" t="s">
        <v>200</v>
      </c>
      <c r="C2224" s="223"/>
      <c r="K2224" s="319"/>
      <c r="L2224" s="218"/>
    </row>
    <row r="2225">
      <c r="B2225" s="223" t="s">
        <v>200</v>
      </c>
      <c r="C2225" s="223"/>
      <c r="K2225" s="319"/>
      <c r="L2225" s="218"/>
    </row>
    <row r="2226">
      <c r="B2226" s="223" t="s">
        <v>200</v>
      </c>
      <c r="C2226" s="223"/>
      <c r="K2226" s="319"/>
      <c r="L2226" s="218"/>
    </row>
    <row r="2227">
      <c r="B2227" s="223" t="s">
        <v>200</v>
      </c>
      <c r="C2227" s="223"/>
      <c r="K2227" s="319"/>
      <c r="L2227" s="218"/>
    </row>
    <row r="2228">
      <c r="B2228" s="223" t="s">
        <v>200</v>
      </c>
      <c r="C2228" s="223"/>
      <c r="K2228" s="319"/>
      <c r="L2228" s="218"/>
    </row>
    <row r="2229">
      <c r="B2229" s="223" t="s">
        <v>200</v>
      </c>
      <c r="C2229" s="223"/>
      <c r="K2229" s="319"/>
      <c r="L2229" s="218"/>
    </row>
    <row r="2230">
      <c r="B2230" s="223" t="s">
        <v>200</v>
      </c>
      <c r="C2230" s="223"/>
      <c r="K2230" s="319"/>
      <c r="L2230" s="218"/>
    </row>
    <row r="2231">
      <c r="B2231" s="223" t="s">
        <v>200</v>
      </c>
      <c r="C2231" s="223"/>
      <c r="K2231" s="319"/>
      <c r="L2231" s="218"/>
    </row>
    <row r="2232">
      <c r="B2232" s="223" t="s">
        <v>200</v>
      </c>
      <c r="C2232" s="223"/>
      <c r="K2232" s="319"/>
      <c r="L2232" s="218"/>
    </row>
    <row r="2233">
      <c r="B2233" s="223" t="s">
        <v>200</v>
      </c>
      <c r="C2233" s="223"/>
      <c r="K2233" s="319"/>
      <c r="L2233" s="218"/>
    </row>
    <row r="2234">
      <c r="B2234" s="223" t="s">
        <v>200</v>
      </c>
      <c r="C2234" s="223"/>
      <c r="K2234" s="319"/>
      <c r="L2234" s="218"/>
    </row>
    <row r="2235">
      <c r="B2235" s="223" t="s">
        <v>200</v>
      </c>
      <c r="C2235" s="223"/>
      <c r="K2235" s="319"/>
      <c r="L2235" s="218"/>
    </row>
    <row r="2236">
      <c r="B2236" s="223" t="s">
        <v>200</v>
      </c>
      <c r="C2236" s="223"/>
      <c r="K2236" s="319"/>
      <c r="L2236" s="218"/>
    </row>
    <row r="2237">
      <c r="B2237" s="223" t="s">
        <v>200</v>
      </c>
      <c r="C2237" s="223"/>
      <c r="K2237" s="319"/>
      <c r="L2237" s="218"/>
    </row>
    <row r="2238">
      <c r="B2238" s="223" t="s">
        <v>200</v>
      </c>
      <c r="C2238" s="223"/>
      <c r="K2238" s="319"/>
      <c r="L2238" s="218"/>
    </row>
    <row r="2239">
      <c r="B2239" s="223" t="s">
        <v>200</v>
      </c>
      <c r="C2239" s="223"/>
      <c r="K2239" s="319"/>
      <c r="L2239" s="218"/>
    </row>
    <row r="2240">
      <c r="B2240" s="223" t="s">
        <v>200</v>
      </c>
      <c r="C2240" s="223"/>
      <c r="K2240" s="319"/>
      <c r="L2240" s="218"/>
    </row>
    <row r="2241">
      <c r="B2241" s="223" t="s">
        <v>200</v>
      </c>
      <c r="C2241" s="223"/>
      <c r="K2241" s="319"/>
      <c r="L2241" s="218"/>
    </row>
    <row r="2242">
      <c r="B2242" s="223" t="s">
        <v>200</v>
      </c>
      <c r="C2242" s="223"/>
      <c r="K2242" s="319"/>
      <c r="L2242" s="218"/>
    </row>
    <row r="2243">
      <c r="B2243" s="223" t="s">
        <v>200</v>
      </c>
      <c r="C2243" s="223"/>
      <c r="K2243" s="319"/>
      <c r="L2243" s="218"/>
    </row>
    <row r="2244">
      <c r="B2244" s="223" t="s">
        <v>200</v>
      </c>
      <c r="C2244" s="223"/>
      <c r="K2244" s="319"/>
      <c r="L2244" s="218"/>
    </row>
    <row r="2245">
      <c r="B2245" s="223" t="s">
        <v>200</v>
      </c>
      <c r="C2245" s="223"/>
      <c r="K2245" s="319"/>
      <c r="L2245" s="218"/>
    </row>
    <row r="2246">
      <c r="B2246" s="223" t="s">
        <v>200</v>
      </c>
      <c r="C2246" s="223"/>
      <c r="K2246" s="319"/>
      <c r="L2246" s="218"/>
    </row>
    <row r="2247">
      <c r="B2247" s="223" t="s">
        <v>200</v>
      </c>
      <c r="C2247" s="223"/>
      <c r="K2247" s="319"/>
      <c r="L2247" s="218"/>
    </row>
    <row r="2248">
      <c r="B2248" s="223" t="s">
        <v>200</v>
      </c>
      <c r="C2248" s="223"/>
      <c r="K2248" s="319"/>
      <c r="L2248" s="218"/>
    </row>
    <row r="2249">
      <c r="B2249" s="223" t="s">
        <v>200</v>
      </c>
      <c r="C2249" s="223"/>
      <c r="K2249" s="319"/>
      <c r="L2249" s="218"/>
    </row>
    <row r="2250">
      <c r="B2250" s="223" t="s">
        <v>200</v>
      </c>
      <c r="C2250" s="223"/>
      <c r="K2250" s="319"/>
      <c r="L2250" s="218"/>
    </row>
    <row r="2251">
      <c r="B2251" s="223" t="s">
        <v>200</v>
      </c>
      <c r="C2251" s="223"/>
      <c r="K2251" s="319"/>
      <c r="L2251" s="218"/>
    </row>
    <row r="2252">
      <c r="B2252" s="223" t="s">
        <v>200</v>
      </c>
      <c r="C2252" s="223"/>
      <c r="K2252" s="319"/>
      <c r="L2252" s="218"/>
    </row>
    <row r="2253">
      <c r="B2253" s="223" t="s">
        <v>200</v>
      </c>
      <c r="C2253" s="223"/>
      <c r="K2253" s="319"/>
      <c r="L2253" s="218"/>
    </row>
    <row r="2254">
      <c r="B2254" s="223" t="s">
        <v>200</v>
      </c>
      <c r="C2254" s="223"/>
      <c r="K2254" s="319"/>
      <c r="L2254" s="218"/>
    </row>
    <row r="2255">
      <c r="B2255" s="223" t="s">
        <v>200</v>
      </c>
      <c r="C2255" s="223"/>
      <c r="K2255" s="319"/>
      <c r="L2255" s="218"/>
    </row>
    <row r="2256">
      <c r="B2256" s="223" t="s">
        <v>200</v>
      </c>
      <c r="C2256" s="223"/>
      <c r="K2256" s="319"/>
      <c r="L2256" s="218"/>
    </row>
    <row r="2257">
      <c r="B2257" s="223" t="s">
        <v>200</v>
      </c>
      <c r="C2257" s="223"/>
      <c r="K2257" s="319"/>
      <c r="L2257" s="218"/>
    </row>
    <row r="2258">
      <c r="B2258" s="223" t="s">
        <v>200</v>
      </c>
      <c r="C2258" s="223"/>
      <c r="K2258" s="319"/>
      <c r="L2258" s="218"/>
    </row>
    <row r="2259">
      <c r="B2259" s="223" t="s">
        <v>200</v>
      </c>
      <c r="C2259" s="223"/>
      <c r="K2259" s="319"/>
      <c r="L2259" s="218"/>
    </row>
    <row r="2260">
      <c r="B2260" s="223" t="s">
        <v>200</v>
      </c>
      <c r="C2260" s="223"/>
      <c r="K2260" s="319"/>
      <c r="L2260" s="218"/>
    </row>
    <row r="2261">
      <c r="B2261" s="223" t="s">
        <v>200</v>
      </c>
      <c r="C2261" s="223"/>
      <c r="K2261" s="319"/>
      <c r="L2261" s="218"/>
    </row>
    <row r="2262">
      <c r="B2262" s="223" t="s">
        <v>200</v>
      </c>
      <c r="C2262" s="223"/>
      <c r="K2262" s="319"/>
      <c r="L2262" s="218"/>
    </row>
    <row r="2263">
      <c r="B2263" s="223" t="s">
        <v>200</v>
      </c>
      <c r="C2263" s="223"/>
      <c r="K2263" s="319"/>
      <c r="L2263" s="218"/>
    </row>
    <row r="2264">
      <c r="B2264" s="223" t="s">
        <v>200</v>
      </c>
      <c r="C2264" s="223"/>
      <c r="K2264" s="319"/>
      <c r="L2264" s="218"/>
    </row>
    <row r="2265">
      <c r="B2265" s="223" t="s">
        <v>200</v>
      </c>
      <c r="C2265" s="223"/>
      <c r="K2265" s="319"/>
      <c r="L2265" s="218"/>
    </row>
    <row r="2266">
      <c r="B2266" s="223" t="s">
        <v>200</v>
      </c>
      <c r="C2266" s="223"/>
      <c r="K2266" s="319"/>
      <c r="L2266" s="218"/>
    </row>
    <row r="2267">
      <c r="B2267" s="223" t="s">
        <v>200</v>
      </c>
      <c r="C2267" s="223"/>
      <c r="K2267" s="319"/>
      <c r="L2267" s="218"/>
    </row>
    <row r="2268">
      <c r="B2268" s="223" t="s">
        <v>200</v>
      </c>
      <c r="C2268" s="223"/>
      <c r="K2268" s="319"/>
      <c r="L2268" s="218"/>
    </row>
    <row r="2269">
      <c r="B2269" s="223" t="s">
        <v>200</v>
      </c>
      <c r="C2269" s="223"/>
      <c r="K2269" s="319"/>
      <c r="L2269" s="218"/>
    </row>
    <row r="2270">
      <c r="B2270" s="223" t="s">
        <v>200</v>
      </c>
      <c r="C2270" s="223"/>
      <c r="K2270" s="319"/>
      <c r="L2270" s="218"/>
    </row>
    <row r="2271">
      <c r="B2271" s="223" t="s">
        <v>200</v>
      </c>
      <c r="C2271" s="223"/>
      <c r="K2271" s="319"/>
      <c r="L2271" s="218"/>
    </row>
    <row r="2272">
      <c r="B2272" s="223" t="s">
        <v>200</v>
      </c>
      <c r="C2272" s="223"/>
      <c r="K2272" s="319"/>
      <c r="L2272" s="218"/>
    </row>
    <row r="2273">
      <c r="B2273" s="223" t="s">
        <v>200</v>
      </c>
      <c r="C2273" s="223"/>
      <c r="K2273" s="319"/>
      <c r="L2273" s="218"/>
    </row>
    <row r="2274">
      <c r="B2274" s="223" t="s">
        <v>200</v>
      </c>
      <c r="C2274" s="223"/>
      <c r="K2274" s="319"/>
      <c r="L2274" s="218"/>
    </row>
    <row r="2275">
      <c r="B2275" s="223" t="s">
        <v>200</v>
      </c>
      <c r="C2275" s="223"/>
      <c r="K2275" s="319"/>
      <c r="L2275" s="218"/>
    </row>
    <row r="2276">
      <c r="B2276" s="223" t="s">
        <v>200</v>
      </c>
      <c r="C2276" s="223"/>
      <c r="K2276" s="319"/>
      <c r="L2276" s="218"/>
    </row>
    <row r="2277">
      <c r="B2277" s="223" t="s">
        <v>200</v>
      </c>
      <c r="C2277" s="223"/>
      <c r="K2277" s="319"/>
      <c r="L2277" s="218"/>
    </row>
    <row r="2278">
      <c r="B2278" s="223" t="s">
        <v>200</v>
      </c>
      <c r="C2278" s="223"/>
      <c r="K2278" s="319"/>
      <c r="L2278" s="218"/>
    </row>
    <row r="2279">
      <c r="B2279" s="223" t="s">
        <v>200</v>
      </c>
      <c r="C2279" s="223"/>
      <c r="K2279" s="319"/>
      <c r="L2279" s="218"/>
    </row>
    <row r="2280">
      <c r="B2280" s="223" t="s">
        <v>200</v>
      </c>
      <c r="C2280" s="223"/>
      <c r="K2280" s="319"/>
      <c r="L2280" s="218"/>
    </row>
    <row r="2281">
      <c r="B2281" s="223" t="s">
        <v>200</v>
      </c>
      <c r="C2281" s="223"/>
      <c r="K2281" s="319"/>
      <c r="L2281" s="218"/>
    </row>
    <row r="2282">
      <c r="B2282" s="223" t="s">
        <v>200</v>
      </c>
      <c r="C2282" s="223"/>
      <c r="K2282" s="319"/>
      <c r="L2282" s="218"/>
    </row>
    <row r="2283">
      <c r="B2283" s="223" t="s">
        <v>200</v>
      </c>
      <c r="C2283" s="223"/>
      <c r="K2283" s="319"/>
      <c r="L2283" s="218"/>
    </row>
    <row r="2284">
      <c r="B2284" s="223" t="s">
        <v>200</v>
      </c>
      <c r="C2284" s="223"/>
      <c r="K2284" s="319"/>
      <c r="L2284" s="218"/>
    </row>
    <row r="2285">
      <c r="B2285" s="223" t="s">
        <v>200</v>
      </c>
      <c r="C2285" s="223"/>
      <c r="K2285" s="319"/>
      <c r="L2285" s="218"/>
    </row>
    <row r="2286">
      <c r="B2286" s="223" t="s">
        <v>200</v>
      </c>
      <c r="C2286" s="223"/>
      <c r="K2286" s="319"/>
      <c r="L2286" s="218"/>
    </row>
    <row r="2287">
      <c r="B2287" s="223" t="s">
        <v>200</v>
      </c>
      <c r="C2287" s="223"/>
      <c r="K2287" s="319"/>
      <c r="L2287" s="218"/>
    </row>
    <row r="2288">
      <c r="B2288" s="223" t="s">
        <v>200</v>
      </c>
      <c r="C2288" s="223"/>
      <c r="K2288" s="319"/>
      <c r="L2288" s="218"/>
    </row>
    <row r="2289">
      <c r="B2289" s="223" t="s">
        <v>200</v>
      </c>
      <c r="C2289" s="223"/>
      <c r="K2289" s="319"/>
      <c r="L2289" s="218"/>
    </row>
    <row r="2290">
      <c r="B2290" s="223" t="s">
        <v>200</v>
      </c>
      <c r="C2290" s="223"/>
      <c r="K2290" s="319"/>
      <c r="L2290" s="218"/>
    </row>
    <row r="2291">
      <c r="B2291" s="223" t="s">
        <v>200</v>
      </c>
      <c r="C2291" s="223"/>
      <c r="K2291" s="319"/>
      <c r="L2291" s="218"/>
    </row>
    <row r="2292">
      <c r="B2292" s="223" t="s">
        <v>200</v>
      </c>
      <c r="C2292" s="223"/>
      <c r="K2292" s="319"/>
      <c r="L2292" s="218"/>
    </row>
    <row r="2293">
      <c r="B2293" s="223" t="s">
        <v>200</v>
      </c>
      <c r="C2293" s="223"/>
      <c r="K2293" s="319"/>
      <c r="L2293" s="218"/>
    </row>
    <row r="2294">
      <c r="B2294" s="223" t="s">
        <v>200</v>
      </c>
      <c r="C2294" s="223"/>
      <c r="K2294" s="319"/>
      <c r="L2294" s="218"/>
    </row>
    <row r="2295">
      <c r="B2295" s="223" t="s">
        <v>200</v>
      </c>
      <c r="C2295" s="223"/>
      <c r="K2295" s="319"/>
      <c r="L2295" s="218"/>
    </row>
    <row r="2296">
      <c r="B2296" s="223" t="s">
        <v>200</v>
      </c>
      <c r="C2296" s="223"/>
      <c r="K2296" s="319"/>
      <c r="L2296" s="218"/>
    </row>
    <row r="2297">
      <c r="B2297" s="223" t="s">
        <v>200</v>
      </c>
      <c r="C2297" s="223"/>
      <c r="K2297" s="319"/>
      <c r="L2297" s="218"/>
    </row>
    <row r="2298">
      <c r="B2298" s="223" t="s">
        <v>200</v>
      </c>
      <c r="C2298" s="223"/>
      <c r="K2298" s="319"/>
      <c r="L2298" s="218"/>
    </row>
    <row r="2299">
      <c r="B2299" s="223" t="s">
        <v>200</v>
      </c>
      <c r="C2299" s="223"/>
      <c r="K2299" s="319"/>
      <c r="L2299" s="218"/>
    </row>
    <row r="2300">
      <c r="B2300" s="223" t="s">
        <v>200</v>
      </c>
      <c r="C2300" s="223"/>
      <c r="K2300" s="319"/>
      <c r="L2300" s="218"/>
    </row>
    <row r="2301">
      <c r="B2301" s="223" t="s">
        <v>200</v>
      </c>
      <c r="C2301" s="223"/>
      <c r="K2301" s="319"/>
      <c r="L2301" s="218"/>
    </row>
    <row r="2302">
      <c r="B2302" s="223" t="s">
        <v>200</v>
      </c>
      <c r="C2302" s="223"/>
      <c r="K2302" s="319"/>
      <c r="L2302" s="218"/>
    </row>
    <row r="2303">
      <c r="B2303" s="223" t="s">
        <v>200</v>
      </c>
      <c r="C2303" s="223"/>
      <c r="K2303" s="319"/>
      <c r="L2303" s="218"/>
    </row>
    <row r="2304">
      <c r="B2304" s="223" t="s">
        <v>200</v>
      </c>
      <c r="C2304" s="223"/>
      <c r="K2304" s="319"/>
      <c r="L2304" s="218"/>
    </row>
    <row r="2305">
      <c r="B2305" s="223" t="s">
        <v>200</v>
      </c>
      <c r="C2305" s="223"/>
      <c r="K2305" s="319"/>
      <c r="L2305" s="218"/>
    </row>
    <row r="2306">
      <c r="B2306" s="223" t="s">
        <v>200</v>
      </c>
      <c r="C2306" s="223"/>
      <c r="K2306" s="319"/>
      <c r="L2306" s="218"/>
    </row>
    <row r="2307">
      <c r="B2307" s="223" t="s">
        <v>200</v>
      </c>
      <c r="C2307" s="223"/>
      <c r="K2307" s="319"/>
      <c r="L2307" s="218"/>
    </row>
    <row r="2308">
      <c r="B2308" s="223" t="s">
        <v>200</v>
      </c>
      <c r="C2308" s="223"/>
      <c r="K2308" s="319"/>
      <c r="L2308" s="218"/>
    </row>
    <row r="2309">
      <c r="B2309" s="223" t="s">
        <v>200</v>
      </c>
      <c r="C2309" s="223"/>
      <c r="K2309" s="319"/>
      <c r="L2309" s="218"/>
    </row>
    <row r="2310">
      <c r="B2310" s="223" t="s">
        <v>200</v>
      </c>
      <c r="C2310" s="223"/>
      <c r="K2310" s="319"/>
      <c r="L2310" s="218"/>
    </row>
    <row r="2311">
      <c r="B2311" s="223" t="s">
        <v>200</v>
      </c>
      <c r="C2311" s="223"/>
      <c r="K2311" s="319"/>
      <c r="L2311" s="218"/>
    </row>
    <row r="2312">
      <c r="B2312" s="223" t="s">
        <v>200</v>
      </c>
      <c r="C2312" s="223"/>
      <c r="K2312" s="319"/>
      <c r="L2312" s="218"/>
    </row>
    <row r="2313">
      <c r="B2313" s="223" t="s">
        <v>200</v>
      </c>
      <c r="C2313" s="223"/>
      <c r="K2313" s="319"/>
      <c r="L2313" s="218"/>
    </row>
    <row r="2314">
      <c r="B2314" s="223" t="s">
        <v>200</v>
      </c>
      <c r="C2314" s="223"/>
      <c r="K2314" s="319"/>
      <c r="L2314" s="218"/>
    </row>
    <row r="2315">
      <c r="B2315" s="223" t="s">
        <v>200</v>
      </c>
      <c r="C2315" s="223"/>
      <c r="K2315" s="319"/>
      <c r="L2315" s="218"/>
    </row>
    <row r="2316">
      <c r="B2316" s="223" t="s">
        <v>200</v>
      </c>
      <c r="C2316" s="223"/>
      <c r="K2316" s="319"/>
      <c r="L2316" s="218"/>
    </row>
    <row r="2317">
      <c r="B2317" s="223" t="s">
        <v>200</v>
      </c>
      <c r="C2317" s="223"/>
      <c r="K2317" s="319"/>
      <c r="L2317" s="218"/>
    </row>
    <row r="2318">
      <c r="B2318" s="223" t="s">
        <v>200</v>
      </c>
      <c r="C2318" s="223"/>
      <c r="K2318" s="319"/>
      <c r="L2318" s="218"/>
    </row>
    <row r="2319">
      <c r="B2319" s="223" t="s">
        <v>200</v>
      </c>
      <c r="C2319" s="223"/>
      <c r="K2319" s="319"/>
      <c r="L2319" s="218"/>
    </row>
    <row r="2320">
      <c r="B2320" s="223" t="s">
        <v>200</v>
      </c>
      <c r="C2320" s="223"/>
      <c r="K2320" s="319"/>
      <c r="L2320" s="218"/>
    </row>
    <row r="2321">
      <c r="B2321" s="223" t="s">
        <v>200</v>
      </c>
      <c r="C2321" s="223"/>
      <c r="K2321" s="319"/>
      <c r="L2321" s="218"/>
    </row>
    <row r="2322">
      <c r="B2322" s="223" t="s">
        <v>200</v>
      </c>
      <c r="C2322" s="223"/>
      <c r="K2322" s="319"/>
      <c r="L2322" s="218"/>
    </row>
    <row r="2323">
      <c r="B2323" s="223" t="s">
        <v>200</v>
      </c>
      <c r="C2323" s="223"/>
      <c r="K2323" s="319"/>
      <c r="L2323" s="218"/>
    </row>
    <row r="2324">
      <c r="B2324" s="223" t="s">
        <v>200</v>
      </c>
      <c r="C2324" s="223"/>
      <c r="K2324" s="319"/>
      <c r="L2324" s="218"/>
    </row>
    <row r="2325">
      <c r="B2325" s="223" t="s">
        <v>200</v>
      </c>
      <c r="C2325" s="223"/>
      <c r="K2325" s="319"/>
      <c r="L2325" s="218"/>
    </row>
    <row r="2326">
      <c r="B2326" s="223" t="s">
        <v>200</v>
      </c>
      <c r="C2326" s="223"/>
      <c r="K2326" s="319"/>
      <c r="L2326" s="218"/>
    </row>
    <row r="2327">
      <c r="B2327" s="223" t="s">
        <v>200</v>
      </c>
      <c r="C2327" s="223"/>
      <c r="K2327" s="319"/>
      <c r="L2327" s="218"/>
    </row>
    <row r="2328">
      <c r="B2328" s="223" t="s">
        <v>200</v>
      </c>
      <c r="C2328" s="223"/>
      <c r="K2328" s="319"/>
      <c r="L2328" s="218"/>
    </row>
    <row r="2329">
      <c r="B2329" s="223" t="s">
        <v>200</v>
      </c>
      <c r="C2329" s="223"/>
      <c r="K2329" s="319"/>
      <c r="L2329" s="218"/>
    </row>
    <row r="2330">
      <c r="B2330" s="223" t="s">
        <v>200</v>
      </c>
      <c r="C2330" s="223"/>
      <c r="K2330" s="319"/>
      <c r="L2330" s="218"/>
    </row>
    <row r="2331">
      <c r="B2331" s="223" t="s">
        <v>200</v>
      </c>
      <c r="C2331" s="223"/>
      <c r="K2331" s="319"/>
      <c r="L2331" s="218"/>
    </row>
    <row r="2332">
      <c r="B2332" s="223" t="s">
        <v>200</v>
      </c>
      <c r="C2332" s="223"/>
      <c r="K2332" s="319"/>
      <c r="L2332" s="218"/>
    </row>
    <row r="2333">
      <c r="B2333" s="223" t="s">
        <v>200</v>
      </c>
      <c r="C2333" s="223"/>
      <c r="K2333" s="319"/>
      <c r="L2333" s="218"/>
    </row>
    <row r="2334">
      <c r="B2334" s="223" t="s">
        <v>200</v>
      </c>
      <c r="C2334" s="223"/>
      <c r="K2334" s="319"/>
      <c r="L2334" s="218"/>
    </row>
    <row r="2335">
      <c r="B2335" s="223" t="s">
        <v>200</v>
      </c>
      <c r="C2335" s="223"/>
      <c r="K2335" s="319"/>
      <c r="L2335" s="218"/>
    </row>
    <row r="2336">
      <c r="B2336" s="223" t="s">
        <v>200</v>
      </c>
      <c r="C2336" s="223"/>
      <c r="K2336" s="319"/>
      <c r="L2336" s="218"/>
    </row>
    <row r="2337">
      <c r="B2337" s="223" t="s">
        <v>200</v>
      </c>
      <c r="C2337" s="223"/>
      <c r="K2337" s="319"/>
      <c r="L2337" s="218"/>
    </row>
    <row r="2338">
      <c r="B2338" s="223" t="s">
        <v>200</v>
      </c>
      <c r="C2338" s="223"/>
      <c r="K2338" s="319"/>
      <c r="L2338" s="218"/>
    </row>
    <row r="2339">
      <c r="B2339" s="223" t="s">
        <v>200</v>
      </c>
      <c r="C2339" s="223"/>
      <c r="K2339" s="319"/>
      <c r="L2339" s="218"/>
    </row>
    <row r="2340">
      <c r="B2340" s="223" t="s">
        <v>200</v>
      </c>
      <c r="C2340" s="223"/>
      <c r="K2340" s="319"/>
      <c r="L2340" s="218"/>
    </row>
    <row r="2341">
      <c r="B2341" s="223" t="s">
        <v>200</v>
      </c>
      <c r="C2341" s="223"/>
      <c r="K2341" s="319"/>
      <c r="L2341" s="218"/>
    </row>
    <row r="2342">
      <c r="B2342" s="223" t="s">
        <v>200</v>
      </c>
      <c r="C2342" s="223"/>
      <c r="K2342" s="319"/>
      <c r="L2342" s="218"/>
    </row>
    <row r="2343">
      <c r="B2343" s="223" t="s">
        <v>200</v>
      </c>
      <c r="C2343" s="223"/>
      <c r="K2343" s="319"/>
      <c r="L2343" s="218"/>
    </row>
    <row r="2344">
      <c r="B2344" s="223" t="s">
        <v>200</v>
      </c>
      <c r="C2344" s="223"/>
      <c r="K2344" s="319"/>
      <c r="L2344" s="218"/>
    </row>
    <row r="2345">
      <c r="B2345" s="223" t="s">
        <v>200</v>
      </c>
      <c r="C2345" s="223"/>
      <c r="K2345" s="319"/>
      <c r="L2345" s="218"/>
    </row>
    <row r="2346">
      <c r="B2346" s="223" t="s">
        <v>200</v>
      </c>
      <c r="C2346" s="223"/>
      <c r="K2346" s="319"/>
      <c r="L2346" s="218"/>
    </row>
    <row r="2347">
      <c r="B2347" s="223" t="s">
        <v>200</v>
      </c>
      <c r="C2347" s="223"/>
      <c r="K2347" s="319"/>
      <c r="L2347" s="218"/>
    </row>
    <row r="2348">
      <c r="B2348" s="223" t="s">
        <v>200</v>
      </c>
      <c r="C2348" s="223"/>
      <c r="K2348" s="319"/>
      <c r="L2348" s="218"/>
    </row>
    <row r="2349">
      <c r="B2349" s="223" t="s">
        <v>200</v>
      </c>
      <c r="C2349" s="223"/>
      <c r="K2349" s="319"/>
      <c r="L2349" s="218"/>
    </row>
    <row r="2350">
      <c r="B2350" s="223" t="s">
        <v>200</v>
      </c>
      <c r="C2350" s="223"/>
      <c r="K2350" s="319"/>
      <c r="L2350" s="218"/>
    </row>
    <row r="2351">
      <c r="B2351" s="223" t="s">
        <v>200</v>
      </c>
      <c r="C2351" s="223"/>
      <c r="K2351" s="319"/>
      <c r="L2351" s="218"/>
    </row>
    <row r="2352">
      <c r="B2352" s="223" t="s">
        <v>200</v>
      </c>
      <c r="C2352" s="223"/>
      <c r="K2352" s="319"/>
      <c r="L2352" s="218"/>
    </row>
    <row r="2353">
      <c r="B2353" s="223" t="s">
        <v>200</v>
      </c>
      <c r="C2353" s="223"/>
      <c r="K2353" s="319"/>
      <c r="L2353" s="218"/>
    </row>
    <row r="2354">
      <c r="B2354" s="223" t="s">
        <v>200</v>
      </c>
      <c r="C2354" s="223"/>
      <c r="K2354" s="319"/>
      <c r="L2354" s="218"/>
    </row>
    <row r="2355">
      <c r="B2355" s="223" t="s">
        <v>200</v>
      </c>
      <c r="C2355" s="223"/>
      <c r="K2355" s="319"/>
      <c r="L2355" s="218"/>
    </row>
    <row r="2356">
      <c r="B2356" s="223" t="s">
        <v>200</v>
      </c>
      <c r="C2356" s="223"/>
      <c r="K2356" s="319"/>
      <c r="L2356" s="218"/>
    </row>
    <row r="2357">
      <c r="B2357" s="223" t="s">
        <v>200</v>
      </c>
      <c r="C2357" s="223"/>
      <c r="K2357" s="319"/>
      <c r="L2357" s="218"/>
    </row>
    <row r="2358">
      <c r="B2358" s="223" t="s">
        <v>200</v>
      </c>
      <c r="C2358" s="223"/>
      <c r="K2358" s="319"/>
      <c r="L2358" s="218"/>
    </row>
    <row r="2359">
      <c r="B2359" s="223" t="s">
        <v>200</v>
      </c>
      <c r="C2359" s="223"/>
      <c r="K2359" s="319"/>
      <c r="L2359" s="218"/>
    </row>
    <row r="2360">
      <c r="B2360" s="223" t="s">
        <v>200</v>
      </c>
      <c r="C2360" s="223"/>
      <c r="K2360" s="319"/>
      <c r="L2360" s="218"/>
    </row>
    <row r="2361">
      <c r="B2361" s="223" t="s">
        <v>200</v>
      </c>
      <c r="C2361" s="223"/>
      <c r="K2361" s="319"/>
      <c r="L2361" s="218"/>
    </row>
    <row r="2362">
      <c r="B2362" s="223" t="s">
        <v>200</v>
      </c>
      <c r="C2362" s="223"/>
      <c r="K2362" s="319"/>
      <c r="L2362" s="218"/>
    </row>
    <row r="2363">
      <c r="B2363" s="223" t="s">
        <v>200</v>
      </c>
      <c r="C2363" s="223"/>
      <c r="K2363" s="319"/>
      <c r="L2363" s="218"/>
    </row>
    <row r="2364">
      <c r="B2364" s="223" t="s">
        <v>200</v>
      </c>
      <c r="C2364" s="223"/>
      <c r="K2364" s="319"/>
      <c r="L2364" s="218"/>
    </row>
    <row r="2365">
      <c r="B2365" s="223" t="s">
        <v>200</v>
      </c>
      <c r="C2365" s="223"/>
      <c r="K2365" s="319"/>
      <c r="L2365" s="218"/>
    </row>
    <row r="2366">
      <c r="B2366" s="223" t="s">
        <v>200</v>
      </c>
      <c r="C2366" s="223"/>
      <c r="K2366" s="319"/>
      <c r="L2366" s="218"/>
    </row>
    <row r="2367">
      <c r="B2367" s="223" t="s">
        <v>200</v>
      </c>
      <c r="C2367" s="223"/>
      <c r="K2367" s="319"/>
      <c r="L2367" s="218"/>
    </row>
    <row r="2368">
      <c r="B2368" s="223" t="s">
        <v>200</v>
      </c>
      <c r="C2368" s="223"/>
      <c r="K2368" s="319"/>
      <c r="L2368" s="218"/>
    </row>
    <row r="2369">
      <c r="B2369" s="223" t="s">
        <v>200</v>
      </c>
      <c r="C2369" s="223"/>
      <c r="K2369" s="319"/>
      <c r="L2369" s="218"/>
    </row>
    <row r="2370">
      <c r="B2370" s="223" t="s">
        <v>200</v>
      </c>
      <c r="C2370" s="223"/>
      <c r="K2370" s="319"/>
      <c r="L2370" s="218"/>
    </row>
    <row r="2371">
      <c r="B2371" s="223" t="s">
        <v>200</v>
      </c>
      <c r="C2371" s="223"/>
      <c r="K2371" s="319"/>
      <c r="L2371" s="218"/>
    </row>
    <row r="2372">
      <c r="B2372" s="223" t="s">
        <v>200</v>
      </c>
      <c r="C2372" s="223"/>
      <c r="K2372" s="319"/>
      <c r="L2372" s="218"/>
    </row>
    <row r="2373">
      <c r="B2373" s="223" t="s">
        <v>200</v>
      </c>
      <c r="C2373" s="223"/>
      <c r="K2373" s="319"/>
      <c r="L2373" s="218"/>
    </row>
    <row r="2374">
      <c r="B2374" s="223" t="s">
        <v>200</v>
      </c>
      <c r="C2374" s="223"/>
      <c r="K2374" s="319"/>
      <c r="L2374" s="218"/>
    </row>
    <row r="2375">
      <c r="B2375" s="223" t="s">
        <v>200</v>
      </c>
      <c r="C2375" s="223"/>
      <c r="K2375" s="319"/>
      <c r="L2375" s="218"/>
    </row>
    <row r="2376">
      <c r="B2376" s="223" t="s">
        <v>200</v>
      </c>
      <c r="C2376" s="223"/>
      <c r="K2376" s="319"/>
      <c r="L2376" s="218"/>
    </row>
    <row r="2377">
      <c r="B2377" s="223" t="s">
        <v>200</v>
      </c>
      <c r="C2377" s="223"/>
      <c r="K2377" s="319"/>
      <c r="L2377" s="218"/>
    </row>
    <row r="2378">
      <c r="B2378" s="223" t="s">
        <v>200</v>
      </c>
      <c r="C2378" s="223"/>
      <c r="K2378" s="319"/>
      <c r="L2378" s="218"/>
    </row>
    <row r="2379">
      <c r="B2379" s="223" t="s">
        <v>200</v>
      </c>
      <c r="C2379" s="223"/>
      <c r="K2379" s="319"/>
      <c r="L2379" s="218"/>
    </row>
    <row r="2380">
      <c r="B2380" s="223" t="s">
        <v>200</v>
      </c>
      <c r="C2380" s="223"/>
      <c r="K2380" s="319"/>
      <c r="L2380" s="218"/>
    </row>
    <row r="2381">
      <c r="B2381" s="223" t="s">
        <v>200</v>
      </c>
      <c r="C2381" s="223"/>
      <c r="K2381" s="319"/>
      <c r="L2381" s="218"/>
    </row>
    <row r="2382">
      <c r="B2382" s="223" t="s">
        <v>200</v>
      </c>
      <c r="C2382" s="223"/>
      <c r="K2382" s="319"/>
      <c r="L2382" s="218"/>
    </row>
    <row r="2383">
      <c r="B2383" s="223" t="s">
        <v>200</v>
      </c>
      <c r="C2383" s="223"/>
      <c r="K2383" s="319"/>
      <c r="L2383" s="218"/>
    </row>
    <row r="2384">
      <c r="B2384" s="223" t="s">
        <v>200</v>
      </c>
      <c r="C2384" s="223"/>
      <c r="K2384" s="319"/>
      <c r="L2384" s="218"/>
    </row>
    <row r="2385">
      <c r="B2385" s="223" t="s">
        <v>200</v>
      </c>
      <c r="C2385" s="223"/>
      <c r="K2385" s="319"/>
      <c r="L2385" s="218"/>
    </row>
    <row r="2386">
      <c r="B2386" s="223" t="s">
        <v>200</v>
      </c>
      <c r="C2386" s="223"/>
      <c r="K2386" s="319"/>
      <c r="L2386" s="218"/>
    </row>
    <row r="2387">
      <c r="B2387" s="223" t="s">
        <v>200</v>
      </c>
      <c r="C2387" s="223"/>
      <c r="K2387" s="319"/>
      <c r="L2387" s="218"/>
    </row>
    <row r="2388">
      <c r="B2388" s="223" t="s">
        <v>200</v>
      </c>
      <c r="C2388" s="223"/>
      <c r="K2388" s="319"/>
      <c r="L2388" s="218"/>
    </row>
    <row r="2389">
      <c r="B2389" s="223" t="s">
        <v>200</v>
      </c>
      <c r="C2389" s="223"/>
      <c r="K2389" s="319"/>
      <c r="L2389" s="218"/>
    </row>
    <row r="2390">
      <c r="B2390" s="223" t="s">
        <v>200</v>
      </c>
      <c r="C2390" s="223"/>
      <c r="K2390" s="319"/>
      <c r="L2390" s="218"/>
    </row>
    <row r="2391">
      <c r="B2391" s="223" t="s">
        <v>200</v>
      </c>
      <c r="C2391" s="223"/>
      <c r="K2391" s="319"/>
      <c r="L2391" s="218"/>
    </row>
    <row r="2392">
      <c r="B2392" s="223" t="s">
        <v>200</v>
      </c>
      <c r="C2392" s="223"/>
      <c r="K2392" s="319"/>
      <c r="L2392" s="218"/>
    </row>
    <row r="2393">
      <c r="B2393" s="223" t="s">
        <v>200</v>
      </c>
      <c r="C2393" s="223"/>
      <c r="K2393" s="319"/>
      <c r="L2393" s="218"/>
    </row>
    <row r="2394">
      <c r="B2394" s="223" t="s">
        <v>200</v>
      </c>
      <c r="C2394" s="223"/>
      <c r="K2394" s="319"/>
      <c r="L2394" s="218"/>
    </row>
    <row r="2395">
      <c r="B2395" s="223" t="s">
        <v>200</v>
      </c>
      <c r="C2395" s="223"/>
      <c r="K2395" s="319"/>
      <c r="L2395" s="218"/>
    </row>
    <row r="2396">
      <c r="B2396" s="223" t="s">
        <v>200</v>
      </c>
      <c r="C2396" s="223"/>
      <c r="K2396" s="319"/>
      <c r="L2396" s="218"/>
    </row>
    <row r="2397">
      <c r="B2397" s="223" t="s">
        <v>200</v>
      </c>
      <c r="C2397" s="223"/>
      <c r="K2397" s="319"/>
      <c r="L2397" s="218"/>
    </row>
    <row r="2398">
      <c r="B2398" s="223" t="s">
        <v>200</v>
      </c>
      <c r="C2398" s="223"/>
      <c r="K2398" s="319"/>
      <c r="L2398" s="218"/>
    </row>
    <row r="2399">
      <c r="B2399" s="223" t="s">
        <v>200</v>
      </c>
      <c r="C2399" s="223"/>
      <c r="K2399" s="319"/>
      <c r="L2399" s="218"/>
    </row>
    <row r="2400">
      <c r="B2400" s="223" t="s">
        <v>200</v>
      </c>
      <c r="C2400" s="223"/>
      <c r="K2400" s="319"/>
      <c r="L2400" s="218"/>
    </row>
    <row r="2401">
      <c r="B2401" s="223" t="s">
        <v>200</v>
      </c>
      <c r="C2401" s="223"/>
      <c r="K2401" s="319"/>
      <c r="L2401" s="218"/>
    </row>
    <row r="2402">
      <c r="B2402" s="223" t="s">
        <v>200</v>
      </c>
      <c r="C2402" s="223"/>
      <c r="K2402" s="319"/>
      <c r="L2402" s="218"/>
    </row>
    <row r="2403">
      <c r="B2403" s="223" t="s">
        <v>200</v>
      </c>
      <c r="C2403" s="223"/>
      <c r="K2403" s="319"/>
      <c r="L2403" s="218"/>
    </row>
    <row r="2404">
      <c r="B2404" s="223" t="s">
        <v>200</v>
      </c>
      <c r="C2404" s="223"/>
      <c r="K2404" s="319"/>
      <c r="L2404" s="218"/>
    </row>
    <row r="2405">
      <c r="B2405" s="223" t="s">
        <v>200</v>
      </c>
      <c r="C2405" s="223"/>
      <c r="K2405" s="319"/>
      <c r="L2405" s="218"/>
    </row>
    <row r="2406">
      <c r="B2406" s="223" t="s">
        <v>200</v>
      </c>
      <c r="C2406" s="223"/>
      <c r="K2406" s="319"/>
      <c r="L2406" s="218"/>
    </row>
    <row r="2407">
      <c r="B2407" s="223" t="s">
        <v>200</v>
      </c>
      <c r="C2407" s="223"/>
      <c r="K2407" s="319"/>
      <c r="L2407" s="218"/>
    </row>
    <row r="2408">
      <c r="B2408" s="223" t="s">
        <v>200</v>
      </c>
      <c r="C2408" s="223"/>
      <c r="K2408" s="319"/>
      <c r="L2408" s="218"/>
    </row>
    <row r="2409">
      <c r="B2409" s="223" t="s">
        <v>200</v>
      </c>
      <c r="C2409" s="223"/>
      <c r="K2409" s="319"/>
      <c r="L2409" s="218"/>
    </row>
    <row r="2410">
      <c r="B2410" s="223" t="s">
        <v>200</v>
      </c>
      <c r="C2410" s="223"/>
      <c r="K2410" s="319"/>
      <c r="L2410" s="218"/>
    </row>
    <row r="2411">
      <c r="B2411" s="223" t="s">
        <v>200</v>
      </c>
      <c r="C2411" s="223"/>
      <c r="K2411" s="319"/>
      <c r="L2411" s="218"/>
    </row>
    <row r="2412">
      <c r="B2412" s="223" t="s">
        <v>200</v>
      </c>
      <c r="C2412" s="223"/>
      <c r="K2412" s="319"/>
      <c r="L2412" s="218"/>
    </row>
    <row r="2413">
      <c r="B2413" s="223" t="s">
        <v>200</v>
      </c>
      <c r="C2413" s="223"/>
      <c r="K2413" s="319"/>
      <c r="L2413" s="218"/>
    </row>
    <row r="2414">
      <c r="B2414" s="223" t="s">
        <v>200</v>
      </c>
      <c r="C2414" s="223"/>
      <c r="K2414" s="319"/>
      <c r="L2414" s="218"/>
    </row>
    <row r="2415">
      <c r="B2415" s="223" t="s">
        <v>200</v>
      </c>
      <c r="C2415" s="223"/>
      <c r="K2415" s="319"/>
      <c r="L2415" s="218"/>
    </row>
    <row r="2416">
      <c r="B2416" s="223" t="s">
        <v>200</v>
      </c>
      <c r="C2416" s="223"/>
      <c r="K2416" s="319"/>
      <c r="L2416" s="218"/>
    </row>
    <row r="2417">
      <c r="B2417" s="223" t="s">
        <v>200</v>
      </c>
      <c r="C2417" s="223"/>
      <c r="K2417" s="319"/>
      <c r="L2417" s="218"/>
    </row>
    <row r="2418">
      <c r="B2418" s="223" t="s">
        <v>200</v>
      </c>
      <c r="C2418" s="223"/>
      <c r="K2418" s="319"/>
      <c r="L2418" s="218"/>
    </row>
    <row r="2419">
      <c r="B2419" s="223" t="s">
        <v>200</v>
      </c>
      <c r="C2419" s="223"/>
      <c r="K2419" s="319"/>
      <c r="L2419" s="218"/>
    </row>
    <row r="2420">
      <c r="B2420" s="223" t="s">
        <v>200</v>
      </c>
      <c r="C2420" s="223"/>
      <c r="K2420" s="319"/>
      <c r="L2420" s="218"/>
    </row>
    <row r="2421">
      <c r="B2421" s="223" t="s">
        <v>200</v>
      </c>
      <c r="C2421" s="223"/>
      <c r="K2421" s="319"/>
      <c r="L2421" s="218"/>
    </row>
    <row r="2422">
      <c r="B2422" s="223" t="s">
        <v>200</v>
      </c>
      <c r="C2422" s="223"/>
      <c r="K2422" s="319"/>
      <c r="L2422" s="218"/>
    </row>
    <row r="2423">
      <c r="B2423" s="223" t="s">
        <v>200</v>
      </c>
      <c r="C2423" s="223"/>
      <c r="K2423" s="319"/>
      <c r="L2423" s="218"/>
    </row>
    <row r="2424">
      <c r="B2424" s="223" t="s">
        <v>200</v>
      </c>
      <c r="C2424" s="223"/>
      <c r="K2424" s="319"/>
      <c r="L2424" s="218"/>
    </row>
    <row r="2425">
      <c r="B2425" s="223" t="s">
        <v>200</v>
      </c>
      <c r="C2425" s="223"/>
      <c r="K2425" s="319"/>
      <c r="L2425" s="218"/>
    </row>
    <row r="2426">
      <c r="B2426" s="223" t="s">
        <v>200</v>
      </c>
      <c r="C2426" s="223"/>
      <c r="K2426" s="319"/>
      <c r="L2426" s="218"/>
    </row>
    <row r="2427">
      <c r="B2427" s="223" t="s">
        <v>200</v>
      </c>
      <c r="C2427" s="223"/>
      <c r="K2427" s="319"/>
      <c r="L2427" s="218"/>
    </row>
    <row r="2428">
      <c r="B2428" s="223" t="s">
        <v>200</v>
      </c>
      <c r="C2428" s="223"/>
      <c r="K2428" s="319"/>
      <c r="L2428" s="218"/>
    </row>
    <row r="2429">
      <c r="B2429" s="223" t="s">
        <v>200</v>
      </c>
      <c r="C2429" s="223"/>
      <c r="K2429" s="319"/>
      <c r="L2429" s="218"/>
    </row>
    <row r="2430">
      <c r="B2430" s="223" t="s">
        <v>200</v>
      </c>
      <c r="C2430" s="223"/>
      <c r="K2430" s="319"/>
      <c r="L2430" s="218"/>
    </row>
    <row r="2431">
      <c r="B2431" s="223" t="s">
        <v>200</v>
      </c>
      <c r="C2431" s="223"/>
      <c r="K2431" s="319"/>
      <c r="L2431" s="218"/>
    </row>
    <row r="2432">
      <c r="B2432" s="223" t="s">
        <v>200</v>
      </c>
      <c r="C2432" s="223"/>
      <c r="K2432" s="319"/>
      <c r="L2432" s="218"/>
    </row>
    <row r="2433">
      <c r="B2433" s="223" t="s">
        <v>200</v>
      </c>
      <c r="C2433" s="223"/>
      <c r="K2433" s="319"/>
      <c r="L2433" s="218"/>
    </row>
    <row r="2434">
      <c r="B2434" s="223" t="s">
        <v>200</v>
      </c>
      <c r="C2434" s="223"/>
      <c r="K2434" s="319"/>
      <c r="L2434" s="218"/>
    </row>
    <row r="2435">
      <c r="B2435" s="223" t="s">
        <v>200</v>
      </c>
      <c r="C2435" s="223"/>
      <c r="K2435" s="319"/>
      <c r="L2435" s="218"/>
    </row>
    <row r="2436">
      <c r="B2436" s="223" t="s">
        <v>200</v>
      </c>
      <c r="C2436" s="223"/>
      <c r="K2436" s="319"/>
      <c r="L2436" s="218"/>
    </row>
    <row r="2437">
      <c r="B2437" s="223" t="s">
        <v>200</v>
      </c>
      <c r="C2437" s="223"/>
      <c r="K2437" s="319"/>
      <c r="L2437" s="218"/>
    </row>
    <row r="2438">
      <c r="B2438" s="223" t="s">
        <v>200</v>
      </c>
      <c r="C2438" s="223"/>
      <c r="K2438" s="319"/>
      <c r="L2438" s="218"/>
    </row>
    <row r="2439">
      <c r="B2439" s="223" t="s">
        <v>200</v>
      </c>
      <c r="C2439" s="223"/>
      <c r="K2439" s="319"/>
      <c r="L2439" s="218"/>
    </row>
    <row r="2440">
      <c r="B2440" s="223" t="s">
        <v>200</v>
      </c>
      <c r="C2440" s="223"/>
      <c r="K2440" s="319"/>
      <c r="L2440" s="218"/>
    </row>
    <row r="2441">
      <c r="B2441" s="223" t="s">
        <v>200</v>
      </c>
      <c r="C2441" s="223"/>
      <c r="K2441" s="319"/>
      <c r="L2441" s="218"/>
    </row>
    <row r="2442">
      <c r="B2442" s="223" t="s">
        <v>200</v>
      </c>
      <c r="C2442" s="223"/>
      <c r="K2442" s="319"/>
      <c r="L2442" s="218"/>
    </row>
    <row r="2443">
      <c r="B2443" s="223" t="s">
        <v>200</v>
      </c>
      <c r="C2443" s="223"/>
      <c r="K2443" s="319"/>
      <c r="L2443" s="218"/>
    </row>
    <row r="2444">
      <c r="B2444" s="223" t="s">
        <v>200</v>
      </c>
      <c r="C2444" s="223"/>
      <c r="K2444" s="319"/>
      <c r="L2444" s="218"/>
    </row>
    <row r="2445">
      <c r="B2445" s="223" t="s">
        <v>200</v>
      </c>
      <c r="C2445" s="223"/>
      <c r="K2445" s="319"/>
      <c r="L2445" s="218"/>
    </row>
    <row r="2446">
      <c r="B2446" s="223" t="s">
        <v>200</v>
      </c>
      <c r="C2446" s="223"/>
      <c r="K2446" s="319"/>
      <c r="L2446" s="218"/>
    </row>
    <row r="2447">
      <c r="B2447" s="223" t="s">
        <v>200</v>
      </c>
      <c r="C2447" s="223"/>
      <c r="K2447" s="319"/>
      <c r="L2447" s="218"/>
    </row>
    <row r="2448">
      <c r="B2448" s="223" t="s">
        <v>200</v>
      </c>
      <c r="C2448" s="223"/>
      <c r="K2448" s="319"/>
      <c r="L2448" s="218"/>
    </row>
    <row r="2449">
      <c r="B2449" s="223" t="s">
        <v>200</v>
      </c>
      <c r="C2449" s="223"/>
      <c r="K2449" s="319"/>
      <c r="L2449" s="218"/>
    </row>
    <row r="2450">
      <c r="B2450" s="223" t="s">
        <v>200</v>
      </c>
      <c r="C2450" s="223"/>
      <c r="K2450" s="319"/>
      <c r="L2450" s="218"/>
    </row>
    <row r="2451">
      <c r="B2451" s="223" t="s">
        <v>200</v>
      </c>
      <c r="C2451" s="223"/>
      <c r="K2451" s="319"/>
      <c r="L2451" s="218"/>
    </row>
    <row r="2452">
      <c r="B2452" s="223" t="s">
        <v>200</v>
      </c>
      <c r="C2452" s="223"/>
      <c r="K2452" s="319"/>
      <c r="L2452" s="218"/>
    </row>
    <row r="2453">
      <c r="B2453" s="223" t="s">
        <v>200</v>
      </c>
      <c r="C2453" s="223"/>
      <c r="K2453" s="319"/>
      <c r="L2453" s="218"/>
    </row>
    <row r="2454">
      <c r="B2454" s="223" t="s">
        <v>200</v>
      </c>
      <c r="C2454" s="223"/>
      <c r="K2454" s="319"/>
      <c r="L2454" s="218"/>
    </row>
    <row r="2455">
      <c r="B2455" s="223" t="s">
        <v>200</v>
      </c>
      <c r="C2455" s="223"/>
      <c r="K2455" s="319"/>
      <c r="L2455" s="218"/>
    </row>
    <row r="2456">
      <c r="B2456" s="223" t="s">
        <v>200</v>
      </c>
      <c r="C2456" s="223"/>
      <c r="K2456" s="319"/>
      <c r="L2456" s="218"/>
    </row>
    <row r="2457">
      <c r="B2457" s="223" t="s">
        <v>200</v>
      </c>
      <c r="C2457" s="223"/>
      <c r="K2457" s="319"/>
      <c r="L2457" s="218"/>
    </row>
    <row r="2458">
      <c r="B2458" s="223" t="s">
        <v>200</v>
      </c>
      <c r="C2458" s="223"/>
      <c r="K2458" s="319"/>
      <c r="L2458" s="218"/>
    </row>
    <row r="2459">
      <c r="B2459" s="223" t="s">
        <v>200</v>
      </c>
      <c r="C2459" s="223"/>
      <c r="K2459" s="319"/>
      <c r="L2459" s="218"/>
    </row>
    <row r="2460">
      <c r="B2460" s="223" t="s">
        <v>200</v>
      </c>
      <c r="C2460" s="223"/>
      <c r="K2460" s="319"/>
      <c r="L2460" s="218"/>
    </row>
    <row r="2461">
      <c r="B2461" s="223" t="s">
        <v>200</v>
      </c>
      <c r="C2461" s="223"/>
      <c r="K2461" s="319"/>
      <c r="L2461" s="218"/>
    </row>
    <row r="2462">
      <c r="B2462" s="223" t="s">
        <v>200</v>
      </c>
      <c r="C2462" s="223"/>
      <c r="K2462" s="319"/>
      <c r="L2462" s="218"/>
    </row>
    <row r="2463">
      <c r="B2463" s="223" t="s">
        <v>200</v>
      </c>
      <c r="C2463" s="223"/>
      <c r="K2463" s="319"/>
      <c r="L2463" s="218"/>
    </row>
    <row r="2464">
      <c r="B2464" s="223" t="s">
        <v>200</v>
      </c>
      <c r="C2464" s="223"/>
      <c r="K2464" s="319"/>
      <c r="L2464" s="218"/>
    </row>
    <row r="2465">
      <c r="B2465" s="223" t="s">
        <v>200</v>
      </c>
      <c r="C2465" s="223"/>
      <c r="K2465" s="319"/>
      <c r="L2465" s="218"/>
    </row>
    <row r="2466">
      <c r="B2466" s="223" t="s">
        <v>200</v>
      </c>
      <c r="C2466" s="223"/>
      <c r="K2466" s="319"/>
      <c r="L2466" s="218"/>
    </row>
    <row r="2467">
      <c r="B2467" s="223" t="s">
        <v>200</v>
      </c>
      <c r="C2467" s="223"/>
      <c r="K2467" s="319"/>
      <c r="L2467" s="218"/>
    </row>
    <row r="2468">
      <c r="B2468" s="223" t="s">
        <v>200</v>
      </c>
      <c r="C2468" s="223"/>
      <c r="K2468" s="319"/>
      <c r="L2468" s="218"/>
    </row>
    <row r="2469">
      <c r="B2469" s="223" t="s">
        <v>200</v>
      </c>
      <c r="C2469" s="223"/>
      <c r="K2469" s="319"/>
      <c r="L2469" s="218"/>
    </row>
    <row r="2470">
      <c r="B2470" s="223" t="s">
        <v>200</v>
      </c>
      <c r="C2470" s="223"/>
      <c r="K2470" s="319"/>
      <c r="L2470" s="218"/>
    </row>
    <row r="2471">
      <c r="B2471" s="223" t="s">
        <v>200</v>
      </c>
      <c r="C2471" s="223"/>
      <c r="K2471" s="319"/>
      <c r="L2471" s="218"/>
    </row>
    <row r="2472">
      <c r="B2472" s="223" t="s">
        <v>200</v>
      </c>
      <c r="C2472" s="223"/>
      <c r="K2472" s="319"/>
      <c r="L2472" s="218"/>
    </row>
    <row r="2473">
      <c r="B2473" s="223" t="s">
        <v>200</v>
      </c>
      <c r="C2473" s="223"/>
      <c r="K2473" s="319"/>
      <c r="L2473" s="218"/>
    </row>
    <row r="2474">
      <c r="B2474" s="223" t="s">
        <v>200</v>
      </c>
      <c r="C2474" s="223"/>
      <c r="K2474" s="319"/>
      <c r="L2474" s="218"/>
    </row>
    <row r="2475">
      <c r="B2475" s="223" t="s">
        <v>200</v>
      </c>
      <c r="C2475" s="223"/>
      <c r="K2475" s="319"/>
      <c r="L2475" s="218"/>
    </row>
    <row r="2476">
      <c r="B2476" s="223" t="s">
        <v>200</v>
      </c>
      <c r="C2476" s="223"/>
      <c r="K2476" s="319"/>
      <c r="L2476" s="218"/>
    </row>
    <row r="2477">
      <c r="B2477" s="223" t="s">
        <v>200</v>
      </c>
      <c r="C2477" s="223"/>
      <c r="K2477" s="319"/>
      <c r="L2477" s="218"/>
    </row>
    <row r="2478">
      <c r="B2478" s="223" t="s">
        <v>200</v>
      </c>
      <c r="C2478" s="223"/>
      <c r="K2478" s="319"/>
      <c r="L2478" s="218"/>
    </row>
    <row r="2479">
      <c r="B2479" s="223" t="s">
        <v>200</v>
      </c>
      <c r="C2479" s="223"/>
      <c r="K2479" s="319"/>
      <c r="L2479" s="218"/>
    </row>
    <row r="2480">
      <c r="B2480" s="223" t="s">
        <v>200</v>
      </c>
      <c r="C2480" s="223"/>
      <c r="K2480" s="319"/>
      <c r="L2480" s="218"/>
    </row>
    <row r="2481">
      <c r="B2481" s="223" t="s">
        <v>200</v>
      </c>
      <c r="C2481" s="223"/>
      <c r="K2481" s="319"/>
      <c r="L2481" s="218"/>
    </row>
    <row r="2482">
      <c r="B2482" s="223" t="s">
        <v>200</v>
      </c>
      <c r="C2482" s="223"/>
      <c r="K2482" s="319"/>
      <c r="L2482" s="218"/>
    </row>
    <row r="2483">
      <c r="B2483" s="223" t="s">
        <v>200</v>
      </c>
      <c r="C2483" s="223"/>
      <c r="K2483" s="319"/>
      <c r="L2483" s="218"/>
    </row>
    <row r="2484">
      <c r="B2484" s="223" t="s">
        <v>200</v>
      </c>
      <c r="C2484" s="223"/>
      <c r="K2484" s="319"/>
      <c r="L2484" s="218"/>
    </row>
    <row r="2485">
      <c r="B2485" s="223" t="s">
        <v>200</v>
      </c>
      <c r="C2485" s="223"/>
      <c r="K2485" s="319"/>
      <c r="L2485" s="218"/>
    </row>
    <row r="2486">
      <c r="B2486" s="223" t="s">
        <v>200</v>
      </c>
      <c r="C2486" s="223"/>
      <c r="K2486" s="319"/>
      <c r="L2486" s="218"/>
    </row>
    <row r="2487">
      <c r="B2487" s="223" t="s">
        <v>200</v>
      </c>
      <c r="C2487" s="223"/>
      <c r="K2487" s="319"/>
      <c r="L2487" s="218"/>
    </row>
    <row r="2488">
      <c r="B2488" s="223" t="s">
        <v>200</v>
      </c>
      <c r="C2488" s="223"/>
      <c r="K2488" s="319"/>
      <c r="L2488" s="218"/>
    </row>
    <row r="2489">
      <c r="B2489" s="223" t="s">
        <v>200</v>
      </c>
      <c r="C2489" s="223"/>
      <c r="K2489" s="319"/>
      <c r="L2489" s="218"/>
    </row>
    <row r="2490">
      <c r="B2490" s="223" t="s">
        <v>200</v>
      </c>
      <c r="C2490" s="223"/>
      <c r="K2490" s="319"/>
      <c r="L2490" s="218"/>
    </row>
    <row r="2491">
      <c r="B2491" s="223" t="s">
        <v>200</v>
      </c>
      <c r="C2491" s="223"/>
      <c r="K2491" s="319"/>
      <c r="L2491" s="218"/>
    </row>
    <row r="2492">
      <c r="B2492" s="223" t="s">
        <v>200</v>
      </c>
      <c r="C2492" s="223"/>
      <c r="K2492" s="319"/>
      <c r="L2492" s="218"/>
    </row>
    <row r="2493">
      <c r="B2493" s="223" t="s">
        <v>200</v>
      </c>
      <c r="C2493" s="223"/>
      <c r="K2493" s="319"/>
      <c r="L2493" s="218"/>
    </row>
    <row r="2494">
      <c r="B2494" s="223" t="s">
        <v>200</v>
      </c>
      <c r="C2494" s="223"/>
      <c r="K2494" s="319"/>
      <c r="L2494" s="218"/>
    </row>
    <row r="2495">
      <c r="B2495" s="223" t="s">
        <v>200</v>
      </c>
      <c r="C2495" s="223"/>
      <c r="K2495" s="319"/>
      <c r="L2495" s="218"/>
    </row>
    <row r="2496">
      <c r="B2496" s="223" t="s">
        <v>200</v>
      </c>
      <c r="C2496" s="223"/>
      <c r="K2496" s="319"/>
      <c r="L2496" s="218"/>
    </row>
    <row r="2497">
      <c r="B2497" s="223" t="s">
        <v>200</v>
      </c>
      <c r="C2497" s="223"/>
      <c r="K2497" s="319"/>
      <c r="L2497" s="218"/>
    </row>
    <row r="2498">
      <c r="B2498" s="223" t="s">
        <v>200</v>
      </c>
      <c r="C2498" s="223"/>
      <c r="K2498" s="319"/>
      <c r="L2498" s="218"/>
    </row>
    <row r="2499">
      <c r="B2499" s="223" t="s">
        <v>200</v>
      </c>
      <c r="C2499" s="223"/>
      <c r="K2499" s="319"/>
      <c r="L2499" s="218"/>
    </row>
    <row r="2500">
      <c r="B2500" s="223" t="s">
        <v>200</v>
      </c>
      <c r="C2500" s="223"/>
      <c r="K2500" s="319"/>
      <c r="L2500" s="218"/>
    </row>
    <row r="2501">
      <c r="B2501" s="223" t="s">
        <v>200</v>
      </c>
      <c r="C2501" s="223"/>
      <c r="K2501" s="319"/>
      <c r="L2501" s="218"/>
    </row>
    <row r="2502">
      <c r="B2502" s="223" t="s">
        <v>200</v>
      </c>
      <c r="C2502" s="223"/>
      <c r="K2502" s="319"/>
      <c r="L2502" s="218"/>
    </row>
    <row r="2503">
      <c r="B2503" s="223" t="s">
        <v>200</v>
      </c>
      <c r="C2503" s="223"/>
      <c r="K2503" s="319"/>
      <c r="L2503" s="218"/>
    </row>
    <row r="2504">
      <c r="B2504" s="223" t="s">
        <v>200</v>
      </c>
      <c r="C2504" s="223"/>
      <c r="K2504" s="319"/>
      <c r="L2504" s="218"/>
    </row>
    <row r="2505">
      <c r="B2505" s="223" t="s">
        <v>200</v>
      </c>
      <c r="C2505" s="223"/>
      <c r="K2505" s="319"/>
      <c r="L2505" s="218"/>
    </row>
    <row r="2506">
      <c r="B2506" s="223" t="s">
        <v>200</v>
      </c>
      <c r="C2506" s="223"/>
      <c r="K2506" s="319"/>
      <c r="L2506" s="218"/>
    </row>
    <row r="2507">
      <c r="B2507" s="223" t="s">
        <v>200</v>
      </c>
      <c r="C2507" s="223"/>
      <c r="K2507" s="319"/>
      <c r="L2507" s="218"/>
    </row>
    <row r="2508">
      <c r="B2508" s="223" t="s">
        <v>200</v>
      </c>
      <c r="C2508" s="223"/>
      <c r="K2508" s="319"/>
      <c r="L2508" s="218"/>
    </row>
    <row r="2509">
      <c r="B2509" s="223" t="s">
        <v>200</v>
      </c>
      <c r="C2509" s="223"/>
      <c r="K2509" s="319"/>
      <c r="L2509" s="218"/>
    </row>
    <row r="2510">
      <c r="B2510" s="223" t="s">
        <v>200</v>
      </c>
      <c r="C2510" s="223"/>
      <c r="K2510" s="319"/>
      <c r="L2510" s="218"/>
    </row>
    <row r="2511">
      <c r="B2511" s="223" t="s">
        <v>200</v>
      </c>
      <c r="C2511" s="223"/>
      <c r="K2511" s="319"/>
      <c r="L2511" s="218"/>
    </row>
    <row r="2512">
      <c r="B2512" s="223" t="s">
        <v>200</v>
      </c>
      <c r="C2512" s="223"/>
      <c r="K2512" s="319"/>
      <c r="L2512" s="218"/>
    </row>
    <row r="2513">
      <c r="B2513" s="223" t="s">
        <v>200</v>
      </c>
      <c r="C2513" s="223"/>
      <c r="K2513" s="319"/>
      <c r="L2513" s="218"/>
    </row>
    <row r="2514">
      <c r="B2514" s="223" t="s">
        <v>200</v>
      </c>
      <c r="C2514" s="223"/>
      <c r="K2514" s="319"/>
      <c r="L2514" s="218"/>
    </row>
    <row r="2515">
      <c r="B2515" s="223" t="s">
        <v>200</v>
      </c>
      <c r="C2515" s="223"/>
      <c r="K2515" s="319"/>
      <c r="L2515" s="218"/>
    </row>
    <row r="2516">
      <c r="B2516" s="223" t="s">
        <v>200</v>
      </c>
      <c r="C2516" s="223"/>
      <c r="K2516" s="319"/>
      <c r="L2516" s="218"/>
    </row>
    <row r="2517">
      <c r="B2517" s="223" t="s">
        <v>200</v>
      </c>
      <c r="C2517" s="223"/>
      <c r="K2517" s="319"/>
      <c r="L2517" s="218"/>
    </row>
    <row r="2518">
      <c r="B2518" s="223" t="s">
        <v>200</v>
      </c>
      <c r="C2518" s="223"/>
      <c r="K2518" s="319"/>
      <c r="L2518" s="218"/>
    </row>
    <row r="2519">
      <c r="B2519" s="223" t="s">
        <v>200</v>
      </c>
      <c r="C2519" s="223"/>
      <c r="K2519" s="319"/>
      <c r="L2519" s="218"/>
    </row>
    <row r="2520">
      <c r="B2520" s="223" t="s">
        <v>200</v>
      </c>
      <c r="C2520" s="223"/>
      <c r="K2520" s="319"/>
      <c r="L2520" s="218"/>
    </row>
    <row r="2521">
      <c r="B2521" s="223" t="s">
        <v>200</v>
      </c>
      <c r="C2521" s="223"/>
      <c r="K2521" s="319"/>
      <c r="L2521" s="218"/>
    </row>
    <row r="2522">
      <c r="B2522" s="223" t="s">
        <v>200</v>
      </c>
      <c r="C2522" s="223"/>
      <c r="K2522" s="319"/>
      <c r="L2522" s="218"/>
    </row>
    <row r="2523">
      <c r="B2523" s="223" t="s">
        <v>200</v>
      </c>
      <c r="C2523" s="223"/>
      <c r="K2523" s="319"/>
      <c r="L2523" s="218"/>
    </row>
    <row r="2524">
      <c r="B2524" s="223" t="s">
        <v>200</v>
      </c>
      <c r="C2524" s="223"/>
      <c r="K2524" s="319"/>
      <c r="L2524" s="218"/>
    </row>
    <row r="2525">
      <c r="B2525" s="223" t="s">
        <v>200</v>
      </c>
      <c r="C2525" s="223"/>
      <c r="K2525" s="319"/>
      <c r="L2525" s="218"/>
    </row>
    <row r="2526">
      <c r="B2526" s="223" t="s">
        <v>200</v>
      </c>
      <c r="C2526" s="223"/>
      <c r="K2526" s="319"/>
      <c r="L2526" s="218"/>
    </row>
    <row r="2527">
      <c r="B2527" s="223" t="s">
        <v>200</v>
      </c>
      <c r="C2527" s="223"/>
      <c r="K2527" s="319"/>
      <c r="L2527" s="218"/>
    </row>
    <row r="2528">
      <c r="B2528" s="223" t="s">
        <v>200</v>
      </c>
      <c r="C2528" s="223"/>
      <c r="K2528" s="319"/>
      <c r="L2528" s="218"/>
    </row>
    <row r="2529">
      <c r="B2529" s="223" t="s">
        <v>200</v>
      </c>
      <c r="C2529" s="223"/>
      <c r="K2529" s="319"/>
      <c r="L2529" s="218"/>
    </row>
    <row r="2530">
      <c r="B2530" s="223" t="s">
        <v>200</v>
      </c>
      <c r="C2530" s="223"/>
      <c r="K2530" s="319"/>
      <c r="L2530" s="218"/>
    </row>
    <row r="2531">
      <c r="B2531" s="223" t="s">
        <v>200</v>
      </c>
      <c r="C2531" s="223"/>
      <c r="K2531" s="319"/>
      <c r="L2531" s="218"/>
    </row>
    <row r="2532">
      <c r="B2532" s="223" t="s">
        <v>200</v>
      </c>
      <c r="C2532" s="223"/>
      <c r="K2532" s="319"/>
      <c r="L2532" s="218"/>
    </row>
    <row r="2533">
      <c r="B2533" s="223" t="s">
        <v>200</v>
      </c>
      <c r="C2533" s="223"/>
      <c r="K2533" s="319"/>
      <c r="L2533" s="218"/>
    </row>
    <row r="2534">
      <c r="B2534" s="223" t="s">
        <v>200</v>
      </c>
      <c r="C2534" s="223"/>
      <c r="K2534" s="319"/>
      <c r="L2534" s="218"/>
    </row>
    <row r="2535">
      <c r="B2535" s="223" t="s">
        <v>200</v>
      </c>
      <c r="C2535" s="223"/>
      <c r="K2535" s="319"/>
      <c r="L2535" s="218"/>
    </row>
    <row r="2536">
      <c r="B2536" s="223" t="s">
        <v>200</v>
      </c>
      <c r="C2536" s="223"/>
      <c r="K2536" s="319"/>
      <c r="L2536" s="218"/>
    </row>
    <row r="2537">
      <c r="B2537" s="223" t="s">
        <v>200</v>
      </c>
      <c r="C2537" s="223"/>
      <c r="K2537" s="319"/>
      <c r="L2537" s="218"/>
    </row>
    <row r="2538">
      <c r="B2538" s="223" t="s">
        <v>200</v>
      </c>
      <c r="C2538" s="223"/>
      <c r="K2538" s="319"/>
      <c r="L2538" s="218"/>
    </row>
    <row r="2539">
      <c r="B2539" s="223" t="s">
        <v>200</v>
      </c>
      <c r="C2539" s="223"/>
      <c r="K2539" s="319"/>
      <c r="L2539" s="218"/>
    </row>
    <row r="2540">
      <c r="B2540" s="223" t="s">
        <v>200</v>
      </c>
      <c r="C2540" s="223"/>
      <c r="K2540" s="319"/>
      <c r="L2540" s="218"/>
    </row>
    <row r="2541">
      <c r="B2541" s="223" t="s">
        <v>200</v>
      </c>
      <c r="C2541" s="223"/>
      <c r="K2541" s="319"/>
      <c r="L2541" s="218"/>
    </row>
    <row r="2542">
      <c r="B2542" s="223" t="s">
        <v>200</v>
      </c>
      <c r="C2542" s="223"/>
      <c r="K2542" s="319"/>
      <c r="L2542" s="218"/>
    </row>
    <row r="2543">
      <c r="B2543" s="223" t="s">
        <v>200</v>
      </c>
      <c r="C2543" s="223"/>
      <c r="K2543" s="319"/>
      <c r="L2543" s="218"/>
    </row>
    <row r="2544">
      <c r="B2544" s="223" t="s">
        <v>200</v>
      </c>
      <c r="C2544" s="223"/>
      <c r="K2544" s="319"/>
      <c r="L2544" s="218"/>
    </row>
    <row r="2545">
      <c r="B2545" s="223" t="s">
        <v>200</v>
      </c>
      <c r="C2545" s="223"/>
      <c r="K2545" s="319"/>
      <c r="L2545" s="218"/>
    </row>
    <row r="2546">
      <c r="B2546" s="223" t="s">
        <v>200</v>
      </c>
      <c r="C2546" s="223"/>
      <c r="K2546" s="319"/>
      <c r="L2546" s="218"/>
    </row>
    <row r="2547">
      <c r="B2547" s="223" t="s">
        <v>200</v>
      </c>
      <c r="C2547" s="223"/>
      <c r="K2547" s="319"/>
      <c r="L2547" s="218"/>
    </row>
    <row r="2548">
      <c r="B2548" s="223" t="s">
        <v>200</v>
      </c>
      <c r="C2548" s="223"/>
      <c r="K2548" s="319"/>
      <c r="L2548" s="218"/>
    </row>
    <row r="2549">
      <c r="B2549" s="223" t="s">
        <v>200</v>
      </c>
      <c r="C2549" s="223"/>
      <c r="K2549" s="319"/>
      <c r="L2549" s="218"/>
    </row>
    <row r="2550">
      <c r="B2550" s="223" t="s">
        <v>200</v>
      </c>
      <c r="C2550" s="223"/>
      <c r="K2550" s="319"/>
      <c r="L2550" s="218"/>
    </row>
    <row r="2551">
      <c r="B2551" s="223" t="s">
        <v>200</v>
      </c>
      <c r="C2551" s="223"/>
      <c r="K2551" s="319"/>
      <c r="L2551" s="218"/>
    </row>
    <row r="2552">
      <c r="B2552" s="223" t="s">
        <v>200</v>
      </c>
      <c r="C2552" s="223"/>
      <c r="K2552" s="319"/>
      <c r="L2552" s="218"/>
    </row>
    <row r="2553">
      <c r="B2553" s="223" t="s">
        <v>200</v>
      </c>
      <c r="C2553" s="223"/>
      <c r="K2553" s="319"/>
      <c r="L2553" s="218"/>
    </row>
    <row r="2554">
      <c r="B2554" s="223" t="s">
        <v>200</v>
      </c>
      <c r="C2554" s="223"/>
      <c r="K2554" s="319"/>
      <c r="L2554" s="218"/>
    </row>
    <row r="2555">
      <c r="B2555" s="223" t="s">
        <v>200</v>
      </c>
      <c r="C2555" s="223"/>
      <c r="K2555" s="319"/>
      <c r="L2555" s="218"/>
    </row>
    <row r="2556">
      <c r="B2556" s="223" t="s">
        <v>200</v>
      </c>
      <c r="C2556" s="223"/>
      <c r="K2556" s="319"/>
      <c r="L2556" s="218"/>
    </row>
    <row r="2557">
      <c r="B2557" s="223" t="s">
        <v>200</v>
      </c>
      <c r="C2557" s="223"/>
      <c r="K2557" s="319"/>
      <c r="L2557" s="218"/>
    </row>
    <row r="2558">
      <c r="B2558" s="223" t="s">
        <v>200</v>
      </c>
      <c r="C2558" s="223"/>
      <c r="K2558" s="319"/>
      <c r="L2558" s="218"/>
    </row>
    <row r="2559">
      <c r="B2559" s="223" t="s">
        <v>200</v>
      </c>
      <c r="C2559" s="223"/>
      <c r="K2559" s="319"/>
      <c r="L2559" s="218"/>
    </row>
    <row r="2560">
      <c r="B2560" s="223" t="s">
        <v>200</v>
      </c>
      <c r="C2560" s="223"/>
      <c r="K2560" s="319"/>
      <c r="L2560" s="218"/>
    </row>
    <row r="2561">
      <c r="B2561" s="223" t="s">
        <v>200</v>
      </c>
      <c r="C2561" s="223"/>
      <c r="K2561" s="319"/>
      <c r="L2561" s="218"/>
    </row>
    <row r="2562">
      <c r="B2562" s="223" t="s">
        <v>200</v>
      </c>
      <c r="C2562" s="223"/>
      <c r="K2562" s="319"/>
      <c r="L2562" s="218"/>
    </row>
    <row r="2563">
      <c r="B2563" s="223" t="s">
        <v>200</v>
      </c>
      <c r="C2563" s="223"/>
      <c r="K2563" s="319"/>
      <c r="L2563" s="218"/>
    </row>
    <row r="2564">
      <c r="B2564" s="223" t="s">
        <v>200</v>
      </c>
      <c r="C2564" s="223"/>
      <c r="K2564" s="319"/>
      <c r="L2564" s="218"/>
    </row>
    <row r="2565">
      <c r="B2565" s="223" t="s">
        <v>200</v>
      </c>
      <c r="C2565" s="223"/>
      <c r="K2565" s="319"/>
      <c r="L2565" s="218"/>
    </row>
    <row r="2566">
      <c r="B2566" s="223" t="s">
        <v>200</v>
      </c>
      <c r="C2566" s="223"/>
      <c r="K2566" s="319"/>
      <c r="L2566" s="218"/>
    </row>
    <row r="2567">
      <c r="B2567" s="223" t="s">
        <v>200</v>
      </c>
      <c r="C2567" s="223"/>
      <c r="K2567" s="319"/>
      <c r="L2567" s="218"/>
    </row>
    <row r="2568">
      <c r="B2568" s="223" t="s">
        <v>200</v>
      </c>
      <c r="C2568" s="223"/>
      <c r="K2568" s="319"/>
      <c r="L2568" s="218"/>
    </row>
    <row r="2569">
      <c r="B2569" s="223" t="s">
        <v>200</v>
      </c>
      <c r="C2569" s="223"/>
      <c r="K2569" s="319"/>
      <c r="L2569" s="218"/>
    </row>
    <row r="2570">
      <c r="B2570" s="223" t="s">
        <v>200</v>
      </c>
      <c r="C2570" s="223"/>
      <c r="K2570" s="319"/>
      <c r="L2570" s="218"/>
    </row>
    <row r="2571">
      <c r="B2571" s="223" t="s">
        <v>200</v>
      </c>
      <c r="C2571" s="223"/>
      <c r="K2571" s="319"/>
      <c r="L2571" s="218"/>
    </row>
    <row r="2572">
      <c r="B2572" s="223" t="s">
        <v>200</v>
      </c>
      <c r="C2572" s="223"/>
      <c r="K2572" s="319"/>
      <c r="L2572" s="218"/>
    </row>
    <row r="2573">
      <c r="B2573" s="223" t="s">
        <v>200</v>
      </c>
      <c r="C2573" s="223"/>
      <c r="K2573" s="319"/>
      <c r="L2573" s="218"/>
    </row>
    <row r="2574">
      <c r="B2574" s="223" t="s">
        <v>200</v>
      </c>
      <c r="C2574" s="223"/>
      <c r="K2574" s="319"/>
      <c r="L2574" s="218"/>
    </row>
    <row r="2575">
      <c r="B2575" s="223" t="s">
        <v>200</v>
      </c>
      <c r="C2575" s="223"/>
      <c r="K2575" s="319"/>
      <c r="L2575" s="218"/>
    </row>
    <row r="2576">
      <c r="B2576" s="223" t="s">
        <v>200</v>
      </c>
      <c r="C2576" s="223"/>
      <c r="K2576" s="319"/>
      <c r="L2576" s="218"/>
    </row>
    <row r="2577">
      <c r="B2577" s="223" t="s">
        <v>200</v>
      </c>
      <c r="C2577" s="223"/>
      <c r="K2577" s="319"/>
      <c r="L2577" s="218"/>
    </row>
    <row r="2578">
      <c r="B2578" s="223" t="s">
        <v>200</v>
      </c>
      <c r="C2578" s="223"/>
      <c r="K2578" s="319"/>
      <c r="L2578" s="218"/>
    </row>
    <row r="2579">
      <c r="B2579" s="223" t="s">
        <v>200</v>
      </c>
      <c r="C2579" s="223"/>
      <c r="K2579" s="319"/>
      <c r="L2579" s="218"/>
    </row>
    <row r="2580">
      <c r="B2580" s="223" t="s">
        <v>200</v>
      </c>
      <c r="C2580" s="223"/>
      <c r="K2580" s="319"/>
      <c r="L2580" s="218"/>
    </row>
    <row r="2581">
      <c r="B2581" s="223" t="s">
        <v>200</v>
      </c>
      <c r="C2581" s="223"/>
      <c r="K2581" s="319"/>
      <c r="L2581" s="218"/>
    </row>
    <row r="2582">
      <c r="B2582" s="223" t="s">
        <v>200</v>
      </c>
      <c r="C2582" s="223"/>
      <c r="K2582" s="319"/>
      <c r="L2582" s="218"/>
    </row>
    <row r="2583">
      <c r="B2583" s="223" t="s">
        <v>200</v>
      </c>
      <c r="C2583" s="223"/>
      <c r="K2583" s="319"/>
      <c r="L2583" s="218"/>
    </row>
    <row r="2584">
      <c r="B2584" s="223" t="s">
        <v>200</v>
      </c>
      <c r="C2584" s="223"/>
      <c r="K2584" s="319"/>
      <c r="L2584" s="218"/>
    </row>
    <row r="2585">
      <c r="B2585" s="223" t="s">
        <v>200</v>
      </c>
      <c r="C2585" s="223"/>
      <c r="K2585" s="319"/>
      <c r="L2585" s="218"/>
    </row>
    <row r="2586">
      <c r="B2586" s="223" t="s">
        <v>200</v>
      </c>
      <c r="C2586" s="223"/>
      <c r="K2586" s="319"/>
      <c r="L2586" s="218"/>
    </row>
    <row r="2587">
      <c r="B2587" s="223" t="s">
        <v>200</v>
      </c>
      <c r="C2587" s="223"/>
      <c r="K2587" s="319"/>
      <c r="L2587" s="218"/>
    </row>
    <row r="2588">
      <c r="B2588" s="223" t="s">
        <v>200</v>
      </c>
      <c r="C2588" s="223"/>
      <c r="K2588" s="319"/>
      <c r="L2588" s="218"/>
    </row>
    <row r="2589">
      <c r="B2589" s="223" t="s">
        <v>200</v>
      </c>
      <c r="C2589" s="223"/>
      <c r="K2589" s="319"/>
      <c r="L2589" s="218"/>
    </row>
    <row r="2590">
      <c r="B2590" s="223" t="s">
        <v>200</v>
      </c>
      <c r="C2590" s="223"/>
      <c r="K2590" s="319"/>
      <c r="L2590" s="218"/>
    </row>
    <row r="2591">
      <c r="B2591" s="223" t="s">
        <v>200</v>
      </c>
      <c r="C2591" s="223"/>
      <c r="K2591" s="319"/>
      <c r="L2591" s="218"/>
    </row>
    <row r="2592">
      <c r="B2592" s="223" t="s">
        <v>200</v>
      </c>
      <c r="C2592" s="223"/>
      <c r="K2592" s="319"/>
      <c r="L2592" s="218"/>
    </row>
    <row r="2593">
      <c r="B2593" s="223" t="s">
        <v>200</v>
      </c>
      <c r="C2593" s="223"/>
      <c r="K2593" s="319"/>
      <c r="L2593" s="218"/>
    </row>
    <row r="2594">
      <c r="B2594" s="223" t="s">
        <v>200</v>
      </c>
      <c r="C2594" s="223"/>
      <c r="K2594" s="319"/>
      <c r="L2594" s="218"/>
    </row>
    <row r="2595">
      <c r="B2595" s="223" t="s">
        <v>200</v>
      </c>
      <c r="C2595" s="223"/>
      <c r="K2595" s="319"/>
      <c r="L2595" s="218"/>
    </row>
    <row r="2596">
      <c r="B2596" s="223" t="s">
        <v>200</v>
      </c>
      <c r="C2596" s="223"/>
      <c r="K2596" s="319"/>
      <c r="L2596" s="218"/>
    </row>
    <row r="2597">
      <c r="B2597" s="223" t="s">
        <v>200</v>
      </c>
      <c r="C2597" s="223"/>
      <c r="K2597" s="319"/>
      <c r="L2597" s="218"/>
    </row>
    <row r="2598">
      <c r="B2598" s="223" t="s">
        <v>200</v>
      </c>
      <c r="C2598" s="223"/>
      <c r="K2598" s="319"/>
      <c r="L2598" s="218"/>
    </row>
    <row r="2599">
      <c r="B2599" s="223" t="s">
        <v>200</v>
      </c>
      <c r="C2599" s="223"/>
      <c r="K2599" s="319"/>
      <c r="L2599" s="218"/>
    </row>
    <row r="2600">
      <c r="B2600" s="223" t="s">
        <v>200</v>
      </c>
      <c r="C2600" s="223"/>
      <c r="K2600" s="319"/>
      <c r="L2600" s="218"/>
    </row>
    <row r="2601">
      <c r="B2601" s="223" t="s">
        <v>200</v>
      </c>
      <c r="C2601" s="223"/>
      <c r="K2601" s="319"/>
      <c r="L2601" s="218"/>
    </row>
    <row r="2602">
      <c r="B2602" s="223" t="s">
        <v>200</v>
      </c>
      <c r="C2602" s="223"/>
      <c r="K2602" s="319"/>
      <c r="L2602" s="218"/>
    </row>
    <row r="2603">
      <c r="B2603" s="223" t="s">
        <v>200</v>
      </c>
      <c r="C2603" s="223"/>
      <c r="K2603" s="319"/>
      <c r="L2603" s="218"/>
    </row>
    <row r="2604">
      <c r="B2604" s="223" t="s">
        <v>200</v>
      </c>
      <c r="C2604" s="223"/>
      <c r="K2604" s="319"/>
      <c r="L2604" s="218"/>
    </row>
    <row r="2605">
      <c r="B2605" s="223" t="s">
        <v>200</v>
      </c>
      <c r="C2605" s="223"/>
      <c r="K2605" s="319"/>
      <c r="L2605" s="218"/>
    </row>
    <row r="2606">
      <c r="B2606" s="223" t="s">
        <v>200</v>
      </c>
      <c r="C2606" s="223"/>
      <c r="K2606" s="319"/>
      <c r="L2606" s="218"/>
    </row>
    <row r="2607">
      <c r="B2607" s="223" t="s">
        <v>200</v>
      </c>
      <c r="C2607" s="223"/>
      <c r="K2607" s="319"/>
      <c r="L2607" s="218"/>
    </row>
    <row r="2608">
      <c r="B2608" s="223" t="s">
        <v>200</v>
      </c>
      <c r="C2608" s="223"/>
      <c r="K2608" s="319"/>
      <c r="L2608" s="218"/>
    </row>
    <row r="2609">
      <c r="B2609" s="223" t="s">
        <v>200</v>
      </c>
      <c r="C2609" s="223"/>
      <c r="K2609" s="319"/>
      <c r="L2609" s="218"/>
    </row>
    <row r="2610">
      <c r="B2610" s="223" t="s">
        <v>200</v>
      </c>
      <c r="C2610" s="223"/>
      <c r="K2610" s="319"/>
      <c r="L2610" s="218"/>
    </row>
    <row r="2611">
      <c r="B2611" s="223" t="s">
        <v>200</v>
      </c>
      <c r="C2611" s="223"/>
      <c r="K2611" s="319"/>
      <c r="L2611" s="218"/>
    </row>
    <row r="2612">
      <c r="B2612" s="223" t="s">
        <v>200</v>
      </c>
      <c r="C2612" s="223"/>
      <c r="K2612" s="319"/>
      <c r="L2612" s="218"/>
    </row>
    <row r="2613">
      <c r="B2613" s="223" t="s">
        <v>200</v>
      </c>
      <c r="C2613" s="223"/>
      <c r="K2613" s="319"/>
      <c r="L2613" s="218"/>
    </row>
    <row r="2614">
      <c r="B2614" s="223" t="s">
        <v>200</v>
      </c>
      <c r="C2614" s="223"/>
      <c r="K2614" s="319"/>
      <c r="L2614" s="218"/>
    </row>
    <row r="2615">
      <c r="B2615" s="223" t="s">
        <v>200</v>
      </c>
      <c r="C2615" s="223"/>
      <c r="K2615" s="319"/>
      <c r="L2615" s="218"/>
    </row>
    <row r="2616">
      <c r="B2616" s="223" t="s">
        <v>200</v>
      </c>
      <c r="C2616" s="223"/>
      <c r="K2616" s="319"/>
      <c r="L2616" s="218"/>
    </row>
    <row r="2617">
      <c r="B2617" s="223" t="s">
        <v>200</v>
      </c>
      <c r="C2617" s="223"/>
      <c r="K2617" s="319"/>
      <c r="L2617" s="218"/>
    </row>
    <row r="2618">
      <c r="B2618" s="223" t="s">
        <v>200</v>
      </c>
      <c r="C2618" s="223"/>
      <c r="K2618" s="319"/>
      <c r="L2618" s="218"/>
    </row>
    <row r="2619">
      <c r="B2619" s="223" t="s">
        <v>200</v>
      </c>
      <c r="C2619" s="223"/>
      <c r="K2619" s="319"/>
      <c r="L2619" s="218"/>
    </row>
    <row r="2620">
      <c r="B2620" s="223" t="s">
        <v>200</v>
      </c>
      <c r="C2620" s="223"/>
      <c r="K2620" s="319"/>
      <c r="L2620" s="218"/>
    </row>
    <row r="2621">
      <c r="B2621" s="223" t="s">
        <v>200</v>
      </c>
      <c r="C2621" s="223"/>
      <c r="K2621" s="319"/>
      <c r="L2621" s="218"/>
    </row>
    <row r="2622">
      <c r="B2622" s="223" t="s">
        <v>200</v>
      </c>
      <c r="C2622" s="223"/>
      <c r="K2622" s="319"/>
      <c r="L2622" s="218"/>
    </row>
    <row r="2623">
      <c r="B2623" s="223" t="s">
        <v>200</v>
      </c>
      <c r="C2623" s="223"/>
      <c r="K2623" s="319"/>
      <c r="L2623" s="218"/>
    </row>
    <row r="2624">
      <c r="B2624" s="223" t="s">
        <v>200</v>
      </c>
      <c r="C2624" s="223"/>
      <c r="K2624" s="319"/>
      <c r="L2624" s="218"/>
    </row>
    <row r="2625">
      <c r="B2625" s="223" t="s">
        <v>200</v>
      </c>
      <c r="C2625" s="223"/>
      <c r="K2625" s="319"/>
      <c r="L2625" s="218"/>
    </row>
    <row r="2626">
      <c r="B2626" s="223" t="s">
        <v>200</v>
      </c>
      <c r="C2626" s="223"/>
      <c r="K2626" s="319"/>
      <c r="L2626" s="218"/>
    </row>
    <row r="2627">
      <c r="B2627" s="223" t="s">
        <v>200</v>
      </c>
      <c r="C2627" s="223"/>
      <c r="K2627" s="319"/>
      <c r="L2627" s="218"/>
    </row>
    <row r="2628">
      <c r="B2628" s="223" t="s">
        <v>200</v>
      </c>
      <c r="C2628" s="223"/>
      <c r="K2628" s="319"/>
      <c r="L2628" s="218"/>
    </row>
    <row r="2629">
      <c r="B2629" s="223" t="s">
        <v>200</v>
      </c>
      <c r="C2629" s="223"/>
      <c r="K2629" s="319"/>
      <c r="L2629" s="218"/>
    </row>
    <row r="2630">
      <c r="B2630" s="223" t="s">
        <v>200</v>
      </c>
      <c r="C2630" s="223"/>
      <c r="K2630" s="319"/>
      <c r="L2630" s="218"/>
    </row>
    <row r="2631">
      <c r="B2631" s="223" t="s">
        <v>200</v>
      </c>
      <c r="C2631" s="223"/>
      <c r="K2631" s="319"/>
      <c r="L2631" s="218"/>
    </row>
    <row r="2632">
      <c r="B2632" s="223" t="s">
        <v>200</v>
      </c>
      <c r="C2632" s="223"/>
      <c r="K2632" s="319"/>
      <c r="L2632" s="218"/>
    </row>
    <row r="2633">
      <c r="B2633" s="223" t="s">
        <v>200</v>
      </c>
      <c r="C2633" s="223"/>
      <c r="K2633" s="319"/>
      <c r="L2633" s="218"/>
    </row>
    <row r="2634">
      <c r="B2634" s="223" t="s">
        <v>200</v>
      </c>
      <c r="C2634" s="223"/>
      <c r="K2634" s="319"/>
      <c r="L2634" s="218"/>
    </row>
    <row r="2635">
      <c r="B2635" s="223" t="s">
        <v>200</v>
      </c>
      <c r="C2635" s="223"/>
      <c r="K2635" s="319"/>
      <c r="L2635" s="218"/>
    </row>
    <row r="2636">
      <c r="B2636" s="223" t="s">
        <v>200</v>
      </c>
      <c r="C2636" s="223"/>
      <c r="K2636" s="319"/>
      <c r="L2636" s="218"/>
    </row>
    <row r="2637">
      <c r="B2637" s="223" t="s">
        <v>200</v>
      </c>
      <c r="C2637" s="223"/>
      <c r="K2637" s="319"/>
      <c r="L2637" s="218"/>
    </row>
    <row r="2638">
      <c r="B2638" s="223" t="s">
        <v>200</v>
      </c>
      <c r="C2638" s="223"/>
      <c r="K2638" s="319"/>
      <c r="L2638" s="218"/>
    </row>
    <row r="2639">
      <c r="B2639" s="223" t="s">
        <v>200</v>
      </c>
      <c r="C2639" s="223"/>
      <c r="K2639" s="319"/>
      <c r="L2639" s="218"/>
    </row>
    <row r="2640">
      <c r="B2640" s="223" t="s">
        <v>200</v>
      </c>
      <c r="C2640" s="223"/>
      <c r="K2640" s="319"/>
      <c r="L2640" s="218"/>
    </row>
    <row r="2641">
      <c r="B2641" s="223" t="s">
        <v>200</v>
      </c>
      <c r="C2641" s="223"/>
      <c r="K2641" s="319"/>
      <c r="L2641" s="218"/>
    </row>
    <row r="2642">
      <c r="B2642" s="223" t="s">
        <v>200</v>
      </c>
      <c r="C2642" s="223"/>
      <c r="K2642" s="319"/>
      <c r="L2642" s="218"/>
    </row>
    <row r="2643">
      <c r="B2643" s="223" t="s">
        <v>200</v>
      </c>
      <c r="C2643" s="223"/>
      <c r="K2643" s="319"/>
      <c r="L2643" s="218"/>
    </row>
    <row r="2644">
      <c r="B2644" s="223" t="s">
        <v>200</v>
      </c>
      <c r="C2644" s="223"/>
      <c r="K2644" s="319"/>
      <c r="L2644" s="218"/>
    </row>
    <row r="2645">
      <c r="B2645" s="223" t="s">
        <v>200</v>
      </c>
      <c r="C2645" s="223"/>
      <c r="K2645" s="319"/>
      <c r="L2645" s="218"/>
    </row>
    <row r="2646">
      <c r="B2646" s="223" t="s">
        <v>200</v>
      </c>
      <c r="C2646" s="223"/>
      <c r="K2646" s="319"/>
      <c r="L2646" s="218"/>
    </row>
    <row r="2647">
      <c r="B2647" s="223" t="s">
        <v>200</v>
      </c>
      <c r="C2647" s="223"/>
      <c r="K2647" s="319"/>
      <c r="L2647" s="218"/>
    </row>
    <row r="2648">
      <c r="B2648" s="223" t="s">
        <v>200</v>
      </c>
      <c r="C2648" s="223"/>
      <c r="K2648" s="319"/>
      <c r="L2648" s="218"/>
    </row>
    <row r="2649">
      <c r="B2649" s="223" t="s">
        <v>200</v>
      </c>
      <c r="C2649" s="223"/>
      <c r="K2649" s="319"/>
      <c r="L2649" s="218"/>
    </row>
    <row r="2650">
      <c r="B2650" s="223" t="s">
        <v>200</v>
      </c>
      <c r="C2650" s="223"/>
      <c r="K2650" s="319"/>
      <c r="L2650" s="218"/>
    </row>
    <row r="2651">
      <c r="B2651" s="223" t="s">
        <v>200</v>
      </c>
      <c r="C2651" s="223"/>
      <c r="K2651" s="319"/>
      <c r="L2651" s="218"/>
    </row>
    <row r="2652">
      <c r="B2652" s="223" t="s">
        <v>200</v>
      </c>
      <c r="C2652" s="223"/>
      <c r="K2652" s="319"/>
      <c r="L2652" s="218"/>
    </row>
    <row r="2653">
      <c r="B2653" s="223" t="s">
        <v>200</v>
      </c>
      <c r="C2653" s="223"/>
      <c r="K2653" s="319"/>
      <c r="L2653" s="218"/>
    </row>
    <row r="2654">
      <c r="B2654" s="223" t="s">
        <v>200</v>
      </c>
      <c r="C2654" s="223"/>
      <c r="K2654" s="319"/>
      <c r="L2654" s="218"/>
    </row>
    <row r="2655">
      <c r="B2655" s="223" t="s">
        <v>200</v>
      </c>
      <c r="C2655" s="223"/>
      <c r="K2655" s="319"/>
      <c r="L2655" s="218"/>
    </row>
    <row r="2656">
      <c r="B2656" s="223" t="s">
        <v>200</v>
      </c>
      <c r="C2656" s="223"/>
      <c r="K2656" s="319"/>
      <c r="L2656" s="218"/>
    </row>
    <row r="2657">
      <c r="B2657" s="223" t="s">
        <v>200</v>
      </c>
      <c r="C2657" s="223"/>
      <c r="K2657" s="319"/>
      <c r="L2657" s="218"/>
    </row>
    <row r="2658">
      <c r="B2658" s="223" t="s">
        <v>200</v>
      </c>
      <c r="C2658" s="223"/>
      <c r="K2658" s="319"/>
      <c r="L2658" s="218"/>
    </row>
    <row r="2659">
      <c r="B2659" s="223" t="s">
        <v>200</v>
      </c>
      <c r="C2659" s="223"/>
      <c r="K2659" s="319"/>
      <c r="L2659" s="218"/>
    </row>
    <row r="2660">
      <c r="B2660" s="223" t="s">
        <v>200</v>
      </c>
      <c r="C2660" s="223"/>
      <c r="K2660" s="319"/>
      <c r="L2660" s="218"/>
    </row>
    <row r="2661">
      <c r="B2661" s="223" t="s">
        <v>200</v>
      </c>
      <c r="C2661" s="223"/>
      <c r="K2661" s="319"/>
      <c r="L2661" s="218"/>
    </row>
    <row r="2662">
      <c r="B2662" s="223" t="s">
        <v>200</v>
      </c>
      <c r="C2662" s="223"/>
      <c r="K2662" s="319"/>
      <c r="L2662" s="218"/>
    </row>
    <row r="2663">
      <c r="B2663" s="223" t="s">
        <v>200</v>
      </c>
      <c r="C2663" s="223"/>
      <c r="K2663" s="319"/>
      <c r="L2663" s="218"/>
    </row>
    <row r="2664">
      <c r="B2664" s="223" t="s">
        <v>200</v>
      </c>
      <c r="C2664" s="223"/>
      <c r="K2664" s="319"/>
      <c r="L2664" s="218"/>
    </row>
    <row r="2665">
      <c r="B2665" s="223" t="s">
        <v>200</v>
      </c>
      <c r="C2665" s="223"/>
      <c r="K2665" s="319"/>
      <c r="L2665" s="218"/>
    </row>
    <row r="2666">
      <c r="B2666" s="223" t="s">
        <v>200</v>
      </c>
      <c r="C2666" s="223"/>
      <c r="K2666" s="319"/>
      <c r="L2666" s="218"/>
    </row>
    <row r="2667">
      <c r="B2667" s="223" t="s">
        <v>200</v>
      </c>
      <c r="C2667" s="223"/>
      <c r="K2667" s="319"/>
      <c r="L2667" s="218"/>
    </row>
    <row r="2668">
      <c r="B2668" s="223" t="s">
        <v>200</v>
      </c>
      <c r="C2668" s="223"/>
      <c r="K2668" s="319"/>
      <c r="L2668" s="218"/>
    </row>
    <row r="2669">
      <c r="B2669" s="223" t="s">
        <v>200</v>
      </c>
      <c r="C2669" s="223"/>
      <c r="K2669" s="319"/>
      <c r="L2669" s="218"/>
    </row>
    <row r="2670">
      <c r="B2670" s="223" t="s">
        <v>200</v>
      </c>
      <c r="C2670" s="223"/>
      <c r="K2670" s="319"/>
      <c r="L2670" s="218"/>
    </row>
    <row r="2671">
      <c r="B2671" s="223" t="s">
        <v>200</v>
      </c>
      <c r="C2671" s="223"/>
      <c r="K2671" s="319"/>
      <c r="L2671" s="218"/>
    </row>
    <row r="2672">
      <c r="B2672" s="223" t="s">
        <v>200</v>
      </c>
      <c r="C2672" s="223"/>
      <c r="K2672" s="319"/>
      <c r="L2672" s="218"/>
    </row>
    <row r="2673">
      <c r="B2673" s="223" t="s">
        <v>200</v>
      </c>
      <c r="C2673" s="223"/>
      <c r="K2673" s="319"/>
      <c r="L2673" s="218"/>
    </row>
    <row r="2674">
      <c r="B2674" s="223" t="s">
        <v>200</v>
      </c>
      <c r="C2674" s="223"/>
      <c r="K2674" s="319"/>
      <c r="L2674" s="218"/>
    </row>
    <row r="2675">
      <c r="B2675" s="223" t="s">
        <v>200</v>
      </c>
      <c r="C2675" s="223"/>
      <c r="K2675" s="319"/>
      <c r="L2675" s="218"/>
    </row>
    <row r="2676">
      <c r="B2676" s="223" t="s">
        <v>200</v>
      </c>
      <c r="C2676" s="223"/>
      <c r="K2676" s="319"/>
      <c r="L2676" s="218"/>
    </row>
    <row r="2677">
      <c r="B2677" s="223" t="s">
        <v>200</v>
      </c>
      <c r="C2677" s="223"/>
      <c r="K2677" s="319"/>
      <c r="L2677" s="218"/>
    </row>
    <row r="2678">
      <c r="B2678" s="223" t="s">
        <v>200</v>
      </c>
      <c r="C2678" s="223"/>
      <c r="K2678" s="319"/>
      <c r="L2678" s="218"/>
    </row>
    <row r="2679">
      <c r="B2679" s="223" t="s">
        <v>200</v>
      </c>
      <c r="C2679" s="223"/>
      <c r="K2679" s="319"/>
      <c r="L2679" s="218"/>
    </row>
    <row r="2680">
      <c r="B2680" s="223" t="s">
        <v>200</v>
      </c>
      <c r="C2680" s="223"/>
      <c r="K2680" s="319"/>
      <c r="L2680" s="218"/>
    </row>
    <row r="2681">
      <c r="B2681" s="223" t="s">
        <v>200</v>
      </c>
      <c r="C2681" s="223"/>
      <c r="K2681" s="319"/>
      <c r="L2681" s="218"/>
    </row>
    <row r="2682">
      <c r="B2682" s="223" t="s">
        <v>200</v>
      </c>
      <c r="C2682" s="223"/>
      <c r="K2682" s="319"/>
      <c r="L2682" s="218"/>
    </row>
    <row r="2683">
      <c r="B2683" s="223" t="s">
        <v>200</v>
      </c>
      <c r="C2683" s="223"/>
      <c r="K2683" s="319"/>
      <c r="L2683" s="218"/>
    </row>
    <row r="2684">
      <c r="B2684" s="223" t="s">
        <v>200</v>
      </c>
      <c r="C2684" s="223"/>
      <c r="K2684" s="319"/>
      <c r="L2684" s="218"/>
    </row>
    <row r="2685">
      <c r="B2685" s="223" t="s">
        <v>200</v>
      </c>
      <c r="C2685" s="223"/>
      <c r="K2685" s="319"/>
      <c r="L2685" s="218"/>
    </row>
    <row r="2686">
      <c r="B2686" s="223" t="s">
        <v>200</v>
      </c>
      <c r="C2686" s="223"/>
      <c r="K2686" s="319"/>
      <c r="L2686" s="218"/>
    </row>
    <row r="2687">
      <c r="B2687" s="223" t="s">
        <v>200</v>
      </c>
      <c r="C2687" s="223"/>
      <c r="K2687" s="319"/>
      <c r="L2687" s="218"/>
    </row>
    <row r="2688">
      <c r="B2688" s="223" t="s">
        <v>200</v>
      </c>
      <c r="C2688" s="223"/>
      <c r="K2688" s="319"/>
      <c r="L2688" s="218"/>
    </row>
    <row r="2689">
      <c r="B2689" s="223" t="s">
        <v>200</v>
      </c>
      <c r="C2689" s="223"/>
      <c r="K2689" s="319"/>
      <c r="L2689" s="218"/>
    </row>
    <row r="2690">
      <c r="B2690" s="223" t="s">
        <v>200</v>
      </c>
      <c r="C2690" s="223"/>
      <c r="K2690" s="319"/>
      <c r="L2690" s="218"/>
    </row>
    <row r="2691">
      <c r="B2691" s="223" t="s">
        <v>200</v>
      </c>
      <c r="C2691" s="223"/>
      <c r="K2691" s="319"/>
      <c r="L2691" s="218"/>
    </row>
    <row r="2692">
      <c r="B2692" s="223" t="s">
        <v>200</v>
      </c>
      <c r="C2692" s="223"/>
      <c r="K2692" s="319"/>
      <c r="L2692" s="218"/>
    </row>
    <row r="2693">
      <c r="B2693" s="223" t="s">
        <v>200</v>
      </c>
      <c r="C2693" s="223"/>
      <c r="K2693" s="319"/>
      <c r="L2693" s="218"/>
    </row>
    <row r="2694">
      <c r="B2694" s="223" t="s">
        <v>200</v>
      </c>
      <c r="C2694" s="223"/>
      <c r="K2694" s="319"/>
      <c r="L2694" s="218"/>
    </row>
    <row r="2695">
      <c r="B2695" s="223" t="s">
        <v>200</v>
      </c>
      <c r="C2695" s="223"/>
      <c r="K2695" s="319"/>
      <c r="L2695" s="218"/>
    </row>
    <row r="2696">
      <c r="B2696" s="223" t="s">
        <v>200</v>
      </c>
      <c r="C2696" s="223"/>
      <c r="K2696" s="319"/>
      <c r="L2696" s="218"/>
    </row>
    <row r="2697">
      <c r="B2697" s="223" t="s">
        <v>200</v>
      </c>
      <c r="C2697" s="223"/>
      <c r="K2697" s="319"/>
      <c r="L2697" s="218"/>
    </row>
    <row r="2698">
      <c r="B2698" s="223" t="s">
        <v>200</v>
      </c>
      <c r="C2698" s="223"/>
      <c r="K2698" s="319"/>
      <c r="L2698" s="218"/>
    </row>
    <row r="2699">
      <c r="B2699" s="223" t="s">
        <v>200</v>
      </c>
      <c r="C2699" s="223"/>
      <c r="K2699" s="319"/>
      <c r="L2699" s="218"/>
    </row>
    <row r="2700">
      <c r="B2700" s="223" t="s">
        <v>200</v>
      </c>
      <c r="C2700" s="223"/>
      <c r="K2700" s="319"/>
      <c r="L2700" s="218"/>
    </row>
    <row r="2701">
      <c r="B2701" s="223" t="s">
        <v>200</v>
      </c>
      <c r="C2701" s="223"/>
      <c r="K2701" s="319"/>
      <c r="L2701" s="218"/>
    </row>
    <row r="2702">
      <c r="B2702" s="223" t="s">
        <v>200</v>
      </c>
      <c r="C2702" s="223"/>
      <c r="K2702" s="319"/>
      <c r="L2702" s="218"/>
    </row>
    <row r="2703">
      <c r="B2703" s="223" t="s">
        <v>200</v>
      </c>
      <c r="C2703" s="223"/>
      <c r="K2703" s="319"/>
      <c r="L2703" s="218"/>
    </row>
    <row r="2704">
      <c r="B2704" s="223" t="s">
        <v>200</v>
      </c>
      <c r="C2704" s="223"/>
      <c r="K2704" s="319"/>
      <c r="L2704" s="218"/>
    </row>
    <row r="2705">
      <c r="B2705" s="223" t="s">
        <v>200</v>
      </c>
      <c r="C2705" s="223"/>
      <c r="K2705" s="319"/>
      <c r="L2705" s="218"/>
    </row>
    <row r="2706">
      <c r="B2706" s="223" t="s">
        <v>200</v>
      </c>
      <c r="C2706" s="223"/>
      <c r="K2706" s="319"/>
      <c r="L2706" s="218"/>
    </row>
    <row r="2707">
      <c r="B2707" s="223" t="s">
        <v>200</v>
      </c>
      <c r="C2707" s="223"/>
      <c r="K2707" s="319"/>
      <c r="L2707" s="218"/>
    </row>
    <row r="2708">
      <c r="B2708" s="223" t="s">
        <v>200</v>
      </c>
      <c r="C2708" s="223"/>
      <c r="K2708" s="319"/>
      <c r="L2708" s="218"/>
    </row>
    <row r="2709">
      <c r="B2709" s="223" t="s">
        <v>200</v>
      </c>
      <c r="C2709" s="223"/>
      <c r="K2709" s="319"/>
      <c r="L2709" s="218"/>
    </row>
    <row r="2710">
      <c r="B2710" s="223" t="s">
        <v>200</v>
      </c>
      <c r="C2710" s="223"/>
      <c r="K2710" s="319"/>
      <c r="L2710" s="218"/>
    </row>
    <row r="2711">
      <c r="B2711" s="223" t="s">
        <v>200</v>
      </c>
      <c r="C2711" s="223"/>
      <c r="K2711" s="319"/>
      <c r="L2711" s="218"/>
    </row>
    <row r="2712">
      <c r="B2712" s="223" t="s">
        <v>200</v>
      </c>
      <c r="C2712" s="223"/>
      <c r="K2712" s="319"/>
      <c r="L2712" s="218"/>
    </row>
    <row r="2713">
      <c r="B2713" s="223" t="s">
        <v>200</v>
      </c>
      <c r="C2713" s="223"/>
      <c r="K2713" s="319"/>
      <c r="L2713" s="218"/>
    </row>
    <row r="2714">
      <c r="B2714" s="223" t="s">
        <v>200</v>
      </c>
      <c r="C2714" s="223"/>
      <c r="K2714" s="319"/>
      <c r="L2714" s="218"/>
    </row>
    <row r="2715">
      <c r="B2715" s="223" t="s">
        <v>200</v>
      </c>
      <c r="C2715" s="223"/>
      <c r="K2715" s="319"/>
      <c r="L2715" s="218"/>
    </row>
    <row r="2716">
      <c r="B2716" s="223" t="s">
        <v>200</v>
      </c>
      <c r="C2716" s="223"/>
      <c r="K2716" s="319"/>
      <c r="L2716" s="218"/>
    </row>
    <row r="2717">
      <c r="B2717" s="223" t="s">
        <v>200</v>
      </c>
      <c r="C2717" s="223"/>
      <c r="K2717" s="319"/>
      <c r="L2717" s="218"/>
    </row>
    <row r="2718">
      <c r="B2718" s="223" t="s">
        <v>200</v>
      </c>
      <c r="C2718" s="223"/>
      <c r="K2718" s="319"/>
      <c r="L2718" s="218"/>
    </row>
    <row r="2719">
      <c r="B2719" s="223" t="s">
        <v>200</v>
      </c>
      <c r="C2719" s="223"/>
      <c r="K2719" s="319"/>
      <c r="L2719" s="218"/>
    </row>
    <row r="2720">
      <c r="B2720" s="223" t="s">
        <v>200</v>
      </c>
      <c r="C2720" s="223"/>
      <c r="K2720" s="319"/>
      <c r="L2720" s="218"/>
    </row>
    <row r="2721">
      <c r="B2721" s="223" t="s">
        <v>200</v>
      </c>
      <c r="C2721" s="223"/>
      <c r="K2721" s="319"/>
      <c r="L2721" s="218"/>
    </row>
    <row r="2722">
      <c r="B2722" s="223" t="s">
        <v>200</v>
      </c>
      <c r="C2722" s="223"/>
      <c r="K2722" s="319"/>
      <c r="L2722" s="218"/>
    </row>
    <row r="2723">
      <c r="B2723" s="223" t="s">
        <v>200</v>
      </c>
      <c r="C2723" s="223"/>
      <c r="K2723" s="319"/>
      <c r="L2723" s="218"/>
    </row>
    <row r="2724">
      <c r="B2724" s="223" t="s">
        <v>200</v>
      </c>
      <c r="C2724" s="223"/>
      <c r="K2724" s="319"/>
      <c r="L2724" s="218"/>
    </row>
    <row r="2725">
      <c r="B2725" s="223" t="s">
        <v>200</v>
      </c>
      <c r="C2725" s="223"/>
      <c r="K2725" s="319"/>
      <c r="L2725" s="218"/>
    </row>
    <row r="2726">
      <c r="B2726" s="223" t="s">
        <v>200</v>
      </c>
      <c r="C2726" s="223"/>
      <c r="K2726" s="319"/>
      <c r="L2726" s="218"/>
    </row>
    <row r="2727">
      <c r="B2727" s="223" t="s">
        <v>200</v>
      </c>
      <c r="C2727" s="223"/>
      <c r="K2727" s="319"/>
      <c r="L2727" s="218"/>
    </row>
    <row r="2728">
      <c r="B2728" s="223" t="s">
        <v>200</v>
      </c>
      <c r="C2728" s="223"/>
      <c r="K2728" s="319"/>
      <c r="L2728" s="218"/>
    </row>
    <row r="2729">
      <c r="B2729" s="223" t="s">
        <v>200</v>
      </c>
      <c r="C2729" s="223"/>
      <c r="K2729" s="319"/>
      <c r="L2729" s="218"/>
    </row>
    <row r="2730">
      <c r="B2730" s="223" t="s">
        <v>200</v>
      </c>
      <c r="C2730" s="223"/>
      <c r="K2730" s="319"/>
      <c r="L2730" s="218"/>
    </row>
    <row r="2731">
      <c r="B2731" s="223" t="s">
        <v>200</v>
      </c>
      <c r="C2731" s="223"/>
      <c r="K2731" s="319"/>
      <c r="L2731" s="218"/>
    </row>
    <row r="2732">
      <c r="B2732" s="223" t="s">
        <v>200</v>
      </c>
      <c r="C2732" s="223"/>
      <c r="K2732" s="319"/>
      <c r="L2732" s="218"/>
    </row>
    <row r="2733">
      <c r="B2733" s="223" t="s">
        <v>200</v>
      </c>
      <c r="C2733" s="223"/>
      <c r="K2733" s="319"/>
      <c r="L2733" s="218"/>
    </row>
    <row r="2734">
      <c r="B2734" s="223" t="s">
        <v>200</v>
      </c>
      <c r="C2734" s="223"/>
      <c r="K2734" s="319"/>
      <c r="L2734" s="218"/>
    </row>
    <row r="2735">
      <c r="B2735" s="223" t="s">
        <v>200</v>
      </c>
      <c r="C2735" s="223"/>
      <c r="K2735" s="319"/>
      <c r="L2735" s="218"/>
    </row>
    <row r="2736">
      <c r="B2736" s="223" t="s">
        <v>200</v>
      </c>
      <c r="C2736" s="223"/>
      <c r="K2736" s="319"/>
      <c r="L2736" s="218"/>
    </row>
    <row r="2737">
      <c r="B2737" s="223" t="s">
        <v>200</v>
      </c>
      <c r="C2737" s="223"/>
      <c r="K2737" s="319"/>
      <c r="L2737" s="218"/>
    </row>
    <row r="2738">
      <c r="B2738" s="223" t="s">
        <v>200</v>
      </c>
      <c r="C2738" s="223"/>
      <c r="K2738" s="319"/>
      <c r="L2738" s="218"/>
    </row>
    <row r="2739">
      <c r="B2739" s="223" t="s">
        <v>200</v>
      </c>
      <c r="C2739" s="223"/>
      <c r="K2739" s="319"/>
      <c r="L2739" s="218"/>
    </row>
    <row r="2740">
      <c r="B2740" s="223" t="s">
        <v>200</v>
      </c>
      <c r="C2740" s="223"/>
      <c r="K2740" s="319"/>
      <c r="L2740" s="218"/>
    </row>
    <row r="2741">
      <c r="B2741" s="223" t="s">
        <v>200</v>
      </c>
      <c r="C2741" s="223"/>
      <c r="K2741" s="319"/>
      <c r="L2741" s="218"/>
    </row>
    <row r="2742">
      <c r="B2742" s="223" t="s">
        <v>200</v>
      </c>
      <c r="C2742" s="223"/>
      <c r="K2742" s="319"/>
      <c r="L2742" s="218"/>
    </row>
    <row r="2743">
      <c r="B2743" s="223" t="s">
        <v>200</v>
      </c>
      <c r="C2743" s="223"/>
      <c r="K2743" s="319"/>
      <c r="L2743" s="218"/>
    </row>
    <row r="2744">
      <c r="B2744" s="223" t="s">
        <v>200</v>
      </c>
      <c r="C2744" s="223"/>
      <c r="K2744" s="319"/>
      <c r="L2744" s="218"/>
    </row>
    <row r="2745">
      <c r="B2745" s="223" t="s">
        <v>200</v>
      </c>
      <c r="C2745" s="223"/>
      <c r="K2745" s="319"/>
      <c r="L2745" s="218"/>
    </row>
    <row r="2746">
      <c r="B2746" s="223" t="s">
        <v>200</v>
      </c>
      <c r="C2746" s="223"/>
      <c r="K2746" s="319"/>
      <c r="L2746" s="218"/>
    </row>
    <row r="2747">
      <c r="B2747" s="223" t="s">
        <v>200</v>
      </c>
      <c r="C2747" s="223"/>
      <c r="K2747" s="319"/>
      <c r="L2747" s="218"/>
    </row>
    <row r="2748">
      <c r="B2748" s="223" t="s">
        <v>200</v>
      </c>
      <c r="C2748" s="223"/>
      <c r="K2748" s="319"/>
      <c r="L2748" s="218"/>
    </row>
    <row r="2749">
      <c r="B2749" s="223" t="s">
        <v>200</v>
      </c>
      <c r="C2749" s="223"/>
      <c r="K2749" s="319"/>
      <c r="L2749" s="218"/>
    </row>
    <row r="2750">
      <c r="B2750" s="223" t="s">
        <v>200</v>
      </c>
      <c r="C2750" s="223"/>
      <c r="K2750" s="319"/>
      <c r="L2750" s="218"/>
    </row>
    <row r="2751">
      <c r="B2751" s="223" t="s">
        <v>200</v>
      </c>
      <c r="C2751" s="223"/>
      <c r="K2751" s="319"/>
      <c r="L2751" s="218"/>
    </row>
    <row r="2752">
      <c r="B2752" s="223" t="s">
        <v>200</v>
      </c>
      <c r="C2752" s="223"/>
      <c r="K2752" s="319"/>
      <c r="L2752" s="218"/>
    </row>
    <row r="2753">
      <c r="B2753" s="223" t="s">
        <v>200</v>
      </c>
      <c r="C2753" s="223"/>
      <c r="K2753" s="319"/>
      <c r="L2753" s="218"/>
    </row>
    <row r="2754">
      <c r="B2754" s="223" t="s">
        <v>200</v>
      </c>
      <c r="C2754" s="223"/>
      <c r="K2754" s="319"/>
      <c r="L2754" s="218"/>
    </row>
    <row r="2755">
      <c r="B2755" s="223" t="s">
        <v>200</v>
      </c>
      <c r="C2755" s="223"/>
      <c r="K2755" s="319"/>
      <c r="L2755" s="218"/>
    </row>
    <row r="2756">
      <c r="B2756" s="223" t="s">
        <v>200</v>
      </c>
      <c r="C2756" s="223"/>
      <c r="K2756" s="319"/>
      <c r="L2756" s="218"/>
    </row>
    <row r="2757">
      <c r="B2757" s="223" t="s">
        <v>200</v>
      </c>
      <c r="C2757" s="223"/>
      <c r="K2757" s="319"/>
      <c r="L2757" s="218"/>
    </row>
    <row r="2758">
      <c r="B2758" s="223" t="s">
        <v>200</v>
      </c>
      <c r="C2758" s="223"/>
      <c r="K2758" s="319"/>
      <c r="L2758" s="218"/>
    </row>
    <row r="2759">
      <c r="B2759" s="223" t="s">
        <v>200</v>
      </c>
      <c r="C2759" s="223"/>
      <c r="K2759" s="319"/>
      <c r="L2759" s="218"/>
    </row>
    <row r="2760">
      <c r="B2760" s="223" t="s">
        <v>200</v>
      </c>
      <c r="C2760" s="223"/>
      <c r="K2760" s="319"/>
      <c r="L2760" s="218"/>
    </row>
    <row r="2761">
      <c r="B2761" s="223" t="s">
        <v>200</v>
      </c>
      <c r="C2761" s="223"/>
      <c r="K2761" s="319"/>
      <c r="L2761" s="218"/>
    </row>
    <row r="2762">
      <c r="B2762" s="223" t="s">
        <v>200</v>
      </c>
      <c r="C2762" s="223"/>
      <c r="K2762" s="319"/>
      <c r="L2762" s="218"/>
    </row>
    <row r="2763">
      <c r="B2763" s="223" t="s">
        <v>200</v>
      </c>
      <c r="C2763" s="223"/>
      <c r="K2763" s="319"/>
      <c r="L2763" s="218"/>
    </row>
    <row r="2764">
      <c r="B2764" s="223" t="s">
        <v>200</v>
      </c>
      <c r="C2764" s="223"/>
      <c r="K2764" s="319"/>
      <c r="L2764" s="218"/>
    </row>
    <row r="2765">
      <c r="B2765" s="223" t="s">
        <v>200</v>
      </c>
      <c r="C2765" s="223"/>
      <c r="K2765" s="319"/>
      <c r="L2765" s="218"/>
    </row>
    <row r="2766">
      <c r="B2766" s="223" t="s">
        <v>200</v>
      </c>
      <c r="C2766" s="223"/>
      <c r="K2766" s="319"/>
      <c r="L2766" s="218"/>
    </row>
    <row r="2767">
      <c r="B2767" s="223" t="s">
        <v>200</v>
      </c>
      <c r="C2767" s="223"/>
      <c r="K2767" s="319"/>
      <c r="L2767" s="218"/>
    </row>
    <row r="2768">
      <c r="B2768" s="223" t="s">
        <v>200</v>
      </c>
      <c r="C2768" s="223"/>
      <c r="K2768" s="319"/>
      <c r="L2768" s="218"/>
    </row>
    <row r="2769">
      <c r="B2769" s="223" t="s">
        <v>200</v>
      </c>
      <c r="C2769" s="223"/>
      <c r="K2769" s="319"/>
      <c r="L2769" s="218"/>
    </row>
    <row r="2770">
      <c r="B2770" s="223" t="s">
        <v>200</v>
      </c>
      <c r="C2770" s="223"/>
      <c r="K2770" s="319"/>
      <c r="L2770" s="218"/>
    </row>
    <row r="2771">
      <c r="B2771" s="223" t="s">
        <v>200</v>
      </c>
      <c r="C2771" s="223"/>
      <c r="K2771" s="319"/>
      <c r="L2771" s="218"/>
    </row>
    <row r="2772">
      <c r="B2772" s="223" t="s">
        <v>200</v>
      </c>
      <c r="C2772" s="223"/>
      <c r="K2772" s="319"/>
      <c r="L2772" s="218"/>
    </row>
    <row r="2773">
      <c r="B2773" s="223" t="s">
        <v>200</v>
      </c>
      <c r="C2773" s="223"/>
      <c r="K2773" s="319"/>
      <c r="L2773" s="218"/>
    </row>
    <row r="2774">
      <c r="B2774" s="223" t="s">
        <v>200</v>
      </c>
      <c r="C2774" s="223"/>
      <c r="K2774" s="319"/>
      <c r="L2774" s="218"/>
    </row>
    <row r="2775">
      <c r="B2775" s="223" t="s">
        <v>200</v>
      </c>
      <c r="C2775" s="223"/>
      <c r="K2775" s="319"/>
      <c r="L2775" s="218"/>
    </row>
    <row r="2776">
      <c r="B2776" s="223" t="s">
        <v>200</v>
      </c>
      <c r="C2776" s="223"/>
      <c r="K2776" s="319"/>
      <c r="L2776" s="218"/>
    </row>
    <row r="2777">
      <c r="B2777" s="223" t="s">
        <v>200</v>
      </c>
      <c r="C2777" s="223"/>
      <c r="K2777" s="319"/>
      <c r="L2777" s="218"/>
    </row>
    <row r="2778">
      <c r="B2778" s="223" t="s">
        <v>200</v>
      </c>
      <c r="C2778" s="223"/>
      <c r="K2778" s="319"/>
      <c r="L2778" s="218"/>
    </row>
    <row r="2779">
      <c r="B2779" s="223" t="s">
        <v>200</v>
      </c>
      <c r="C2779" s="223"/>
      <c r="K2779" s="319"/>
      <c r="L2779" s="218"/>
    </row>
    <row r="2780">
      <c r="B2780" s="223" t="s">
        <v>200</v>
      </c>
      <c r="C2780" s="223"/>
      <c r="K2780" s="319"/>
      <c r="L2780" s="218"/>
    </row>
    <row r="2781">
      <c r="B2781" s="223" t="s">
        <v>200</v>
      </c>
      <c r="C2781" s="223"/>
      <c r="K2781" s="319"/>
      <c r="L2781" s="218"/>
    </row>
    <row r="2782">
      <c r="B2782" s="223" t="s">
        <v>200</v>
      </c>
      <c r="C2782" s="223"/>
      <c r="K2782" s="319"/>
      <c r="L2782" s="218"/>
    </row>
    <row r="2783">
      <c r="B2783" s="223" t="s">
        <v>200</v>
      </c>
      <c r="C2783" s="223"/>
      <c r="K2783" s="319"/>
      <c r="L2783" s="218"/>
    </row>
    <row r="2784">
      <c r="B2784" s="223" t="s">
        <v>200</v>
      </c>
      <c r="C2784" s="223"/>
      <c r="K2784" s="319"/>
      <c r="L2784" s="218"/>
    </row>
    <row r="2785">
      <c r="B2785" s="223" t="s">
        <v>200</v>
      </c>
      <c r="C2785" s="223"/>
      <c r="K2785" s="319"/>
      <c r="L2785" s="218"/>
    </row>
    <row r="2786">
      <c r="B2786" s="223" t="s">
        <v>200</v>
      </c>
      <c r="C2786" s="223"/>
      <c r="K2786" s="319"/>
      <c r="L2786" s="218"/>
    </row>
    <row r="2787">
      <c r="B2787" s="223" t="s">
        <v>200</v>
      </c>
      <c r="C2787" s="223"/>
      <c r="K2787" s="319"/>
      <c r="L2787" s="218"/>
    </row>
    <row r="2788">
      <c r="B2788" s="223" t="s">
        <v>200</v>
      </c>
      <c r="C2788" s="223"/>
      <c r="K2788" s="319"/>
      <c r="L2788" s="218"/>
    </row>
    <row r="2789">
      <c r="B2789" s="223" t="s">
        <v>200</v>
      </c>
      <c r="C2789" s="223"/>
      <c r="K2789" s="319"/>
      <c r="L2789" s="218"/>
    </row>
    <row r="2790">
      <c r="B2790" s="223" t="s">
        <v>200</v>
      </c>
      <c r="C2790" s="223"/>
      <c r="K2790" s="319"/>
      <c r="L2790" s="218"/>
    </row>
    <row r="2791">
      <c r="B2791" s="223" t="s">
        <v>200</v>
      </c>
      <c r="C2791" s="223"/>
      <c r="K2791" s="319"/>
      <c r="L2791" s="218"/>
    </row>
    <row r="2792">
      <c r="B2792" s="223" t="s">
        <v>200</v>
      </c>
      <c r="C2792" s="223"/>
      <c r="K2792" s="319"/>
      <c r="L2792" s="218"/>
    </row>
    <row r="2793">
      <c r="B2793" s="223" t="s">
        <v>200</v>
      </c>
      <c r="C2793" s="223"/>
      <c r="K2793" s="319"/>
      <c r="L2793" s="218"/>
    </row>
    <row r="2794">
      <c r="B2794" s="223" t="s">
        <v>200</v>
      </c>
      <c r="C2794" s="223"/>
      <c r="K2794" s="319"/>
      <c r="L2794" s="218"/>
    </row>
    <row r="2795">
      <c r="B2795" s="223" t="s">
        <v>200</v>
      </c>
      <c r="C2795" s="223"/>
      <c r="K2795" s="319"/>
      <c r="L2795" s="218"/>
    </row>
    <row r="2796">
      <c r="B2796" s="223" t="s">
        <v>200</v>
      </c>
      <c r="C2796" s="223"/>
      <c r="K2796" s="319"/>
      <c r="L2796" s="218"/>
    </row>
    <row r="2797">
      <c r="B2797" s="223" t="s">
        <v>200</v>
      </c>
      <c r="C2797" s="223"/>
      <c r="K2797" s="319"/>
      <c r="L2797" s="218"/>
    </row>
    <row r="2798">
      <c r="B2798" s="223" t="s">
        <v>200</v>
      </c>
      <c r="C2798" s="223"/>
      <c r="K2798" s="319"/>
      <c r="L2798" s="218"/>
    </row>
    <row r="2799">
      <c r="B2799" s="223" t="s">
        <v>200</v>
      </c>
      <c r="C2799" s="223"/>
      <c r="K2799" s="319"/>
      <c r="L2799" s="218"/>
    </row>
    <row r="2800">
      <c r="B2800" s="223" t="s">
        <v>200</v>
      </c>
      <c r="C2800" s="223"/>
      <c r="K2800" s="319"/>
      <c r="L2800" s="218"/>
    </row>
    <row r="2801">
      <c r="B2801" s="223" t="s">
        <v>200</v>
      </c>
      <c r="C2801" s="223"/>
      <c r="K2801" s="319"/>
      <c r="L2801" s="218"/>
    </row>
    <row r="2802">
      <c r="B2802" s="223" t="s">
        <v>200</v>
      </c>
      <c r="C2802" s="223"/>
      <c r="K2802" s="319"/>
      <c r="L2802" s="218"/>
    </row>
    <row r="2803">
      <c r="B2803" s="223" t="s">
        <v>200</v>
      </c>
      <c r="C2803" s="223"/>
      <c r="K2803" s="319"/>
      <c r="L2803" s="218"/>
    </row>
    <row r="2804">
      <c r="B2804" s="223" t="s">
        <v>200</v>
      </c>
      <c r="C2804" s="223"/>
      <c r="K2804" s="319"/>
      <c r="L2804" s="218"/>
    </row>
    <row r="2805">
      <c r="B2805" s="223" t="s">
        <v>200</v>
      </c>
      <c r="C2805" s="223"/>
      <c r="K2805" s="319"/>
      <c r="L2805" s="218"/>
    </row>
    <row r="2806">
      <c r="B2806" s="223" t="s">
        <v>200</v>
      </c>
      <c r="C2806" s="223"/>
      <c r="K2806" s="319"/>
      <c r="L2806" s="218"/>
    </row>
    <row r="2807">
      <c r="B2807" s="223" t="s">
        <v>200</v>
      </c>
      <c r="C2807" s="223"/>
      <c r="K2807" s="319"/>
      <c r="L2807" s="218"/>
    </row>
    <row r="2808">
      <c r="B2808" s="223" t="s">
        <v>200</v>
      </c>
      <c r="C2808" s="223"/>
      <c r="K2808" s="319"/>
      <c r="L2808" s="218"/>
    </row>
    <row r="2809">
      <c r="B2809" s="223" t="s">
        <v>200</v>
      </c>
      <c r="C2809" s="223"/>
      <c r="K2809" s="319"/>
      <c r="L2809" s="218"/>
    </row>
    <row r="2810">
      <c r="B2810" s="223" t="s">
        <v>200</v>
      </c>
      <c r="C2810" s="223"/>
      <c r="K2810" s="319"/>
      <c r="L2810" s="218"/>
    </row>
    <row r="2811">
      <c r="B2811" s="223" t="s">
        <v>200</v>
      </c>
      <c r="C2811" s="223"/>
      <c r="K2811" s="319"/>
      <c r="L2811" s="218"/>
    </row>
    <row r="2812">
      <c r="B2812" s="223" t="s">
        <v>200</v>
      </c>
      <c r="C2812" s="223"/>
      <c r="K2812" s="319"/>
      <c r="L2812" s="218"/>
    </row>
    <row r="2813">
      <c r="B2813" s="223" t="s">
        <v>200</v>
      </c>
      <c r="C2813" s="223"/>
      <c r="K2813" s="319"/>
      <c r="L2813" s="218"/>
    </row>
    <row r="2814">
      <c r="B2814" s="223" t="s">
        <v>200</v>
      </c>
      <c r="C2814" s="223"/>
      <c r="K2814" s="319"/>
      <c r="L2814" s="218"/>
    </row>
    <row r="2815">
      <c r="B2815" s="223" t="s">
        <v>200</v>
      </c>
      <c r="C2815" s="223"/>
      <c r="K2815" s="319"/>
      <c r="L2815" s="218"/>
    </row>
    <row r="2816">
      <c r="B2816" s="223" t="s">
        <v>200</v>
      </c>
      <c r="C2816" s="223"/>
      <c r="K2816" s="319"/>
      <c r="L2816" s="218"/>
    </row>
    <row r="2817">
      <c r="B2817" s="223" t="s">
        <v>200</v>
      </c>
      <c r="C2817" s="223"/>
      <c r="K2817" s="319"/>
      <c r="L2817" s="218"/>
    </row>
    <row r="2818">
      <c r="B2818" s="223" t="s">
        <v>200</v>
      </c>
      <c r="C2818" s="223"/>
      <c r="K2818" s="319"/>
      <c r="L2818" s="218"/>
    </row>
    <row r="2819">
      <c r="B2819" s="223" t="s">
        <v>200</v>
      </c>
      <c r="C2819" s="223"/>
      <c r="K2819" s="319"/>
      <c r="L2819" s="218"/>
    </row>
    <row r="2820">
      <c r="B2820" s="223" t="s">
        <v>200</v>
      </c>
      <c r="C2820" s="223"/>
      <c r="K2820" s="319"/>
      <c r="L2820" s="218"/>
    </row>
    <row r="2821">
      <c r="B2821" s="223" t="s">
        <v>200</v>
      </c>
      <c r="C2821" s="223"/>
      <c r="K2821" s="319"/>
      <c r="L2821" s="218"/>
    </row>
    <row r="2822">
      <c r="B2822" s="223" t="s">
        <v>200</v>
      </c>
      <c r="C2822" s="223"/>
      <c r="K2822" s="319"/>
      <c r="L2822" s="218"/>
    </row>
    <row r="2823">
      <c r="B2823" s="223" t="s">
        <v>200</v>
      </c>
      <c r="C2823" s="223"/>
      <c r="K2823" s="319"/>
      <c r="L2823" s="218"/>
    </row>
    <row r="2824">
      <c r="B2824" s="223" t="s">
        <v>200</v>
      </c>
      <c r="C2824" s="223"/>
      <c r="K2824" s="319"/>
      <c r="L2824" s="218"/>
    </row>
    <row r="2825">
      <c r="B2825" s="223" t="s">
        <v>200</v>
      </c>
      <c r="C2825" s="223"/>
      <c r="K2825" s="319"/>
      <c r="L2825" s="218"/>
    </row>
    <row r="2826">
      <c r="B2826" s="223" t="s">
        <v>200</v>
      </c>
      <c r="C2826" s="223"/>
      <c r="K2826" s="319"/>
      <c r="L2826" s="218"/>
    </row>
    <row r="2827">
      <c r="B2827" s="223" t="s">
        <v>200</v>
      </c>
      <c r="C2827" s="223"/>
      <c r="K2827" s="319"/>
      <c r="L2827" s="218"/>
    </row>
    <row r="2828">
      <c r="B2828" s="223" t="s">
        <v>200</v>
      </c>
      <c r="C2828" s="223"/>
      <c r="K2828" s="319"/>
      <c r="L2828" s="218"/>
    </row>
    <row r="2829">
      <c r="B2829" s="223" t="s">
        <v>200</v>
      </c>
      <c r="C2829" s="223"/>
      <c r="K2829" s="319"/>
      <c r="L2829" s="218"/>
    </row>
    <row r="2830">
      <c r="B2830" s="223" t="s">
        <v>200</v>
      </c>
      <c r="C2830" s="223"/>
      <c r="K2830" s="319"/>
      <c r="L2830" s="218"/>
    </row>
    <row r="2831">
      <c r="B2831" s="223" t="s">
        <v>200</v>
      </c>
      <c r="C2831" s="223"/>
      <c r="K2831" s="319"/>
      <c r="L2831" s="218"/>
    </row>
    <row r="2832">
      <c r="B2832" s="223" t="s">
        <v>200</v>
      </c>
      <c r="C2832" s="223"/>
      <c r="K2832" s="319"/>
      <c r="L2832" s="218"/>
    </row>
    <row r="2833">
      <c r="B2833" s="223" t="s">
        <v>200</v>
      </c>
      <c r="C2833" s="223"/>
      <c r="K2833" s="319"/>
      <c r="L2833" s="218"/>
    </row>
    <row r="2834">
      <c r="B2834" s="223" t="s">
        <v>200</v>
      </c>
      <c r="C2834" s="223"/>
      <c r="K2834" s="319"/>
      <c r="L2834" s="218"/>
    </row>
    <row r="2835">
      <c r="B2835" s="223" t="s">
        <v>200</v>
      </c>
      <c r="C2835" s="223"/>
      <c r="K2835" s="319"/>
      <c r="L2835" s="218"/>
    </row>
    <row r="2836">
      <c r="B2836" s="223" t="s">
        <v>200</v>
      </c>
      <c r="C2836" s="223"/>
      <c r="K2836" s="319"/>
      <c r="L2836" s="218"/>
    </row>
    <row r="2837">
      <c r="B2837" s="223" t="s">
        <v>200</v>
      </c>
      <c r="C2837" s="223"/>
      <c r="K2837" s="319"/>
      <c r="L2837" s="218"/>
    </row>
    <row r="2838">
      <c r="B2838" s="223" t="s">
        <v>200</v>
      </c>
      <c r="C2838" s="223"/>
      <c r="K2838" s="319"/>
      <c r="L2838" s="218"/>
    </row>
    <row r="2839">
      <c r="B2839" s="223" t="s">
        <v>200</v>
      </c>
      <c r="C2839" s="223"/>
      <c r="K2839" s="319"/>
      <c r="L2839" s="218"/>
    </row>
    <row r="2840">
      <c r="B2840" s="223" t="s">
        <v>200</v>
      </c>
      <c r="C2840" s="223"/>
      <c r="K2840" s="319"/>
      <c r="L2840" s="218"/>
    </row>
    <row r="2841">
      <c r="B2841" s="223" t="s">
        <v>200</v>
      </c>
      <c r="C2841" s="223"/>
      <c r="K2841" s="319"/>
      <c r="L2841" s="218"/>
    </row>
    <row r="2842">
      <c r="B2842" s="223" t="s">
        <v>200</v>
      </c>
      <c r="C2842" s="223"/>
      <c r="K2842" s="319"/>
      <c r="L2842" s="218"/>
    </row>
    <row r="2843">
      <c r="B2843" s="223" t="s">
        <v>200</v>
      </c>
      <c r="C2843" s="223"/>
      <c r="K2843" s="319"/>
      <c r="L2843" s="218"/>
    </row>
    <row r="2844">
      <c r="B2844" s="223" t="s">
        <v>200</v>
      </c>
      <c r="C2844" s="223"/>
      <c r="K2844" s="319"/>
      <c r="L2844" s="218"/>
    </row>
    <row r="2845">
      <c r="B2845" s="223" t="s">
        <v>200</v>
      </c>
      <c r="C2845" s="223"/>
      <c r="K2845" s="319"/>
      <c r="L2845" s="218"/>
    </row>
    <row r="2846">
      <c r="B2846" s="223" t="s">
        <v>200</v>
      </c>
      <c r="C2846" s="223"/>
      <c r="K2846" s="319"/>
      <c r="L2846" s="218"/>
    </row>
    <row r="2847">
      <c r="B2847" s="223" t="s">
        <v>200</v>
      </c>
      <c r="C2847" s="223"/>
      <c r="K2847" s="319"/>
      <c r="L2847" s="218"/>
    </row>
    <row r="2848">
      <c r="B2848" s="223" t="s">
        <v>200</v>
      </c>
      <c r="C2848" s="223"/>
      <c r="K2848" s="319"/>
      <c r="L2848" s="218"/>
    </row>
    <row r="2849">
      <c r="B2849" s="223" t="s">
        <v>200</v>
      </c>
      <c r="C2849" s="223"/>
      <c r="K2849" s="319"/>
      <c r="L2849" s="218"/>
    </row>
    <row r="2850">
      <c r="B2850" s="223" t="s">
        <v>200</v>
      </c>
      <c r="C2850" s="223"/>
      <c r="K2850" s="319"/>
      <c r="L2850" s="218"/>
    </row>
    <row r="2851">
      <c r="B2851" s="223" t="s">
        <v>200</v>
      </c>
      <c r="C2851" s="223"/>
      <c r="K2851" s="319"/>
      <c r="L2851" s="218"/>
    </row>
    <row r="2852">
      <c r="B2852" s="223" t="s">
        <v>200</v>
      </c>
      <c r="C2852" s="223"/>
      <c r="K2852" s="319"/>
      <c r="L2852" s="218"/>
    </row>
    <row r="2853">
      <c r="B2853" s="223" t="s">
        <v>200</v>
      </c>
      <c r="C2853" s="223"/>
      <c r="K2853" s="319"/>
      <c r="L2853" s="218"/>
    </row>
    <row r="2854">
      <c r="B2854" s="223" t="s">
        <v>200</v>
      </c>
      <c r="C2854" s="223"/>
      <c r="K2854" s="319"/>
      <c r="L2854" s="218"/>
    </row>
    <row r="2855">
      <c r="B2855" s="223" t="s">
        <v>200</v>
      </c>
      <c r="C2855" s="223"/>
      <c r="K2855" s="319"/>
      <c r="L2855" s="218"/>
    </row>
    <row r="2856">
      <c r="B2856" s="223" t="s">
        <v>200</v>
      </c>
      <c r="C2856" s="223"/>
      <c r="K2856" s="319"/>
      <c r="L2856" s="218"/>
    </row>
    <row r="2857">
      <c r="B2857" s="223" t="s">
        <v>200</v>
      </c>
      <c r="C2857" s="223"/>
      <c r="K2857" s="319"/>
      <c r="L2857" s="218"/>
    </row>
    <row r="2858">
      <c r="B2858" s="223" t="s">
        <v>200</v>
      </c>
      <c r="C2858" s="223"/>
      <c r="K2858" s="319"/>
      <c r="L2858" s="218"/>
    </row>
    <row r="2859">
      <c r="B2859" s="223" t="s">
        <v>200</v>
      </c>
      <c r="C2859" s="223"/>
      <c r="K2859" s="319"/>
      <c r="L2859" s="218"/>
    </row>
    <row r="2860">
      <c r="B2860" s="223" t="s">
        <v>200</v>
      </c>
      <c r="C2860" s="223"/>
      <c r="K2860" s="319"/>
      <c r="L2860" s="218"/>
    </row>
    <row r="2861">
      <c r="B2861" s="223" t="s">
        <v>200</v>
      </c>
      <c r="C2861" s="223"/>
      <c r="K2861" s="319"/>
      <c r="L2861" s="218"/>
    </row>
    <row r="2862">
      <c r="B2862" s="223" t="s">
        <v>200</v>
      </c>
      <c r="C2862" s="223"/>
      <c r="K2862" s="319"/>
      <c r="L2862" s="218"/>
    </row>
    <row r="2863">
      <c r="B2863" s="223" t="s">
        <v>200</v>
      </c>
      <c r="C2863" s="223"/>
      <c r="K2863" s="319"/>
      <c r="L2863" s="218"/>
    </row>
    <row r="2864">
      <c r="B2864" s="223" t="s">
        <v>200</v>
      </c>
      <c r="C2864" s="223"/>
      <c r="K2864" s="319"/>
      <c r="L2864" s="218"/>
    </row>
    <row r="2865">
      <c r="B2865" s="223" t="s">
        <v>200</v>
      </c>
      <c r="C2865" s="223"/>
      <c r="K2865" s="319"/>
      <c r="L2865" s="218"/>
    </row>
    <row r="2866">
      <c r="B2866" s="223" t="s">
        <v>200</v>
      </c>
      <c r="C2866" s="223"/>
      <c r="K2866" s="319"/>
      <c r="L2866" s="218"/>
    </row>
    <row r="2867">
      <c r="B2867" s="223" t="s">
        <v>200</v>
      </c>
      <c r="C2867" s="223"/>
      <c r="K2867" s="319"/>
      <c r="L2867" s="218"/>
    </row>
    <row r="2868">
      <c r="B2868" s="223" t="s">
        <v>200</v>
      </c>
      <c r="C2868" s="223"/>
      <c r="K2868" s="319"/>
      <c r="L2868" s="218"/>
    </row>
    <row r="2869">
      <c r="B2869" s="223" t="s">
        <v>200</v>
      </c>
      <c r="C2869" s="223"/>
      <c r="K2869" s="319"/>
      <c r="L2869" s="218"/>
    </row>
    <row r="2870">
      <c r="B2870" s="223" t="s">
        <v>200</v>
      </c>
      <c r="C2870" s="223"/>
      <c r="K2870" s="319"/>
      <c r="L2870" s="218"/>
    </row>
    <row r="2871">
      <c r="B2871" s="223" t="s">
        <v>200</v>
      </c>
      <c r="C2871" s="223"/>
      <c r="K2871" s="319"/>
      <c r="L2871" s="218"/>
    </row>
    <row r="2872">
      <c r="B2872" s="223" t="s">
        <v>200</v>
      </c>
      <c r="C2872" s="223"/>
      <c r="K2872" s="319"/>
      <c r="L2872" s="218"/>
    </row>
    <row r="2873">
      <c r="B2873" s="223" t="s">
        <v>200</v>
      </c>
      <c r="C2873" s="223"/>
      <c r="K2873" s="319"/>
      <c r="L2873" s="218"/>
    </row>
    <row r="2874">
      <c r="B2874" s="223" t="s">
        <v>200</v>
      </c>
      <c r="C2874" s="223"/>
      <c r="K2874" s="319"/>
      <c r="L2874" s="218"/>
    </row>
    <row r="2875">
      <c r="B2875" s="223" t="s">
        <v>200</v>
      </c>
      <c r="C2875" s="223"/>
      <c r="K2875" s="319"/>
      <c r="L2875" s="218"/>
    </row>
    <row r="2876">
      <c r="B2876" s="223" t="s">
        <v>200</v>
      </c>
      <c r="C2876" s="223"/>
      <c r="K2876" s="319"/>
      <c r="L2876" s="218"/>
    </row>
    <row r="2877">
      <c r="B2877" s="223" t="s">
        <v>200</v>
      </c>
      <c r="C2877" s="223"/>
      <c r="K2877" s="319"/>
      <c r="L2877" s="218"/>
    </row>
    <row r="2878">
      <c r="B2878" s="223" t="s">
        <v>200</v>
      </c>
      <c r="C2878" s="223"/>
      <c r="K2878" s="319"/>
      <c r="L2878" s="218"/>
    </row>
    <row r="2879">
      <c r="B2879" s="223" t="s">
        <v>200</v>
      </c>
      <c r="C2879" s="223"/>
      <c r="K2879" s="319"/>
      <c r="L2879" s="218"/>
    </row>
    <row r="2880">
      <c r="B2880" s="223" t="s">
        <v>200</v>
      </c>
      <c r="C2880" s="223"/>
      <c r="K2880" s="319"/>
      <c r="L2880" s="218"/>
    </row>
    <row r="2881">
      <c r="B2881" s="223" t="s">
        <v>200</v>
      </c>
      <c r="C2881" s="223"/>
      <c r="K2881" s="319"/>
      <c r="L2881" s="218"/>
    </row>
    <row r="2882">
      <c r="B2882" s="223" t="s">
        <v>200</v>
      </c>
      <c r="C2882" s="223"/>
      <c r="K2882" s="319"/>
      <c r="L2882" s="218"/>
    </row>
    <row r="2883">
      <c r="B2883" s="223" t="s">
        <v>200</v>
      </c>
      <c r="C2883" s="223"/>
      <c r="K2883" s="319"/>
      <c r="L2883" s="218"/>
    </row>
    <row r="2884">
      <c r="B2884" s="223" t="s">
        <v>200</v>
      </c>
      <c r="C2884" s="223"/>
      <c r="K2884" s="319"/>
      <c r="L2884" s="218"/>
    </row>
    <row r="2885">
      <c r="B2885" s="223" t="s">
        <v>200</v>
      </c>
      <c r="C2885" s="223"/>
      <c r="K2885" s="319"/>
      <c r="L2885" s="218"/>
    </row>
    <row r="2886">
      <c r="B2886" s="223" t="s">
        <v>200</v>
      </c>
      <c r="C2886" s="223"/>
      <c r="K2886" s="319"/>
      <c r="L2886" s="218"/>
    </row>
    <row r="2887">
      <c r="B2887" s="223" t="s">
        <v>200</v>
      </c>
      <c r="C2887" s="223"/>
      <c r="K2887" s="319"/>
      <c r="L2887" s="218"/>
    </row>
    <row r="2888">
      <c r="B2888" s="223" t="s">
        <v>200</v>
      </c>
      <c r="C2888" s="223"/>
      <c r="K2888" s="319"/>
      <c r="L2888" s="218"/>
    </row>
    <row r="2889">
      <c r="B2889" s="223" t="s">
        <v>200</v>
      </c>
      <c r="C2889" s="223"/>
      <c r="K2889" s="319"/>
      <c r="L2889" s="218"/>
    </row>
    <row r="2890">
      <c r="B2890" s="223" t="s">
        <v>200</v>
      </c>
      <c r="C2890" s="223"/>
      <c r="K2890" s="319"/>
      <c r="L2890" s="218"/>
    </row>
    <row r="2891">
      <c r="B2891" s="223" t="s">
        <v>200</v>
      </c>
      <c r="C2891" s="223"/>
      <c r="K2891" s="319"/>
      <c r="L2891" s="218"/>
    </row>
    <row r="2892">
      <c r="B2892" s="223" t="s">
        <v>200</v>
      </c>
      <c r="C2892" s="223"/>
      <c r="K2892" s="319"/>
      <c r="L2892" s="218"/>
    </row>
    <row r="2893">
      <c r="B2893" s="223" t="s">
        <v>200</v>
      </c>
      <c r="C2893" s="223"/>
      <c r="K2893" s="319"/>
      <c r="L2893" s="218"/>
    </row>
    <row r="2894">
      <c r="B2894" s="223" t="s">
        <v>200</v>
      </c>
      <c r="C2894" s="223"/>
      <c r="K2894" s="319"/>
      <c r="L2894" s="218"/>
    </row>
    <row r="2895">
      <c r="B2895" s="223" t="s">
        <v>200</v>
      </c>
      <c r="C2895" s="223"/>
      <c r="K2895" s="319"/>
      <c r="L2895" s="218"/>
    </row>
    <row r="2896">
      <c r="B2896" s="223" t="s">
        <v>200</v>
      </c>
      <c r="C2896" s="223"/>
      <c r="K2896" s="319"/>
      <c r="L2896" s="218"/>
    </row>
    <row r="2897">
      <c r="B2897" s="223" t="s">
        <v>200</v>
      </c>
      <c r="C2897" s="223"/>
      <c r="K2897" s="319"/>
      <c r="L2897" s="218"/>
    </row>
    <row r="2898">
      <c r="B2898" s="223" t="s">
        <v>200</v>
      </c>
      <c r="C2898" s="223"/>
      <c r="K2898" s="319"/>
      <c r="L2898" s="218"/>
    </row>
    <row r="2899">
      <c r="B2899" s="223" t="s">
        <v>200</v>
      </c>
      <c r="C2899" s="223"/>
      <c r="K2899" s="319"/>
      <c r="L2899" s="218"/>
    </row>
    <row r="2900">
      <c r="B2900" s="223" t="s">
        <v>200</v>
      </c>
      <c r="C2900" s="223"/>
      <c r="K2900" s="319"/>
      <c r="L2900" s="218"/>
    </row>
    <row r="2901">
      <c r="B2901" s="223" t="s">
        <v>200</v>
      </c>
      <c r="C2901" s="223"/>
      <c r="K2901" s="319"/>
      <c r="L2901" s="218"/>
    </row>
    <row r="2902">
      <c r="B2902" s="223" t="s">
        <v>200</v>
      </c>
      <c r="C2902" s="223"/>
      <c r="K2902" s="319"/>
      <c r="L2902" s="218"/>
    </row>
    <row r="2903">
      <c r="B2903" s="223" t="s">
        <v>200</v>
      </c>
      <c r="C2903" s="223"/>
      <c r="K2903" s="319"/>
      <c r="L2903" s="218"/>
    </row>
    <row r="2904">
      <c r="B2904" s="223" t="s">
        <v>200</v>
      </c>
      <c r="C2904" s="223"/>
      <c r="K2904" s="319"/>
      <c r="L2904" s="218"/>
    </row>
    <row r="2905">
      <c r="B2905" s="223" t="s">
        <v>200</v>
      </c>
      <c r="C2905" s="223"/>
      <c r="K2905" s="319"/>
      <c r="L2905" s="218"/>
    </row>
    <row r="2906">
      <c r="B2906" s="223" t="s">
        <v>200</v>
      </c>
      <c r="C2906" s="223"/>
      <c r="K2906" s="319"/>
      <c r="L2906" s="218"/>
    </row>
    <row r="2907">
      <c r="B2907" s="223" t="s">
        <v>200</v>
      </c>
      <c r="C2907" s="223"/>
      <c r="K2907" s="319"/>
      <c r="L2907" s="218"/>
    </row>
    <row r="2908">
      <c r="B2908" s="223" t="s">
        <v>200</v>
      </c>
      <c r="C2908" s="223"/>
      <c r="K2908" s="319"/>
      <c r="L2908" s="218"/>
    </row>
    <row r="2909">
      <c r="B2909" s="223" t="s">
        <v>200</v>
      </c>
      <c r="C2909" s="223"/>
      <c r="K2909" s="319"/>
      <c r="L2909" s="218"/>
    </row>
    <row r="2910">
      <c r="B2910" s="223" t="s">
        <v>200</v>
      </c>
      <c r="C2910" s="223"/>
      <c r="K2910" s="319"/>
      <c r="L2910" s="218"/>
    </row>
    <row r="2911">
      <c r="B2911" s="223" t="s">
        <v>200</v>
      </c>
      <c r="C2911" s="223"/>
      <c r="K2911" s="319"/>
      <c r="L2911" s="218"/>
    </row>
    <row r="2912">
      <c r="B2912" s="223" t="s">
        <v>200</v>
      </c>
      <c r="C2912" s="223"/>
      <c r="K2912" s="319"/>
      <c r="L2912" s="218"/>
    </row>
    <row r="2913">
      <c r="B2913" s="223" t="s">
        <v>200</v>
      </c>
      <c r="C2913" s="223"/>
      <c r="K2913" s="319"/>
      <c r="L2913" s="218"/>
    </row>
    <row r="2914">
      <c r="B2914" s="223" t="s">
        <v>200</v>
      </c>
      <c r="C2914" s="223"/>
      <c r="K2914" s="319"/>
      <c r="L2914" s="218"/>
    </row>
    <row r="2915">
      <c r="B2915" s="223" t="s">
        <v>200</v>
      </c>
      <c r="C2915" s="223"/>
      <c r="K2915" s="319"/>
      <c r="L2915" s="218"/>
    </row>
    <row r="2916">
      <c r="B2916" s="223" t="s">
        <v>200</v>
      </c>
      <c r="C2916" s="223"/>
      <c r="K2916" s="319"/>
      <c r="L2916" s="218"/>
    </row>
    <row r="2917">
      <c r="B2917" s="223" t="s">
        <v>200</v>
      </c>
      <c r="C2917" s="223"/>
      <c r="K2917" s="319"/>
      <c r="L2917" s="218"/>
    </row>
    <row r="2918">
      <c r="B2918" s="223" t="s">
        <v>200</v>
      </c>
      <c r="C2918" s="223"/>
      <c r="K2918" s="319"/>
      <c r="L2918" s="218"/>
    </row>
    <row r="2919">
      <c r="B2919" s="223" t="s">
        <v>200</v>
      </c>
      <c r="C2919" s="223"/>
      <c r="K2919" s="319"/>
      <c r="L2919" s="218"/>
    </row>
    <row r="2920">
      <c r="B2920" s="223" t="s">
        <v>200</v>
      </c>
      <c r="C2920" s="223"/>
      <c r="K2920" s="319"/>
      <c r="L2920" s="218"/>
    </row>
    <row r="2921">
      <c r="B2921" s="223" t="s">
        <v>200</v>
      </c>
      <c r="C2921" s="223"/>
      <c r="K2921" s="319"/>
      <c r="L2921" s="218"/>
    </row>
    <row r="2922">
      <c r="B2922" s="223" t="s">
        <v>200</v>
      </c>
      <c r="C2922" s="223"/>
      <c r="K2922" s="319"/>
      <c r="L2922" s="218"/>
    </row>
    <row r="2923">
      <c r="B2923" s="223" t="s">
        <v>200</v>
      </c>
      <c r="C2923" s="223"/>
      <c r="K2923" s="319"/>
      <c r="L2923" s="218"/>
    </row>
    <row r="2924">
      <c r="B2924" s="223" t="s">
        <v>200</v>
      </c>
      <c r="C2924" s="223"/>
      <c r="K2924" s="319"/>
      <c r="L2924" s="218"/>
    </row>
    <row r="2925">
      <c r="B2925" s="223" t="s">
        <v>200</v>
      </c>
      <c r="C2925" s="223"/>
      <c r="K2925" s="319"/>
      <c r="L2925" s="218"/>
    </row>
    <row r="2926">
      <c r="B2926" s="223" t="s">
        <v>200</v>
      </c>
      <c r="C2926" s="223"/>
      <c r="K2926" s="319"/>
      <c r="L2926" s="218"/>
    </row>
    <row r="2927">
      <c r="B2927" s="223" t="s">
        <v>200</v>
      </c>
      <c r="C2927" s="223"/>
      <c r="K2927" s="319"/>
      <c r="L2927" s="218"/>
    </row>
    <row r="2928">
      <c r="B2928" s="223" t="s">
        <v>200</v>
      </c>
      <c r="C2928" s="223"/>
      <c r="K2928" s="319"/>
      <c r="L2928" s="218"/>
    </row>
    <row r="2929">
      <c r="B2929" s="223" t="s">
        <v>200</v>
      </c>
      <c r="C2929" s="223"/>
      <c r="K2929" s="319"/>
      <c r="L2929" s="218"/>
    </row>
    <row r="2930">
      <c r="B2930" s="223" t="s">
        <v>200</v>
      </c>
      <c r="C2930" s="223"/>
      <c r="K2930" s="319"/>
      <c r="L2930" s="218"/>
    </row>
    <row r="2931">
      <c r="B2931" s="223" t="s">
        <v>200</v>
      </c>
      <c r="C2931" s="223"/>
      <c r="K2931" s="319"/>
      <c r="L2931" s="218"/>
    </row>
    <row r="2932">
      <c r="B2932" s="223" t="s">
        <v>200</v>
      </c>
      <c r="C2932" s="223"/>
      <c r="K2932" s="319"/>
      <c r="L2932" s="218"/>
    </row>
    <row r="2933">
      <c r="B2933" s="223" t="s">
        <v>200</v>
      </c>
      <c r="C2933" s="223"/>
      <c r="K2933" s="319"/>
      <c r="L2933" s="218"/>
    </row>
    <row r="2934">
      <c r="B2934" s="223" t="s">
        <v>200</v>
      </c>
      <c r="C2934" s="223"/>
      <c r="K2934" s="319"/>
      <c r="L2934" s="218"/>
    </row>
    <row r="2935">
      <c r="B2935" s="223" t="s">
        <v>200</v>
      </c>
      <c r="C2935" s="223"/>
      <c r="K2935" s="319"/>
      <c r="L2935" s="218"/>
    </row>
    <row r="2936">
      <c r="B2936" s="223" t="s">
        <v>200</v>
      </c>
      <c r="C2936" s="223"/>
      <c r="K2936" s="319"/>
      <c r="L2936" s="218"/>
    </row>
    <row r="2937">
      <c r="B2937" s="223" t="s">
        <v>200</v>
      </c>
      <c r="C2937" s="223"/>
      <c r="K2937" s="319"/>
      <c r="L2937" s="218"/>
    </row>
    <row r="2938">
      <c r="B2938" s="223" t="s">
        <v>200</v>
      </c>
      <c r="C2938" s="223"/>
      <c r="K2938" s="319"/>
      <c r="L2938" s="218"/>
    </row>
    <row r="2939">
      <c r="B2939" s="223" t="s">
        <v>200</v>
      </c>
      <c r="C2939" s="223"/>
      <c r="K2939" s="319"/>
      <c r="L2939" s="218"/>
    </row>
    <row r="2940">
      <c r="B2940" s="223" t="s">
        <v>200</v>
      </c>
      <c r="C2940" s="223"/>
      <c r="K2940" s="319"/>
      <c r="L2940" s="218"/>
    </row>
    <row r="2941">
      <c r="B2941" s="223" t="s">
        <v>200</v>
      </c>
      <c r="C2941" s="223"/>
      <c r="K2941" s="319"/>
      <c r="L2941" s="218"/>
    </row>
    <row r="2942">
      <c r="B2942" s="223" t="s">
        <v>200</v>
      </c>
      <c r="C2942" s="223"/>
      <c r="K2942" s="319"/>
      <c r="L2942" s="218"/>
    </row>
    <row r="2943">
      <c r="B2943" s="223" t="s">
        <v>200</v>
      </c>
      <c r="C2943" s="223"/>
      <c r="K2943" s="319"/>
      <c r="L2943" s="218"/>
    </row>
    <row r="2944">
      <c r="B2944" s="223" t="s">
        <v>200</v>
      </c>
      <c r="C2944" s="223"/>
      <c r="K2944" s="319"/>
      <c r="L2944" s="218"/>
    </row>
    <row r="2945">
      <c r="B2945" s="223" t="s">
        <v>200</v>
      </c>
      <c r="C2945" s="223"/>
      <c r="K2945" s="319"/>
      <c r="L2945" s="218"/>
    </row>
    <row r="2946">
      <c r="B2946" s="223" t="s">
        <v>200</v>
      </c>
      <c r="C2946" s="223"/>
      <c r="K2946" s="319"/>
      <c r="L2946" s="218"/>
    </row>
    <row r="2947">
      <c r="B2947" s="223" t="s">
        <v>200</v>
      </c>
      <c r="C2947" s="223"/>
      <c r="K2947" s="319"/>
      <c r="L2947" s="218"/>
    </row>
    <row r="2948">
      <c r="B2948" s="223" t="s">
        <v>200</v>
      </c>
      <c r="C2948" s="223"/>
      <c r="K2948" s="319"/>
      <c r="L2948" s="218"/>
    </row>
    <row r="2949">
      <c r="B2949" s="223" t="s">
        <v>200</v>
      </c>
      <c r="C2949" s="223"/>
      <c r="K2949" s="319"/>
      <c r="L2949" s="218"/>
    </row>
    <row r="2950">
      <c r="B2950" s="223" t="s">
        <v>200</v>
      </c>
      <c r="C2950" s="223"/>
      <c r="K2950" s="319"/>
      <c r="L2950" s="218"/>
    </row>
    <row r="2951">
      <c r="B2951" s="223" t="s">
        <v>200</v>
      </c>
      <c r="C2951" s="223"/>
      <c r="K2951" s="319"/>
      <c r="L2951" s="218"/>
    </row>
    <row r="2952">
      <c r="B2952" s="223" t="s">
        <v>200</v>
      </c>
      <c r="C2952" s="223"/>
      <c r="K2952" s="319"/>
      <c r="L2952" s="218"/>
    </row>
    <row r="2953">
      <c r="B2953" s="223" t="s">
        <v>200</v>
      </c>
      <c r="C2953" s="223"/>
      <c r="K2953" s="319"/>
      <c r="L2953" s="218"/>
    </row>
    <row r="2954">
      <c r="B2954" s="223" t="s">
        <v>200</v>
      </c>
      <c r="C2954" s="223"/>
      <c r="K2954" s="319"/>
      <c r="L2954" s="218"/>
    </row>
    <row r="2955">
      <c r="B2955" s="223" t="s">
        <v>200</v>
      </c>
      <c r="C2955" s="223"/>
      <c r="K2955" s="319"/>
      <c r="L2955" s="218"/>
    </row>
    <row r="2956">
      <c r="B2956" s="223" t="s">
        <v>200</v>
      </c>
      <c r="C2956" s="223"/>
      <c r="K2956" s="319"/>
      <c r="L2956" s="218"/>
    </row>
    <row r="2957">
      <c r="B2957" s="223" t="s">
        <v>200</v>
      </c>
      <c r="C2957" s="223"/>
      <c r="K2957" s="319"/>
      <c r="L2957" s="218"/>
    </row>
    <row r="2958">
      <c r="B2958" s="223" t="s">
        <v>200</v>
      </c>
      <c r="C2958" s="223"/>
      <c r="K2958" s="319"/>
      <c r="L2958" s="218"/>
    </row>
    <row r="2959">
      <c r="B2959" s="223" t="s">
        <v>200</v>
      </c>
      <c r="C2959" s="223"/>
      <c r="K2959" s="319"/>
      <c r="L2959" s="218"/>
    </row>
    <row r="2960">
      <c r="B2960" s="223" t="s">
        <v>200</v>
      </c>
      <c r="C2960" s="223"/>
      <c r="K2960" s="319"/>
      <c r="L2960" s="218"/>
    </row>
    <row r="2961">
      <c r="B2961" s="223" t="s">
        <v>200</v>
      </c>
      <c r="C2961" s="223"/>
      <c r="K2961" s="319"/>
      <c r="L2961" s="218"/>
    </row>
    <row r="2962">
      <c r="B2962" s="223" t="s">
        <v>200</v>
      </c>
      <c r="C2962" s="223"/>
      <c r="K2962" s="319"/>
      <c r="L2962" s="218"/>
    </row>
    <row r="2963">
      <c r="B2963" s="223" t="s">
        <v>200</v>
      </c>
      <c r="C2963" s="223"/>
      <c r="K2963" s="319"/>
      <c r="L2963" s="218"/>
    </row>
    <row r="2964">
      <c r="B2964" s="223" t="s">
        <v>200</v>
      </c>
      <c r="C2964" s="223"/>
      <c r="K2964" s="319"/>
      <c r="L2964" s="218"/>
    </row>
    <row r="2965">
      <c r="B2965" s="223" t="s">
        <v>200</v>
      </c>
      <c r="C2965" s="223"/>
      <c r="K2965" s="319"/>
      <c r="L2965" s="218"/>
    </row>
    <row r="2966">
      <c r="B2966" s="223" t="s">
        <v>200</v>
      </c>
      <c r="C2966" s="223"/>
      <c r="K2966" s="319"/>
      <c r="L2966" s="218"/>
    </row>
    <row r="2967">
      <c r="B2967" s="223" t="s">
        <v>200</v>
      </c>
      <c r="C2967" s="223"/>
      <c r="K2967" s="319"/>
      <c r="L2967" s="218"/>
    </row>
    <row r="2968">
      <c r="B2968" s="223" t="s">
        <v>200</v>
      </c>
      <c r="C2968" s="223"/>
      <c r="K2968" s="319"/>
      <c r="L2968" s="218"/>
    </row>
    <row r="2969">
      <c r="B2969" s="223" t="s">
        <v>200</v>
      </c>
      <c r="C2969" s="223"/>
      <c r="K2969" s="319"/>
      <c r="L2969" s="218"/>
    </row>
    <row r="2970">
      <c r="B2970" s="223" t="s">
        <v>200</v>
      </c>
      <c r="C2970" s="223"/>
      <c r="K2970" s="319"/>
      <c r="L2970" s="218"/>
    </row>
    <row r="2971">
      <c r="B2971" s="223" t="s">
        <v>200</v>
      </c>
      <c r="C2971" s="223"/>
      <c r="K2971" s="319"/>
      <c r="L2971" s="218"/>
    </row>
    <row r="2972">
      <c r="B2972" s="223" t="s">
        <v>200</v>
      </c>
      <c r="C2972" s="223"/>
      <c r="K2972" s="319"/>
      <c r="L2972" s="218"/>
    </row>
    <row r="2973">
      <c r="B2973" s="223" t="s">
        <v>200</v>
      </c>
      <c r="C2973" s="223"/>
      <c r="K2973" s="319"/>
      <c r="L2973" s="218"/>
    </row>
    <row r="2974">
      <c r="B2974" s="223" t="s">
        <v>200</v>
      </c>
      <c r="C2974" s="223"/>
      <c r="K2974" s="319"/>
      <c r="L2974" s="218"/>
    </row>
    <row r="2975">
      <c r="B2975" s="223" t="s">
        <v>200</v>
      </c>
      <c r="C2975" s="223"/>
      <c r="K2975" s="319"/>
      <c r="L2975" s="218"/>
    </row>
    <row r="2976">
      <c r="B2976" s="223" t="s">
        <v>200</v>
      </c>
      <c r="C2976" s="223"/>
      <c r="K2976" s="319"/>
      <c r="L2976" s="218"/>
    </row>
    <row r="2977">
      <c r="B2977" s="223" t="s">
        <v>200</v>
      </c>
      <c r="C2977" s="223"/>
      <c r="K2977" s="319"/>
      <c r="L2977" s="218"/>
    </row>
    <row r="2978">
      <c r="B2978" s="223" t="s">
        <v>200</v>
      </c>
      <c r="C2978" s="223"/>
      <c r="K2978" s="319"/>
      <c r="L2978" s="218"/>
    </row>
    <row r="2979">
      <c r="B2979" s="223" t="s">
        <v>200</v>
      </c>
      <c r="C2979" s="223"/>
      <c r="K2979" s="319"/>
      <c r="L2979" s="218"/>
    </row>
    <row r="2980">
      <c r="B2980" s="223" t="s">
        <v>200</v>
      </c>
      <c r="C2980" s="223"/>
      <c r="K2980" s="319"/>
      <c r="L2980" s="218"/>
    </row>
    <row r="2981">
      <c r="B2981" s="223" t="s">
        <v>200</v>
      </c>
      <c r="C2981" s="223"/>
      <c r="K2981" s="319"/>
      <c r="L2981" s="218"/>
    </row>
    <row r="2982">
      <c r="B2982" s="223" t="s">
        <v>200</v>
      </c>
      <c r="C2982" s="223"/>
      <c r="K2982" s="319"/>
      <c r="L2982" s="218"/>
    </row>
    <row r="2983">
      <c r="B2983" s="223" t="s">
        <v>200</v>
      </c>
      <c r="C2983" s="223"/>
      <c r="K2983" s="319"/>
      <c r="L2983" s="218"/>
    </row>
    <row r="2984">
      <c r="B2984" s="223" t="s">
        <v>200</v>
      </c>
      <c r="C2984" s="223"/>
      <c r="K2984" s="319"/>
      <c r="L2984" s="218"/>
    </row>
    <row r="2985">
      <c r="B2985" s="223" t="s">
        <v>200</v>
      </c>
      <c r="C2985" s="223"/>
      <c r="K2985" s="319"/>
      <c r="L2985" s="218"/>
    </row>
    <row r="2986">
      <c r="B2986" s="223" t="s">
        <v>200</v>
      </c>
      <c r="C2986" s="223"/>
      <c r="K2986" s="319"/>
      <c r="L2986" s="218"/>
    </row>
    <row r="2987">
      <c r="B2987" s="223" t="s">
        <v>200</v>
      </c>
      <c r="C2987" s="223"/>
      <c r="K2987" s="319"/>
      <c r="L2987" s="218"/>
    </row>
    <row r="2988">
      <c r="B2988" s="223" t="s">
        <v>200</v>
      </c>
      <c r="C2988" s="223"/>
      <c r="K2988" s="319"/>
      <c r="L2988" s="218"/>
    </row>
    <row r="2989">
      <c r="B2989" s="223" t="s">
        <v>200</v>
      </c>
      <c r="C2989" s="223"/>
      <c r="K2989" s="319"/>
      <c r="L2989" s="218"/>
    </row>
    <row r="2990">
      <c r="B2990" s="223" t="s">
        <v>200</v>
      </c>
      <c r="C2990" s="223"/>
      <c r="K2990" s="319"/>
      <c r="L2990" s="218"/>
    </row>
    <row r="2991">
      <c r="B2991" s="223" t="s">
        <v>200</v>
      </c>
      <c r="C2991" s="223"/>
      <c r="K2991" s="319"/>
      <c r="L2991" s="218"/>
    </row>
    <row r="2992">
      <c r="B2992" s="223" t="s">
        <v>200</v>
      </c>
      <c r="C2992" s="223"/>
      <c r="K2992" s="319"/>
      <c r="L2992" s="218"/>
    </row>
    <row r="2993">
      <c r="B2993" s="223" t="s">
        <v>200</v>
      </c>
      <c r="C2993" s="223"/>
      <c r="K2993" s="319"/>
      <c r="L2993" s="218"/>
    </row>
    <row r="2994">
      <c r="B2994" s="223" t="s">
        <v>200</v>
      </c>
      <c r="C2994" s="223"/>
      <c r="K2994" s="319"/>
      <c r="L2994" s="218"/>
    </row>
    <row r="2995">
      <c r="B2995" s="223" t="s">
        <v>200</v>
      </c>
      <c r="C2995" s="223"/>
      <c r="K2995" s="319"/>
      <c r="L2995" s="218"/>
    </row>
    <row r="2996">
      <c r="B2996" s="223" t="s">
        <v>200</v>
      </c>
      <c r="C2996" s="223"/>
      <c r="K2996" s="319"/>
      <c r="L2996" s="218"/>
    </row>
    <row r="2997">
      <c r="B2997" s="223" t="s">
        <v>200</v>
      </c>
      <c r="C2997" s="223"/>
      <c r="K2997" s="319"/>
      <c r="L2997" s="218"/>
    </row>
    <row r="2998">
      <c r="B2998" s="223" t="s">
        <v>200</v>
      </c>
      <c r="C2998" s="223"/>
      <c r="K2998" s="319"/>
      <c r="L2998" s="218"/>
    </row>
    <row r="2999">
      <c r="B2999" s="223" t="s">
        <v>200</v>
      </c>
      <c r="C2999" s="223"/>
      <c r="K2999" s="319"/>
      <c r="L2999" s="218"/>
    </row>
    <row r="3000">
      <c r="B3000" s="223" t="s">
        <v>200</v>
      </c>
      <c r="C3000" s="223"/>
      <c r="K3000" s="319"/>
      <c r="L3000" s="218"/>
    </row>
    <row r="3001">
      <c r="B3001" s="223" t="s">
        <v>200</v>
      </c>
      <c r="C3001" s="223"/>
      <c r="K3001" s="319"/>
      <c r="L3001" s="218"/>
    </row>
    <row r="3002">
      <c r="B3002" s="223" t="s">
        <v>200</v>
      </c>
      <c r="C3002" s="223"/>
      <c r="K3002" s="319"/>
      <c r="L3002" s="218"/>
    </row>
    <row r="3003">
      <c r="B3003" s="223" t="s">
        <v>200</v>
      </c>
      <c r="C3003" s="223"/>
      <c r="K3003" s="319"/>
      <c r="L3003" s="218"/>
    </row>
    <row r="3004">
      <c r="B3004" s="223" t="s">
        <v>200</v>
      </c>
      <c r="C3004" s="223"/>
      <c r="K3004" s="319"/>
      <c r="L3004" s="218"/>
    </row>
    <row r="3005">
      <c r="B3005" s="223" t="s">
        <v>200</v>
      </c>
      <c r="C3005" s="223"/>
      <c r="K3005" s="319"/>
      <c r="L3005" s="218"/>
    </row>
    <row r="3006">
      <c r="B3006" s="223" t="s">
        <v>200</v>
      </c>
      <c r="C3006" s="223"/>
      <c r="K3006" s="319"/>
      <c r="L3006" s="218"/>
    </row>
    <row r="3007">
      <c r="B3007" s="223" t="s">
        <v>200</v>
      </c>
      <c r="C3007" s="223"/>
      <c r="K3007" s="319"/>
      <c r="L3007" s="218"/>
    </row>
    <row r="3008">
      <c r="B3008" s="223" t="s">
        <v>200</v>
      </c>
      <c r="C3008" s="223"/>
      <c r="K3008" s="319"/>
      <c r="L3008" s="218"/>
    </row>
    <row r="3009">
      <c r="B3009" s="223" t="s">
        <v>200</v>
      </c>
      <c r="C3009" s="223"/>
      <c r="K3009" s="319"/>
      <c r="L3009" s="218"/>
    </row>
    <row r="3010">
      <c r="B3010" s="223" t="s">
        <v>200</v>
      </c>
      <c r="C3010" s="223"/>
      <c r="K3010" s="319"/>
      <c r="L3010" s="218"/>
    </row>
    <row r="3011">
      <c r="B3011" s="223" t="s">
        <v>200</v>
      </c>
      <c r="C3011" s="223"/>
      <c r="K3011" s="319"/>
      <c r="L3011" s="218"/>
    </row>
    <row r="3012">
      <c r="B3012" s="223" t="s">
        <v>200</v>
      </c>
      <c r="C3012" s="223"/>
      <c r="K3012" s="319"/>
      <c r="L3012" s="218"/>
    </row>
    <row r="3013">
      <c r="B3013" s="223" t="s">
        <v>200</v>
      </c>
      <c r="C3013" s="223"/>
      <c r="K3013" s="319"/>
      <c r="L3013" s="218"/>
    </row>
    <row r="3014">
      <c r="B3014" s="223" t="s">
        <v>200</v>
      </c>
      <c r="C3014" s="223"/>
      <c r="K3014" s="319"/>
      <c r="L3014" s="218"/>
    </row>
    <row r="3015">
      <c r="B3015" s="223" t="s">
        <v>200</v>
      </c>
      <c r="C3015" s="223"/>
      <c r="K3015" s="319"/>
      <c r="L3015" s="218"/>
    </row>
    <row r="3016">
      <c r="B3016" s="223" t="s">
        <v>200</v>
      </c>
      <c r="C3016" s="223"/>
      <c r="K3016" s="319"/>
      <c r="L3016" s="218"/>
    </row>
    <row r="3017">
      <c r="B3017" s="223" t="s">
        <v>200</v>
      </c>
      <c r="C3017" s="223"/>
      <c r="K3017" s="319"/>
      <c r="L3017" s="218"/>
    </row>
    <row r="3018">
      <c r="B3018" s="223" t="s">
        <v>200</v>
      </c>
      <c r="C3018" s="223"/>
      <c r="K3018" s="319"/>
      <c r="L3018" s="218"/>
    </row>
    <row r="3019">
      <c r="B3019" s="223" t="s">
        <v>200</v>
      </c>
      <c r="C3019" s="223"/>
      <c r="K3019" s="319"/>
      <c r="L3019" s="218"/>
    </row>
    <row r="3020">
      <c r="B3020" s="223" t="s">
        <v>200</v>
      </c>
      <c r="C3020" s="223"/>
      <c r="K3020" s="319"/>
      <c r="L3020" s="218"/>
    </row>
    <row r="3021">
      <c r="B3021" s="223" t="s">
        <v>200</v>
      </c>
      <c r="C3021" s="223"/>
      <c r="K3021" s="319"/>
      <c r="L3021" s="218"/>
    </row>
    <row r="3022">
      <c r="B3022" s="223" t="s">
        <v>200</v>
      </c>
      <c r="C3022" s="223"/>
      <c r="K3022" s="319"/>
      <c r="L3022" s="218"/>
    </row>
    <row r="3023">
      <c r="B3023" s="223" t="s">
        <v>200</v>
      </c>
      <c r="C3023" s="223"/>
      <c r="K3023" s="319"/>
      <c r="L3023" s="218"/>
    </row>
    <row r="3024">
      <c r="B3024" s="223" t="s">
        <v>200</v>
      </c>
      <c r="C3024" s="223"/>
      <c r="K3024" s="319"/>
      <c r="L3024" s="218"/>
    </row>
    <row r="3025">
      <c r="B3025" s="223" t="s">
        <v>200</v>
      </c>
      <c r="C3025" s="223"/>
      <c r="K3025" s="319"/>
      <c r="L3025" s="218"/>
    </row>
    <row r="3026">
      <c r="B3026" s="223" t="s">
        <v>200</v>
      </c>
      <c r="C3026" s="223"/>
      <c r="K3026" s="319"/>
      <c r="L3026" s="218"/>
    </row>
    <row r="3027">
      <c r="B3027" s="223" t="s">
        <v>200</v>
      </c>
      <c r="C3027" s="223"/>
      <c r="K3027" s="319"/>
      <c r="L3027" s="218"/>
    </row>
    <row r="3028">
      <c r="B3028" s="223" t="s">
        <v>200</v>
      </c>
      <c r="C3028" s="223"/>
      <c r="K3028" s="319"/>
      <c r="L3028" s="218"/>
    </row>
    <row r="3029">
      <c r="B3029" s="223" t="s">
        <v>200</v>
      </c>
      <c r="C3029" s="223"/>
      <c r="K3029" s="319"/>
      <c r="L3029" s="218"/>
    </row>
    <row r="3030">
      <c r="B3030" s="223" t="s">
        <v>200</v>
      </c>
      <c r="C3030" s="223"/>
      <c r="K3030" s="319"/>
      <c r="L3030" s="218"/>
    </row>
    <row r="3031">
      <c r="B3031" s="223" t="s">
        <v>200</v>
      </c>
      <c r="C3031" s="223"/>
      <c r="K3031" s="319"/>
      <c r="L3031" s="218"/>
    </row>
    <row r="3032">
      <c r="B3032" s="223" t="s">
        <v>200</v>
      </c>
      <c r="C3032" s="223"/>
      <c r="K3032" s="319"/>
      <c r="L3032" s="218"/>
    </row>
    <row r="3033">
      <c r="B3033" s="223" t="s">
        <v>200</v>
      </c>
      <c r="C3033" s="223"/>
      <c r="K3033" s="319"/>
      <c r="L3033" s="218"/>
    </row>
    <row r="3034">
      <c r="B3034" s="223" t="s">
        <v>200</v>
      </c>
      <c r="C3034" s="223"/>
      <c r="K3034" s="319"/>
      <c r="L3034" s="218"/>
    </row>
    <row r="3035">
      <c r="B3035" s="223" t="s">
        <v>200</v>
      </c>
      <c r="C3035" s="223"/>
      <c r="K3035" s="319"/>
      <c r="L3035" s="218"/>
    </row>
    <row r="3036">
      <c r="B3036" s="223" t="s">
        <v>200</v>
      </c>
      <c r="C3036" s="223"/>
      <c r="K3036" s="319"/>
      <c r="L3036" s="218"/>
    </row>
    <row r="3037">
      <c r="B3037" s="223" t="s">
        <v>200</v>
      </c>
      <c r="C3037" s="223"/>
      <c r="K3037" s="319"/>
      <c r="L3037" s="218"/>
    </row>
    <row r="3038">
      <c r="B3038" s="223" t="s">
        <v>200</v>
      </c>
      <c r="C3038" s="223"/>
      <c r="K3038" s="319"/>
      <c r="L3038" s="218"/>
    </row>
    <row r="3039">
      <c r="B3039" s="223" t="s">
        <v>200</v>
      </c>
      <c r="C3039" s="223"/>
      <c r="K3039" s="319"/>
      <c r="L3039" s="218"/>
    </row>
    <row r="3040">
      <c r="B3040" s="223" t="s">
        <v>200</v>
      </c>
      <c r="C3040" s="223"/>
      <c r="K3040" s="319"/>
      <c r="L3040" s="218"/>
    </row>
    <row r="3041">
      <c r="B3041" s="223" t="s">
        <v>200</v>
      </c>
      <c r="C3041" s="223"/>
      <c r="K3041" s="319"/>
      <c r="L3041" s="218"/>
    </row>
    <row r="3042">
      <c r="B3042" s="223" t="s">
        <v>200</v>
      </c>
      <c r="C3042" s="223"/>
      <c r="K3042" s="319"/>
      <c r="L3042" s="218"/>
    </row>
    <row r="3043">
      <c r="B3043" s="223" t="s">
        <v>200</v>
      </c>
      <c r="C3043" s="223"/>
      <c r="K3043" s="319"/>
      <c r="L3043" s="218"/>
    </row>
    <row r="3044">
      <c r="B3044" s="223" t="s">
        <v>200</v>
      </c>
      <c r="C3044" s="223"/>
      <c r="K3044" s="319"/>
      <c r="L3044" s="218"/>
    </row>
    <row r="3045">
      <c r="B3045" s="223" t="s">
        <v>200</v>
      </c>
      <c r="C3045" s="223"/>
      <c r="K3045" s="319"/>
      <c r="L3045" s="218"/>
    </row>
    <row r="3046">
      <c r="B3046" s="223" t="s">
        <v>200</v>
      </c>
      <c r="C3046" s="223"/>
      <c r="K3046" s="319"/>
      <c r="L3046" s="218"/>
    </row>
    <row r="3047">
      <c r="B3047" s="223" t="s">
        <v>200</v>
      </c>
      <c r="C3047" s="223"/>
      <c r="K3047" s="319"/>
      <c r="L3047" s="218"/>
    </row>
    <row r="3048">
      <c r="B3048" s="223" t="s">
        <v>200</v>
      </c>
      <c r="C3048" s="223"/>
      <c r="K3048" s="319"/>
      <c r="L3048" s="218"/>
    </row>
    <row r="3049">
      <c r="B3049" s="223" t="s">
        <v>200</v>
      </c>
      <c r="C3049" s="223"/>
      <c r="K3049" s="319"/>
      <c r="L3049" s="218"/>
    </row>
    <row r="3050">
      <c r="B3050" s="223" t="s">
        <v>200</v>
      </c>
      <c r="C3050" s="223"/>
      <c r="K3050" s="319"/>
      <c r="L3050" s="218"/>
    </row>
    <row r="3051">
      <c r="B3051" s="223" t="s">
        <v>200</v>
      </c>
      <c r="C3051" s="223"/>
      <c r="K3051" s="319"/>
      <c r="L3051" s="218"/>
    </row>
    <row r="3052">
      <c r="B3052" s="223" t="s">
        <v>200</v>
      </c>
      <c r="C3052" s="223"/>
      <c r="K3052" s="319"/>
      <c r="L3052" s="218"/>
    </row>
    <row r="3053">
      <c r="B3053" s="223" t="s">
        <v>200</v>
      </c>
      <c r="C3053" s="223"/>
      <c r="K3053" s="319"/>
      <c r="L3053" s="218"/>
    </row>
    <row r="3054">
      <c r="B3054" s="223" t="s">
        <v>200</v>
      </c>
      <c r="C3054" s="223"/>
      <c r="K3054" s="319"/>
      <c r="L3054" s="218"/>
    </row>
    <row r="3055">
      <c r="B3055" s="223" t="s">
        <v>200</v>
      </c>
      <c r="C3055" s="223"/>
      <c r="K3055" s="319"/>
      <c r="L3055" s="218"/>
    </row>
    <row r="3056">
      <c r="B3056" s="223" t="s">
        <v>200</v>
      </c>
      <c r="C3056" s="223"/>
      <c r="K3056" s="319"/>
      <c r="L3056" s="218"/>
    </row>
    <row r="3057">
      <c r="B3057" s="223" t="s">
        <v>200</v>
      </c>
      <c r="C3057" s="223"/>
      <c r="K3057" s="319"/>
      <c r="L3057" s="218"/>
    </row>
    <row r="3058">
      <c r="B3058" s="223" t="s">
        <v>200</v>
      </c>
      <c r="C3058" s="223"/>
      <c r="K3058" s="319"/>
      <c r="L3058" s="218"/>
    </row>
    <row r="3059">
      <c r="B3059" s="223" t="s">
        <v>200</v>
      </c>
      <c r="C3059" s="223"/>
      <c r="K3059" s="319"/>
      <c r="L3059" s="218"/>
    </row>
    <row r="3060">
      <c r="B3060" s="223" t="s">
        <v>200</v>
      </c>
      <c r="C3060" s="223"/>
      <c r="K3060" s="319"/>
      <c r="L3060" s="218"/>
    </row>
    <row r="3061">
      <c r="B3061" s="223" t="s">
        <v>200</v>
      </c>
      <c r="C3061" s="223"/>
      <c r="K3061" s="319"/>
      <c r="L3061" s="218"/>
    </row>
    <row r="3062">
      <c r="B3062" s="223" t="s">
        <v>200</v>
      </c>
      <c r="C3062" s="223"/>
      <c r="K3062" s="319"/>
      <c r="L3062" s="218"/>
    </row>
    <row r="3063">
      <c r="B3063" s="223" t="s">
        <v>200</v>
      </c>
      <c r="C3063" s="223"/>
      <c r="K3063" s="319"/>
      <c r="L3063" s="218"/>
    </row>
    <row r="3064">
      <c r="B3064" s="223" t="s">
        <v>200</v>
      </c>
      <c r="C3064" s="223"/>
      <c r="K3064" s="319"/>
      <c r="L3064" s="218"/>
    </row>
    <row r="3065">
      <c r="B3065" s="223" t="s">
        <v>200</v>
      </c>
      <c r="C3065" s="223"/>
      <c r="K3065" s="319"/>
      <c r="L3065" s="218"/>
    </row>
    <row r="3066">
      <c r="B3066" s="223" t="s">
        <v>200</v>
      </c>
      <c r="C3066" s="223"/>
      <c r="K3066" s="319"/>
      <c r="L3066" s="218"/>
    </row>
    <row r="3067">
      <c r="B3067" s="223" t="s">
        <v>200</v>
      </c>
      <c r="C3067" s="223"/>
      <c r="K3067" s="319"/>
      <c r="L3067" s="218"/>
    </row>
    <row r="3068">
      <c r="B3068" s="223" t="s">
        <v>200</v>
      </c>
      <c r="C3068" s="223"/>
      <c r="K3068" s="319"/>
      <c r="L3068" s="218"/>
    </row>
    <row r="3069">
      <c r="B3069" s="223" t="s">
        <v>200</v>
      </c>
      <c r="C3069" s="223"/>
      <c r="K3069" s="319"/>
      <c r="L3069" s="218"/>
    </row>
    <row r="3070">
      <c r="B3070" s="223" t="s">
        <v>200</v>
      </c>
      <c r="C3070" s="223"/>
      <c r="K3070" s="319"/>
      <c r="L3070" s="218"/>
    </row>
    <row r="3071">
      <c r="B3071" s="223" t="s">
        <v>200</v>
      </c>
      <c r="C3071" s="223"/>
      <c r="K3071" s="319"/>
      <c r="L3071" s="218"/>
    </row>
    <row r="3072">
      <c r="B3072" s="223" t="s">
        <v>200</v>
      </c>
      <c r="C3072" s="223"/>
      <c r="K3072" s="319"/>
      <c r="L3072" s="218"/>
    </row>
    <row r="3073">
      <c r="B3073" s="223" t="s">
        <v>200</v>
      </c>
      <c r="C3073" s="223"/>
      <c r="K3073" s="319"/>
      <c r="L3073" s="218"/>
    </row>
    <row r="3074">
      <c r="B3074" s="223" t="s">
        <v>200</v>
      </c>
      <c r="C3074" s="223"/>
      <c r="K3074" s="319"/>
      <c r="L3074" s="218"/>
    </row>
    <row r="3075">
      <c r="B3075" s="223" t="s">
        <v>200</v>
      </c>
      <c r="C3075" s="223"/>
      <c r="K3075" s="319"/>
      <c r="L3075" s="218"/>
    </row>
    <row r="3076">
      <c r="B3076" s="223" t="s">
        <v>200</v>
      </c>
      <c r="C3076" s="223"/>
      <c r="K3076" s="319"/>
      <c r="L3076" s="218"/>
    </row>
    <row r="3077">
      <c r="B3077" s="223" t="s">
        <v>200</v>
      </c>
      <c r="C3077" s="223"/>
      <c r="K3077" s="319"/>
      <c r="L3077" s="218"/>
    </row>
    <row r="3078">
      <c r="B3078" s="223" t="s">
        <v>200</v>
      </c>
      <c r="C3078" s="223"/>
      <c r="K3078" s="319"/>
      <c r="L3078" s="218"/>
    </row>
    <row r="3079">
      <c r="B3079" s="223" t="s">
        <v>200</v>
      </c>
      <c r="C3079" s="223"/>
      <c r="K3079" s="319"/>
      <c r="L3079" s="218"/>
    </row>
    <row r="3080">
      <c r="B3080" s="223" t="s">
        <v>200</v>
      </c>
      <c r="C3080" s="223"/>
      <c r="K3080" s="319"/>
      <c r="L3080" s="218"/>
    </row>
    <row r="3081">
      <c r="B3081" s="223" t="s">
        <v>200</v>
      </c>
      <c r="C3081" s="223"/>
      <c r="K3081" s="319"/>
      <c r="L3081" s="218"/>
    </row>
    <row r="3082">
      <c r="B3082" s="223" t="s">
        <v>200</v>
      </c>
      <c r="C3082" s="223"/>
      <c r="K3082" s="319"/>
      <c r="L3082" s="218"/>
    </row>
    <row r="3083">
      <c r="B3083" s="223" t="s">
        <v>200</v>
      </c>
      <c r="C3083" s="223"/>
      <c r="K3083" s="319"/>
      <c r="L3083" s="218"/>
    </row>
    <row r="3084">
      <c r="B3084" s="223" t="s">
        <v>200</v>
      </c>
      <c r="C3084" s="223"/>
      <c r="K3084" s="319"/>
      <c r="L3084" s="218"/>
    </row>
    <row r="3085">
      <c r="B3085" s="223" t="s">
        <v>200</v>
      </c>
      <c r="C3085" s="223"/>
      <c r="K3085" s="319"/>
      <c r="L3085" s="218"/>
    </row>
    <row r="3086">
      <c r="B3086" s="223" t="s">
        <v>200</v>
      </c>
      <c r="C3086" s="223"/>
      <c r="K3086" s="319"/>
      <c r="L3086" s="218"/>
    </row>
    <row r="3087">
      <c r="B3087" s="223" t="s">
        <v>200</v>
      </c>
      <c r="C3087" s="223"/>
      <c r="K3087" s="319"/>
      <c r="L3087" s="218"/>
    </row>
    <row r="3088">
      <c r="B3088" s="223" t="s">
        <v>200</v>
      </c>
      <c r="C3088" s="223"/>
      <c r="K3088" s="319"/>
      <c r="L3088" s="218"/>
    </row>
    <row r="3089">
      <c r="B3089" s="223" t="s">
        <v>200</v>
      </c>
      <c r="C3089" s="223"/>
      <c r="K3089" s="319"/>
      <c r="L3089" s="218"/>
    </row>
    <row r="3090">
      <c r="B3090" s="223" t="s">
        <v>200</v>
      </c>
      <c r="C3090" s="223"/>
      <c r="K3090" s="319"/>
      <c r="L3090" s="218"/>
    </row>
    <row r="3091">
      <c r="B3091" s="223" t="s">
        <v>200</v>
      </c>
      <c r="C3091" s="223"/>
      <c r="K3091" s="319"/>
      <c r="L3091" s="218"/>
    </row>
    <row r="3092">
      <c r="B3092" s="223" t="s">
        <v>200</v>
      </c>
      <c r="C3092" s="223"/>
      <c r="K3092" s="319"/>
      <c r="L3092" s="218"/>
    </row>
    <row r="3093">
      <c r="B3093" s="223" t="s">
        <v>200</v>
      </c>
      <c r="C3093" s="223"/>
      <c r="K3093" s="319"/>
      <c r="L3093" s="218"/>
    </row>
    <row r="3094">
      <c r="B3094" s="223" t="s">
        <v>200</v>
      </c>
      <c r="C3094" s="223"/>
      <c r="K3094" s="319"/>
      <c r="L3094" s="218"/>
    </row>
    <row r="3095">
      <c r="B3095" s="223" t="s">
        <v>200</v>
      </c>
      <c r="C3095" s="223"/>
      <c r="K3095" s="319"/>
      <c r="L3095" s="218"/>
    </row>
    <row r="3096">
      <c r="B3096" s="223" t="s">
        <v>200</v>
      </c>
      <c r="C3096" s="223"/>
      <c r="K3096" s="319"/>
      <c r="L3096" s="218"/>
    </row>
    <row r="3097">
      <c r="B3097" s="223" t="s">
        <v>200</v>
      </c>
      <c r="C3097" s="223"/>
      <c r="K3097" s="319"/>
      <c r="L3097" s="218"/>
    </row>
    <row r="3098">
      <c r="B3098" s="223" t="s">
        <v>200</v>
      </c>
      <c r="C3098" s="223"/>
      <c r="K3098" s="319"/>
      <c r="L3098" s="218"/>
    </row>
    <row r="3099">
      <c r="B3099" s="223" t="s">
        <v>200</v>
      </c>
      <c r="C3099" s="223"/>
      <c r="K3099" s="319"/>
      <c r="L3099" s="218"/>
    </row>
    <row r="3100">
      <c r="B3100" s="223" t="s">
        <v>200</v>
      </c>
      <c r="C3100" s="223"/>
      <c r="K3100" s="319"/>
      <c r="L3100" s="218"/>
    </row>
    <row r="3101">
      <c r="B3101" s="223" t="s">
        <v>200</v>
      </c>
      <c r="C3101" s="223"/>
      <c r="K3101" s="319"/>
      <c r="L3101" s="218"/>
    </row>
    <row r="3102">
      <c r="B3102" s="223" t="s">
        <v>200</v>
      </c>
      <c r="C3102" s="223"/>
      <c r="K3102" s="319"/>
      <c r="L3102" s="218"/>
    </row>
    <row r="3103">
      <c r="B3103" s="223" t="s">
        <v>200</v>
      </c>
      <c r="C3103" s="223"/>
      <c r="K3103" s="319"/>
      <c r="L3103" s="218"/>
    </row>
    <row r="3104">
      <c r="B3104" s="223" t="s">
        <v>200</v>
      </c>
      <c r="C3104" s="223"/>
      <c r="K3104" s="319"/>
      <c r="L3104" s="218"/>
    </row>
    <row r="3105">
      <c r="B3105" s="223" t="s">
        <v>200</v>
      </c>
      <c r="C3105" s="223"/>
      <c r="K3105" s="319"/>
      <c r="L3105" s="218"/>
    </row>
    <row r="3106">
      <c r="B3106" s="223" t="s">
        <v>200</v>
      </c>
      <c r="C3106" s="223"/>
      <c r="K3106" s="319"/>
      <c r="L3106" s="218"/>
    </row>
    <row r="3107">
      <c r="B3107" s="223" t="s">
        <v>200</v>
      </c>
      <c r="C3107" s="223"/>
      <c r="K3107" s="319"/>
      <c r="L3107" s="218"/>
    </row>
    <row r="3108">
      <c r="B3108" s="223" t="s">
        <v>200</v>
      </c>
      <c r="C3108" s="223"/>
      <c r="K3108" s="319"/>
      <c r="L3108" s="218"/>
    </row>
    <row r="3109">
      <c r="B3109" s="223" t="s">
        <v>200</v>
      </c>
      <c r="C3109" s="223"/>
      <c r="K3109" s="319"/>
      <c r="L3109" s="218"/>
    </row>
    <row r="3110">
      <c r="B3110" s="223" t="s">
        <v>200</v>
      </c>
      <c r="C3110" s="223"/>
      <c r="K3110" s="319"/>
      <c r="L3110" s="218"/>
    </row>
    <row r="3111">
      <c r="B3111" s="223" t="s">
        <v>200</v>
      </c>
      <c r="C3111" s="223"/>
      <c r="K3111" s="319"/>
      <c r="L3111" s="218"/>
    </row>
    <row r="3112">
      <c r="B3112" s="223" t="s">
        <v>200</v>
      </c>
      <c r="C3112" s="223"/>
      <c r="K3112" s="319"/>
      <c r="L3112" s="218"/>
    </row>
    <row r="3113">
      <c r="B3113" s="223" t="s">
        <v>200</v>
      </c>
      <c r="C3113" s="223"/>
      <c r="K3113" s="319"/>
      <c r="L3113" s="218"/>
    </row>
    <row r="3114">
      <c r="B3114" s="223" t="s">
        <v>200</v>
      </c>
      <c r="C3114" s="223"/>
      <c r="K3114" s="319"/>
      <c r="L3114" s="218"/>
    </row>
    <row r="3115">
      <c r="B3115" s="223" t="s">
        <v>200</v>
      </c>
      <c r="C3115" s="223"/>
      <c r="K3115" s="319"/>
      <c r="L3115" s="218"/>
    </row>
    <row r="3116">
      <c r="B3116" s="223" t="s">
        <v>200</v>
      </c>
      <c r="C3116" s="223"/>
      <c r="K3116" s="319"/>
      <c r="L3116" s="218"/>
    </row>
    <row r="3117">
      <c r="B3117" s="223" t="s">
        <v>200</v>
      </c>
      <c r="C3117" s="223"/>
      <c r="K3117" s="319"/>
      <c r="L3117" s="218"/>
    </row>
    <row r="3118">
      <c r="B3118" s="223" t="s">
        <v>200</v>
      </c>
      <c r="C3118" s="223"/>
      <c r="K3118" s="319"/>
      <c r="L3118" s="218"/>
    </row>
    <row r="3119">
      <c r="B3119" s="223" t="s">
        <v>200</v>
      </c>
      <c r="C3119" s="223"/>
      <c r="K3119" s="319"/>
      <c r="L3119" s="218"/>
    </row>
    <row r="3120">
      <c r="B3120" s="223" t="s">
        <v>200</v>
      </c>
      <c r="C3120" s="223"/>
      <c r="K3120" s="319"/>
      <c r="L3120" s="218"/>
    </row>
    <row r="3121">
      <c r="B3121" s="223" t="s">
        <v>200</v>
      </c>
      <c r="C3121" s="223"/>
      <c r="K3121" s="319"/>
      <c r="L3121" s="218"/>
    </row>
    <row r="3122">
      <c r="B3122" s="223" t="s">
        <v>200</v>
      </c>
      <c r="C3122" s="223"/>
      <c r="K3122" s="319"/>
      <c r="L3122" s="218"/>
    </row>
    <row r="3123">
      <c r="B3123" s="223" t="s">
        <v>200</v>
      </c>
      <c r="C3123" s="223"/>
      <c r="K3123" s="319"/>
      <c r="L3123" s="218"/>
    </row>
    <row r="3124">
      <c r="B3124" s="223" t="s">
        <v>200</v>
      </c>
      <c r="C3124" s="223"/>
      <c r="K3124" s="319"/>
      <c r="L3124" s="218"/>
    </row>
    <row r="3125">
      <c r="B3125" s="223" t="s">
        <v>200</v>
      </c>
      <c r="C3125" s="223"/>
      <c r="K3125" s="319"/>
      <c r="L3125" s="218"/>
    </row>
    <row r="3126">
      <c r="B3126" s="223" t="s">
        <v>200</v>
      </c>
      <c r="C3126" s="223"/>
      <c r="K3126" s="319"/>
      <c r="L3126" s="218"/>
    </row>
    <row r="3127">
      <c r="B3127" s="223" t="s">
        <v>200</v>
      </c>
      <c r="C3127" s="223"/>
      <c r="K3127" s="319"/>
      <c r="L3127" s="218"/>
    </row>
    <row r="3128">
      <c r="B3128" s="223" t="s">
        <v>200</v>
      </c>
      <c r="C3128" s="223"/>
      <c r="K3128" s="319"/>
      <c r="L3128" s="218"/>
    </row>
    <row r="3129">
      <c r="B3129" s="223" t="s">
        <v>200</v>
      </c>
      <c r="C3129" s="223"/>
      <c r="K3129" s="319"/>
      <c r="L3129" s="218"/>
    </row>
    <row r="3130">
      <c r="B3130" s="223" t="s">
        <v>200</v>
      </c>
      <c r="C3130" s="223"/>
      <c r="K3130" s="319"/>
      <c r="L3130" s="218"/>
    </row>
    <row r="3131">
      <c r="B3131" s="223" t="s">
        <v>200</v>
      </c>
      <c r="C3131" s="223"/>
      <c r="K3131" s="319"/>
      <c r="L3131" s="218"/>
    </row>
    <row r="3132">
      <c r="B3132" s="223" t="s">
        <v>200</v>
      </c>
      <c r="C3132" s="223"/>
      <c r="K3132" s="319"/>
      <c r="L3132" s="218"/>
    </row>
    <row r="3133">
      <c r="B3133" s="223" t="s">
        <v>200</v>
      </c>
      <c r="C3133" s="223"/>
      <c r="K3133" s="319"/>
      <c r="L3133" s="218"/>
    </row>
    <row r="3134">
      <c r="B3134" s="223" t="s">
        <v>200</v>
      </c>
      <c r="C3134" s="223"/>
      <c r="K3134" s="319"/>
      <c r="L3134" s="218"/>
    </row>
    <row r="3135">
      <c r="B3135" s="223" t="s">
        <v>200</v>
      </c>
      <c r="C3135" s="223"/>
      <c r="K3135" s="319"/>
      <c r="L3135" s="218"/>
    </row>
    <row r="3136">
      <c r="B3136" s="223" t="s">
        <v>200</v>
      </c>
      <c r="C3136" s="223"/>
      <c r="K3136" s="319"/>
      <c r="L3136" s="218"/>
    </row>
    <row r="3137">
      <c r="B3137" s="223" t="s">
        <v>200</v>
      </c>
      <c r="C3137" s="223"/>
      <c r="K3137" s="319"/>
      <c r="L3137" s="218"/>
    </row>
    <row r="3138">
      <c r="B3138" s="223" t="s">
        <v>200</v>
      </c>
      <c r="C3138" s="223"/>
      <c r="K3138" s="319"/>
      <c r="L3138" s="218"/>
    </row>
    <row r="3139">
      <c r="B3139" s="223" t="s">
        <v>200</v>
      </c>
      <c r="C3139" s="223"/>
      <c r="K3139" s="319"/>
      <c r="L3139" s="218"/>
    </row>
    <row r="3140">
      <c r="B3140" s="223" t="s">
        <v>200</v>
      </c>
      <c r="C3140" s="223"/>
      <c r="K3140" s="319"/>
      <c r="L3140" s="218"/>
    </row>
    <row r="3141">
      <c r="B3141" s="223" t="s">
        <v>200</v>
      </c>
      <c r="C3141" s="223"/>
      <c r="K3141" s="319"/>
      <c r="L3141" s="218"/>
    </row>
    <row r="3142">
      <c r="B3142" s="223" t="s">
        <v>200</v>
      </c>
      <c r="C3142" s="223"/>
      <c r="K3142" s="319"/>
      <c r="L3142" s="218"/>
    </row>
    <row r="3143">
      <c r="B3143" s="223" t="s">
        <v>200</v>
      </c>
      <c r="C3143" s="223"/>
      <c r="K3143" s="319"/>
      <c r="L3143" s="218"/>
    </row>
    <row r="3144">
      <c r="B3144" s="223" t="s">
        <v>200</v>
      </c>
      <c r="C3144" s="223"/>
      <c r="K3144" s="319"/>
      <c r="L3144" s="218"/>
    </row>
    <row r="3145">
      <c r="B3145" s="223" t="s">
        <v>200</v>
      </c>
      <c r="C3145" s="223"/>
      <c r="K3145" s="319"/>
      <c r="L3145" s="218"/>
    </row>
    <row r="3146">
      <c r="B3146" s="223" t="s">
        <v>200</v>
      </c>
      <c r="C3146" s="223"/>
      <c r="K3146" s="319"/>
      <c r="L3146" s="218"/>
    </row>
    <row r="3147">
      <c r="B3147" s="223" t="s">
        <v>200</v>
      </c>
      <c r="C3147" s="223"/>
      <c r="K3147" s="319"/>
      <c r="L3147" s="218"/>
    </row>
    <row r="3148">
      <c r="B3148" s="223" t="s">
        <v>200</v>
      </c>
      <c r="C3148" s="223"/>
      <c r="K3148" s="319"/>
      <c r="L3148" s="218"/>
    </row>
    <row r="3149">
      <c r="B3149" s="223" t="s">
        <v>200</v>
      </c>
      <c r="C3149" s="223"/>
      <c r="K3149" s="319"/>
      <c r="L3149" s="218"/>
    </row>
    <row r="3150">
      <c r="B3150" s="223" t="s">
        <v>200</v>
      </c>
      <c r="C3150" s="223"/>
      <c r="K3150" s="319"/>
      <c r="L3150" s="218"/>
    </row>
    <row r="3151">
      <c r="B3151" s="223" t="s">
        <v>200</v>
      </c>
      <c r="C3151" s="223"/>
      <c r="K3151" s="319"/>
      <c r="L3151" s="218"/>
    </row>
    <row r="3152">
      <c r="B3152" s="223" t="s">
        <v>200</v>
      </c>
      <c r="C3152" s="223"/>
      <c r="K3152" s="319"/>
      <c r="L3152" s="218"/>
    </row>
    <row r="3153">
      <c r="B3153" s="223" t="s">
        <v>200</v>
      </c>
      <c r="C3153" s="223"/>
      <c r="K3153" s="319"/>
      <c r="L3153" s="218"/>
    </row>
    <row r="3154">
      <c r="B3154" s="223" t="s">
        <v>200</v>
      </c>
      <c r="C3154" s="223"/>
      <c r="K3154" s="319"/>
      <c r="L3154" s="218"/>
    </row>
    <row r="3155">
      <c r="B3155" s="223" t="s">
        <v>200</v>
      </c>
      <c r="C3155" s="223"/>
      <c r="K3155" s="319"/>
      <c r="L3155" s="218"/>
    </row>
    <row r="3156">
      <c r="B3156" s="223" t="s">
        <v>200</v>
      </c>
      <c r="C3156" s="223"/>
      <c r="K3156" s="319"/>
      <c r="L3156" s="218"/>
    </row>
    <row r="3157">
      <c r="B3157" s="223" t="s">
        <v>200</v>
      </c>
      <c r="C3157" s="223"/>
      <c r="K3157" s="319"/>
      <c r="L3157" s="218"/>
    </row>
    <row r="3158">
      <c r="B3158" s="223" t="s">
        <v>200</v>
      </c>
      <c r="C3158" s="223"/>
      <c r="K3158" s="319"/>
      <c r="L3158" s="218"/>
    </row>
    <row r="3159">
      <c r="B3159" s="223" t="s">
        <v>200</v>
      </c>
      <c r="C3159" s="223"/>
      <c r="K3159" s="319"/>
      <c r="L3159" s="218"/>
    </row>
    <row r="3160">
      <c r="B3160" s="223" t="s">
        <v>200</v>
      </c>
      <c r="C3160" s="223"/>
      <c r="K3160" s="319"/>
      <c r="L3160" s="218"/>
    </row>
    <row r="3161">
      <c r="B3161" s="223" t="s">
        <v>200</v>
      </c>
      <c r="C3161" s="223"/>
      <c r="K3161" s="319"/>
      <c r="L3161" s="218"/>
    </row>
    <row r="3162">
      <c r="B3162" s="223" t="s">
        <v>200</v>
      </c>
      <c r="C3162" s="223"/>
      <c r="K3162" s="319"/>
      <c r="L3162" s="218"/>
    </row>
    <row r="3163">
      <c r="B3163" s="223" t="s">
        <v>200</v>
      </c>
      <c r="C3163" s="223"/>
      <c r="K3163" s="319"/>
      <c r="L3163" s="218"/>
    </row>
    <row r="3164">
      <c r="B3164" s="223" t="s">
        <v>200</v>
      </c>
      <c r="C3164" s="223"/>
      <c r="K3164" s="319"/>
      <c r="L3164" s="218"/>
    </row>
    <row r="3165">
      <c r="B3165" s="223" t="s">
        <v>200</v>
      </c>
      <c r="C3165" s="223"/>
      <c r="K3165" s="319"/>
      <c r="L3165" s="218"/>
    </row>
    <row r="3166">
      <c r="B3166" s="223" t="s">
        <v>200</v>
      </c>
      <c r="C3166" s="223"/>
      <c r="K3166" s="319"/>
      <c r="L3166" s="218"/>
    </row>
    <row r="3167">
      <c r="B3167" s="223" t="s">
        <v>200</v>
      </c>
      <c r="C3167" s="223"/>
      <c r="K3167" s="319"/>
      <c r="L3167" s="218"/>
    </row>
    <row r="3168">
      <c r="B3168" s="223" t="s">
        <v>200</v>
      </c>
      <c r="C3168" s="223"/>
      <c r="K3168" s="319"/>
      <c r="L3168" s="218"/>
    </row>
    <row r="3169">
      <c r="B3169" s="223" t="s">
        <v>200</v>
      </c>
      <c r="C3169" s="223"/>
      <c r="K3169" s="319"/>
      <c r="L3169" s="218"/>
    </row>
    <row r="3170">
      <c r="B3170" s="223" t="s">
        <v>200</v>
      </c>
      <c r="C3170" s="223"/>
      <c r="K3170" s="319"/>
      <c r="L3170" s="218"/>
    </row>
    <row r="3171">
      <c r="B3171" s="223" t="s">
        <v>200</v>
      </c>
      <c r="C3171" s="223"/>
      <c r="K3171" s="319"/>
      <c r="L3171" s="218"/>
    </row>
    <row r="3172">
      <c r="B3172" s="223" t="s">
        <v>200</v>
      </c>
      <c r="C3172" s="223"/>
      <c r="K3172" s="319"/>
      <c r="L3172" s="218"/>
    </row>
    <row r="3173">
      <c r="B3173" s="223" t="s">
        <v>200</v>
      </c>
      <c r="C3173" s="223"/>
      <c r="K3173" s="319"/>
      <c r="L3173" s="218"/>
    </row>
    <row r="3174">
      <c r="B3174" s="223" t="s">
        <v>200</v>
      </c>
      <c r="C3174" s="223"/>
      <c r="K3174" s="319"/>
      <c r="L3174" s="218"/>
    </row>
    <row r="3175">
      <c r="B3175" s="223" t="s">
        <v>200</v>
      </c>
      <c r="C3175" s="223"/>
      <c r="K3175" s="319"/>
      <c r="L3175" s="218"/>
    </row>
    <row r="3176">
      <c r="B3176" s="223" t="s">
        <v>200</v>
      </c>
      <c r="C3176" s="223"/>
      <c r="K3176" s="319"/>
      <c r="L3176" s="218"/>
    </row>
    <row r="3177">
      <c r="B3177" s="223" t="s">
        <v>200</v>
      </c>
      <c r="C3177" s="223"/>
      <c r="K3177" s="319"/>
      <c r="L3177" s="218"/>
    </row>
    <row r="3178">
      <c r="B3178" s="223" t="s">
        <v>200</v>
      </c>
      <c r="C3178" s="223"/>
      <c r="K3178" s="319"/>
      <c r="L3178" s="218"/>
    </row>
    <row r="3179">
      <c r="B3179" s="223" t="s">
        <v>200</v>
      </c>
      <c r="C3179" s="223"/>
      <c r="K3179" s="319"/>
      <c r="L3179" s="218"/>
    </row>
    <row r="3180">
      <c r="B3180" s="223" t="s">
        <v>200</v>
      </c>
      <c r="C3180" s="223"/>
      <c r="K3180" s="319"/>
      <c r="L3180" s="218"/>
    </row>
    <row r="3181">
      <c r="B3181" s="223" t="s">
        <v>200</v>
      </c>
      <c r="C3181" s="223"/>
      <c r="K3181" s="319"/>
      <c r="L3181" s="218"/>
    </row>
    <row r="3182">
      <c r="B3182" s="223" t="s">
        <v>200</v>
      </c>
      <c r="C3182" s="223"/>
      <c r="K3182" s="319"/>
      <c r="L3182" s="218"/>
    </row>
    <row r="3183">
      <c r="B3183" s="223" t="s">
        <v>200</v>
      </c>
      <c r="C3183" s="223"/>
      <c r="K3183" s="319"/>
      <c r="L3183" s="218"/>
    </row>
    <row r="3184">
      <c r="B3184" s="223" t="s">
        <v>200</v>
      </c>
      <c r="C3184" s="223"/>
      <c r="K3184" s="319"/>
      <c r="L3184" s="218"/>
    </row>
    <row r="3185">
      <c r="B3185" s="223" t="s">
        <v>200</v>
      </c>
      <c r="C3185" s="223"/>
      <c r="K3185" s="319"/>
      <c r="L3185" s="218"/>
    </row>
    <row r="3186">
      <c r="B3186" s="223" t="s">
        <v>200</v>
      </c>
      <c r="C3186" s="223"/>
      <c r="K3186" s="319"/>
      <c r="L3186" s="218"/>
    </row>
    <row r="3187">
      <c r="B3187" s="223" t="s">
        <v>200</v>
      </c>
      <c r="C3187" s="223"/>
      <c r="K3187" s="319"/>
      <c r="L3187" s="218"/>
    </row>
    <row r="3188">
      <c r="B3188" s="223" t="s">
        <v>200</v>
      </c>
      <c r="C3188" s="223"/>
      <c r="K3188" s="319"/>
      <c r="L3188" s="218"/>
    </row>
    <row r="3189">
      <c r="B3189" s="223" t="s">
        <v>200</v>
      </c>
      <c r="C3189" s="223"/>
      <c r="K3189" s="319"/>
      <c r="L3189" s="218"/>
    </row>
    <row r="3190">
      <c r="B3190" s="223" t="s">
        <v>200</v>
      </c>
      <c r="C3190" s="223"/>
      <c r="K3190" s="319"/>
      <c r="L3190" s="218"/>
    </row>
    <row r="3191">
      <c r="B3191" s="223" t="s">
        <v>200</v>
      </c>
      <c r="C3191" s="223"/>
      <c r="K3191" s="319"/>
      <c r="L3191" s="218"/>
    </row>
    <row r="3192">
      <c r="B3192" s="223" t="s">
        <v>200</v>
      </c>
      <c r="C3192" s="223"/>
      <c r="K3192" s="319"/>
      <c r="L3192" s="218"/>
    </row>
    <row r="3193">
      <c r="B3193" s="223" t="s">
        <v>200</v>
      </c>
      <c r="C3193" s="223"/>
      <c r="K3193" s="319"/>
      <c r="L3193" s="218"/>
    </row>
    <row r="3194">
      <c r="B3194" s="223" t="s">
        <v>200</v>
      </c>
      <c r="C3194" s="223"/>
      <c r="K3194" s="319"/>
      <c r="L3194" s="218"/>
    </row>
    <row r="3195">
      <c r="B3195" s="223" t="s">
        <v>200</v>
      </c>
      <c r="C3195" s="223"/>
      <c r="K3195" s="319"/>
      <c r="L3195" s="218"/>
    </row>
    <row r="3196">
      <c r="B3196" s="223" t="s">
        <v>200</v>
      </c>
      <c r="C3196" s="223"/>
      <c r="K3196" s="319"/>
      <c r="L3196" s="218"/>
    </row>
    <row r="3197">
      <c r="B3197" s="223" t="s">
        <v>200</v>
      </c>
      <c r="C3197" s="223"/>
      <c r="K3197" s="319"/>
      <c r="L3197" s="218"/>
    </row>
    <row r="3198">
      <c r="B3198" s="223" t="s">
        <v>200</v>
      </c>
      <c r="C3198" s="223"/>
      <c r="K3198" s="319"/>
      <c r="L3198" s="218"/>
    </row>
    <row r="3199">
      <c r="B3199" s="223" t="s">
        <v>200</v>
      </c>
      <c r="C3199" s="223"/>
      <c r="K3199" s="319"/>
      <c r="L3199" s="218"/>
    </row>
    <row r="3200">
      <c r="B3200" s="223" t="s">
        <v>200</v>
      </c>
      <c r="C3200" s="223"/>
      <c r="K3200" s="319"/>
      <c r="L3200" s="218"/>
    </row>
    <row r="3201">
      <c r="B3201" s="223" t="s">
        <v>200</v>
      </c>
      <c r="C3201" s="223"/>
      <c r="K3201" s="319"/>
      <c r="L3201" s="218"/>
    </row>
    <row r="3202">
      <c r="B3202" s="223" t="s">
        <v>200</v>
      </c>
      <c r="C3202" s="223"/>
      <c r="K3202" s="319"/>
      <c r="L3202" s="218"/>
    </row>
    <row r="3203">
      <c r="B3203" s="223" t="s">
        <v>200</v>
      </c>
      <c r="C3203" s="223"/>
      <c r="K3203" s="319"/>
      <c r="L3203" s="218"/>
    </row>
    <row r="3204">
      <c r="B3204" s="223" t="s">
        <v>200</v>
      </c>
      <c r="C3204" s="223"/>
      <c r="K3204" s="319"/>
      <c r="L3204" s="218"/>
    </row>
    <row r="3205">
      <c r="B3205" s="223" t="s">
        <v>200</v>
      </c>
      <c r="C3205" s="223"/>
      <c r="K3205" s="319"/>
      <c r="L3205" s="218"/>
    </row>
    <row r="3206">
      <c r="B3206" s="223" t="s">
        <v>200</v>
      </c>
      <c r="C3206" s="223"/>
      <c r="K3206" s="319"/>
      <c r="L3206" s="218"/>
    </row>
    <row r="3207">
      <c r="B3207" s="223" t="s">
        <v>200</v>
      </c>
      <c r="C3207" s="223"/>
      <c r="K3207" s="319"/>
      <c r="L3207" s="218"/>
    </row>
    <row r="3208">
      <c r="B3208" s="223" t="s">
        <v>200</v>
      </c>
      <c r="C3208" s="223"/>
      <c r="K3208" s="319"/>
      <c r="L3208" s="218"/>
    </row>
    <row r="3209">
      <c r="B3209" s="223" t="s">
        <v>200</v>
      </c>
      <c r="C3209" s="223"/>
      <c r="K3209" s="319"/>
      <c r="L3209" s="218"/>
    </row>
    <row r="3210">
      <c r="B3210" s="223" t="s">
        <v>200</v>
      </c>
      <c r="C3210" s="223"/>
      <c r="K3210" s="319"/>
      <c r="L3210" s="218"/>
    </row>
    <row r="3211">
      <c r="B3211" s="223" t="s">
        <v>200</v>
      </c>
      <c r="C3211" s="223"/>
      <c r="K3211" s="319"/>
      <c r="L3211" s="218"/>
    </row>
    <row r="3212">
      <c r="B3212" s="223" t="s">
        <v>200</v>
      </c>
      <c r="C3212" s="223"/>
      <c r="K3212" s="319"/>
      <c r="L3212" s="218"/>
    </row>
    <row r="3213">
      <c r="B3213" s="223" t="s">
        <v>200</v>
      </c>
      <c r="C3213" s="223"/>
      <c r="K3213" s="319"/>
      <c r="L3213" s="218"/>
    </row>
    <row r="3214">
      <c r="B3214" s="223" t="s">
        <v>200</v>
      </c>
      <c r="C3214" s="223"/>
      <c r="K3214" s="319"/>
      <c r="L3214" s="218"/>
    </row>
    <row r="3215">
      <c r="B3215" s="223" t="s">
        <v>200</v>
      </c>
      <c r="C3215" s="223"/>
      <c r="K3215" s="319"/>
      <c r="L3215" s="218"/>
    </row>
    <row r="3216">
      <c r="B3216" s="223" t="s">
        <v>200</v>
      </c>
      <c r="C3216" s="223"/>
      <c r="K3216" s="319"/>
      <c r="L3216" s="218"/>
    </row>
    <row r="3217">
      <c r="B3217" s="223" t="s">
        <v>200</v>
      </c>
      <c r="C3217" s="223"/>
      <c r="K3217" s="319"/>
      <c r="L3217" s="218"/>
    </row>
    <row r="3218">
      <c r="B3218" s="223" t="s">
        <v>200</v>
      </c>
      <c r="C3218" s="223"/>
      <c r="K3218" s="319"/>
      <c r="L3218" s="218"/>
    </row>
    <row r="3219">
      <c r="B3219" s="223" t="s">
        <v>200</v>
      </c>
      <c r="C3219" s="223"/>
      <c r="K3219" s="319"/>
      <c r="L3219" s="218"/>
    </row>
    <row r="3220">
      <c r="B3220" s="223" t="s">
        <v>200</v>
      </c>
      <c r="C3220" s="223"/>
      <c r="K3220" s="319"/>
      <c r="L3220" s="218"/>
    </row>
    <row r="3221">
      <c r="B3221" s="223" t="s">
        <v>200</v>
      </c>
      <c r="C3221" s="223"/>
      <c r="K3221" s="319"/>
      <c r="L3221" s="218"/>
    </row>
    <row r="3222">
      <c r="B3222" s="223" t="s">
        <v>200</v>
      </c>
      <c r="C3222" s="223"/>
      <c r="K3222" s="319"/>
      <c r="L3222" s="218"/>
    </row>
    <row r="3223">
      <c r="B3223" s="223" t="s">
        <v>200</v>
      </c>
      <c r="C3223" s="223"/>
      <c r="K3223" s="319"/>
      <c r="L3223" s="218"/>
    </row>
    <row r="3224">
      <c r="B3224" s="223" t="s">
        <v>200</v>
      </c>
      <c r="C3224" s="223"/>
      <c r="K3224" s="319"/>
      <c r="L3224" s="218"/>
    </row>
    <row r="3225">
      <c r="B3225" s="223" t="s">
        <v>200</v>
      </c>
      <c r="C3225" s="223"/>
      <c r="K3225" s="319"/>
      <c r="L3225" s="218"/>
    </row>
    <row r="3226">
      <c r="B3226" s="223" t="s">
        <v>200</v>
      </c>
      <c r="C3226" s="223"/>
      <c r="K3226" s="319"/>
      <c r="L3226" s="218"/>
    </row>
    <row r="3227">
      <c r="B3227" s="223" t="s">
        <v>200</v>
      </c>
      <c r="C3227" s="223"/>
      <c r="K3227" s="319"/>
      <c r="L3227" s="218"/>
    </row>
    <row r="3228">
      <c r="B3228" s="223" t="s">
        <v>200</v>
      </c>
      <c r="C3228" s="223"/>
      <c r="K3228" s="319"/>
      <c r="L3228" s="218"/>
    </row>
    <row r="3229">
      <c r="B3229" s="223" t="s">
        <v>200</v>
      </c>
      <c r="C3229" s="223"/>
      <c r="K3229" s="319"/>
      <c r="L3229" s="218"/>
    </row>
    <row r="3230">
      <c r="B3230" s="223" t="s">
        <v>200</v>
      </c>
      <c r="C3230" s="223"/>
      <c r="K3230" s="319"/>
      <c r="L3230" s="218"/>
    </row>
    <row r="3231">
      <c r="B3231" s="223" t="s">
        <v>200</v>
      </c>
      <c r="C3231" s="223"/>
      <c r="K3231" s="319"/>
      <c r="L3231" s="218"/>
    </row>
    <row r="3232">
      <c r="B3232" s="223" t="s">
        <v>200</v>
      </c>
      <c r="C3232" s="223"/>
      <c r="K3232" s="319"/>
      <c r="L3232" s="218"/>
    </row>
    <row r="3233">
      <c r="B3233" s="223" t="s">
        <v>200</v>
      </c>
      <c r="C3233" s="223"/>
      <c r="K3233" s="319"/>
      <c r="L3233" s="218"/>
    </row>
    <row r="3234">
      <c r="B3234" s="223" t="s">
        <v>200</v>
      </c>
      <c r="C3234" s="223"/>
      <c r="K3234" s="319"/>
      <c r="L3234" s="218"/>
    </row>
    <row r="3235">
      <c r="B3235" s="223" t="s">
        <v>200</v>
      </c>
      <c r="C3235" s="223"/>
      <c r="K3235" s="319"/>
      <c r="L3235" s="218"/>
    </row>
    <row r="3236">
      <c r="B3236" s="223" t="s">
        <v>200</v>
      </c>
      <c r="C3236" s="223"/>
      <c r="K3236" s="319"/>
      <c r="L3236" s="218"/>
    </row>
    <row r="3237">
      <c r="B3237" s="223" t="s">
        <v>200</v>
      </c>
      <c r="C3237" s="223"/>
      <c r="K3237" s="319"/>
      <c r="L3237" s="218"/>
    </row>
    <row r="3238">
      <c r="B3238" s="223" t="s">
        <v>200</v>
      </c>
      <c r="C3238" s="223"/>
      <c r="K3238" s="319"/>
      <c r="L3238" s="218"/>
    </row>
    <row r="3239">
      <c r="B3239" s="223" t="s">
        <v>200</v>
      </c>
      <c r="C3239" s="223"/>
      <c r="K3239" s="319"/>
      <c r="L3239" s="218"/>
    </row>
    <row r="3240">
      <c r="B3240" s="223" t="s">
        <v>200</v>
      </c>
      <c r="C3240" s="223"/>
      <c r="K3240" s="319"/>
      <c r="L3240" s="218"/>
    </row>
    <row r="3241">
      <c r="B3241" s="223" t="s">
        <v>200</v>
      </c>
      <c r="C3241" s="223"/>
      <c r="K3241" s="319"/>
      <c r="L3241" s="218"/>
    </row>
    <row r="3242">
      <c r="B3242" s="223" t="s">
        <v>200</v>
      </c>
      <c r="C3242" s="223"/>
      <c r="K3242" s="319"/>
      <c r="L3242" s="218"/>
    </row>
    <row r="3243">
      <c r="B3243" s="223" t="s">
        <v>200</v>
      </c>
      <c r="C3243" s="223"/>
      <c r="K3243" s="319"/>
      <c r="L3243" s="218"/>
    </row>
    <row r="3244">
      <c r="B3244" s="223" t="s">
        <v>200</v>
      </c>
      <c r="C3244" s="223"/>
      <c r="K3244" s="319"/>
      <c r="L3244" s="218"/>
    </row>
    <row r="3245">
      <c r="B3245" s="223" t="s">
        <v>200</v>
      </c>
      <c r="C3245" s="223"/>
      <c r="K3245" s="319"/>
      <c r="L3245" s="218"/>
    </row>
    <row r="3246">
      <c r="B3246" s="223" t="s">
        <v>200</v>
      </c>
      <c r="C3246" s="223"/>
      <c r="K3246" s="319"/>
      <c r="L3246" s="218"/>
    </row>
    <row r="3247">
      <c r="B3247" s="223" t="s">
        <v>200</v>
      </c>
      <c r="C3247" s="223"/>
      <c r="K3247" s="319"/>
      <c r="L3247" s="218"/>
    </row>
    <row r="3248">
      <c r="B3248" s="223" t="s">
        <v>200</v>
      </c>
      <c r="C3248" s="223"/>
      <c r="K3248" s="319"/>
      <c r="L3248" s="218"/>
    </row>
    <row r="3249">
      <c r="B3249" s="223" t="s">
        <v>200</v>
      </c>
      <c r="C3249" s="223"/>
      <c r="K3249" s="319"/>
      <c r="L3249" s="218"/>
    </row>
    <row r="3250">
      <c r="B3250" s="223" t="s">
        <v>200</v>
      </c>
      <c r="C3250" s="223"/>
      <c r="K3250" s="319"/>
      <c r="L3250" s="218"/>
    </row>
    <row r="3251">
      <c r="B3251" s="223" t="s">
        <v>200</v>
      </c>
      <c r="C3251" s="223"/>
      <c r="K3251" s="319"/>
      <c r="L3251" s="218"/>
    </row>
    <row r="3252">
      <c r="B3252" s="223" t="s">
        <v>200</v>
      </c>
      <c r="C3252" s="223"/>
      <c r="K3252" s="319"/>
      <c r="L3252" s="218"/>
    </row>
    <row r="3253">
      <c r="B3253" s="223" t="s">
        <v>200</v>
      </c>
      <c r="C3253" s="223"/>
      <c r="K3253" s="319"/>
      <c r="L3253" s="218"/>
    </row>
    <row r="3254">
      <c r="B3254" s="223" t="s">
        <v>200</v>
      </c>
      <c r="C3254" s="223"/>
      <c r="K3254" s="319"/>
      <c r="L3254" s="218"/>
    </row>
    <row r="3255">
      <c r="B3255" s="223" t="s">
        <v>200</v>
      </c>
      <c r="C3255" s="223"/>
      <c r="K3255" s="319"/>
      <c r="L3255" s="218"/>
    </row>
    <row r="3256">
      <c r="B3256" s="223" t="s">
        <v>200</v>
      </c>
      <c r="C3256" s="223"/>
      <c r="K3256" s="319"/>
      <c r="L3256" s="218"/>
    </row>
    <row r="3257">
      <c r="B3257" s="223" t="s">
        <v>200</v>
      </c>
      <c r="C3257" s="223"/>
      <c r="K3257" s="319"/>
      <c r="L3257" s="218"/>
    </row>
    <row r="3258">
      <c r="B3258" s="223" t="s">
        <v>200</v>
      </c>
      <c r="C3258" s="223"/>
      <c r="K3258" s="319"/>
      <c r="L3258" s="218"/>
    </row>
    <row r="3259">
      <c r="B3259" s="223" t="s">
        <v>200</v>
      </c>
      <c r="C3259" s="223"/>
      <c r="K3259" s="319"/>
      <c r="L3259" s="218"/>
    </row>
    <row r="3260">
      <c r="B3260" s="223" t="s">
        <v>200</v>
      </c>
      <c r="C3260" s="223"/>
      <c r="K3260" s="319"/>
      <c r="L3260" s="218"/>
    </row>
    <row r="3261">
      <c r="B3261" s="223" t="s">
        <v>200</v>
      </c>
      <c r="C3261" s="223"/>
      <c r="K3261" s="319"/>
      <c r="L3261" s="218"/>
    </row>
    <row r="3262">
      <c r="B3262" s="223" t="s">
        <v>200</v>
      </c>
      <c r="C3262" s="223"/>
      <c r="K3262" s="319"/>
      <c r="L3262" s="218"/>
    </row>
    <row r="3263">
      <c r="B3263" s="223" t="s">
        <v>200</v>
      </c>
      <c r="C3263" s="223"/>
      <c r="K3263" s="319"/>
      <c r="L3263" s="218"/>
    </row>
    <row r="3264">
      <c r="B3264" s="223" t="s">
        <v>200</v>
      </c>
      <c r="C3264" s="223"/>
      <c r="K3264" s="319"/>
      <c r="L3264" s="218"/>
    </row>
    <row r="3265">
      <c r="B3265" s="223" t="s">
        <v>200</v>
      </c>
      <c r="C3265" s="223"/>
      <c r="K3265" s="319"/>
      <c r="L3265" s="218"/>
    </row>
    <row r="3266">
      <c r="B3266" s="223" t="s">
        <v>200</v>
      </c>
      <c r="C3266" s="223"/>
      <c r="K3266" s="319"/>
      <c r="L3266" s="218"/>
    </row>
    <row r="3267">
      <c r="B3267" s="223" t="s">
        <v>200</v>
      </c>
      <c r="C3267" s="223"/>
      <c r="K3267" s="319"/>
      <c r="L3267" s="218"/>
    </row>
    <row r="3268">
      <c r="B3268" s="223" t="s">
        <v>200</v>
      </c>
      <c r="C3268" s="223"/>
      <c r="K3268" s="319"/>
      <c r="L3268" s="218"/>
    </row>
    <row r="3269">
      <c r="B3269" s="223" t="s">
        <v>200</v>
      </c>
      <c r="C3269" s="223"/>
      <c r="K3269" s="319"/>
      <c r="L3269" s="218"/>
    </row>
    <row r="3270">
      <c r="B3270" s="223" t="s">
        <v>200</v>
      </c>
      <c r="C3270" s="223"/>
      <c r="K3270" s="319"/>
      <c r="L3270" s="218"/>
    </row>
    <row r="3271">
      <c r="B3271" s="223" t="s">
        <v>200</v>
      </c>
      <c r="C3271" s="223"/>
      <c r="K3271" s="319"/>
      <c r="L3271" s="218"/>
    </row>
    <row r="3272">
      <c r="B3272" s="223" t="s">
        <v>200</v>
      </c>
      <c r="C3272" s="223"/>
      <c r="K3272" s="319"/>
      <c r="L3272" s="218"/>
    </row>
    <row r="3273">
      <c r="B3273" s="223" t="s">
        <v>200</v>
      </c>
      <c r="C3273" s="223"/>
      <c r="K3273" s="319"/>
      <c r="L3273" s="218"/>
    </row>
    <row r="3274">
      <c r="B3274" s="223" t="s">
        <v>200</v>
      </c>
      <c r="C3274" s="223"/>
      <c r="K3274" s="319"/>
      <c r="L3274" s="218"/>
    </row>
    <row r="3275">
      <c r="B3275" s="223" t="s">
        <v>200</v>
      </c>
      <c r="C3275" s="223"/>
      <c r="K3275" s="319"/>
      <c r="L3275" s="218"/>
    </row>
    <row r="3276">
      <c r="B3276" s="223" t="s">
        <v>200</v>
      </c>
      <c r="C3276" s="223"/>
      <c r="K3276" s="319"/>
      <c r="L3276" s="218"/>
    </row>
    <row r="3277">
      <c r="B3277" s="223" t="s">
        <v>200</v>
      </c>
      <c r="C3277" s="223"/>
      <c r="K3277" s="319"/>
      <c r="L3277" s="218"/>
    </row>
    <row r="3278">
      <c r="B3278" s="223" t="s">
        <v>200</v>
      </c>
      <c r="C3278" s="223"/>
      <c r="K3278" s="319"/>
      <c r="L3278" s="218"/>
    </row>
    <row r="3279">
      <c r="B3279" s="223" t="s">
        <v>200</v>
      </c>
      <c r="C3279" s="223"/>
      <c r="K3279" s="319"/>
      <c r="L3279" s="218"/>
    </row>
    <row r="3280">
      <c r="B3280" s="223" t="s">
        <v>200</v>
      </c>
      <c r="C3280" s="223"/>
      <c r="K3280" s="319"/>
      <c r="L3280" s="218"/>
    </row>
    <row r="3281">
      <c r="B3281" s="223" t="s">
        <v>200</v>
      </c>
      <c r="C3281" s="223"/>
      <c r="K3281" s="319"/>
      <c r="L3281" s="218"/>
    </row>
    <row r="3282">
      <c r="B3282" s="223" t="s">
        <v>200</v>
      </c>
      <c r="C3282" s="223"/>
      <c r="K3282" s="319"/>
      <c r="L3282" s="218"/>
    </row>
    <row r="3283">
      <c r="B3283" s="223" t="s">
        <v>200</v>
      </c>
      <c r="C3283" s="223"/>
      <c r="K3283" s="319"/>
      <c r="L3283" s="218"/>
    </row>
    <row r="3284">
      <c r="B3284" s="223" t="s">
        <v>200</v>
      </c>
      <c r="C3284" s="223"/>
      <c r="K3284" s="319"/>
      <c r="L3284" s="218"/>
    </row>
    <row r="3285">
      <c r="B3285" s="223" t="s">
        <v>200</v>
      </c>
      <c r="C3285" s="223"/>
      <c r="K3285" s="319"/>
      <c r="L3285" s="218"/>
    </row>
    <row r="3286">
      <c r="B3286" s="223" t="s">
        <v>200</v>
      </c>
      <c r="C3286" s="223"/>
      <c r="K3286" s="319"/>
      <c r="L3286" s="218"/>
    </row>
    <row r="3287">
      <c r="B3287" s="223" t="s">
        <v>200</v>
      </c>
      <c r="C3287" s="223"/>
      <c r="K3287" s="319"/>
      <c r="L3287" s="218"/>
    </row>
    <row r="3288">
      <c r="B3288" s="223" t="s">
        <v>200</v>
      </c>
      <c r="C3288" s="223"/>
      <c r="K3288" s="319"/>
      <c r="L3288" s="218"/>
    </row>
    <row r="3289">
      <c r="B3289" s="223" t="s">
        <v>200</v>
      </c>
      <c r="C3289" s="223"/>
      <c r="K3289" s="319"/>
      <c r="L3289" s="218"/>
    </row>
    <row r="3290">
      <c r="B3290" s="223" t="s">
        <v>200</v>
      </c>
      <c r="C3290" s="223"/>
      <c r="K3290" s="319"/>
      <c r="L3290" s="218"/>
    </row>
    <row r="3291">
      <c r="B3291" s="223" t="s">
        <v>200</v>
      </c>
      <c r="C3291" s="223"/>
      <c r="K3291" s="319"/>
      <c r="L3291" s="218"/>
    </row>
    <row r="3292">
      <c r="B3292" s="223" t="s">
        <v>200</v>
      </c>
      <c r="C3292" s="223"/>
      <c r="K3292" s="319"/>
      <c r="L3292" s="218"/>
    </row>
    <row r="3293">
      <c r="B3293" s="223" t="s">
        <v>200</v>
      </c>
      <c r="C3293" s="223"/>
      <c r="K3293" s="319"/>
      <c r="L3293" s="218"/>
    </row>
    <row r="3294">
      <c r="B3294" s="223" t="s">
        <v>200</v>
      </c>
      <c r="C3294" s="223"/>
      <c r="K3294" s="319"/>
      <c r="L3294" s="218"/>
    </row>
    <row r="3295">
      <c r="B3295" s="223" t="s">
        <v>200</v>
      </c>
      <c r="C3295" s="223"/>
      <c r="K3295" s="319"/>
      <c r="L3295" s="218"/>
    </row>
    <row r="3296">
      <c r="B3296" s="223" t="s">
        <v>200</v>
      </c>
      <c r="C3296" s="223"/>
      <c r="K3296" s="319"/>
      <c r="L3296" s="218"/>
    </row>
    <row r="3297">
      <c r="B3297" s="223" t="s">
        <v>200</v>
      </c>
      <c r="C3297" s="223"/>
      <c r="K3297" s="319"/>
      <c r="L3297" s="218"/>
    </row>
    <row r="3298">
      <c r="B3298" s="223" t="s">
        <v>200</v>
      </c>
      <c r="C3298" s="223"/>
      <c r="K3298" s="319"/>
      <c r="L3298" s="218"/>
    </row>
    <row r="3299">
      <c r="B3299" s="223" t="s">
        <v>200</v>
      </c>
      <c r="C3299" s="223"/>
      <c r="K3299" s="319"/>
      <c r="L3299" s="218"/>
    </row>
    <row r="3300">
      <c r="B3300" s="223" t="s">
        <v>200</v>
      </c>
      <c r="C3300" s="223"/>
      <c r="K3300" s="319"/>
      <c r="L3300" s="218"/>
    </row>
    <row r="3301">
      <c r="B3301" s="223" t="s">
        <v>200</v>
      </c>
      <c r="C3301" s="223"/>
      <c r="K3301" s="319"/>
      <c r="L3301" s="218"/>
    </row>
    <row r="3302">
      <c r="B3302" s="223" t="s">
        <v>200</v>
      </c>
      <c r="C3302" s="223"/>
      <c r="K3302" s="319"/>
      <c r="L3302" s="218"/>
    </row>
    <row r="3303">
      <c r="B3303" s="223" t="s">
        <v>200</v>
      </c>
      <c r="C3303" s="223"/>
      <c r="K3303" s="319"/>
      <c r="L3303" s="218"/>
    </row>
    <row r="3304">
      <c r="B3304" s="223" t="s">
        <v>200</v>
      </c>
      <c r="C3304" s="223"/>
      <c r="K3304" s="319"/>
      <c r="L3304" s="218"/>
    </row>
    <row r="3305">
      <c r="B3305" s="223" t="s">
        <v>200</v>
      </c>
      <c r="C3305" s="223"/>
      <c r="K3305" s="319"/>
      <c r="L3305" s="218"/>
    </row>
    <row r="3306">
      <c r="B3306" s="223" t="s">
        <v>200</v>
      </c>
      <c r="C3306" s="223"/>
      <c r="K3306" s="319"/>
      <c r="L3306" s="218"/>
    </row>
    <row r="3307">
      <c r="B3307" s="223" t="s">
        <v>200</v>
      </c>
      <c r="C3307" s="223"/>
      <c r="K3307" s="319"/>
      <c r="L3307" s="218"/>
    </row>
    <row r="3308">
      <c r="B3308" s="223" t="s">
        <v>200</v>
      </c>
      <c r="C3308" s="223"/>
      <c r="K3308" s="319"/>
      <c r="L3308" s="218"/>
    </row>
    <row r="3309">
      <c r="B3309" s="223" t="s">
        <v>200</v>
      </c>
      <c r="C3309" s="223"/>
      <c r="K3309" s="319"/>
      <c r="L3309" s="218"/>
    </row>
    <row r="3310">
      <c r="B3310" s="223" t="s">
        <v>200</v>
      </c>
      <c r="C3310" s="223"/>
      <c r="K3310" s="319"/>
      <c r="L3310" s="218"/>
    </row>
    <row r="3311">
      <c r="B3311" s="223" t="s">
        <v>200</v>
      </c>
      <c r="C3311" s="223"/>
      <c r="K3311" s="319"/>
      <c r="L3311" s="218"/>
    </row>
    <row r="3312">
      <c r="B3312" s="223" t="s">
        <v>200</v>
      </c>
      <c r="C3312" s="223"/>
      <c r="K3312" s="319"/>
      <c r="L3312" s="218"/>
    </row>
    <row r="3313">
      <c r="B3313" s="223" t="s">
        <v>200</v>
      </c>
      <c r="C3313" s="223"/>
      <c r="K3313" s="319"/>
      <c r="L3313" s="218"/>
    </row>
    <row r="3314">
      <c r="B3314" s="223" t="s">
        <v>200</v>
      </c>
      <c r="C3314" s="223"/>
      <c r="K3314" s="319"/>
      <c r="L3314" s="218"/>
    </row>
    <row r="3315">
      <c r="B3315" s="223" t="s">
        <v>200</v>
      </c>
      <c r="C3315" s="223"/>
      <c r="K3315" s="319"/>
      <c r="L3315" s="218"/>
    </row>
    <row r="3316">
      <c r="B3316" s="223" t="s">
        <v>200</v>
      </c>
      <c r="C3316" s="223"/>
      <c r="K3316" s="319"/>
      <c r="L3316" s="218"/>
    </row>
    <row r="3317">
      <c r="B3317" s="223" t="s">
        <v>200</v>
      </c>
      <c r="C3317" s="223"/>
      <c r="K3317" s="319"/>
      <c r="L3317" s="218"/>
    </row>
    <row r="3318">
      <c r="B3318" s="223" t="s">
        <v>200</v>
      </c>
      <c r="C3318" s="223"/>
      <c r="K3318" s="319"/>
      <c r="L3318" s="218"/>
    </row>
    <row r="3319">
      <c r="B3319" s="223" t="s">
        <v>200</v>
      </c>
      <c r="C3319" s="223"/>
      <c r="K3319" s="319"/>
      <c r="L3319" s="218"/>
    </row>
    <row r="3320">
      <c r="B3320" s="223" t="s">
        <v>200</v>
      </c>
      <c r="C3320" s="223"/>
      <c r="K3320" s="319"/>
      <c r="L3320" s="218"/>
    </row>
    <row r="3321">
      <c r="B3321" s="223" t="s">
        <v>200</v>
      </c>
      <c r="C3321" s="223"/>
      <c r="K3321" s="319"/>
      <c r="L3321" s="218"/>
    </row>
    <row r="3322">
      <c r="B3322" s="223" t="s">
        <v>200</v>
      </c>
      <c r="C3322" s="223"/>
      <c r="K3322" s="319"/>
      <c r="L3322" s="218"/>
    </row>
    <row r="3323">
      <c r="B3323" s="223" t="s">
        <v>200</v>
      </c>
      <c r="C3323" s="223"/>
      <c r="K3323" s="319"/>
      <c r="L3323" s="218"/>
    </row>
    <row r="3324">
      <c r="B3324" s="223" t="s">
        <v>200</v>
      </c>
      <c r="C3324" s="223"/>
      <c r="K3324" s="319"/>
      <c r="L3324" s="218"/>
    </row>
    <row r="3325">
      <c r="B3325" s="223" t="s">
        <v>200</v>
      </c>
      <c r="C3325" s="223"/>
      <c r="K3325" s="319"/>
      <c r="L3325" s="218"/>
    </row>
    <row r="3326">
      <c r="B3326" s="223" t="s">
        <v>200</v>
      </c>
      <c r="C3326" s="223"/>
      <c r="K3326" s="319"/>
      <c r="L3326" s="218"/>
    </row>
    <row r="3327">
      <c r="B3327" s="223" t="s">
        <v>200</v>
      </c>
      <c r="C3327" s="223"/>
      <c r="K3327" s="319"/>
      <c r="L3327" s="218"/>
    </row>
    <row r="3328">
      <c r="B3328" s="223" t="s">
        <v>200</v>
      </c>
      <c r="C3328" s="223"/>
      <c r="K3328" s="319"/>
      <c r="L3328" s="218"/>
    </row>
    <row r="3329">
      <c r="B3329" s="223" t="s">
        <v>200</v>
      </c>
      <c r="C3329" s="223"/>
      <c r="K3329" s="319"/>
      <c r="L3329" s="218"/>
    </row>
    <row r="3330">
      <c r="B3330" s="223" t="s">
        <v>200</v>
      </c>
      <c r="C3330" s="223"/>
      <c r="K3330" s="319"/>
      <c r="L3330" s="218"/>
    </row>
    <row r="3331">
      <c r="B3331" s="223" t="s">
        <v>200</v>
      </c>
      <c r="C3331" s="223"/>
      <c r="K3331" s="319"/>
      <c r="L3331" s="218"/>
    </row>
    <row r="3332">
      <c r="B3332" s="223" t="s">
        <v>200</v>
      </c>
      <c r="C3332" s="223"/>
      <c r="K3332" s="319"/>
      <c r="L3332" s="218"/>
    </row>
    <row r="3333">
      <c r="B3333" s="223" t="s">
        <v>200</v>
      </c>
      <c r="C3333" s="223"/>
      <c r="K3333" s="319"/>
      <c r="L3333" s="218"/>
    </row>
    <row r="3334">
      <c r="B3334" s="223" t="s">
        <v>200</v>
      </c>
      <c r="C3334" s="223"/>
      <c r="K3334" s="319"/>
      <c r="L3334" s="218"/>
    </row>
    <row r="3335">
      <c r="B3335" s="223" t="s">
        <v>200</v>
      </c>
      <c r="C3335" s="223"/>
      <c r="K3335" s="319"/>
      <c r="L3335" s="218"/>
    </row>
    <row r="3336">
      <c r="B3336" s="223" t="s">
        <v>200</v>
      </c>
      <c r="C3336" s="223"/>
      <c r="K3336" s="319"/>
      <c r="L3336" s="218"/>
    </row>
    <row r="3337">
      <c r="B3337" s="223" t="s">
        <v>200</v>
      </c>
      <c r="C3337" s="223"/>
      <c r="K3337" s="319"/>
      <c r="L3337" s="218"/>
    </row>
    <row r="3338">
      <c r="B3338" s="223" t="s">
        <v>200</v>
      </c>
      <c r="C3338" s="223"/>
      <c r="K3338" s="319"/>
      <c r="L3338" s="218"/>
    </row>
    <row r="3339">
      <c r="B3339" s="223" t="s">
        <v>200</v>
      </c>
      <c r="C3339" s="223"/>
      <c r="K3339" s="319"/>
      <c r="L3339" s="218"/>
    </row>
    <row r="3340">
      <c r="B3340" s="223" t="s">
        <v>200</v>
      </c>
      <c r="C3340" s="223"/>
      <c r="K3340" s="319"/>
      <c r="L3340" s="218"/>
    </row>
    <row r="3341">
      <c r="B3341" s="223" t="s">
        <v>200</v>
      </c>
      <c r="C3341" s="223"/>
      <c r="K3341" s="319"/>
      <c r="L3341" s="218"/>
    </row>
    <row r="3342">
      <c r="B3342" s="223" t="s">
        <v>200</v>
      </c>
      <c r="C3342" s="223"/>
      <c r="K3342" s="319"/>
      <c r="L3342" s="218"/>
    </row>
    <row r="3343">
      <c r="B3343" s="223" t="s">
        <v>200</v>
      </c>
      <c r="C3343" s="223"/>
      <c r="K3343" s="319"/>
      <c r="L3343" s="218"/>
    </row>
    <row r="3344">
      <c r="B3344" s="223" t="s">
        <v>200</v>
      </c>
      <c r="C3344" s="223"/>
      <c r="K3344" s="319"/>
      <c r="L3344" s="218"/>
    </row>
    <row r="3345">
      <c r="B3345" s="223" t="s">
        <v>200</v>
      </c>
      <c r="C3345" s="223"/>
      <c r="K3345" s="319"/>
      <c r="L3345" s="218"/>
    </row>
    <row r="3346">
      <c r="B3346" s="223" t="s">
        <v>200</v>
      </c>
      <c r="C3346" s="223"/>
      <c r="K3346" s="319"/>
      <c r="L3346" s="218"/>
    </row>
    <row r="3347">
      <c r="B3347" s="223" t="s">
        <v>200</v>
      </c>
      <c r="C3347" s="223"/>
      <c r="K3347" s="319"/>
      <c r="L3347" s="218"/>
    </row>
    <row r="3348">
      <c r="B3348" s="223" t="s">
        <v>200</v>
      </c>
      <c r="C3348" s="223"/>
      <c r="K3348" s="319"/>
      <c r="L3348" s="218"/>
    </row>
    <row r="3349">
      <c r="B3349" s="223" t="s">
        <v>200</v>
      </c>
      <c r="C3349" s="223"/>
      <c r="K3349" s="319"/>
      <c r="L3349" s="218"/>
    </row>
    <row r="3350">
      <c r="B3350" s="223" t="s">
        <v>200</v>
      </c>
      <c r="C3350" s="223"/>
      <c r="K3350" s="319"/>
      <c r="L3350" s="218"/>
    </row>
    <row r="3351">
      <c r="B3351" s="223" t="s">
        <v>200</v>
      </c>
      <c r="C3351" s="223"/>
      <c r="K3351" s="319"/>
      <c r="L3351" s="218"/>
    </row>
    <row r="3352">
      <c r="B3352" s="223" t="s">
        <v>200</v>
      </c>
      <c r="C3352" s="223"/>
      <c r="K3352" s="319"/>
      <c r="L3352" s="218"/>
    </row>
    <row r="3353">
      <c r="B3353" s="223" t="s">
        <v>200</v>
      </c>
      <c r="C3353" s="223"/>
      <c r="K3353" s="319"/>
      <c r="L3353" s="218"/>
    </row>
    <row r="3354">
      <c r="B3354" s="223" t="s">
        <v>200</v>
      </c>
      <c r="C3354" s="223"/>
      <c r="K3354" s="319"/>
      <c r="L3354" s="218"/>
    </row>
    <row r="3355">
      <c r="B3355" s="223" t="s">
        <v>200</v>
      </c>
      <c r="C3355" s="223"/>
      <c r="K3355" s="319"/>
      <c r="L3355" s="218"/>
    </row>
    <row r="3356">
      <c r="B3356" s="223" t="s">
        <v>200</v>
      </c>
      <c r="C3356" s="223"/>
      <c r="K3356" s="319"/>
      <c r="L3356" s="218"/>
    </row>
    <row r="3357">
      <c r="B3357" s="223" t="s">
        <v>200</v>
      </c>
      <c r="C3357" s="223"/>
      <c r="K3357" s="319"/>
      <c r="L3357" s="218"/>
    </row>
    <row r="3358">
      <c r="B3358" s="223" t="s">
        <v>200</v>
      </c>
      <c r="C3358" s="223"/>
      <c r="K3358" s="319"/>
      <c r="L3358" s="218"/>
    </row>
    <row r="3359">
      <c r="B3359" s="223" t="s">
        <v>200</v>
      </c>
      <c r="C3359" s="223"/>
      <c r="K3359" s="319"/>
      <c r="L3359" s="218"/>
    </row>
    <row r="3360">
      <c r="B3360" s="223" t="s">
        <v>200</v>
      </c>
      <c r="C3360" s="223"/>
      <c r="K3360" s="319"/>
      <c r="L3360" s="218"/>
    </row>
    <row r="3361">
      <c r="B3361" s="223" t="s">
        <v>200</v>
      </c>
      <c r="C3361" s="223"/>
      <c r="K3361" s="319"/>
      <c r="L3361" s="218"/>
    </row>
    <row r="3362">
      <c r="B3362" s="223" t="s">
        <v>200</v>
      </c>
      <c r="C3362" s="223"/>
      <c r="K3362" s="319"/>
      <c r="L3362" s="218"/>
    </row>
    <row r="3363">
      <c r="B3363" s="223" t="s">
        <v>200</v>
      </c>
      <c r="C3363" s="223"/>
      <c r="K3363" s="319"/>
      <c r="L3363" s="218"/>
    </row>
    <row r="3364">
      <c r="B3364" s="223" t="s">
        <v>200</v>
      </c>
      <c r="C3364" s="223"/>
      <c r="K3364" s="319"/>
      <c r="L3364" s="218"/>
    </row>
    <row r="3365">
      <c r="B3365" s="223" t="s">
        <v>200</v>
      </c>
      <c r="C3365" s="223"/>
      <c r="K3365" s="319"/>
      <c r="L3365" s="218"/>
    </row>
    <row r="3366">
      <c r="B3366" s="223" t="s">
        <v>200</v>
      </c>
      <c r="C3366" s="223"/>
      <c r="K3366" s="319"/>
      <c r="L3366" s="218"/>
    </row>
    <row r="3367">
      <c r="B3367" s="223" t="s">
        <v>200</v>
      </c>
      <c r="C3367" s="223"/>
      <c r="K3367" s="319"/>
      <c r="L3367" s="218"/>
    </row>
    <row r="3368">
      <c r="B3368" s="223" t="s">
        <v>200</v>
      </c>
      <c r="C3368" s="223"/>
      <c r="K3368" s="319"/>
      <c r="L3368" s="218"/>
    </row>
    <row r="3369">
      <c r="B3369" s="223" t="s">
        <v>200</v>
      </c>
      <c r="C3369" s="223"/>
      <c r="K3369" s="319"/>
      <c r="L3369" s="218"/>
    </row>
    <row r="3370">
      <c r="B3370" s="223" t="s">
        <v>200</v>
      </c>
      <c r="C3370" s="223"/>
      <c r="K3370" s="319"/>
      <c r="L3370" s="218"/>
    </row>
    <row r="3371">
      <c r="B3371" s="223" t="s">
        <v>200</v>
      </c>
      <c r="C3371" s="223"/>
      <c r="K3371" s="319"/>
      <c r="L3371" s="218"/>
    </row>
    <row r="3372">
      <c r="B3372" s="223" t="s">
        <v>200</v>
      </c>
      <c r="C3372" s="223"/>
      <c r="K3372" s="319"/>
      <c r="L3372" s="218"/>
    </row>
    <row r="3373">
      <c r="B3373" s="223" t="s">
        <v>200</v>
      </c>
      <c r="C3373" s="223"/>
      <c r="K3373" s="319"/>
      <c r="L3373" s="218"/>
    </row>
    <row r="3374">
      <c r="B3374" s="223" t="s">
        <v>200</v>
      </c>
      <c r="C3374" s="223"/>
      <c r="K3374" s="319"/>
      <c r="L3374" s="218"/>
    </row>
    <row r="3375">
      <c r="B3375" s="223" t="s">
        <v>200</v>
      </c>
      <c r="C3375" s="223"/>
      <c r="K3375" s="319"/>
      <c r="L3375" s="218"/>
    </row>
    <row r="3376">
      <c r="B3376" s="223" t="s">
        <v>200</v>
      </c>
      <c r="C3376" s="223"/>
      <c r="K3376" s="319"/>
      <c r="L3376" s="218"/>
    </row>
    <row r="3377">
      <c r="B3377" s="223" t="s">
        <v>200</v>
      </c>
      <c r="C3377" s="223"/>
      <c r="K3377" s="319"/>
      <c r="L3377" s="218"/>
    </row>
    <row r="3378">
      <c r="B3378" s="223" t="s">
        <v>200</v>
      </c>
      <c r="C3378" s="223"/>
      <c r="K3378" s="319"/>
      <c r="L3378" s="218"/>
    </row>
    <row r="3379">
      <c r="B3379" s="223" t="s">
        <v>200</v>
      </c>
      <c r="C3379" s="223"/>
      <c r="K3379" s="319"/>
      <c r="L3379" s="218"/>
    </row>
    <row r="3380">
      <c r="B3380" s="223" t="s">
        <v>200</v>
      </c>
      <c r="C3380" s="223"/>
      <c r="K3380" s="319"/>
      <c r="L3380" s="218"/>
    </row>
    <row r="3381">
      <c r="B3381" s="223" t="s">
        <v>200</v>
      </c>
      <c r="C3381" s="223"/>
      <c r="K3381" s="319"/>
      <c r="L3381" s="218"/>
    </row>
    <row r="3382">
      <c r="B3382" s="223" t="s">
        <v>200</v>
      </c>
      <c r="C3382" s="223"/>
      <c r="K3382" s="319"/>
      <c r="L3382" s="218"/>
    </row>
    <row r="3383">
      <c r="B3383" s="223" t="s">
        <v>200</v>
      </c>
      <c r="C3383" s="223"/>
      <c r="K3383" s="319"/>
      <c r="L3383" s="218"/>
    </row>
    <row r="3384">
      <c r="B3384" s="223" t="s">
        <v>200</v>
      </c>
      <c r="C3384" s="223"/>
      <c r="K3384" s="319"/>
      <c r="L3384" s="218"/>
    </row>
    <row r="3385">
      <c r="B3385" s="223" t="s">
        <v>200</v>
      </c>
      <c r="C3385" s="223"/>
      <c r="K3385" s="319"/>
      <c r="L3385" s="218"/>
    </row>
    <row r="3386">
      <c r="B3386" s="223" t="s">
        <v>200</v>
      </c>
      <c r="C3386" s="223"/>
      <c r="K3386" s="319"/>
      <c r="L3386" s="218"/>
    </row>
    <row r="3387">
      <c r="B3387" s="223" t="s">
        <v>200</v>
      </c>
      <c r="C3387" s="223"/>
      <c r="K3387" s="319"/>
      <c r="L3387" s="218"/>
    </row>
    <row r="3388">
      <c r="B3388" s="223" t="s">
        <v>200</v>
      </c>
      <c r="C3388" s="223"/>
      <c r="K3388" s="319"/>
      <c r="L3388" s="218"/>
    </row>
    <row r="3389">
      <c r="B3389" s="223" t="s">
        <v>200</v>
      </c>
      <c r="C3389" s="223"/>
      <c r="K3389" s="319"/>
      <c r="L3389" s="218"/>
    </row>
    <row r="3390">
      <c r="B3390" s="223" t="s">
        <v>200</v>
      </c>
      <c r="C3390" s="223"/>
      <c r="K3390" s="319"/>
      <c r="L3390" s="218"/>
    </row>
    <row r="3391">
      <c r="B3391" s="223" t="s">
        <v>200</v>
      </c>
      <c r="C3391" s="223"/>
      <c r="K3391" s="319"/>
      <c r="L3391" s="218"/>
    </row>
    <row r="3392">
      <c r="B3392" s="223" t="s">
        <v>200</v>
      </c>
      <c r="C3392" s="223"/>
      <c r="K3392" s="319"/>
      <c r="L3392" s="218"/>
    </row>
    <row r="3393">
      <c r="B3393" s="223" t="s">
        <v>200</v>
      </c>
      <c r="C3393" s="223"/>
      <c r="K3393" s="319"/>
      <c r="L3393" s="218"/>
    </row>
    <row r="3394">
      <c r="B3394" s="223" t="s">
        <v>200</v>
      </c>
      <c r="C3394" s="223"/>
      <c r="K3394" s="319"/>
      <c r="L3394" s="218"/>
    </row>
    <row r="3395">
      <c r="B3395" s="223" t="s">
        <v>200</v>
      </c>
      <c r="C3395" s="223"/>
      <c r="K3395" s="319"/>
      <c r="L3395" s="218"/>
    </row>
    <row r="3396">
      <c r="B3396" s="223" t="s">
        <v>200</v>
      </c>
      <c r="C3396" s="223"/>
      <c r="K3396" s="319"/>
      <c r="L3396" s="218"/>
    </row>
    <row r="3397">
      <c r="B3397" s="223" t="s">
        <v>200</v>
      </c>
      <c r="C3397" s="223"/>
      <c r="K3397" s="319"/>
      <c r="L3397" s="218"/>
    </row>
    <row r="3398">
      <c r="B3398" s="223" t="s">
        <v>200</v>
      </c>
      <c r="C3398" s="223"/>
      <c r="K3398" s="319"/>
      <c r="L3398" s="218"/>
    </row>
    <row r="3399">
      <c r="B3399" s="223" t="s">
        <v>200</v>
      </c>
      <c r="C3399" s="223"/>
      <c r="K3399" s="319"/>
      <c r="L3399" s="218"/>
    </row>
    <row r="3400">
      <c r="B3400" s="223" t="s">
        <v>200</v>
      </c>
      <c r="C3400" s="223"/>
      <c r="K3400" s="319"/>
      <c r="L3400" s="218"/>
    </row>
    <row r="3401">
      <c r="B3401" s="223" t="s">
        <v>200</v>
      </c>
      <c r="C3401" s="223"/>
      <c r="K3401" s="319"/>
      <c r="L3401" s="218"/>
    </row>
    <row r="3402">
      <c r="B3402" s="223" t="s">
        <v>200</v>
      </c>
      <c r="C3402" s="223"/>
      <c r="K3402" s="319"/>
      <c r="L3402" s="218"/>
    </row>
    <row r="3403">
      <c r="B3403" s="223" t="s">
        <v>200</v>
      </c>
      <c r="C3403" s="223"/>
      <c r="K3403" s="319"/>
      <c r="L3403" s="218"/>
    </row>
    <row r="3404">
      <c r="B3404" s="223" t="s">
        <v>200</v>
      </c>
      <c r="C3404" s="223"/>
      <c r="K3404" s="319"/>
      <c r="L3404" s="218"/>
    </row>
    <row r="3405">
      <c r="B3405" s="223" t="s">
        <v>200</v>
      </c>
      <c r="C3405" s="223"/>
      <c r="K3405" s="319"/>
      <c r="L3405" s="218"/>
    </row>
    <row r="3406">
      <c r="B3406" s="223" t="s">
        <v>200</v>
      </c>
      <c r="C3406" s="223"/>
      <c r="K3406" s="319"/>
      <c r="L3406" s="218"/>
    </row>
    <row r="3407">
      <c r="B3407" s="223" t="s">
        <v>200</v>
      </c>
      <c r="C3407" s="223"/>
      <c r="K3407" s="319"/>
      <c r="L3407" s="218"/>
    </row>
    <row r="3408">
      <c r="B3408" s="223" t="s">
        <v>200</v>
      </c>
      <c r="C3408" s="223"/>
      <c r="K3408" s="319"/>
      <c r="L3408" s="218"/>
    </row>
    <row r="3409">
      <c r="B3409" s="223" t="s">
        <v>200</v>
      </c>
      <c r="C3409" s="223"/>
      <c r="K3409" s="319"/>
      <c r="L3409" s="218"/>
    </row>
    <row r="3410">
      <c r="B3410" s="223" t="s">
        <v>200</v>
      </c>
      <c r="C3410" s="223"/>
      <c r="K3410" s="319"/>
      <c r="L3410" s="218"/>
    </row>
    <row r="3411">
      <c r="B3411" s="223" t="s">
        <v>200</v>
      </c>
      <c r="C3411" s="223"/>
      <c r="K3411" s="319"/>
      <c r="L3411" s="218"/>
    </row>
    <row r="3412">
      <c r="B3412" s="223" t="s">
        <v>200</v>
      </c>
      <c r="C3412" s="223"/>
      <c r="K3412" s="319"/>
      <c r="L3412" s="218"/>
    </row>
    <row r="3413">
      <c r="B3413" s="223" t="s">
        <v>200</v>
      </c>
      <c r="C3413" s="223"/>
      <c r="K3413" s="319"/>
      <c r="L3413" s="218"/>
    </row>
    <row r="3414">
      <c r="B3414" s="223" t="s">
        <v>200</v>
      </c>
      <c r="C3414" s="223"/>
      <c r="K3414" s="319"/>
      <c r="L3414" s="218"/>
    </row>
    <row r="3415">
      <c r="B3415" s="223" t="s">
        <v>200</v>
      </c>
      <c r="C3415" s="223"/>
      <c r="K3415" s="319"/>
      <c r="L3415" s="218"/>
    </row>
    <row r="3416">
      <c r="B3416" s="223" t="s">
        <v>200</v>
      </c>
      <c r="C3416" s="223"/>
      <c r="K3416" s="319"/>
      <c r="L3416" s="218"/>
    </row>
    <row r="3417">
      <c r="B3417" s="223" t="s">
        <v>200</v>
      </c>
      <c r="C3417" s="223"/>
      <c r="K3417" s="319"/>
      <c r="L3417" s="218"/>
    </row>
    <row r="3418">
      <c r="B3418" s="223" t="s">
        <v>200</v>
      </c>
      <c r="C3418" s="223"/>
      <c r="K3418" s="319"/>
      <c r="L3418" s="218"/>
    </row>
    <row r="3419">
      <c r="B3419" s="223" t="s">
        <v>200</v>
      </c>
      <c r="C3419" s="223"/>
      <c r="K3419" s="319"/>
      <c r="L3419" s="218"/>
    </row>
    <row r="3420">
      <c r="B3420" s="223" t="s">
        <v>200</v>
      </c>
      <c r="C3420" s="223"/>
      <c r="K3420" s="319"/>
      <c r="L3420" s="218"/>
    </row>
    <row r="3421">
      <c r="B3421" s="223" t="s">
        <v>200</v>
      </c>
      <c r="C3421" s="223"/>
      <c r="K3421" s="319"/>
      <c r="L3421" s="218"/>
    </row>
    <row r="3422">
      <c r="B3422" s="223" t="s">
        <v>200</v>
      </c>
      <c r="C3422" s="223"/>
      <c r="K3422" s="319"/>
      <c r="L3422" s="218"/>
    </row>
    <row r="3423">
      <c r="B3423" s="223" t="s">
        <v>200</v>
      </c>
      <c r="C3423" s="223"/>
      <c r="K3423" s="319"/>
      <c r="L3423" s="218"/>
    </row>
    <row r="3424">
      <c r="B3424" s="223" t="s">
        <v>200</v>
      </c>
      <c r="C3424" s="223"/>
      <c r="K3424" s="319"/>
      <c r="L3424" s="218"/>
    </row>
    <row r="3425">
      <c r="B3425" s="223" t="s">
        <v>200</v>
      </c>
      <c r="C3425" s="223"/>
      <c r="K3425" s="319"/>
      <c r="L3425" s="218"/>
    </row>
    <row r="3426">
      <c r="B3426" s="223" t="s">
        <v>200</v>
      </c>
      <c r="C3426" s="223"/>
      <c r="K3426" s="319"/>
      <c r="L3426" s="218"/>
    </row>
    <row r="3427">
      <c r="B3427" s="223" t="s">
        <v>200</v>
      </c>
      <c r="C3427" s="223"/>
      <c r="K3427" s="319"/>
      <c r="L3427" s="218"/>
    </row>
    <row r="3428">
      <c r="B3428" s="223" t="s">
        <v>200</v>
      </c>
      <c r="C3428" s="223"/>
      <c r="K3428" s="319"/>
      <c r="L3428" s="218"/>
    </row>
    <row r="3429">
      <c r="B3429" s="223" t="s">
        <v>200</v>
      </c>
      <c r="C3429" s="223"/>
      <c r="K3429" s="319"/>
      <c r="L3429" s="218"/>
    </row>
    <row r="3430">
      <c r="B3430" s="223" t="s">
        <v>200</v>
      </c>
      <c r="C3430" s="223"/>
      <c r="K3430" s="319"/>
      <c r="L3430" s="218"/>
    </row>
    <row r="3431">
      <c r="B3431" s="223" t="s">
        <v>200</v>
      </c>
      <c r="C3431" s="223"/>
      <c r="K3431" s="319"/>
      <c r="L3431" s="218"/>
    </row>
    <row r="3432">
      <c r="B3432" s="223" t="s">
        <v>200</v>
      </c>
      <c r="C3432" s="223"/>
      <c r="K3432" s="319"/>
      <c r="L3432" s="218"/>
    </row>
    <row r="3433">
      <c r="B3433" s="223" t="s">
        <v>200</v>
      </c>
      <c r="C3433" s="223"/>
      <c r="K3433" s="319"/>
      <c r="L3433" s="218"/>
    </row>
    <row r="3434">
      <c r="B3434" s="223" t="s">
        <v>200</v>
      </c>
      <c r="C3434" s="223"/>
      <c r="K3434" s="319"/>
      <c r="L3434" s="218"/>
    </row>
    <row r="3435">
      <c r="B3435" s="223" t="s">
        <v>200</v>
      </c>
      <c r="C3435" s="223"/>
      <c r="K3435" s="319"/>
      <c r="L3435" s="218"/>
    </row>
    <row r="3436">
      <c r="B3436" s="223" t="s">
        <v>200</v>
      </c>
      <c r="C3436" s="223"/>
      <c r="K3436" s="319"/>
      <c r="L3436" s="218"/>
    </row>
    <row r="3437">
      <c r="B3437" s="223" t="s">
        <v>200</v>
      </c>
      <c r="C3437" s="223"/>
      <c r="K3437" s="319"/>
      <c r="L3437" s="218"/>
    </row>
    <row r="3438">
      <c r="B3438" s="223" t="s">
        <v>200</v>
      </c>
      <c r="C3438" s="223"/>
      <c r="K3438" s="319"/>
      <c r="L3438" s="218"/>
    </row>
    <row r="3439">
      <c r="B3439" s="223" t="s">
        <v>200</v>
      </c>
      <c r="C3439" s="223"/>
      <c r="K3439" s="319"/>
      <c r="L3439" s="218"/>
    </row>
    <row r="3440">
      <c r="B3440" s="223" t="s">
        <v>200</v>
      </c>
      <c r="C3440" s="223"/>
      <c r="K3440" s="319"/>
      <c r="L3440" s="218"/>
    </row>
    <row r="3441">
      <c r="B3441" s="223" t="s">
        <v>200</v>
      </c>
      <c r="C3441" s="223"/>
      <c r="K3441" s="319"/>
      <c r="L3441" s="218"/>
    </row>
    <row r="3442">
      <c r="B3442" s="223" t="s">
        <v>200</v>
      </c>
      <c r="C3442" s="223"/>
      <c r="K3442" s="319"/>
      <c r="L3442" s="218"/>
    </row>
    <row r="3443">
      <c r="B3443" s="223" t="s">
        <v>200</v>
      </c>
      <c r="C3443" s="223"/>
      <c r="K3443" s="319"/>
      <c r="L3443" s="218"/>
    </row>
    <row r="3444">
      <c r="B3444" s="223" t="s">
        <v>200</v>
      </c>
      <c r="C3444" s="223"/>
      <c r="K3444" s="319"/>
      <c r="L3444" s="218"/>
    </row>
    <row r="3445">
      <c r="B3445" s="223" t="s">
        <v>200</v>
      </c>
      <c r="C3445" s="223"/>
      <c r="K3445" s="319"/>
      <c r="L3445" s="218"/>
    </row>
    <row r="3446">
      <c r="B3446" s="223" t="s">
        <v>200</v>
      </c>
      <c r="C3446" s="223"/>
      <c r="K3446" s="319"/>
      <c r="L3446" s="218"/>
    </row>
    <row r="3447">
      <c r="B3447" s="223" t="s">
        <v>200</v>
      </c>
      <c r="C3447" s="223"/>
      <c r="K3447" s="319"/>
      <c r="L3447" s="218"/>
    </row>
    <row r="3448">
      <c r="B3448" s="223" t="s">
        <v>200</v>
      </c>
      <c r="C3448" s="223"/>
      <c r="K3448" s="319"/>
      <c r="L3448" s="218"/>
    </row>
    <row r="3449">
      <c r="B3449" s="223" t="s">
        <v>200</v>
      </c>
      <c r="C3449" s="223"/>
      <c r="K3449" s="319"/>
      <c r="L3449" s="218"/>
    </row>
    <row r="3450">
      <c r="B3450" s="223" t="s">
        <v>200</v>
      </c>
      <c r="C3450" s="223"/>
      <c r="K3450" s="319"/>
      <c r="L3450" s="218"/>
    </row>
    <row r="3451">
      <c r="B3451" s="223" t="s">
        <v>200</v>
      </c>
      <c r="C3451" s="223"/>
      <c r="K3451" s="319"/>
      <c r="L3451" s="218"/>
    </row>
    <row r="3452">
      <c r="B3452" s="223" t="s">
        <v>200</v>
      </c>
      <c r="C3452" s="223"/>
      <c r="K3452" s="319"/>
      <c r="L3452" s="218"/>
    </row>
    <row r="3453">
      <c r="B3453" s="223" t="s">
        <v>200</v>
      </c>
      <c r="C3453" s="223"/>
      <c r="K3453" s="319"/>
      <c r="L3453" s="218"/>
    </row>
    <row r="3454">
      <c r="B3454" s="223" t="s">
        <v>200</v>
      </c>
      <c r="C3454" s="223"/>
      <c r="K3454" s="319"/>
      <c r="L3454" s="218"/>
    </row>
    <row r="3455">
      <c r="B3455" s="223" t="s">
        <v>200</v>
      </c>
      <c r="C3455" s="223"/>
      <c r="K3455" s="319"/>
      <c r="L3455" s="218"/>
    </row>
    <row r="3456">
      <c r="B3456" s="223" t="s">
        <v>200</v>
      </c>
      <c r="C3456" s="223"/>
      <c r="K3456" s="319"/>
      <c r="L3456" s="218"/>
    </row>
    <row r="3457">
      <c r="B3457" s="223" t="s">
        <v>200</v>
      </c>
      <c r="C3457" s="223"/>
      <c r="K3457" s="319"/>
      <c r="L3457" s="218"/>
    </row>
    <row r="3458">
      <c r="B3458" s="223" t="s">
        <v>200</v>
      </c>
      <c r="C3458" s="223"/>
      <c r="K3458" s="319"/>
      <c r="L3458" s="218"/>
    </row>
    <row r="3459">
      <c r="B3459" s="223" t="s">
        <v>200</v>
      </c>
      <c r="C3459" s="223"/>
      <c r="K3459" s="319"/>
      <c r="L3459" s="218"/>
    </row>
    <row r="3460">
      <c r="B3460" s="223" t="s">
        <v>200</v>
      </c>
      <c r="C3460" s="223"/>
      <c r="K3460" s="319"/>
      <c r="L3460" s="218"/>
    </row>
    <row r="3461">
      <c r="B3461" s="223" t="s">
        <v>200</v>
      </c>
      <c r="C3461" s="223"/>
      <c r="K3461" s="319"/>
      <c r="L3461" s="218"/>
    </row>
    <row r="3462">
      <c r="B3462" s="223" t="s">
        <v>200</v>
      </c>
      <c r="C3462" s="223"/>
      <c r="K3462" s="319"/>
      <c r="L3462" s="218"/>
    </row>
    <row r="3463">
      <c r="B3463" s="223" t="s">
        <v>200</v>
      </c>
      <c r="C3463" s="223"/>
      <c r="K3463" s="319"/>
      <c r="L3463" s="218"/>
    </row>
    <row r="3464">
      <c r="B3464" s="223" t="s">
        <v>200</v>
      </c>
      <c r="C3464" s="223"/>
      <c r="K3464" s="319"/>
      <c r="L3464" s="218"/>
    </row>
    <row r="3465">
      <c r="B3465" s="223" t="s">
        <v>200</v>
      </c>
      <c r="C3465" s="223"/>
      <c r="K3465" s="319"/>
      <c r="L3465" s="218"/>
    </row>
    <row r="3466">
      <c r="B3466" s="223" t="s">
        <v>200</v>
      </c>
      <c r="C3466" s="223"/>
      <c r="K3466" s="319"/>
      <c r="L3466" s="218"/>
    </row>
    <row r="3467">
      <c r="B3467" s="223" t="s">
        <v>200</v>
      </c>
      <c r="C3467" s="223"/>
      <c r="K3467" s="319"/>
      <c r="L3467" s="218"/>
    </row>
    <row r="3468">
      <c r="B3468" s="223" t="s">
        <v>200</v>
      </c>
      <c r="C3468" s="223"/>
      <c r="K3468" s="319"/>
      <c r="L3468" s="218"/>
    </row>
    <row r="3469">
      <c r="B3469" s="223" t="s">
        <v>200</v>
      </c>
      <c r="C3469" s="223"/>
      <c r="K3469" s="319"/>
      <c r="L3469" s="218"/>
    </row>
    <row r="3470">
      <c r="B3470" s="223" t="s">
        <v>200</v>
      </c>
      <c r="C3470" s="223"/>
      <c r="K3470" s="319"/>
      <c r="L3470" s="218"/>
    </row>
    <row r="3471">
      <c r="B3471" s="223" t="s">
        <v>200</v>
      </c>
      <c r="C3471" s="223"/>
      <c r="K3471" s="319"/>
      <c r="L3471" s="218"/>
    </row>
    <row r="3472">
      <c r="B3472" s="223" t="s">
        <v>200</v>
      </c>
      <c r="C3472" s="223"/>
      <c r="K3472" s="319"/>
      <c r="L3472" s="218"/>
    </row>
    <row r="3473">
      <c r="B3473" s="223" t="s">
        <v>200</v>
      </c>
      <c r="C3473" s="223"/>
      <c r="K3473" s="319"/>
      <c r="L3473" s="218"/>
    </row>
    <row r="3474">
      <c r="B3474" s="223" t="s">
        <v>200</v>
      </c>
      <c r="C3474" s="223"/>
      <c r="K3474" s="319"/>
      <c r="L3474" s="218"/>
    </row>
    <row r="3475">
      <c r="B3475" s="223" t="s">
        <v>200</v>
      </c>
      <c r="C3475" s="223"/>
      <c r="K3475" s="319"/>
      <c r="L3475" s="218"/>
    </row>
    <row r="3476">
      <c r="B3476" s="223" t="s">
        <v>200</v>
      </c>
      <c r="C3476" s="223"/>
      <c r="K3476" s="319"/>
      <c r="L3476" s="218"/>
    </row>
    <row r="3477">
      <c r="B3477" s="223" t="s">
        <v>200</v>
      </c>
      <c r="C3477" s="223"/>
      <c r="K3477" s="319"/>
      <c r="L3477" s="218"/>
    </row>
    <row r="3478">
      <c r="B3478" s="223" t="s">
        <v>200</v>
      </c>
      <c r="C3478" s="223"/>
      <c r="K3478" s="319"/>
      <c r="L3478" s="218"/>
    </row>
    <row r="3479">
      <c r="B3479" s="223" t="s">
        <v>200</v>
      </c>
      <c r="C3479" s="223"/>
      <c r="K3479" s="319"/>
      <c r="L3479" s="218"/>
    </row>
    <row r="3480">
      <c r="B3480" s="223" t="s">
        <v>200</v>
      </c>
      <c r="C3480" s="223"/>
      <c r="K3480" s="319"/>
      <c r="L3480" s="218"/>
    </row>
    <row r="3481">
      <c r="B3481" s="223" t="s">
        <v>200</v>
      </c>
      <c r="C3481" s="223"/>
      <c r="K3481" s="319"/>
      <c r="L3481" s="218"/>
    </row>
    <row r="3482">
      <c r="B3482" s="223" t="s">
        <v>200</v>
      </c>
      <c r="C3482" s="223"/>
      <c r="K3482" s="319"/>
      <c r="L3482" s="218"/>
    </row>
    <row r="3483">
      <c r="B3483" s="223" t="s">
        <v>200</v>
      </c>
      <c r="C3483" s="223"/>
      <c r="K3483" s="319"/>
      <c r="L3483" s="218"/>
    </row>
    <row r="3484">
      <c r="B3484" s="223" t="s">
        <v>200</v>
      </c>
      <c r="C3484" s="223"/>
      <c r="K3484" s="319"/>
      <c r="L3484" s="218"/>
    </row>
    <row r="3485">
      <c r="B3485" s="223" t="s">
        <v>200</v>
      </c>
      <c r="C3485" s="223"/>
      <c r="K3485" s="319"/>
      <c r="L3485" s="218"/>
    </row>
    <row r="3486">
      <c r="B3486" s="223" t="s">
        <v>200</v>
      </c>
      <c r="C3486" s="223"/>
      <c r="K3486" s="319"/>
      <c r="L3486" s="218"/>
    </row>
    <row r="3487">
      <c r="B3487" s="223" t="s">
        <v>200</v>
      </c>
      <c r="C3487" s="223"/>
      <c r="K3487" s="319"/>
      <c r="L3487" s="218"/>
    </row>
    <row r="3488">
      <c r="B3488" s="223" t="s">
        <v>200</v>
      </c>
      <c r="C3488" s="223"/>
      <c r="K3488" s="319"/>
      <c r="L3488" s="218"/>
    </row>
    <row r="3489">
      <c r="B3489" s="223" t="s">
        <v>200</v>
      </c>
      <c r="C3489" s="223"/>
      <c r="K3489" s="319"/>
      <c r="L3489" s="218"/>
    </row>
    <row r="3490">
      <c r="B3490" s="223" t="s">
        <v>200</v>
      </c>
      <c r="C3490" s="223"/>
      <c r="K3490" s="319"/>
      <c r="L3490" s="218"/>
    </row>
    <row r="3491">
      <c r="B3491" s="223" t="s">
        <v>200</v>
      </c>
      <c r="C3491" s="223"/>
      <c r="K3491" s="319"/>
      <c r="L3491" s="218"/>
    </row>
    <row r="3492">
      <c r="B3492" s="223" t="s">
        <v>200</v>
      </c>
      <c r="C3492" s="223"/>
      <c r="K3492" s="319"/>
      <c r="L3492" s="218"/>
    </row>
    <row r="3493">
      <c r="B3493" s="223" t="s">
        <v>200</v>
      </c>
      <c r="C3493" s="223"/>
      <c r="K3493" s="319"/>
      <c r="L3493" s="218"/>
    </row>
    <row r="3494">
      <c r="B3494" s="223" t="s">
        <v>200</v>
      </c>
      <c r="C3494" s="223"/>
      <c r="K3494" s="319"/>
      <c r="L3494" s="218"/>
    </row>
    <row r="3495">
      <c r="B3495" s="223" t="s">
        <v>200</v>
      </c>
      <c r="C3495" s="223"/>
      <c r="K3495" s="319"/>
      <c r="L3495" s="218"/>
    </row>
    <row r="3496">
      <c r="B3496" s="223" t="s">
        <v>200</v>
      </c>
      <c r="C3496" s="223"/>
      <c r="K3496" s="319"/>
      <c r="L3496" s="218"/>
    </row>
    <row r="3497">
      <c r="B3497" s="223" t="s">
        <v>200</v>
      </c>
      <c r="C3497" s="223"/>
      <c r="K3497" s="319"/>
      <c r="L3497" s="218"/>
    </row>
    <row r="3498">
      <c r="B3498" s="223" t="s">
        <v>200</v>
      </c>
      <c r="C3498" s="223"/>
      <c r="K3498" s="319"/>
      <c r="L3498" s="218"/>
    </row>
    <row r="3499">
      <c r="B3499" s="223" t="s">
        <v>200</v>
      </c>
      <c r="C3499" s="223"/>
      <c r="K3499" s="319"/>
      <c r="L3499" s="218"/>
    </row>
    <row r="3500">
      <c r="B3500" s="223" t="s">
        <v>200</v>
      </c>
      <c r="C3500" s="223"/>
      <c r="K3500" s="319"/>
      <c r="L3500" s="218"/>
    </row>
    <row r="3501">
      <c r="B3501" s="223" t="s">
        <v>200</v>
      </c>
      <c r="C3501" s="223"/>
      <c r="K3501" s="319"/>
      <c r="L3501" s="218"/>
    </row>
    <row r="3502">
      <c r="B3502" s="223" t="s">
        <v>200</v>
      </c>
      <c r="C3502" s="223"/>
      <c r="K3502" s="319"/>
      <c r="L3502" s="218"/>
    </row>
    <row r="3503">
      <c r="B3503" s="223" t="s">
        <v>200</v>
      </c>
      <c r="C3503" s="223"/>
      <c r="K3503" s="319"/>
      <c r="L3503" s="218"/>
    </row>
    <row r="3504">
      <c r="B3504" s="223" t="s">
        <v>200</v>
      </c>
      <c r="C3504" s="223"/>
      <c r="K3504" s="319"/>
      <c r="L3504" s="218"/>
    </row>
    <row r="3505">
      <c r="B3505" s="223" t="s">
        <v>200</v>
      </c>
      <c r="C3505" s="223"/>
      <c r="K3505" s="319"/>
      <c r="L3505" s="218"/>
    </row>
    <row r="3506">
      <c r="B3506" s="223" t="s">
        <v>200</v>
      </c>
      <c r="C3506" s="223"/>
      <c r="K3506" s="319"/>
      <c r="L3506" s="218"/>
    </row>
    <row r="3507">
      <c r="B3507" s="223" t="s">
        <v>200</v>
      </c>
      <c r="C3507" s="223"/>
      <c r="K3507" s="319"/>
      <c r="L3507" s="218"/>
    </row>
    <row r="3508">
      <c r="B3508" s="223" t="s">
        <v>200</v>
      </c>
      <c r="C3508" s="223"/>
      <c r="K3508" s="319"/>
      <c r="L3508" s="218"/>
    </row>
    <row r="3509">
      <c r="B3509" s="223" t="s">
        <v>200</v>
      </c>
      <c r="C3509" s="223"/>
      <c r="K3509" s="319"/>
      <c r="L3509" s="218"/>
    </row>
    <row r="3510">
      <c r="B3510" s="223" t="s">
        <v>200</v>
      </c>
      <c r="C3510" s="223"/>
      <c r="K3510" s="319"/>
      <c r="L3510" s="218"/>
    </row>
    <row r="3511">
      <c r="B3511" s="223" t="s">
        <v>200</v>
      </c>
      <c r="C3511" s="223"/>
      <c r="K3511" s="319"/>
      <c r="L3511" s="218"/>
    </row>
    <row r="3512">
      <c r="B3512" s="223" t="s">
        <v>200</v>
      </c>
      <c r="C3512" s="223"/>
      <c r="K3512" s="319"/>
      <c r="L3512" s="218"/>
    </row>
    <row r="3513">
      <c r="B3513" s="223" t="s">
        <v>200</v>
      </c>
      <c r="C3513" s="223"/>
      <c r="K3513" s="319"/>
      <c r="L3513" s="218"/>
    </row>
    <row r="3514">
      <c r="B3514" s="223" t="s">
        <v>200</v>
      </c>
      <c r="C3514" s="223"/>
      <c r="K3514" s="319"/>
      <c r="L3514" s="218"/>
    </row>
    <row r="3515">
      <c r="B3515" s="223" t="s">
        <v>200</v>
      </c>
      <c r="C3515" s="223"/>
      <c r="K3515" s="319"/>
      <c r="L3515" s="218"/>
    </row>
    <row r="3516">
      <c r="B3516" s="223" t="s">
        <v>200</v>
      </c>
      <c r="C3516" s="223"/>
      <c r="K3516" s="319"/>
      <c r="L3516" s="218"/>
    </row>
    <row r="3517">
      <c r="B3517" s="223" t="s">
        <v>200</v>
      </c>
      <c r="C3517" s="223"/>
      <c r="K3517" s="319"/>
      <c r="L3517" s="218"/>
    </row>
    <row r="3518">
      <c r="B3518" s="223" t="s">
        <v>200</v>
      </c>
      <c r="C3518" s="223"/>
      <c r="K3518" s="319"/>
      <c r="L3518" s="218"/>
    </row>
    <row r="3519">
      <c r="B3519" s="223" t="s">
        <v>200</v>
      </c>
      <c r="C3519" s="223"/>
      <c r="K3519" s="319"/>
      <c r="L3519" s="218"/>
    </row>
    <row r="3520">
      <c r="B3520" s="223" t="s">
        <v>200</v>
      </c>
      <c r="C3520" s="223"/>
      <c r="K3520" s="319"/>
      <c r="L3520" s="218"/>
    </row>
    <row r="3521">
      <c r="B3521" s="223" t="s">
        <v>200</v>
      </c>
      <c r="C3521" s="223"/>
      <c r="K3521" s="319"/>
      <c r="L3521" s="218"/>
    </row>
    <row r="3522">
      <c r="B3522" s="223" t="s">
        <v>200</v>
      </c>
      <c r="C3522" s="223"/>
      <c r="K3522" s="319"/>
      <c r="L3522" s="218"/>
    </row>
    <row r="3523">
      <c r="B3523" s="223" t="s">
        <v>200</v>
      </c>
      <c r="C3523" s="223"/>
      <c r="K3523" s="319"/>
      <c r="L3523" s="218"/>
    </row>
    <row r="3524">
      <c r="B3524" s="223" t="s">
        <v>200</v>
      </c>
      <c r="C3524" s="223"/>
      <c r="K3524" s="319"/>
      <c r="L3524" s="218"/>
    </row>
    <row r="3525">
      <c r="B3525" s="223" t="s">
        <v>200</v>
      </c>
      <c r="C3525" s="223"/>
      <c r="K3525" s="319"/>
      <c r="L3525" s="218"/>
    </row>
    <row r="3526">
      <c r="B3526" s="223" t="s">
        <v>200</v>
      </c>
      <c r="C3526" s="223"/>
      <c r="K3526" s="319"/>
      <c r="L3526" s="218"/>
    </row>
    <row r="3527">
      <c r="B3527" s="223" t="s">
        <v>200</v>
      </c>
      <c r="C3527" s="223"/>
      <c r="K3527" s="319"/>
      <c r="L3527" s="218"/>
    </row>
    <row r="3528">
      <c r="B3528" s="223" t="s">
        <v>200</v>
      </c>
      <c r="C3528" s="223"/>
      <c r="K3528" s="319"/>
      <c r="L3528" s="218"/>
    </row>
    <row r="3529">
      <c r="B3529" s="223" t="s">
        <v>200</v>
      </c>
      <c r="C3529" s="223"/>
      <c r="K3529" s="319"/>
      <c r="L3529" s="218"/>
    </row>
    <row r="3530">
      <c r="B3530" s="223" t="s">
        <v>200</v>
      </c>
      <c r="C3530" s="223"/>
      <c r="K3530" s="319"/>
      <c r="L3530" s="218"/>
    </row>
    <row r="3531">
      <c r="B3531" s="223" t="s">
        <v>200</v>
      </c>
      <c r="C3531" s="223"/>
      <c r="K3531" s="319"/>
      <c r="L3531" s="218"/>
    </row>
    <row r="3532">
      <c r="B3532" s="223" t="s">
        <v>200</v>
      </c>
      <c r="C3532" s="223"/>
      <c r="K3532" s="319"/>
      <c r="L3532" s="218"/>
    </row>
    <row r="3533">
      <c r="B3533" s="223" t="s">
        <v>200</v>
      </c>
      <c r="C3533" s="223"/>
      <c r="K3533" s="319"/>
      <c r="L3533" s="218"/>
    </row>
    <row r="3534">
      <c r="B3534" s="223" t="s">
        <v>200</v>
      </c>
      <c r="C3534" s="223"/>
      <c r="K3534" s="319"/>
      <c r="L3534" s="218"/>
    </row>
    <row r="3535">
      <c r="B3535" s="223" t="s">
        <v>200</v>
      </c>
      <c r="C3535" s="223"/>
      <c r="K3535" s="319"/>
      <c r="L3535" s="218"/>
    </row>
    <row r="3536">
      <c r="B3536" s="223" t="s">
        <v>200</v>
      </c>
      <c r="C3536" s="223"/>
      <c r="K3536" s="319"/>
      <c r="L3536" s="218"/>
    </row>
    <row r="3537">
      <c r="B3537" s="223" t="s">
        <v>200</v>
      </c>
      <c r="C3537" s="223"/>
      <c r="K3537" s="319"/>
      <c r="L3537" s="218"/>
    </row>
    <row r="3538">
      <c r="B3538" s="223" t="s">
        <v>200</v>
      </c>
      <c r="C3538" s="223"/>
      <c r="K3538" s="319"/>
      <c r="L3538" s="218"/>
    </row>
    <row r="3539">
      <c r="B3539" s="223" t="s">
        <v>200</v>
      </c>
      <c r="C3539" s="223"/>
      <c r="K3539" s="319"/>
      <c r="L3539" s="218"/>
    </row>
    <row r="3540">
      <c r="B3540" s="223" t="s">
        <v>200</v>
      </c>
      <c r="C3540" s="223"/>
      <c r="K3540" s="319"/>
      <c r="L3540" s="218"/>
    </row>
    <row r="3541">
      <c r="B3541" s="223" t="s">
        <v>200</v>
      </c>
      <c r="C3541" s="223"/>
      <c r="K3541" s="319"/>
      <c r="L3541" s="218"/>
    </row>
    <row r="3542">
      <c r="B3542" s="223" t="s">
        <v>200</v>
      </c>
      <c r="C3542" s="223"/>
      <c r="K3542" s="319"/>
      <c r="L3542" s="218"/>
    </row>
    <row r="3543">
      <c r="B3543" s="223" t="s">
        <v>200</v>
      </c>
      <c r="C3543" s="223"/>
      <c r="K3543" s="319"/>
      <c r="L3543" s="218"/>
    </row>
    <row r="3544">
      <c r="B3544" s="223" t="s">
        <v>200</v>
      </c>
      <c r="C3544" s="223"/>
      <c r="K3544" s="319"/>
      <c r="L3544" s="218"/>
    </row>
    <row r="3545">
      <c r="B3545" s="223" t="s">
        <v>200</v>
      </c>
      <c r="C3545" s="223"/>
      <c r="K3545" s="319"/>
      <c r="L3545" s="218"/>
    </row>
    <row r="3546">
      <c r="B3546" s="223" t="s">
        <v>200</v>
      </c>
      <c r="C3546" s="223"/>
      <c r="K3546" s="319"/>
      <c r="L3546" s="218"/>
    </row>
    <row r="3547">
      <c r="B3547" s="223" t="s">
        <v>200</v>
      </c>
      <c r="C3547" s="223"/>
      <c r="K3547" s="319"/>
      <c r="L3547" s="218"/>
    </row>
    <row r="3548">
      <c r="B3548" s="223" t="s">
        <v>200</v>
      </c>
      <c r="C3548" s="223"/>
      <c r="K3548" s="319"/>
      <c r="L3548" s="218"/>
    </row>
    <row r="3549">
      <c r="B3549" s="223" t="s">
        <v>200</v>
      </c>
      <c r="C3549" s="223"/>
      <c r="K3549" s="319"/>
      <c r="L3549" s="218"/>
    </row>
    <row r="3550">
      <c r="B3550" s="223" t="s">
        <v>200</v>
      </c>
      <c r="C3550" s="223"/>
      <c r="K3550" s="319"/>
      <c r="L3550" s="218"/>
    </row>
    <row r="3551">
      <c r="B3551" s="223" t="s">
        <v>200</v>
      </c>
      <c r="C3551" s="223"/>
      <c r="K3551" s="319"/>
      <c r="L3551" s="218"/>
    </row>
    <row r="3552">
      <c r="B3552" s="223" t="s">
        <v>200</v>
      </c>
      <c r="C3552" s="223"/>
      <c r="K3552" s="319"/>
      <c r="L3552" s="218"/>
    </row>
    <row r="3553">
      <c r="B3553" s="223" t="s">
        <v>200</v>
      </c>
      <c r="C3553" s="223"/>
      <c r="K3553" s="319"/>
      <c r="L3553" s="218"/>
    </row>
    <row r="3554">
      <c r="B3554" s="223" t="s">
        <v>200</v>
      </c>
      <c r="C3554" s="223"/>
      <c r="K3554" s="319"/>
      <c r="L3554" s="218"/>
    </row>
    <row r="3555">
      <c r="B3555" s="223" t="s">
        <v>200</v>
      </c>
      <c r="C3555" s="223"/>
      <c r="K3555" s="319"/>
      <c r="L3555" s="218"/>
    </row>
    <row r="3556">
      <c r="B3556" s="223" t="s">
        <v>200</v>
      </c>
      <c r="C3556" s="223"/>
      <c r="K3556" s="319"/>
      <c r="L3556" s="218"/>
    </row>
    <row r="3557">
      <c r="B3557" s="223" t="s">
        <v>200</v>
      </c>
      <c r="C3557" s="223"/>
      <c r="K3557" s="319"/>
      <c r="L3557" s="218"/>
    </row>
    <row r="3558">
      <c r="B3558" s="223" t="s">
        <v>200</v>
      </c>
      <c r="C3558" s="223"/>
      <c r="K3558" s="319"/>
      <c r="L3558" s="218"/>
    </row>
    <row r="3559">
      <c r="B3559" s="223" t="s">
        <v>200</v>
      </c>
      <c r="C3559" s="223"/>
      <c r="K3559" s="319"/>
      <c r="L3559" s="218"/>
    </row>
    <row r="3560">
      <c r="B3560" s="223" t="s">
        <v>200</v>
      </c>
      <c r="C3560" s="223"/>
      <c r="K3560" s="319"/>
      <c r="L3560" s="218"/>
    </row>
    <row r="3561">
      <c r="B3561" s="223" t="s">
        <v>200</v>
      </c>
      <c r="C3561" s="223"/>
      <c r="K3561" s="319"/>
      <c r="L3561" s="218"/>
    </row>
    <row r="3562">
      <c r="B3562" s="223" t="s">
        <v>200</v>
      </c>
      <c r="C3562" s="223"/>
      <c r="K3562" s="319"/>
      <c r="L3562" s="218"/>
    </row>
    <row r="3563">
      <c r="B3563" s="223" t="s">
        <v>200</v>
      </c>
      <c r="C3563" s="223"/>
      <c r="K3563" s="319"/>
      <c r="L3563" s="218"/>
    </row>
    <row r="3564">
      <c r="B3564" s="223" t="s">
        <v>200</v>
      </c>
      <c r="C3564" s="223"/>
      <c r="K3564" s="319"/>
      <c r="L3564" s="218"/>
    </row>
    <row r="3565">
      <c r="B3565" s="223" t="s">
        <v>200</v>
      </c>
      <c r="C3565" s="223"/>
      <c r="K3565" s="319"/>
      <c r="L3565" s="218"/>
    </row>
    <row r="3566">
      <c r="B3566" s="223" t="s">
        <v>200</v>
      </c>
      <c r="C3566" s="223"/>
      <c r="K3566" s="319"/>
      <c r="L3566" s="218"/>
    </row>
    <row r="3567">
      <c r="B3567" s="223" t="s">
        <v>200</v>
      </c>
      <c r="C3567" s="223"/>
      <c r="K3567" s="319"/>
      <c r="L3567" s="218"/>
    </row>
    <row r="3568">
      <c r="B3568" s="223" t="s">
        <v>200</v>
      </c>
      <c r="C3568" s="223"/>
      <c r="K3568" s="319"/>
      <c r="L3568" s="218"/>
    </row>
    <row r="3569">
      <c r="B3569" s="223" t="s">
        <v>200</v>
      </c>
      <c r="C3569" s="223"/>
      <c r="K3569" s="319"/>
      <c r="L3569" s="218"/>
    </row>
    <row r="3570">
      <c r="B3570" s="223" t="s">
        <v>200</v>
      </c>
      <c r="C3570" s="223"/>
      <c r="K3570" s="319"/>
      <c r="L3570" s="218"/>
    </row>
    <row r="3571">
      <c r="B3571" s="223" t="s">
        <v>200</v>
      </c>
      <c r="C3571" s="223"/>
      <c r="K3571" s="319"/>
      <c r="L3571" s="218"/>
    </row>
    <row r="3572">
      <c r="B3572" s="223" t="s">
        <v>200</v>
      </c>
      <c r="C3572" s="223"/>
      <c r="K3572" s="319"/>
      <c r="L3572" s="218"/>
    </row>
    <row r="3573">
      <c r="B3573" s="223" t="s">
        <v>200</v>
      </c>
      <c r="C3573" s="223"/>
      <c r="K3573" s="319"/>
      <c r="L3573" s="218"/>
    </row>
    <row r="3574">
      <c r="B3574" s="223" t="s">
        <v>200</v>
      </c>
      <c r="C3574" s="223"/>
      <c r="K3574" s="319"/>
      <c r="L3574" s="218"/>
    </row>
    <row r="3575">
      <c r="B3575" s="223" t="s">
        <v>200</v>
      </c>
      <c r="C3575" s="223"/>
      <c r="K3575" s="319"/>
      <c r="L3575" s="218"/>
    </row>
    <row r="3576">
      <c r="B3576" s="223" t="s">
        <v>200</v>
      </c>
      <c r="C3576" s="223"/>
      <c r="K3576" s="319"/>
      <c r="L3576" s="218"/>
    </row>
    <row r="3577">
      <c r="B3577" s="223" t="s">
        <v>200</v>
      </c>
      <c r="C3577" s="223"/>
      <c r="K3577" s="319"/>
      <c r="L3577" s="218"/>
    </row>
    <row r="3578">
      <c r="B3578" s="223" t="s">
        <v>200</v>
      </c>
      <c r="C3578" s="223"/>
      <c r="K3578" s="319"/>
      <c r="L3578" s="218"/>
    </row>
    <row r="3579">
      <c r="B3579" s="223" t="s">
        <v>200</v>
      </c>
      <c r="C3579" s="223"/>
      <c r="K3579" s="319"/>
      <c r="L3579" s="218"/>
    </row>
    <row r="3580">
      <c r="B3580" s="223" t="s">
        <v>200</v>
      </c>
      <c r="C3580" s="223"/>
      <c r="K3580" s="319"/>
      <c r="L3580" s="218"/>
    </row>
    <row r="3581">
      <c r="B3581" s="223" t="s">
        <v>200</v>
      </c>
      <c r="C3581" s="223"/>
      <c r="K3581" s="319"/>
      <c r="L3581" s="218"/>
    </row>
    <row r="3582">
      <c r="B3582" s="223" t="s">
        <v>200</v>
      </c>
      <c r="C3582" s="223"/>
      <c r="K3582" s="319"/>
      <c r="L3582" s="218"/>
    </row>
    <row r="3583">
      <c r="B3583" s="223" t="s">
        <v>200</v>
      </c>
      <c r="C3583" s="223"/>
      <c r="K3583" s="319"/>
      <c r="L3583" s="218"/>
    </row>
    <row r="3584">
      <c r="B3584" s="223" t="s">
        <v>200</v>
      </c>
      <c r="C3584" s="223"/>
      <c r="K3584" s="319"/>
      <c r="L3584" s="218"/>
    </row>
    <row r="3585">
      <c r="B3585" s="223" t="s">
        <v>200</v>
      </c>
      <c r="C3585" s="223"/>
      <c r="K3585" s="319"/>
      <c r="L3585" s="218"/>
    </row>
    <row r="3586">
      <c r="B3586" s="223" t="s">
        <v>200</v>
      </c>
      <c r="C3586" s="223"/>
      <c r="K3586" s="319"/>
      <c r="L3586" s="218"/>
    </row>
    <row r="3587">
      <c r="B3587" s="223" t="s">
        <v>200</v>
      </c>
      <c r="C3587" s="223"/>
      <c r="K3587" s="319"/>
      <c r="L3587" s="218"/>
    </row>
    <row r="3588">
      <c r="B3588" s="223" t="s">
        <v>200</v>
      </c>
      <c r="C3588" s="223"/>
      <c r="K3588" s="319"/>
      <c r="L3588" s="218"/>
    </row>
    <row r="3589">
      <c r="B3589" s="223" t="s">
        <v>200</v>
      </c>
      <c r="C3589" s="223"/>
      <c r="K3589" s="319"/>
      <c r="L3589" s="218"/>
    </row>
    <row r="3590">
      <c r="B3590" s="223" t="s">
        <v>200</v>
      </c>
      <c r="C3590" s="223"/>
      <c r="K3590" s="319"/>
      <c r="L3590" s="218"/>
    </row>
    <row r="3591">
      <c r="B3591" s="223" t="s">
        <v>200</v>
      </c>
      <c r="C3591" s="223"/>
      <c r="K3591" s="319"/>
      <c r="L3591" s="218"/>
    </row>
    <row r="3592">
      <c r="B3592" s="223" t="s">
        <v>200</v>
      </c>
      <c r="C3592" s="223"/>
      <c r="K3592" s="319"/>
      <c r="L3592" s="218"/>
    </row>
    <row r="3593">
      <c r="B3593" s="223" t="s">
        <v>200</v>
      </c>
      <c r="C3593" s="223"/>
      <c r="K3593" s="319"/>
      <c r="L3593" s="218"/>
    </row>
    <row r="3594">
      <c r="B3594" s="223" t="s">
        <v>200</v>
      </c>
      <c r="C3594" s="223"/>
      <c r="K3594" s="319"/>
      <c r="L3594" s="218"/>
    </row>
    <row r="3595">
      <c r="B3595" s="223" t="s">
        <v>200</v>
      </c>
      <c r="C3595" s="223"/>
      <c r="K3595" s="319"/>
      <c r="L3595" s="218"/>
    </row>
    <row r="3596">
      <c r="B3596" s="223" t="s">
        <v>200</v>
      </c>
      <c r="C3596" s="223"/>
      <c r="K3596" s="319"/>
      <c r="L3596" s="218"/>
    </row>
    <row r="3597">
      <c r="B3597" s="223" t="s">
        <v>200</v>
      </c>
      <c r="C3597" s="223"/>
      <c r="K3597" s="319"/>
      <c r="L3597" s="218"/>
    </row>
    <row r="3598">
      <c r="B3598" s="223" t="s">
        <v>200</v>
      </c>
      <c r="C3598" s="223"/>
      <c r="K3598" s="319"/>
      <c r="L3598" s="218"/>
    </row>
    <row r="3599">
      <c r="B3599" s="223" t="s">
        <v>200</v>
      </c>
      <c r="C3599" s="223"/>
      <c r="K3599" s="319"/>
      <c r="L3599" s="218"/>
    </row>
    <row r="3600">
      <c r="B3600" s="223" t="s">
        <v>200</v>
      </c>
      <c r="C3600" s="223"/>
      <c r="K3600" s="319"/>
      <c r="L3600" s="218"/>
    </row>
    <row r="3601">
      <c r="B3601" s="223" t="s">
        <v>200</v>
      </c>
      <c r="C3601" s="223"/>
      <c r="K3601" s="319"/>
      <c r="L3601" s="218"/>
    </row>
    <row r="3602">
      <c r="B3602" s="223" t="s">
        <v>200</v>
      </c>
      <c r="C3602" s="223"/>
      <c r="K3602" s="319"/>
      <c r="L3602" s="218"/>
    </row>
    <row r="3603">
      <c r="B3603" s="223" t="s">
        <v>200</v>
      </c>
      <c r="C3603" s="223"/>
      <c r="K3603" s="319"/>
      <c r="L3603" s="218"/>
    </row>
    <row r="3604">
      <c r="B3604" s="223" t="s">
        <v>200</v>
      </c>
      <c r="C3604" s="223"/>
      <c r="K3604" s="319"/>
      <c r="L3604" s="218"/>
    </row>
    <row r="3605">
      <c r="B3605" s="223" t="s">
        <v>200</v>
      </c>
      <c r="C3605" s="223"/>
      <c r="K3605" s="319"/>
      <c r="L3605" s="218"/>
    </row>
    <row r="3606">
      <c r="B3606" s="223" t="s">
        <v>200</v>
      </c>
      <c r="C3606" s="223"/>
      <c r="K3606" s="319"/>
      <c r="L3606" s="218"/>
    </row>
    <row r="3607">
      <c r="B3607" s="223" t="s">
        <v>200</v>
      </c>
      <c r="C3607" s="223"/>
      <c r="K3607" s="319"/>
      <c r="L3607" s="218"/>
    </row>
    <row r="3608">
      <c r="B3608" s="223" t="s">
        <v>200</v>
      </c>
      <c r="C3608" s="223"/>
      <c r="K3608" s="319"/>
      <c r="L3608" s="218"/>
    </row>
    <row r="3609">
      <c r="B3609" s="223" t="s">
        <v>200</v>
      </c>
      <c r="C3609" s="223"/>
      <c r="K3609" s="319"/>
      <c r="L3609" s="218"/>
    </row>
    <row r="3610">
      <c r="B3610" s="223" t="s">
        <v>200</v>
      </c>
      <c r="C3610" s="223"/>
      <c r="K3610" s="319"/>
      <c r="L3610" s="218"/>
    </row>
    <row r="3611">
      <c r="B3611" s="223" t="s">
        <v>200</v>
      </c>
      <c r="C3611" s="223"/>
      <c r="K3611" s="319"/>
      <c r="L3611" s="218"/>
    </row>
    <row r="3612">
      <c r="B3612" s="223" t="s">
        <v>200</v>
      </c>
      <c r="C3612" s="223"/>
      <c r="K3612" s="319"/>
      <c r="L3612" s="218"/>
    </row>
    <row r="3613">
      <c r="B3613" s="223" t="s">
        <v>200</v>
      </c>
      <c r="C3613" s="223"/>
      <c r="K3613" s="319"/>
      <c r="L3613" s="218"/>
    </row>
    <row r="3614">
      <c r="B3614" s="223" t="s">
        <v>200</v>
      </c>
      <c r="C3614" s="223"/>
      <c r="K3614" s="319"/>
      <c r="L3614" s="218"/>
    </row>
    <row r="3615">
      <c r="B3615" s="223" t="s">
        <v>200</v>
      </c>
      <c r="C3615" s="223"/>
      <c r="K3615" s="319"/>
      <c r="L3615" s="218"/>
    </row>
    <row r="3616">
      <c r="B3616" s="223" t="s">
        <v>200</v>
      </c>
      <c r="C3616" s="223"/>
      <c r="K3616" s="319"/>
      <c r="L3616" s="218"/>
    </row>
    <row r="3617">
      <c r="B3617" s="223" t="s">
        <v>200</v>
      </c>
      <c r="C3617" s="223"/>
      <c r="K3617" s="319"/>
      <c r="L3617" s="218"/>
    </row>
    <row r="3618">
      <c r="B3618" s="223" t="s">
        <v>200</v>
      </c>
      <c r="C3618" s="223"/>
      <c r="K3618" s="319"/>
      <c r="L3618" s="218"/>
    </row>
    <row r="3619">
      <c r="B3619" s="223" t="s">
        <v>200</v>
      </c>
      <c r="C3619" s="223"/>
      <c r="K3619" s="319"/>
      <c r="L3619" s="218"/>
    </row>
    <row r="3620">
      <c r="B3620" s="223" t="s">
        <v>200</v>
      </c>
      <c r="C3620" s="223"/>
      <c r="K3620" s="319"/>
      <c r="L3620" s="218"/>
    </row>
    <row r="3621">
      <c r="B3621" s="223" t="s">
        <v>200</v>
      </c>
      <c r="C3621" s="223"/>
      <c r="K3621" s="319"/>
      <c r="L3621" s="218"/>
    </row>
    <row r="3622">
      <c r="B3622" s="223" t="s">
        <v>200</v>
      </c>
      <c r="C3622" s="223"/>
      <c r="K3622" s="319"/>
      <c r="L3622" s="218"/>
    </row>
    <row r="3623">
      <c r="B3623" s="223" t="s">
        <v>200</v>
      </c>
      <c r="C3623" s="223"/>
      <c r="K3623" s="319"/>
      <c r="L3623" s="218"/>
    </row>
    <row r="3624">
      <c r="B3624" s="223" t="s">
        <v>200</v>
      </c>
      <c r="C3624" s="223"/>
      <c r="K3624" s="319"/>
      <c r="L3624" s="218"/>
    </row>
    <row r="3625">
      <c r="B3625" s="223" t="s">
        <v>200</v>
      </c>
      <c r="C3625" s="223"/>
      <c r="K3625" s="319"/>
      <c r="L3625" s="218"/>
    </row>
    <row r="3626">
      <c r="B3626" s="223" t="s">
        <v>200</v>
      </c>
      <c r="C3626" s="223"/>
      <c r="K3626" s="319"/>
      <c r="L3626" s="218"/>
    </row>
    <row r="3627">
      <c r="B3627" s="223" t="s">
        <v>200</v>
      </c>
      <c r="C3627" s="223"/>
      <c r="K3627" s="319"/>
      <c r="L3627" s="218"/>
    </row>
    <row r="3628">
      <c r="B3628" s="223" t="s">
        <v>200</v>
      </c>
      <c r="C3628" s="223"/>
      <c r="K3628" s="319"/>
      <c r="L3628" s="218"/>
    </row>
    <row r="3629">
      <c r="B3629" s="223" t="s">
        <v>200</v>
      </c>
      <c r="C3629" s="223"/>
      <c r="K3629" s="319"/>
      <c r="L3629" s="218"/>
    </row>
    <row r="3630">
      <c r="B3630" s="223" t="s">
        <v>200</v>
      </c>
      <c r="C3630" s="223"/>
      <c r="K3630" s="319"/>
      <c r="L3630" s="218"/>
    </row>
    <row r="3631">
      <c r="B3631" s="223" t="s">
        <v>200</v>
      </c>
      <c r="C3631" s="223"/>
      <c r="K3631" s="319"/>
      <c r="L3631" s="218"/>
    </row>
    <row r="3632">
      <c r="B3632" s="223" t="s">
        <v>200</v>
      </c>
      <c r="C3632" s="223"/>
      <c r="K3632" s="319"/>
      <c r="L3632" s="218"/>
    </row>
    <row r="3633">
      <c r="B3633" s="223" t="s">
        <v>200</v>
      </c>
      <c r="C3633" s="223"/>
      <c r="K3633" s="319"/>
      <c r="L3633" s="218"/>
    </row>
    <row r="3634">
      <c r="B3634" s="223" t="s">
        <v>200</v>
      </c>
      <c r="C3634" s="223"/>
      <c r="K3634" s="319"/>
      <c r="L3634" s="218"/>
    </row>
    <row r="3635">
      <c r="B3635" s="223" t="s">
        <v>200</v>
      </c>
      <c r="C3635" s="223"/>
      <c r="K3635" s="319"/>
      <c r="L3635" s="218"/>
    </row>
    <row r="3636">
      <c r="B3636" s="223" t="s">
        <v>200</v>
      </c>
      <c r="C3636" s="223"/>
      <c r="K3636" s="319"/>
      <c r="L3636" s="218"/>
    </row>
    <row r="3637">
      <c r="B3637" s="223" t="s">
        <v>200</v>
      </c>
      <c r="C3637" s="223"/>
      <c r="K3637" s="319"/>
      <c r="L3637" s="218"/>
    </row>
    <row r="3638">
      <c r="B3638" s="223" t="s">
        <v>200</v>
      </c>
      <c r="C3638" s="223"/>
      <c r="K3638" s="319"/>
      <c r="L3638" s="218"/>
    </row>
    <row r="3639">
      <c r="B3639" s="223" t="s">
        <v>200</v>
      </c>
      <c r="C3639" s="223"/>
      <c r="K3639" s="319"/>
      <c r="L3639" s="218"/>
    </row>
    <row r="3640">
      <c r="B3640" s="223" t="s">
        <v>200</v>
      </c>
      <c r="C3640" s="223"/>
      <c r="K3640" s="319"/>
      <c r="L3640" s="218"/>
    </row>
    <row r="3641">
      <c r="B3641" s="223" t="s">
        <v>200</v>
      </c>
      <c r="C3641" s="223"/>
      <c r="K3641" s="319"/>
      <c r="L3641" s="218"/>
    </row>
    <row r="3642">
      <c r="B3642" s="223" t="s">
        <v>200</v>
      </c>
      <c r="C3642" s="223"/>
      <c r="K3642" s="319"/>
      <c r="L3642" s="218"/>
    </row>
    <row r="3643">
      <c r="B3643" s="223" t="s">
        <v>200</v>
      </c>
      <c r="C3643" s="223"/>
      <c r="K3643" s="319"/>
      <c r="L3643" s="218"/>
    </row>
    <row r="3644">
      <c r="B3644" s="223" t="s">
        <v>200</v>
      </c>
      <c r="C3644" s="223"/>
      <c r="K3644" s="319"/>
      <c r="L3644" s="218"/>
    </row>
    <row r="3645">
      <c r="B3645" s="223" t="s">
        <v>200</v>
      </c>
      <c r="C3645" s="223"/>
      <c r="K3645" s="319"/>
      <c r="L3645" s="218"/>
    </row>
    <row r="3646">
      <c r="B3646" s="223" t="s">
        <v>200</v>
      </c>
      <c r="C3646" s="223"/>
      <c r="K3646" s="319"/>
      <c r="L3646" s="218"/>
    </row>
    <row r="3647">
      <c r="B3647" s="223" t="s">
        <v>200</v>
      </c>
      <c r="C3647" s="223"/>
      <c r="K3647" s="319"/>
      <c r="L3647" s="218"/>
    </row>
    <row r="3648">
      <c r="B3648" s="223" t="s">
        <v>200</v>
      </c>
      <c r="C3648" s="223"/>
      <c r="K3648" s="319"/>
      <c r="L3648" s="218"/>
    </row>
    <row r="3649">
      <c r="B3649" s="223" t="s">
        <v>200</v>
      </c>
      <c r="C3649" s="223"/>
      <c r="K3649" s="319"/>
      <c r="L3649" s="218"/>
    </row>
    <row r="3650">
      <c r="B3650" s="223" t="s">
        <v>200</v>
      </c>
      <c r="C3650" s="223"/>
      <c r="K3650" s="319"/>
      <c r="L3650" s="218"/>
    </row>
    <row r="3651">
      <c r="B3651" s="223" t="s">
        <v>200</v>
      </c>
      <c r="C3651" s="223"/>
      <c r="K3651" s="319"/>
      <c r="L3651" s="218"/>
    </row>
    <row r="3652">
      <c r="B3652" s="223" t="s">
        <v>200</v>
      </c>
      <c r="C3652" s="223"/>
      <c r="K3652" s="319"/>
      <c r="L3652" s="218"/>
    </row>
    <row r="3653">
      <c r="B3653" s="223" t="s">
        <v>200</v>
      </c>
      <c r="C3653" s="223"/>
      <c r="K3653" s="319"/>
      <c r="L3653" s="218"/>
    </row>
    <row r="3654">
      <c r="B3654" s="223" t="s">
        <v>200</v>
      </c>
      <c r="C3654" s="223"/>
      <c r="K3654" s="319"/>
      <c r="L3654" s="218"/>
    </row>
    <row r="3655">
      <c r="B3655" s="223" t="s">
        <v>200</v>
      </c>
      <c r="C3655" s="223"/>
      <c r="K3655" s="319"/>
      <c r="L3655" s="218"/>
    </row>
    <row r="3656">
      <c r="B3656" s="223" t="s">
        <v>200</v>
      </c>
      <c r="C3656" s="223"/>
      <c r="K3656" s="319"/>
      <c r="L3656" s="218"/>
    </row>
    <row r="3657">
      <c r="B3657" s="223" t="s">
        <v>200</v>
      </c>
      <c r="C3657" s="223"/>
      <c r="K3657" s="319"/>
      <c r="L3657" s="218"/>
    </row>
    <row r="3658">
      <c r="B3658" s="223" t="s">
        <v>200</v>
      </c>
      <c r="C3658" s="223"/>
      <c r="K3658" s="319"/>
      <c r="L3658" s="218"/>
    </row>
    <row r="3659">
      <c r="B3659" s="223" t="s">
        <v>200</v>
      </c>
      <c r="C3659" s="223"/>
      <c r="K3659" s="319"/>
      <c r="L3659" s="218"/>
    </row>
    <row r="3660">
      <c r="B3660" s="223" t="s">
        <v>200</v>
      </c>
      <c r="C3660" s="223"/>
      <c r="K3660" s="319"/>
      <c r="L3660" s="218"/>
    </row>
    <row r="3661">
      <c r="B3661" s="223" t="s">
        <v>200</v>
      </c>
      <c r="C3661" s="223"/>
      <c r="K3661" s="319"/>
      <c r="L3661" s="218"/>
    </row>
    <row r="3662">
      <c r="B3662" s="223" t="s">
        <v>200</v>
      </c>
      <c r="C3662" s="223"/>
      <c r="K3662" s="319"/>
      <c r="L3662" s="218"/>
    </row>
    <row r="3663">
      <c r="B3663" s="223" t="s">
        <v>200</v>
      </c>
      <c r="C3663" s="223"/>
      <c r="K3663" s="319"/>
      <c r="L3663" s="218"/>
    </row>
    <row r="3664">
      <c r="B3664" s="223" t="s">
        <v>200</v>
      </c>
      <c r="C3664" s="223"/>
      <c r="K3664" s="319"/>
      <c r="L3664" s="218"/>
    </row>
    <row r="3665">
      <c r="B3665" s="223" t="s">
        <v>200</v>
      </c>
      <c r="C3665" s="223"/>
      <c r="K3665" s="319"/>
      <c r="L3665" s="218"/>
    </row>
    <row r="3666">
      <c r="B3666" s="223" t="s">
        <v>200</v>
      </c>
      <c r="C3666" s="223"/>
      <c r="K3666" s="319"/>
      <c r="L3666" s="218"/>
    </row>
    <row r="3667">
      <c r="B3667" s="223" t="s">
        <v>200</v>
      </c>
      <c r="C3667" s="223"/>
      <c r="K3667" s="319"/>
      <c r="L3667" s="218"/>
    </row>
    <row r="3668">
      <c r="B3668" s="223" t="s">
        <v>200</v>
      </c>
      <c r="C3668" s="223"/>
      <c r="K3668" s="319"/>
      <c r="L3668" s="218"/>
    </row>
    <row r="3669">
      <c r="B3669" s="223" t="s">
        <v>200</v>
      </c>
      <c r="C3669" s="223"/>
      <c r="K3669" s="319"/>
      <c r="L3669" s="218"/>
    </row>
    <row r="3670">
      <c r="B3670" s="223" t="s">
        <v>200</v>
      </c>
      <c r="C3670" s="223"/>
      <c r="K3670" s="319"/>
      <c r="L3670" s="218"/>
    </row>
    <row r="3671">
      <c r="B3671" s="223" t="s">
        <v>200</v>
      </c>
      <c r="C3671" s="223"/>
      <c r="K3671" s="319"/>
      <c r="L3671" s="218"/>
    </row>
    <row r="3672">
      <c r="B3672" s="223" t="s">
        <v>200</v>
      </c>
      <c r="C3672" s="223"/>
      <c r="K3672" s="319"/>
      <c r="L3672" s="218"/>
    </row>
    <row r="3673">
      <c r="B3673" s="223" t="s">
        <v>200</v>
      </c>
      <c r="C3673" s="223"/>
      <c r="K3673" s="319"/>
      <c r="L3673" s="218"/>
    </row>
    <row r="3674">
      <c r="B3674" s="223" t="s">
        <v>200</v>
      </c>
      <c r="C3674" s="223"/>
      <c r="K3674" s="319"/>
      <c r="L3674" s="218"/>
    </row>
    <row r="3675">
      <c r="B3675" s="223" t="s">
        <v>200</v>
      </c>
      <c r="C3675" s="223"/>
      <c r="K3675" s="319"/>
      <c r="L3675" s="218"/>
    </row>
    <row r="3676">
      <c r="B3676" s="223" t="s">
        <v>200</v>
      </c>
      <c r="C3676" s="223"/>
      <c r="K3676" s="319"/>
      <c r="L3676" s="218"/>
    </row>
    <row r="3677">
      <c r="B3677" s="223" t="s">
        <v>200</v>
      </c>
      <c r="C3677" s="223"/>
      <c r="K3677" s="319"/>
      <c r="L3677" s="218"/>
    </row>
    <row r="3678">
      <c r="B3678" s="223" t="s">
        <v>200</v>
      </c>
      <c r="C3678" s="223"/>
      <c r="K3678" s="319"/>
      <c r="L3678" s="218"/>
    </row>
    <row r="3679">
      <c r="B3679" s="223" t="s">
        <v>200</v>
      </c>
      <c r="C3679" s="223"/>
      <c r="K3679" s="319"/>
      <c r="L3679" s="218"/>
    </row>
    <row r="3680">
      <c r="B3680" s="223" t="s">
        <v>200</v>
      </c>
      <c r="C3680" s="223"/>
      <c r="K3680" s="319"/>
      <c r="L3680" s="218"/>
    </row>
    <row r="3681">
      <c r="B3681" s="223" t="s">
        <v>200</v>
      </c>
      <c r="C3681" s="223"/>
      <c r="K3681" s="319"/>
      <c r="L3681" s="218"/>
    </row>
    <row r="3682">
      <c r="B3682" s="223" t="s">
        <v>200</v>
      </c>
      <c r="C3682" s="223"/>
      <c r="K3682" s="319"/>
      <c r="L3682" s="218"/>
    </row>
    <row r="3683">
      <c r="B3683" s="223" t="s">
        <v>200</v>
      </c>
      <c r="C3683" s="223"/>
      <c r="K3683" s="319"/>
      <c r="L3683" s="218"/>
    </row>
    <row r="3684">
      <c r="B3684" s="223" t="s">
        <v>200</v>
      </c>
      <c r="C3684" s="223"/>
      <c r="K3684" s="319"/>
      <c r="L3684" s="218"/>
    </row>
    <row r="3685">
      <c r="B3685" s="223" t="s">
        <v>200</v>
      </c>
      <c r="C3685" s="223"/>
      <c r="K3685" s="319"/>
      <c r="L3685" s="218"/>
    </row>
    <row r="3686">
      <c r="B3686" s="223" t="s">
        <v>200</v>
      </c>
      <c r="C3686" s="223"/>
      <c r="K3686" s="319"/>
      <c r="L3686" s="218"/>
    </row>
    <row r="3687">
      <c r="B3687" s="223" t="s">
        <v>200</v>
      </c>
      <c r="C3687" s="223"/>
      <c r="K3687" s="319"/>
      <c r="L3687" s="218"/>
    </row>
    <row r="3688">
      <c r="B3688" s="223" t="s">
        <v>200</v>
      </c>
      <c r="C3688" s="223"/>
      <c r="K3688" s="319"/>
      <c r="L3688" s="218"/>
    </row>
    <row r="3689">
      <c r="B3689" s="223" t="s">
        <v>200</v>
      </c>
      <c r="C3689" s="223"/>
      <c r="K3689" s="319"/>
      <c r="L3689" s="218"/>
    </row>
    <row r="3690">
      <c r="B3690" s="223" t="s">
        <v>200</v>
      </c>
      <c r="C3690" s="223"/>
      <c r="K3690" s="319"/>
      <c r="L3690" s="218"/>
    </row>
    <row r="3691">
      <c r="B3691" s="223" t="s">
        <v>200</v>
      </c>
      <c r="C3691" s="223"/>
      <c r="K3691" s="319"/>
      <c r="L3691" s="218"/>
    </row>
    <row r="3692">
      <c r="B3692" s="223" t="s">
        <v>200</v>
      </c>
      <c r="C3692" s="223"/>
      <c r="K3692" s="319"/>
      <c r="L3692" s="218"/>
    </row>
    <row r="3693">
      <c r="B3693" s="223" t="s">
        <v>200</v>
      </c>
      <c r="C3693" s="223"/>
      <c r="K3693" s="319"/>
      <c r="L3693" s="218"/>
    </row>
    <row r="3694">
      <c r="B3694" s="223" t="s">
        <v>200</v>
      </c>
      <c r="C3694" s="223"/>
      <c r="K3694" s="319"/>
      <c r="L3694" s="218"/>
    </row>
    <row r="3695">
      <c r="B3695" s="223" t="s">
        <v>200</v>
      </c>
      <c r="C3695" s="223"/>
      <c r="K3695" s="319"/>
      <c r="L3695" s="218"/>
    </row>
    <row r="3696">
      <c r="B3696" s="223" t="s">
        <v>200</v>
      </c>
      <c r="C3696" s="223"/>
      <c r="K3696" s="319"/>
      <c r="L3696" s="218"/>
    </row>
    <row r="3697">
      <c r="B3697" s="223" t="s">
        <v>200</v>
      </c>
      <c r="C3697" s="223"/>
      <c r="K3697" s="319"/>
      <c r="L3697" s="218"/>
    </row>
    <row r="3698">
      <c r="B3698" s="223" t="s">
        <v>200</v>
      </c>
      <c r="C3698" s="223"/>
      <c r="K3698" s="319"/>
      <c r="L3698" s="218"/>
    </row>
    <row r="3699">
      <c r="B3699" s="223" t="s">
        <v>200</v>
      </c>
      <c r="C3699" s="223"/>
      <c r="K3699" s="319"/>
      <c r="L3699" s="218"/>
    </row>
    <row r="3700">
      <c r="B3700" s="223" t="s">
        <v>200</v>
      </c>
      <c r="C3700" s="223"/>
      <c r="K3700" s="319"/>
      <c r="L3700" s="218"/>
    </row>
    <row r="3701">
      <c r="B3701" s="223" t="s">
        <v>200</v>
      </c>
      <c r="C3701" s="223"/>
      <c r="K3701" s="319"/>
      <c r="L3701" s="218"/>
    </row>
    <row r="3702">
      <c r="B3702" s="223" t="s">
        <v>200</v>
      </c>
      <c r="C3702" s="223"/>
      <c r="K3702" s="319"/>
      <c r="L3702" s="218"/>
    </row>
    <row r="3703">
      <c r="B3703" s="223" t="s">
        <v>200</v>
      </c>
      <c r="C3703" s="223"/>
      <c r="K3703" s="319"/>
      <c r="L3703" s="218"/>
    </row>
    <row r="3704">
      <c r="B3704" s="223" t="s">
        <v>200</v>
      </c>
      <c r="C3704" s="223"/>
      <c r="K3704" s="319"/>
      <c r="L3704" s="218"/>
    </row>
    <row r="3705">
      <c r="B3705" s="223" t="s">
        <v>200</v>
      </c>
      <c r="C3705" s="223"/>
      <c r="K3705" s="319"/>
      <c r="L3705" s="218"/>
    </row>
    <row r="3706">
      <c r="B3706" s="223" t="s">
        <v>200</v>
      </c>
      <c r="C3706" s="223"/>
      <c r="K3706" s="319"/>
      <c r="L3706" s="218"/>
    </row>
    <row r="3707">
      <c r="B3707" s="223" t="s">
        <v>200</v>
      </c>
      <c r="C3707" s="223"/>
      <c r="K3707" s="319"/>
      <c r="L3707" s="218"/>
    </row>
    <row r="3708">
      <c r="B3708" s="223" t="s">
        <v>200</v>
      </c>
      <c r="C3708" s="223"/>
      <c r="K3708" s="319"/>
      <c r="L3708" s="218"/>
    </row>
    <row r="3709">
      <c r="B3709" s="223" t="s">
        <v>200</v>
      </c>
      <c r="C3709" s="223"/>
      <c r="K3709" s="319"/>
      <c r="L3709" s="218"/>
    </row>
    <row r="3710">
      <c r="B3710" s="223" t="s">
        <v>200</v>
      </c>
      <c r="C3710" s="223"/>
      <c r="K3710" s="319"/>
      <c r="L3710" s="218"/>
    </row>
    <row r="3711">
      <c r="B3711" s="223" t="s">
        <v>200</v>
      </c>
      <c r="C3711" s="223"/>
      <c r="K3711" s="319"/>
      <c r="L3711" s="218"/>
    </row>
    <row r="3712">
      <c r="B3712" s="223" t="s">
        <v>200</v>
      </c>
      <c r="C3712" s="223"/>
      <c r="K3712" s="319"/>
      <c r="L3712" s="218"/>
    </row>
    <row r="3713">
      <c r="B3713" s="223" t="s">
        <v>200</v>
      </c>
      <c r="C3713" s="223"/>
      <c r="K3713" s="319"/>
      <c r="L3713" s="218"/>
    </row>
    <row r="3714">
      <c r="B3714" s="223" t="s">
        <v>200</v>
      </c>
      <c r="C3714" s="223"/>
      <c r="K3714" s="319"/>
      <c r="L3714" s="218"/>
    </row>
    <row r="3715">
      <c r="B3715" s="223" t="s">
        <v>200</v>
      </c>
      <c r="C3715" s="223"/>
      <c r="K3715" s="319"/>
      <c r="L3715" s="218"/>
    </row>
    <row r="3716">
      <c r="B3716" s="223" t="s">
        <v>200</v>
      </c>
      <c r="C3716" s="223"/>
      <c r="K3716" s="319"/>
      <c r="L3716" s="218"/>
    </row>
    <row r="3717">
      <c r="B3717" s="223" t="s">
        <v>200</v>
      </c>
      <c r="C3717" s="223"/>
      <c r="K3717" s="319"/>
      <c r="L3717" s="218"/>
    </row>
    <row r="3718">
      <c r="B3718" s="223" t="s">
        <v>200</v>
      </c>
      <c r="C3718" s="223"/>
      <c r="K3718" s="319"/>
      <c r="L3718" s="218"/>
    </row>
    <row r="3719">
      <c r="B3719" s="223" t="s">
        <v>200</v>
      </c>
      <c r="C3719" s="223"/>
      <c r="K3719" s="319"/>
      <c r="L3719" s="218"/>
    </row>
    <row r="3720">
      <c r="B3720" s="223" t="s">
        <v>200</v>
      </c>
      <c r="C3720" s="223"/>
      <c r="K3720" s="319"/>
      <c r="L3720" s="218"/>
    </row>
    <row r="3721">
      <c r="B3721" s="223" t="s">
        <v>200</v>
      </c>
      <c r="C3721" s="223"/>
      <c r="K3721" s="319"/>
      <c r="L3721" s="218"/>
    </row>
    <row r="3722">
      <c r="B3722" s="223" t="s">
        <v>200</v>
      </c>
      <c r="C3722" s="223"/>
      <c r="K3722" s="319"/>
      <c r="L3722" s="218"/>
    </row>
    <row r="3723">
      <c r="B3723" s="223" t="s">
        <v>200</v>
      </c>
      <c r="C3723" s="223"/>
      <c r="K3723" s="319"/>
      <c r="L3723" s="218"/>
    </row>
    <row r="3724">
      <c r="B3724" s="223" t="s">
        <v>200</v>
      </c>
      <c r="C3724" s="223"/>
      <c r="K3724" s="319"/>
      <c r="L3724" s="218"/>
    </row>
    <row r="3725">
      <c r="B3725" s="223" t="s">
        <v>200</v>
      </c>
      <c r="C3725" s="223"/>
      <c r="K3725" s="319"/>
      <c r="L3725" s="218"/>
    </row>
    <row r="3726">
      <c r="B3726" s="223" t="s">
        <v>200</v>
      </c>
      <c r="C3726" s="223"/>
      <c r="K3726" s="319"/>
      <c r="L3726" s="218"/>
    </row>
    <row r="3727">
      <c r="B3727" s="223" t="s">
        <v>200</v>
      </c>
      <c r="C3727" s="223"/>
      <c r="K3727" s="319"/>
      <c r="L3727" s="218"/>
    </row>
    <row r="3728">
      <c r="B3728" s="223" t="s">
        <v>200</v>
      </c>
      <c r="C3728" s="223"/>
      <c r="K3728" s="319"/>
      <c r="L3728" s="218"/>
    </row>
    <row r="3729">
      <c r="B3729" s="223" t="s">
        <v>200</v>
      </c>
      <c r="C3729" s="223"/>
      <c r="K3729" s="319"/>
      <c r="L3729" s="218"/>
    </row>
    <row r="3730">
      <c r="B3730" s="223" t="s">
        <v>200</v>
      </c>
      <c r="C3730" s="223"/>
      <c r="K3730" s="319"/>
      <c r="L3730" s="218"/>
    </row>
    <row r="3731">
      <c r="B3731" s="223" t="s">
        <v>200</v>
      </c>
      <c r="C3731" s="223"/>
      <c r="K3731" s="319"/>
      <c r="L3731" s="218"/>
    </row>
    <row r="3732">
      <c r="B3732" s="223" t="s">
        <v>200</v>
      </c>
      <c r="C3732" s="223"/>
      <c r="K3732" s="319"/>
      <c r="L3732" s="218"/>
    </row>
    <row r="3733">
      <c r="B3733" s="223" t="s">
        <v>200</v>
      </c>
      <c r="C3733" s="223"/>
      <c r="K3733" s="319"/>
      <c r="L3733" s="218"/>
    </row>
    <row r="3734">
      <c r="B3734" s="223" t="s">
        <v>200</v>
      </c>
      <c r="C3734" s="223"/>
      <c r="K3734" s="319"/>
      <c r="L3734" s="218"/>
    </row>
    <row r="3735">
      <c r="B3735" s="223" t="s">
        <v>200</v>
      </c>
      <c r="C3735" s="223"/>
      <c r="K3735" s="319"/>
      <c r="L3735" s="218"/>
    </row>
    <row r="3736">
      <c r="B3736" s="223" t="s">
        <v>200</v>
      </c>
      <c r="C3736" s="223"/>
      <c r="K3736" s="319"/>
      <c r="L3736" s="218"/>
    </row>
    <row r="3737">
      <c r="B3737" s="223" t="s">
        <v>200</v>
      </c>
      <c r="C3737" s="223"/>
      <c r="K3737" s="319"/>
      <c r="L3737" s="218"/>
    </row>
    <row r="3738">
      <c r="B3738" s="223" t="s">
        <v>200</v>
      </c>
      <c r="C3738" s="223"/>
      <c r="K3738" s="319"/>
      <c r="L3738" s="218"/>
    </row>
    <row r="3739">
      <c r="B3739" s="223" t="s">
        <v>200</v>
      </c>
      <c r="C3739" s="223"/>
      <c r="K3739" s="319"/>
      <c r="L3739" s="218"/>
    </row>
    <row r="3740">
      <c r="B3740" s="223" t="s">
        <v>200</v>
      </c>
      <c r="C3740" s="223"/>
      <c r="K3740" s="319"/>
      <c r="L3740" s="218"/>
    </row>
    <row r="3741">
      <c r="B3741" s="223" t="s">
        <v>200</v>
      </c>
      <c r="C3741" s="223"/>
      <c r="K3741" s="319"/>
      <c r="L3741" s="218"/>
    </row>
    <row r="3742">
      <c r="B3742" s="223" t="s">
        <v>200</v>
      </c>
      <c r="C3742" s="223"/>
      <c r="K3742" s="319"/>
      <c r="L3742" s="218"/>
    </row>
    <row r="3743">
      <c r="B3743" s="223" t="s">
        <v>200</v>
      </c>
      <c r="C3743" s="223"/>
      <c r="K3743" s="319"/>
      <c r="L3743" s="218"/>
    </row>
    <row r="3744">
      <c r="B3744" s="223" t="s">
        <v>200</v>
      </c>
      <c r="C3744" s="223"/>
      <c r="K3744" s="319"/>
      <c r="L3744" s="218"/>
    </row>
    <row r="3745">
      <c r="B3745" s="223" t="s">
        <v>200</v>
      </c>
      <c r="C3745" s="223"/>
      <c r="K3745" s="319"/>
      <c r="L3745" s="218"/>
    </row>
    <row r="3746">
      <c r="B3746" s="223" t="s">
        <v>200</v>
      </c>
      <c r="C3746" s="223"/>
      <c r="K3746" s="319"/>
      <c r="L3746" s="218"/>
    </row>
    <row r="3747">
      <c r="B3747" s="223" t="s">
        <v>200</v>
      </c>
      <c r="C3747" s="223"/>
      <c r="K3747" s="319"/>
      <c r="L3747" s="218"/>
    </row>
    <row r="3748">
      <c r="B3748" s="223" t="s">
        <v>200</v>
      </c>
      <c r="C3748" s="223"/>
      <c r="K3748" s="319"/>
      <c r="L3748" s="218"/>
    </row>
    <row r="3749">
      <c r="B3749" s="223" t="s">
        <v>200</v>
      </c>
      <c r="C3749" s="223"/>
      <c r="K3749" s="319"/>
      <c r="L3749" s="218"/>
    </row>
    <row r="3750">
      <c r="B3750" s="223" t="s">
        <v>200</v>
      </c>
      <c r="C3750" s="223"/>
      <c r="K3750" s="319"/>
      <c r="L3750" s="218"/>
    </row>
    <row r="3751">
      <c r="B3751" s="223" t="s">
        <v>200</v>
      </c>
      <c r="C3751" s="223"/>
      <c r="K3751" s="319"/>
      <c r="L3751" s="218"/>
    </row>
    <row r="3752">
      <c r="B3752" s="223" t="s">
        <v>200</v>
      </c>
      <c r="C3752" s="223"/>
      <c r="K3752" s="319"/>
      <c r="L3752" s="218"/>
    </row>
    <row r="3753">
      <c r="B3753" s="223" t="s">
        <v>200</v>
      </c>
      <c r="C3753" s="223"/>
      <c r="K3753" s="319"/>
      <c r="L3753" s="218"/>
    </row>
    <row r="3754">
      <c r="B3754" s="223" t="s">
        <v>200</v>
      </c>
      <c r="C3754" s="223"/>
      <c r="K3754" s="319"/>
      <c r="L3754" s="218"/>
    </row>
    <row r="3755">
      <c r="B3755" s="223" t="s">
        <v>200</v>
      </c>
      <c r="C3755" s="223"/>
      <c r="K3755" s="319"/>
      <c r="L3755" s="218"/>
    </row>
    <row r="3756">
      <c r="B3756" s="223" t="s">
        <v>200</v>
      </c>
      <c r="C3756" s="223"/>
      <c r="K3756" s="319"/>
      <c r="L3756" s="218"/>
    </row>
    <row r="3757">
      <c r="B3757" s="223" t="s">
        <v>200</v>
      </c>
      <c r="C3757" s="223"/>
      <c r="K3757" s="319"/>
      <c r="L3757" s="218"/>
    </row>
    <row r="3758">
      <c r="B3758" s="223" t="s">
        <v>200</v>
      </c>
      <c r="C3758" s="223"/>
      <c r="K3758" s="319"/>
      <c r="L3758" s="218"/>
    </row>
    <row r="3759">
      <c r="B3759" s="223" t="s">
        <v>200</v>
      </c>
      <c r="C3759" s="223"/>
      <c r="K3759" s="319"/>
      <c r="L3759" s="218"/>
    </row>
    <row r="3760">
      <c r="B3760" s="223" t="s">
        <v>200</v>
      </c>
      <c r="C3760" s="223"/>
      <c r="K3760" s="319"/>
      <c r="L3760" s="218"/>
    </row>
    <row r="3761">
      <c r="B3761" s="223" t="s">
        <v>200</v>
      </c>
      <c r="C3761" s="223"/>
      <c r="K3761" s="319"/>
      <c r="L3761" s="218"/>
    </row>
    <row r="3762">
      <c r="B3762" s="223" t="s">
        <v>200</v>
      </c>
      <c r="C3762" s="223"/>
      <c r="K3762" s="319"/>
      <c r="L3762" s="218"/>
    </row>
    <row r="3763">
      <c r="B3763" s="223" t="s">
        <v>200</v>
      </c>
      <c r="C3763" s="223"/>
      <c r="K3763" s="319"/>
      <c r="L3763" s="218"/>
    </row>
    <row r="3764">
      <c r="B3764" s="223" t="s">
        <v>200</v>
      </c>
      <c r="C3764" s="223"/>
      <c r="K3764" s="319"/>
      <c r="L3764" s="218"/>
    </row>
    <row r="3765">
      <c r="B3765" s="223" t="s">
        <v>200</v>
      </c>
      <c r="C3765" s="223"/>
      <c r="K3765" s="319"/>
      <c r="L3765" s="218"/>
    </row>
    <row r="3766">
      <c r="B3766" s="223" t="s">
        <v>200</v>
      </c>
      <c r="C3766" s="223"/>
      <c r="K3766" s="319"/>
      <c r="L3766" s="218"/>
    </row>
    <row r="3767">
      <c r="B3767" s="223" t="s">
        <v>200</v>
      </c>
      <c r="C3767" s="223"/>
      <c r="K3767" s="319"/>
      <c r="L3767" s="218"/>
    </row>
    <row r="3768">
      <c r="B3768" s="223" t="s">
        <v>200</v>
      </c>
      <c r="C3768" s="223"/>
      <c r="K3768" s="319"/>
      <c r="L3768" s="218"/>
    </row>
    <row r="3769">
      <c r="B3769" s="223" t="s">
        <v>200</v>
      </c>
      <c r="C3769" s="223"/>
      <c r="K3769" s="319"/>
      <c r="L3769" s="218"/>
    </row>
    <row r="3770">
      <c r="B3770" s="223" t="s">
        <v>200</v>
      </c>
      <c r="C3770" s="223"/>
      <c r="K3770" s="319"/>
      <c r="L3770" s="218"/>
    </row>
    <row r="3771">
      <c r="B3771" s="223" t="s">
        <v>200</v>
      </c>
      <c r="C3771" s="223"/>
      <c r="K3771" s="319"/>
      <c r="L3771" s="218"/>
    </row>
    <row r="3772">
      <c r="B3772" s="223" t="s">
        <v>200</v>
      </c>
      <c r="C3772" s="223"/>
      <c r="K3772" s="319"/>
      <c r="L3772" s="218"/>
    </row>
    <row r="3773">
      <c r="B3773" s="223" t="s">
        <v>200</v>
      </c>
      <c r="C3773" s="223"/>
      <c r="K3773" s="319"/>
      <c r="L3773" s="218"/>
    </row>
    <row r="3774">
      <c r="B3774" s="223" t="s">
        <v>200</v>
      </c>
      <c r="C3774" s="223"/>
      <c r="K3774" s="319"/>
      <c r="L3774" s="218"/>
    </row>
    <row r="3775">
      <c r="B3775" s="223" t="s">
        <v>200</v>
      </c>
      <c r="C3775" s="223"/>
      <c r="K3775" s="319"/>
      <c r="L3775" s="218"/>
    </row>
    <row r="3776">
      <c r="B3776" s="223" t="s">
        <v>200</v>
      </c>
      <c r="C3776" s="223"/>
      <c r="K3776" s="319"/>
      <c r="L3776" s="218"/>
    </row>
    <row r="3777">
      <c r="B3777" s="223" t="s">
        <v>200</v>
      </c>
      <c r="C3777" s="223"/>
      <c r="K3777" s="319"/>
      <c r="L3777" s="218"/>
    </row>
    <row r="3778">
      <c r="B3778" s="223" t="s">
        <v>200</v>
      </c>
      <c r="C3778" s="223"/>
      <c r="K3778" s="319"/>
      <c r="L3778" s="218"/>
    </row>
    <row r="3779">
      <c r="B3779" s="223" t="s">
        <v>200</v>
      </c>
      <c r="C3779" s="223"/>
      <c r="K3779" s="319"/>
      <c r="L3779" s="218"/>
    </row>
    <row r="3780">
      <c r="B3780" s="223" t="s">
        <v>200</v>
      </c>
      <c r="C3780" s="223"/>
      <c r="K3780" s="319"/>
      <c r="L3780" s="218"/>
    </row>
    <row r="3781">
      <c r="B3781" s="223" t="s">
        <v>200</v>
      </c>
      <c r="C3781" s="223"/>
      <c r="K3781" s="319"/>
      <c r="L3781" s="218"/>
    </row>
    <row r="3782">
      <c r="B3782" s="223" t="s">
        <v>200</v>
      </c>
      <c r="C3782" s="223"/>
      <c r="K3782" s="319"/>
      <c r="L3782" s="218"/>
    </row>
    <row r="3783">
      <c r="B3783" s="223" t="s">
        <v>200</v>
      </c>
      <c r="C3783" s="223"/>
      <c r="K3783" s="319"/>
      <c r="L3783" s="218"/>
    </row>
    <row r="3784">
      <c r="B3784" s="223" t="s">
        <v>200</v>
      </c>
      <c r="C3784" s="223"/>
      <c r="K3784" s="319"/>
      <c r="L3784" s="218"/>
    </row>
    <row r="3785">
      <c r="B3785" s="223" t="s">
        <v>200</v>
      </c>
      <c r="C3785" s="223"/>
      <c r="K3785" s="319"/>
      <c r="L3785" s="218"/>
    </row>
    <row r="3786">
      <c r="B3786" s="223" t="s">
        <v>200</v>
      </c>
      <c r="C3786" s="223"/>
      <c r="K3786" s="319"/>
      <c r="L3786" s="218"/>
    </row>
    <row r="3787">
      <c r="B3787" s="223" t="s">
        <v>200</v>
      </c>
      <c r="C3787" s="223"/>
      <c r="K3787" s="319"/>
      <c r="L3787" s="218"/>
    </row>
    <row r="3788">
      <c r="B3788" s="223" t="s">
        <v>200</v>
      </c>
      <c r="C3788" s="223"/>
      <c r="K3788" s="319"/>
      <c r="L3788" s="218"/>
    </row>
    <row r="3789">
      <c r="B3789" s="223" t="s">
        <v>200</v>
      </c>
      <c r="C3789" s="223"/>
      <c r="K3789" s="319"/>
      <c r="L3789" s="218"/>
    </row>
    <row r="3790">
      <c r="B3790" s="223" t="s">
        <v>200</v>
      </c>
      <c r="C3790" s="223"/>
      <c r="K3790" s="319"/>
      <c r="L3790" s="218"/>
    </row>
    <row r="3791">
      <c r="B3791" s="223" t="s">
        <v>200</v>
      </c>
      <c r="C3791" s="223"/>
      <c r="K3791" s="319"/>
      <c r="L3791" s="218"/>
    </row>
    <row r="3792">
      <c r="B3792" s="223" t="s">
        <v>200</v>
      </c>
      <c r="C3792" s="223"/>
      <c r="K3792" s="319"/>
      <c r="L3792" s="218"/>
    </row>
    <row r="3793">
      <c r="B3793" s="223" t="s">
        <v>200</v>
      </c>
      <c r="C3793" s="223"/>
      <c r="K3793" s="319"/>
      <c r="L3793" s="218"/>
    </row>
    <row r="3794">
      <c r="B3794" s="223" t="s">
        <v>200</v>
      </c>
      <c r="C3794" s="223"/>
      <c r="K3794" s="319"/>
      <c r="L3794" s="218"/>
    </row>
    <row r="3795">
      <c r="B3795" s="223" t="s">
        <v>200</v>
      </c>
      <c r="C3795" s="223"/>
      <c r="K3795" s="319"/>
      <c r="L3795" s="218"/>
    </row>
    <row r="3796">
      <c r="B3796" s="223" t="s">
        <v>200</v>
      </c>
      <c r="C3796" s="223"/>
      <c r="K3796" s="319"/>
      <c r="L3796" s="218"/>
    </row>
    <row r="3797">
      <c r="B3797" s="223" t="s">
        <v>200</v>
      </c>
      <c r="C3797" s="223"/>
      <c r="K3797" s="319"/>
      <c r="L3797" s="218"/>
    </row>
    <row r="3798">
      <c r="B3798" s="223" t="s">
        <v>200</v>
      </c>
      <c r="C3798" s="223"/>
      <c r="K3798" s="319"/>
      <c r="L3798" s="218"/>
    </row>
    <row r="3799">
      <c r="B3799" s="223" t="s">
        <v>200</v>
      </c>
      <c r="C3799" s="223"/>
      <c r="K3799" s="319"/>
      <c r="L3799" s="218"/>
    </row>
    <row r="3800">
      <c r="B3800" s="223" t="s">
        <v>200</v>
      </c>
      <c r="C3800" s="223"/>
      <c r="K3800" s="319"/>
      <c r="L3800" s="218"/>
    </row>
    <row r="3801">
      <c r="B3801" s="223" t="s">
        <v>200</v>
      </c>
      <c r="C3801" s="223"/>
      <c r="K3801" s="319"/>
      <c r="L3801" s="218"/>
    </row>
    <row r="3802">
      <c r="B3802" s="223" t="s">
        <v>200</v>
      </c>
      <c r="C3802" s="223"/>
      <c r="K3802" s="319"/>
      <c r="L3802" s="218"/>
    </row>
    <row r="3803">
      <c r="B3803" s="223" t="s">
        <v>200</v>
      </c>
      <c r="C3803" s="223"/>
      <c r="K3803" s="319"/>
      <c r="L3803" s="218"/>
    </row>
    <row r="3804">
      <c r="B3804" s="223" t="s">
        <v>200</v>
      </c>
      <c r="C3804" s="223"/>
      <c r="K3804" s="319"/>
      <c r="L3804" s="218"/>
    </row>
    <row r="3805">
      <c r="B3805" s="223" t="s">
        <v>200</v>
      </c>
      <c r="C3805" s="223"/>
      <c r="K3805" s="319"/>
      <c r="L3805" s="218"/>
    </row>
    <row r="3806">
      <c r="B3806" s="223" t="s">
        <v>200</v>
      </c>
      <c r="C3806" s="223"/>
      <c r="K3806" s="319"/>
      <c r="L3806" s="218"/>
    </row>
    <row r="3807">
      <c r="B3807" s="223" t="s">
        <v>200</v>
      </c>
      <c r="C3807" s="223"/>
      <c r="K3807" s="319"/>
      <c r="L3807" s="218"/>
    </row>
    <row r="3808">
      <c r="B3808" s="223" t="s">
        <v>200</v>
      </c>
      <c r="C3808" s="223"/>
      <c r="K3808" s="319"/>
      <c r="L3808" s="218"/>
    </row>
    <row r="3809">
      <c r="B3809" s="223" t="s">
        <v>200</v>
      </c>
      <c r="C3809" s="223"/>
      <c r="K3809" s="319"/>
      <c r="L3809" s="218"/>
    </row>
    <row r="3810">
      <c r="B3810" s="223" t="s">
        <v>200</v>
      </c>
      <c r="C3810" s="223"/>
      <c r="K3810" s="319"/>
      <c r="L3810" s="218"/>
    </row>
    <row r="3811">
      <c r="B3811" s="223" t="s">
        <v>200</v>
      </c>
      <c r="C3811" s="223"/>
      <c r="K3811" s="319"/>
      <c r="L3811" s="218"/>
    </row>
    <row r="3812">
      <c r="B3812" s="223" t="s">
        <v>200</v>
      </c>
      <c r="C3812" s="223"/>
      <c r="K3812" s="319"/>
      <c r="L3812" s="218"/>
    </row>
    <row r="3813">
      <c r="B3813" s="223" t="s">
        <v>200</v>
      </c>
      <c r="C3813" s="223"/>
      <c r="K3813" s="319"/>
      <c r="L3813" s="218"/>
    </row>
    <row r="3814">
      <c r="B3814" s="223" t="s">
        <v>200</v>
      </c>
      <c r="C3814" s="223"/>
      <c r="K3814" s="319"/>
      <c r="L3814" s="218"/>
    </row>
    <row r="3815">
      <c r="B3815" s="223" t="s">
        <v>200</v>
      </c>
      <c r="C3815" s="223"/>
      <c r="K3815" s="319"/>
      <c r="L3815" s="218"/>
    </row>
    <row r="3816">
      <c r="B3816" s="223" t="s">
        <v>200</v>
      </c>
      <c r="C3816" s="223"/>
      <c r="K3816" s="319"/>
      <c r="L3816" s="218"/>
    </row>
    <row r="3817">
      <c r="B3817" s="223" t="s">
        <v>200</v>
      </c>
      <c r="C3817" s="223"/>
      <c r="K3817" s="319"/>
      <c r="L3817" s="218"/>
    </row>
    <row r="3818">
      <c r="B3818" s="223" t="s">
        <v>200</v>
      </c>
      <c r="C3818" s="223"/>
      <c r="K3818" s="319"/>
      <c r="L3818" s="218"/>
    </row>
    <row r="3819">
      <c r="B3819" s="223" t="s">
        <v>200</v>
      </c>
      <c r="C3819" s="223"/>
      <c r="K3819" s="319"/>
      <c r="L3819" s="218"/>
    </row>
    <row r="3820">
      <c r="B3820" s="223" t="s">
        <v>200</v>
      </c>
      <c r="C3820" s="223"/>
      <c r="K3820" s="319"/>
      <c r="L3820" s="218"/>
    </row>
    <row r="3821">
      <c r="B3821" s="223" t="s">
        <v>200</v>
      </c>
      <c r="C3821" s="223"/>
      <c r="K3821" s="319"/>
      <c r="L3821" s="218"/>
    </row>
    <row r="3822">
      <c r="B3822" s="223" t="s">
        <v>200</v>
      </c>
      <c r="C3822" s="223"/>
      <c r="K3822" s="319"/>
      <c r="L3822" s="218"/>
    </row>
    <row r="3823">
      <c r="B3823" s="223" t="s">
        <v>200</v>
      </c>
      <c r="C3823" s="223"/>
      <c r="K3823" s="319"/>
      <c r="L3823" s="218"/>
    </row>
    <row r="3824">
      <c r="B3824" s="223" t="s">
        <v>200</v>
      </c>
      <c r="C3824" s="223"/>
      <c r="K3824" s="319"/>
      <c r="L3824" s="218"/>
    </row>
    <row r="3825">
      <c r="B3825" s="223" t="s">
        <v>200</v>
      </c>
      <c r="C3825" s="223"/>
      <c r="K3825" s="319"/>
      <c r="L3825" s="218"/>
    </row>
    <row r="3826">
      <c r="B3826" s="223" t="s">
        <v>200</v>
      </c>
      <c r="C3826" s="223"/>
      <c r="K3826" s="319"/>
      <c r="L3826" s="218"/>
    </row>
    <row r="3827">
      <c r="B3827" s="223" t="s">
        <v>200</v>
      </c>
      <c r="C3827" s="223"/>
      <c r="K3827" s="319"/>
      <c r="L3827" s="218"/>
    </row>
    <row r="3828">
      <c r="B3828" s="223" t="s">
        <v>200</v>
      </c>
      <c r="C3828" s="223"/>
      <c r="K3828" s="319"/>
      <c r="L3828" s="218"/>
    </row>
    <row r="3829">
      <c r="B3829" s="223" t="s">
        <v>200</v>
      </c>
      <c r="C3829" s="223"/>
      <c r="K3829" s="319"/>
      <c r="L3829" s="218"/>
    </row>
    <row r="3830">
      <c r="B3830" s="223" t="s">
        <v>200</v>
      </c>
      <c r="C3830" s="223"/>
      <c r="K3830" s="319"/>
      <c r="L3830" s="218"/>
    </row>
    <row r="3831">
      <c r="B3831" s="223" t="s">
        <v>200</v>
      </c>
      <c r="C3831" s="223"/>
      <c r="K3831" s="319"/>
      <c r="L3831" s="218"/>
    </row>
    <row r="3832">
      <c r="B3832" s="223" t="s">
        <v>200</v>
      </c>
      <c r="C3832" s="223"/>
      <c r="K3832" s="319"/>
      <c r="L3832" s="218"/>
    </row>
    <row r="3833">
      <c r="B3833" s="223" t="s">
        <v>200</v>
      </c>
      <c r="C3833" s="223"/>
      <c r="K3833" s="319"/>
      <c r="L3833" s="218"/>
    </row>
    <row r="3834">
      <c r="B3834" s="223" t="s">
        <v>200</v>
      </c>
      <c r="C3834" s="223"/>
      <c r="K3834" s="319"/>
      <c r="L3834" s="218"/>
    </row>
    <row r="3835">
      <c r="B3835" s="223" t="s">
        <v>200</v>
      </c>
      <c r="C3835" s="223"/>
      <c r="K3835" s="319"/>
      <c r="L3835" s="218"/>
    </row>
    <row r="3836">
      <c r="B3836" s="223" t="s">
        <v>200</v>
      </c>
      <c r="C3836" s="223"/>
      <c r="K3836" s="319"/>
      <c r="L3836" s="218"/>
    </row>
    <row r="3837">
      <c r="B3837" s="223" t="s">
        <v>200</v>
      </c>
      <c r="C3837" s="223"/>
      <c r="K3837" s="319"/>
      <c r="L3837" s="218"/>
    </row>
    <row r="3838">
      <c r="B3838" s="223" t="s">
        <v>200</v>
      </c>
      <c r="C3838" s="223"/>
      <c r="K3838" s="319"/>
      <c r="L3838" s="218"/>
    </row>
    <row r="3839">
      <c r="B3839" s="223" t="s">
        <v>200</v>
      </c>
      <c r="C3839" s="223"/>
      <c r="K3839" s="319"/>
      <c r="L3839" s="218"/>
    </row>
    <row r="3840">
      <c r="B3840" s="223" t="s">
        <v>200</v>
      </c>
      <c r="C3840" s="223"/>
      <c r="K3840" s="319"/>
      <c r="L3840" s="218"/>
    </row>
    <row r="3841">
      <c r="B3841" s="223" t="s">
        <v>200</v>
      </c>
      <c r="C3841" s="223"/>
      <c r="K3841" s="319"/>
      <c r="L3841" s="218"/>
    </row>
    <row r="3842">
      <c r="B3842" s="223" t="s">
        <v>200</v>
      </c>
      <c r="C3842" s="223"/>
      <c r="K3842" s="319"/>
      <c r="L3842" s="218"/>
    </row>
    <row r="3843">
      <c r="B3843" s="223" t="s">
        <v>200</v>
      </c>
      <c r="C3843" s="223"/>
      <c r="K3843" s="319"/>
      <c r="L3843" s="218"/>
    </row>
    <row r="3844">
      <c r="B3844" s="223" t="s">
        <v>200</v>
      </c>
      <c r="C3844" s="223"/>
      <c r="K3844" s="319"/>
      <c r="L3844" s="218"/>
    </row>
    <row r="3845">
      <c r="B3845" s="223" t="s">
        <v>200</v>
      </c>
      <c r="C3845" s="223"/>
      <c r="K3845" s="319"/>
      <c r="L3845" s="218"/>
    </row>
    <row r="3846">
      <c r="B3846" s="223" t="s">
        <v>200</v>
      </c>
      <c r="C3846" s="223"/>
      <c r="K3846" s="319"/>
      <c r="L3846" s="218"/>
    </row>
    <row r="3847">
      <c r="B3847" s="223" t="s">
        <v>200</v>
      </c>
      <c r="C3847" s="223"/>
      <c r="K3847" s="319"/>
      <c r="L3847" s="218"/>
    </row>
    <row r="3848">
      <c r="B3848" s="223" t="s">
        <v>200</v>
      </c>
      <c r="C3848" s="223"/>
      <c r="K3848" s="319"/>
      <c r="L3848" s="218"/>
    </row>
    <row r="3849">
      <c r="B3849" s="223" t="s">
        <v>200</v>
      </c>
      <c r="C3849" s="223"/>
      <c r="K3849" s="319"/>
      <c r="L3849" s="218"/>
    </row>
    <row r="3850">
      <c r="B3850" s="223" t="s">
        <v>200</v>
      </c>
      <c r="C3850" s="223"/>
      <c r="K3850" s="319"/>
      <c r="L3850" s="218"/>
    </row>
    <row r="3851">
      <c r="B3851" s="223" t="s">
        <v>200</v>
      </c>
      <c r="C3851" s="223"/>
      <c r="K3851" s="319"/>
      <c r="L3851" s="218"/>
    </row>
    <row r="3852">
      <c r="B3852" s="223" t="s">
        <v>200</v>
      </c>
      <c r="C3852" s="223"/>
      <c r="K3852" s="319"/>
      <c r="L3852" s="218"/>
    </row>
    <row r="3853">
      <c r="B3853" s="223" t="s">
        <v>200</v>
      </c>
      <c r="C3853" s="223"/>
      <c r="K3853" s="319"/>
      <c r="L3853" s="218"/>
    </row>
    <row r="3854">
      <c r="B3854" s="223" t="s">
        <v>200</v>
      </c>
      <c r="C3854" s="223"/>
      <c r="K3854" s="319"/>
      <c r="L3854" s="218"/>
    </row>
    <row r="3855">
      <c r="B3855" s="223" t="s">
        <v>200</v>
      </c>
      <c r="C3855" s="223"/>
      <c r="K3855" s="319"/>
      <c r="L3855" s="218"/>
    </row>
    <row r="3856">
      <c r="B3856" s="223" t="s">
        <v>200</v>
      </c>
      <c r="C3856" s="223"/>
      <c r="K3856" s="319"/>
      <c r="L3856" s="218"/>
    </row>
    <row r="3857">
      <c r="B3857" s="223" t="s">
        <v>200</v>
      </c>
      <c r="C3857" s="223"/>
      <c r="K3857" s="319"/>
      <c r="L3857" s="218"/>
    </row>
    <row r="3858">
      <c r="B3858" s="223" t="s">
        <v>200</v>
      </c>
      <c r="C3858" s="223"/>
      <c r="K3858" s="319"/>
      <c r="L3858" s="218"/>
    </row>
    <row r="3859">
      <c r="B3859" s="223" t="s">
        <v>200</v>
      </c>
      <c r="C3859" s="223"/>
      <c r="K3859" s="319"/>
      <c r="L3859" s="218"/>
    </row>
    <row r="3860">
      <c r="B3860" s="223" t="s">
        <v>200</v>
      </c>
      <c r="C3860" s="223"/>
      <c r="K3860" s="319"/>
      <c r="L3860" s="218"/>
    </row>
    <row r="3861">
      <c r="B3861" s="223" t="s">
        <v>200</v>
      </c>
      <c r="C3861" s="223"/>
      <c r="K3861" s="319"/>
      <c r="L3861" s="218"/>
    </row>
    <row r="3862">
      <c r="B3862" s="223" t="s">
        <v>200</v>
      </c>
      <c r="C3862" s="223"/>
      <c r="K3862" s="319"/>
      <c r="L3862" s="218"/>
    </row>
    <row r="3863">
      <c r="B3863" s="223" t="s">
        <v>200</v>
      </c>
      <c r="C3863" s="223"/>
      <c r="K3863" s="319"/>
      <c r="L3863" s="218"/>
    </row>
    <row r="3864">
      <c r="B3864" s="223" t="s">
        <v>200</v>
      </c>
      <c r="C3864" s="223"/>
      <c r="K3864" s="319"/>
      <c r="L3864" s="218"/>
    </row>
    <row r="3865">
      <c r="B3865" s="223" t="s">
        <v>200</v>
      </c>
      <c r="C3865" s="223"/>
      <c r="K3865" s="319"/>
      <c r="L3865" s="218"/>
    </row>
    <row r="3866">
      <c r="B3866" s="223" t="s">
        <v>200</v>
      </c>
      <c r="C3866" s="223"/>
      <c r="K3866" s="319"/>
      <c r="L3866" s="218"/>
    </row>
    <row r="3867">
      <c r="B3867" s="223" t="s">
        <v>200</v>
      </c>
      <c r="C3867" s="223"/>
      <c r="K3867" s="319"/>
      <c r="L3867" s="218"/>
    </row>
    <row r="3868">
      <c r="B3868" s="223" t="s">
        <v>200</v>
      </c>
      <c r="C3868" s="223"/>
      <c r="K3868" s="319"/>
      <c r="L3868" s="218"/>
    </row>
    <row r="3869">
      <c r="B3869" s="223" t="s">
        <v>200</v>
      </c>
      <c r="C3869" s="223"/>
      <c r="K3869" s="319"/>
      <c r="L3869" s="218"/>
    </row>
    <row r="3870">
      <c r="B3870" s="223" t="s">
        <v>200</v>
      </c>
      <c r="C3870" s="223"/>
      <c r="K3870" s="319"/>
      <c r="L3870" s="218"/>
    </row>
    <row r="3871">
      <c r="B3871" s="223" t="s">
        <v>200</v>
      </c>
      <c r="C3871" s="223"/>
      <c r="K3871" s="319"/>
      <c r="L3871" s="218"/>
    </row>
    <row r="3872">
      <c r="B3872" s="223" t="s">
        <v>200</v>
      </c>
      <c r="C3872" s="223"/>
      <c r="K3872" s="319"/>
      <c r="L3872" s="218"/>
    </row>
    <row r="3873">
      <c r="B3873" s="223" t="s">
        <v>200</v>
      </c>
      <c r="C3873" s="223"/>
      <c r="K3873" s="319"/>
      <c r="L3873" s="218"/>
    </row>
    <row r="3874">
      <c r="B3874" s="223" t="s">
        <v>200</v>
      </c>
      <c r="C3874" s="223"/>
      <c r="K3874" s="319"/>
      <c r="L3874" s="218"/>
    </row>
    <row r="3875">
      <c r="B3875" s="223" t="s">
        <v>200</v>
      </c>
      <c r="C3875" s="223"/>
      <c r="K3875" s="319"/>
      <c r="L3875" s="218"/>
    </row>
    <row r="3876">
      <c r="B3876" s="223" t="s">
        <v>200</v>
      </c>
      <c r="C3876" s="223"/>
      <c r="K3876" s="319"/>
      <c r="L3876" s="218"/>
    </row>
    <row r="3877">
      <c r="B3877" s="223" t="s">
        <v>200</v>
      </c>
      <c r="C3877" s="223"/>
      <c r="K3877" s="319"/>
      <c r="L3877" s="218"/>
    </row>
    <row r="3878">
      <c r="B3878" s="223" t="s">
        <v>200</v>
      </c>
      <c r="C3878" s="223"/>
      <c r="K3878" s="319"/>
      <c r="L3878" s="218"/>
    </row>
    <row r="3879">
      <c r="B3879" s="223" t="s">
        <v>200</v>
      </c>
      <c r="C3879" s="223"/>
      <c r="K3879" s="319"/>
      <c r="L3879" s="218"/>
    </row>
    <row r="3880">
      <c r="B3880" s="223" t="s">
        <v>200</v>
      </c>
      <c r="C3880" s="223"/>
      <c r="K3880" s="319"/>
      <c r="L3880" s="218"/>
    </row>
    <row r="3881">
      <c r="B3881" s="223" t="s">
        <v>200</v>
      </c>
      <c r="C3881" s="223"/>
      <c r="K3881" s="319"/>
      <c r="L3881" s="218"/>
    </row>
    <row r="3882">
      <c r="B3882" s="223" t="s">
        <v>200</v>
      </c>
      <c r="C3882" s="223"/>
      <c r="K3882" s="319"/>
      <c r="L3882" s="218"/>
    </row>
    <row r="3883">
      <c r="B3883" s="223" t="s">
        <v>200</v>
      </c>
      <c r="C3883" s="223"/>
      <c r="K3883" s="319"/>
      <c r="L3883" s="218"/>
    </row>
    <row r="3884">
      <c r="B3884" s="223" t="s">
        <v>200</v>
      </c>
      <c r="C3884" s="223"/>
      <c r="K3884" s="319"/>
      <c r="L3884" s="218"/>
    </row>
    <row r="3885">
      <c r="B3885" s="223" t="s">
        <v>200</v>
      </c>
      <c r="C3885" s="223"/>
      <c r="K3885" s="319"/>
      <c r="L3885" s="218"/>
    </row>
    <row r="3886">
      <c r="B3886" s="223" t="s">
        <v>200</v>
      </c>
      <c r="C3886" s="223"/>
      <c r="K3886" s="319"/>
      <c r="L3886" s="218"/>
    </row>
    <row r="3887">
      <c r="B3887" s="223" t="s">
        <v>200</v>
      </c>
      <c r="C3887" s="223"/>
      <c r="K3887" s="319"/>
      <c r="L3887" s="218"/>
    </row>
    <row r="3888">
      <c r="B3888" s="223" t="s">
        <v>200</v>
      </c>
      <c r="C3888" s="223"/>
      <c r="K3888" s="319"/>
      <c r="L3888" s="218"/>
    </row>
    <row r="3889">
      <c r="B3889" s="223" t="s">
        <v>200</v>
      </c>
      <c r="C3889" s="223"/>
      <c r="K3889" s="319"/>
      <c r="L3889" s="218"/>
    </row>
    <row r="3890">
      <c r="B3890" s="223" t="s">
        <v>200</v>
      </c>
      <c r="C3890" s="223"/>
      <c r="K3890" s="319"/>
      <c r="L3890" s="218"/>
    </row>
    <row r="3891">
      <c r="B3891" s="223" t="s">
        <v>200</v>
      </c>
      <c r="C3891" s="223"/>
      <c r="K3891" s="319"/>
      <c r="L3891" s="218"/>
    </row>
    <row r="3892">
      <c r="B3892" s="223" t="s">
        <v>200</v>
      </c>
      <c r="C3892" s="223"/>
      <c r="K3892" s="319"/>
      <c r="L3892" s="218"/>
    </row>
    <row r="3893">
      <c r="B3893" s="223" t="s">
        <v>200</v>
      </c>
      <c r="C3893" s="223"/>
      <c r="K3893" s="319"/>
      <c r="L3893" s="218"/>
    </row>
    <row r="3894">
      <c r="B3894" s="223" t="s">
        <v>200</v>
      </c>
      <c r="C3894" s="223"/>
      <c r="K3894" s="319"/>
      <c r="L3894" s="218"/>
    </row>
    <row r="3895">
      <c r="B3895" s="223" t="s">
        <v>200</v>
      </c>
      <c r="C3895" s="223"/>
      <c r="K3895" s="319"/>
      <c r="L3895" s="218"/>
    </row>
    <row r="3896">
      <c r="B3896" s="223" t="s">
        <v>200</v>
      </c>
      <c r="C3896" s="223"/>
      <c r="K3896" s="319"/>
      <c r="L3896" s="218"/>
    </row>
    <row r="3897">
      <c r="B3897" s="223" t="s">
        <v>200</v>
      </c>
      <c r="C3897" s="223"/>
      <c r="K3897" s="319"/>
      <c r="L3897" s="218"/>
    </row>
    <row r="3898">
      <c r="B3898" s="223" t="s">
        <v>200</v>
      </c>
      <c r="C3898" s="223"/>
      <c r="K3898" s="319"/>
      <c r="L3898" s="218"/>
    </row>
    <row r="3899">
      <c r="B3899" s="223" t="s">
        <v>200</v>
      </c>
      <c r="C3899" s="223"/>
      <c r="K3899" s="319"/>
      <c r="L3899" s="218"/>
    </row>
    <row r="3900">
      <c r="B3900" s="223" t="s">
        <v>200</v>
      </c>
      <c r="C3900" s="223"/>
      <c r="K3900" s="319"/>
      <c r="L3900" s="218"/>
    </row>
    <row r="3901">
      <c r="B3901" s="223" t="s">
        <v>200</v>
      </c>
      <c r="C3901" s="223"/>
      <c r="K3901" s="319"/>
      <c r="L3901" s="218"/>
    </row>
    <row r="3902">
      <c r="B3902" s="223" t="s">
        <v>200</v>
      </c>
      <c r="C3902" s="223"/>
      <c r="K3902" s="319"/>
      <c r="L3902" s="218"/>
    </row>
    <row r="3903">
      <c r="B3903" s="223" t="s">
        <v>200</v>
      </c>
      <c r="C3903" s="223"/>
      <c r="K3903" s="319"/>
      <c r="L3903" s="218"/>
    </row>
    <row r="3904">
      <c r="B3904" s="223" t="s">
        <v>200</v>
      </c>
      <c r="C3904" s="223"/>
      <c r="K3904" s="319"/>
      <c r="L3904" s="218"/>
    </row>
    <row r="3905">
      <c r="B3905" s="223" t="s">
        <v>200</v>
      </c>
      <c r="C3905" s="223"/>
      <c r="K3905" s="319"/>
      <c r="L3905" s="218"/>
    </row>
    <row r="3906">
      <c r="B3906" s="223" t="s">
        <v>200</v>
      </c>
      <c r="C3906" s="223"/>
      <c r="K3906" s="319"/>
      <c r="L3906" s="218"/>
    </row>
    <row r="3907">
      <c r="B3907" s="223" t="s">
        <v>200</v>
      </c>
      <c r="C3907" s="223"/>
      <c r="K3907" s="319"/>
      <c r="L3907" s="218"/>
    </row>
    <row r="3908">
      <c r="B3908" s="223" t="s">
        <v>200</v>
      </c>
      <c r="C3908" s="223"/>
      <c r="K3908" s="319"/>
      <c r="L3908" s="218"/>
    </row>
    <row r="3909">
      <c r="B3909" s="223" t="s">
        <v>200</v>
      </c>
      <c r="C3909" s="223"/>
      <c r="K3909" s="319"/>
      <c r="L3909" s="218"/>
    </row>
    <row r="3910">
      <c r="B3910" s="223" t="s">
        <v>200</v>
      </c>
      <c r="C3910" s="223"/>
      <c r="K3910" s="319"/>
      <c r="L3910" s="218"/>
    </row>
    <row r="3911">
      <c r="B3911" s="223" t="s">
        <v>200</v>
      </c>
      <c r="C3911" s="223"/>
      <c r="K3911" s="319"/>
      <c r="L3911" s="218"/>
    </row>
    <row r="3912">
      <c r="B3912" s="223" t="s">
        <v>200</v>
      </c>
      <c r="C3912" s="223"/>
      <c r="K3912" s="319"/>
      <c r="L3912" s="218"/>
    </row>
    <row r="3913">
      <c r="B3913" s="223" t="s">
        <v>200</v>
      </c>
      <c r="C3913" s="223"/>
      <c r="K3913" s="319"/>
      <c r="L3913" s="218"/>
    </row>
    <row r="3914">
      <c r="B3914" s="223" t="s">
        <v>200</v>
      </c>
      <c r="C3914" s="223"/>
      <c r="K3914" s="319"/>
      <c r="L3914" s="218"/>
    </row>
    <row r="3915">
      <c r="B3915" s="223" t="s">
        <v>200</v>
      </c>
      <c r="C3915" s="223"/>
      <c r="K3915" s="319"/>
      <c r="L3915" s="218"/>
    </row>
    <row r="3916">
      <c r="B3916" s="223" t="s">
        <v>200</v>
      </c>
      <c r="C3916" s="223"/>
      <c r="K3916" s="319"/>
      <c r="L3916" s="218"/>
    </row>
    <row r="3917">
      <c r="B3917" s="223" t="s">
        <v>200</v>
      </c>
      <c r="C3917" s="223"/>
      <c r="K3917" s="319"/>
      <c r="L3917" s="218"/>
    </row>
    <row r="3918">
      <c r="B3918" s="223" t="s">
        <v>200</v>
      </c>
      <c r="C3918" s="223"/>
      <c r="K3918" s="319"/>
      <c r="L3918" s="218"/>
    </row>
    <row r="3919">
      <c r="B3919" s="223" t="s">
        <v>200</v>
      </c>
      <c r="C3919" s="223"/>
      <c r="K3919" s="319"/>
      <c r="L3919" s="218"/>
    </row>
    <row r="3920">
      <c r="B3920" s="223" t="s">
        <v>200</v>
      </c>
      <c r="C3920" s="223"/>
      <c r="K3920" s="319"/>
      <c r="L3920" s="218"/>
    </row>
    <row r="3921">
      <c r="B3921" s="223" t="s">
        <v>200</v>
      </c>
      <c r="C3921" s="223"/>
      <c r="K3921" s="319"/>
      <c r="L3921" s="218"/>
    </row>
    <row r="3922">
      <c r="B3922" s="223" t="s">
        <v>200</v>
      </c>
      <c r="C3922" s="223"/>
      <c r="K3922" s="319"/>
      <c r="L3922" s="218"/>
    </row>
    <row r="3923">
      <c r="B3923" s="223" t="s">
        <v>200</v>
      </c>
      <c r="C3923" s="223"/>
      <c r="K3923" s="319"/>
      <c r="L3923" s="218"/>
    </row>
    <row r="3924">
      <c r="B3924" s="223" t="s">
        <v>200</v>
      </c>
      <c r="C3924" s="223"/>
      <c r="K3924" s="319"/>
      <c r="L3924" s="218"/>
    </row>
    <row r="3925">
      <c r="B3925" s="223" t="s">
        <v>200</v>
      </c>
      <c r="C3925" s="223"/>
      <c r="K3925" s="319"/>
      <c r="L3925" s="218"/>
    </row>
    <row r="3926">
      <c r="B3926" s="223" t="s">
        <v>200</v>
      </c>
      <c r="C3926" s="223"/>
      <c r="K3926" s="319"/>
      <c r="L3926" s="218"/>
    </row>
    <row r="3927">
      <c r="B3927" s="223" t="s">
        <v>200</v>
      </c>
      <c r="C3927" s="223"/>
      <c r="K3927" s="319"/>
      <c r="L3927" s="218"/>
    </row>
    <row r="3928">
      <c r="B3928" s="223" t="s">
        <v>200</v>
      </c>
      <c r="C3928" s="223"/>
      <c r="K3928" s="319"/>
      <c r="L3928" s="218"/>
    </row>
    <row r="3929">
      <c r="B3929" s="223" t="s">
        <v>200</v>
      </c>
      <c r="C3929" s="223"/>
      <c r="K3929" s="319"/>
      <c r="L3929" s="218"/>
    </row>
    <row r="3930">
      <c r="B3930" s="223" t="s">
        <v>200</v>
      </c>
      <c r="C3930" s="223"/>
      <c r="K3930" s="319"/>
      <c r="L3930" s="218"/>
    </row>
    <row r="3931">
      <c r="B3931" s="223" t="s">
        <v>200</v>
      </c>
      <c r="C3931" s="223"/>
      <c r="K3931" s="319"/>
      <c r="L3931" s="218"/>
    </row>
    <row r="3932">
      <c r="B3932" s="223" t="s">
        <v>200</v>
      </c>
      <c r="C3932" s="223"/>
      <c r="K3932" s="319"/>
      <c r="L3932" s="218"/>
    </row>
    <row r="3933">
      <c r="B3933" s="223" t="s">
        <v>200</v>
      </c>
      <c r="C3933" s="223"/>
      <c r="K3933" s="319"/>
      <c r="L3933" s="218"/>
    </row>
    <row r="3934">
      <c r="B3934" s="223" t="s">
        <v>200</v>
      </c>
      <c r="C3934" s="223"/>
      <c r="K3934" s="319"/>
      <c r="L3934" s="218"/>
    </row>
    <row r="3935">
      <c r="B3935" s="223" t="s">
        <v>200</v>
      </c>
      <c r="C3935" s="223"/>
      <c r="K3935" s="319"/>
      <c r="L3935" s="218"/>
    </row>
    <row r="3936">
      <c r="B3936" s="223" t="s">
        <v>200</v>
      </c>
      <c r="C3936" s="223"/>
      <c r="K3936" s="319"/>
      <c r="L3936" s="218"/>
    </row>
    <row r="3937">
      <c r="B3937" s="223" t="s">
        <v>200</v>
      </c>
      <c r="C3937" s="223"/>
      <c r="K3937" s="319"/>
      <c r="L3937" s="218"/>
    </row>
    <row r="3938">
      <c r="B3938" s="223" t="s">
        <v>200</v>
      </c>
      <c r="C3938" s="223"/>
      <c r="K3938" s="319"/>
      <c r="L3938" s="218"/>
    </row>
    <row r="3939">
      <c r="B3939" s="223" t="s">
        <v>200</v>
      </c>
      <c r="C3939" s="223"/>
      <c r="K3939" s="319"/>
      <c r="L3939" s="218"/>
    </row>
    <row r="3940">
      <c r="B3940" s="223" t="s">
        <v>200</v>
      </c>
      <c r="C3940" s="223"/>
      <c r="K3940" s="319"/>
      <c r="L3940" s="218"/>
    </row>
    <row r="3941">
      <c r="B3941" s="223" t="s">
        <v>200</v>
      </c>
      <c r="C3941" s="223"/>
      <c r="K3941" s="319"/>
      <c r="L3941" s="218"/>
    </row>
    <row r="3942">
      <c r="B3942" s="223" t="s">
        <v>200</v>
      </c>
      <c r="C3942" s="223"/>
      <c r="K3942" s="319"/>
      <c r="L3942" s="218"/>
    </row>
    <row r="3943">
      <c r="B3943" s="223" t="s">
        <v>200</v>
      </c>
      <c r="C3943" s="223"/>
      <c r="K3943" s="319"/>
      <c r="L3943" s="218"/>
    </row>
    <row r="3944">
      <c r="B3944" s="223" t="s">
        <v>200</v>
      </c>
      <c r="C3944" s="223"/>
      <c r="K3944" s="319"/>
      <c r="L3944" s="218"/>
    </row>
    <row r="3945">
      <c r="B3945" s="223" t="s">
        <v>200</v>
      </c>
      <c r="C3945" s="223"/>
      <c r="K3945" s="319"/>
      <c r="L3945" s="218"/>
    </row>
    <row r="3946">
      <c r="B3946" s="223" t="s">
        <v>200</v>
      </c>
      <c r="C3946" s="223"/>
      <c r="K3946" s="319"/>
      <c r="L3946" s="218"/>
    </row>
    <row r="3947">
      <c r="B3947" s="223" t="s">
        <v>200</v>
      </c>
      <c r="C3947" s="223"/>
      <c r="K3947" s="319"/>
      <c r="L3947" s="218"/>
    </row>
    <row r="3948">
      <c r="B3948" s="223" t="s">
        <v>200</v>
      </c>
      <c r="C3948" s="223"/>
      <c r="K3948" s="319"/>
      <c r="L3948" s="218"/>
    </row>
    <row r="3949">
      <c r="B3949" s="223" t="s">
        <v>200</v>
      </c>
      <c r="C3949" s="223"/>
      <c r="K3949" s="319"/>
      <c r="L3949" s="218"/>
    </row>
    <row r="3950">
      <c r="B3950" s="223" t="s">
        <v>200</v>
      </c>
      <c r="C3950" s="223"/>
      <c r="K3950" s="319"/>
      <c r="L3950" s="218"/>
    </row>
    <row r="3951">
      <c r="B3951" s="223" t="s">
        <v>200</v>
      </c>
      <c r="C3951" s="223"/>
      <c r="K3951" s="319"/>
      <c r="L3951" s="218"/>
    </row>
    <row r="3952">
      <c r="B3952" s="223" t="s">
        <v>200</v>
      </c>
      <c r="C3952" s="223"/>
      <c r="K3952" s="319"/>
      <c r="L3952" s="218"/>
    </row>
    <row r="3953">
      <c r="B3953" s="223" t="s">
        <v>200</v>
      </c>
      <c r="C3953" s="223"/>
      <c r="K3953" s="319"/>
      <c r="L3953" s="218"/>
    </row>
    <row r="3954">
      <c r="B3954" s="223" t="s">
        <v>200</v>
      </c>
      <c r="C3954" s="223"/>
      <c r="K3954" s="319"/>
      <c r="L3954" s="218"/>
    </row>
    <row r="3955">
      <c r="B3955" s="223" t="s">
        <v>200</v>
      </c>
      <c r="C3955" s="223"/>
      <c r="K3955" s="319"/>
      <c r="L3955" s="218"/>
    </row>
    <row r="3956">
      <c r="B3956" s="223" t="s">
        <v>200</v>
      </c>
      <c r="C3956" s="223"/>
      <c r="K3956" s="319"/>
      <c r="L3956" s="218"/>
    </row>
    <row r="3957">
      <c r="B3957" s="223" t="s">
        <v>200</v>
      </c>
      <c r="C3957" s="223"/>
      <c r="K3957" s="319"/>
      <c r="L3957" s="218"/>
    </row>
    <row r="3958">
      <c r="B3958" s="223" t="s">
        <v>200</v>
      </c>
      <c r="C3958" s="223"/>
      <c r="K3958" s="319"/>
      <c r="L3958" s="218"/>
    </row>
    <row r="3959">
      <c r="B3959" s="223" t="s">
        <v>200</v>
      </c>
      <c r="C3959" s="223"/>
      <c r="K3959" s="319"/>
      <c r="L3959" s="218"/>
    </row>
    <row r="3960">
      <c r="B3960" s="223" t="s">
        <v>200</v>
      </c>
      <c r="C3960" s="223"/>
      <c r="K3960" s="319"/>
      <c r="L3960" s="218"/>
    </row>
    <row r="3961">
      <c r="B3961" s="223" t="s">
        <v>200</v>
      </c>
      <c r="C3961" s="223"/>
      <c r="K3961" s="319"/>
      <c r="L3961" s="218"/>
    </row>
    <row r="3962">
      <c r="B3962" s="223" t="s">
        <v>200</v>
      </c>
      <c r="C3962" s="223"/>
      <c r="K3962" s="319"/>
      <c r="L3962" s="218"/>
    </row>
    <row r="3963">
      <c r="B3963" s="223" t="s">
        <v>200</v>
      </c>
      <c r="C3963" s="223"/>
      <c r="K3963" s="319"/>
      <c r="L3963" s="218"/>
    </row>
    <row r="3964">
      <c r="B3964" s="223" t="s">
        <v>200</v>
      </c>
      <c r="C3964" s="223"/>
      <c r="K3964" s="319"/>
      <c r="L3964" s="218"/>
    </row>
    <row r="3965">
      <c r="B3965" s="223" t="s">
        <v>200</v>
      </c>
      <c r="C3965" s="223"/>
      <c r="K3965" s="319"/>
      <c r="L3965" s="218"/>
    </row>
    <row r="3966">
      <c r="B3966" s="223" t="s">
        <v>200</v>
      </c>
      <c r="C3966" s="223"/>
      <c r="K3966" s="319"/>
      <c r="L3966" s="218"/>
    </row>
    <row r="3967">
      <c r="B3967" s="223" t="s">
        <v>200</v>
      </c>
      <c r="C3967" s="223"/>
      <c r="K3967" s="319"/>
      <c r="L3967" s="218"/>
    </row>
    <row r="3968">
      <c r="B3968" s="223" t="s">
        <v>200</v>
      </c>
      <c r="C3968" s="223"/>
      <c r="K3968" s="319"/>
      <c r="L3968" s="218"/>
    </row>
    <row r="3969">
      <c r="B3969" s="223" t="s">
        <v>200</v>
      </c>
      <c r="C3969" s="223"/>
      <c r="K3969" s="319"/>
      <c r="L3969" s="218"/>
    </row>
    <row r="3970">
      <c r="B3970" s="223" t="s">
        <v>200</v>
      </c>
      <c r="C3970" s="223"/>
      <c r="K3970" s="319"/>
      <c r="L3970" s="218"/>
    </row>
    <row r="3971">
      <c r="B3971" s="223" t="s">
        <v>200</v>
      </c>
      <c r="C3971" s="223"/>
      <c r="K3971" s="319"/>
      <c r="L3971" s="218"/>
    </row>
    <row r="3972">
      <c r="B3972" s="223" t="s">
        <v>200</v>
      </c>
      <c r="C3972" s="223"/>
      <c r="K3972" s="319"/>
      <c r="L3972" s="218"/>
    </row>
    <row r="3973">
      <c r="B3973" s="223" t="s">
        <v>200</v>
      </c>
      <c r="C3973" s="223"/>
      <c r="K3973" s="319"/>
      <c r="L3973" s="218"/>
    </row>
    <row r="3974">
      <c r="B3974" s="223" t="s">
        <v>200</v>
      </c>
      <c r="C3974" s="223"/>
      <c r="K3974" s="319"/>
      <c r="L3974" s="218"/>
    </row>
    <row r="3975">
      <c r="B3975" s="223" t="s">
        <v>200</v>
      </c>
      <c r="C3975" s="223"/>
      <c r="K3975" s="319"/>
      <c r="L3975" s="218"/>
    </row>
    <row r="3976">
      <c r="B3976" s="223" t="s">
        <v>200</v>
      </c>
      <c r="C3976" s="223"/>
      <c r="K3976" s="319"/>
      <c r="L3976" s="218"/>
    </row>
    <row r="3977">
      <c r="B3977" s="223" t="s">
        <v>200</v>
      </c>
      <c r="C3977" s="223"/>
      <c r="K3977" s="319"/>
      <c r="L3977" s="218"/>
    </row>
    <row r="3978">
      <c r="B3978" s="223" t="s">
        <v>200</v>
      </c>
      <c r="C3978" s="223"/>
      <c r="K3978" s="319"/>
      <c r="L3978" s="218"/>
    </row>
    <row r="3979">
      <c r="B3979" s="223" t="s">
        <v>200</v>
      </c>
      <c r="C3979" s="223"/>
      <c r="K3979" s="319"/>
      <c r="L3979" s="218"/>
    </row>
    <row r="3980">
      <c r="B3980" s="223" t="s">
        <v>200</v>
      </c>
      <c r="C3980" s="223"/>
      <c r="K3980" s="319"/>
      <c r="L3980" s="218"/>
    </row>
    <row r="3981">
      <c r="B3981" s="223" t="s">
        <v>200</v>
      </c>
      <c r="C3981" s="223"/>
      <c r="K3981" s="319"/>
      <c r="L3981" s="218"/>
    </row>
    <row r="3982">
      <c r="B3982" s="223" t="s">
        <v>200</v>
      </c>
      <c r="C3982" s="223"/>
      <c r="K3982" s="319"/>
      <c r="L3982" s="218"/>
    </row>
    <row r="3983">
      <c r="B3983" s="223" t="s">
        <v>200</v>
      </c>
      <c r="C3983" s="223"/>
      <c r="K3983" s="319"/>
      <c r="L3983" s="218"/>
    </row>
    <row r="3984">
      <c r="B3984" s="223" t="s">
        <v>200</v>
      </c>
      <c r="C3984" s="223"/>
      <c r="K3984" s="319"/>
      <c r="L3984" s="218"/>
    </row>
    <row r="3985">
      <c r="B3985" s="223" t="s">
        <v>200</v>
      </c>
      <c r="C3985" s="223"/>
      <c r="K3985" s="319"/>
      <c r="L3985" s="218"/>
    </row>
    <row r="3986">
      <c r="B3986" s="223" t="s">
        <v>200</v>
      </c>
      <c r="C3986" s="223"/>
      <c r="K3986" s="319"/>
      <c r="L3986" s="218"/>
    </row>
    <row r="3987">
      <c r="B3987" s="223" t="s">
        <v>200</v>
      </c>
      <c r="C3987" s="223"/>
      <c r="K3987" s="319"/>
      <c r="L3987" s="218"/>
    </row>
    <row r="3988">
      <c r="B3988" s="223" t="s">
        <v>200</v>
      </c>
      <c r="C3988" s="223"/>
      <c r="K3988" s="319"/>
      <c r="L3988" s="218"/>
    </row>
    <row r="3989">
      <c r="B3989" s="223" t="s">
        <v>200</v>
      </c>
      <c r="C3989" s="223"/>
      <c r="K3989" s="319"/>
      <c r="L3989" s="218"/>
    </row>
    <row r="3990">
      <c r="B3990" s="223" t="s">
        <v>200</v>
      </c>
      <c r="C3990" s="223"/>
      <c r="K3990" s="319"/>
      <c r="L3990" s="218"/>
    </row>
    <row r="3991">
      <c r="B3991" s="223" t="s">
        <v>200</v>
      </c>
      <c r="C3991" s="223"/>
      <c r="K3991" s="319"/>
      <c r="L3991" s="218"/>
    </row>
    <row r="3992">
      <c r="B3992" s="223" t="s">
        <v>200</v>
      </c>
      <c r="C3992" s="223"/>
      <c r="K3992" s="319"/>
      <c r="L3992" s="218"/>
    </row>
    <row r="3993">
      <c r="B3993" s="223" t="s">
        <v>200</v>
      </c>
      <c r="C3993" s="223"/>
      <c r="K3993" s="319"/>
      <c r="L3993" s="218"/>
    </row>
    <row r="3994">
      <c r="B3994" s="223" t="s">
        <v>200</v>
      </c>
      <c r="C3994" s="223"/>
      <c r="K3994" s="319"/>
      <c r="L3994" s="218"/>
    </row>
    <row r="3995">
      <c r="B3995" s="223" t="s">
        <v>200</v>
      </c>
      <c r="C3995" s="223"/>
      <c r="K3995" s="319"/>
      <c r="L3995" s="218"/>
    </row>
    <row r="3996">
      <c r="B3996" s="223" t="s">
        <v>200</v>
      </c>
      <c r="C3996" s="223"/>
      <c r="K3996" s="319"/>
      <c r="L3996" s="218"/>
    </row>
    <row r="3997">
      <c r="B3997" s="223" t="s">
        <v>200</v>
      </c>
      <c r="C3997" s="223"/>
      <c r="K3997" s="319"/>
      <c r="L3997" s="218"/>
    </row>
    <row r="3998">
      <c r="B3998" s="223" t="s">
        <v>200</v>
      </c>
      <c r="C3998" s="223"/>
      <c r="K3998" s="319"/>
      <c r="L3998" s="218"/>
    </row>
    <row r="3999">
      <c r="B3999" s="223" t="s">
        <v>200</v>
      </c>
      <c r="C3999" s="223"/>
      <c r="K3999" s="319"/>
      <c r="L3999" s="218"/>
    </row>
    <row r="4000">
      <c r="B4000" s="223" t="s">
        <v>200</v>
      </c>
      <c r="C4000" s="223"/>
      <c r="K4000" s="319"/>
      <c r="L4000" s="218"/>
    </row>
    <row r="4001">
      <c r="B4001" s="223" t="s">
        <v>200</v>
      </c>
      <c r="C4001" s="223"/>
      <c r="K4001" s="319"/>
      <c r="L4001" s="218"/>
    </row>
    <row r="4002">
      <c r="B4002" s="223" t="s">
        <v>200</v>
      </c>
      <c r="C4002" s="223"/>
      <c r="K4002" s="319"/>
      <c r="L4002" s="218"/>
    </row>
    <row r="4003">
      <c r="B4003" s="223" t="s">
        <v>200</v>
      </c>
      <c r="C4003" s="223"/>
      <c r="K4003" s="319"/>
      <c r="L4003" s="218"/>
    </row>
    <row r="4004">
      <c r="B4004" s="223" t="s">
        <v>200</v>
      </c>
      <c r="C4004" s="223"/>
      <c r="K4004" s="319"/>
      <c r="L4004" s="218"/>
    </row>
    <row r="4005">
      <c r="B4005" s="223" t="s">
        <v>200</v>
      </c>
      <c r="C4005" s="223"/>
      <c r="K4005" s="319"/>
      <c r="L4005" s="218"/>
    </row>
    <row r="4006">
      <c r="B4006" s="223" t="s">
        <v>200</v>
      </c>
      <c r="C4006" s="223"/>
      <c r="K4006" s="319"/>
      <c r="L4006" s="218"/>
    </row>
    <row r="4007">
      <c r="B4007" s="223" t="s">
        <v>200</v>
      </c>
      <c r="C4007" s="223"/>
      <c r="K4007" s="319"/>
      <c r="L4007" s="218"/>
    </row>
    <row r="4008">
      <c r="B4008" s="223" t="s">
        <v>200</v>
      </c>
      <c r="C4008" s="223"/>
      <c r="K4008" s="319"/>
      <c r="L4008" s="218"/>
    </row>
    <row r="4009">
      <c r="B4009" s="223" t="s">
        <v>200</v>
      </c>
      <c r="C4009" s="223"/>
      <c r="K4009" s="319"/>
      <c r="L4009" s="218"/>
    </row>
    <row r="4010">
      <c r="B4010" s="223" t="s">
        <v>200</v>
      </c>
      <c r="C4010" s="223"/>
      <c r="K4010" s="319"/>
      <c r="L4010" s="218"/>
    </row>
    <row r="4011">
      <c r="B4011" s="223" t="s">
        <v>200</v>
      </c>
      <c r="C4011" s="223"/>
      <c r="K4011" s="319"/>
      <c r="L4011" s="218"/>
    </row>
    <row r="4012">
      <c r="B4012" s="223" t="s">
        <v>200</v>
      </c>
      <c r="C4012" s="223"/>
      <c r="K4012" s="319"/>
      <c r="L4012" s="218"/>
    </row>
    <row r="4013">
      <c r="B4013" s="223" t="s">
        <v>200</v>
      </c>
      <c r="C4013" s="223"/>
      <c r="K4013" s="319"/>
      <c r="L4013" s="218"/>
    </row>
    <row r="4014">
      <c r="B4014" s="223" t="s">
        <v>200</v>
      </c>
      <c r="C4014" s="223"/>
      <c r="K4014" s="319"/>
      <c r="L4014" s="218"/>
    </row>
    <row r="4015">
      <c r="B4015" s="223" t="s">
        <v>200</v>
      </c>
      <c r="C4015" s="223"/>
      <c r="K4015" s="319"/>
      <c r="L4015" s="218"/>
    </row>
    <row r="4016">
      <c r="B4016" s="223" t="s">
        <v>200</v>
      </c>
      <c r="C4016" s="223"/>
      <c r="K4016" s="319"/>
      <c r="L4016" s="218"/>
    </row>
    <row r="4017">
      <c r="B4017" s="223" t="s">
        <v>200</v>
      </c>
      <c r="C4017" s="223"/>
      <c r="K4017" s="319"/>
      <c r="L4017" s="218"/>
    </row>
    <row r="4018">
      <c r="B4018" s="223" t="s">
        <v>200</v>
      </c>
      <c r="C4018" s="223"/>
      <c r="K4018" s="319"/>
      <c r="L4018" s="218"/>
    </row>
    <row r="4019">
      <c r="B4019" s="223" t="s">
        <v>200</v>
      </c>
      <c r="C4019" s="223"/>
      <c r="K4019" s="319"/>
      <c r="L4019" s="218"/>
    </row>
    <row r="4020">
      <c r="B4020" s="223" t="s">
        <v>200</v>
      </c>
      <c r="C4020" s="223"/>
      <c r="K4020" s="319"/>
      <c r="L4020" s="218"/>
    </row>
    <row r="4021">
      <c r="B4021" s="223" t="s">
        <v>200</v>
      </c>
      <c r="C4021" s="223"/>
      <c r="K4021" s="319"/>
      <c r="L4021" s="218"/>
    </row>
    <row r="4022">
      <c r="B4022" s="223" t="s">
        <v>200</v>
      </c>
      <c r="C4022" s="223"/>
      <c r="K4022" s="319"/>
      <c r="L4022" s="218"/>
    </row>
    <row r="4023">
      <c r="B4023" s="223" t="s">
        <v>200</v>
      </c>
      <c r="C4023" s="223"/>
      <c r="K4023" s="319"/>
      <c r="L4023" s="218"/>
    </row>
    <row r="4024">
      <c r="B4024" s="223" t="s">
        <v>200</v>
      </c>
      <c r="C4024" s="223"/>
      <c r="K4024" s="319"/>
      <c r="L4024" s="218"/>
    </row>
    <row r="4025">
      <c r="B4025" s="223" t="s">
        <v>200</v>
      </c>
      <c r="C4025" s="223"/>
      <c r="K4025" s="319"/>
      <c r="L4025" s="218"/>
    </row>
    <row r="4026">
      <c r="B4026" s="223" t="s">
        <v>200</v>
      </c>
      <c r="C4026" s="223"/>
      <c r="K4026" s="319"/>
      <c r="L4026" s="218"/>
    </row>
    <row r="4027">
      <c r="B4027" s="223" t="s">
        <v>200</v>
      </c>
      <c r="C4027" s="223"/>
      <c r="K4027" s="319"/>
      <c r="L4027" s="218"/>
    </row>
    <row r="4028">
      <c r="B4028" s="223" t="s">
        <v>200</v>
      </c>
      <c r="C4028" s="223"/>
      <c r="K4028" s="319"/>
      <c r="L4028" s="218"/>
    </row>
    <row r="4029">
      <c r="B4029" s="223" t="s">
        <v>200</v>
      </c>
      <c r="C4029" s="223"/>
      <c r="K4029" s="319"/>
      <c r="L4029" s="218"/>
    </row>
    <row r="4030">
      <c r="B4030" s="223" t="s">
        <v>200</v>
      </c>
      <c r="C4030" s="223"/>
      <c r="K4030" s="319"/>
      <c r="L4030" s="218"/>
    </row>
    <row r="4031">
      <c r="B4031" s="223" t="s">
        <v>200</v>
      </c>
      <c r="C4031" s="223"/>
      <c r="K4031" s="319"/>
      <c r="L4031" s="218"/>
    </row>
    <row r="4032">
      <c r="B4032" s="223" t="s">
        <v>200</v>
      </c>
      <c r="C4032" s="223"/>
      <c r="K4032" s="319"/>
      <c r="L4032" s="218"/>
    </row>
    <row r="4033">
      <c r="B4033" s="223" t="s">
        <v>200</v>
      </c>
      <c r="C4033" s="223"/>
      <c r="K4033" s="319"/>
      <c r="L4033" s="218"/>
    </row>
    <row r="4034">
      <c r="B4034" s="223" t="s">
        <v>200</v>
      </c>
      <c r="C4034" s="223"/>
      <c r="K4034" s="319"/>
      <c r="L4034" s="218"/>
    </row>
    <row r="4035">
      <c r="B4035" s="223" t="s">
        <v>200</v>
      </c>
      <c r="C4035" s="223"/>
      <c r="K4035" s="319"/>
      <c r="L4035" s="218"/>
    </row>
    <row r="4036">
      <c r="B4036" s="223" t="s">
        <v>200</v>
      </c>
      <c r="C4036" s="223"/>
      <c r="K4036" s="319"/>
      <c r="L4036" s="218"/>
    </row>
    <row r="4037">
      <c r="B4037" s="223" t="s">
        <v>200</v>
      </c>
      <c r="C4037" s="223"/>
      <c r="K4037" s="319"/>
      <c r="L4037" s="218"/>
    </row>
    <row r="4038">
      <c r="B4038" s="223" t="s">
        <v>200</v>
      </c>
      <c r="C4038" s="223"/>
      <c r="K4038" s="319"/>
      <c r="L4038" s="218"/>
    </row>
    <row r="4039">
      <c r="B4039" s="223" t="s">
        <v>200</v>
      </c>
      <c r="C4039" s="223"/>
      <c r="K4039" s="319"/>
      <c r="L4039" s="218"/>
    </row>
    <row r="4040">
      <c r="B4040" s="223" t="s">
        <v>200</v>
      </c>
      <c r="C4040" s="223"/>
      <c r="K4040" s="319"/>
      <c r="L4040" s="218"/>
    </row>
    <row r="4041">
      <c r="B4041" s="223" t="s">
        <v>200</v>
      </c>
      <c r="C4041" s="223"/>
      <c r="K4041" s="319"/>
      <c r="L4041" s="218"/>
    </row>
    <row r="4042">
      <c r="B4042" s="223" t="s">
        <v>200</v>
      </c>
      <c r="C4042" s="223"/>
      <c r="K4042" s="319"/>
      <c r="L4042" s="218"/>
    </row>
    <row r="4043">
      <c r="B4043" s="223" t="s">
        <v>200</v>
      </c>
      <c r="C4043" s="223"/>
      <c r="K4043" s="319"/>
      <c r="L4043" s="218"/>
    </row>
    <row r="4044">
      <c r="B4044" s="223" t="s">
        <v>200</v>
      </c>
      <c r="C4044" s="223"/>
      <c r="K4044" s="319"/>
      <c r="L4044" s="218"/>
    </row>
    <row r="4045">
      <c r="B4045" s="223" t="s">
        <v>200</v>
      </c>
      <c r="C4045" s="223"/>
      <c r="K4045" s="319"/>
      <c r="L4045" s="218"/>
    </row>
    <row r="4046">
      <c r="B4046" s="223" t="s">
        <v>200</v>
      </c>
      <c r="C4046" s="223"/>
      <c r="K4046" s="319"/>
      <c r="L4046" s="218"/>
    </row>
    <row r="4047">
      <c r="B4047" s="223" t="s">
        <v>200</v>
      </c>
      <c r="C4047" s="223"/>
      <c r="K4047" s="319"/>
      <c r="L4047" s="218"/>
    </row>
    <row r="4048">
      <c r="B4048" s="223" t="s">
        <v>200</v>
      </c>
      <c r="C4048" s="223"/>
      <c r="K4048" s="319"/>
      <c r="L4048" s="218"/>
    </row>
    <row r="4049">
      <c r="B4049" s="223" t="s">
        <v>200</v>
      </c>
      <c r="C4049" s="223"/>
      <c r="K4049" s="319"/>
      <c r="L4049" s="218"/>
    </row>
    <row r="4050">
      <c r="B4050" s="223" t="s">
        <v>200</v>
      </c>
      <c r="C4050" s="223"/>
      <c r="K4050" s="319"/>
      <c r="L4050" s="218"/>
    </row>
    <row r="4051">
      <c r="B4051" s="223" t="s">
        <v>200</v>
      </c>
      <c r="C4051" s="223"/>
      <c r="K4051" s="319"/>
      <c r="L4051" s="218"/>
    </row>
    <row r="4052">
      <c r="B4052" s="223" t="s">
        <v>200</v>
      </c>
      <c r="C4052" s="223"/>
      <c r="K4052" s="319"/>
      <c r="L4052" s="218"/>
    </row>
    <row r="4053">
      <c r="B4053" s="223" t="s">
        <v>200</v>
      </c>
      <c r="C4053" s="223"/>
      <c r="K4053" s="319"/>
      <c r="L4053" s="218"/>
    </row>
    <row r="4054">
      <c r="B4054" s="223" t="s">
        <v>200</v>
      </c>
      <c r="C4054" s="223"/>
      <c r="K4054" s="319"/>
      <c r="L4054" s="218"/>
    </row>
    <row r="4055">
      <c r="B4055" s="223" t="s">
        <v>200</v>
      </c>
      <c r="C4055" s="223"/>
      <c r="K4055" s="319"/>
      <c r="L4055" s="218"/>
    </row>
    <row r="4056">
      <c r="B4056" s="223" t="s">
        <v>200</v>
      </c>
      <c r="C4056" s="223"/>
      <c r="K4056" s="319"/>
      <c r="L4056" s="218"/>
    </row>
    <row r="4057">
      <c r="B4057" s="223" t="s">
        <v>200</v>
      </c>
      <c r="C4057" s="223"/>
      <c r="K4057" s="319"/>
      <c r="L4057" s="218"/>
    </row>
    <row r="4058">
      <c r="B4058" s="223" t="s">
        <v>200</v>
      </c>
      <c r="C4058" s="223"/>
      <c r="K4058" s="319"/>
      <c r="L4058" s="218"/>
    </row>
    <row r="4059">
      <c r="B4059" s="223" t="s">
        <v>200</v>
      </c>
      <c r="C4059" s="223"/>
      <c r="K4059" s="319"/>
      <c r="L4059" s="218"/>
    </row>
    <row r="4060">
      <c r="B4060" s="223" t="s">
        <v>200</v>
      </c>
      <c r="C4060" s="223"/>
      <c r="K4060" s="319"/>
      <c r="L4060" s="218"/>
    </row>
    <row r="4061">
      <c r="B4061" s="223" t="s">
        <v>200</v>
      </c>
      <c r="C4061" s="223"/>
      <c r="K4061" s="319"/>
      <c r="L4061" s="218"/>
    </row>
    <row r="4062">
      <c r="B4062" s="223" t="s">
        <v>200</v>
      </c>
      <c r="C4062" s="223"/>
      <c r="K4062" s="319"/>
      <c r="L4062" s="218"/>
    </row>
    <row r="4063">
      <c r="B4063" s="223" t="s">
        <v>200</v>
      </c>
      <c r="C4063" s="223"/>
      <c r="K4063" s="319"/>
      <c r="L4063" s="218"/>
    </row>
    <row r="4064">
      <c r="B4064" s="223" t="s">
        <v>200</v>
      </c>
      <c r="C4064" s="223"/>
      <c r="K4064" s="319"/>
      <c r="L4064" s="218"/>
    </row>
    <row r="4065">
      <c r="B4065" s="223" t="s">
        <v>200</v>
      </c>
      <c r="C4065" s="223"/>
      <c r="K4065" s="319"/>
      <c r="L4065" s="218"/>
    </row>
    <row r="4066">
      <c r="B4066" s="223" t="s">
        <v>200</v>
      </c>
      <c r="C4066" s="223"/>
      <c r="K4066" s="319"/>
      <c r="L4066" s="218"/>
    </row>
    <row r="4067">
      <c r="B4067" s="223" t="s">
        <v>200</v>
      </c>
      <c r="C4067" s="223"/>
      <c r="K4067" s="319"/>
      <c r="L4067" s="218"/>
    </row>
    <row r="4068">
      <c r="B4068" s="223" t="s">
        <v>200</v>
      </c>
      <c r="C4068" s="223"/>
      <c r="K4068" s="319"/>
      <c r="L4068" s="218"/>
    </row>
    <row r="4069">
      <c r="B4069" s="223" t="s">
        <v>200</v>
      </c>
      <c r="C4069" s="223"/>
      <c r="K4069" s="319"/>
      <c r="L4069" s="218"/>
    </row>
    <row r="4070">
      <c r="B4070" s="223" t="s">
        <v>200</v>
      </c>
      <c r="C4070" s="223"/>
      <c r="K4070" s="319"/>
      <c r="L4070" s="218"/>
    </row>
    <row r="4071">
      <c r="B4071" s="223" t="s">
        <v>200</v>
      </c>
      <c r="C4071" s="223"/>
      <c r="K4071" s="319"/>
      <c r="L4071" s="218"/>
    </row>
    <row r="4072">
      <c r="B4072" s="223" t="s">
        <v>200</v>
      </c>
      <c r="C4072" s="223"/>
      <c r="K4072" s="319"/>
      <c r="L4072" s="218"/>
    </row>
    <row r="4073">
      <c r="B4073" s="223" t="s">
        <v>200</v>
      </c>
      <c r="C4073" s="223"/>
      <c r="K4073" s="319"/>
      <c r="L4073" s="218"/>
    </row>
    <row r="4074">
      <c r="B4074" s="223" t="s">
        <v>200</v>
      </c>
      <c r="C4074" s="223"/>
      <c r="K4074" s="319"/>
      <c r="L4074" s="218"/>
    </row>
    <row r="4075">
      <c r="B4075" s="223" t="s">
        <v>200</v>
      </c>
      <c r="C4075" s="223"/>
      <c r="K4075" s="319"/>
      <c r="L4075" s="218"/>
    </row>
    <row r="4076">
      <c r="B4076" s="223" t="s">
        <v>200</v>
      </c>
      <c r="C4076" s="223"/>
      <c r="K4076" s="319"/>
      <c r="L4076" s="218"/>
    </row>
    <row r="4077">
      <c r="B4077" s="223" t="s">
        <v>200</v>
      </c>
      <c r="C4077" s="223"/>
      <c r="K4077" s="319"/>
      <c r="L4077" s="218"/>
    </row>
    <row r="4078">
      <c r="B4078" s="223" t="s">
        <v>200</v>
      </c>
      <c r="C4078" s="223"/>
      <c r="K4078" s="319"/>
      <c r="L4078" s="218"/>
    </row>
    <row r="4079">
      <c r="B4079" s="223" t="s">
        <v>200</v>
      </c>
      <c r="C4079" s="223"/>
      <c r="K4079" s="319"/>
      <c r="L4079" s="218"/>
    </row>
    <row r="4080">
      <c r="B4080" s="223" t="s">
        <v>200</v>
      </c>
      <c r="C4080" s="223"/>
      <c r="K4080" s="319"/>
      <c r="L4080" s="218"/>
    </row>
    <row r="4081">
      <c r="B4081" s="223" t="s">
        <v>200</v>
      </c>
      <c r="C4081" s="223"/>
      <c r="K4081" s="319"/>
      <c r="L4081" s="218"/>
    </row>
    <row r="4082">
      <c r="B4082" s="223" t="s">
        <v>200</v>
      </c>
      <c r="C4082" s="223"/>
      <c r="K4082" s="319"/>
      <c r="L4082" s="218"/>
    </row>
    <row r="4083">
      <c r="B4083" s="223" t="s">
        <v>200</v>
      </c>
      <c r="C4083" s="223"/>
      <c r="K4083" s="319"/>
      <c r="L4083" s="218"/>
    </row>
    <row r="4084">
      <c r="B4084" s="223" t="s">
        <v>200</v>
      </c>
      <c r="C4084" s="223"/>
      <c r="K4084" s="319"/>
      <c r="L4084" s="218"/>
    </row>
    <row r="4085">
      <c r="B4085" s="223" t="s">
        <v>200</v>
      </c>
      <c r="C4085" s="223"/>
      <c r="K4085" s="319"/>
      <c r="L4085" s="218"/>
    </row>
    <row r="4086">
      <c r="B4086" s="223" t="s">
        <v>200</v>
      </c>
      <c r="C4086" s="223"/>
      <c r="K4086" s="319"/>
      <c r="L4086" s="218"/>
    </row>
    <row r="4087">
      <c r="B4087" s="223" t="s">
        <v>200</v>
      </c>
      <c r="C4087" s="223"/>
      <c r="K4087" s="319"/>
      <c r="L4087" s="218"/>
    </row>
    <row r="4088">
      <c r="B4088" s="223" t="s">
        <v>200</v>
      </c>
      <c r="C4088" s="223"/>
      <c r="K4088" s="319"/>
      <c r="L4088" s="218"/>
    </row>
    <row r="4089">
      <c r="B4089" s="223" t="s">
        <v>200</v>
      </c>
      <c r="C4089" s="223"/>
      <c r="K4089" s="319"/>
      <c r="L4089" s="218"/>
    </row>
    <row r="4090">
      <c r="B4090" s="223" t="s">
        <v>200</v>
      </c>
      <c r="C4090" s="223"/>
      <c r="K4090" s="319"/>
      <c r="L4090" s="218"/>
    </row>
    <row r="4091">
      <c r="B4091" s="223" t="s">
        <v>200</v>
      </c>
      <c r="C4091" s="223"/>
      <c r="K4091" s="319"/>
      <c r="L4091" s="218"/>
    </row>
    <row r="4092">
      <c r="B4092" s="223" t="s">
        <v>200</v>
      </c>
      <c r="C4092" s="223"/>
      <c r="K4092" s="319"/>
      <c r="L4092" s="218"/>
    </row>
    <row r="4093">
      <c r="B4093" s="223" t="s">
        <v>200</v>
      </c>
      <c r="C4093" s="223"/>
      <c r="K4093" s="319"/>
      <c r="L4093" s="218"/>
    </row>
    <row r="4094">
      <c r="B4094" s="223" t="s">
        <v>200</v>
      </c>
      <c r="C4094" s="223"/>
      <c r="K4094" s="319"/>
      <c r="L4094" s="218"/>
    </row>
    <row r="4095">
      <c r="B4095" s="223" t="s">
        <v>200</v>
      </c>
      <c r="C4095" s="223"/>
      <c r="K4095" s="319"/>
      <c r="L4095" s="218"/>
    </row>
    <row r="4096">
      <c r="B4096" s="223" t="s">
        <v>200</v>
      </c>
      <c r="C4096" s="223"/>
      <c r="K4096" s="319"/>
      <c r="L4096" s="218"/>
    </row>
    <row r="4097">
      <c r="B4097" s="223" t="s">
        <v>200</v>
      </c>
      <c r="C4097" s="223"/>
      <c r="K4097" s="319"/>
      <c r="L4097" s="218"/>
    </row>
    <row r="4098">
      <c r="B4098" s="223" t="s">
        <v>200</v>
      </c>
      <c r="C4098" s="223"/>
      <c r="K4098" s="319"/>
      <c r="L4098" s="218"/>
    </row>
    <row r="4099">
      <c r="B4099" s="223" t="s">
        <v>200</v>
      </c>
      <c r="C4099" s="223"/>
      <c r="K4099" s="319"/>
      <c r="L4099" s="218"/>
    </row>
    <row r="4100">
      <c r="B4100" s="223" t="s">
        <v>200</v>
      </c>
      <c r="C4100" s="223"/>
      <c r="K4100" s="319"/>
      <c r="L4100" s="218"/>
    </row>
    <row r="4101">
      <c r="B4101" s="223" t="s">
        <v>200</v>
      </c>
      <c r="C4101" s="223"/>
      <c r="K4101" s="319"/>
      <c r="L4101" s="218"/>
    </row>
    <row r="4102">
      <c r="B4102" s="223" t="s">
        <v>200</v>
      </c>
      <c r="C4102" s="223"/>
      <c r="K4102" s="319"/>
      <c r="L4102" s="218"/>
    </row>
    <row r="4103">
      <c r="B4103" s="223" t="s">
        <v>200</v>
      </c>
      <c r="C4103" s="223"/>
      <c r="K4103" s="319"/>
      <c r="L4103" s="218"/>
    </row>
    <row r="4104">
      <c r="B4104" s="223" t="s">
        <v>200</v>
      </c>
      <c r="C4104" s="223"/>
      <c r="K4104" s="319"/>
      <c r="L4104" s="218"/>
    </row>
    <row r="4105">
      <c r="B4105" s="223" t="s">
        <v>200</v>
      </c>
      <c r="C4105" s="223"/>
      <c r="K4105" s="319"/>
      <c r="L4105" s="218"/>
    </row>
    <row r="4106">
      <c r="B4106" s="223" t="s">
        <v>200</v>
      </c>
      <c r="C4106" s="223"/>
      <c r="K4106" s="319"/>
      <c r="L4106" s="218"/>
    </row>
    <row r="4107">
      <c r="B4107" s="223" t="s">
        <v>200</v>
      </c>
      <c r="C4107" s="223"/>
      <c r="K4107" s="319"/>
      <c r="L4107" s="218"/>
    </row>
    <row r="4108">
      <c r="B4108" s="223" t="s">
        <v>200</v>
      </c>
      <c r="C4108" s="223"/>
      <c r="K4108" s="319"/>
      <c r="L4108" s="218"/>
    </row>
    <row r="4109">
      <c r="B4109" s="223" t="s">
        <v>200</v>
      </c>
      <c r="C4109" s="223"/>
      <c r="K4109" s="319"/>
      <c r="L4109" s="218"/>
    </row>
    <row r="4110">
      <c r="B4110" s="223" t="s">
        <v>200</v>
      </c>
      <c r="C4110" s="223"/>
      <c r="K4110" s="319"/>
      <c r="L4110" s="218"/>
    </row>
    <row r="4111">
      <c r="B4111" s="223" t="s">
        <v>200</v>
      </c>
      <c r="C4111" s="223"/>
      <c r="K4111" s="319"/>
      <c r="L4111" s="218"/>
    </row>
    <row r="4112">
      <c r="B4112" s="223" t="s">
        <v>200</v>
      </c>
      <c r="C4112" s="223"/>
      <c r="K4112" s="319"/>
      <c r="L4112" s="218"/>
    </row>
    <row r="4113">
      <c r="B4113" s="223" t="s">
        <v>200</v>
      </c>
      <c r="C4113" s="223"/>
      <c r="K4113" s="319"/>
      <c r="L4113" s="218"/>
    </row>
    <row r="4114">
      <c r="B4114" s="223" t="s">
        <v>200</v>
      </c>
      <c r="C4114" s="223"/>
      <c r="K4114" s="319"/>
      <c r="L4114" s="218"/>
    </row>
    <row r="4115">
      <c r="B4115" s="223" t="s">
        <v>200</v>
      </c>
      <c r="C4115" s="223"/>
      <c r="K4115" s="319"/>
      <c r="L4115" s="218"/>
    </row>
    <row r="4116">
      <c r="B4116" s="223" t="s">
        <v>200</v>
      </c>
      <c r="C4116" s="223"/>
      <c r="K4116" s="319"/>
      <c r="L4116" s="218"/>
    </row>
    <row r="4117">
      <c r="B4117" s="223" t="s">
        <v>200</v>
      </c>
      <c r="C4117" s="223"/>
      <c r="K4117" s="319"/>
      <c r="L4117" s="218"/>
    </row>
    <row r="4118">
      <c r="B4118" s="223" t="s">
        <v>200</v>
      </c>
      <c r="C4118" s="223"/>
      <c r="K4118" s="319"/>
      <c r="L4118" s="218"/>
    </row>
    <row r="4119">
      <c r="B4119" s="223" t="s">
        <v>200</v>
      </c>
      <c r="C4119" s="223"/>
      <c r="K4119" s="319"/>
      <c r="L4119" s="218"/>
    </row>
    <row r="4120">
      <c r="B4120" s="223" t="s">
        <v>200</v>
      </c>
      <c r="C4120" s="223"/>
      <c r="K4120" s="319"/>
      <c r="L4120" s="218"/>
    </row>
    <row r="4121">
      <c r="B4121" s="223" t="s">
        <v>200</v>
      </c>
      <c r="C4121" s="223"/>
      <c r="K4121" s="319"/>
      <c r="L4121" s="218"/>
    </row>
    <row r="4122">
      <c r="B4122" s="223" t="s">
        <v>200</v>
      </c>
      <c r="C4122" s="223"/>
      <c r="K4122" s="319"/>
      <c r="L4122" s="218"/>
    </row>
    <row r="4123">
      <c r="B4123" s="223" t="s">
        <v>200</v>
      </c>
      <c r="C4123" s="223"/>
      <c r="K4123" s="319"/>
      <c r="L4123" s="218"/>
    </row>
    <row r="4124">
      <c r="B4124" s="223" t="s">
        <v>200</v>
      </c>
      <c r="C4124" s="223"/>
      <c r="K4124" s="319"/>
      <c r="L4124" s="218"/>
    </row>
    <row r="4125">
      <c r="B4125" s="223" t="s">
        <v>200</v>
      </c>
      <c r="C4125" s="223"/>
      <c r="K4125" s="319"/>
      <c r="L4125" s="218"/>
    </row>
    <row r="4126">
      <c r="B4126" s="223" t="s">
        <v>200</v>
      </c>
      <c r="C4126" s="223"/>
      <c r="K4126" s="319"/>
      <c r="L4126" s="218"/>
    </row>
    <row r="4127">
      <c r="B4127" s="223" t="s">
        <v>200</v>
      </c>
      <c r="C4127" s="223"/>
      <c r="K4127" s="319"/>
      <c r="L4127" s="218"/>
    </row>
    <row r="4128">
      <c r="B4128" s="223" t="s">
        <v>200</v>
      </c>
      <c r="C4128" s="223"/>
      <c r="K4128" s="319"/>
      <c r="L4128" s="218"/>
    </row>
    <row r="4129">
      <c r="B4129" s="223" t="s">
        <v>200</v>
      </c>
      <c r="C4129" s="223"/>
      <c r="K4129" s="319"/>
      <c r="L4129" s="218"/>
    </row>
    <row r="4130">
      <c r="B4130" s="223" t="s">
        <v>200</v>
      </c>
      <c r="C4130" s="223"/>
      <c r="K4130" s="319"/>
      <c r="L4130" s="218"/>
    </row>
    <row r="4131">
      <c r="B4131" s="223" t="s">
        <v>200</v>
      </c>
      <c r="C4131" s="223"/>
      <c r="K4131" s="319"/>
      <c r="L4131" s="218"/>
    </row>
    <row r="4132">
      <c r="B4132" s="223" t="s">
        <v>200</v>
      </c>
      <c r="C4132" s="223"/>
      <c r="K4132" s="319"/>
      <c r="L4132" s="218"/>
    </row>
    <row r="4133">
      <c r="B4133" s="223" t="s">
        <v>200</v>
      </c>
      <c r="C4133" s="223"/>
      <c r="K4133" s="319"/>
      <c r="L4133" s="218"/>
    </row>
    <row r="4134">
      <c r="B4134" s="223" t="s">
        <v>200</v>
      </c>
      <c r="C4134" s="223"/>
      <c r="K4134" s="319"/>
      <c r="L4134" s="218"/>
    </row>
    <row r="4135">
      <c r="B4135" s="223" t="s">
        <v>200</v>
      </c>
      <c r="C4135" s="223"/>
      <c r="K4135" s="319"/>
      <c r="L4135" s="218"/>
    </row>
    <row r="4136">
      <c r="B4136" s="223" t="s">
        <v>200</v>
      </c>
      <c r="C4136" s="223"/>
      <c r="K4136" s="319"/>
      <c r="L4136" s="218"/>
    </row>
    <row r="4137">
      <c r="B4137" s="223" t="s">
        <v>200</v>
      </c>
      <c r="C4137" s="223"/>
      <c r="K4137" s="319"/>
      <c r="L4137" s="218"/>
    </row>
    <row r="4138">
      <c r="B4138" s="223" t="s">
        <v>200</v>
      </c>
      <c r="C4138" s="223"/>
      <c r="K4138" s="319"/>
      <c r="L4138" s="218"/>
    </row>
    <row r="4139">
      <c r="B4139" s="223" t="s">
        <v>200</v>
      </c>
      <c r="C4139" s="223"/>
      <c r="K4139" s="319"/>
      <c r="L4139" s="218"/>
    </row>
    <row r="4140">
      <c r="B4140" s="223" t="s">
        <v>200</v>
      </c>
      <c r="C4140" s="223"/>
      <c r="K4140" s="319"/>
      <c r="L4140" s="218"/>
    </row>
    <row r="4141">
      <c r="B4141" s="223" t="s">
        <v>200</v>
      </c>
      <c r="C4141" s="223"/>
      <c r="K4141" s="319"/>
      <c r="L4141" s="218"/>
    </row>
    <row r="4142">
      <c r="B4142" s="223" t="s">
        <v>200</v>
      </c>
      <c r="C4142" s="223"/>
      <c r="K4142" s="319"/>
      <c r="L4142" s="218"/>
    </row>
    <row r="4143">
      <c r="B4143" s="223" t="s">
        <v>200</v>
      </c>
      <c r="C4143" s="223"/>
      <c r="K4143" s="319"/>
      <c r="L4143" s="218"/>
    </row>
    <row r="4144">
      <c r="B4144" s="223" t="s">
        <v>200</v>
      </c>
      <c r="C4144" s="223"/>
      <c r="K4144" s="319"/>
      <c r="L4144" s="218"/>
    </row>
    <row r="4145">
      <c r="B4145" s="223" t="s">
        <v>200</v>
      </c>
      <c r="C4145" s="223"/>
      <c r="K4145" s="319"/>
      <c r="L4145" s="218"/>
    </row>
    <row r="4146">
      <c r="B4146" s="223" t="s">
        <v>200</v>
      </c>
      <c r="C4146" s="223"/>
      <c r="K4146" s="319"/>
      <c r="L4146" s="218"/>
    </row>
    <row r="4147">
      <c r="B4147" s="223" t="s">
        <v>200</v>
      </c>
      <c r="C4147" s="223"/>
      <c r="K4147" s="319"/>
      <c r="L4147" s="218"/>
    </row>
    <row r="4148">
      <c r="B4148" s="223" t="s">
        <v>200</v>
      </c>
      <c r="C4148" s="223"/>
      <c r="K4148" s="319"/>
      <c r="L4148" s="218"/>
    </row>
    <row r="4149">
      <c r="B4149" s="223" t="s">
        <v>200</v>
      </c>
      <c r="C4149" s="223"/>
      <c r="K4149" s="319"/>
      <c r="L4149" s="218"/>
    </row>
    <row r="4150">
      <c r="B4150" s="223" t="s">
        <v>200</v>
      </c>
      <c r="C4150" s="223"/>
      <c r="K4150" s="319"/>
      <c r="L4150" s="218"/>
    </row>
    <row r="4151">
      <c r="B4151" s="223" t="s">
        <v>200</v>
      </c>
      <c r="C4151" s="223"/>
      <c r="K4151" s="319"/>
      <c r="L4151" s="218"/>
    </row>
    <row r="4152">
      <c r="B4152" s="223" t="s">
        <v>200</v>
      </c>
      <c r="C4152" s="223"/>
      <c r="K4152" s="319"/>
      <c r="L4152" s="218"/>
    </row>
    <row r="4153">
      <c r="B4153" s="223" t="s">
        <v>200</v>
      </c>
      <c r="C4153" s="223"/>
      <c r="K4153" s="319"/>
      <c r="L4153" s="218"/>
    </row>
    <row r="4154">
      <c r="B4154" s="223" t="s">
        <v>200</v>
      </c>
      <c r="C4154" s="223"/>
      <c r="K4154" s="319"/>
      <c r="L4154" s="218"/>
    </row>
    <row r="4155">
      <c r="B4155" s="223" t="s">
        <v>200</v>
      </c>
      <c r="C4155" s="223"/>
      <c r="K4155" s="319"/>
      <c r="L4155" s="218"/>
    </row>
    <row r="4156">
      <c r="B4156" s="223" t="s">
        <v>200</v>
      </c>
      <c r="C4156" s="223"/>
      <c r="K4156" s="319"/>
      <c r="L4156" s="218"/>
    </row>
    <row r="4157">
      <c r="B4157" s="223" t="s">
        <v>200</v>
      </c>
      <c r="C4157" s="223"/>
      <c r="K4157" s="319"/>
      <c r="L4157" s="218"/>
    </row>
    <row r="4158">
      <c r="B4158" s="223" t="s">
        <v>200</v>
      </c>
      <c r="C4158" s="223"/>
      <c r="K4158" s="319"/>
      <c r="L4158" s="218"/>
    </row>
    <row r="4159">
      <c r="B4159" s="223" t="s">
        <v>200</v>
      </c>
      <c r="C4159" s="223"/>
      <c r="K4159" s="319"/>
      <c r="L4159" s="218"/>
    </row>
    <row r="4160">
      <c r="B4160" s="223" t="s">
        <v>200</v>
      </c>
      <c r="C4160" s="223"/>
      <c r="K4160" s="319"/>
      <c r="L4160" s="218"/>
    </row>
    <row r="4161">
      <c r="B4161" s="223" t="s">
        <v>200</v>
      </c>
      <c r="C4161" s="223"/>
      <c r="K4161" s="319"/>
      <c r="L4161" s="218"/>
    </row>
    <row r="4162">
      <c r="B4162" s="223" t="s">
        <v>200</v>
      </c>
      <c r="C4162" s="223"/>
      <c r="K4162" s="319"/>
      <c r="L4162" s="218"/>
    </row>
    <row r="4163">
      <c r="B4163" s="223" t="s">
        <v>200</v>
      </c>
      <c r="C4163" s="223"/>
      <c r="K4163" s="319"/>
      <c r="L4163" s="218"/>
    </row>
    <row r="4164">
      <c r="B4164" s="223" t="s">
        <v>200</v>
      </c>
      <c r="C4164" s="223"/>
      <c r="K4164" s="319"/>
      <c r="L4164" s="218"/>
    </row>
    <row r="4165">
      <c r="B4165" s="223" t="s">
        <v>200</v>
      </c>
      <c r="C4165" s="223"/>
      <c r="K4165" s="319"/>
      <c r="L4165" s="218"/>
    </row>
    <row r="4166">
      <c r="B4166" s="223" t="s">
        <v>200</v>
      </c>
      <c r="C4166" s="223"/>
      <c r="K4166" s="319"/>
      <c r="L4166" s="218"/>
    </row>
    <row r="4167">
      <c r="B4167" s="223" t="s">
        <v>200</v>
      </c>
      <c r="C4167" s="223"/>
      <c r="K4167" s="319"/>
      <c r="L4167" s="218"/>
    </row>
    <row r="4168">
      <c r="B4168" s="223" t="s">
        <v>200</v>
      </c>
      <c r="C4168" s="223"/>
      <c r="K4168" s="319"/>
      <c r="L4168" s="218"/>
    </row>
    <row r="4169">
      <c r="B4169" s="223" t="s">
        <v>200</v>
      </c>
      <c r="C4169" s="223"/>
      <c r="K4169" s="319"/>
      <c r="L4169" s="218"/>
    </row>
    <row r="4170">
      <c r="B4170" s="223" t="s">
        <v>200</v>
      </c>
      <c r="C4170" s="223"/>
      <c r="K4170" s="319"/>
      <c r="L4170" s="218"/>
    </row>
    <row r="4171">
      <c r="B4171" s="223" t="s">
        <v>200</v>
      </c>
      <c r="C4171" s="223"/>
      <c r="K4171" s="319"/>
      <c r="L4171" s="218"/>
    </row>
    <row r="4172">
      <c r="B4172" s="223" t="s">
        <v>200</v>
      </c>
      <c r="C4172" s="223"/>
      <c r="K4172" s="319"/>
      <c r="L4172" s="218"/>
    </row>
    <row r="4173">
      <c r="B4173" s="223" t="s">
        <v>200</v>
      </c>
      <c r="C4173" s="223"/>
      <c r="K4173" s="319"/>
      <c r="L4173" s="218"/>
    </row>
    <row r="4174">
      <c r="B4174" s="223" t="s">
        <v>200</v>
      </c>
      <c r="C4174" s="223"/>
      <c r="K4174" s="319"/>
      <c r="L4174" s="218"/>
    </row>
    <row r="4175">
      <c r="B4175" s="223" t="s">
        <v>200</v>
      </c>
      <c r="C4175" s="223"/>
      <c r="K4175" s="319"/>
      <c r="L4175" s="218"/>
    </row>
    <row r="4176">
      <c r="B4176" s="223" t="s">
        <v>200</v>
      </c>
      <c r="C4176" s="223"/>
      <c r="K4176" s="319"/>
      <c r="L4176" s="218"/>
    </row>
    <row r="4177">
      <c r="B4177" s="223" t="s">
        <v>200</v>
      </c>
      <c r="C4177" s="223"/>
      <c r="K4177" s="319"/>
      <c r="L4177" s="218"/>
    </row>
    <row r="4178">
      <c r="B4178" s="223" t="s">
        <v>200</v>
      </c>
      <c r="C4178" s="223"/>
      <c r="K4178" s="319"/>
      <c r="L4178" s="218"/>
    </row>
    <row r="4179">
      <c r="B4179" s="223" t="s">
        <v>200</v>
      </c>
      <c r="C4179" s="223"/>
      <c r="K4179" s="319"/>
      <c r="L4179" s="218"/>
    </row>
    <row r="4180">
      <c r="B4180" s="223" t="s">
        <v>200</v>
      </c>
      <c r="C4180" s="223"/>
      <c r="K4180" s="319"/>
      <c r="L4180" s="218"/>
    </row>
    <row r="4181">
      <c r="B4181" s="223" t="s">
        <v>200</v>
      </c>
      <c r="C4181" s="223"/>
      <c r="K4181" s="319"/>
      <c r="L4181" s="218"/>
    </row>
    <row r="4182">
      <c r="B4182" s="223" t="s">
        <v>200</v>
      </c>
      <c r="C4182" s="223"/>
      <c r="K4182" s="319"/>
      <c r="L4182" s="218"/>
    </row>
    <row r="4183">
      <c r="B4183" s="223" t="s">
        <v>200</v>
      </c>
      <c r="C4183" s="223"/>
      <c r="K4183" s="319"/>
      <c r="L4183" s="218"/>
    </row>
    <row r="4184">
      <c r="B4184" s="223" t="s">
        <v>200</v>
      </c>
      <c r="C4184" s="223"/>
      <c r="K4184" s="319"/>
      <c r="L4184" s="218"/>
    </row>
    <row r="4185">
      <c r="B4185" s="223" t="s">
        <v>200</v>
      </c>
      <c r="C4185" s="223"/>
      <c r="K4185" s="319"/>
      <c r="L4185" s="218"/>
    </row>
    <row r="4186">
      <c r="B4186" s="223" t="s">
        <v>200</v>
      </c>
      <c r="C4186" s="223"/>
      <c r="K4186" s="319"/>
      <c r="L4186" s="218"/>
    </row>
    <row r="4187">
      <c r="B4187" s="223" t="s">
        <v>200</v>
      </c>
      <c r="C4187" s="223"/>
      <c r="K4187" s="319"/>
      <c r="L4187" s="218"/>
    </row>
    <row r="4188">
      <c r="B4188" s="223" t="s">
        <v>200</v>
      </c>
      <c r="C4188" s="223"/>
      <c r="K4188" s="319"/>
      <c r="L4188" s="218"/>
    </row>
    <row r="4189">
      <c r="B4189" s="223" t="s">
        <v>200</v>
      </c>
      <c r="C4189" s="223"/>
      <c r="K4189" s="319"/>
      <c r="L4189" s="218"/>
    </row>
    <row r="4190">
      <c r="B4190" s="223" t="s">
        <v>200</v>
      </c>
      <c r="C4190" s="223"/>
      <c r="K4190" s="319"/>
      <c r="L4190" s="218"/>
    </row>
    <row r="4191">
      <c r="B4191" s="223" t="s">
        <v>200</v>
      </c>
      <c r="C4191" s="223"/>
      <c r="K4191" s="319"/>
      <c r="L4191" s="218"/>
    </row>
    <row r="4192">
      <c r="B4192" s="223" t="s">
        <v>200</v>
      </c>
      <c r="C4192" s="223"/>
      <c r="K4192" s="319"/>
      <c r="L4192" s="218"/>
    </row>
    <row r="4193">
      <c r="B4193" s="223" t="s">
        <v>200</v>
      </c>
      <c r="C4193" s="223"/>
      <c r="K4193" s="319"/>
      <c r="L4193" s="218"/>
    </row>
    <row r="4194">
      <c r="B4194" s="223" t="s">
        <v>200</v>
      </c>
      <c r="C4194" s="223"/>
      <c r="K4194" s="319"/>
      <c r="L4194" s="218"/>
    </row>
    <row r="4195">
      <c r="B4195" s="223" t="s">
        <v>200</v>
      </c>
      <c r="C4195" s="223"/>
      <c r="K4195" s="319"/>
      <c r="L4195" s="218"/>
    </row>
    <row r="4196">
      <c r="B4196" s="223" t="s">
        <v>200</v>
      </c>
      <c r="C4196" s="223"/>
      <c r="K4196" s="319"/>
      <c r="L4196" s="218"/>
    </row>
    <row r="4197">
      <c r="B4197" s="223" t="s">
        <v>200</v>
      </c>
      <c r="C4197" s="223"/>
      <c r="K4197" s="319"/>
      <c r="L4197" s="218"/>
    </row>
    <row r="4198">
      <c r="B4198" s="223" t="s">
        <v>200</v>
      </c>
      <c r="C4198" s="223"/>
      <c r="K4198" s="319"/>
      <c r="L4198" s="218"/>
    </row>
    <row r="4199">
      <c r="B4199" s="223" t="s">
        <v>200</v>
      </c>
      <c r="C4199" s="223"/>
      <c r="K4199" s="319"/>
      <c r="L4199" s="218"/>
    </row>
    <row r="4200">
      <c r="B4200" s="223" t="s">
        <v>200</v>
      </c>
      <c r="C4200" s="223"/>
      <c r="K4200" s="319"/>
      <c r="L4200" s="218"/>
    </row>
    <row r="4201">
      <c r="B4201" s="223" t="s">
        <v>200</v>
      </c>
      <c r="C4201" s="223"/>
      <c r="K4201" s="319"/>
      <c r="L4201" s="218"/>
    </row>
    <row r="4202">
      <c r="B4202" s="223" t="s">
        <v>200</v>
      </c>
      <c r="C4202" s="223"/>
      <c r="K4202" s="319"/>
      <c r="L4202" s="218"/>
    </row>
    <row r="4203">
      <c r="B4203" s="223" t="s">
        <v>200</v>
      </c>
      <c r="C4203" s="223"/>
      <c r="K4203" s="319"/>
      <c r="L4203" s="218"/>
    </row>
    <row r="4204">
      <c r="B4204" s="223" t="s">
        <v>200</v>
      </c>
      <c r="C4204" s="223"/>
      <c r="K4204" s="319"/>
      <c r="L4204" s="218"/>
    </row>
    <row r="4205">
      <c r="B4205" s="223" t="s">
        <v>200</v>
      </c>
      <c r="C4205" s="223"/>
      <c r="K4205" s="319"/>
      <c r="L4205" s="218"/>
    </row>
    <row r="4206">
      <c r="B4206" s="223" t="s">
        <v>200</v>
      </c>
      <c r="C4206" s="223"/>
      <c r="K4206" s="319"/>
      <c r="L4206" s="218"/>
    </row>
    <row r="4207">
      <c r="B4207" s="223" t="s">
        <v>200</v>
      </c>
      <c r="C4207" s="223"/>
      <c r="K4207" s="319"/>
      <c r="L4207" s="218"/>
    </row>
    <row r="4208">
      <c r="B4208" s="223" t="s">
        <v>200</v>
      </c>
      <c r="C4208" s="223"/>
      <c r="K4208" s="319"/>
      <c r="L4208" s="218"/>
    </row>
    <row r="4209">
      <c r="B4209" s="223" t="s">
        <v>200</v>
      </c>
      <c r="C4209" s="223"/>
      <c r="K4209" s="319"/>
      <c r="L4209" s="218"/>
    </row>
    <row r="4210">
      <c r="B4210" s="223" t="s">
        <v>200</v>
      </c>
      <c r="C4210" s="223"/>
      <c r="K4210" s="319"/>
      <c r="L4210" s="218"/>
    </row>
    <row r="4211">
      <c r="B4211" s="223" t="s">
        <v>200</v>
      </c>
      <c r="C4211" s="223"/>
      <c r="K4211" s="319"/>
      <c r="L4211" s="218"/>
    </row>
    <row r="4212">
      <c r="B4212" s="223" t="s">
        <v>200</v>
      </c>
      <c r="C4212" s="223"/>
      <c r="K4212" s="319"/>
      <c r="L4212" s="218"/>
    </row>
    <row r="4213">
      <c r="B4213" s="223" t="s">
        <v>200</v>
      </c>
      <c r="C4213" s="223"/>
      <c r="K4213" s="319"/>
      <c r="L4213" s="218"/>
    </row>
    <row r="4214">
      <c r="B4214" s="223" t="s">
        <v>200</v>
      </c>
      <c r="C4214" s="223"/>
      <c r="K4214" s="319"/>
      <c r="L4214" s="218"/>
    </row>
    <row r="4215">
      <c r="B4215" s="223" t="s">
        <v>200</v>
      </c>
      <c r="C4215" s="223"/>
      <c r="K4215" s="319"/>
      <c r="L4215" s="218"/>
    </row>
    <row r="4216">
      <c r="B4216" s="223" t="s">
        <v>200</v>
      </c>
      <c r="C4216" s="223"/>
      <c r="K4216" s="319"/>
      <c r="L4216" s="218"/>
    </row>
    <row r="4217">
      <c r="B4217" s="223" t="s">
        <v>200</v>
      </c>
      <c r="C4217" s="223"/>
      <c r="K4217" s="319"/>
      <c r="L4217" s="218"/>
    </row>
    <row r="4218">
      <c r="B4218" s="223" t="s">
        <v>200</v>
      </c>
      <c r="C4218" s="223"/>
      <c r="K4218" s="319"/>
      <c r="L4218" s="218"/>
    </row>
    <row r="4219">
      <c r="B4219" s="223" t="s">
        <v>200</v>
      </c>
      <c r="C4219" s="223"/>
      <c r="K4219" s="319"/>
      <c r="L4219" s="218"/>
    </row>
    <row r="4220">
      <c r="B4220" s="223" t="s">
        <v>200</v>
      </c>
      <c r="C4220" s="223"/>
      <c r="K4220" s="319"/>
      <c r="L4220" s="218"/>
    </row>
    <row r="4221">
      <c r="B4221" s="223" t="s">
        <v>200</v>
      </c>
      <c r="C4221" s="223"/>
      <c r="K4221" s="319"/>
      <c r="L4221" s="218"/>
    </row>
    <row r="4222">
      <c r="B4222" s="223" t="s">
        <v>200</v>
      </c>
      <c r="C4222" s="223"/>
      <c r="K4222" s="319"/>
      <c r="L4222" s="218"/>
    </row>
    <row r="4223">
      <c r="B4223" s="223" t="s">
        <v>200</v>
      </c>
      <c r="C4223" s="223"/>
      <c r="K4223" s="319"/>
      <c r="L4223" s="218"/>
    </row>
    <row r="4224">
      <c r="B4224" s="223" t="s">
        <v>200</v>
      </c>
      <c r="C4224" s="223"/>
      <c r="K4224" s="319"/>
      <c r="L4224" s="218"/>
    </row>
    <row r="4225">
      <c r="B4225" s="223" t="s">
        <v>200</v>
      </c>
      <c r="C4225" s="223"/>
      <c r="K4225" s="319"/>
      <c r="L4225" s="218"/>
    </row>
    <row r="4226">
      <c r="B4226" s="223" t="s">
        <v>200</v>
      </c>
      <c r="C4226" s="223"/>
      <c r="K4226" s="319"/>
      <c r="L4226" s="218"/>
    </row>
    <row r="4227">
      <c r="B4227" s="223" t="s">
        <v>200</v>
      </c>
      <c r="C4227" s="223"/>
      <c r="K4227" s="319"/>
      <c r="L4227" s="218"/>
    </row>
    <row r="4228">
      <c r="B4228" s="223" t="s">
        <v>200</v>
      </c>
      <c r="C4228" s="223"/>
      <c r="K4228" s="319"/>
      <c r="L4228" s="218"/>
    </row>
    <row r="4229">
      <c r="B4229" s="223" t="s">
        <v>200</v>
      </c>
      <c r="C4229" s="223"/>
      <c r="K4229" s="319"/>
      <c r="L4229" s="218"/>
    </row>
    <row r="4230">
      <c r="B4230" s="223" t="s">
        <v>200</v>
      </c>
      <c r="C4230" s="223"/>
      <c r="K4230" s="319"/>
      <c r="L4230" s="218"/>
    </row>
    <row r="4231">
      <c r="B4231" s="223" t="s">
        <v>200</v>
      </c>
      <c r="C4231" s="223"/>
      <c r="K4231" s="319"/>
      <c r="L4231" s="218"/>
    </row>
    <row r="4232">
      <c r="B4232" s="223" t="s">
        <v>200</v>
      </c>
      <c r="C4232" s="223"/>
      <c r="K4232" s="319"/>
      <c r="L4232" s="218"/>
    </row>
    <row r="4233">
      <c r="B4233" s="223" t="s">
        <v>200</v>
      </c>
      <c r="C4233" s="223"/>
      <c r="K4233" s="319"/>
      <c r="L4233" s="218"/>
    </row>
    <row r="4234">
      <c r="B4234" s="223" t="s">
        <v>200</v>
      </c>
      <c r="C4234" s="223"/>
      <c r="K4234" s="319"/>
      <c r="L4234" s="218"/>
    </row>
    <row r="4235">
      <c r="B4235" s="223" t="s">
        <v>200</v>
      </c>
      <c r="C4235" s="223"/>
      <c r="K4235" s="319"/>
      <c r="L4235" s="218"/>
    </row>
    <row r="4236">
      <c r="B4236" s="223" t="s">
        <v>200</v>
      </c>
      <c r="C4236" s="223"/>
      <c r="K4236" s="319"/>
      <c r="L4236" s="218"/>
    </row>
    <row r="4237">
      <c r="B4237" s="223" t="s">
        <v>200</v>
      </c>
      <c r="C4237" s="223"/>
      <c r="K4237" s="319"/>
      <c r="L4237" s="218"/>
    </row>
    <row r="4238">
      <c r="B4238" s="223" t="s">
        <v>200</v>
      </c>
      <c r="C4238" s="223"/>
      <c r="K4238" s="319"/>
      <c r="L4238" s="218"/>
    </row>
    <row r="4239">
      <c r="B4239" s="223" t="s">
        <v>200</v>
      </c>
      <c r="C4239" s="223"/>
      <c r="K4239" s="319"/>
      <c r="L4239" s="218"/>
    </row>
    <row r="4240">
      <c r="B4240" s="223" t="s">
        <v>200</v>
      </c>
      <c r="C4240" s="223"/>
      <c r="K4240" s="319"/>
      <c r="L4240" s="218"/>
    </row>
    <row r="4241">
      <c r="B4241" s="223" t="s">
        <v>200</v>
      </c>
      <c r="C4241" s="223"/>
      <c r="K4241" s="319"/>
      <c r="L4241" s="218"/>
    </row>
    <row r="4242">
      <c r="B4242" s="223" t="s">
        <v>200</v>
      </c>
      <c r="C4242" s="223"/>
      <c r="K4242" s="319"/>
      <c r="L4242" s="218"/>
    </row>
    <row r="4243">
      <c r="B4243" s="223" t="s">
        <v>200</v>
      </c>
      <c r="C4243" s="223"/>
      <c r="K4243" s="319"/>
      <c r="L4243" s="218"/>
    </row>
    <row r="4244">
      <c r="B4244" s="223" t="s">
        <v>200</v>
      </c>
      <c r="C4244" s="223"/>
      <c r="K4244" s="319"/>
      <c r="L4244" s="218"/>
    </row>
    <row r="4245">
      <c r="B4245" s="223" t="s">
        <v>200</v>
      </c>
      <c r="C4245" s="223"/>
      <c r="K4245" s="319"/>
      <c r="L4245" s="218"/>
    </row>
    <row r="4246">
      <c r="B4246" s="223" t="s">
        <v>200</v>
      </c>
      <c r="C4246" s="223"/>
      <c r="K4246" s="319"/>
      <c r="L4246" s="218"/>
    </row>
    <row r="4247">
      <c r="B4247" s="223" t="s">
        <v>200</v>
      </c>
      <c r="C4247" s="223"/>
      <c r="K4247" s="319"/>
      <c r="L4247" s="218"/>
    </row>
    <row r="4248">
      <c r="B4248" s="223" t="s">
        <v>200</v>
      </c>
      <c r="C4248" s="223"/>
      <c r="K4248" s="319"/>
      <c r="L4248" s="218"/>
    </row>
    <row r="4249">
      <c r="B4249" s="223" t="s">
        <v>200</v>
      </c>
      <c r="C4249" s="223"/>
      <c r="K4249" s="319"/>
      <c r="L4249" s="218"/>
    </row>
    <row r="4250">
      <c r="B4250" s="223" t="s">
        <v>200</v>
      </c>
      <c r="C4250" s="223"/>
      <c r="K4250" s="319"/>
      <c r="L4250" s="218"/>
    </row>
    <row r="4251">
      <c r="B4251" s="223" t="s">
        <v>200</v>
      </c>
      <c r="C4251" s="223"/>
      <c r="K4251" s="319"/>
      <c r="L4251" s="218"/>
    </row>
    <row r="4252">
      <c r="B4252" s="223" t="s">
        <v>200</v>
      </c>
      <c r="C4252" s="223"/>
      <c r="K4252" s="319"/>
      <c r="L4252" s="218"/>
    </row>
    <row r="4253">
      <c r="B4253" s="223" t="s">
        <v>200</v>
      </c>
      <c r="C4253" s="223"/>
      <c r="K4253" s="319"/>
      <c r="L4253" s="218"/>
    </row>
    <row r="4254">
      <c r="B4254" s="223" t="s">
        <v>200</v>
      </c>
      <c r="C4254" s="223"/>
      <c r="K4254" s="319"/>
      <c r="L4254" s="218"/>
    </row>
    <row r="4255">
      <c r="B4255" s="223" t="s">
        <v>200</v>
      </c>
      <c r="C4255" s="223"/>
      <c r="K4255" s="319"/>
      <c r="L4255" s="218"/>
    </row>
    <row r="4256">
      <c r="B4256" s="223" t="s">
        <v>200</v>
      </c>
      <c r="C4256" s="223"/>
      <c r="K4256" s="319"/>
      <c r="L4256" s="218"/>
    </row>
    <row r="4257">
      <c r="B4257" s="223" t="s">
        <v>200</v>
      </c>
      <c r="C4257" s="223"/>
      <c r="K4257" s="319"/>
      <c r="L4257" s="218"/>
    </row>
    <row r="4258">
      <c r="B4258" s="223" t="s">
        <v>200</v>
      </c>
      <c r="C4258" s="223"/>
      <c r="K4258" s="319"/>
      <c r="L4258" s="218"/>
    </row>
    <row r="4259">
      <c r="B4259" s="223" t="s">
        <v>200</v>
      </c>
      <c r="C4259" s="223"/>
      <c r="K4259" s="319"/>
      <c r="L4259" s="218"/>
    </row>
    <row r="4260">
      <c r="B4260" s="223" t="s">
        <v>200</v>
      </c>
      <c r="C4260" s="223"/>
      <c r="K4260" s="319"/>
      <c r="L4260" s="218"/>
    </row>
    <row r="4261">
      <c r="B4261" s="223" t="s">
        <v>200</v>
      </c>
      <c r="C4261" s="223"/>
      <c r="K4261" s="319"/>
      <c r="L4261" s="218"/>
    </row>
    <row r="4262">
      <c r="B4262" s="223" t="s">
        <v>200</v>
      </c>
      <c r="C4262" s="223"/>
      <c r="K4262" s="319"/>
      <c r="L4262" s="218"/>
    </row>
    <row r="4263">
      <c r="B4263" s="223" t="s">
        <v>200</v>
      </c>
      <c r="C4263" s="223"/>
      <c r="K4263" s="319"/>
      <c r="L4263" s="218"/>
    </row>
    <row r="4264">
      <c r="B4264" s="223" t="s">
        <v>200</v>
      </c>
      <c r="C4264" s="223"/>
      <c r="K4264" s="319"/>
      <c r="L4264" s="218"/>
    </row>
    <row r="4265">
      <c r="B4265" s="223" t="s">
        <v>200</v>
      </c>
      <c r="C4265" s="223"/>
      <c r="K4265" s="319"/>
      <c r="L4265" s="218"/>
    </row>
    <row r="4266">
      <c r="B4266" s="223" t="s">
        <v>200</v>
      </c>
      <c r="C4266" s="223"/>
      <c r="K4266" s="319"/>
      <c r="L4266" s="218"/>
    </row>
    <row r="4267">
      <c r="B4267" s="223" t="s">
        <v>200</v>
      </c>
      <c r="C4267" s="223"/>
      <c r="K4267" s="319"/>
      <c r="L4267" s="218"/>
    </row>
    <row r="4268">
      <c r="B4268" s="223" t="s">
        <v>200</v>
      </c>
      <c r="C4268" s="223"/>
      <c r="K4268" s="319"/>
      <c r="L4268" s="218"/>
    </row>
    <row r="4269">
      <c r="B4269" s="223" t="s">
        <v>200</v>
      </c>
      <c r="C4269" s="223"/>
      <c r="K4269" s="319"/>
      <c r="L4269" s="218"/>
    </row>
    <row r="4270">
      <c r="B4270" s="223" t="s">
        <v>200</v>
      </c>
      <c r="C4270" s="223"/>
      <c r="K4270" s="319"/>
      <c r="L4270" s="218"/>
    </row>
    <row r="4271">
      <c r="B4271" s="223" t="s">
        <v>200</v>
      </c>
      <c r="C4271" s="223"/>
      <c r="K4271" s="319"/>
      <c r="L4271" s="218"/>
    </row>
    <row r="4272">
      <c r="B4272" s="223" t="s">
        <v>200</v>
      </c>
      <c r="C4272" s="223"/>
      <c r="K4272" s="319"/>
      <c r="L4272" s="218"/>
    </row>
    <row r="4273">
      <c r="B4273" s="223" t="s">
        <v>200</v>
      </c>
      <c r="C4273" s="223"/>
      <c r="K4273" s="319"/>
      <c r="L4273" s="218"/>
    </row>
    <row r="4274">
      <c r="B4274" s="223" t="s">
        <v>200</v>
      </c>
      <c r="C4274" s="223"/>
      <c r="K4274" s="319"/>
      <c r="L4274" s="218"/>
    </row>
    <row r="4275">
      <c r="B4275" s="223" t="s">
        <v>200</v>
      </c>
      <c r="C4275" s="223"/>
      <c r="K4275" s="319"/>
      <c r="L4275" s="218"/>
    </row>
    <row r="4276">
      <c r="B4276" s="223" t="s">
        <v>200</v>
      </c>
      <c r="C4276" s="223"/>
      <c r="K4276" s="319"/>
      <c r="L4276" s="218"/>
    </row>
    <row r="4277">
      <c r="B4277" s="223" t="s">
        <v>200</v>
      </c>
      <c r="C4277" s="223"/>
      <c r="K4277" s="319"/>
      <c r="L4277" s="218"/>
    </row>
    <row r="4278">
      <c r="B4278" s="223" t="s">
        <v>200</v>
      </c>
      <c r="C4278" s="223"/>
      <c r="K4278" s="319"/>
      <c r="L4278" s="218"/>
    </row>
    <row r="4279">
      <c r="B4279" s="223" t="s">
        <v>200</v>
      </c>
      <c r="C4279" s="223"/>
      <c r="K4279" s="319"/>
      <c r="L4279" s="218"/>
    </row>
    <row r="4280">
      <c r="B4280" s="223" t="s">
        <v>200</v>
      </c>
      <c r="C4280" s="223"/>
      <c r="K4280" s="319"/>
      <c r="L4280" s="218"/>
    </row>
    <row r="4281">
      <c r="B4281" s="223" t="s">
        <v>200</v>
      </c>
      <c r="C4281" s="223"/>
      <c r="K4281" s="319"/>
      <c r="L4281" s="218"/>
    </row>
    <row r="4282">
      <c r="B4282" s="223" t="s">
        <v>200</v>
      </c>
      <c r="C4282" s="223"/>
      <c r="K4282" s="319"/>
      <c r="L4282" s="218"/>
    </row>
    <row r="4283">
      <c r="B4283" s="223" t="s">
        <v>200</v>
      </c>
      <c r="C4283" s="223"/>
      <c r="K4283" s="319"/>
      <c r="L4283" s="218"/>
    </row>
    <row r="4284">
      <c r="B4284" s="223" t="s">
        <v>200</v>
      </c>
      <c r="C4284" s="223"/>
      <c r="K4284" s="319"/>
      <c r="L4284" s="218"/>
    </row>
    <row r="4285">
      <c r="B4285" s="223" t="s">
        <v>200</v>
      </c>
      <c r="C4285" s="223"/>
      <c r="K4285" s="319"/>
      <c r="L4285" s="218"/>
    </row>
    <row r="4286">
      <c r="B4286" s="223" t="s">
        <v>200</v>
      </c>
      <c r="C4286" s="223"/>
      <c r="K4286" s="319"/>
      <c r="L4286" s="218"/>
    </row>
    <row r="4287">
      <c r="B4287" s="223" t="s">
        <v>200</v>
      </c>
      <c r="C4287" s="223"/>
      <c r="K4287" s="319"/>
      <c r="L4287" s="218"/>
    </row>
    <row r="4288">
      <c r="B4288" s="223" t="s">
        <v>200</v>
      </c>
      <c r="C4288" s="223"/>
      <c r="K4288" s="319"/>
      <c r="L4288" s="218"/>
    </row>
    <row r="4289">
      <c r="B4289" s="223" t="s">
        <v>200</v>
      </c>
      <c r="C4289" s="223"/>
      <c r="K4289" s="319"/>
      <c r="L4289" s="218"/>
    </row>
    <row r="4290">
      <c r="B4290" s="223" t="s">
        <v>200</v>
      </c>
      <c r="C4290" s="223"/>
      <c r="K4290" s="319"/>
      <c r="L4290" s="218"/>
    </row>
    <row r="4291">
      <c r="B4291" s="223" t="s">
        <v>200</v>
      </c>
      <c r="C4291" s="223"/>
      <c r="K4291" s="319"/>
      <c r="L4291" s="218"/>
    </row>
    <row r="4292">
      <c r="B4292" s="223" t="s">
        <v>200</v>
      </c>
      <c r="C4292" s="223"/>
      <c r="K4292" s="319"/>
      <c r="L4292" s="218"/>
    </row>
    <row r="4293">
      <c r="B4293" s="223" t="s">
        <v>200</v>
      </c>
      <c r="C4293" s="223"/>
      <c r="K4293" s="319"/>
      <c r="L4293" s="218"/>
    </row>
    <row r="4294">
      <c r="B4294" s="223" t="s">
        <v>200</v>
      </c>
      <c r="C4294" s="223"/>
      <c r="K4294" s="319"/>
      <c r="L4294" s="218"/>
    </row>
    <row r="4295">
      <c r="B4295" s="223" t="s">
        <v>200</v>
      </c>
      <c r="C4295" s="223"/>
      <c r="K4295" s="319"/>
      <c r="L4295" s="218"/>
    </row>
    <row r="4296">
      <c r="B4296" s="223" t="s">
        <v>200</v>
      </c>
      <c r="C4296" s="223"/>
      <c r="K4296" s="319"/>
      <c r="L4296" s="218"/>
    </row>
    <row r="4297">
      <c r="B4297" s="223" t="s">
        <v>200</v>
      </c>
      <c r="C4297" s="223"/>
      <c r="K4297" s="319"/>
      <c r="L4297" s="218"/>
    </row>
    <row r="4298">
      <c r="B4298" s="223" t="s">
        <v>200</v>
      </c>
      <c r="C4298" s="223"/>
      <c r="K4298" s="319"/>
      <c r="L4298" s="218"/>
    </row>
    <row r="4299">
      <c r="B4299" s="223" t="s">
        <v>200</v>
      </c>
      <c r="C4299" s="223"/>
      <c r="K4299" s="319"/>
      <c r="L4299" s="218"/>
    </row>
    <row r="4300">
      <c r="B4300" s="223" t="s">
        <v>200</v>
      </c>
      <c r="C4300" s="223"/>
      <c r="K4300" s="319"/>
      <c r="L4300" s="218"/>
    </row>
    <row r="4301">
      <c r="B4301" s="223" t="s">
        <v>200</v>
      </c>
      <c r="C4301" s="223"/>
      <c r="K4301" s="319"/>
      <c r="L4301" s="218"/>
    </row>
    <row r="4302">
      <c r="B4302" s="223" t="s">
        <v>200</v>
      </c>
      <c r="C4302" s="223"/>
      <c r="K4302" s="319"/>
      <c r="L4302" s="218"/>
    </row>
    <row r="4303">
      <c r="B4303" s="223" t="s">
        <v>200</v>
      </c>
      <c r="C4303" s="223"/>
      <c r="K4303" s="319"/>
      <c r="L4303" s="218"/>
    </row>
    <row r="4304">
      <c r="B4304" s="223" t="s">
        <v>200</v>
      </c>
      <c r="C4304" s="223"/>
      <c r="K4304" s="319"/>
      <c r="L4304" s="218"/>
    </row>
    <row r="4305">
      <c r="B4305" s="223" t="s">
        <v>200</v>
      </c>
      <c r="C4305" s="223"/>
      <c r="K4305" s="319"/>
      <c r="L4305" s="218"/>
    </row>
    <row r="4306">
      <c r="B4306" s="223" t="s">
        <v>200</v>
      </c>
      <c r="C4306" s="223"/>
      <c r="K4306" s="319"/>
      <c r="L4306" s="218"/>
    </row>
    <row r="4307">
      <c r="B4307" s="223" t="s">
        <v>200</v>
      </c>
      <c r="C4307" s="223"/>
      <c r="K4307" s="319"/>
      <c r="L4307" s="218"/>
    </row>
    <row r="4308">
      <c r="B4308" s="223" t="s">
        <v>200</v>
      </c>
      <c r="C4308" s="223"/>
      <c r="K4308" s="319"/>
      <c r="L4308" s="218"/>
    </row>
    <row r="4309">
      <c r="B4309" s="223" t="s">
        <v>200</v>
      </c>
      <c r="C4309" s="223"/>
      <c r="K4309" s="319"/>
      <c r="L4309" s="218"/>
    </row>
    <row r="4310">
      <c r="B4310" s="223" t="s">
        <v>200</v>
      </c>
      <c r="C4310" s="223"/>
      <c r="K4310" s="319"/>
      <c r="L4310" s="218"/>
    </row>
    <row r="4311">
      <c r="B4311" s="223" t="s">
        <v>200</v>
      </c>
      <c r="C4311" s="223"/>
      <c r="K4311" s="319"/>
      <c r="L4311" s="218"/>
    </row>
    <row r="4312">
      <c r="B4312" s="223" t="s">
        <v>200</v>
      </c>
      <c r="C4312" s="223"/>
      <c r="K4312" s="319"/>
      <c r="L4312" s="218"/>
    </row>
    <row r="4313">
      <c r="B4313" s="223" t="s">
        <v>200</v>
      </c>
      <c r="C4313" s="223"/>
      <c r="K4313" s="319"/>
      <c r="L4313" s="218"/>
    </row>
    <row r="4314">
      <c r="B4314" s="223" t="s">
        <v>200</v>
      </c>
      <c r="C4314" s="223"/>
      <c r="K4314" s="319"/>
      <c r="L4314" s="218"/>
    </row>
    <row r="4315">
      <c r="B4315" s="223" t="s">
        <v>200</v>
      </c>
      <c r="C4315" s="223"/>
      <c r="K4315" s="319"/>
      <c r="L4315" s="218"/>
    </row>
    <row r="4316">
      <c r="B4316" s="223" t="s">
        <v>200</v>
      </c>
      <c r="C4316" s="223"/>
      <c r="K4316" s="319"/>
      <c r="L4316" s="218"/>
    </row>
    <row r="4317">
      <c r="B4317" s="223" t="s">
        <v>200</v>
      </c>
      <c r="C4317" s="223"/>
      <c r="K4317" s="319"/>
      <c r="L4317" s="218"/>
    </row>
    <row r="4318">
      <c r="B4318" s="223" t="s">
        <v>200</v>
      </c>
      <c r="C4318" s="223"/>
      <c r="K4318" s="319"/>
      <c r="L4318" s="218"/>
    </row>
    <row r="4319">
      <c r="B4319" s="223" t="s">
        <v>200</v>
      </c>
      <c r="C4319" s="223"/>
      <c r="K4319" s="319"/>
      <c r="L4319" s="218"/>
    </row>
    <row r="4320">
      <c r="B4320" s="223" t="s">
        <v>200</v>
      </c>
      <c r="C4320" s="223"/>
      <c r="K4320" s="319"/>
      <c r="L4320" s="218"/>
    </row>
    <row r="4321">
      <c r="B4321" s="223" t="s">
        <v>200</v>
      </c>
      <c r="C4321" s="223"/>
      <c r="K4321" s="319"/>
      <c r="L4321" s="218"/>
    </row>
    <row r="4322">
      <c r="B4322" s="223" t="s">
        <v>200</v>
      </c>
      <c r="C4322" s="223"/>
      <c r="K4322" s="319"/>
      <c r="L4322" s="218"/>
    </row>
    <row r="4323">
      <c r="B4323" s="223" t="s">
        <v>200</v>
      </c>
      <c r="C4323" s="223"/>
      <c r="K4323" s="319"/>
      <c r="L4323" s="218"/>
    </row>
    <row r="4324">
      <c r="B4324" s="223" t="s">
        <v>200</v>
      </c>
      <c r="C4324" s="223"/>
      <c r="K4324" s="319"/>
      <c r="L4324" s="218"/>
    </row>
    <row r="4325">
      <c r="B4325" s="223" t="s">
        <v>200</v>
      </c>
      <c r="C4325" s="223"/>
      <c r="K4325" s="319"/>
      <c r="L4325" s="218"/>
    </row>
    <row r="4326">
      <c r="B4326" s="223" t="s">
        <v>200</v>
      </c>
      <c r="C4326" s="223"/>
      <c r="K4326" s="319"/>
      <c r="L4326" s="218"/>
    </row>
    <row r="4327">
      <c r="B4327" s="223" t="s">
        <v>200</v>
      </c>
      <c r="C4327" s="223"/>
      <c r="K4327" s="319"/>
      <c r="L4327" s="218"/>
    </row>
    <row r="4328">
      <c r="B4328" s="223" t="s">
        <v>200</v>
      </c>
      <c r="C4328" s="223"/>
      <c r="K4328" s="319"/>
      <c r="L4328" s="218"/>
    </row>
    <row r="4329">
      <c r="B4329" s="223" t="s">
        <v>200</v>
      </c>
      <c r="C4329" s="223"/>
      <c r="K4329" s="319"/>
      <c r="L4329" s="218"/>
    </row>
    <row r="4330">
      <c r="B4330" s="223" t="s">
        <v>200</v>
      </c>
      <c r="C4330" s="223"/>
      <c r="K4330" s="319"/>
      <c r="L4330" s="218"/>
    </row>
    <row r="4331">
      <c r="B4331" s="223" t="s">
        <v>200</v>
      </c>
      <c r="C4331" s="223"/>
      <c r="K4331" s="319"/>
      <c r="L4331" s="218"/>
    </row>
    <row r="4332">
      <c r="B4332" s="223" t="s">
        <v>200</v>
      </c>
      <c r="C4332" s="223"/>
      <c r="K4332" s="319"/>
      <c r="L4332" s="218"/>
    </row>
    <row r="4333">
      <c r="B4333" s="223" t="s">
        <v>200</v>
      </c>
      <c r="C4333" s="223"/>
      <c r="K4333" s="319"/>
      <c r="L4333" s="218"/>
    </row>
    <row r="4334">
      <c r="B4334" s="223" t="s">
        <v>200</v>
      </c>
      <c r="C4334" s="223"/>
      <c r="K4334" s="319"/>
      <c r="L4334" s="218"/>
    </row>
    <row r="4335">
      <c r="B4335" s="223" t="s">
        <v>200</v>
      </c>
      <c r="C4335" s="223"/>
      <c r="K4335" s="319"/>
      <c r="L4335" s="218"/>
    </row>
    <row r="4336">
      <c r="B4336" s="223" t="s">
        <v>200</v>
      </c>
      <c r="C4336" s="223"/>
      <c r="K4336" s="319"/>
      <c r="L4336" s="218"/>
    </row>
    <row r="4337">
      <c r="B4337" s="223" t="s">
        <v>200</v>
      </c>
      <c r="C4337" s="223"/>
      <c r="K4337" s="319"/>
      <c r="L4337" s="218"/>
    </row>
    <row r="4338">
      <c r="B4338" s="223" t="s">
        <v>200</v>
      </c>
      <c r="C4338" s="223"/>
      <c r="K4338" s="319"/>
      <c r="L4338" s="218"/>
    </row>
    <row r="4339">
      <c r="B4339" s="223" t="s">
        <v>200</v>
      </c>
      <c r="C4339" s="223"/>
      <c r="K4339" s="319"/>
      <c r="L4339" s="218"/>
    </row>
    <row r="4340">
      <c r="B4340" s="223" t="s">
        <v>200</v>
      </c>
      <c r="C4340" s="223"/>
      <c r="K4340" s="319"/>
      <c r="L4340" s="218"/>
    </row>
    <row r="4341">
      <c r="B4341" s="223" t="s">
        <v>200</v>
      </c>
      <c r="C4341" s="223"/>
      <c r="K4341" s="319"/>
      <c r="L4341" s="218"/>
    </row>
    <row r="4342">
      <c r="B4342" s="223" t="s">
        <v>200</v>
      </c>
      <c r="C4342" s="223"/>
      <c r="K4342" s="319"/>
      <c r="L4342" s="218"/>
    </row>
    <row r="4343">
      <c r="B4343" s="223" t="s">
        <v>200</v>
      </c>
      <c r="C4343" s="223"/>
      <c r="K4343" s="319"/>
      <c r="L4343" s="218"/>
    </row>
    <row r="4344">
      <c r="B4344" s="223" t="s">
        <v>200</v>
      </c>
      <c r="C4344" s="223"/>
      <c r="K4344" s="319"/>
      <c r="L4344" s="218"/>
    </row>
    <row r="4345">
      <c r="B4345" s="223" t="s">
        <v>200</v>
      </c>
      <c r="C4345" s="223"/>
      <c r="K4345" s="319"/>
      <c r="L4345" s="218"/>
    </row>
    <row r="4346">
      <c r="B4346" s="223" t="s">
        <v>200</v>
      </c>
      <c r="C4346" s="223"/>
      <c r="K4346" s="319"/>
      <c r="L4346" s="218"/>
    </row>
    <row r="4347">
      <c r="B4347" s="223" t="s">
        <v>200</v>
      </c>
      <c r="C4347" s="223"/>
      <c r="K4347" s="319"/>
      <c r="L4347" s="218"/>
    </row>
    <row r="4348">
      <c r="B4348" s="223" t="s">
        <v>200</v>
      </c>
      <c r="C4348" s="223"/>
      <c r="K4348" s="319"/>
      <c r="L4348" s="218"/>
    </row>
    <row r="4349">
      <c r="B4349" s="223" t="s">
        <v>200</v>
      </c>
      <c r="C4349" s="223"/>
      <c r="K4349" s="319"/>
      <c r="L4349" s="218"/>
    </row>
    <row r="4350">
      <c r="B4350" s="223" t="s">
        <v>200</v>
      </c>
      <c r="C4350" s="223"/>
      <c r="K4350" s="319"/>
      <c r="L4350" s="218"/>
    </row>
    <row r="4351">
      <c r="B4351" s="223" t="s">
        <v>200</v>
      </c>
      <c r="C4351" s="223"/>
      <c r="K4351" s="319"/>
      <c r="L4351" s="218"/>
    </row>
    <row r="4352">
      <c r="B4352" s="223" t="s">
        <v>200</v>
      </c>
      <c r="C4352" s="223"/>
      <c r="K4352" s="319"/>
      <c r="L4352" s="218"/>
    </row>
    <row r="4353">
      <c r="B4353" s="223" t="s">
        <v>200</v>
      </c>
      <c r="C4353" s="223"/>
      <c r="K4353" s="319"/>
      <c r="L4353" s="218"/>
    </row>
    <row r="4354">
      <c r="B4354" s="223" t="s">
        <v>200</v>
      </c>
      <c r="C4354" s="223"/>
      <c r="K4354" s="319"/>
      <c r="L4354" s="218"/>
    </row>
    <row r="4355">
      <c r="B4355" s="223" t="s">
        <v>200</v>
      </c>
      <c r="C4355" s="223"/>
      <c r="K4355" s="319"/>
      <c r="L4355" s="218"/>
    </row>
    <row r="4356">
      <c r="B4356" s="223" t="s">
        <v>200</v>
      </c>
      <c r="C4356" s="223"/>
      <c r="K4356" s="319"/>
      <c r="L4356" s="218"/>
    </row>
    <row r="4357">
      <c r="B4357" s="223" t="s">
        <v>200</v>
      </c>
      <c r="C4357" s="223"/>
      <c r="K4357" s="319"/>
      <c r="L4357" s="218"/>
    </row>
    <row r="4358">
      <c r="B4358" s="223" t="s">
        <v>200</v>
      </c>
      <c r="C4358" s="223"/>
      <c r="K4358" s="319"/>
      <c r="L4358" s="218"/>
    </row>
    <row r="4359">
      <c r="B4359" s="223" t="s">
        <v>200</v>
      </c>
      <c r="C4359" s="223"/>
      <c r="K4359" s="319"/>
      <c r="L4359" s="218"/>
    </row>
    <row r="4360">
      <c r="B4360" s="223" t="s">
        <v>200</v>
      </c>
      <c r="C4360" s="223"/>
      <c r="K4360" s="319"/>
      <c r="L4360" s="218"/>
    </row>
    <row r="4361">
      <c r="B4361" s="223" t="s">
        <v>200</v>
      </c>
      <c r="C4361" s="223"/>
      <c r="K4361" s="319"/>
      <c r="L4361" s="218"/>
    </row>
    <row r="4362">
      <c r="B4362" s="223" t="s">
        <v>200</v>
      </c>
      <c r="C4362" s="223"/>
      <c r="K4362" s="319"/>
      <c r="L4362" s="218"/>
    </row>
    <row r="4363">
      <c r="B4363" s="223" t="s">
        <v>200</v>
      </c>
      <c r="C4363" s="223"/>
      <c r="K4363" s="319"/>
      <c r="L4363" s="218"/>
    </row>
    <row r="4364">
      <c r="B4364" s="223" t="s">
        <v>200</v>
      </c>
      <c r="C4364" s="223"/>
      <c r="K4364" s="319"/>
      <c r="L4364" s="218"/>
    </row>
    <row r="4365">
      <c r="B4365" s="223" t="s">
        <v>200</v>
      </c>
      <c r="C4365" s="223"/>
      <c r="K4365" s="319"/>
      <c r="L4365" s="218"/>
    </row>
    <row r="4366">
      <c r="B4366" s="223" t="s">
        <v>200</v>
      </c>
      <c r="C4366" s="223"/>
      <c r="K4366" s="319"/>
      <c r="L4366" s="218"/>
    </row>
    <row r="4367">
      <c r="B4367" s="223" t="s">
        <v>200</v>
      </c>
      <c r="C4367" s="223"/>
      <c r="K4367" s="319"/>
      <c r="L4367" s="218"/>
    </row>
    <row r="4368">
      <c r="B4368" s="223" t="s">
        <v>200</v>
      </c>
      <c r="C4368" s="223"/>
      <c r="K4368" s="319"/>
      <c r="L4368" s="218"/>
    </row>
    <row r="4369">
      <c r="B4369" s="223" t="s">
        <v>200</v>
      </c>
      <c r="C4369" s="223"/>
      <c r="K4369" s="319"/>
      <c r="L4369" s="218"/>
    </row>
    <row r="4370">
      <c r="B4370" s="223" t="s">
        <v>200</v>
      </c>
      <c r="C4370" s="223"/>
      <c r="K4370" s="319"/>
      <c r="L4370" s="218"/>
    </row>
    <row r="4371">
      <c r="B4371" s="223" t="s">
        <v>200</v>
      </c>
      <c r="C4371" s="223"/>
      <c r="K4371" s="319"/>
      <c r="L4371" s="218"/>
    </row>
    <row r="4372">
      <c r="B4372" s="223" t="s">
        <v>200</v>
      </c>
      <c r="C4372" s="223"/>
      <c r="K4372" s="319"/>
      <c r="L4372" s="218"/>
    </row>
    <row r="4373">
      <c r="B4373" s="223" t="s">
        <v>200</v>
      </c>
      <c r="C4373" s="223"/>
      <c r="K4373" s="319"/>
      <c r="L4373" s="218"/>
    </row>
    <row r="4374">
      <c r="B4374" s="223" t="s">
        <v>200</v>
      </c>
      <c r="C4374" s="223"/>
      <c r="K4374" s="319"/>
      <c r="L4374" s="218"/>
    </row>
    <row r="4375">
      <c r="B4375" s="223" t="s">
        <v>200</v>
      </c>
      <c r="C4375" s="223"/>
      <c r="K4375" s="319"/>
      <c r="L4375" s="218"/>
    </row>
    <row r="4376">
      <c r="B4376" s="223" t="s">
        <v>200</v>
      </c>
      <c r="C4376" s="223"/>
      <c r="K4376" s="319"/>
      <c r="L4376" s="218"/>
    </row>
    <row r="4377">
      <c r="B4377" s="223" t="s">
        <v>200</v>
      </c>
      <c r="C4377" s="223"/>
      <c r="K4377" s="319"/>
      <c r="L4377" s="218"/>
    </row>
    <row r="4378">
      <c r="B4378" s="223" t="s">
        <v>200</v>
      </c>
      <c r="C4378" s="223"/>
      <c r="K4378" s="319"/>
      <c r="L4378" s="218"/>
    </row>
    <row r="4379">
      <c r="B4379" s="223" t="s">
        <v>200</v>
      </c>
      <c r="C4379" s="223"/>
      <c r="K4379" s="319"/>
      <c r="L4379" s="218"/>
    </row>
    <row r="4380">
      <c r="B4380" s="223" t="s">
        <v>200</v>
      </c>
      <c r="C4380" s="223"/>
      <c r="K4380" s="319"/>
      <c r="L4380" s="218"/>
    </row>
    <row r="4381">
      <c r="B4381" s="223" t="s">
        <v>200</v>
      </c>
      <c r="C4381" s="223"/>
      <c r="K4381" s="319"/>
      <c r="L4381" s="218"/>
    </row>
    <row r="4382">
      <c r="B4382" s="223" t="s">
        <v>200</v>
      </c>
      <c r="C4382" s="223"/>
      <c r="K4382" s="319"/>
      <c r="L4382" s="218"/>
    </row>
    <row r="4383">
      <c r="B4383" s="223" t="s">
        <v>200</v>
      </c>
      <c r="C4383" s="223"/>
      <c r="K4383" s="319"/>
      <c r="L4383" s="218"/>
    </row>
    <row r="4384">
      <c r="B4384" s="223" t="s">
        <v>200</v>
      </c>
      <c r="C4384" s="223"/>
      <c r="K4384" s="319"/>
      <c r="L4384" s="218"/>
    </row>
    <row r="4385">
      <c r="B4385" s="223" t="s">
        <v>200</v>
      </c>
      <c r="C4385" s="223"/>
      <c r="K4385" s="319"/>
      <c r="L4385" s="218"/>
    </row>
    <row r="4386">
      <c r="B4386" s="223" t="s">
        <v>200</v>
      </c>
      <c r="C4386" s="223"/>
      <c r="K4386" s="319"/>
      <c r="L4386" s="218"/>
    </row>
    <row r="4387">
      <c r="B4387" s="223" t="s">
        <v>200</v>
      </c>
      <c r="C4387" s="223"/>
      <c r="K4387" s="319"/>
      <c r="L4387" s="218"/>
    </row>
    <row r="4388">
      <c r="B4388" s="223" t="s">
        <v>200</v>
      </c>
      <c r="C4388" s="223"/>
      <c r="K4388" s="319"/>
      <c r="L4388" s="218"/>
    </row>
    <row r="4389">
      <c r="B4389" s="223" t="s">
        <v>200</v>
      </c>
      <c r="C4389" s="223"/>
      <c r="K4389" s="319"/>
      <c r="L4389" s="218"/>
    </row>
    <row r="4390">
      <c r="B4390" s="223" t="s">
        <v>200</v>
      </c>
      <c r="C4390" s="223"/>
      <c r="K4390" s="319"/>
      <c r="L4390" s="218"/>
    </row>
    <row r="4391">
      <c r="B4391" s="223" t="s">
        <v>200</v>
      </c>
      <c r="C4391" s="223"/>
      <c r="K4391" s="319"/>
      <c r="L4391" s="218"/>
    </row>
    <row r="4392">
      <c r="B4392" s="223" t="s">
        <v>200</v>
      </c>
      <c r="C4392" s="223"/>
      <c r="K4392" s="319"/>
      <c r="L4392" s="218"/>
    </row>
    <row r="4393">
      <c r="B4393" s="223" t="s">
        <v>200</v>
      </c>
      <c r="C4393" s="223"/>
      <c r="K4393" s="319"/>
      <c r="L4393" s="218"/>
    </row>
    <row r="4394">
      <c r="B4394" s="223" t="s">
        <v>200</v>
      </c>
      <c r="C4394" s="223"/>
      <c r="K4394" s="319"/>
      <c r="L4394" s="218"/>
    </row>
    <row r="4395">
      <c r="B4395" s="223" t="s">
        <v>200</v>
      </c>
      <c r="C4395" s="223"/>
      <c r="K4395" s="319"/>
      <c r="L4395" s="218"/>
    </row>
    <row r="4396">
      <c r="B4396" s="223" t="s">
        <v>200</v>
      </c>
      <c r="C4396" s="223"/>
      <c r="K4396" s="319"/>
      <c r="L4396" s="218"/>
    </row>
    <row r="4397">
      <c r="B4397" s="223" t="s">
        <v>200</v>
      </c>
      <c r="C4397" s="223"/>
      <c r="K4397" s="319"/>
      <c r="L4397" s="218"/>
    </row>
    <row r="4398">
      <c r="B4398" s="223" t="s">
        <v>200</v>
      </c>
      <c r="C4398" s="223"/>
      <c r="K4398" s="319"/>
      <c r="L4398" s="218"/>
    </row>
    <row r="4399">
      <c r="B4399" s="223" t="s">
        <v>200</v>
      </c>
      <c r="C4399" s="223"/>
      <c r="K4399" s="319"/>
      <c r="L4399" s="218"/>
    </row>
    <row r="4400">
      <c r="B4400" s="223" t="s">
        <v>200</v>
      </c>
      <c r="C4400" s="223"/>
      <c r="K4400" s="319"/>
      <c r="L4400" s="218"/>
    </row>
    <row r="4401">
      <c r="B4401" s="223" t="s">
        <v>200</v>
      </c>
      <c r="C4401" s="223"/>
      <c r="K4401" s="319"/>
      <c r="L4401" s="218"/>
    </row>
    <row r="4402">
      <c r="B4402" s="223" t="s">
        <v>200</v>
      </c>
      <c r="C4402" s="223"/>
      <c r="K4402" s="319"/>
      <c r="L4402" s="218"/>
    </row>
    <row r="4403">
      <c r="B4403" s="223" t="s">
        <v>200</v>
      </c>
      <c r="C4403" s="223"/>
      <c r="K4403" s="319"/>
      <c r="L4403" s="218"/>
    </row>
    <row r="4404">
      <c r="B4404" s="223" t="s">
        <v>200</v>
      </c>
      <c r="C4404" s="223"/>
      <c r="K4404" s="319"/>
      <c r="L4404" s="218"/>
    </row>
    <row r="4405">
      <c r="B4405" s="223" t="s">
        <v>200</v>
      </c>
      <c r="C4405" s="223"/>
      <c r="K4405" s="319"/>
      <c r="L4405" s="218"/>
    </row>
    <row r="4406">
      <c r="B4406" s="223" t="s">
        <v>200</v>
      </c>
      <c r="C4406" s="223"/>
      <c r="K4406" s="319"/>
      <c r="L4406" s="218"/>
    </row>
    <row r="4407">
      <c r="B4407" s="223" t="s">
        <v>200</v>
      </c>
      <c r="C4407" s="223"/>
      <c r="K4407" s="319"/>
      <c r="L4407" s="218"/>
    </row>
    <row r="4408">
      <c r="B4408" s="223" t="s">
        <v>200</v>
      </c>
      <c r="C4408" s="223"/>
      <c r="K4408" s="319"/>
      <c r="L4408" s="218"/>
    </row>
    <row r="4409">
      <c r="B4409" s="223" t="s">
        <v>200</v>
      </c>
      <c r="C4409" s="223"/>
      <c r="K4409" s="319"/>
      <c r="L4409" s="218"/>
    </row>
    <row r="4410">
      <c r="B4410" s="223" t="s">
        <v>200</v>
      </c>
      <c r="C4410" s="223"/>
      <c r="K4410" s="319"/>
      <c r="L4410" s="218"/>
    </row>
    <row r="4411">
      <c r="B4411" s="223" t="s">
        <v>200</v>
      </c>
      <c r="C4411" s="223"/>
      <c r="K4411" s="319"/>
      <c r="L4411" s="218"/>
    </row>
    <row r="4412">
      <c r="B4412" s="223" t="s">
        <v>200</v>
      </c>
      <c r="C4412" s="223"/>
      <c r="K4412" s="319"/>
      <c r="L4412" s="218"/>
    </row>
    <row r="4413">
      <c r="B4413" s="223" t="s">
        <v>200</v>
      </c>
      <c r="C4413" s="223"/>
      <c r="K4413" s="319"/>
      <c r="L4413" s="218"/>
    </row>
    <row r="4414">
      <c r="B4414" s="223" t="s">
        <v>200</v>
      </c>
      <c r="C4414" s="223"/>
      <c r="K4414" s="319"/>
      <c r="L4414" s="218"/>
    </row>
    <row r="4415">
      <c r="B4415" s="223" t="s">
        <v>200</v>
      </c>
      <c r="C4415" s="223"/>
      <c r="K4415" s="319"/>
      <c r="L4415" s="218"/>
    </row>
    <row r="4416">
      <c r="B4416" s="223" t="s">
        <v>200</v>
      </c>
      <c r="C4416" s="223"/>
      <c r="K4416" s="319"/>
      <c r="L4416" s="218"/>
    </row>
    <row r="4417">
      <c r="B4417" s="223" t="s">
        <v>200</v>
      </c>
      <c r="C4417" s="223"/>
      <c r="K4417" s="319"/>
      <c r="L4417" s="218"/>
    </row>
    <row r="4418">
      <c r="B4418" s="223" t="s">
        <v>200</v>
      </c>
      <c r="C4418" s="223"/>
      <c r="K4418" s="319"/>
      <c r="L4418" s="218"/>
    </row>
    <row r="4419">
      <c r="B4419" s="223" t="s">
        <v>200</v>
      </c>
      <c r="C4419" s="223"/>
      <c r="K4419" s="319"/>
      <c r="L4419" s="218"/>
    </row>
    <row r="4420">
      <c r="B4420" s="223" t="s">
        <v>200</v>
      </c>
      <c r="C4420" s="223"/>
      <c r="K4420" s="319"/>
      <c r="L4420" s="218"/>
    </row>
    <row r="4421">
      <c r="B4421" s="223" t="s">
        <v>200</v>
      </c>
      <c r="C4421" s="223"/>
      <c r="K4421" s="319"/>
      <c r="L4421" s="218"/>
    </row>
    <row r="4422">
      <c r="B4422" s="223" t="s">
        <v>200</v>
      </c>
      <c r="C4422" s="223"/>
      <c r="K4422" s="319"/>
      <c r="L4422" s="218"/>
    </row>
    <row r="4423">
      <c r="B4423" s="223" t="s">
        <v>200</v>
      </c>
      <c r="C4423" s="223"/>
      <c r="K4423" s="319"/>
      <c r="L4423" s="218"/>
    </row>
    <row r="4424">
      <c r="B4424" s="223" t="s">
        <v>200</v>
      </c>
      <c r="C4424" s="223"/>
      <c r="K4424" s="319"/>
      <c r="L4424" s="218"/>
    </row>
    <row r="4425">
      <c r="B4425" s="223" t="s">
        <v>200</v>
      </c>
      <c r="C4425" s="223"/>
      <c r="K4425" s="319"/>
      <c r="L4425" s="218"/>
    </row>
    <row r="4426">
      <c r="B4426" s="223" t="s">
        <v>200</v>
      </c>
      <c r="C4426" s="223"/>
      <c r="K4426" s="319"/>
      <c r="L4426" s="218"/>
    </row>
    <row r="4427">
      <c r="B4427" s="223" t="s">
        <v>200</v>
      </c>
      <c r="C4427" s="223"/>
      <c r="K4427" s="319"/>
      <c r="L4427" s="218"/>
    </row>
    <row r="4428">
      <c r="B4428" s="223" t="s">
        <v>200</v>
      </c>
      <c r="C4428" s="223"/>
      <c r="K4428" s="319"/>
      <c r="L4428" s="218"/>
    </row>
    <row r="4429">
      <c r="B4429" s="223" t="s">
        <v>200</v>
      </c>
      <c r="C4429" s="223"/>
      <c r="K4429" s="319"/>
      <c r="L4429" s="218"/>
    </row>
    <row r="4430">
      <c r="B4430" s="223" t="s">
        <v>200</v>
      </c>
      <c r="C4430" s="223"/>
      <c r="K4430" s="319"/>
      <c r="L4430" s="218"/>
    </row>
    <row r="4431">
      <c r="B4431" s="223" t="s">
        <v>200</v>
      </c>
      <c r="C4431" s="223"/>
      <c r="K4431" s="319"/>
      <c r="L4431" s="218"/>
    </row>
    <row r="4432">
      <c r="B4432" s="223" t="s">
        <v>200</v>
      </c>
      <c r="C4432" s="223"/>
      <c r="K4432" s="319"/>
      <c r="L4432" s="218"/>
    </row>
    <row r="4433">
      <c r="B4433" s="223" t="s">
        <v>200</v>
      </c>
      <c r="C4433" s="223"/>
      <c r="K4433" s="319"/>
      <c r="L4433" s="218"/>
    </row>
    <row r="4434">
      <c r="B4434" s="223" t="s">
        <v>200</v>
      </c>
      <c r="C4434" s="223"/>
      <c r="K4434" s="319"/>
      <c r="L4434" s="218"/>
    </row>
    <row r="4435">
      <c r="B4435" s="223" t="s">
        <v>200</v>
      </c>
      <c r="C4435" s="223"/>
      <c r="K4435" s="319"/>
      <c r="L4435" s="218"/>
    </row>
    <row r="4436">
      <c r="B4436" s="223" t="s">
        <v>200</v>
      </c>
      <c r="C4436" s="223"/>
      <c r="K4436" s="319"/>
      <c r="L4436" s="218"/>
    </row>
    <row r="4437">
      <c r="B4437" s="223" t="s">
        <v>200</v>
      </c>
      <c r="C4437" s="223"/>
      <c r="K4437" s="319"/>
      <c r="L4437" s="218"/>
    </row>
    <row r="4438">
      <c r="B4438" s="223" t="s">
        <v>200</v>
      </c>
      <c r="C4438" s="223"/>
      <c r="K4438" s="319"/>
      <c r="L4438" s="218"/>
    </row>
    <row r="4439">
      <c r="B4439" s="223" t="s">
        <v>200</v>
      </c>
      <c r="C4439" s="223"/>
      <c r="K4439" s="319"/>
      <c r="L4439" s="218"/>
    </row>
    <row r="4440">
      <c r="B4440" s="223" t="s">
        <v>200</v>
      </c>
      <c r="C4440" s="223"/>
      <c r="K4440" s="319"/>
      <c r="L4440" s="218"/>
    </row>
    <row r="4441">
      <c r="B4441" s="223" t="s">
        <v>200</v>
      </c>
      <c r="C4441" s="223"/>
      <c r="K4441" s="319"/>
      <c r="L4441" s="218"/>
    </row>
    <row r="4442">
      <c r="B4442" s="223" t="s">
        <v>200</v>
      </c>
      <c r="C4442" s="223"/>
      <c r="K4442" s="319"/>
      <c r="L4442" s="218"/>
    </row>
    <row r="4443">
      <c r="B4443" s="223" t="s">
        <v>200</v>
      </c>
      <c r="C4443" s="223"/>
      <c r="K4443" s="319"/>
      <c r="L4443" s="218"/>
    </row>
    <row r="4444">
      <c r="B4444" s="223" t="s">
        <v>200</v>
      </c>
      <c r="C4444" s="223"/>
      <c r="K4444" s="319"/>
      <c r="L4444" s="218"/>
    </row>
    <row r="4445">
      <c r="B4445" s="223" t="s">
        <v>200</v>
      </c>
      <c r="C4445" s="223"/>
      <c r="K4445" s="319"/>
      <c r="L4445" s="218"/>
    </row>
    <row r="4446">
      <c r="B4446" s="223" t="s">
        <v>200</v>
      </c>
      <c r="C4446" s="223"/>
      <c r="K4446" s="319"/>
      <c r="L4446" s="218"/>
    </row>
    <row r="4447">
      <c r="B4447" s="223" t="s">
        <v>200</v>
      </c>
      <c r="C4447" s="223"/>
      <c r="K4447" s="319"/>
      <c r="L4447" s="218"/>
    </row>
    <row r="4448">
      <c r="B4448" s="223" t="s">
        <v>200</v>
      </c>
      <c r="C4448" s="223"/>
      <c r="K4448" s="319"/>
      <c r="L4448" s="218"/>
    </row>
    <row r="4449">
      <c r="B4449" s="223" t="s">
        <v>200</v>
      </c>
      <c r="C4449" s="223"/>
      <c r="K4449" s="319"/>
      <c r="L4449" s="218"/>
    </row>
    <row r="4450">
      <c r="B4450" s="223" t="s">
        <v>200</v>
      </c>
      <c r="C4450" s="223"/>
      <c r="K4450" s="319"/>
      <c r="L4450" s="218"/>
    </row>
    <row r="4451">
      <c r="B4451" s="223" t="s">
        <v>200</v>
      </c>
      <c r="C4451" s="223"/>
      <c r="K4451" s="319"/>
      <c r="L4451" s="218"/>
    </row>
    <row r="4452">
      <c r="B4452" s="223" t="s">
        <v>200</v>
      </c>
      <c r="C4452" s="223"/>
      <c r="K4452" s="319"/>
      <c r="L4452" s="218"/>
    </row>
    <row r="4453">
      <c r="B4453" s="223" t="s">
        <v>200</v>
      </c>
      <c r="C4453" s="223"/>
      <c r="K4453" s="319"/>
      <c r="L4453" s="218"/>
    </row>
    <row r="4454">
      <c r="B4454" s="223" t="s">
        <v>200</v>
      </c>
      <c r="C4454" s="223"/>
      <c r="K4454" s="319"/>
      <c r="L4454" s="218"/>
    </row>
    <row r="4455">
      <c r="B4455" s="223" t="s">
        <v>200</v>
      </c>
      <c r="C4455" s="223"/>
      <c r="K4455" s="319"/>
      <c r="L4455" s="218"/>
    </row>
    <row r="4456">
      <c r="B4456" s="223" t="s">
        <v>200</v>
      </c>
      <c r="C4456" s="223"/>
      <c r="K4456" s="319"/>
      <c r="L4456" s="218"/>
    </row>
    <row r="4457">
      <c r="B4457" s="223" t="s">
        <v>200</v>
      </c>
      <c r="C4457" s="223"/>
      <c r="K4457" s="319"/>
      <c r="L4457" s="218"/>
    </row>
    <row r="4458">
      <c r="B4458" s="223" t="s">
        <v>200</v>
      </c>
      <c r="C4458" s="223"/>
      <c r="K4458" s="319"/>
      <c r="L4458" s="218"/>
    </row>
    <row r="4459">
      <c r="B4459" s="223" t="s">
        <v>200</v>
      </c>
      <c r="C4459" s="223"/>
      <c r="K4459" s="319"/>
      <c r="L4459" s="218"/>
    </row>
    <row r="4460">
      <c r="B4460" s="223" t="s">
        <v>200</v>
      </c>
      <c r="C4460" s="223"/>
      <c r="K4460" s="319"/>
      <c r="L4460" s="218"/>
    </row>
    <row r="4461">
      <c r="B4461" s="223" t="s">
        <v>200</v>
      </c>
      <c r="C4461" s="223"/>
      <c r="K4461" s="319"/>
      <c r="L4461" s="218"/>
    </row>
    <row r="4462">
      <c r="B4462" s="223" t="s">
        <v>200</v>
      </c>
      <c r="C4462" s="223"/>
      <c r="K4462" s="319"/>
      <c r="L4462" s="218"/>
    </row>
    <row r="4463">
      <c r="B4463" s="223" t="s">
        <v>200</v>
      </c>
      <c r="C4463" s="223"/>
      <c r="K4463" s="319"/>
      <c r="L4463" s="218"/>
    </row>
    <row r="4464">
      <c r="B4464" s="223" t="s">
        <v>200</v>
      </c>
      <c r="C4464" s="223"/>
      <c r="K4464" s="319"/>
      <c r="L4464" s="218"/>
    </row>
    <row r="4465">
      <c r="B4465" s="223" t="s">
        <v>200</v>
      </c>
      <c r="C4465" s="223"/>
      <c r="K4465" s="319"/>
      <c r="L4465" s="218"/>
    </row>
    <row r="4466">
      <c r="B4466" s="223" t="s">
        <v>200</v>
      </c>
      <c r="C4466" s="223"/>
      <c r="K4466" s="319"/>
      <c r="L4466" s="218"/>
    </row>
    <row r="4467">
      <c r="B4467" s="223" t="s">
        <v>200</v>
      </c>
      <c r="C4467" s="223"/>
      <c r="K4467" s="319"/>
      <c r="L4467" s="218"/>
    </row>
    <row r="4468">
      <c r="B4468" s="223" t="s">
        <v>200</v>
      </c>
      <c r="C4468" s="223"/>
      <c r="K4468" s="319"/>
      <c r="L4468" s="218"/>
    </row>
    <row r="4469">
      <c r="B4469" s="223" t="s">
        <v>200</v>
      </c>
      <c r="C4469" s="223"/>
      <c r="K4469" s="319"/>
      <c r="L4469" s="218"/>
    </row>
    <row r="4470">
      <c r="B4470" s="223" t="s">
        <v>200</v>
      </c>
      <c r="C4470" s="223"/>
      <c r="K4470" s="319"/>
      <c r="L4470" s="218"/>
    </row>
    <row r="4471">
      <c r="B4471" s="223" t="s">
        <v>200</v>
      </c>
      <c r="C4471" s="223"/>
      <c r="K4471" s="319"/>
      <c r="L4471" s="218"/>
    </row>
    <row r="4472">
      <c r="B4472" s="223" t="s">
        <v>200</v>
      </c>
      <c r="C4472" s="223"/>
      <c r="K4472" s="319"/>
      <c r="L4472" s="218"/>
    </row>
    <row r="4473">
      <c r="B4473" s="223" t="s">
        <v>200</v>
      </c>
      <c r="C4473" s="223"/>
      <c r="K4473" s="319"/>
      <c r="L4473" s="218"/>
    </row>
    <row r="4474">
      <c r="B4474" s="223" t="s">
        <v>200</v>
      </c>
      <c r="C4474" s="223"/>
      <c r="K4474" s="319"/>
      <c r="L4474" s="218"/>
    </row>
    <row r="4475">
      <c r="B4475" s="223" t="s">
        <v>200</v>
      </c>
      <c r="C4475" s="223"/>
      <c r="K4475" s="319"/>
      <c r="L4475" s="218"/>
    </row>
    <row r="4476">
      <c r="B4476" s="223" t="s">
        <v>200</v>
      </c>
      <c r="C4476" s="223"/>
      <c r="K4476" s="319"/>
      <c r="L4476" s="218"/>
    </row>
    <row r="4477">
      <c r="B4477" s="223" t="s">
        <v>200</v>
      </c>
      <c r="C4477" s="223"/>
      <c r="K4477" s="319"/>
      <c r="L4477" s="218"/>
    </row>
    <row r="4478">
      <c r="B4478" s="223" t="s">
        <v>200</v>
      </c>
      <c r="C4478" s="223"/>
      <c r="K4478" s="319"/>
      <c r="L4478" s="218"/>
    </row>
    <row r="4479">
      <c r="B4479" s="223" t="s">
        <v>200</v>
      </c>
      <c r="C4479" s="223"/>
      <c r="K4479" s="319"/>
      <c r="L4479" s="218"/>
    </row>
    <row r="4480">
      <c r="B4480" s="223" t="s">
        <v>200</v>
      </c>
      <c r="C4480" s="223"/>
      <c r="K4480" s="319"/>
      <c r="L4480" s="218"/>
    </row>
    <row r="4481">
      <c r="B4481" s="223" t="s">
        <v>200</v>
      </c>
      <c r="C4481" s="223"/>
      <c r="K4481" s="319"/>
      <c r="L4481" s="218"/>
    </row>
    <row r="4482">
      <c r="B4482" s="223" t="s">
        <v>200</v>
      </c>
      <c r="C4482" s="223"/>
      <c r="K4482" s="319"/>
      <c r="L4482" s="218"/>
    </row>
    <row r="4483">
      <c r="B4483" s="223" t="s">
        <v>200</v>
      </c>
      <c r="C4483" s="223"/>
      <c r="K4483" s="319"/>
      <c r="L4483" s="218"/>
    </row>
    <row r="4484">
      <c r="B4484" s="223" t="s">
        <v>200</v>
      </c>
      <c r="C4484" s="223"/>
      <c r="K4484" s="319"/>
      <c r="L4484" s="218"/>
    </row>
    <row r="4485">
      <c r="B4485" s="223" t="s">
        <v>200</v>
      </c>
      <c r="C4485" s="223"/>
      <c r="K4485" s="319"/>
      <c r="L4485" s="218"/>
    </row>
    <row r="4486">
      <c r="B4486" s="223" t="s">
        <v>200</v>
      </c>
      <c r="C4486" s="223"/>
      <c r="K4486" s="319"/>
      <c r="L4486" s="218"/>
    </row>
    <row r="4487">
      <c r="B4487" s="223" t="s">
        <v>200</v>
      </c>
      <c r="C4487" s="223"/>
      <c r="K4487" s="319"/>
      <c r="L4487" s="218"/>
    </row>
    <row r="4488">
      <c r="B4488" s="223" t="s">
        <v>200</v>
      </c>
      <c r="C4488" s="223"/>
      <c r="K4488" s="319"/>
      <c r="L4488" s="218"/>
    </row>
    <row r="4489">
      <c r="B4489" s="223" t="s">
        <v>200</v>
      </c>
      <c r="C4489" s="223"/>
      <c r="K4489" s="319"/>
      <c r="L4489" s="218"/>
    </row>
    <row r="4490">
      <c r="B4490" s="223" t="s">
        <v>200</v>
      </c>
      <c r="C4490" s="223"/>
      <c r="K4490" s="319"/>
      <c r="L4490" s="218"/>
    </row>
    <row r="4491">
      <c r="B4491" s="223" t="s">
        <v>200</v>
      </c>
      <c r="C4491" s="223"/>
      <c r="K4491" s="319"/>
      <c r="L4491" s="218"/>
    </row>
    <row r="4492">
      <c r="B4492" s="223" t="s">
        <v>200</v>
      </c>
      <c r="C4492" s="223"/>
      <c r="K4492" s="319"/>
      <c r="L4492" s="218"/>
    </row>
    <row r="4493">
      <c r="B4493" s="223" t="s">
        <v>200</v>
      </c>
      <c r="C4493" s="223"/>
      <c r="K4493" s="319"/>
      <c r="L4493" s="218"/>
    </row>
    <row r="4494">
      <c r="B4494" s="223" t="s">
        <v>200</v>
      </c>
      <c r="C4494" s="223"/>
      <c r="K4494" s="319"/>
      <c r="L4494" s="218"/>
    </row>
    <row r="4495">
      <c r="B4495" s="223" t="s">
        <v>200</v>
      </c>
      <c r="C4495" s="223"/>
      <c r="K4495" s="319"/>
      <c r="L4495" s="218"/>
    </row>
    <row r="4496">
      <c r="B4496" s="223" t="s">
        <v>200</v>
      </c>
      <c r="C4496" s="223"/>
      <c r="K4496" s="319"/>
      <c r="L4496" s="218"/>
    </row>
    <row r="4497">
      <c r="B4497" s="223" t="s">
        <v>200</v>
      </c>
      <c r="C4497" s="223"/>
      <c r="K4497" s="319"/>
      <c r="L4497" s="218"/>
    </row>
    <row r="4498">
      <c r="B4498" s="223" t="s">
        <v>200</v>
      </c>
      <c r="C4498" s="223"/>
      <c r="K4498" s="319"/>
      <c r="L4498" s="218"/>
    </row>
    <row r="4499">
      <c r="B4499" s="223" t="s">
        <v>200</v>
      </c>
      <c r="C4499" s="223"/>
      <c r="K4499" s="319"/>
      <c r="L4499" s="218"/>
    </row>
    <row r="4500">
      <c r="B4500" s="223" t="s">
        <v>200</v>
      </c>
      <c r="C4500" s="223"/>
      <c r="K4500" s="319"/>
      <c r="L4500" s="218"/>
    </row>
    <row r="4501">
      <c r="B4501" s="223" t="s">
        <v>200</v>
      </c>
      <c r="C4501" s="223"/>
      <c r="K4501" s="319"/>
      <c r="L4501" s="218"/>
    </row>
    <row r="4502">
      <c r="B4502" s="223" t="s">
        <v>200</v>
      </c>
      <c r="C4502" s="223"/>
      <c r="K4502" s="319"/>
      <c r="L4502" s="218"/>
    </row>
    <row r="4503">
      <c r="B4503" s="223" t="s">
        <v>200</v>
      </c>
      <c r="C4503" s="223"/>
      <c r="K4503" s="319"/>
      <c r="L4503" s="218"/>
    </row>
    <row r="4504">
      <c r="B4504" s="223" t="s">
        <v>200</v>
      </c>
      <c r="C4504" s="223"/>
      <c r="K4504" s="319"/>
      <c r="L4504" s="218"/>
    </row>
    <row r="4505">
      <c r="B4505" s="223" t="s">
        <v>200</v>
      </c>
      <c r="C4505" s="223"/>
      <c r="K4505" s="319"/>
      <c r="L4505" s="218"/>
    </row>
    <row r="4506">
      <c r="B4506" s="223" t="s">
        <v>200</v>
      </c>
      <c r="C4506" s="223"/>
      <c r="K4506" s="319"/>
      <c r="L4506" s="218"/>
    </row>
    <row r="4507">
      <c r="B4507" s="223" t="s">
        <v>200</v>
      </c>
      <c r="C4507" s="223"/>
      <c r="K4507" s="319"/>
      <c r="L4507" s="218"/>
    </row>
    <row r="4508">
      <c r="B4508" s="223" t="s">
        <v>200</v>
      </c>
      <c r="C4508" s="223"/>
      <c r="K4508" s="319"/>
      <c r="L4508" s="218"/>
    </row>
    <row r="4509">
      <c r="B4509" s="223" t="s">
        <v>200</v>
      </c>
      <c r="C4509" s="223"/>
      <c r="K4509" s="319"/>
      <c r="L4509" s="218"/>
    </row>
    <row r="4510">
      <c r="B4510" s="223" t="s">
        <v>200</v>
      </c>
      <c r="C4510" s="223"/>
      <c r="K4510" s="319"/>
      <c r="L4510" s="218"/>
    </row>
    <row r="4511">
      <c r="B4511" s="223" t="s">
        <v>200</v>
      </c>
      <c r="C4511" s="223"/>
      <c r="K4511" s="319"/>
      <c r="L4511" s="218"/>
    </row>
    <row r="4512">
      <c r="B4512" s="223" t="s">
        <v>200</v>
      </c>
      <c r="C4512" s="223"/>
      <c r="K4512" s="319"/>
      <c r="L4512" s="218"/>
    </row>
    <row r="4513">
      <c r="B4513" s="223" t="s">
        <v>200</v>
      </c>
      <c r="C4513" s="223"/>
      <c r="K4513" s="319"/>
      <c r="L4513" s="218"/>
    </row>
    <row r="4514">
      <c r="B4514" s="223" t="s">
        <v>200</v>
      </c>
      <c r="C4514" s="223"/>
      <c r="K4514" s="319"/>
      <c r="L4514" s="218"/>
    </row>
    <row r="4515">
      <c r="B4515" s="223" t="s">
        <v>200</v>
      </c>
      <c r="C4515" s="223"/>
      <c r="K4515" s="319"/>
      <c r="L4515" s="218"/>
    </row>
    <row r="4516">
      <c r="B4516" s="223" t="s">
        <v>200</v>
      </c>
      <c r="C4516" s="223"/>
      <c r="K4516" s="319"/>
      <c r="L4516" s="218"/>
    </row>
    <row r="4517">
      <c r="B4517" s="223" t="s">
        <v>200</v>
      </c>
      <c r="C4517" s="223"/>
      <c r="K4517" s="319"/>
      <c r="L4517" s="218"/>
    </row>
    <row r="4518">
      <c r="B4518" s="223" t="s">
        <v>200</v>
      </c>
      <c r="C4518" s="223"/>
      <c r="K4518" s="319"/>
      <c r="L4518" s="218"/>
    </row>
    <row r="4519">
      <c r="B4519" s="223" t="s">
        <v>200</v>
      </c>
      <c r="C4519" s="223"/>
      <c r="K4519" s="319"/>
      <c r="L4519" s="218"/>
    </row>
    <row r="4520">
      <c r="B4520" s="223" t="s">
        <v>200</v>
      </c>
      <c r="C4520" s="223"/>
      <c r="K4520" s="319"/>
      <c r="L4520" s="218"/>
    </row>
    <row r="4521">
      <c r="B4521" s="223" t="s">
        <v>200</v>
      </c>
      <c r="C4521" s="223"/>
      <c r="K4521" s="319"/>
      <c r="L4521" s="218"/>
    </row>
    <row r="4522">
      <c r="B4522" s="223" t="s">
        <v>200</v>
      </c>
      <c r="C4522" s="223"/>
      <c r="K4522" s="319"/>
      <c r="L4522" s="218"/>
    </row>
    <row r="4523">
      <c r="B4523" s="223" t="s">
        <v>200</v>
      </c>
      <c r="C4523" s="223"/>
      <c r="K4523" s="319"/>
      <c r="L4523" s="218"/>
    </row>
    <row r="4524">
      <c r="B4524" s="223" t="s">
        <v>200</v>
      </c>
      <c r="C4524" s="223"/>
      <c r="K4524" s="319"/>
      <c r="L4524" s="218"/>
    </row>
    <row r="4525">
      <c r="B4525" s="223" t="s">
        <v>200</v>
      </c>
      <c r="C4525" s="223"/>
      <c r="K4525" s="319"/>
      <c r="L4525" s="218"/>
    </row>
    <row r="4526">
      <c r="B4526" s="223" t="s">
        <v>200</v>
      </c>
      <c r="C4526" s="223"/>
      <c r="K4526" s="319"/>
      <c r="L4526" s="218"/>
    </row>
    <row r="4527">
      <c r="B4527" s="223" t="s">
        <v>200</v>
      </c>
      <c r="C4527" s="223"/>
      <c r="K4527" s="319"/>
      <c r="L4527" s="218"/>
    </row>
    <row r="4528">
      <c r="B4528" s="223" t="s">
        <v>200</v>
      </c>
      <c r="C4528" s="223"/>
      <c r="K4528" s="319"/>
      <c r="L4528" s="218"/>
    </row>
    <row r="4529">
      <c r="B4529" s="223" t="s">
        <v>200</v>
      </c>
      <c r="C4529" s="223"/>
      <c r="K4529" s="319"/>
      <c r="L4529" s="218"/>
    </row>
    <row r="4530">
      <c r="B4530" s="223" t="s">
        <v>200</v>
      </c>
      <c r="C4530" s="223"/>
      <c r="K4530" s="319"/>
      <c r="L4530" s="218"/>
    </row>
    <row r="4531">
      <c r="B4531" s="223" t="s">
        <v>200</v>
      </c>
      <c r="C4531" s="223"/>
      <c r="K4531" s="319"/>
      <c r="L4531" s="218"/>
    </row>
    <row r="4532">
      <c r="B4532" s="223" t="s">
        <v>200</v>
      </c>
      <c r="C4532" s="223"/>
      <c r="K4532" s="319"/>
      <c r="L4532" s="218"/>
    </row>
    <row r="4533">
      <c r="B4533" s="223" t="s">
        <v>200</v>
      </c>
      <c r="C4533" s="223"/>
      <c r="K4533" s="319"/>
      <c r="L4533" s="218"/>
    </row>
    <row r="4534">
      <c r="B4534" s="223" t="s">
        <v>200</v>
      </c>
      <c r="C4534" s="223"/>
      <c r="K4534" s="319"/>
      <c r="L4534" s="218"/>
    </row>
    <row r="4535">
      <c r="B4535" s="223" t="s">
        <v>200</v>
      </c>
      <c r="C4535" s="223"/>
      <c r="K4535" s="319"/>
      <c r="L4535" s="218"/>
    </row>
    <row r="4536">
      <c r="B4536" s="223" t="s">
        <v>200</v>
      </c>
      <c r="C4536" s="223"/>
      <c r="K4536" s="319"/>
      <c r="L4536" s="218"/>
    </row>
    <row r="4537">
      <c r="B4537" s="223" t="s">
        <v>200</v>
      </c>
      <c r="C4537" s="223"/>
      <c r="K4537" s="319"/>
      <c r="L4537" s="218"/>
    </row>
    <row r="4538">
      <c r="B4538" s="223" t="s">
        <v>200</v>
      </c>
      <c r="C4538" s="223"/>
      <c r="K4538" s="319"/>
      <c r="L4538" s="218"/>
    </row>
    <row r="4539">
      <c r="B4539" s="223" t="s">
        <v>200</v>
      </c>
      <c r="C4539" s="223"/>
      <c r="K4539" s="319"/>
      <c r="L4539" s="218"/>
    </row>
    <row r="4540">
      <c r="B4540" s="223" t="s">
        <v>200</v>
      </c>
      <c r="C4540" s="223"/>
      <c r="K4540" s="319"/>
      <c r="L4540" s="218"/>
    </row>
    <row r="4541">
      <c r="B4541" s="223" t="s">
        <v>200</v>
      </c>
      <c r="C4541" s="223"/>
      <c r="K4541" s="319"/>
      <c r="L4541" s="218"/>
    </row>
    <row r="4542">
      <c r="B4542" s="223" t="s">
        <v>200</v>
      </c>
      <c r="C4542" s="223"/>
      <c r="K4542" s="319"/>
      <c r="L4542" s="218"/>
    </row>
    <row r="4543">
      <c r="B4543" s="223" t="s">
        <v>200</v>
      </c>
      <c r="C4543" s="223"/>
      <c r="K4543" s="319"/>
      <c r="L4543" s="218"/>
    </row>
    <row r="4544">
      <c r="B4544" s="223" t="s">
        <v>200</v>
      </c>
      <c r="C4544" s="223"/>
      <c r="K4544" s="319"/>
      <c r="L4544" s="218"/>
    </row>
    <row r="4545">
      <c r="B4545" s="223" t="s">
        <v>200</v>
      </c>
      <c r="C4545" s="223"/>
      <c r="K4545" s="319"/>
      <c r="L4545" s="218"/>
    </row>
    <row r="4546">
      <c r="B4546" s="223" t="s">
        <v>200</v>
      </c>
      <c r="C4546" s="223"/>
      <c r="K4546" s="319"/>
      <c r="L4546" s="218"/>
    </row>
    <row r="4547">
      <c r="B4547" s="223" t="s">
        <v>200</v>
      </c>
      <c r="C4547" s="223"/>
      <c r="K4547" s="319"/>
      <c r="L4547" s="218"/>
    </row>
    <row r="4548">
      <c r="B4548" s="223" t="s">
        <v>200</v>
      </c>
      <c r="C4548" s="223"/>
      <c r="K4548" s="319"/>
      <c r="L4548" s="218"/>
    </row>
    <row r="4549">
      <c r="B4549" s="223" t="s">
        <v>200</v>
      </c>
      <c r="C4549" s="223"/>
      <c r="K4549" s="319"/>
      <c r="L4549" s="218"/>
    </row>
    <row r="4550">
      <c r="B4550" s="223" t="s">
        <v>200</v>
      </c>
      <c r="C4550" s="223"/>
      <c r="K4550" s="319"/>
      <c r="L4550" s="218"/>
    </row>
    <row r="4551">
      <c r="B4551" s="223" t="s">
        <v>200</v>
      </c>
      <c r="C4551" s="223"/>
      <c r="K4551" s="319"/>
      <c r="L4551" s="218"/>
    </row>
    <row r="4552">
      <c r="B4552" s="223" t="s">
        <v>200</v>
      </c>
      <c r="C4552" s="223"/>
      <c r="K4552" s="319"/>
      <c r="L4552" s="218"/>
    </row>
    <row r="4553">
      <c r="B4553" s="223" t="s">
        <v>200</v>
      </c>
      <c r="C4553" s="223"/>
      <c r="K4553" s="319"/>
      <c r="L4553" s="218"/>
    </row>
    <row r="4554">
      <c r="B4554" s="223" t="s">
        <v>200</v>
      </c>
      <c r="C4554" s="223"/>
      <c r="K4554" s="319"/>
      <c r="L4554" s="218"/>
    </row>
    <row r="4555">
      <c r="B4555" s="223" t="s">
        <v>200</v>
      </c>
      <c r="C4555" s="223"/>
      <c r="K4555" s="319"/>
      <c r="L4555" s="218"/>
    </row>
    <row r="4556">
      <c r="B4556" s="223" t="s">
        <v>200</v>
      </c>
      <c r="C4556" s="223"/>
      <c r="K4556" s="319"/>
      <c r="L4556" s="218"/>
    </row>
    <row r="4557">
      <c r="B4557" s="223" t="s">
        <v>200</v>
      </c>
      <c r="C4557" s="223"/>
      <c r="K4557" s="319"/>
      <c r="L4557" s="218"/>
    </row>
    <row r="4558">
      <c r="B4558" s="223" t="s">
        <v>200</v>
      </c>
      <c r="C4558" s="223"/>
      <c r="K4558" s="319"/>
      <c r="L4558" s="218"/>
    </row>
    <row r="4559">
      <c r="B4559" s="223" t="s">
        <v>200</v>
      </c>
      <c r="C4559" s="223"/>
      <c r="K4559" s="319"/>
      <c r="L4559" s="218"/>
    </row>
    <row r="4560">
      <c r="B4560" s="223" t="s">
        <v>200</v>
      </c>
      <c r="C4560" s="223"/>
      <c r="K4560" s="319"/>
      <c r="L4560" s="218"/>
    </row>
    <row r="4561">
      <c r="B4561" s="223" t="s">
        <v>200</v>
      </c>
      <c r="C4561" s="223"/>
      <c r="K4561" s="319"/>
      <c r="L4561" s="218"/>
    </row>
    <row r="4562">
      <c r="B4562" s="223" t="s">
        <v>200</v>
      </c>
      <c r="C4562" s="223"/>
      <c r="K4562" s="319"/>
      <c r="L4562" s="218"/>
    </row>
    <row r="4563">
      <c r="B4563" s="223" t="s">
        <v>200</v>
      </c>
      <c r="C4563" s="223"/>
      <c r="K4563" s="319"/>
      <c r="L4563" s="218"/>
    </row>
    <row r="4564">
      <c r="B4564" s="223" t="s">
        <v>200</v>
      </c>
      <c r="C4564" s="223"/>
      <c r="K4564" s="319"/>
      <c r="L4564" s="218"/>
    </row>
    <row r="4565">
      <c r="B4565" s="223" t="s">
        <v>200</v>
      </c>
      <c r="C4565" s="223"/>
      <c r="K4565" s="319"/>
      <c r="L4565" s="218"/>
    </row>
    <row r="4566">
      <c r="B4566" s="223" t="s">
        <v>200</v>
      </c>
      <c r="C4566" s="223"/>
      <c r="K4566" s="319"/>
      <c r="L4566" s="218"/>
    </row>
    <row r="4567">
      <c r="B4567" s="223" t="s">
        <v>200</v>
      </c>
      <c r="C4567" s="223"/>
      <c r="K4567" s="319"/>
      <c r="L4567" s="218"/>
    </row>
    <row r="4568">
      <c r="B4568" s="223" t="s">
        <v>200</v>
      </c>
      <c r="C4568" s="223"/>
      <c r="K4568" s="319"/>
      <c r="L4568" s="218"/>
    </row>
    <row r="4569">
      <c r="B4569" s="223" t="s">
        <v>200</v>
      </c>
      <c r="C4569" s="223"/>
      <c r="K4569" s="319"/>
      <c r="L4569" s="218"/>
    </row>
    <row r="4570">
      <c r="B4570" s="223" t="s">
        <v>200</v>
      </c>
      <c r="C4570" s="223"/>
      <c r="K4570" s="319"/>
      <c r="L4570" s="218"/>
    </row>
    <row r="4571">
      <c r="B4571" s="223" t="s">
        <v>200</v>
      </c>
      <c r="C4571" s="223"/>
      <c r="K4571" s="319"/>
      <c r="L4571" s="218"/>
    </row>
    <row r="4572">
      <c r="B4572" s="223" t="s">
        <v>200</v>
      </c>
      <c r="C4572" s="223"/>
      <c r="K4572" s="319"/>
      <c r="L4572" s="218"/>
    </row>
    <row r="4573">
      <c r="B4573" s="223" t="s">
        <v>200</v>
      </c>
      <c r="C4573" s="223"/>
      <c r="K4573" s="319"/>
      <c r="L4573" s="218"/>
    </row>
    <row r="4574">
      <c r="B4574" s="223" t="s">
        <v>200</v>
      </c>
      <c r="C4574" s="223"/>
      <c r="K4574" s="319"/>
      <c r="L4574" s="218"/>
    </row>
    <row r="4575">
      <c r="B4575" s="223" t="s">
        <v>200</v>
      </c>
      <c r="C4575" s="223"/>
      <c r="K4575" s="319"/>
      <c r="L4575" s="218"/>
    </row>
    <row r="4576">
      <c r="B4576" s="223" t="s">
        <v>200</v>
      </c>
      <c r="C4576" s="223"/>
      <c r="K4576" s="319"/>
      <c r="L4576" s="218"/>
    </row>
    <row r="4577">
      <c r="B4577" s="223" t="s">
        <v>200</v>
      </c>
      <c r="C4577" s="223"/>
      <c r="K4577" s="319"/>
      <c r="L4577" s="218"/>
    </row>
    <row r="4578">
      <c r="B4578" s="223" t="s">
        <v>200</v>
      </c>
      <c r="C4578" s="223"/>
      <c r="K4578" s="319"/>
      <c r="L4578" s="218"/>
    </row>
    <row r="4579">
      <c r="B4579" s="223" t="s">
        <v>200</v>
      </c>
      <c r="C4579" s="223"/>
      <c r="K4579" s="319"/>
      <c r="L4579" s="218"/>
    </row>
    <row r="4580">
      <c r="B4580" s="223" t="s">
        <v>200</v>
      </c>
      <c r="C4580" s="223"/>
      <c r="K4580" s="319"/>
      <c r="L4580" s="218"/>
    </row>
    <row r="4581">
      <c r="B4581" s="223" t="s">
        <v>200</v>
      </c>
      <c r="C4581" s="223"/>
      <c r="K4581" s="319"/>
      <c r="L4581" s="218"/>
    </row>
    <row r="4582">
      <c r="B4582" s="223" t="s">
        <v>200</v>
      </c>
      <c r="C4582" s="223"/>
      <c r="K4582" s="319"/>
      <c r="L4582" s="218"/>
    </row>
    <row r="4583">
      <c r="B4583" s="223" t="s">
        <v>200</v>
      </c>
      <c r="C4583" s="223"/>
      <c r="K4583" s="319"/>
      <c r="L4583" s="218"/>
    </row>
    <row r="4584">
      <c r="B4584" s="223" t="s">
        <v>200</v>
      </c>
      <c r="C4584" s="223"/>
      <c r="K4584" s="319"/>
      <c r="L4584" s="218"/>
    </row>
    <row r="4585">
      <c r="B4585" s="223" t="s">
        <v>200</v>
      </c>
      <c r="C4585" s="223"/>
      <c r="K4585" s="319"/>
      <c r="L4585" s="218"/>
    </row>
    <row r="4586">
      <c r="B4586" s="223" t="s">
        <v>200</v>
      </c>
      <c r="C4586" s="223"/>
      <c r="K4586" s="319"/>
      <c r="L4586" s="218"/>
    </row>
    <row r="4587">
      <c r="B4587" s="223" t="s">
        <v>200</v>
      </c>
      <c r="C4587" s="223"/>
      <c r="K4587" s="319"/>
      <c r="L4587" s="218"/>
    </row>
    <row r="4588">
      <c r="B4588" s="223" t="s">
        <v>200</v>
      </c>
      <c r="C4588" s="223"/>
      <c r="K4588" s="319"/>
      <c r="L4588" s="218"/>
    </row>
    <row r="4589">
      <c r="B4589" s="223" t="s">
        <v>200</v>
      </c>
      <c r="C4589" s="223"/>
      <c r="K4589" s="319"/>
      <c r="L4589" s="218"/>
    </row>
    <row r="4590">
      <c r="B4590" s="223" t="s">
        <v>200</v>
      </c>
      <c r="C4590" s="223"/>
      <c r="K4590" s="319"/>
      <c r="L4590" s="218"/>
    </row>
    <row r="4591">
      <c r="B4591" s="223" t="s">
        <v>200</v>
      </c>
      <c r="C4591" s="223"/>
      <c r="K4591" s="319"/>
      <c r="L4591" s="218"/>
    </row>
    <row r="4592">
      <c r="B4592" s="223" t="s">
        <v>200</v>
      </c>
      <c r="C4592" s="223"/>
      <c r="K4592" s="319"/>
      <c r="L4592" s="218"/>
    </row>
    <row r="4593">
      <c r="B4593" s="223" t="s">
        <v>200</v>
      </c>
      <c r="C4593" s="223"/>
      <c r="K4593" s="319"/>
      <c r="L4593" s="218"/>
    </row>
    <row r="4594">
      <c r="B4594" s="223" t="s">
        <v>200</v>
      </c>
      <c r="C4594" s="223"/>
      <c r="K4594" s="319"/>
      <c r="L4594" s="218"/>
    </row>
    <row r="4595">
      <c r="B4595" s="223" t="s">
        <v>200</v>
      </c>
      <c r="C4595" s="223"/>
      <c r="K4595" s="319"/>
      <c r="L4595" s="218"/>
    </row>
    <row r="4596">
      <c r="B4596" s="223" t="s">
        <v>200</v>
      </c>
      <c r="C4596" s="223"/>
      <c r="K4596" s="319"/>
      <c r="L4596" s="218"/>
    </row>
    <row r="4597">
      <c r="B4597" s="223" t="s">
        <v>200</v>
      </c>
      <c r="C4597" s="223"/>
      <c r="K4597" s="319"/>
      <c r="L4597" s="218"/>
    </row>
    <row r="4598">
      <c r="B4598" s="223" t="s">
        <v>200</v>
      </c>
      <c r="C4598" s="223"/>
      <c r="K4598" s="319"/>
      <c r="L4598" s="218"/>
    </row>
    <row r="4599">
      <c r="B4599" s="223" t="s">
        <v>200</v>
      </c>
      <c r="C4599" s="223"/>
      <c r="K4599" s="319"/>
      <c r="L4599" s="218"/>
    </row>
    <row r="4600">
      <c r="B4600" s="223" t="s">
        <v>200</v>
      </c>
      <c r="C4600" s="223"/>
      <c r="K4600" s="319"/>
      <c r="L4600" s="218"/>
    </row>
    <row r="4601">
      <c r="B4601" s="223" t="s">
        <v>200</v>
      </c>
      <c r="C4601" s="223"/>
      <c r="K4601" s="319"/>
      <c r="L4601" s="218"/>
    </row>
    <row r="4602">
      <c r="B4602" s="223" t="s">
        <v>200</v>
      </c>
      <c r="C4602" s="223"/>
      <c r="K4602" s="319"/>
      <c r="L4602" s="218"/>
    </row>
    <row r="4603">
      <c r="B4603" s="223" t="s">
        <v>200</v>
      </c>
      <c r="C4603" s="223"/>
      <c r="K4603" s="319"/>
      <c r="L4603" s="218"/>
    </row>
    <row r="4604">
      <c r="B4604" s="223" t="s">
        <v>200</v>
      </c>
      <c r="C4604" s="223"/>
      <c r="K4604" s="319"/>
      <c r="L4604" s="218"/>
    </row>
    <row r="4605">
      <c r="B4605" s="223" t="s">
        <v>200</v>
      </c>
      <c r="C4605" s="223"/>
      <c r="K4605" s="319"/>
      <c r="L4605" s="218"/>
    </row>
    <row r="4606">
      <c r="B4606" s="223" t="s">
        <v>200</v>
      </c>
      <c r="C4606" s="223"/>
      <c r="K4606" s="319"/>
      <c r="L4606" s="218"/>
    </row>
    <row r="4607">
      <c r="B4607" s="223" t="s">
        <v>200</v>
      </c>
      <c r="C4607" s="223"/>
      <c r="K4607" s="319"/>
      <c r="L4607" s="218"/>
    </row>
    <row r="4608">
      <c r="B4608" s="223" t="s">
        <v>200</v>
      </c>
      <c r="C4608" s="223"/>
      <c r="K4608" s="319"/>
      <c r="L4608" s="218"/>
    </row>
    <row r="4609">
      <c r="B4609" s="223" t="s">
        <v>200</v>
      </c>
      <c r="C4609" s="223"/>
      <c r="K4609" s="319"/>
      <c r="L4609" s="218"/>
    </row>
    <row r="4610">
      <c r="B4610" s="223" t="s">
        <v>200</v>
      </c>
      <c r="C4610" s="223"/>
      <c r="K4610" s="319"/>
      <c r="L4610" s="218"/>
    </row>
    <row r="4611">
      <c r="B4611" s="223" t="s">
        <v>200</v>
      </c>
      <c r="C4611" s="223"/>
      <c r="K4611" s="319"/>
      <c r="L4611" s="218"/>
    </row>
    <row r="4612">
      <c r="B4612" s="223" t="s">
        <v>200</v>
      </c>
      <c r="C4612" s="223"/>
      <c r="K4612" s="319"/>
      <c r="L4612" s="218"/>
    </row>
    <row r="4613">
      <c r="B4613" s="223" t="s">
        <v>200</v>
      </c>
      <c r="C4613" s="223"/>
      <c r="K4613" s="319"/>
      <c r="L4613" s="218"/>
    </row>
    <row r="4614">
      <c r="B4614" s="223" t="s">
        <v>200</v>
      </c>
      <c r="C4614" s="223"/>
      <c r="K4614" s="319"/>
      <c r="L4614" s="218"/>
    </row>
    <row r="4615">
      <c r="B4615" s="223" t="s">
        <v>200</v>
      </c>
      <c r="C4615" s="223"/>
      <c r="K4615" s="319"/>
      <c r="L4615" s="218"/>
    </row>
    <row r="4616">
      <c r="B4616" s="223" t="s">
        <v>200</v>
      </c>
      <c r="C4616" s="223"/>
      <c r="K4616" s="319"/>
      <c r="L4616" s="218"/>
    </row>
    <row r="4617">
      <c r="B4617" s="223" t="s">
        <v>200</v>
      </c>
      <c r="C4617" s="223"/>
      <c r="K4617" s="319"/>
      <c r="L4617" s="218"/>
    </row>
    <row r="4618">
      <c r="B4618" s="223" t="s">
        <v>200</v>
      </c>
      <c r="C4618" s="223"/>
      <c r="K4618" s="319"/>
      <c r="L4618" s="218"/>
    </row>
    <row r="4619">
      <c r="B4619" s="223" t="s">
        <v>200</v>
      </c>
      <c r="C4619" s="223"/>
      <c r="K4619" s="319"/>
      <c r="L4619" s="218"/>
    </row>
    <row r="4620">
      <c r="B4620" s="223" t="s">
        <v>200</v>
      </c>
      <c r="C4620" s="223"/>
      <c r="K4620" s="319"/>
      <c r="L4620" s="218"/>
    </row>
    <row r="4621">
      <c r="B4621" s="223" t="s">
        <v>200</v>
      </c>
      <c r="C4621" s="223"/>
      <c r="K4621" s="319"/>
      <c r="L4621" s="218"/>
    </row>
    <row r="4622">
      <c r="B4622" s="223" t="s">
        <v>200</v>
      </c>
      <c r="C4622" s="223"/>
      <c r="K4622" s="319"/>
      <c r="L4622" s="218"/>
    </row>
    <row r="4623">
      <c r="B4623" s="223" t="s">
        <v>200</v>
      </c>
      <c r="C4623" s="223"/>
      <c r="K4623" s="319"/>
      <c r="L4623" s="218"/>
    </row>
    <row r="4624">
      <c r="B4624" s="223" t="s">
        <v>200</v>
      </c>
      <c r="C4624" s="223"/>
      <c r="K4624" s="319"/>
      <c r="L4624" s="218"/>
    </row>
    <row r="4625">
      <c r="B4625" s="223" t="s">
        <v>200</v>
      </c>
      <c r="C4625" s="223"/>
      <c r="K4625" s="319"/>
      <c r="L4625" s="218"/>
    </row>
    <row r="4626">
      <c r="B4626" s="223" t="s">
        <v>200</v>
      </c>
      <c r="C4626" s="223"/>
      <c r="K4626" s="319"/>
      <c r="L4626" s="218"/>
    </row>
    <row r="4627">
      <c r="B4627" s="223" t="s">
        <v>200</v>
      </c>
      <c r="C4627" s="223"/>
      <c r="K4627" s="319"/>
      <c r="L4627" s="218"/>
    </row>
    <row r="4628">
      <c r="B4628" s="223" t="s">
        <v>200</v>
      </c>
      <c r="C4628" s="223"/>
      <c r="K4628" s="319"/>
      <c r="L4628" s="218"/>
    </row>
    <row r="4629">
      <c r="B4629" s="223" t="s">
        <v>200</v>
      </c>
      <c r="C4629" s="223"/>
      <c r="K4629" s="319"/>
      <c r="L4629" s="218"/>
    </row>
    <row r="4630">
      <c r="B4630" s="223" t="s">
        <v>200</v>
      </c>
      <c r="C4630" s="223"/>
      <c r="K4630" s="319"/>
      <c r="L4630" s="218"/>
    </row>
    <row r="4631">
      <c r="B4631" s="223" t="s">
        <v>200</v>
      </c>
      <c r="C4631" s="223"/>
      <c r="K4631" s="319"/>
      <c r="L4631" s="218"/>
    </row>
    <row r="4632">
      <c r="B4632" s="223" t="s">
        <v>200</v>
      </c>
      <c r="C4632" s="223"/>
      <c r="K4632" s="319"/>
      <c r="L4632" s="218"/>
    </row>
    <row r="4633">
      <c r="B4633" s="223" t="s">
        <v>200</v>
      </c>
      <c r="C4633" s="223"/>
      <c r="K4633" s="319"/>
      <c r="L4633" s="218"/>
    </row>
    <row r="4634">
      <c r="B4634" s="223" t="s">
        <v>200</v>
      </c>
      <c r="C4634" s="223"/>
      <c r="K4634" s="319"/>
      <c r="L4634" s="218"/>
    </row>
    <row r="4635">
      <c r="B4635" s="223" t="s">
        <v>200</v>
      </c>
      <c r="C4635" s="223"/>
      <c r="K4635" s="319"/>
      <c r="L4635" s="218"/>
    </row>
    <row r="4636">
      <c r="B4636" s="223" t="s">
        <v>200</v>
      </c>
      <c r="C4636" s="223"/>
      <c r="K4636" s="319"/>
      <c r="L4636" s="218"/>
    </row>
    <row r="4637">
      <c r="B4637" s="223" t="s">
        <v>200</v>
      </c>
      <c r="C4637" s="223"/>
      <c r="K4637" s="319"/>
      <c r="L4637" s="218"/>
    </row>
    <row r="4638">
      <c r="B4638" s="223" t="s">
        <v>200</v>
      </c>
      <c r="C4638" s="223"/>
      <c r="K4638" s="319"/>
      <c r="L4638" s="218"/>
    </row>
    <row r="4639">
      <c r="B4639" s="223" t="s">
        <v>200</v>
      </c>
      <c r="C4639" s="223"/>
      <c r="K4639" s="319"/>
      <c r="L4639" s="218"/>
    </row>
    <row r="4640">
      <c r="B4640" s="223" t="s">
        <v>200</v>
      </c>
      <c r="C4640" s="223"/>
      <c r="K4640" s="319"/>
      <c r="L4640" s="218"/>
    </row>
    <row r="4641">
      <c r="B4641" s="223" t="s">
        <v>200</v>
      </c>
      <c r="C4641" s="223"/>
      <c r="K4641" s="319"/>
      <c r="L4641" s="218"/>
    </row>
    <row r="4642">
      <c r="B4642" s="223" t="s">
        <v>200</v>
      </c>
      <c r="C4642" s="223"/>
      <c r="K4642" s="319"/>
      <c r="L4642" s="218"/>
    </row>
    <row r="4643">
      <c r="B4643" s="223" t="s">
        <v>200</v>
      </c>
      <c r="C4643" s="223"/>
      <c r="K4643" s="319"/>
      <c r="L4643" s="218"/>
    </row>
    <row r="4644">
      <c r="B4644" s="223" t="s">
        <v>200</v>
      </c>
      <c r="C4644" s="223"/>
      <c r="K4644" s="319"/>
      <c r="L4644" s="218"/>
    </row>
    <row r="4645">
      <c r="B4645" s="223" t="s">
        <v>200</v>
      </c>
      <c r="C4645" s="223"/>
      <c r="K4645" s="319"/>
      <c r="L4645" s="218"/>
    </row>
    <row r="4646">
      <c r="B4646" s="223" t="s">
        <v>200</v>
      </c>
      <c r="C4646" s="223"/>
      <c r="K4646" s="319"/>
      <c r="L4646" s="218"/>
    </row>
    <row r="4647">
      <c r="B4647" s="223" t="s">
        <v>200</v>
      </c>
      <c r="C4647" s="223"/>
      <c r="K4647" s="319"/>
      <c r="L4647" s="218"/>
    </row>
    <row r="4648">
      <c r="B4648" s="223" t="s">
        <v>200</v>
      </c>
      <c r="C4648" s="223"/>
      <c r="K4648" s="319"/>
      <c r="L4648" s="218"/>
    </row>
    <row r="4649">
      <c r="B4649" s="223" t="s">
        <v>200</v>
      </c>
      <c r="C4649" s="223"/>
      <c r="K4649" s="319"/>
      <c r="L4649" s="218"/>
    </row>
    <row r="4650">
      <c r="B4650" s="223" t="s">
        <v>200</v>
      </c>
      <c r="C4650" s="223"/>
      <c r="K4650" s="319"/>
      <c r="L4650" s="218"/>
    </row>
    <row r="4651">
      <c r="B4651" s="223" t="s">
        <v>200</v>
      </c>
      <c r="C4651" s="223"/>
      <c r="K4651" s="319"/>
      <c r="L4651" s="218"/>
    </row>
    <row r="4652">
      <c r="B4652" s="223" t="s">
        <v>200</v>
      </c>
      <c r="C4652" s="223"/>
      <c r="K4652" s="319"/>
      <c r="L4652" s="218"/>
    </row>
    <row r="4653">
      <c r="B4653" s="223" t="s">
        <v>200</v>
      </c>
      <c r="C4653" s="223"/>
      <c r="K4653" s="319"/>
      <c r="L4653" s="218"/>
    </row>
    <row r="4654">
      <c r="B4654" s="223" t="s">
        <v>200</v>
      </c>
      <c r="C4654" s="223"/>
      <c r="K4654" s="319"/>
      <c r="L4654" s="218"/>
    </row>
    <row r="4655">
      <c r="B4655" s="223" t="s">
        <v>200</v>
      </c>
      <c r="C4655" s="223"/>
      <c r="K4655" s="319"/>
      <c r="L4655" s="218"/>
    </row>
    <row r="4656">
      <c r="B4656" s="223" t="s">
        <v>200</v>
      </c>
      <c r="C4656" s="223"/>
      <c r="K4656" s="319"/>
      <c r="L4656" s="218"/>
    </row>
    <row r="4657">
      <c r="B4657" s="223" t="s">
        <v>200</v>
      </c>
      <c r="C4657" s="223"/>
      <c r="K4657" s="319"/>
      <c r="L4657" s="218"/>
    </row>
    <row r="4658">
      <c r="B4658" s="223" t="s">
        <v>200</v>
      </c>
      <c r="C4658" s="223"/>
      <c r="K4658" s="319"/>
      <c r="L4658" s="218"/>
    </row>
    <row r="4659">
      <c r="B4659" s="223" t="s">
        <v>200</v>
      </c>
      <c r="C4659" s="223"/>
      <c r="K4659" s="319"/>
      <c r="L4659" s="218"/>
    </row>
    <row r="4660">
      <c r="B4660" s="223" t="s">
        <v>200</v>
      </c>
      <c r="C4660" s="223"/>
      <c r="K4660" s="319"/>
      <c r="L4660" s="218"/>
    </row>
    <row r="4661">
      <c r="B4661" s="223" t="s">
        <v>200</v>
      </c>
      <c r="C4661" s="223"/>
      <c r="K4661" s="319"/>
      <c r="L4661" s="218"/>
    </row>
    <row r="4662">
      <c r="B4662" s="223" t="s">
        <v>200</v>
      </c>
      <c r="C4662" s="223"/>
      <c r="K4662" s="319"/>
      <c r="L4662" s="218"/>
    </row>
    <row r="4663">
      <c r="B4663" s="223" t="s">
        <v>200</v>
      </c>
      <c r="C4663" s="223"/>
      <c r="K4663" s="319"/>
      <c r="L4663" s="218"/>
    </row>
    <row r="4664">
      <c r="B4664" s="223" t="s">
        <v>200</v>
      </c>
      <c r="C4664" s="223"/>
      <c r="K4664" s="319"/>
      <c r="L4664" s="218"/>
    </row>
    <row r="4665">
      <c r="B4665" s="223" t="s">
        <v>200</v>
      </c>
      <c r="C4665" s="223"/>
      <c r="K4665" s="319"/>
      <c r="L4665" s="218"/>
    </row>
    <row r="4666">
      <c r="B4666" s="223" t="s">
        <v>200</v>
      </c>
      <c r="C4666" s="223"/>
      <c r="K4666" s="319"/>
      <c r="L4666" s="218"/>
    </row>
    <row r="4667">
      <c r="B4667" s="223" t="s">
        <v>200</v>
      </c>
      <c r="C4667" s="223"/>
      <c r="K4667" s="319"/>
      <c r="L4667" s="218"/>
    </row>
    <row r="4668">
      <c r="B4668" s="223" t="s">
        <v>200</v>
      </c>
      <c r="C4668" s="223"/>
      <c r="K4668" s="319"/>
      <c r="L4668" s="218"/>
    </row>
    <row r="4669">
      <c r="B4669" s="223" t="s">
        <v>200</v>
      </c>
      <c r="C4669" s="223"/>
      <c r="K4669" s="319"/>
      <c r="L4669" s="218"/>
    </row>
    <row r="4670">
      <c r="B4670" s="223" t="s">
        <v>200</v>
      </c>
      <c r="C4670" s="223"/>
      <c r="K4670" s="319"/>
      <c r="L4670" s="218"/>
    </row>
    <row r="4671">
      <c r="B4671" s="223" t="s">
        <v>200</v>
      </c>
      <c r="C4671" s="223"/>
      <c r="K4671" s="319"/>
      <c r="L4671" s="218"/>
    </row>
    <row r="4672">
      <c r="B4672" s="223" t="s">
        <v>200</v>
      </c>
      <c r="C4672" s="223"/>
      <c r="K4672" s="319"/>
      <c r="L4672" s="218"/>
    </row>
    <row r="4673">
      <c r="B4673" s="223" t="s">
        <v>200</v>
      </c>
      <c r="C4673" s="223"/>
      <c r="K4673" s="319"/>
      <c r="L4673" s="218"/>
    </row>
    <row r="4674">
      <c r="B4674" s="223" t="s">
        <v>200</v>
      </c>
      <c r="C4674" s="223"/>
      <c r="K4674" s="319"/>
      <c r="L4674" s="218"/>
    </row>
    <row r="4675">
      <c r="B4675" s="223" t="s">
        <v>200</v>
      </c>
      <c r="C4675" s="223"/>
      <c r="K4675" s="319"/>
      <c r="L4675" s="218"/>
    </row>
    <row r="4676">
      <c r="B4676" s="223" t="s">
        <v>200</v>
      </c>
      <c r="C4676" s="223"/>
      <c r="K4676" s="319"/>
      <c r="L4676" s="218"/>
    </row>
    <row r="4677">
      <c r="B4677" s="223" t="s">
        <v>200</v>
      </c>
      <c r="C4677" s="223"/>
      <c r="K4677" s="319"/>
      <c r="L4677" s="218"/>
    </row>
    <row r="4678">
      <c r="B4678" s="223" t="s">
        <v>200</v>
      </c>
      <c r="C4678" s="223"/>
      <c r="K4678" s="319"/>
      <c r="L4678" s="218"/>
    </row>
    <row r="4679">
      <c r="B4679" s="223" t="s">
        <v>200</v>
      </c>
      <c r="C4679" s="223"/>
      <c r="K4679" s="319"/>
      <c r="L4679" s="218"/>
    </row>
    <row r="4680">
      <c r="B4680" s="223" t="s">
        <v>200</v>
      </c>
      <c r="C4680" s="223"/>
      <c r="K4680" s="319"/>
      <c r="L4680" s="218"/>
    </row>
    <row r="4681">
      <c r="B4681" s="223" t="s">
        <v>200</v>
      </c>
      <c r="C4681" s="223"/>
      <c r="K4681" s="319"/>
      <c r="L4681" s="218"/>
    </row>
    <row r="4682">
      <c r="B4682" s="223" t="s">
        <v>200</v>
      </c>
      <c r="C4682" s="223"/>
      <c r="K4682" s="319"/>
      <c r="L4682" s="218"/>
    </row>
    <row r="4683">
      <c r="B4683" s="223" t="s">
        <v>200</v>
      </c>
      <c r="C4683" s="223"/>
      <c r="K4683" s="319"/>
      <c r="L4683" s="218"/>
    </row>
    <row r="4684">
      <c r="B4684" s="223" t="s">
        <v>200</v>
      </c>
      <c r="C4684" s="223"/>
      <c r="K4684" s="319"/>
      <c r="L4684" s="218"/>
    </row>
    <row r="4685">
      <c r="B4685" s="223" t="s">
        <v>200</v>
      </c>
      <c r="C4685" s="223"/>
      <c r="K4685" s="319"/>
      <c r="L4685" s="218"/>
    </row>
    <row r="4686">
      <c r="B4686" s="223" t="s">
        <v>200</v>
      </c>
      <c r="C4686" s="223"/>
      <c r="K4686" s="319"/>
      <c r="L4686" s="218"/>
    </row>
    <row r="4687">
      <c r="B4687" s="223" t="s">
        <v>200</v>
      </c>
      <c r="C4687" s="223"/>
      <c r="K4687" s="319"/>
      <c r="L4687" s="218"/>
    </row>
    <row r="4688">
      <c r="B4688" s="223" t="s">
        <v>200</v>
      </c>
      <c r="C4688" s="223"/>
      <c r="K4688" s="319"/>
      <c r="L4688" s="218"/>
    </row>
    <row r="4689">
      <c r="B4689" s="223" t="s">
        <v>200</v>
      </c>
      <c r="C4689" s="223"/>
      <c r="K4689" s="319"/>
      <c r="L4689" s="218"/>
    </row>
    <row r="4690">
      <c r="B4690" s="223" t="s">
        <v>200</v>
      </c>
      <c r="C4690" s="223"/>
      <c r="K4690" s="319"/>
      <c r="L4690" s="218"/>
    </row>
    <row r="4691">
      <c r="B4691" s="223" t="s">
        <v>200</v>
      </c>
      <c r="C4691" s="223"/>
      <c r="K4691" s="319"/>
      <c r="L4691" s="218"/>
    </row>
    <row r="4692">
      <c r="B4692" s="223" t="s">
        <v>200</v>
      </c>
      <c r="C4692" s="223"/>
      <c r="K4692" s="319"/>
      <c r="L4692" s="218"/>
    </row>
    <row r="4693">
      <c r="B4693" s="223" t="s">
        <v>200</v>
      </c>
      <c r="C4693" s="223"/>
      <c r="K4693" s="319"/>
      <c r="L4693" s="218"/>
    </row>
    <row r="4694">
      <c r="B4694" s="223" t="s">
        <v>200</v>
      </c>
      <c r="C4694" s="223"/>
      <c r="K4694" s="319"/>
      <c r="L4694" s="218"/>
    </row>
    <row r="4695">
      <c r="B4695" s="223" t="s">
        <v>200</v>
      </c>
      <c r="C4695" s="223"/>
      <c r="K4695" s="319"/>
      <c r="L4695" s="218"/>
    </row>
    <row r="4696">
      <c r="B4696" s="223" t="s">
        <v>200</v>
      </c>
      <c r="C4696" s="223"/>
      <c r="K4696" s="319"/>
      <c r="L4696" s="218"/>
    </row>
    <row r="4697">
      <c r="B4697" s="223" t="s">
        <v>200</v>
      </c>
      <c r="C4697" s="223"/>
      <c r="K4697" s="319"/>
      <c r="L4697" s="218"/>
    </row>
    <row r="4698">
      <c r="B4698" s="223" t="s">
        <v>200</v>
      </c>
      <c r="C4698" s="223"/>
      <c r="K4698" s="319"/>
      <c r="L4698" s="218"/>
    </row>
    <row r="4699">
      <c r="B4699" s="223" t="s">
        <v>200</v>
      </c>
      <c r="C4699" s="223"/>
      <c r="K4699" s="319"/>
      <c r="L4699" s="218"/>
    </row>
    <row r="4700">
      <c r="B4700" s="223" t="s">
        <v>200</v>
      </c>
      <c r="C4700" s="223"/>
      <c r="K4700" s="319"/>
      <c r="L4700" s="218"/>
    </row>
    <row r="4701">
      <c r="B4701" s="223" t="s">
        <v>200</v>
      </c>
      <c r="C4701" s="223"/>
      <c r="K4701" s="319"/>
      <c r="L4701" s="218"/>
    </row>
    <row r="4702">
      <c r="B4702" s="223" t="s">
        <v>200</v>
      </c>
      <c r="C4702" s="223"/>
      <c r="K4702" s="319"/>
      <c r="L4702" s="218"/>
    </row>
    <row r="4703">
      <c r="B4703" s="223" t="s">
        <v>200</v>
      </c>
      <c r="C4703" s="223"/>
      <c r="K4703" s="319"/>
      <c r="L4703" s="218"/>
    </row>
    <row r="4704">
      <c r="B4704" s="223" t="s">
        <v>200</v>
      </c>
      <c r="C4704" s="223"/>
      <c r="K4704" s="319"/>
      <c r="L4704" s="218"/>
    </row>
    <row r="4705">
      <c r="B4705" s="223" t="s">
        <v>200</v>
      </c>
      <c r="C4705" s="223"/>
      <c r="K4705" s="319"/>
      <c r="L4705" s="218"/>
    </row>
    <row r="4706">
      <c r="B4706" s="223" t="s">
        <v>200</v>
      </c>
      <c r="C4706" s="223"/>
      <c r="K4706" s="319"/>
      <c r="L4706" s="218"/>
    </row>
    <row r="4707">
      <c r="B4707" s="223" t="s">
        <v>200</v>
      </c>
      <c r="C4707" s="223"/>
      <c r="K4707" s="319"/>
      <c r="L4707" s="218"/>
    </row>
    <row r="4708">
      <c r="B4708" s="223" t="s">
        <v>200</v>
      </c>
      <c r="C4708" s="223"/>
      <c r="K4708" s="319"/>
      <c r="L4708" s="218"/>
    </row>
    <row r="4709">
      <c r="B4709" s="223" t="s">
        <v>200</v>
      </c>
      <c r="C4709" s="223"/>
      <c r="K4709" s="319"/>
      <c r="L4709" s="218"/>
    </row>
    <row r="4710">
      <c r="B4710" s="223" t="s">
        <v>200</v>
      </c>
      <c r="C4710" s="223"/>
      <c r="K4710" s="319"/>
      <c r="L4710" s="218"/>
    </row>
    <row r="4711">
      <c r="B4711" s="223" t="s">
        <v>200</v>
      </c>
      <c r="C4711" s="223"/>
      <c r="K4711" s="319"/>
      <c r="L4711" s="218"/>
    </row>
    <row r="4712">
      <c r="B4712" s="223" t="s">
        <v>200</v>
      </c>
      <c r="C4712" s="223"/>
      <c r="K4712" s="319"/>
      <c r="L4712" s="218"/>
    </row>
    <row r="4713">
      <c r="B4713" s="223" t="s">
        <v>200</v>
      </c>
      <c r="C4713" s="223"/>
      <c r="K4713" s="319"/>
      <c r="L4713" s="218"/>
    </row>
    <row r="4714">
      <c r="B4714" s="223" t="s">
        <v>200</v>
      </c>
      <c r="C4714" s="223"/>
      <c r="K4714" s="319"/>
      <c r="L4714" s="218"/>
    </row>
    <row r="4715">
      <c r="B4715" s="223" t="s">
        <v>200</v>
      </c>
      <c r="C4715" s="223"/>
      <c r="K4715" s="319"/>
      <c r="L4715" s="218"/>
    </row>
    <row r="4716">
      <c r="B4716" s="223" t="s">
        <v>200</v>
      </c>
      <c r="C4716" s="223"/>
      <c r="K4716" s="319"/>
      <c r="L4716" s="218"/>
    </row>
    <row r="4717">
      <c r="B4717" s="223" t="s">
        <v>200</v>
      </c>
      <c r="C4717" s="223"/>
      <c r="K4717" s="319"/>
      <c r="L4717" s="218"/>
    </row>
    <row r="4718">
      <c r="B4718" s="223" t="s">
        <v>200</v>
      </c>
      <c r="C4718" s="223"/>
      <c r="K4718" s="319"/>
      <c r="L4718" s="218"/>
    </row>
    <row r="4719">
      <c r="B4719" s="223" t="s">
        <v>200</v>
      </c>
      <c r="C4719" s="223"/>
      <c r="K4719" s="319"/>
      <c r="L4719" s="218"/>
    </row>
    <row r="4720">
      <c r="B4720" s="223" t="s">
        <v>200</v>
      </c>
      <c r="C4720" s="223"/>
      <c r="K4720" s="319"/>
      <c r="L4720" s="218"/>
    </row>
    <row r="4721">
      <c r="B4721" s="223" t="s">
        <v>200</v>
      </c>
      <c r="C4721" s="223"/>
      <c r="K4721" s="319"/>
      <c r="L4721" s="218"/>
    </row>
    <row r="4722">
      <c r="B4722" s="223" t="s">
        <v>200</v>
      </c>
      <c r="C4722" s="223"/>
      <c r="K4722" s="319"/>
      <c r="L4722" s="218"/>
    </row>
    <row r="4723">
      <c r="B4723" s="223" t="s">
        <v>200</v>
      </c>
      <c r="C4723" s="223"/>
      <c r="K4723" s="319"/>
      <c r="L4723" s="218"/>
    </row>
    <row r="4724">
      <c r="B4724" s="223" t="s">
        <v>200</v>
      </c>
      <c r="C4724" s="223"/>
      <c r="K4724" s="319"/>
      <c r="L4724" s="218"/>
    </row>
    <row r="4725">
      <c r="B4725" s="223" t="s">
        <v>200</v>
      </c>
      <c r="C4725" s="223"/>
      <c r="K4725" s="319"/>
      <c r="L4725" s="218"/>
    </row>
    <row r="4726">
      <c r="B4726" s="223" t="s">
        <v>200</v>
      </c>
      <c r="C4726" s="223"/>
      <c r="K4726" s="319"/>
      <c r="L4726" s="218"/>
    </row>
    <row r="4727">
      <c r="B4727" s="223" t="s">
        <v>200</v>
      </c>
      <c r="C4727" s="223"/>
      <c r="K4727" s="319"/>
      <c r="L4727" s="218"/>
    </row>
    <row r="4728">
      <c r="B4728" s="223" t="s">
        <v>200</v>
      </c>
      <c r="C4728" s="223"/>
      <c r="K4728" s="319"/>
      <c r="L4728" s="218"/>
    </row>
    <row r="4729">
      <c r="B4729" s="223" t="s">
        <v>200</v>
      </c>
      <c r="C4729" s="223"/>
      <c r="K4729" s="319"/>
      <c r="L4729" s="218"/>
    </row>
    <row r="4730">
      <c r="B4730" s="223" t="s">
        <v>200</v>
      </c>
      <c r="C4730" s="223"/>
      <c r="K4730" s="319"/>
      <c r="L4730" s="218"/>
    </row>
    <row r="4731">
      <c r="B4731" s="223" t="s">
        <v>200</v>
      </c>
      <c r="C4731" s="223"/>
      <c r="K4731" s="319"/>
      <c r="L4731" s="218"/>
    </row>
    <row r="4732">
      <c r="B4732" s="223" t="s">
        <v>200</v>
      </c>
      <c r="C4732" s="223"/>
      <c r="K4732" s="319"/>
      <c r="L4732" s="218"/>
    </row>
    <row r="4733">
      <c r="B4733" s="223" t="s">
        <v>200</v>
      </c>
      <c r="C4733" s="223"/>
      <c r="K4733" s="319"/>
      <c r="L4733" s="218"/>
    </row>
    <row r="4734">
      <c r="B4734" s="223" t="s">
        <v>200</v>
      </c>
      <c r="C4734" s="223"/>
      <c r="K4734" s="319"/>
      <c r="L4734" s="218"/>
    </row>
    <row r="4735">
      <c r="B4735" s="223" t="s">
        <v>200</v>
      </c>
      <c r="C4735" s="223"/>
      <c r="K4735" s="319"/>
      <c r="L4735" s="218"/>
    </row>
    <row r="4736">
      <c r="B4736" s="223" t="s">
        <v>200</v>
      </c>
      <c r="C4736" s="223"/>
      <c r="K4736" s="319"/>
      <c r="L4736" s="218"/>
    </row>
    <row r="4737">
      <c r="B4737" s="223" t="s">
        <v>200</v>
      </c>
      <c r="C4737" s="223"/>
      <c r="K4737" s="319"/>
      <c r="L4737" s="218"/>
    </row>
    <row r="4738">
      <c r="B4738" s="223" t="s">
        <v>200</v>
      </c>
      <c r="C4738" s="223"/>
      <c r="K4738" s="319"/>
      <c r="L4738" s="218"/>
    </row>
    <row r="4739">
      <c r="B4739" s="223" t="s">
        <v>200</v>
      </c>
      <c r="C4739" s="223"/>
      <c r="K4739" s="319"/>
      <c r="L4739" s="218"/>
    </row>
    <row r="4740">
      <c r="B4740" s="223" t="s">
        <v>200</v>
      </c>
      <c r="C4740" s="223"/>
      <c r="K4740" s="319"/>
      <c r="L4740" s="218"/>
    </row>
    <row r="4741">
      <c r="B4741" s="223" t="s">
        <v>200</v>
      </c>
      <c r="C4741" s="223"/>
      <c r="K4741" s="319"/>
      <c r="L4741" s="218"/>
    </row>
    <row r="4742">
      <c r="B4742" s="223" t="s">
        <v>200</v>
      </c>
      <c r="C4742" s="223"/>
      <c r="K4742" s="319"/>
      <c r="L4742" s="218"/>
    </row>
    <row r="4743">
      <c r="B4743" s="223" t="s">
        <v>200</v>
      </c>
      <c r="C4743" s="223"/>
      <c r="K4743" s="319"/>
      <c r="L4743" s="218"/>
    </row>
    <row r="4744">
      <c r="B4744" s="223" t="s">
        <v>200</v>
      </c>
      <c r="C4744" s="223"/>
      <c r="K4744" s="319"/>
      <c r="L4744" s="218"/>
    </row>
    <row r="4745">
      <c r="B4745" s="223" t="s">
        <v>200</v>
      </c>
      <c r="C4745" s="223"/>
      <c r="K4745" s="319"/>
      <c r="L4745" s="218"/>
    </row>
    <row r="4746">
      <c r="B4746" s="223" t="s">
        <v>200</v>
      </c>
      <c r="C4746" s="223"/>
      <c r="K4746" s="319"/>
      <c r="L4746" s="218"/>
    </row>
    <row r="4747">
      <c r="B4747" s="223" t="s">
        <v>200</v>
      </c>
      <c r="C4747" s="223"/>
      <c r="K4747" s="319"/>
      <c r="L4747" s="218"/>
    </row>
    <row r="4748">
      <c r="B4748" s="223" t="s">
        <v>200</v>
      </c>
      <c r="C4748" s="223"/>
      <c r="K4748" s="319"/>
      <c r="L4748" s="218"/>
    </row>
    <row r="4749">
      <c r="B4749" s="223" t="s">
        <v>200</v>
      </c>
      <c r="C4749" s="223"/>
      <c r="K4749" s="319"/>
      <c r="L4749" s="218"/>
    </row>
    <row r="4750">
      <c r="B4750" s="223" t="s">
        <v>200</v>
      </c>
      <c r="C4750" s="223"/>
      <c r="K4750" s="319"/>
      <c r="L4750" s="218"/>
    </row>
    <row r="4751">
      <c r="B4751" s="223" t="s">
        <v>200</v>
      </c>
      <c r="C4751" s="223"/>
      <c r="K4751" s="319"/>
      <c r="L4751" s="218"/>
    </row>
    <row r="4752">
      <c r="B4752" s="223" t="s">
        <v>200</v>
      </c>
      <c r="C4752" s="223"/>
      <c r="K4752" s="319"/>
      <c r="L4752" s="218"/>
    </row>
    <row r="4753">
      <c r="B4753" s="223" t="s">
        <v>200</v>
      </c>
      <c r="C4753" s="223"/>
      <c r="K4753" s="319"/>
      <c r="L4753" s="218"/>
    </row>
    <row r="4754">
      <c r="B4754" s="223" t="s">
        <v>200</v>
      </c>
      <c r="C4754" s="223"/>
      <c r="K4754" s="319"/>
      <c r="L4754" s="218"/>
    </row>
    <row r="4755">
      <c r="B4755" s="223" t="s">
        <v>200</v>
      </c>
      <c r="C4755" s="223"/>
      <c r="K4755" s="319"/>
      <c r="L4755" s="218"/>
    </row>
    <row r="4756">
      <c r="B4756" s="223" t="s">
        <v>200</v>
      </c>
      <c r="C4756" s="223"/>
      <c r="K4756" s="319"/>
      <c r="L4756" s="218"/>
    </row>
    <row r="4757">
      <c r="B4757" s="223" t="s">
        <v>200</v>
      </c>
      <c r="C4757" s="223"/>
      <c r="K4757" s="319"/>
      <c r="L4757" s="218"/>
    </row>
    <row r="4758">
      <c r="B4758" s="223" t="s">
        <v>200</v>
      </c>
      <c r="C4758" s="223"/>
      <c r="K4758" s="319"/>
      <c r="L4758" s="218"/>
    </row>
    <row r="4759">
      <c r="B4759" s="223" t="s">
        <v>200</v>
      </c>
      <c r="C4759" s="223"/>
      <c r="K4759" s="319"/>
      <c r="L4759" s="218"/>
    </row>
    <row r="4760">
      <c r="B4760" s="223" t="s">
        <v>200</v>
      </c>
      <c r="C4760" s="223"/>
      <c r="K4760" s="319"/>
      <c r="L4760" s="218"/>
    </row>
    <row r="4761">
      <c r="B4761" s="223" t="s">
        <v>200</v>
      </c>
      <c r="C4761" s="223"/>
      <c r="K4761" s="319"/>
      <c r="L4761" s="218"/>
    </row>
    <row r="4762">
      <c r="B4762" s="223" t="s">
        <v>200</v>
      </c>
      <c r="C4762" s="223"/>
      <c r="K4762" s="319"/>
      <c r="L4762" s="218"/>
    </row>
    <row r="4763">
      <c r="B4763" s="223" t="s">
        <v>200</v>
      </c>
      <c r="C4763" s="223"/>
      <c r="K4763" s="319"/>
      <c r="L4763" s="218"/>
    </row>
    <row r="4764">
      <c r="B4764" s="223" t="s">
        <v>200</v>
      </c>
      <c r="C4764" s="223"/>
      <c r="K4764" s="319"/>
      <c r="L4764" s="218"/>
    </row>
    <row r="4765">
      <c r="B4765" s="223" t="s">
        <v>200</v>
      </c>
      <c r="C4765" s="223"/>
      <c r="K4765" s="319"/>
      <c r="L4765" s="218"/>
    </row>
    <row r="4766">
      <c r="B4766" s="223" t="s">
        <v>200</v>
      </c>
      <c r="C4766" s="223"/>
      <c r="K4766" s="319"/>
      <c r="L4766" s="218"/>
    </row>
    <row r="4767">
      <c r="B4767" s="223" t="s">
        <v>200</v>
      </c>
      <c r="C4767" s="223"/>
      <c r="K4767" s="319"/>
      <c r="L4767" s="218"/>
    </row>
    <row r="4768">
      <c r="B4768" s="223" t="s">
        <v>200</v>
      </c>
      <c r="C4768" s="223"/>
      <c r="K4768" s="319"/>
      <c r="L4768" s="218"/>
    </row>
    <row r="4769">
      <c r="B4769" s="223" t="s">
        <v>200</v>
      </c>
      <c r="C4769" s="223"/>
      <c r="K4769" s="319"/>
      <c r="L4769" s="218"/>
    </row>
    <row r="4770">
      <c r="B4770" s="223" t="s">
        <v>200</v>
      </c>
      <c r="C4770" s="223"/>
      <c r="K4770" s="319"/>
      <c r="L4770" s="218"/>
    </row>
    <row r="4771">
      <c r="B4771" s="223" t="s">
        <v>200</v>
      </c>
      <c r="C4771" s="223"/>
      <c r="K4771" s="319"/>
      <c r="L4771" s="218"/>
    </row>
    <row r="4772">
      <c r="B4772" s="223" t="s">
        <v>200</v>
      </c>
      <c r="C4772" s="223"/>
      <c r="K4772" s="319"/>
      <c r="L4772" s="218"/>
    </row>
    <row r="4773">
      <c r="B4773" s="223" t="s">
        <v>200</v>
      </c>
      <c r="C4773" s="223"/>
      <c r="K4773" s="319"/>
      <c r="L4773" s="218"/>
    </row>
    <row r="4774">
      <c r="B4774" s="223" t="s">
        <v>200</v>
      </c>
      <c r="C4774" s="223"/>
      <c r="K4774" s="319"/>
      <c r="L4774" s="218"/>
    </row>
    <row r="4775">
      <c r="B4775" s="223" t="s">
        <v>200</v>
      </c>
      <c r="C4775" s="223"/>
      <c r="K4775" s="319"/>
      <c r="L4775" s="218"/>
    </row>
    <row r="4776">
      <c r="B4776" s="223" t="s">
        <v>200</v>
      </c>
      <c r="C4776" s="223"/>
      <c r="K4776" s="319"/>
      <c r="L4776" s="218"/>
    </row>
    <row r="4777">
      <c r="B4777" s="223" t="s">
        <v>200</v>
      </c>
      <c r="C4777" s="223"/>
      <c r="K4777" s="319"/>
      <c r="L4777" s="218"/>
    </row>
    <row r="4778">
      <c r="B4778" s="223" t="s">
        <v>200</v>
      </c>
      <c r="C4778" s="223"/>
      <c r="K4778" s="319"/>
      <c r="L4778" s="218"/>
    </row>
    <row r="4779">
      <c r="B4779" s="223" t="s">
        <v>200</v>
      </c>
      <c r="C4779" s="223"/>
      <c r="K4779" s="319"/>
      <c r="L4779" s="218"/>
    </row>
    <row r="4780">
      <c r="B4780" s="223" t="s">
        <v>200</v>
      </c>
      <c r="C4780" s="223"/>
      <c r="K4780" s="319"/>
      <c r="L4780" s="218"/>
    </row>
    <row r="4781">
      <c r="B4781" s="223" t="s">
        <v>200</v>
      </c>
      <c r="C4781" s="223"/>
      <c r="K4781" s="319"/>
      <c r="L4781" s="218"/>
    </row>
    <row r="4782">
      <c r="B4782" s="223" t="s">
        <v>200</v>
      </c>
      <c r="C4782" s="223"/>
      <c r="K4782" s="319"/>
      <c r="L4782" s="218"/>
    </row>
    <row r="4783">
      <c r="B4783" s="223" t="s">
        <v>200</v>
      </c>
      <c r="C4783" s="223"/>
      <c r="K4783" s="319"/>
      <c r="L4783" s="218"/>
    </row>
    <row r="4784">
      <c r="B4784" s="223" t="s">
        <v>200</v>
      </c>
      <c r="C4784" s="223"/>
      <c r="K4784" s="319"/>
      <c r="L4784" s="218"/>
    </row>
    <row r="4785">
      <c r="B4785" s="223" t="s">
        <v>200</v>
      </c>
      <c r="C4785" s="223"/>
      <c r="K4785" s="319"/>
      <c r="L4785" s="218"/>
    </row>
    <row r="4786">
      <c r="B4786" s="223" t="s">
        <v>200</v>
      </c>
      <c r="C4786" s="223"/>
      <c r="K4786" s="319"/>
      <c r="L4786" s="218"/>
    </row>
    <row r="4787">
      <c r="B4787" s="223" t="s">
        <v>200</v>
      </c>
      <c r="C4787" s="223"/>
      <c r="K4787" s="319"/>
      <c r="L4787" s="218"/>
    </row>
    <row r="4788">
      <c r="B4788" s="223" t="s">
        <v>200</v>
      </c>
      <c r="C4788" s="223"/>
      <c r="K4788" s="319"/>
      <c r="L4788" s="218"/>
    </row>
    <row r="4789">
      <c r="B4789" s="223" t="s">
        <v>200</v>
      </c>
      <c r="C4789" s="223"/>
      <c r="K4789" s="319"/>
      <c r="L4789" s="218"/>
    </row>
    <row r="4790">
      <c r="B4790" s="223" t="s">
        <v>200</v>
      </c>
      <c r="C4790" s="223"/>
      <c r="K4790" s="319"/>
      <c r="L4790" s="218"/>
    </row>
    <row r="4791">
      <c r="B4791" s="223" t="s">
        <v>200</v>
      </c>
      <c r="C4791" s="223"/>
      <c r="K4791" s="319"/>
      <c r="L4791" s="218"/>
    </row>
    <row r="4792">
      <c r="B4792" s="223" t="s">
        <v>200</v>
      </c>
      <c r="C4792" s="223"/>
      <c r="K4792" s="319"/>
      <c r="L4792" s="218"/>
    </row>
    <row r="4793">
      <c r="B4793" s="223" t="s">
        <v>200</v>
      </c>
      <c r="C4793" s="223"/>
      <c r="K4793" s="319"/>
      <c r="L4793" s="218"/>
    </row>
    <row r="4794">
      <c r="B4794" s="223" t="s">
        <v>200</v>
      </c>
      <c r="C4794" s="223"/>
      <c r="K4794" s="319"/>
      <c r="L4794" s="218"/>
    </row>
    <row r="4795">
      <c r="B4795" s="223" t="s">
        <v>200</v>
      </c>
      <c r="C4795" s="223"/>
      <c r="K4795" s="319"/>
      <c r="L4795" s="218"/>
    </row>
    <row r="4796">
      <c r="B4796" s="223" t="s">
        <v>200</v>
      </c>
      <c r="C4796" s="223"/>
      <c r="K4796" s="319"/>
      <c r="L4796" s="218"/>
    </row>
    <row r="4797">
      <c r="B4797" s="223" t="s">
        <v>200</v>
      </c>
      <c r="C4797" s="223"/>
      <c r="K4797" s="319"/>
      <c r="L4797" s="218"/>
    </row>
    <row r="4798">
      <c r="B4798" s="223" t="s">
        <v>200</v>
      </c>
      <c r="C4798" s="223"/>
      <c r="K4798" s="319"/>
      <c r="L4798" s="218"/>
    </row>
    <row r="4799">
      <c r="B4799" s="223" t="s">
        <v>200</v>
      </c>
      <c r="C4799" s="223"/>
      <c r="K4799" s="319"/>
      <c r="L4799" s="218"/>
    </row>
    <row r="4800">
      <c r="B4800" s="223" t="s">
        <v>200</v>
      </c>
      <c r="C4800" s="223"/>
      <c r="K4800" s="319"/>
      <c r="L4800" s="218"/>
    </row>
    <row r="4801">
      <c r="B4801" s="223" t="s">
        <v>200</v>
      </c>
      <c r="C4801" s="223"/>
      <c r="K4801" s="319"/>
      <c r="L4801" s="218"/>
    </row>
    <row r="4802">
      <c r="B4802" s="223" t="s">
        <v>200</v>
      </c>
      <c r="C4802" s="223"/>
      <c r="K4802" s="319"/>
      <c r="L4802" s="218"/>
    </row>
    <row r="4803">
      <c r="B4803" s="223" t="s">
        <v>200</v>
      </c>
      <c r="C4803" s="223"/>
      <c r="K4803" s="319"/>
      <c r="L4803" s="218"/>
    </row>
    <row r="4804">
      <c r="B4804" s="223" t="s">
        <v>200</v>
      </c>
      <c r="C4804" s="223"/>
      <c r="K4804" s="319"/>
      <c r="L4804" s="218"/>
    </row>
    <row r="4805">
      <c r="B4805" s="223" t="s">
        <v>200</v>
      </c>
      <c r="C4805" s="223"/>
      <c r="K4805" s="319"/>
      <c r="L4805" s="218"/>
    </row>
    <row r="4806">
      <c r="B4806" s="223" t="s">
        <v>200</v>
      </c>
      <c r="C4806" s="223"/>
      <c r="K4806" s="319"/>
      <c r="L4806" s="218"/>
    </row>
    <row r="4807">
      <c r="B4807" s="223" t="s">
        <v>200</v>
      </c>
      <c r="C4807" s="223"/>
      <c r="K4807" s="319"/>
      <c r="L4807" s="218"/>
    </row>
    <row r="4808">
      <c r="B4808" s="223" t="s">
        <v>200</v>
      </c>
      <c r="C4808" s="223"/>
      <c r="K4808" s="319"/>
      <c r="L4808" s="218"/>
    </row>
    <row r="4809">
      <c r="B4809" s="223" t="s">
        <v>200</v>
      </c>
      <c r="C4809" s="223"/>
      <c r="K4809" s="319"/>
      <c r="L4809" s="218"/>
    </row>
    <row r="4810">
      <c r="B4810" s="223" t="s">
        <v>200</v>
      </c>
      <c r="C4810" s="223"/>
      <c r="K4810" s="319"/>
      <c r="L4810" s="218"/>
    </row>
    <row r="4811">
      <c r="B4811" s="223" t="s">
        <v>200</v>
      </c>
      <c r="C4811" s="223"/>
      <c r="K4811" s="319"/>
      <c r="L4811" s="218"/>
    </row>
    <row r="4812">
      <c r="B4812" s="223" t="s">
        <v>200</v>
      </c>
      <c r="C4812" s="223"/>
      <c r="K4812" s="319"/>
      <c r="L4812" s="218"/>
    </row>
    <row r="4813">
      <c r="B4813" s="223" t="s">
        <v>200</v>
      </c>
      <c r="C4813" s="223"/>
      <c r="K4813" s="319"/>
      <c r="L4813" s="218"/>
    </row>
    <row r="4814">
      <c r="B4814" s="223" t="s">
        <v>200</v>
      </c>
      <c r="C4814" s="223"/>
      <c r="K4814" s="319"/>
      <c r="L4814" s="218"/>
    </row>
    <row r="4815">
      <c r="B4815" s="223" t="s">
        <v>200</v>
      </c>
      <c r="C4815" s="223"/>
      <c r="K4815" s="319"/>
      <c r="L4815" s="218"/>
    </row>
    <row r="4816">
      <c r="B4816" s="223" t="s">
        <v>200</v>
      </c>
      <c r="C4816" s="223"/>
      <c r="K4816" s="319"/>
      <c r="L4816" s="218"/>
    </row>
    <row r="4817">
      <c r="B4817" s="223" t="s">
        <v>200</v>
      </c>
      <c r="C4817" s="223"/>
      <c r="K4817" s="319"/>
      <c r="L4817" s="218"/>
    </row>
    <row r="4818">
      <c r="B4818" s="223" t="s">
        <v>200</v>
      </c>
      <c r="C4818" s="223"/>
      <c r="K4818" s="319"/>
      <c r="L4818" s="218"/>
    </row>
    <row r="4819">
      <c r="B4819" s="223" t="s">
        <v>200</v>
      </c>
      <c r="C4819" s="223"/>
      <c r="K4819" s="319"/>
      <c r="L4819" s="218"/>
    </row>
    <row r="4820">
      <c r="B4820" s="223" t="s">
        <v>200</v>
      </c>
      <c r="C4820" s="223"/>
      <c r="K4820" s="319"/>
      <c r="L4820" s="218"/>
    </row>
    <row r="4821">
      <c r="B4821" s="223" t="s">
        <v>200</v>
      </c>
      <c r="C4821" s="223"/>
      <c r="K4821" s="319"/>
      <c r="L4821" s="218"/>
    </row>
    <row r="4822">
      <c r="B4822" s="223" t="s">
        <v>200</v>
      </c>
      <c r="C4822" s="223"/>
      <c r="K4822" s="319"/>
      <c r="L4822" s="218"/>
    </row>
    <row r="4823">
      <c r="B4823" s="223" t="s">
        <v>200</v>
      </c>
      <c r="C4823" s="223"/>
      <c r="K4823" s="319"/>
      <c r="L4823" s="218"/>
    </row>
    <row r="4824">
      <c r="B4824" s="223" t="s">
        <v>200</v>
      </c>
      <c r="C4824" s="223"/>
      <c r="K4824" s="319"/>
      <c r="L4824" s="218"/>
    </row>
    <row r="4825">
      <c r="B4825" s="223" t="s">
        <v>200</v>
      </c>
      <c r="C4825" s="223"/>
      <c r="K4825" s="319"/>
      <c r="L4825" s="218"/>
    </row>
    <row r="4826">
      <c r="B4826" s="223" t="s">
        <v>200</v>
      </c>
      <c r="C4826" s="223"/>
      <c r="K4826" s="319"/>
      <c r="L4826" s="218"/>
    </row>
    <row r="4827">
      <c r="B4827" s="223" t="s">
        <v>200</v>
      </c>
      <c r="C4827" s="223"/>
      <c r="K4827" s="319"/>
      <c r="L4827" s="218"/>
    </row>
    <row r="4828">
      <c r="B4828" s="223" t="s">
        <v>200</v>
      </c>
      <c r="C4828" s="223"/>
      <c r="K4828" s="319"/>
      <c r="L4828" s="218"/>
    </row>
    <row r="4829">
      <c r="B4829" s="223" t="s">
        <v>200</v>
      </c>
      <c r="C4829" s="223"/>
      <c r="K4829" s="319"/>
      <c r="L4829" s="218"/>
    </row>
    <row r="4830">
      <c r="B4830" s="223" t="s">
        <v>200</v>
      </c>
      <c r="C4830" s="223"/>
      <c r="K4830" s="319"/>
      <c r="L4830" s="218"/>
    </row>
    <row r="4831">
      <c r="B4831" s="223" t="s">
        <v>200</v>
      </c>
      <c r="C4831" s="223"/>
      <c r="K4831" s="319"/>
      <c r="L4831" s="218"/>
    </row>
    <row r="4832">
      <c r="B4832" s="223" t="s">
        <v>200</v>
      </c>
      <c r="C4832" s="223"/>
      <c r="K4832" s="319"/>
      <c r="L4832" s="218"/>
    </row>
    <row r="4833">
      <c r="B4833" s="223" t="s">
        <v>200</v>
      </c>
      <c r="C4833" s="223"/>
      <c r="K4833" s="319"/>
      <c r="L4833" s="218"/>
    </row>
    <row r="4834">
      <c r="B4834" s="223" t="s">
        <v>200</v>
      </c>
      <c r="C4834" s="223"/>
      <c r="K4834" s="319"/>
      <c r="L4834" s="218"/>
    </row>
    <row r="4835">
      <c r="B4835" s="223" t="s">
        <v>200</v>
      </c>
      <c r="C4835" s="223"/>
      <c r="K4835" s="319"/>
      <c r="L4835" s="218"/>
    </row>
    <row r="4836">
      <c r="B4836" s="223" t="s">
        <v>200</v>
      </c>
      <c r="C4836" s="223"/>
      <c r="K4836" s="319"/>
      <c r="L4836" s="218"/>
    </row>
    <row r="4837">
      <c r="B4837" s="223" t="s">
        <v>200</v>
      </c>
      <c r="C4837" s="223"/>
      <c r="K4837" s="319"/>
      <c r="L4837" s="218"/>
    </row>
    <row r="4838">
      <c r="B4838" s="223" t="s">
        <v>200</v>
      </c>
      <c r="C4838" s="223"/>
      <c r="K4838" s="319"/>
      <c r="L4838" s="218"/>
    </row>
    <row r="4839">
      <c r="B4839" s="223" t="s">
        <v>200</v>
      </c>
      <c r="C4839" s="223"/>
      <c r="K4839" s="319"/>
      <c r="L4839" s="218"/>
    </row>
    <row r="4840">
      <c r="B4840" s="223" t="s">
        <v>200</v>
      </c>
      <c r="C4840" s="223"/>
      <c r="K4840" s="319"/>
      <c r="L4840" s="218"/>
    </row>
    <row r="4841">
      <c r="B4841" s="223" t="s">
        <v>200</v>
      </c>
      <c r="C4841" s="223"/>
      <c r="K4841" s="319"/>
      <c r="L4841" s="218"/>
    </row>
    <row r="4842">
      <c r="B4842" s="223" t="s">
        <v>200</v>
      </c>
      <c r="C4842" s="223"/>
      <c r="K4842" s="319"/>
      <c r="L4842" s="218"/>
    </row>
    <row r="4843">
      <c r="B4843" s="223" t="s">
        <v>200</v>
      </c>
      <c r="C4843" s="223"/>
      <c r="K4843" s="319"/>
      <c r="L4843" s="218"/>
    </row>
    <row r="4844">
      <c r="B4844" s="223" t="s">
        <v>200</v>
      </c>
      <c r="C4844" s="223"/>
      <c r="K4844" s="319"/>
      <c r="L4844" s="218"/>
    </row>
    <row r="4845">
      <c r="B4845" s="223" t="s">
        <v>200</v>
      </c>
      <c r="C4845" s="223"/>
      <c r="K4845" s="319"/>
      <c r="L4845" s="218"/>
    </row>
    <row r="4846">
      <c r="B4846" s="223" t="s">
        <v>200</v>
      </c>
      <c r="C4846" s="223"/>
      <c r="K4846" s="319"/>
      <c r="L4846" s="218"/>
    </row>
    <row r="4847">
      <c r="B4847" s="223" t="s">
        <v>200</v>
      </c>
      <c r="C4847" s="223"/>
      <c r="K4847" s="319"/>
      <c r="L4847" s="218"/>
    </row>
    <row r="4848">
      <c r="B4848" s="223" t="s">
        <v>200</v>
      </c>
      <c r="C4848" s="223"/>
      <c r="K4848" s="319"/>
      <c r="L4848" s="218"/>
    </row>
    <row r="4849">
      <c r="B4849" s="223" t="s">
        <v>200</v>
      </c>
      <c r="C4849" s="223"/>
      <c r="K4849" s="319"/>
      <c r="L4849" s="218"/>
    </row>
    <row r="4850">
      <c r="B4850" s="223" t="s">
        <v>200</v>
      </c>
      <c r="C4850" s="223"/>
      <c r="K4850" s="319"/>
      <c r="L4850" s="218"/>
    </row>
    <row r="4851">
      <c r="B4851" s="223" t="s">
        <v>200</v>
      </c>
      <c r="C4851" s="223"/>
      <c r="K4851" s="319"/>
      <c r="L4851" s="218"/>
    </row>
    <row r="4852">
      <c r="B4852" s="223" t="s">
        <v>200</v>
      </c>
      <c r="C4852" s="223"/>
      <c r="K4852" s="319"/>
      <c r="L4852" s="218"/>
    </row>
    <row r="4853">
      <c r="B4853" s="223" t="s">
        <v>200</v>
      </c>
      <c r="C4853" s="223"/>
      <c r="K4853" s="319"/>
      <c r="L4853" s="218"/>
    </row>
    <row r="4854">
      <c r="B4854" s="223" t="s">
        <v>200</v>
      </c>
      <c r="C4854" s="223"/>
      <c r="K4854" s="319"/>
      <c r="L4854" s="218"/>
    </row>
    <row r="4855">
      <c r="B4855" s="223" t="s">
        <v>200</v>
      </c>
      <c r="C4855" s="223"/>
      <c r="K4855" s="319"/>
      <c r="L4855" s="218"/>
    </row>
    <row r="4856">
      <c r="B4856" s="223" t="s">
        <v>200</v>
      </c>
      <c r="C4856" s="223"/>
      <c r="K4856" s="319"/>
      <c r="L4856" s="218"/>
    </row>
    <row r="4857">
      <c r="B4857" s="223" t="s">
        <v>200</v>
      </c>
      <c r="C4857" s="223"/>
      <c r="K4857" s="319"/>
      <c r="L4857" s="218"/>
    </row>
    <row r="4858">
      <c r="B4858" s="223" t="s">
        <v>200</v>
      </c>
      <c r="C4858" s="223"/>
      <c r="K4858" s="319"/>
      <c r="L4858" s="218"/>
    </row>
    <row r="4859">
      <c r="B4859" s="223" t="s">
        <v>200</v>
      </c>
      <c r="C4859" s="223"/>
      <c r="K4859" s="319"/>
      <c r="L4859" s="218"/>
    </row>
    <row r="4860">
      <c r="B4860" s="223" t="s">
        <v>200</v>
      </c>
      <c r="C4860" s="223"/>
      <c r="K4860" s="319"/>
      <c r="L4860" s="218"/>
    </row>
    <row r="4861">
      <c r="B4861" s="223" t="s">
        <v>200</v>
      </c>
      <c r="C4861" s="223"/>
      <c r="K4861" s="319"/>
      <c r="L4861" s="218"/>
    </row>
    <row r="4862">
      <c r="B4862" s="223" t="s">
        <v>200</v>
      </c>
      <c r="C4862" s="223"/>
      <c r="K4862" s="319"/>
      <c r="L4862" s="218"/>
    </row>
    <row r="4863">
      <c r="B4863" s="223" t="s">
        <v>200</v>
      </c>
      <c r="C4863" s="223"/>
      <c r="K4863" s="319"/>
      <c r="L4863" s="218"/>
    </row>
    <row r="4864">
      <c r="B4864" s="223" t="s">
        <v>200</v>
      </c>
      <c r="C4864" s="223"/>
      <c r="K4864" s="319"/>
      <c r="L4864" s="218"/>
    </row>
    <row r="4865">
      <c r="B4865" s="223" t="s">
        <v>200</v>
      </c>
      <c r="C4865" s="223"/>
      <c r="K4865" s="319"/>
      <c r="L4865" s="218"/>
    </row>
    <row r="4866">
      <c r="B4866" s="223" t="s">
        <v>200</v>
      </c>
      <c r="C4866" s="223"/>
      <c r="K4866" s="319"/>
      <c r="L4866" s="218"/>
    </row>
    <row r="4867">
      <c r="B4867" s="223" t="s">
        <v>200</v>
      </c>
      <c r="C4867" s="223"/>
      <c r="K4867" s="319"/>
      <c r="L4867" s="218"/>
    </row>
    <row r="4868">
      <c r="B4868" s="223" t="s">
        <v>200</v>
      </c>
      <c r="C4868" s="223"/>
      <c r="K4868" s="319"/>
      <c r="L4868" s="218"/>
    </row>
    <row r="4869">
      <c r="B4869" s="223" t="s">
        <v>200</v>
      </c>
      <c r="C4869" s="223"/>
      <c r="K4869" s="319"/>
      <c r="L4869" s="218"/>
    </row>
    <row r="4870">
      <c r="B4870" s="223" t="s">
        <v>200</v>
      </c>
      <c r="C4870" s="223"/>
      <c r="K4870" s="319"/>
      <c r="L4870" s="218"/>
    </row>
    <row r="4871">
      <c r="B4871" s="223" t="s">
        <v>200</v>
      </c>
      <c r="C4871" s="223"/>
      <c r="K4871" s="319"/>
      <c r="L4871" s="218"/>
    </row>
    <row r="4872">
      <c r="B4872" s="223" t="s">
        <v>200</v>
      </c>
      <c r="C4872" s="223"/>
      <c r="K4872" s="319"/>
      <c r="L4872" s="218"/>
    </row>
    <row r="4873">
      <c r="B4873" s="223" t="s">
        <v>200</v>
      </c>
      <c r="C4873" s="223"/>
      <c r="K4873" s="319"/>
      <c r="L4873" s="218"/>
    </row>
    <row r="4874">
      <c r="B4874" s="223" t="s">
        <v>200</v>
      </c>
      <c r="C4874" s="223"/>
      <c r="K4874" s="319"/>
      <c r="L4874" s="218"/>
    </row>
    <row r="4875">
      <c r="B4875" s="223" t="s">
        <v>200</v>
      </c>
      <c r="C4875" s="223"/>
      <c r="K4875" s="319"/>
      <c r="L4875" s="218"/>
    </row>
    <row r="4876">
      <c r="B4876" s="223" t="s">
        <v>200</v>
      </c>
      <c r="C4876" s="223"/>
      <c r="K4876" s="319"/>
      <c r="L4876" s="218"/>
    </row>
    <row r="4877">
      <c r="B4877" s="223" t="s">
        <v>200</v>
      </c>
      <c r="C4877" s="223"/>
      <c r="K4877" s="319"/>
      <c r="L4877" s="218"/>
    </row>
    <row r="4878">
      <c r="B4878" s="223" t="s">
        <v>200</v>
      </c>
      <c r="C4878" s="223"/>
      <c r="K4878" s="319"/>
      <c r="L4878" s="218"/>
    </row>
    <row r="4879">
      <c r="B4879" s="223" t="s">
        <v>200</v>
      </c>
      <c r="C4879" s="223"/>
      <c r="K4879" s="319"/>
      <c r="L4879" s="218"/>
    </row>
    <row r="4880">
      <c r="B4880" s="223" t="s">
        <v>200</v>
      </c>
      <c r="C4880" s="223"/>
      <c r="K4880" s="319"/>
      <c r="L4880" s="218"/>
    </row>
    <row r="4881">
      <c r="B4881" s="223" t="s">
        <v>200</v>
      </c>
      <c r="C4881" s="223"/>
      <c r="K4881" s="319"/>
      <c r="L4881" s="218"/>
    </row>
    <row r="4882">
      <c r="B4882" s="223" t="s">
        <v>200</v>
      </c>
      <c r="C4882" s="223"/>
      <c r="K4882" s="319"/>
      <c r="L4882" s="218"/>
    </row>
    <row r="4883">
      <c r="B4883" s="223" t="s">
        <v>200</v>
      </c>
      <c r="C4883" s="223"/>
      <c r="K4883" s="319"/>
      <c r="L4883" s="218"/>
    </row>
    <row r="4884">
      <c r="B4884" s="223" t="s">
        <v>200</v>
      </c>
      <c r="C4884" s="223"/>
      <c r="K4884" s="319"/>
      <c r="L4884" s="218"/>
    </row>
    <row r="4885">
      <c r="B4885" s="223" t="s">
        <v>200</v>
      </c>
      <c r="C4885" s="223"/>
      <c r="K4885" s="319"/>
      <c r="L4885" s="218"/>
    </row>
    <row r="4886">
      <c r="B4886" s="223" t="s">
        <v>200</v>
      </c>
      <c r="C4886" s="223"/>
      <c r="K4886" s="319"/>
      <c r="L4886" s="218"/>
    </row>
    <row r="4887">
      <c r="B4887" s="223" t="s">
        <v>200</v>
      </c>
      <c r="C4887" s="223"/>
      <c r="K4887" s="319"/>
      <c r="L4887" s="218"/>
    </row>
    <row r="4888">
      <c r="B4888" s="223" t="s">
        <v>200</v>
      </c>
      <c r="C4888" s="223"/>
      <c r="K4888" s="319"/>
      <c r="L4888" s="218"/>
    </row>
    <row r="4889">
      <c r="B4889" s="223" t="s">
        <v>200</v>
      </c>
      <c r="C4889" s="223"/>
      <c r="K4889" s="319"/>
      <c r="L4889" s="218"/>
    </row>
    <row r="4890">
      <c r="B4890" s="223" t="s">
        <v>200</v>
      </c>
      <c r="C4890" s="223"/>
      <c r="K4890" s="319"/>
      <c r="L4890" s="218"/>
    </row>
    <row r="4891">
      <c r="B4891" s="223" t="s">
        <v>200</v>
      </c>
      <c r="C4891" s="223"/>
      <c r="K4891" s="319"/>
      <c r="L4891" s="218"/>
    </row>
    <row r="4892">
      <c r="B4892" s="223" t="s">
        <v>200</v>
      </c>
      <c r="C4892" s="223"/>
      <c r="K4892" s="319"/>
      <c r="L4892" s="218"/>
    </row>
    <row r="4893">
      <c r="B4893" s="223" t="s">
        <v>200</v>
      </c>
      <c r="C4893" s="223"/>
      <c r="K4893" s="319"/>
      <c r="L4893" s="218"/>
    </row>
    <row r="4894">
      <c r="B4894" s="223" t="s">
        <v>200</v>
      </c>
      <c r="C4894" s="223"/>
      <c r="K4894" s="319"/>
      <c r="L4894" s="218"/>
    </row>
    <row r="4895">
      <c r="B4895" s="223" t="s">
        <v>200</v>
      </c>
      <c r="C4895" s="223"/>
      <c r="K4895" s="319"/>
      <c r="L4895" s="218"/>
    </row>
    <row r="4896">
      <c r="B4896" s="223" t="s">
        <v>200</v>
      </c>
      <c r="C4896" s="223"/>
      <c r="K4896" s="319"/>
      <c r="L4896" s="218"/>
    </row>
    <row r="4897">
      <c r="B4897" s="223" t="s">
        <v>200</v>
      </c>
      <c r="C4897" s="223"/>
      <c r="K4897" s="319"/>
      <c r="L4897" s="218"/>
    </row>
    <row r="4898">
      <c r="B4898" s="223" t="s">
        <v>200</v>
      </c>
      <c r="C4898" s="223"/>
      <c r="K4898" s="319"/>
      <c r="L4898" s="218"/>
    </row>
    <row r="4899">
      <c r="B4899" s="223" t="s">
        <v>200</v>
      </c>
      <c r="C4899" s="223"/>
      <c r="K4899" s="319"/>
      <c r="L4899" s="218"/>
    </row>
    <row r="4900">
      <c r="B4900" s="223" t="s">
        <v>200</v>
      </c>
      <c r="C4900" s="223"/>
      <c r="K4900" s="319"/>
      <c r="L4900" s="218"/>
    </row>
    <row r="4901">
      <c r="B4901" s="223" t="s">
        <v>200</v>
      </c>
      <c r="C4901" s="223"/>
      <c r="K4901" s="319"/>
      <c r="L4901" s="218"/>
    </row>
    <row r="4902">
      <c r="B4902" s="223" t="s">
        <v>200</v>
      </c>
      <c r="C4902" s="223"/>
      <c r="K4902" s="319"/>
      <c r="L4902" s="218"/>
    </row>
    <row r="4903">
      <c r="B4903" s="223" t="s">
        <v>200</v>
      </c>
      <c r="C4903" s="223"/>
      <c r="K4903" s="319"/>
      <c r="L4903" s="218"/>
    </row>
    <row r="4904">
      <c r="B4904" s="223" t="s">
        <v>200</v>
      </c>
      <c r="C4904" s="223"/>
      <c r="K4904" s="319"/>
      <c r="L4904" s="218"/>
    </row>
    <row r="4905">
      <c r="B4905" s="223" t="s">
        <v>200</v>
      </c>
      <c r="C4905" s="223"/>
      <c r="K4905" s="319"/>
      <c r="L4905" s="218"/>
    </row>
    <row r="4906">
      <c r="B4906" s="223" t="s">
        <v>200</v>
      </c>
      <c r="C4906" s="223"/>
      <c r="K4906" s="319"/>
      <c r="L4906" s="218"/>
    </row>
    <row r="4907">
      <c r="B4907" s="223" t="s">
        <v>200</v>
      </c>
      <c r="C4907" s="223"/>
      <c r="K4907" s="319"/>
      <c r="L4907" s="218"/>
    </row>
    <row r="4908">
      <c r="B4908" s="223" t="s">
        <v>200</v>
      </c>
      <c r="C4908" s="223"/>
      <c r="K4908" s="319"/>
      <c r="L4908" s="218"/>
    </row>
    <row r="4909">
      <c r="B4909" s="223" t="s">
        <v>200</v>
      </c>
      <c r="C4909" s="223"/>
      <c r="K4909" s="319"/>
      <c r="L4909" s="218"/>
    </row>
    <row r="4910">
      <c r="B4910" s="223" t="s">
        <v>200</v>
      </c>
      <c r="C4910" s="223"/>
      <c r="K4910" s="319"/>
      <c r="L4910" s="218"/>
    </row>
    <row r="4911">
      <c r="B4911" s="223" t="s">
        <v>200</v>
      </c>
      <c r="C4911" s="223"/>
      <c r="K4911" s="319"/>
      <c r="L4911" s="218"/>
    </row>
    <row r="4912">
      <c r="B4912" s="223" t="s">
        <v>200</v>
      </c>
      <c r="C4912" s="223"/>
      <c r="K4912" s="319"/>
      <c r="L4912" s="218"/>
    </row>
    <row r="4913">
      <c r="B4913" s="223" t="s">
        <v>200</v>
      </c>
      <c r="C4913" s="223"/>
      <c r="K4913" s="319"/>
      <c r="L4913" s="218"/>
    </row>
    <row r="4914">
      <c r="B4914" s="223" t="s">
        <v>200</v>
      </c>
      <c r="C4914" s="223"/>
      <c r="K4914" s="319"/>
      <c r="L4914" s="218"/>
    </row>
    <row r="4915">
      <c r="B4915" s="223" t="s">
        <v>200</v>
      </c>
      <c r="C4915" s="223"/>
      <c r="K4915" s="319"/>
      <c r="L4915" s="218"/>
    </row>
    <row r="4916">
      <c r="B4916" s="223" t="s">
        <v>200</v>
      </c>
      <c r="C4916" s="223"/>
      <c r="K4916" s="319"/>
      <c r="L4916" s="218"/>
    </row>
    <row r="4917">
      <c r="B4917" s="223" t="s">
        <v>200</v>
      </c>
      <c r="C4917" s="223"/>
      <c r="K4917" s="319"/>
      <c r="L4917" s="218"/>
    </row>
    <row r="4918">
      <c r="B4918" s="223" t="s">
        <v>200</v>
      </c>
      <c r="C4918" s="223"/>
      <c r="K4918" s="319"/>
      <c r="L4918" s="218"/>
    </row>
    <row r="4919">
      <c r="B4919" s="223" t="s">
        <v>200</v>
      </c>
      <c r="C4919" s="223"/>
      <c r="K4919" s="319"/>
      <c r="L4919" s="218"/>
    </row>
    <row r="4920">
      <c r="B4920" s="223" t="s">
        <v>200</v>
      </c>
      <c r="C4920" s="223"/>
      <c r="K4920" s="319"/>
      <c r="L4920" s="218"/>
    </row>
    <row r="4921">
      <c r="B4921" s="223" t="s">
        <v>200</v>
      </c>
      <c r="C4921" s="223"/>
      <c r="K4921" s="319"/>
      <c r="L4921" s="218"/>
    </row>
    <row r="4922">
      <c r="B4922" s="223" t="s">
        <v>200</v>
      </c>
      <c r="C4922" s="223"/>
      <c r="K4922" s="319"/>
      <c r="L4922" s="218"/>
    </row>
    <row r="4923">
      <c r="B4923" s="223" t="s">
        <v>200</v>
      </c>
      <c r="C4923" s="223"/>
      <c r="K4923" s="319"/>
      <c r="L4923" s="218"/>
    </row>
    <row r="4924">
      <c r="B4924" s="223" t="s">
        <v>200</v>
      </c>
      <c r="C4924" s="223"/>
      <c r="K4924" s="319"/>
      <c r="L4924" s="218"/>
    </row>
    <row r="4925">
      <c r="B4925" s="223" t="s">
        <v>200</v>
      </c>
      <c r="C4925" s="223"/>
      <c r="K4925" s="319"/>
      <c r="L4925" s="218"/>
    </row>
    <row r="4926">
      <c r="B4926" s="223" t="s">
        <v>200</v>
      </c>
      <c r="C4926" s="223"/>
      <c r="K4926" s="319"/>
      <c r="L4926" s="218"/>
    </row>
    <row r="4927">
      <c r="B4927" s="223" t="s">
        <v>200</v>
      </c>
      <c r="C4927" s="223"/>
      <c r="K4927" s="319"/>
      <c r="L4927" s="218"/>
    </row>
    <row r="4928">
      <c r="B4928" s="223" t="s">
        <v>200</v>
      </c>
      <c r="C4928" s="223"/>
      <c r="K4928" s="319"/>
      <c r="L4928" s="218"/>
    </row>
    <row r="4929">
      <c r="B4929" s="223" t="s">
        <v>200</v>
      </c>
      <c r="C4929" s="223"/>
      <c r="K4929" s="319"/>
      <c r="L4929" s="218"/>
    </row>
    <row r="4930">
      <c r="B4930" s="223" t="s">
        <v>200</v>
      </c>
      <c r="C4930" s="223"/>
      <c r="K4930" s="319"/>
      <c r="L4930" s="218"/>
    </row>
    <row r="4931">
      <c r="B4931" s="223" t="s">
        <v>200</v>
      </c>
      <c r="C4931" s="223"/>
      <c r="K4931" s="319"/>
      <c r="L4931" s="218"/>
    </row>
    <row r="4932">
      <c r="B4932" s="223" t="s">
        <v>200</v>
      </c>
      <c r="C4932" s="223"/>
      <c r="K4932" s="319"/>
      <c r="L4932" s="218"/>
    </row>
    <row r="4933">
      <c r="B4933" s="223" t="s">
        <v>200</v>
      </c>
      <c r="C4933" s="223"/>
      <c r="K4933" s="319"/>
      <c r="L4933" s="218"/>
    </row>
    <row r="4934">
      <c r="B4934" s="223" t="s">
        <v>200</v>
      </c>
      <c r="C4934" s="223"/>
      <c r="K4934" s="319"/>
      <c r="L4934" s="218"/>
    </row>
    <row r="4935">
      <c r="B4935" s="223" t="s">
        <v>200</v>
      </c>
      <c r="C4935" s="223"/>
      <c r="K4935" s="319"/>
      <c r="L4935" s="218"/>
    </row>
    <row r="4936">
      <c r="B4936" s="223" t="s">
        <v>200</v>
      </c>
      <c r="C4936" s="223"/>
      <c r="K4936" s="319"/>
      <c r="L4936" s="218"/>
    </row>
    <row r="4937">
      <c r="B4937" s="223" t="s">
        <v>200</v>
      </c>
      <c r="C4937" s="223"/>
      <c r="K4937" s="319"/>
      <c r="L4937" s="218"/>
    </row>
    <row r="4938">
      <c r="B4938" s="223" t="s">
        <v>200</v>
      </c>
      <c r="C4938" s="223"/>
      <c r="K4938" s="319"/>
      <c r="L4938" s="218"/>
    </row>
    <row r="4939">
      <c r="B4939" s="223" t="s">
        <v>200</v>
      </c>
      <c r="C4939" s="223"/>
      <c r="K4939" s="319"/>
      <c r="L4939" s="218"/>
    </row>
    <row r="4940">
      <c r="B4940" s="223" t="s">
        <v>200</v>
      </c>
      <c r="C4940" s="223"/>
      <c r="K4940" s="319"/>
      <c r="L4940" s="218"/>
    </row>
    <row r="4941">
      <c r="B4941" s="223" t="s">
        <v>200</v>
      </c>
      <c r="C4941" s="223"/>
      <c r="K4941" s="319"/>
      <c r="L4941" s="218"/>
    </row>
    <row r="4942">
      <c r="B4942" s="223" t="s">
        <v>200</v>
      </c>
      <c r="C4942" s="223"/>
      <c r="K4942" s="319"/>
      <c r="L4942" s="218"/>
    </row>
    <row r="4943">
      <c r="B4943" s="223" t="s">
        <v>200</v>
      </c>
      <c r="C4943" s="223"/>
      <c r="K4943" s="319"/>
      <c r="L4943" s="218"/>
    </row>
    <row r="4944">
      <c r="B4944" s="223" t="s">
        <v>200</v>
      </c>
      <c r="C4944" s="223"/>
      <c r="K4944" s="319"/>
      <c r="L4944" s="218"/>
    </row>
    <row r="4945">
      <c r="B4945" s="223" t="s">
        <v>200</v>
      </c>
      <c r="C4945" s="223"/>
      <c r="K4945" s="319"/>
      <c r="L4945" s="218"/>
    </row>
    <row r="4946">
      <c r="B4946" s="223" t="s">
        <v>200</v>
      </c>
      <c r="C4946" s="223"/>
      <c r="K4946" s="319"/>
      <c r="L4946" s="218"/>
    </row>
    <row r="4947">
      <c r="B4947" s="223" t="s">
        <v>200</v>
      </c>
      <c r="C4947" s="223"/>
      <c r="K4947" s="319"/>
      <c r="L4947" s="218"/>
    </row>
    <row r="4948">
      <c r="B4948" s="223" t="s">
        <v>200</v>
      </c>
      <c r="C4948" s="223"/>
      <c r="K4948" s="319"/>
      <c r="L4948" s="218"/>
    </row>
    <row r="4949">
      <c r="B4949" s="223" t="s">
        <v>200</v>
      </c>
      <c r="C4949" s="223"/>
      <c r="K4949" s="319"/>
      <c r="L4949" s="218"/>
    </row>
    <row r="4950">
      <c r="B4950" s="223" t="s">
        <v>200</v>
      </c>
      <c r="C4950" s="223"/>
      <c r="K4950" s="319"/>
      <c r="L4950" s="218"/>
    </row>
    <row r="4951">
      <c r="B4951" s="223" t="s">
        <v>200</v>
      </c>
      <c r="C4951" s="223"/>
      <c r="K4951" s="319"/>
      <c r="L4951" s="218"/>
    </row>
    <row r="4952">
      <c r="B4952" s="223" t="s">
        <v>200</v>
      </c>
      <c r="C4952" s="223"/>
      <c r="K4952" s="319"/>
      <c r="L4952" s="218"/>
    </row>
    <row r="4953">
      <c r="B4953" s="223" t="s">
        <v>200</v>
      </c>
      <c r="C4953" s="223"/>
      <c r="K4953" s="319"/>
      <c r="L4953" s="218"/>
    </row>
    <row r="4954">
      <c r="B4954" s="223" t="s">
        <v>200</v>
      </c>
      <c r="C4954" s="223"/>
      <c r="K4954" s="319"/>
      <c r="L4954" s="218"/>
    </row>
    <row r="4955">
      <c r="B4955" s="223" t="s">
        <v>200</v>
      </c>
      <c r="C4955" s="223"/>
      <c r="K4955" s="319"/>
      <c r="L4955" s="218"/>
    </row>
    <row r="4956">
      <c r="B4956" s="223" t="s">
        <v>200</v>
      </c>
      <c r="C4956" s="223"/>
      <c r="K4956" s="319"/>
      <c r="L4956" s="218"/>
    </row>
    <row r="4957">
      <c r="B4957" s="223" t="s">
        <v>200</v>
      </c>
      <c r="C4957" s="223"/>
      <c r="K4957" s="319"/>
      <c r="L4957" s="218"/>
    </row>
    <row r="4958">
      <c r="B4958" s="223" t="s">
        <v>200</v>
      </c>
      <c r="C4958" s="223"/>
      <c r="K4958" s="319"/>
      <c r="L4958" s="218"/>
    </row>
    <row r="4959">
      <c r="B4959" s="223" t="s">
        <v>200</v>
      </c>
      <c r="C4959" s="223"/>
      <c r="K4959" s="319"/>
      <c r="L4959" s="218"/>
    </row>
    <row r="4960">
      <c r="B4960" s="223" t="s">
        <v>200</v>
      </c>
      <c r="C4960" s="223"/>
      <c r="K4960" s="319"/>
      <c r="L4960" s="218"/>
    </row>
    <row r="4961">
      <c r="B4961" s="223" t="s">
        <v>200</v>
      </c>
      <c r="C4961" s="223"/>
      <c r="K4961" s="319"/>
      <c r="L4961" s="218"/>
    </row>
    <row r="4962">
      <c r="B4962" s="223" t="s">
        <v>200</v>
      </c>
      <c r="C4962" s="223"/>
      <c r="K4962" s="319"/>
      <c r="L4962" s="218"/>
    </row>
    <row r="4963">
      <c r="B4963" s="223" t="s">
        <v>200</v>
      </c>
      <c r="C4963" s="223"/>
      <c r="K4963" s="319"/>
      <c r="L4963" s="218"/>
    </row>
    <row r="4964">
      <c r="B4964" s="223" t="s">
        <v>200</v>
      </c>
      <c r="C4964" s="223"/>
      <c r="K4964" s="319"/>
      <c r="L4964" s="218"/>
    </row>
    <row r="4965">
      <c r="B4965" s="223" t="s">
        <v>200</v>
      </c>
      <c r="C4965" s="223"/>
      <c r="K4965" s="319"/>
      <c r="L4965" s="218"/>
    </row>
    <row r="4966">
      <c r="B4966" s="223" t="s">
        <v>200</v>
      </c>
      <c r="C4966" s="223"/>
      <c r="K4966" s="319"/>
      <c r="L4966" s="218"/>
    </row>
    <row r="4967">
      <c r="B4967" s="223" t="s">
        <v>200</v>
      </c>
      <c r="C4967" s="223"/>
      <c r="K4967" s="319"/>
      <c r="L4967" s="218"/>
    </row>
    <row r="4968">
      <c r="B4968" s="223" t="s">
        <v>200</v>
      </c>
      <c r="C4968" s="223"/>
      <c r="K4968" s="319"/>
      <c r="L4968" s="218"/>
    </row>
    <row r="4969">
      <c r="B4969" s="223" t="s">
        <v>200</v>
      </c>
      <c r="C4969" s="223"/>
      <c r="K4969" s="319"/>
      <c r="L4969" s="218"/>
    </row>
    <row r="4970">
      <c r="B4970" s="223" t="s">
        <v>200</v>
      </c>
      <c r="C4970" s="223"/>
      <c r="K4970" s="319"/>
      <c r="L4970" s="218"/>
    </row>
    <row r="4971">
      <c r="B4971" s="223" t="s">
        <v>200</v>
      </c>
      <c r="C4971" s="223"/>
      <c r="K4971" s="319"/>
      <c r="L4971" s="218"/>
    </row>
    <row r="4972">
      <c r="B4972" s="223" t="s">
        <v>200</v>
      </c>
      <c r="C4972" s="223"/>
      <c r="K4972" s="319"/>
      <c r="L4972" s="218"/>
    </row>
    <row r="4973">
      <c r="B4973" s="223" t="s">
        <v>200</v>
      </c>
      <c r="C4973" s="223"/>
      <c r="K4973" s="319"/>
      <c r="L4973" s="218"/>
    </row>
    <row r="4974">
      <c r="B4974" s="223" t="s">
        <v>200</v>
      </c>
      <c r="C4974" s="223"/>
      <c r="K4974" s="319"/>
      <c r="L4974" s="218"/>
    </row>
    <row r="4975">
      <c r="B4975" s="223" t="s">
        <v>200</v>
      </c>
      <c r="C4975" s="223"/>
      <c r="K4975" s="319"/>
      <c r="L4975" s="218"/>
    </row>
    <row r="4976">
      <c r="B4976" s="223" t="s">
        <v>200</v>
      </c>
      <c r="C4976" s="223"/>
      <c r="K4976" s="319"/>
      <c r="L4976" s="218"/>
    </row>
    <row r="4977">
      <c r="B4977" s="223" t="s">
        <v>200</v>
      </c>
      <c r="C4977" s="223"/>
      <c r="K4977" s="319"/>
      <c r="L4977" s="218"/>
    </row>
    <row r="4978">
      <c r="B4978" s="223" t="s">
        <v>200</v>
      </c>
      <c r="C4978" s="223"/>
      <c r="K4978" s="319"/>
      <c r="L4978" s="218"/>
    </row>
    <row r="4979">
      <c r="B4979" s="223" t="s">
        <v>200</v>
      </c>
      <c r="C4979" s="223"/>
      <c r="K4979" s="319"/>
      <c r="L4979" s="218"/>
    </row>
    <row r="4980">
      <c r="B4980" s="223" t="s">
        <v>200</v>
      </c>
      <c r="C4980" s="223"/>
      <c r="K4980" s="319"/>
      <c r="L4980" s="218"/>
    </row>
    <row r="4981">
      <c r="B4981" s="223" t="s">
        <v>200</v>
      </c>
      <c r="C4981" s="223"/>
      <c r="K4981" s="319"/>
      <c r="L4981" s="218"/>
    </row>
    <row r="4982">
      <c r="B4982" s="223" t="s">
        <v>200</v>
      </c>
      <c r="C4982" s="223"/>
      <c r="K4982" s="319"/>
      <c r="L4982" s="218"/>
    </row>
    <row r="4983">
      <c r="B4983" s="223" t="s">
        <v>200</v>
      </c>
      <c r="C4983" s="223"/>
      <c r="K4983" s="319"/>
      <c r="L4983" s="218"/>
    </row>
    <row r="4984">
      <c r="B4984" s="223" t="s">
        <v>200</v>
      </c>
      <c r="C4984" s="223"/>
      <c r="K4984" s="319"/>
      <c r="L4984" s="218"/>
    </row>
    <row r="4985">
      <c r="B4985" s="223" t="s">
        <v>200</v>
      </c>
      <c r="C4985" s="223"/>
      <c r="K4985" s="319"/>
      <c r="L4985" s="218"/>
    </row>
    <row r="4986">
      <c r="B4986" s="223" t="s">
        <v>200</v>
      </c>
      <c r="C4986" s="223"/>
      <c r="K4986" s="319"/>
      <c r="L4986" s="218"/>
    </row>
    <row r="4987">
      <c r="B4987" s="223" t="s">
        <v>200</v>
      </c>
      <c r="C4987" s="223"/>
      <c r="K4987" s="319"/>
      <c r="L4987" s="218"/>
    </row>
    <row r="4988">
      <c r="B4988" s="223" t="s">
        <v>200</v>
      </c>
      <c r="C4988" s="223"/>
      <c r="K4988" s="319"/>
      <c r="L4988" s="218"/>
    </row>
    <row r="4989">
      <c r="B4989" s="223" t="s">
        <v>200</v>
      </c>
      <c r="C4989" s="223"/>
      <c r="K4989" s="319"/>
      <c r="L4989" s="218"/>
    </row>
    <row r="4990">
      <c r="B4990" s="223" t="s">
        <v>200</v>
      </c>
      <c r="C4990" s="223"/>
      <c r="K4990" s="319"/>
      <c r="L4990" s="218"/>
    </row>
    <row r="4991">
      <c r="B4991" s="223" t="s">
        <v>200</v>
      </c>
      <c r="C4991" s="223"/>
      <c r="K4991" s="319"/>
      <c r="L4991" s="218"/>
    </row>
    <row r="4992">
      <c r="B4992" s="223" t="s">
        <v>200</v>
      </c>
      <c r="C4992" s="223"/>
      <c r="K4992" s="319"/>
      <c r="L4992" s="218"/>
    </row>
    <row r="4993">
      <c r="B4993" s="223" t="s">
        <v>200</v>
      </c>
      <c r="C4993" s="223"/>
      <c r="K4993" s="319"/>
      <c r="L4993" s="218"/>
    </row>
    <row r="4994">
      <c r="B4994" s="223" t="s">
        <v>200</v>
      </c>
      <c r="C4994" s="223"/>
      <c r="K4994" s="319"/>
      <c r="L4994" s="218"/>
    </row>
    <row r="4995">
      <c r="B4995" s="223" t="s">
        <v>200</v>
      </c>
      <c r="C4995" s="223"/>
      <c r="K4995" s="319"/>
      <c r="L4995" s="218"/>
    </row>
    <row r="4996">
      <c r="B4996" s="223" t="s">
        <v>200</v>
      </c>
      <c r="C4996" s="223"/>
      <c r="K4996" s="319"/>
      <c r="L4996" s="218"/>
    </row>
    <row r="4997">
      <c r="B4997" s="223" t="s">
        <v>200</v>
      </c>
      <c r="C4997" s="223"/>
      <c r="K4997" s="319"/>
      <c r="L4997" s="218"/>
    </row>
    <row r="4998">
      <c r="B4998" s="223" t="s">
        <v>200</v>
      </c>
      <c r="C4998" s="223"/>
      <c r="K4998" s="319"/>
      <c r="L4998" s="218"/>
    </row>
    <row r="4999">
      <c r="B4999" s="223" t="s">
        <v>200</v>
      </c>
      <c r="C4999" s="223"/>
      <c r="K4999" s="319"/>
      <c r="L4999" s="218"/>
    </row>
    <row r="5000">
      <c r="B5000" s="223" t="s">
        <v>200</v>
      </c>
      <c r="C5000" s="223"/>
      <c r="K5000" s="319"/>
      <c r="L5000" s="218"/>
    </row>
    <row r="5001">
      <c r="B5001" s="223" t="s">
        <v>200</v>
      </c>
      <c r="C5001" s="223"/>
      <c r="K5001" s="319"/>
      <c r="L5001" s="218"/>
    </row>
    <row r="5002">
      <c r="B5002" s="223" t="s">
        <v>200</v>
      </c>
      <c r="C5002" s="223"/>
      <c r="K5002" s="319"/>
      <c r="L5002" s="218"/>
    </row>
    <row r="5003">
      <c r="B5003" s="223" t="s">
        <v>200</v>
      </c>
      <c r="C5003" s="223"/>
      <c r="K5003" s="319"/>
      <c r="L5003" s="218"/>
    </row>
    <row r="5004">
      <c r="B5004" s="223" t="s">
        <v>200</v>
      </c>
      <c r="C5004" s="223"/>
      <c r="K5004" s="319"/>
      <c r="L5004" s="218"/>
    </row>
    <row r="5005">
      <c r="B5005" s="223" t="s">
        <v>200</v>
      </c>
      <c r="C5005" s="223"/>
      <c r="K5005" s="319"/>
      <c r="L5005" s="218"/>
    </row>
    <row r="5006">
      <c r="B5006" s="223" t="s">
        <v>200</v>
      </c>
      <c r="C5006" s="223"/>
      <c r="K5006" s="319"/>
      <c r="L5006" s="218"/>
    </row>
    <row r="5007">
      <c r="B5007" s="223" t="s">
        <v>200</v>
      </c>
      <c r="C5007" s="223"/>
      <c r="K5007" s="319"/>
      <c r="L5007" s="218"/>
    </row>
    <row r="5008">
      <c r="B5008" s="223" t="s">
        <v>200</v>
      </c>
      <c r="C5008" s="223"/>
      <c r="K5008" s="319"/>
      <c r="L5008" s="218"/>
    </row>
    <row r="5009">
      <c r="B5009" s="223" t="s">
        <v>200</v>
      </c>
      <c r="C5009" s="223"/>
      <c r="K5009" s="319"/>
      <c r="L5009" s="218"/>
    </row>
    <row r="5010">
      <c r="B5010" s="223" t="s">
        <v>200</v>
      </c>
      <c r="C5010" s="223"/>
      <c r="K5010" s="319"/>
      <c r="L5010" s="218"/>
    </row>
    <row r="5011">
      <c r="B5011" s="223" t="s">
        <v>200</v>
      </c>
      <c r="C5011" s="223"/>
      <c r="K5011" s="319"/>
      <c r="L5011" s="218"/>
    </row>
    <row r="5012">
      <c r="B5012" s="223" t="s">
        <v>200</v>
      </c>
      <c r="C5012" s="223"/>
      <c r="K5012" s="319"/>
      <c r="L5012" s="218"/>
    </row>
    <row r="5013">
      <c r="B5013" s="223" t="s">
        <v>200</v>
      </c>
      <c r="C5013" s="223"/>
      <c r="K5013" s="319"/>
      <c r="L5013" s="218"/>
    </row>
    <row r="5014">
      <c r="B5014" s="223" t="s">
        <v>200</v>
      </c>
      <c r="C5014" s="223"/>
      <c r="K5014" s="319"/>
      <c r="L5014" s="218"/>
    </row>
    <row r="5015">
      <c r="B5015" s="223" t="s">
        <v>200</v>
      </c>
      <c r="C5015" s="223"/>
      <c r="K5015" s="319"/>
      <c r="L5015" s="218"/>
    </row>
    <row r="5016">
      <c r="B5016" s="223" t="s">
        <v>200</v>
      </c>
      <c r="C5016" s="223"/>
      <c r="K5016" s="319"/>
      <c r="L5016" s="218"/>
    </row>
    <row r="5017">
      <c r="B5017" s="223" t="s">
        <v>200</v>
      </c>
      <c r="C5017" s="223"/>
      <c r="K5017" s="319"/>
      <c r="L5017" s="218"/>
    </row>
    <row r="5018">
      <c r="B5018" s="223" t="s">
        <v>200</v>
      </c>
      <c r="C5018" s="223"/>
      <c r="K5018" s="319"/>
      <c r="L5018" s="218"/>
    </row>
    <row r="5019">
      <c r="B5019" s="223" t="s">
        <v>200</v>
      </c>
      <c r="C5019" s="223"/>
      <c r="K5019" s="319"/>
      <c r="L5019" s="218"/>
    </row>
    <row r="5020">
      <c r="B5020" s="223" t="s">
        <v>200</v>
      </c>
      <c r="C5020" s="223"/>
      <c r="K5020" s="319"/>
      <c r="L5020" s="218"/>
    </row>
    <row r="5021">
      <c r="B5021" s="223" t="s">
        <v>200</v>
      </c>
      <c r="C5021" s="223"/>
      <c r="K5021" s="319"/>
      <c r="L5021" s="218"/>
    </row>
    <row r="5022">
      <c r="B5022" s="223" t="s">
        <v>200</v>
      </c>
      <c r="C5022" s="223"/>
      <c r="K5022" s="319"/>
      <c r="L5022" s="218"/>
    </row>
    <row r="5023">
      <c r="B5023" s="223" t="s">
        <v>200</v>
      </c>
      <c r="C5023" s="223"/>
      <c r="K5023" s="319"/>
      <c r="L5023" s="218"/>
    </row>
    <row r="5024">
      <c r="B5024" s="223" t="s">
        <v>200</v>
      </c>
      <c r="C5024" s="223"/>
      <c r="K5024" s="319"/>
      <c r="L5024" s="218"/>
    </row>
    <row r="5025">
      <c r="B5025" s="223" t="s">
        <v>200</v>
      </c>
      <c r="C5025" s="223"/>
      <c r="K5025" s="319"/>
      <c r="L5025" s="218"/>
    </row>
    <row r="5026">
      <c r="B5026" s="223" t="s">
        <v>200</v>
      </c>
      <c r="C5026" s="223"/>
      <c r="K5026" s="319"/>
      <c r="L5026" s="218"/>
    </row>
    <row r="5027">
      <c r="B5027" s="223" t="s">
        <v>200</v>
      </c>
      <c r="C5027" s="223"/>
      <c r="K5027" s="319"/>
      <c r="L5027" s="218"/>
    </row>
    <row r="5028">
      <c r="B5028" s="223" t="s">
        <v>200</v>
      </c>
      <c r="C5028" s="223"/>
      <c r="K5028" s="319"/>
      <c r="L5028" s="218"/>
    </row>
    <row r="5029">
      <c r="B5029" s="223" t="s">
        <v>200</v>
      </c>
      <c r="C5029" s="223"/>
      <c r="K5029" s="319"/>
      <c r="L5029" s="218"/>
    </row>
    <row r="5030">
      <c r="B5030" s="223" t="s">
        <v>200</v>
      </c>
      <c r="C5030" s="223"/>
      <c r="K5030" s="319"/>
      <c r="L5030" s="218"/>
    </row>
    <row r="5031">
      <c r="B5031" s="223" t="s">
        <v>200</v>
      </c>
      <c r="C5031" s="223"/>
      <c r="K5031" s="319"/>
      <c r="L5031" s="218"/>
    </row>
    <row r="5032">
      <c r="B5032" s="223" t="s">
        <v>200</v>
      </c>
      <c r="C5032" s="223"/>
      <c r="K5032" s="319"/>
      <c r="L5032" s="218"/>
    </row>
    <row r="5033">
      <c r="B5033" s="223" t="s">
        <v>200</v>
      </c>
      <c r="C5033" s="223"/>
      <c r="K5033" s="319"/>
      <c r="L5033" s="218"/>
    </row>
    <row r="5034">
      <c r="B5034" s="223" t="s">
        <v>200</v>
      </c>
      <c r="C5034" s="223"/>
      <c r="K5034" s="319"/>
      <c r="L5034" s="218"/>
    </row>
    <row r="5035">
      <c r="B5035" s="223" t="s">
        <v>200</v>
      </c>
      <c r="C5035" s="223"/>
      <c r="K5035" s="319"/>
      <c r="L5035" s="218"/>
    </row>
    <row r="5036">
      <c r="B5036" s="223" t="s">
        <v>200</v>
      </c>
      <c r="C5036" s="223"/>
      <c r="K5036" s="319"/>
      <c r="L5036" s="218"/>
    </row>
    <row r="5037">
      <c r="B5037" s="223" t="s">
        <v>200</v>
      </c>
      <c r="C5037" s="223"/>
      <c r="K5037" s="319"/>
      <c r="L5037" s="218"/>
    </row>
    <row r="5038">
      <c r="B5038" s="223" t="s">
        <v>200</v>
      </c>
      <c r="C5038" s="223"/>
      <c r="K5038" s="319"/>
      <c r="L5038" s="218"/>
    </row>
    <row r="5039">
      <c r="B5039" s="223" t="s">
        <v>200</v>
      </c>
      <c r="C5039" s="223"/>
      <c r="K5039" s="319"/>
      <c r="L5039" s="218"/>
    </row>
    <row r="5040">
      <c r="B5040" s="223" t="s">
        <v>200</v>
      </c>
      <c r="C5040" s="223"/>
      <c r="K5040" s="319"/>
      <c r="L5040" s="218"/>
    </row>
    <row r="5041">
      <c r="B5041" s="223" t="s">
        <v>200</v>
      </c>
      <c r="C5041" s="223"/>
      <c r="K5041" s="319"/>
      <c r="L5041" s="218"/>
    </row>
    <row r="5042">
      <c r="B5042" s="223" t="s">
        <v>200</v>
      </c>
      <c r="C5042" s="223"/>
      <c r="K5042" s="319"/>
      <c r="L5042" s="218"/>
    </row>
    <row r="5043">
      <c r="B5043" s="223" t="s">
        <v>200</v>
      </c>
      <c r="C5043" s="223"/>
      <c r="K5043" s="319"/>
      <c r="L5043" s="218"/>
    </row>
    <row r="5044">
      <c r="B5044" s="223" t="s">
        <v>200</v>
      </c>
      <c r="C5044" s="223"/>
      <c r="K5044" s="319"/>
      <c r="L5044" s="218"/>
    </row>
    <row r="5045">
      <c r="B5045" s="223" t="s">
        <v>200</v>
      </c>
      <c r="C5045" s="223"/>
      <c r="K5045" s="319"/>
      <c r="L5045" s="218"/>
    </row>
    <row r="5046">
      <c r="B5046" s="223" t="s">
        <v>200</v>
      </c>
      <c r="C5046" s="223"/>
      <c r="K5046" s="319"/>
      <c r="L5046" s="218"/>
    </row>
    <row r="5047">
      <c r="B5047" s="223" t="s">
        <v>200</v>
      </c>
      <c r="C5047" s="223"/>
      <c r="K5047" s="319"/>
      <c r="L5047" s="218"/>
    </row>
    <row r="5048">
      <c r="B5048" s="223" t="s">
        <v>200</v>
      </c>
      <c r="C5048" s="223"/>
      <c r="K5048" s="319"/>
      <c r="L5048" s="218"/>
    </row>
    <row r="5049">
      <c r="B5049" s="223" t="s">
        <v>200</v>
      </c>
      <c r="C5049" s="223"/>
      <c r="K5049" s="319"/>
      <c r="L5049" s="218"/>
    </row>
    <row r="5050">
      <c r="B5050" s="223" t="s">
        <v>200</v>
      </c>
      <c r="C5050" s="223"/>
      <c r="K5050" s="319"/>
      <c r="L5050" s="218"/>
    </row>
    <row r="5051">
      <c r="B5051" s="223" t="s">
        <v>200</v>
      </c>
      <c r="C5051" s="223"/>
      <c r="K5051" s="319"/>
      <c r="L5051" s="218"/>
    </row>
    <row r="5052">
      <c r="B5052" s="223" t="s">
        <v>200</v>
      </c>
      <c r="C5052" s="223"/>
      <c r="K5052" s="319"/>
      <c r="L5052" s="218"/>
    </row>
    <row r="5053">
      <c r="B5053" s="223" t="s">
        <v>200</v>
      </c>
      <c r="C5053" s="223"/>
      <c r="K5053" s="319"/>
      <c r="L5053" s="218"/>
    </row>
    <row r="5054">
      <c r="B5054" s="223" t="s">
        <v>200</v>
      </c>
      <c r="C5054" s="223"/>
      <c r="K5054" s="319"/>
      <c r="L5054" s="218"/>
    </row>
    <row r="5055">
      <c r="B5055" s="223" t="s">
        <v>200</v>
      </c>
      <c r="C5055" s="223"/>
      <c r="K5055" s="319"/>
      <c r="L5055" s="218"/>
    </row>
    <row r="5056">
      <c r="B5056" s="223" t="s">
        <v>200</v>
      </c>
      <c r="C5056" s="223"/>
      <c r="K5056" s="319"/>
      <c r="L5056" s="218"/>
    </row>
    <row r="5057">
      <c r="B5057" s="223" t="s">
        <v>200</v>
      </c>
      <c r="C5057" s="223"/>
      <c r="K5057" s="319"/>
      <c r="L5057" s="218"/>
    </row>
    <row r="5058">
      <c r="B5058" s="223" t="s">
        <v>200</v>
      </c>
      <c r="C5058" s="223"/>
      <c r="K5058" s="319"/>
      <c r="L5058" s="218"/>
    </row>
    <row r="5059">
      <c r="B5059" s="223" t="s">
        <v>200</v>
      </c>
      <c r="C5059" s="223"/>
      <c r="K5059" s="319"/>
      <c r="L5059" s="218"/>
    </row>
    <row r="5060">
      <c r="B5060" s="223" t="s">
        <v>200</v>
      </c>
      <c r="C5060" s="223"/>
      <c r="K5060" s="319"/>
      <c r="L5060" s="218"/>
    </row>
    <row r="5061">
      <c r="B5061" s="223" t="s">
        <v>200</v>
      </c>
      <c r="C5061" s="223"/>
      <c r="K5061" s="319"/>
      <c r="L5061" s="218"/>
    </row>
    <row r="5062">
      <c r="B5062" s="223" t="s">
        <v>200</v>
      </c>
      <c r="C5062" s="223"/>
      <c r="K5062" s="319"/>
      <c r="L5062" s="218"/>
    </row>
    <row r="5063">
      <c r="B5063" s="223" t="s">
        <v>200</v>
      </c>
      <c r="C5063" s="223"/>
      <c r="K5063" s="319"/>
      <c r="L5063" s="218"/>
    </row>
    <row r="5064">
      <c r="B5064" s="223" t="s">
        <v>200</v>
      </c>
      <c r="C5064" s="223"/>
      <c r="K5064" s="319"/>
      <c r="L5064" s="218"/>
    </row>
    <row r="5065">
      <c r="B5065" s="223" t="s">
        <v>200</v>
      </c>
      <c r="C5065" s="223"/>
      <c r="K5065" s="319"/>
      <c r="L5065" s="218"/>
    </row>
    <row r="5066">
      <c r="B5066" s="223" t="s">
        <v>200</v>
      </c>
      <c r="C5066" s="223"/>
      <c r="K5066" s="319"/>
      <c r="L5066" s="218"/>
    </row>
    <row r="5067">
      <c r="B5067" s="223" t="s">
        <v>200</v>
      </c>
      <c r="C5067" s="223"/>
      <c r="K5067" s="319"/>
      <c r="L5067" s="218"/>
    </row>
    <row r="5068">
      <c r="B5068" s="223" t="s">
        <v>200</v>
      </c>
      <c r="C5068" s="223"/>
      <c r="K5068" s="319"/>
      <c r="L5068" s="218"/>
    </row>
    <row r="5069">
      <c r="B5069" s="223" t="s">
        <v>200</v>
      </c>
      <c r="C5069" s="223"/>
      <c r="K5069" s="319"/>
      <c r="L5069" s="218"/>
    </row>
    <row r="5070">
      <c r="B5070" s="223" t="s">
        <v>200</v>
      </c>
      <c r="C5070" s="223"/>
      <c r="K5070" s="319"/>
      <c r="L5070" s="218"/>
    </row>
    <row r="5071">
      <c r="B5071" s="223" t="s">
        <v>200</v>
      </c>
      <c r="C5071" s="223"/>
      <c r="K5071" s="319"/>
      <c r="L5071" s="218"/>
    </row>
    <row r="5072">
      <c r="B5072" s="223" t="s">
        <v>200</v>
      </c>
      <c r="C5072" s="223"/>
      <c r="K5072" s="319"/>
      <c r="L5072" s="218"/>
    </row>
    <row r="5073">
      <c r="B5073" s="223" t="s">
        <v>200</v>
      </c>
      <c r="C5073" s="223"/>
      <c r="K5073" s="319"/>
      <c r="L5073" s="218"/>
    </row>
    <row r="5074">
      <c r="B5074" s="223" t="s">
        <v>200</v>
      </c>
      <c r="C5074" s="223"/>
      <c r="K5074" s="319"/>
      <c r="L5074" s="218"/>
    </row>
    <row r="5075">
      <c r="B5075" s="223" t="s">
        <v>200</v>
      </c>
      <c r="C5075" s="223"/>
      <c r="K5075" s="319"/>
      <c r="L5075" s="218"/>
    </row>
    <row r="5076">
      <c r="B5076" s="223" t="s">
        <v>200</v>
      </c>
      <c r="C5076" s="223"/>
      <c r="K5076" s="319"/>
      <c r="L5076" s="218"/>
    </row>
    <row r="5077">
      <c r="B5077" s="223" t="s">
        <v>200</v>
      </c>
      <c r="C5077" s="223"/>
      <c r="K5077" s="319"/>
      <c r="L5077" s="218"/>
    </row>
    <row r="5078">
      <c r="B5078" s="223" t="s">
        <v>200</v>
      </c>
      <c r="C5078" s="223"/>
      <c r="K5078" s="319"/>
      <c r="L5078" s="218"/>
    </row>
    <row r="5079">
      <c r="B5079" s="223" t="s">
        <v>200</v>
      </c>
      <c r="C5079" s="223"/>
      <c r="K5079" s="319"/>
      <c r="L5079" s="218"/>
    </row>
    <row r="5080">
      <c r="B5080" s="223" t="s">
        <v>200</v>
      </c>
      <c r="C5080" s="223"/>
      <c r="K5080" s="319"/>
      <c r="L5080" s="218"/>
    </row>
    <row r="5081">
      <c r="B5081" s="223" t="s">
        <v>200</v>
      </c>
      <c r="C5081" s="223"/>
      <c r="K5081" s="319"/>
      <c r="L5081" s="218"/>
    </row>
    <row r="5082">
      <c r="B5082" s="223" t="s">
        <v>200</v>
      </c>
      <c r="C5082" s="223"/>
      <c r="K5082" s="319"/>
      <c r="L5082" s="218"/>
    </row>
    <row r="5083">
      <c r="B5083" s="223" t="s">
        <v>200</v>
      </c>
      <c r="C5083" s="223"/>
      <c r="K5083" s="319"/>
      <c r="L5083" s="218"/>
    </row>
    <row r="5084">
      <c r="B5084" s="223" t="s">
        <v>200</v>
      </c>
      <c r="C5084" s="223"/>
      <c r="K5084" s="319"/>
      <c r="L5084" s="218"/>
    </row>
    <row r="5085">
      <c r="B5085" s="223" t="s">
        <v>200</v>
      </c>
      <c r="C5085" s="223"/>
      <c r="K5085" s="319"/>
      <c r="L5085" s="218"/>
    </row>
    <row r="5086">
      <c r="B5086" s="223" t="s">
        <v>200</v>
      </c>
      <c r="C5086" s="223"/>
      <c r="K5086" s="319"/>
      <c r="L5086" s="218"/>
    </row>
    <row r="5087">
      <c r="B5087" s="223" t="s">
        <v>200</v>
      </c>
      <c r="C5087" s="223"/>
      <c r="K5087" s="319"/>
      <c r="L5087" s="218"/>
    </row>
    <row r="5088">
      <c r="B5088" s="223" t="s">
        <v>200</v>
      </c>
      <c r="C5088" s="223"/>
      <c r="K5088" s="319"/>
      <c r="L5088" s="218"/>
    </row>
    <row r="5089">
      <c r="B5089" s="223" t="s">
        <v>200</v>
      </c>
      <c r="C5089" s="223"/>
      <c r="K5089" s="319"/>
      <c r="L5089" s="218"/>
    </row>
    <row r="5090">
      <c r="B5090" s="223" t="s">
        <v>200</v>
      </c>
      <c r="C5090" s="223"/>
      <c r="K5090" s="319"/>
      <c r="L5090" s="218"/>
    </row>
    <row r="5091">
      <c r="B5091" s="223" t="s">
        <v>200</v>
      </c>
      <c r="C5091" s="223"/>
      <c r="K5091" s="319"/>
      <c r="L5091" s="218"/>
    </row>
    <row r="5092">
      <c r="B5092" s="223" t="s">
        <v>200</v>
      </c>
      <c r="C5092" s="223"/>
      <c r="K5092" s="319"/>
      <c r="L5092" s="218"/>
    </row>
    <row r="5093">
      <c r="B5093" s="223" t="s">
        <v>200</v>
      </c>
      <c r="C5093" s="223"/>
      <c r="K5093" s="319"/>
      <c r="L5093" s="218"/>
    </row>
    <row r="5094">
      <c r="B5094" s="223" t="s">
        <v>200</v>
      </c>
      <c r="C5094" s="223"/>
      <c r="K5094" s="319"/>
      <c r="L5094" s="218"/>
    </row>
    <row r="5095">
      <c r="B5095" s="223" t="s">
        <v>200</v>
      </c>
      <c r="C5095" s="223"/>
      <c r="K5095" s="319"/>
      <c r="L5095" s="218"/>
    </row>
    <row r="5096">
      <c r="B5096" s="223" t="s">
        <v>200</v>
      </c>
      <c r="C5096" s="223"/>
      <c r="K5096" s="319"/>
      <c r="L5096" s="218"/>
    </row>
    <row r="5097">
      <c r="B5097" s="223" t="s">
        <v>200</v>
      </c>
      <c r="C5097" s="223"/>
      <c r="K5097" s="319"/>
      <c r="L5097" s="218"/>
    </row>
    <row r="5098">
      <c r="B5098" s="223" t="s">
        <v>200</v>
      </c>
      <c r="C5098" s="223"/>
      <c r="K5098" s="319"/>
      <c r="L5098" s="218"/>
    </row>
    <row r="5099">
      <c r="B5099" s="223" t="s">
        <v>200</v>
      </c>
      <c r="C5099" s="223"/>
      <c r="K5099" s="319"/>
      <c r="L5099" s="218"/>
    </row>
    <row r="5100">
      <c r="B5100" s="223" t="s">
        <v>200</v>
      </c>
      <c r="C5100" s="223"/>
      <c r="K5100" s="319"/>
      <c r="L5100" s="218"/>
    </row>
    <row r="5101">
      <c r="B5101" s="223" t="s">
        <v>200</v>
      </c>
      <c r="C5101" s="223"/>
      <c r="K5101" s="319"/>
      <c r="L5101" s="218"/>
    </row>
    <row r="5102">
      <c r="B5102" s="223" t="s">
        <v>200</v>
      </c>
      <c r="C5102" s="223"/>
      <c r="K5102" s="319"/>
      <c r="L5102" s="218"/>
    </row>
    <row r="5103">
      <c r="B5103" s="223" t="s">
        <v>200</v>
      </c>
      <c r="C5103" s="223"/>
      <c r="K5103" s="319"/>
      <c r="L5103" s="218"/>
    </row>
    <row r="5104">
      <c r="B5104" s="223" t="s">
        <v>200</v>
      </c>
      <c r="C5104" s="223"/>
      <c r="K5104" s="319"/>
      <c r="L5104" s="218"/>
    </row>
    <row r="5105">
      <c r="B5105" s="223" t="s">
        <v>200</v>
      </c>
      <c r="C5105" s="223"/>
      <c r="K5105" s="319"/>
      <c r="L5105" s="218"/>
    </row>
    <row r="5106">
      <c r="B5106" s="223" t="s">
        <v>200</v>
      </c>
      <c r="C5106" s="223"/>
      <c r="K5106" s="319"/>
      <c r="L5106" s="218"/>
    </row>
    <row r="5107">
      <c r="B5107" s="223" t="s">
        <v>200</v>
      </c>
      <c r="C5107" s="223"/>
      <c r="K5107" s="319"/>
      <c r="L5107" s="218"/>
    </row>
    <row r="5108">
      <c r="B5108" s="223" t="s">
        <v>200</v>
      </c>
      <c r="C5108" s="223"/>
      <c r="K5108" s="319"/>
      <c r="L5108" s="218"/>
    </row>
    <row r="5109">
      <c r="B5109" s="223" t="s">
        <v>200</v>
      </c>
      <c r="C5109" s="223"/>
      <c r="K5109" s="319"/>
      <c r="L5109" s="218"/>
    </row>
    <row r="5110">
      <c r="B5110" s="223" t="s">
        <v>200</v>
      </c>
      <c r="C5110" s="223"/>
      <c r="K5110" s="319"/>
      <c r="L5110" s="218"/>
    </row>
    <row r="5111">
      <c r="B5111" s="223" t="s">
        <v>200</v>
      </c>
      <c r="C5111" s="223"/>
      <c r="K5111" s="319"/>
      <c r="L5111" s="218"/>
    </row>
    <row r="5112">
      <c r="B5112" s="223" t="s">
        <v>200</v>
      </c>
      <c r="C5112" s="223"/>
      <c r="K5112" s="319"/>
      <c r="L5112" s="218"/>
    </row>
    <row r="5113">
      <c r="B5113" s="223" t="s">
        <v>200</v>
      </c>
      <c r="C5113" s="223"/>
      <c r="K5113" s="319"/>
      <c r="L5113" s="218"/>
    </row>
    <row r="5114">
      <c r="B5114" s="223" t="s">
        <v>200</v>
      </c>
      <c r="C5114" s="223"/>
      <c r="K5114" s="319"/>
      <c r="L5114" s="218"/>
    </row>
    <row r="5115">
      <c r="B5115" s="223" t="s">
        <v>200</v>
      </c>
      <c r="C5115" s="223"/>
      <c r="K5115" s="319"/>
      <c r="L5115" s="218"/>
    </row>
    <row r="5116">
      <c r="B5116" s="223" t="s">
        <v>200</v>
      </c>
      <c r="C5116" s="223"/>
      <c r="K5116" s="319"/>
      <c r="L5116" s="218"/>
    </row>
    <row r="5117">
      <c r="B5117" s="223" t="s">
        <v>200</v>
      </c>
      <c r="C5117" s="223"/>
      <c r="K5117" s="319"/>
      <c r="L5117" s="218"/>
    </row>
    <row r="5118">
      <c r="B5118" s="223" t="s">
        <v>200</v>
      </c>
      <c r="C5118" s="223"/>
      <c r="K5118" s="319"/>
      <c r="L5118" s="218"/>
    </row>
    <row r="5119">
      <c r="B5119" s="223" t="s">
        <v>200</v>
      </c>
      <c r="C5119" s="223"/>
      <c r="K5119" s="319"/>
      <c r="L5119" s="218"/>
    </row>
    <row r="5120">
      <c r="B5120" s="223" t="s">
        <v>200</v>
      </c>
      <c r="C5120" s="223"/>
      <c r="K5120" s="319"/>
      <c r="L5120" s="218"/>
    </row>
    <row r="5121">
      <c r="B5121" s="223" t="s">
        <v>200</v>
      </c>
      <c r="C5121" s="223"/>
      <c r="K5121" s="319"/>
      <c r="L5121" s="218"/>
    </row>
    <row r="5122">
      <c r="B5122" s="223" t="s">
        <v>200</v>
      </c>
      <c r="C5122" s="223"/>
      <c r="K5122" s="319"/>
      <c r="L5122" s="218"/>
    </row>
    <row r="5123">
      <c r="B5123" s="223" t="s">
        <v>200</v>
      </c>
      <c r="C5123" s="223"/>
      <c r="K5123" s="319"/>
      <c r="L5123" s="218"/>
    </row>
    <row r="5124">
      <c r="B5124" s="223" t="s">
        <v>200</v>
      </c>
      <c r="C5124" s="223"/>
      <c r="K5124" s="319"/>
      <c r="L5124" s="218"/>
    </row>
    <row r="5125">
      <c r="B5125" s="223" t="s">
        <v>200</v>
      </c>
      <c r="C5125" s="223"/>
      <c r="K5125" s="319"/>
      <c r="L5125" s="218"/>
    </row>
    <row r="5126">
      <c r="B5126" s="223" t="s">
        <v>200</v>
      </c>
      <c r="C5126" s="223"/>
      <c r="K5126" s="319"/>
      <c r="L5126" s="218"/>
    </row>
    <row r="5127">
      <c r="B5127" s="223" t="s">
        <v>200</v>
      </c>
      <c r="C5127" s="223"/>
      <c r="K5127" s="319"/>
      <c r="L5127" s="218"/>
    </row>
    <row r="5128">
      <c r="B5128" s="223" t="s">
        <v>200</v>
      </c>
      <c r="C5128" s="223"/>
      <c r="K5128" s="319"/>
      <c r="L5128" s="218"/>
    </row>
    <row r="5129">
      <c r="B5129" s="223" t="s">
        <v>200</v>
      </c>
      <c r="C5129" s="223"/>
      <c r="K5129" s="319"/>
      <c r="L5129" s="218"/>
    </row>
    <row r="5130">
      <c r="B5130" s="223" t="s">
        <v>200</v>
      </c>
      <c r="C5130" s="223"/>
      <c r="K5130" s="319"/>
      <c r="L5130" s="218"/>
    </row>
    <row r="5131">
      <c r="B5131" s="223" t="s">
        <v>200</v>
      </c>
      <c r="C5131" s="223"/>
      <c r="K5131" s="319"/>
      <c r="L5131" s="218"/>
    </row>
    <row r="5132">
      <c r="B5132" s="223" t="s">
        <v>200</v>
      </c>
      <c r="C5132" s="223"/>
      <c r="K5132" s="319"/>
      <c r="L5132" s="218"/>
    </row>
    <row r="5133">
      <c r="B5133" s="223" t="s">
        <v>200</v>
      </c>
      <c r="C5133" s="223"/>
      <c r="K5133" s="319"/>
      <c r="L5133" s="218"/>
    </row>
    <row r="5134">
      <c r="B5134" s="223" t="s">
        <v>200</v>
      </c>
      <c r="C5134" s="223"/>
      <c r="K5134" s="319"/>
      <c r="L5134" s="218"/>
    </row>
    <row r="5135">
      <c r="B5135" s="223" t="s">
        <v>200</v>
      </c>
      <c r="C5135" s="223"/>
      <c r="K5135" s="319"/>
      <c r="L5135" s="218"/>
    </row>
    <row r="5136">
      <c r="B5136" s="223" t="s">
        <v>200</v>
      </c>
      <c r="C5136" s="223"/>
      <c r="K5136" s="319"/>
      <c r="L5136" s="218"/>
    </row>
    <row r="5137">
      <c r="B5137" s="223" t="s">
        <v>200</v>
      </c>
      <c r="C5137" s="223"/>
      <c r="K5137" s="319"/>
      <c r="L5137" s="218"/>
    </row>
    <row r="5138">
      <c r="B5138" s="223" t="s">
        <v>200</v>
      </c>
      <c r="C5138" s="223"/>
      <c r="K5138" s="319"/>
      <c r="L5138" s="218"/>
    </row>
    <row r="5139">
      <c r="B5139" s="223" t="s">
        <v>200</v>
      </c>
      <c r="C5139" s="223"/>
      <c r="K5139" s="319"/>
      <c r="L5139" s="218"/>
    </row>
    <row r="5140">
      <c r="B5140" s="223" t="s">
        <v>200</v>
      </c>
      <c r="C5140" s="223"/>
      <c r="K5140" s="319"/>
      <c r="L5140" s="218"/>
    </row>
    <row r="5141">
      <c r="B5141" s="223" t="s">
        <v>200</v>
      </c>
      <c r="C5141" s="223"/>
      <c r="K5141" s="319"/>
      <c r="L5141" s="218"/>
    </row>
    <row r="5142">
      <c r="B5142" s="223" t="s">
        <v>200</v>
      </c>
      <c r="C5142" s="223"/>
      <c r="K5142" s="319"/>
      <c r="L5142" s="218"/>
    </row>
    <row r="5143">
      <c r="B5143" s="223" t="s">
        <v>200</v>
      </c>
      <c r="C5143" s="223"/>
      <c r="K5143" s="319"/>
      <c r="L5143" s="218"/>
    </row>
    <row r="5144">
      <c r="B5144" s="223" t="s">
        <v>200</v>
      </c>
      <c r="C5144" s="223"/>
      <c r="K5144" s="319"/>
      <c r="L5144" s="218"/>
    </row>
    <row r="5145">
      <c r="B5145" s="223" t="s">
        <v>200</v>
      </c>
      <c r="C5145" s="223"/>
      <c r="K5145" s="319"/>
      <c r="L5145" s="218"/>
    </row>
    <row r="5146">
      <c r="B5146" s="223" t="s">
        <v>200</v>
      </c>
      <c r="C5146" s="223"/>
      <c r="K5146" s="319"/>
      <c r="L5146" s="218"/>
    </row>
    <row r="5147">
      <c r="B5147" s="223" t="s">
        <v>200</v>
      </c>
      <c r="C5147" s="223"/>
      <c r="K5147" s="319"/>
      <c r="L5147" s="218"/>
    </row>
    <row r="5148">
      <c r="B5148" s="223" t="s">
        <v>200</v>
      </c>
      <c r="C5148" s="223"/>
      <c r="K5148" s="319"/>
      <c r="L5148" s="218"/>
    </row>
    <row r="5149">
      <c r="B5149" s="223" t="s">
        <v>200</v>
      </c>
      <c r="C5149" s="223"/>
      <c r="K5149" s="319"/>
      <c r="L5149" s="218"/>
    </row>
    <row r="5150">
      <c r="B5150" s="223" t="s">
        <v>200</v>
      </c>
      <c r="C5150" s="223"/>
      <c r="K5150" s="319"/>
      <c r="L5150" s="218"/>
    </row>
    <row r="5151">
      <c r="B5151" s="223" t="s">
        <v>200</v>
      </c>
      <c r="C5151" s="223"/>
      <c r="K5151" s="319"/>
      <c r="L5151" s="218"/>
    </row>
    <row r="5152">
      <c r="B5152" s="223" t="s">
        <v>200</v>
      </c>
      <c r="C5152" s="223"/>
      <c r="K5152" s="319"/>
      <c r="L5152" s="218"/>
    </row>
    <row r="5153">
      <c r="B5153" s="223" t="s">
        <v>200</v>
      </c>
      <c r="C5153" s="223"/>
      <c r="K5153" s="319"/>
      <c r="L5153" s="218"/>
    </row>
    <row r="5154">
      <c r="B5154" s="223" t="s">
        <v>200</v>
      </c>
      <c r="C5154" s="223"/>
      <c r="K5154" s="319"/>
      <c r="L5154" s="218"/>
    </row>
    <row r="5155">
      <c r="B5155" s="223" t="s">
        <v>200</v>
      </c>
      <c r="C5155" s="223"/>
      <c r="K5155" s="319"/>
      <c r="L5155" s="218"/>
    </row>
    <row r="5156">
      <c r="B5156" s="223" t="s">
        <v>200</v>
      </c>
      <c r="C5156" s="223"/>
      <c r="K5156" s="319"/>
      <c r="L5156" s="218"/>
    </row>
    <row r="5157">
      <c r="B5157" s="223" t="s">
        <v>200</v>
      </c>
      <c r="C5157" s="223"/>
      <c r="K5157" s="319"/>
      <c r="L5157" s="218"/>
    </row>
    <row r="5158">
      <c r="B5158" s="223" t="s">
        <v>200</v>
      </c>
      <c r="C5158" s="223"/>
      <c r="K5158" s="319"/>
      <c r="L5158" s="218"/>
    </row>
    <row r="5159">
      <c r="B5159" s="223" t="s">
        <v>200</v>
      </c>
      <c r="C5159" s="223"/>
      <c r="K5159" s="319"/>
      <c r="L5159" s="218"/>
    </row>
    <row r="5160">
      <c r="B5160" s="223" t="s">
        <v>200</v>
      </c>
      <c r="C5160" s="223"/>
      <c r="K5160" s="319"/>
      <c r="L5160" s="218"/>
    </row>
    <row r="5161">
      <c r="B5161" s="223" t="s">
        <v>200</v>
      </c>
      <c r="C5161" s="223"/>
      <c r="K5161" s="319"/>
      <c r="L5161" s="218"/>
    </row>
    <row r="5162">
      <c r="B5162" s="223" t="s">
        <v>200</v>
      </c>
      <c r="C5162" s="223"/>
      <c r="K5162" s="319"/>
      <c r="L5162" s="218"/>
    </row>
    <row r="5163">
      <c r="B5163" s="223" t="s">
        <v>200</v>
      </c>
      <c r="C5163" s="223"/>
      <c r="K5163" s="319"/>
      <c r="L5163" s="218"/>
    </row>
    <row r="5164">
      <c r="B5164" s="223" t="s">
        <v>200</v>
      </c>
      <c r="C5164" s="223"/>
      <c r="K5164" s="319"/>
      <c r="L5164" s="218"/>
    </row>
    <row r="5165">
      <c r="B5165" s="223" t="s">
        <v>200</v>
      </c>
      <c r="C5165" s="223"/>
      <c r="K5165" s="319"/>
      <c r="L5165" s="218"/>
    </row>
    <row r="5166">
      <c r="B5166" s="223" t="s">
        <v>200</v>
      </c>
      <c r="C5166" s="223"/>
      <c r="K5166" s="319"/>
      <c r="L5166" s="218"/>
    </row>
    <row r="5167">
      <c r="B5167" s="223" t="s">
        <v>200</v>
      </c>
      <c r="C5167" s="223"/>
      <c r="K5167" s="319"/>
      <c r="L5167" s="218"/>
    </row>
    <row r="5168">
      <c r="B5168" s="223" t="s">
        <v>200</v>
      </c>
      <c r="C5168" s="223"/>
      <c r="K5168" s="319"/>
      <c r="L5168" s="218"/>
    </row>
    <row r="5169">
      <c r="B5169" s="223" t="s">
        <v>200</v>
      </c>
      <c r="C5169" s="223"/>
      <c r="K5169" s="319"/>
      <c r="L5169" s="218"/>
    </row>
    <row r="5170">
      <c r="B5170" s="223" t="s">
        <v>200</v>
      </c>
      <c r="C5170" s="223"/>
      <c r="K5170" s="319"/>
      <c r="L5170" s="218"/>
    </row>
    <row r="5171">
      <c r="B5171" s="223" t="s">
        <v>200</v>
      </c>
      <c r="C5171" s="223"/>
      <c r="K5171" s="319"/>
      <c r="L5171" s="218"/>
    </row>
    <row r="5172">
      <c r="B5172" s="223" t="s">
        <v>200</v>
      </c>
      <c r="C5172" s="223"/>
      <c r="K5172" s="319"/>
      <c r="L5172" s="218"/>
    </row>
    <row r="5173">
      <c r="B5173" s="223" t="s">
        <v>200</v>
      </c>
      <c r="C5173" s="223"/>
      <c r="K5173" s="319"/>
      <c r="L5173" s="218"/>
    </row>
    <row r="5174">
      <c r="B5174" s="223" t="s">
        <v>200</v>
      </c>
      <c r="C5174" s="223"/>
      <c r="K5174" s="319"/>
      <c r="L5174" s="218"/>
    </row>
    <row r="5175">
      <c r="B5175" s="223" t="s">
        <v>200</v>
      </c>
      <c r="C5175" s="223"/>
      <c r="K5175" s="319"/>
      <c r="L5175" s="218"/>
    </row>
    <row r="5176">
      <c r="B5176" s="223" t="s">
        <v>200</v>
      </c>
      <c r="C5176" s="223"/>
      <c r="K5176" s="319"/>
      <c r="L5176" s="218"/>
    </row>
    <row r="5177">
      <c r="B5177" s="223" t="s">
        <v>200</v>
      </c>
      <c r="C5177" s="223"/>
      <c r="K5177" s="319"/>
      <c r="L5177" s="218"/>
    </row>
    <row r="5178">
      <c r="B5178" s="223" t="s">
        <v>200</v>
      </c>
      <c r="C5178" s="223"/>
      <c r="K5178" s="319"/>
      <c r="L5178" s="218"/>
    </row>
    <row r="5179">
      <c r="B5179" s="223" t="s">
        <v>200</v>
      </c>
      <c r="C5179" s="223"/>
      <c r="K5179" s="319"/>
      <c r="L5179" s="218"/>
    </row>
    <row r="5180">
      <c r="B5180" s="223" t="s">
        <v>200</v>
      </c>
      <c r="C5180" s="223"/>
      <c r="K5180" s="319"/>
      <c r="L5180" s="218"/>
    </row>
    <row r="5181">
      <c r="B5181" s="223" t="s">
        <v>200</v>
      </c>
      <c r="C5181" s="223"/>
      <c r="K5181" s="319"/>
      <c r="L5181" s="218"/>
    </row>
    <row r="5182">
      <c r="B5182" s="223" t="s">
        <v>200</v>
      </c>
      <c r="C5182" s="223"/>
      <c r="K5182" s="319"/>
      <c r="L5182" s="218"/>
    </row>
    <row r="5183">
      <c r="B5183" s="223" t="s">
        <v>200</v>
      </c>
      <c r="C5183" s="223"/>
      <c r="K5183" s="319"/>
      <c r="L5183" s="218"/>
    </row>
    <row r="5184">
      <c r="B5184" s="223" t="s">
        <v>200</v>
      </c>
      <c r="C5184" s="223"/>
      <c r="K5184" s="319"/>
      <c r="L5184" s="218"/>
    </row>
    <row r="5185">
      <c r="B5185" s="223" t="s">
        <v>200</v>
      </c>
      <c r="C5185" s="223"/>
      <c r="K5185" s="319"/>
      <c r="L5185" s="218"/>
    </row>
    <row r="5186">
      <c r="B5186" s="223" t="s">
        <v>200</v>
      </c>
      <c r="C5186" s="223"/>
      <c r="K5186" s="319"/>
      <c r="L5186" s="218"/>
    </row>
    <row r="5187">
      <c r="B5187" s="223" t="s">
        <v>200</v>
      </c>
      <c r="C5187" s="223"/>
      <c r="K5187" s="319"/>
      <c r="L5187" s="218"/>
    </row>
    <row r="5188">
      <c r="B5188" s="223" t="s">
        <v>200</v>
      </c>
      <c r="C5188" s="223"/>
      <c r="K5188" s="319"/>
      <c r="L5188" s="218"/>
    </row>
    <row r="5189">
      <c r="B5189" s="223" t="s">
        <v>200</v>
      </c>
      <c r="C5189" s="223"/>
      <c r="K5189" s="319"/>
      <c r="L5189" s="218"/>
    </row>
    <row r="5190">
      <c r="B5190" s="223" t="s">
        <v>200</v>
      </c>
      <c r="C5190" s="223"/>
      <c r="K5190" s="319"/>
      <c r="L5190" s="218"/>
    </row>
    <row r="5191">
      <c r="B5191" s="223" t="s">
        <v>200</v>
      </c>
      <c r="C5191" s="223"/>
      <c r="K5191" s="319"/>
      <c r="L5191" s="218"/>
    </row>
    <row r="5192">
      <c r="B5192" s="223" t="s">
        <v>200</v>
      </c>
      <c r="C5192" s="223"/>
      <c r="K5192" s="319"/>
      <c r="L5192" s="218"/>
    </row>
    <row r="5193">
      <c r="B5193" s="223" t="s">
        <v>200</v>
      </c>
      <c r="C5193" s="223"/>
      <c r="K5193" s="319"/>
      <c r="L5193" s="218"/>
    </row>
    <row r="5194">
      <c r="B5194" s="223" t="s">
        <v>200</v>
      </c>
      <c r="C5194" s="223"/>
      <c r="K5194" s="319"/>
      <c r="L5194" s="218"/>
    </row>
    <row r="5195">
      <c r="B5195" s="223" t="s">
        <v>200</v>
      </c>
      <c r="C5195" s="223"/>
      <c r="K5195" s="319"/>
      <c r="L5195" s="218"/>
    </row>
    <row r="5196">
      <c r="B5196" s="223" t="s">
        <v>200</v>
      </c>
      <c r="C5196" s="223"/>
      <c r="K5196" s="319"/>
      <c r="L5196" s="218"/>
    </row>
    <row r="5197">
      <c r="B5197" s="223" t="s">
        <v>200</v>
      </c>
      <c r="C5197" s="223"/>
      <c r="K5197" s="319"/>
      <c r="L5197" s="218"/>
    </row>
    <row r="5198">
      <c r="B5198" s="223" t="s">
        <v>200</v>
      </c>
      <c r="C5198" s="223"/>
      <c r="K5198" s="319"/>
      <c r="L5198" s="218"/>
    </row>
    <row r="5199">
      <c r="B5199" s="223" t="s">
        <v>200</v>
      </c>
      <c r="C5199" s="223"/>
      <c r="K5199" s="319"/>
      <c r="L5199" s="218"/>
    </row>
    <row r="5200">
      <c r="B5200" s="223" t="s">
        <v>200</v>
      </c>
      <c r="C5200" s="223"/>
      <c r="K5200" s="319"/>
      <c r="L5200" s="218"/>
    </row>
    <row r="5201">
      <c r="B5201" s="223" t="s">
        <v>200</v>
      </c>
      <c r="C5201" s="223"/>
      <c r="K5201" s="319"/>
      <c r="L5201" s="218"/>
    </row>
    <row r="5202">
      <c r="B5202" s="223" t="s">
        <v>200</v>
      </c>
      <c r="C5202" s="223"/>
      <c r="K5202" s="319"/>
      <c r="L5202" s="218"/>
    </row>
    <row r="5203">
      <c r="B5203" s="223" t="s">
        <v>200</v>
      </c>
      <c r="C5203" s="223"/>
      <c r="K5203" s="319"/>
      <c r="L5203" s="218"/>
    </row>
    <row r="5204">
      <c r="B5204" s="223" t="s">
        <v>200</v>
      </c>
      <c r="C5204" s="223"/>
      <c r="K5204" s="319"/>
      <c r="L5204" s="218"/>
    </row>
    <row r="5205">
      <c r="B5205" s="223" t="s">
        <v>200</v>
      </c>
      <c r="C5205" s="223"/>
      <c r="K5205" s="319"/>
      <c r="L5205" s="218"/>
    </row>
    <row r="5206">
      <c r="B5206" s="223" t="s">
        <v>200</v>
      </c>
      <c r="C5206" s="223"/>
      <c r="K5206" s="319"/>
      <c r="L5206" s="218"/>
    </row>
    <row r="5207">
      <c r="B5207" s="223" t="s">
        <v>200</v>
      </c>
      <c r="C5207" s="223"/>
      <c r="K5207" s="319"/>
      <c r="L5207" s="218"/>
    </row>
    <row r="5208">
      <c r="B5208" s="223" t="s">
        <v>200</v>
      </c>
      <c r="C5208" s="223"/>
      <c r="K5208" s="319"/>
      <c r="L5208" s="218"/>
    </row>
    <row r="5209">
      <c r="B5209" s="223" t="s">
        <v>200</v>
      </c>
      <c r="C5209" s="223"/>
      <c r="K5209" s="319"/>
      <c r="L5209" s="218"/>
    </row>
    <row r="5210">
      <c r="B5210" s="223" t="s">
        <v>200</v>
      </c>
      <c r="C5210" s="223"/>
      <c r="K5210" s="319"/>
      <c r="L5210" s="218"/>
    </row>
    <row r="5211">
      <c r="B5211" s="223" t="s">
        <v>200</v>
      </c>
      <c r="C5211" s="223"/>
      <c r="K5211" s="319"/>
      <c r="L5211" s="218"/>
    </row>
    <row r="5212">
      <c r="B5212" s="223" t="s">
        <v>200</v>
      </c>
      <c r="C5212" s="223"/>
      <c r="K5212" s="319"/>
      <c r="L5212" s="218"/>
    </row>
    <row r="5213">
      <c r="B5213" s="223" t="s">
        <v>200</v>
      </c>
      <c r="C5213" s="223"/>
      <c r="K5213" s="319"/>
      <c r="L5213" s="218"/>
    </row>
    <row r="5214">
      <c r="B5214" s="223" t="s">
        <v>200</v>
      </c>
      <c r="C5214" s="223"/>
      <c r="K5214" s="319"/>
      <c r="L5214" s="218"/>
    </row>
    <row r="5215">
      <c r="B5215" s="223" t="s">
        <v>200</v>
      </c>
      <c r="C5215" s="223"/>
      <c r="K5215" s="319"/>
      <c r="L5215" s="218"/>
    </row>
    <row r="5216">
      <c r="B5216" s="223" t="s">
        <v>200</v>
      </c>
      <c r="C5216" s="223"/>
      <c r="K5216" s="319"/>
      <c r="L5216" s="218"/>
    </row>
    <row r="5217">
      <c r="B5217" s="223" t="s">
        <v>200</v>
      </c>
      <c r="C5217" s="223"/>
      <c r="K5217" s="319"/>
      <c r="L5217" s="218"/>
    </row>
    <row r="5218">
      <c r="B5218" s="223" t="s">
        <v>200</v>
      </c>
      <c r="C5218" s="223"/>
      <c r="K5218" s="319"/>
      <c r="L5218" s="218"/>
    </row>
    <row r="5219">
      <c r="B5219" s="223" t="s">
        <v>200</v>
      </c>
      <c r="C5219" s="223"/>
      <c r="K5219" s="319"/>
      <c r="L5219" s="218"/>
    </row>
    <row r="5220">
      <c r="B5220" s="223" t="s">
        <v>200</v>
      </c>
      <c r="C5220" s="223"/>
      <c r="K5220" s="319"/>
      <c r="L5220" s="218"/>
    </row>
    <row r="5221">
      <c r="B5221" s="223" t="s">
        <v>200</v>
      </c>
      <c r="C5221" s="223"/>
      <c r="K5221" s="319"/>
      <c r="L5221" s="218"/>
    </row>
    <row r="5222">
      <c r="B5222" s="223" t="s">
        <v>200</v>
      </c>
      <c r="C5222" s="223"/>
      <c r="K5222" s="319"/>
      <c r="L5222" s="218"/>
    </row>
    <row r="5223">
      <c r="B5223" s="223" t="s">
        <v>200</v>
      </c>
      <c r="C5223" s="223"/>
      <c r="K5223" s="319"/>
      <c r="L5223" s="218"/>
    </row>
    <row r="5224">
      <c r="B5224" s="223" t="s">
        <v>200</v>
      </c>
      <c r="C5224" s="223"/>
      <c r="K5224" s="319"/>
      <c r="L5224" s="218"/>
    </row>
    <row r="5225">
      <c r="B5225" s="223" t="s">
        <v>200</v>
      </c>
      <c r="C5225" s="223"/>
      <c r="K5225" s="319"/>
      <c r="L5225" s="218"/>
    </row>
    <row r="5226">
      <c r="B5226" s="223" t="s">
        <v>200</v>
      </c>
      <c r="C5226" s="223"/>
      <c r="K5226" s="319"/>
      <c r="L5226" s="218"/>
    </row>
    <row r="5227">
      <c r="B5227" s="223" t="s">
        <v>200</v>
      </c>
      <c r="C5227" s="223"/>
      <c r="K5227" s="319"/>
      <c r="L5227" s="218"/>
    </row>
    <row r="5228">
      <c r="B5228" s="223" t="s">
        <v>200</v>
      </c>
      <c r="C5228" s="223"/>
      <c r="K5228" s="319"/>
      <c r="L5228" s="218"/>
    </row>
    <row r="5229">
      <c r="B5229" s="223" t="s">
        <v>200</v>
      </c>
      <c r="C5229" s="223"/>
      <c r="K5229" s="319"/>
      <c r="L5229" s="218"/>
    </row>
    <row r="5230">
      <c r="B5230" s="223" t="s">
        <v>200</v>
      </c>
      <c r="C5230" s="223"/>
      <c r="K5230" s="319"/>
      <c r="L5230" s="218"/>
    </row>
    <row r="5231">
      <c r="B5231" s="223" t="s">
        <v>200</v>
      </c>
      <c r="C5231" s="223"/>
      <c r="K5231" s="319"/>
      <c r="L5231" s="218"/>
    </row>
    <row r="5232">
      <c r="B5232" s="223" t="s">
        <v>200</v>
      </c>
      <c r="C5232" s="223"/>
      <c r="K5232" s="319"/>
      <c r="L5232" s="218"/>
    </row>
    <row r="5233">
      <c r="B5233" s="223" t="s">
        <v>200</v>
      </c>
      <c r="C5233" s="223"/>
      <c r="K5233" s="319"/>
      <c r="L5233" s="218"/>
    </row>
    <row r="5234">
      <c r="B5234" s="223" t="s">
        <v>200</v>
      </c>
      <c r="C5234" s="223"/>
      <c r="K5234" s="319"/>
      <c r="L5234" s="218"/>
    </row>
    <row r="5235">
      <c r="B5235" s="223" t="s">
        <v>200</v>
      </c>
      <c r="C5235" s="223"/>
      <c r="K5235" s="319"/>
      <c r="L5235" s="218"/>
    </row>
    <row r="5236">
      <c r="B5236" s="223" t="s">
        <v>200</v>
      </c>
      <c r="C5236" s="223"/>
      <c r="K5236" s="319"/>
      <c r="L5236" s="218"/>
    </row>
    <row r="5237">
      <c r="B5237" s="223" t="s">
        <v>200</v>
      </c>
      <c r="C5237" s="223"/>
      <c r="K5237" s="319"/>
      <c r="L5237" s="218"/>
    </row>
    <row r="5238">
      <c r="B5238" s="223" t="s">
        <v>200</v>
      </c>
      <c r="C5238" s="223"/>
      <c r="K5238" s="319"/>
      <c r="L5238" s="218"/>
    </row>
    <row r="5239">
      <c r="B5239" s="223" t="s">
        <v>200</v>
      </c>
      <c r="C5239" s="223"/>
      <c r="K5239" s="319"/>
      <c r="L5239" s="218"/>
    </row>
    <row r="5240">
      <c r="B5240" s="223" t="s">
        <v>200</v>
      </c>
      <c r="C5240" s="223"/>
      <c r="K5240" s="319"/>
      <c r="L5240" s="218"/>
    </row>
    <row r="5241">
      <c r="B5241" s="223" t="s">
        <v>200</v>
      </c>
      <c r="C5241" s="223"/>
      <c r="K5241" s="319"/>
      <c r="L5241" s="218"/>
    </row>
    <row r="5242">
      <c r="B5242" s="223" t="s">
        <v>200</v>
      </c>
      <c r="C5242" s="223"/>
      <c r="K5242" s="319"/>
      <c r="L5242" s="218"/>
    </row>
    <row r="5243">
      <c r="B5243" s="223" t="s">
        <v>200</v>
      </c>
      <c r="C5243" s="223"/>
      <c r="K5243" s="319"/>
      <c r="L5243" s="218"/>
    </row>
    <row r="5244">
      <c r="B5244" s="223" t="s">
        <v>200</v>
      </c>
      <c r="C5244" s="223"/>
      <c r="K5244" s="319"/>
      <c r="L5244" s="218"/>
    </row>
    <row r="5245">
      <c r="B5245" s="223" t="s">
        <v>200</v>
      </c>
      <c r="C5245" s="223"/>
      <c r="K5245" s="319"/>
      <c r="L5245" s="218"/>
    </row>
    <row r="5246">
      <c r="B5246" s="223" t="s">
        <v>200</v>
      </c>
      <c r="C5246" s="223"/>
      <c r="K5246" s="319"/>
      <c r="L5246" s="218"/>
    </row>
    <row r="5247">
      <c r="B5247" s="223" t="s">
        <v>200</v>
      </c>
      <c r="C5247" s="223"/>
      <c r="K5247" s="319"/>
      <c r="L5247" s="218"/>
    </row>
    <row r="5248">
      <c r="B5248" s="223" t="s">
        <v>200</v>
      </c>
      <c r="C5248" s="223"/>
      <c r="K5248" s="319"/>
      <c r="L5248" s="218"/>
    </row>
    <row r="5249">
      <c r="B5249" s="223" t="s">
        <v>200</v>
      </c>
      <c r="C5249" s="223"/>
      <c r="K5249" s="319"/>
      <c r="L5249" s="218"/>
    </row>
    <row r="5250">
      <c r="B5250" s="223" t="s">
        <v>200</v>
      </c>
      <c r="C5250" s="223"/>
      <c r="K5250" s="319"/>
      <c r="L5250" s="218"/>
    </row>
    <row r="5251">
      <c r="B5251" s="223" t="s">
        <v>200</v>
      </c>
      <c r="C5251" s="223"/>
      <c r="K5251" s="319"/>
      <c r="L5251" s="218"/>
    </row>
    <row r="5252">
      <c r="B5252" s="223" t="s">
        <v>200</v>
      </c>
      <c r="C5252" s="223"/>
      <c r="K5252" s="319"/>
      <c r="L5252" s="218"/>
    </row>
    <row r="5253">
      <c r="B5253" s="223" t="s">
        <v>200</v>
      </c>
      <c r="C5253" s="223"/>
      <c r="K5253" s="319"/>
      <c r="L5253" s="218"/>
    </row>
    <row r="5254">
      <c r="B5254" s="223" t="s">
        <v>200</v>
      </c>
      <c r="C5254" s="223"/>
      <c r="K5254" s="319"/>
      <c r="L5254" s="218"/>
    </row>
    <row r="5255">
      <c r="B5255" s="223" t="s">
        <v>200</v>
      </c>
      <c r="C5255" s="223"/>
      <c r="K5255" s="319"/>
      <c r="L5255" s="218"/>
    </row>
    <row r="5256">
      <c r="B5256" s="223" t="s">
        <v>200</v>
      </c>
      <c r="C5256" s="223"/>
      <c r="K5256" s="319"/>
      <c r="L5256" s="218"/>
    </row>
    <row r="5257">
      <c r="B5257" s="223" t="s">
        <v>200</v>
      </c>
      <c r="C5257" s="223"/>
      <c r="K5257" s="319"/>
      <c r="L5257" s="218"/>
    </row>
    <row r="5258">
      <c r="B5258" s="223" t="s">
        <v>200</v>
      </c>
      <c r="C5258" s="223"/>
      <c r="K5258" s="319"/>
      <c r="L5258" s="218"/>
    </row>
    <row r="5259">
      <c r="B5259" s="223" t="s">
        <v>200</v>
      </c>
      <c r="C5259" s="223"/>
      <c r="K5259" s="319"/>
      <c r="L5259" s="218"/>
    </row>
    <row r="5260">
      <c r="B5260" s="223" t="s">
        <v>200</v>
      </c>
      <c r="C5260" s="223"/>
      <c r="K5260" s="319"/>
      <c r="L5260" s="218"/>
    </row>
    <row r="5261">
      <c r="B5261" s="223" t="s">
        <v>200</v>
      </c>
      <c r="C5261" s="223"/>
      <c r="K5261" s="319"/>
      <c r="L5261" s="218"/>
    </row>
    <row r="5262">
      <c r="B5262" s="223" t="s">
        <v>200</v>
      </c>
      <c r="C5262" s="223"/>
      <c r="K5262" s="319"/>
      <c r="L5262" s="218"/>
    </row>
    <row r="5263">
      <c r="B5263" s="223" t="s">
        <v>200</v>
      </c>
      <c r="C5263" s="223"/>
      <c r="K5263" s="319"/>
      <c r="L5263" s="218"/>
    </row>
    <row r="5264">
      <c r="B5264" s="223" t="s">
        <v>200</v>
      </c>
      <c r="C5264" s="223"/>
      <c r="K5264" s="319"/>
      <c r="L5264" s="218"/>
    </row>
    <row r="5265">
      <c r="B5265" s="223" t="s">
        <v>200</v>
      </c>
      <c r="C5265" s="223"/>
      <c r="K5265" s="319"/>
      <c r="L5265" s="218"/>
    </row>
    <row r="5266">
      <c r="B5266" s="223" t="s">
        <v>200</v>
      </c>
      <c r="C5266" s="223"/>
      <c r="K5266" s="319"/>
      <c r="L5266" s="218"/>
    </row>
    <row r="5267">
      <c r="B5267" s="223" t="s">
        <v>200</v>
      </c>
      <c r="C5267" s="223"/>
      <c r="K5267" s="319"/>
      <c r="L5267" s="218"/>
    </row>
    <row r="5268">
      <c r="B5268" s="223" t="s">
        <v>200</v>
      </c>
      <c r="C5268" s="223"/>
      <c r="K5268" s="319"/>
      <c r="L5268" s="218"/>
    </row>
    <row r="5269">
      <c r="B5269" s="223" t="s">
        <v>200</v>
      </c>
      <c r="C5269" s="223"/>
      <c r="K5269" s="319"/>
      <c r="L5269" s="218"/>
    </row>
    <row r="5270">
      <c r="B5270" s="223" t="s">
        <v>200</v>
      </c>
      <c r="C5270" s="223"/>
      <c r="K5270" s="319"/>
      <c r="L5270" s="218"/>
    </row>
    <row r="5271">
      <c r="B5271" s="223" t="s">
        <v>200</v>
      </c>
      <c r="C5271" s="223"/>
      <c r="K5271" s="319"/>
      <c r="L5271" s="218"/>
    </row>
    <row r="5272">
      <c r="B5272" s="223" t="s">
        <v>200</v>
      </c>
      <c r="C5272" s="223"/>
      <c r="K5272" s="319"/>
      <c r="L5272" s="218"/>
    </row>
    <row r="5273">
      <c r="B5273" s="223" t="s">
        <v>200</v>
      </c>
      <c r="C5273" s="223"/>
      <c r="K5273" s="319"/>
      <c r="L5273" s="218"/>
    </row>
    <row r="5274">
      <c r="B5274" s="223" t="s">
        <v>200</v>
      </c>
      <c r="C5274" s="223"/>
      <c r="K5274" s="319"/>
      <c r="L5274" s="218"/>
    </row>
    <row r="5275">
      <c r="B5275" s="223" t="s">
        <v>200</v>
      </c>
      <c r="C5275" s="223"/>
      <c r="K5275" s="319"/>
      <c r="L5275" s="218"/>
    </row>
    <row r="5276">
      <c r="B5276" s="223" t="s">
        <v>200</v>
      </c>
      <c r="C5276" s="223"/>
      <c r="K5276" s="319"/>
      <c r="L5276" s="218"/>
    </row>
    <row r="5277">
      <c r="B5277" s="223" t="s">
        <v>200</v>
      </c>
      <c r="C5277" s="223"/>
      <c r="K5277" s="319"/>
      <c r="L5277" s="218"/>
    </row>
    <row r="5278">
      <c r="B5278" s="223" t="s">
        <v>200</v>
      </c>
      <c r="C5278" s="223"/>
      <c r="K5278" s="319"/>
      <c r="L5278" s="218"/>
    </row>
    <row r="5279">
      <c r="B5279" s="223" t="s">
        <v>200</v>
      </c>
      <c r="C5279" s="223"/>
      <c r="K5279" s="319"/>
      <c r="L5279" s="218"/>
    </row>
    <row r="5280">
      <c r="B5280" s="223" t="s">
        <v>200</v>
      </c>
      <c r="C5280" s="223"/>
      <c r="K5280" s="319"/>
      <c r="L5280" s="218"/>
    </row>
    <row r="5281">
      <c r="B5281" s="223" t="s">
        <v>200</v>
      </c>
      <c r="C5281" s="223"/>
      <c r="K5281" s="319"/>
      <c r="L5281" s="218"/>
    </row>
    <row r="5282">
      <c r="B5282" s="223" t="s">
        <v>200</v>
      </c>
      <c r="C5282" s="223"/>
      <c r="K5282" s="319"/>
      <c r="L5282" s="218"/>
    </row>
    <row r="5283">
      <c r="B5283" s="223" t="s">
        <v>200</v>
      </c>
      <c r="C5283" s="223"/>
      <c r="K5283" s="319"/>
      <c r="L5283" s="218"/>
    </row>
    <row r="5284">
      <c r="B5284" s="223" t="s">
        <v>200</v>
      </c>
      <c r="C5284" s="223"/>
      <c r="K5284" s="319"/>
      <c r="L5284" s="218"/>
    </row>
    <row r="5285">
      <c r="B5285" s="223" t="s">
        <v>200</v>
      </c>
      <c r="C5285" s="223"/>
      <c r="K5285" s="319"/>
      <c r="L5285" s="218"/>
    </row>
    <row r="5286">
      <c r="B5286" s="223" t="s">
        <v>200</v>
      </c>
      <c r="C5286" s="223"/>
      <c r="K5286" s="319"/>
      <c r="L5286" s="218"/>
    </row>
    <row r="5287">
      <c r="B5287" s="223" t="s">
        <v>200</v>
      </c>
      <c r="C5287" s="223"/>
      <c r="K5287" s="319"/>
      <c r="L5287" s="218"/>
    </row>
    <row r="5288">
      <c r="B5288" s="223" t="s">
        <v>200</v>
      </c>
      <c r="C5288" s="223"/>
      <c r="K5288" s="319"/>
      <c r="L5288" s="218"/>
    </row>
    <row r="5289">
      <c r="B5289" s="223" t="s">
        <v>200</v>
      </c>
      <c r="C5289" s="223"/>
      <c r="K5289" s="319"/>
      <c r="L5289" s="218"/>
    </row>
    <row r="5290">
      <c r="B5290" s="223" t="s">
        <v>200</v>
      </c>
      <c r="C5290" s="223"/>
      <c r="K5290" s="319"/>
      <c r="L5290" s="218"/>
    </row>
    <row r="5291">
      <c r="B5291" s="223" t="s">
        <v>200</v>
      </c>
      <c r="C5291" s="223"/>
      <c r="K5291" s="319"/>
      <c r="L5291" s="218"/>
    </row>
    <row r="5292">
      <c r="B5292" s="223" t="s">
        <v>200</v>
      </c>
      <c r="C5292" s="223"/>
      <c r="K5292" s="319"/>
      <c r="L5292" s="218"/>
    </row>
    <row r="5293">
      <c r="B5293" s="223" t="s">
        <v>200</v>
      </c>
      <c r="C5293" s="223"/>
      <c r="K5293" s="319"/>
      <c r="L5293" s="218"/>
    </row>
    <row r="5294">
      <c r="B5294" s="223" t="s">
        <v>200</v>
      </c>
      <c r="C5294" s="223"/>
      <c r="K5294" s="319"/>
      <c r="L5294" s="218"/>
    </row>
    <row r="5295">
      <c r="B5295" s="223" t="s">
        <v>200</v>
      </c>
      <c r="C5295" s="223"/>
      <c r="K5295" s="319"/>
      <c r="L5295" s="218"/>
    </row>
    <row r="5296">
      <c r="B5296" s="223" t="s">
        <v>200</v>
      </c>
      <c r="C5296" s="223"/>
      <c r="K5296" s="319"/>
      <c r="L5296" s="218"/>
    </row>
    <row r="5297">
      <c r="B5297" s="223" t="s">
        <v>200</v>
      </c>
      <c r="C5297" s="223"/>
      <c r="K5297" s="319"/>
      <c r="L5297" s="218"/>
    </row>
    <row r="5298">
      <c r="B5298" s="223" t="s">
        <v>200</v>
      </c>
      <c r="C5298" s="223"/>
      <c r="K5298" s="319"/>
      <c r="L5298" s="218"/>
    </row>
    <row r="5299">
      <c r="B5299" s="223" t="s">
        <v>200</v>
      </c>
      <c r="C5299" s="223"/>
      <c r="K5299" s="319"/>
      <c r="L5299" s="218"/>
    </row>
    <row r="5300">
      <c r="B5300" s="223" t="s">
        <v>200</v>
      </c>
      <c r="C5300" s="223"/>
      <c r="K5300" s="319"/>
      <c r="L5300" s="218"/>
    </row>
    <row r="5301">
      <c r="B5301" s="223" t="s">
        <v>200</v>
      </c>
      <c r="C5301" s="223"/>
      <c r="K5301" s="319"/>
      <c r="L5301" s="218"/>
    </row>
    <row r="5302">
      <c r="B5302" s="223" t="s">
        <v>200</v>
      </c>
      <c r="C5302" s="223"/>
      <c r="K5302" s="319"/>
      <c r="L5302" s="218"/>
    </row>
    <row r="5303">
      <c r="B5303" s="223" t="s">
        <v>200</v>
      </c>
      <c r="C5303" s="223"/>
      <c r="K5303" s="319"/>
      <c r="L5303" s="218"/>
    </row>
    <row r="5304">
      <c r="B5304" s="223" t="s">
        <v>200</v>
      </c>
      <c r="C5304" s="223"/>
      <c r="K5304" s="319"/>
      <c r="L5304" s="218"/>
    </row>
    <row r="5305">
      <c r="B5305" s="223" t="s">
        <v>200</v>
      </c>
      <c r="C5305" s="223"/>
      <c r="K5305" s="319"/>
      <c r="L5305" s="218"/>
    </row>
    <row r="5306">
      <c r="B5306" s="223" t="s">
        <v>200</v>
      </c>
      <c r="C5306" s="223"/>
      <c r="K5306" s="319"/>
      <c r="L5306" s="218"/>
    </row>
    <row r="5307">
      <c r="B5307" s="223" t="s">
        <v>200</v>
      </c>
      <c r="C5307" s="223"/>
      <c r="K5307" s="319"/>
      <c r="L5307" s="218"/>
    </row>
    <row r="5308">
      <c r="B5308" s="223" t="s">
        <v>200</v>
      </c>
      <c r="C5308" s="223"/>
      <c r="K5308" s="319"/>
      <c r="L5308" s="218"/>
    </row>
    <row r="5309">
      <c r="B5309" s="223" t="s">
        <v>200</v>
      </c>
      <c r="C5309" s="223"/>
      <c r="K5309" s="319"/>
      <c r="L5309" s="218"/>
    </row>
    <row r="5310">
      <c r="B5310" s="223" t="s">
        <v>200</v>
      </c>
      <c r="C5310" s="223"/>
      <c r="K5310" s="319"/>
      <c r="L5310" s="218"/>
    </row>
    <row r="5311">
      <c r="B5311" s="223" t="s">
        <v>200</v>
      </c>
      <c r="C5311" s="223"/>
      <c r="K5311" s="319"/>
      <c r="L5311" s="218"/>
    </row>
    <row r="5312">
      <c r="B5312" s="223" t="s">
        <v>200</v>
      </c>
      <c r="C5312" s="223"/>
      <c r="K5312" s="319"/>
      <c r="L5312" s="218"/>
    </row>
    <row r="5313">
      <c r="B5313" s="223" t="s">
        <v>200</v>
      </c>
      <c r="C5313" s="223"/>
      <c r="K5313" s="319"/>
      <c r="L5313" s="218"/>
    </row>
    <row r="5314">
      <c r="B5314" s="223" t="s">
        <v>200</v>
      </c>
      <c r="C5314" s="223"/>
      <c r="K5314" s="319"/>
      <c r="L5314" s="218"/>
    </row>
    <row r="5315">
      <c r="B5315" s="223" t="s">
        <v>200</v>
      </c>
      <c r="C5315" s="223"/>
      <c r="K5315" s="319"/>
      <c r="L5315" s="218"/>
    </row>
    <row r="5316">
      <c r="B5316" s="223" t="s">
        <v>200</v>
      </c>
      <c r="C5316" s="223"/>
      <c r="K5316" s="319"/>
      <c r="L5316" s="218"/>
    </row>
    <row r="5317">
      <c r="B5317" s="223" t="s">
        <v>200</v>
      </c>
      <c r="C5317" s="223"/>
      <c r="K5317" s="319"/>
      <c r="L5317" s="218"/>
    </row>
    <row r="5318">
      <c r="B5318" s="223" t="s">
        <v>200</v>
      </c>
      <c r="C5318" s="223"/>
      <c r="K5318" s="319"/>
      <c r="L5318" s="218"/>
    </row>
    <row r="5319">
      <c r="B5319" s="223" t="s">
        <v>200</v>
      </c>
      <c r="C5319" s="223"/>
      <c r="K5319" s="319"/>
      <c r="L5319" s="218"/>
    </row>
    <row r="5320">
      <c r="B5320" s="223" t="s">
        <v>200</v>
      </c>
      <c r="C5320" s="223"/>
      <c r="K5320" s="319"/>
      <c r="L5320" s="218"/>
    </row>
    <row r="5321">
      <c r="B5321" s="223" t="s">
        <v>200</v>
      </c>
      <c r="C5321" s="223"/>
      <c r="K5321" s="319"/>
      <c r="L5321" s="218"/>
    </row>
    <row r="5322">
      <c r="B5322" s="223" t="s">
        <v>200</v>
      </c>
      <c r="C5322" s="223"/>
      <c r="K5322" s="319"/>
      <c r="L5322" s="218"/>
    </row>
    <row r="5323">
      <c r="B5323" s="223" t="s">
        <v>200</v>
      </c>
      <c r="C5323" s="223"/>
      <c r="K5323" s="319"/>
      <c r="L5323" s="218"/>
    </row>
    <row r="5324">
      <c r="B5324" s="223" t="s">
        <v>200</v>
      </c>
      <c r="C5324" s="223"/>
      <c r="K5324" s="319"/>
      <c r="L5324" s="218"/>
    </row>
    <row r="5325">
      <c r="B5325" s="223" t="s">
        <v>200</v>
      </c>
      <c r="C5325" s="223"/>
      <c r="K5325" s="319"/>
      <c r="L5325" s="218"/>
    </row>
    <row r="5326">
      <c r="B5326" s="223" t="s">
        <v>200</v>
      </c>
      <c r="C5326" s="223"/>
      <c r="K5326" s="319"/>
      <c r="L5326" s="218"/>
    </row>
    <row r="5327">
      <c r="B5327" s="223" t="s">
        <v>200</v>
      </c>
      <c r="C5327" s="223"/>
      <c r="K5327" s="319"/>
      <c r="L5327" s="218"/>
    </row>
    <row r="5328">
      <c r="B5328" s="223" t="s">
        <v>200</v>
      </c>
      <c r="C5328" s="223"/>
      <c r="K5328" s="319"/>
      <c r="L5328" s="218"/>
    </row>
    <row r="5329">
      <c r="B5329" s="223" t="s">
        <v>200</v>
      </c>
      <c r="C5329" s="223"/>
      <c r="K5329" s="319"/>
      <c r="L5329" s="218"/>
    </row>
    <row r="5330">
      <c r="B5330" s="223" t="s">
        <v>200</v>
      </c>
      <c r="C5330" s="223"/>
      <c r="K5330" s="319"/>
      <c r="L5330" s="218"/>
    </row>
    <row r="5331">
      <c r="B5331" s="223" t="s">
        <v>200</v>
      </c>
      <c r="C5331" s="223"/>
      <c r="K5331" s="319"/>
      <c r="L5331" s="218"/>
    </row>
    <row r="5332">
      <c r="B5332" s="223" t="s">
        <v>200</v>
      </c>
      <c r="C5332" s="223"/>
      <c r="K5332" s="319"/>
      <c r="L5332" s="218"/>
    </row>
    <row r="5333">
      <c r="B5333" s="223" t="s">
        <v>200</v>
      </c>
      <c r="C5333" s="223"/>
      <c r="K5333" s="319"/>
      <c r="L5333" s="218"/>
    </row>
    <row r="5334">
      <c r="B5334" s="223" t="s">
        <v>200</v>
      </c>
      <c r="C5334" s="223"/>
      <c r="K5334" s="319"/>
      <c r="L5334" s="218"/>
    </row>
    <row r="5335">
      <c r="B5335" s="223" t="s">
        <v>200</v>
      </c>
      <c r="C5335" s="223"/>
      <c r="K5335" s="319"/>
      <c r="L5335" s="218"/>
    </row>
    <row r="5336">
      <c r="B5336" s="223" t="s">
        <v>200</v>
      </c>
      <c r="C5336" s="223"/>
      <c r="K5336" s="319"/>
      <c r="L5336" s="218"/>
    </row>
    <row r="5337">
      <c r="B5337" s="223" t="s">
        <v>200</v>
      </c>
      <c r="C5337" s="223"/>
      <c r="K5337" s="319"/>
      <c r="L5337" s="218"/>
    </row>
    <row r="5338">
      <c r="B5338" s="223" t="s">
        <v>200</v>
      </c>
      <c r="C5338" s="223"/>
      <c r="K5338" s="319"/>
      <c r="L5338" s="218"/>
    </row>
    <row r="5339">
      <c r="B5339" s="223" t="s">
        <v>200</v>
      </c>
      <c r="C5339" s="223"/>
      <c r="K5339" s="319"/>
      <c r="L5339" s="218"/>
    </row>
    <row r="5340">
      <c r="B5340" s="223" t="s">
        <v>200</v>
      </c>
      <c r="C5340" s="223"/>
      <c r="K5340" s="319"/>
      <c r="L5340" s="218"/>
    </row>
    <row r="5341">
      <c r="B5341" s="223" t="s">
        <v>200</v>
      </c>
      <c r="C5341" s="223"/>
      <c r="K5341" s="319"/>
      <c r="L5341" s="218"/>
    </row>
    <row r="5342">
      <c r="B5342" s="223" t="s">
        <v>200</v>
      </c>
      <c r="C5342" s="223"/>
      <c r="K5342" s="319"/>
      <c r="L5342" s="218"/>
    </row>
    <row r="5343">
      <c r="B5343" s="223" t="s">
        <v>200</v>
      </c>
      <c r="C5343" s="223"/>
      <c r="K5343" s="319"/>
      <c r="L5343" s="218"/>
    </row>
    <row r="5344">
      <c r="B5344" s="223" t="s">
        <v>200</v>
      </c>
      <c r="C5344" s="223"/>
      <c r="K5344" s="319"/>
      <c r="L5344" s="218"/>
    </row>
    <row r="5345">
      <c r="B5345" s="223" t="s">
        <v>200</v>
      </c>
      <c r="C5345" s="223"/>
      <c r="K5345" s="319"/>
      <c r="L5345" s="218"/>
    </row>
    <row r="5346">
      <c r="B5346" s="223" t="s">
        <v>200</v>
      </c>
      <c r="C5346" s="223"/>
      <c r="K5346" s="319"/>
      <c r="L5346" s="218"/>
    </row>
    <row r="5347">
      <c r="B5347" s="223" t="s">
        <v>200</v>
      </c>
      <c r="C5347" s="223"/>
      <c r="K5347" s="319"/>
      <c r="L5347" s="218"/>
    </row>
    <row r="5348">
      <c r="B5348" s="223" t="s">
        <v>200</v>
      </c>
      <c r="C5348" s="223"/>
      <c r="K5348" s="319"/>
      <c r="L5348" s="218"/>
    </row>
    <row r="5349">
      <c r="B5349" s="223" t="s">
        <v>200</v>
      </c>
      <c r="C5349" s="223"/>
      <c r="K5349" s="319"/>
      <c r="L5349" s="218"/>
    </row>
    <row r="5350">
      <c r="B5350" s="223" t="s">
        <v>200</v>
      </c>
      <c r="C5350" s="223"/>
      <c r="K5350" s="319"/>
      <c r="L5350" s="218"/>
    </row>
    <row r="5351">
      <c r="B5351" s="223" t="s">
        <v>200</v>
      </c>
      <c r="C5351" s="223"/>
      <c r="K5351" s="319"/>
      <c r="L5351" s="218"/>
    </row>
    <row r="5352">
      <c r="B5352" s="223" t="s">
        <v>200</v>
      </c>
      <c r="C5352" s="223"/>
      <c r="K5352" s="319"/>
      <c r="L5352" s="218"/>
    </row>
    <row r="5353">
      <c r="B5353" s="223" t="s">
        <v>200</v>
      </c>
      <c r="C5353" s="223"/>
      <c r="K5353" s="319"/>
      <c r="L5353" s="218"/>
    </row>
    <row r="5354">
      <c r="B5354" s="223" t="s">
        <v>200</v>
      </c>
      <c r="C5354" s="223"/>
      <c r="K5354" s="319"/>
      <c r="L5354" s="218"/>
    </row>
    <row r="5355">
      <c r="B5355" s="223" t="s">
        <v>200</v>
      </c>
      <c r="C5355" s="223"/>
      <c r="K5355" s="319"/>
      <c r="L5355" s="218"/>
    </row>
    <row r="5356">
      <c r="B5356" s="223" t="s">
        <v>200</v>
      </c>
      <c r="C5356" s="223"/>
      <c r="K5356" s="319"/>
      <c r="L5356" s="218"/>
    </row>
    <row r="5357">
      <c r="B5357" s="223" t="s">
        <v>200</v>
      </c>
      <c r="C5357" s="223"/>
      <c r="K5357" s="319"/>
      <c r="L5357" s="218"/>
    </row>
    <row r="5358">
      <c r="B5358" s="223" t="s">
        <v>200</v>
      </c>
      <c r="C5358" s="223"/>
      <c r="K5358" s="319"/>
      <c r="L5358" s="218"/>
    </row>
    <row r="5359">
      <c r="B5359" s="223" t="s">
        <v>200</v>
      </c>
      <c r="C5359" s="223"/>
      <c r="K5359" s="319"/>
      <c r="L5359" s="218"/>
    </row>
    <row r="5360">
      <c r="B5360" s="223" t="s">
        <v>200</v>
      </c>
      <c r="C5360" s="223"/>
      <c r="K5360" s="319"/>
      <c r="L5360" s="218"/>
    </row>
    <row r="5361">
      <c r="B5361" s="223" t="s">
        <v>200</v>
      </c>
      <c r="C5361" s="223"/>
      <c r="K5361" s="319"/>
      <c r="L5361" s="218"/>
    </row>
    <row r="5362">
      <c r="B5362" s="223" t="s">
        <v>200</v>
      </c>
      <c r="C5362" s="223"/>
      <c r="K5362" s="319"/>
      <c r="L5362" s="218"/>
    </row>
    <row r="5363">
      <c r="B5363" s="223" t="s">
        <v>200</v>
      </c>
      <c r="C5363" s="223"/>
      <c r="K5363" s="319"/>
      <c r="L5363" s="218"/>
    </row>
    <row r="5364">
      <c r="B5364" s="223" t="s">
        <v>200</v>
      </c>
      <c r="C5364" s="223"/>
      <c r="K5364" s="319"/>
      <c r="L5364" s="218"/>
    </row>
    <row r="5365">
      <c r="B5365" s="223" t="s">
        <v>200</v>
      </c>
      <c r="C5365" s="223"/>
      <c r="K5365" s="319"/>
      <c r="L5365" s="218"/>
    </row>
    <row r="5366">
      <c r="B5366" s="223" t="s">
        <v>200</v>
      </c>
      <c r="C5366" s="223"/>
      <c r="K5366" s="319"/>
      <c r="L5366" s="218"/>
    </row>
    <row r="5367">
      <c r="B5367" s="223" t="s">
        <v>200</v>
      </c>
      <c r="C5367" s="223"/>
      <c r="K5367" s="319"/>
      <c r="L5367" s="218"/>
    </row>
    <row r="5368">
      <c r="B5368" s="223" t="s">
        <v>200</v>
      </c>
      <c r="C5368" s="223"/>
      <c r="K5368" s="319"/>
      <c r="L5368" s="218"/>
    </row>
    <row r="5369">
      <c r="B5369" s="223" t="s">
        <v>200</v>
      </c>
      <c r="C5369" s="223"/>
      <c r="K5369" s="319"/>
      <c r="L5369" s="218"/>
    </row>
    <row r="5370">
      <c r="B5370" s="223" t="s">
        <v>200</v>
      </c>
      <c r="C5370" s="223"/>
      <c r="K5370" s="319"/>
      <c r="L5370" s="218"/>
    </row>
    <row r="5371">
      <c r="B5371" s="223" t="s">
        <v>200</v>
      </c>
      <c r="C5371" s="223"/>
      <c r="K5371" s="319"/>
      <c r="L5371" s="218"/>
    </row>
    <row r="5372">
      <c r="B5372" s="223" t="s">
        <v>200</v>
      </c>
      <c r="C5372" s="223"/>
      <c r="K5372" s="319"/>
      <c r="L5372" s="218"/>
    </row>
    <row r="5373">
      <c r="B5373" s="223" t="s">
        <v>200</v>
      </c>
      <c r="C5373" s="223"/>
      <c r="K5373" s="319"/>
      <c r="L5373" s="218"/>
    </row>
    <row r="5374">
      <c r="B5374" s="223" t="s">
        <v>200</v>
      </c>
      <c r="C5374" s="223"/>
      <c r="K5374" s="319"/>
      <c r="L5374" s="218"/>
    </row>
    <row r="5375">
      <c r="B5375" s="223" t="s">
        <v>200</v>
      </c>
      <c r="C5375" s="223"/>
      <c r="K5375" s="319"/>
      <c r="L5375" s="218"/>
    </row>
    <row r="5376">
      <c r="B5376" s="223" t="s">
        <v>200</v>
      </c>
      <c r="C5376" s="223"/>
      <c r="K5376" s="319"/>
      <c r="L5376" s="218"/>
    </row>
    <row r="5377">
      <c r="B5377" s="223" t="s">
        <v>200</v>
      </c>
      <c r="C5377" s="223"/>
      <c r="K5377" s="319"/>
      <c r="L5377" s="218"/>
    </row>
    <row r="5378">
      <c r="B5378" s="223" t="s">
        <v>200</v>
      </c>
      <c r="C5378" s="223"/>
      <c r="K5378" s="319"/>
      <c r="L5378" s="218"/>
    </row>
    <row r="5379">
      <c r="B5379" s="223" t="s">
        <v>200</v>
      </c>
      <c r="C5379" s="223"/>
      <c r="K5379" s="319"/>
      <c r="L5379" s="218"/>
    </row>
    <row r="5380">
      <c r="B5380" s="223" t="s">
        <v>200</v>
      </c>
      <c r="C5380" s="223"/>
      <c r="K5380" s="319"/>
      <c r="L5380" s="218"/>
    </row>
    <row r="5381">
      <c r="B5381" s="223" t="s">
        <v>200</v>
      </c>
      <c r="C5381" s="223"/>
      <c r="K5381" s="319"/>
      <c r="L5381" s="218"/>
    </row>
    <row r="5382">
      <c r="B5382" s="223" t="s">
        <v>200</v>
      </c>
      <c r="C5382" s="223"/>
      <c r="K5382" s="319"/>
      <c r="L5382" s="218"/>
    </row>
    <row r="5383">
      <c r="B5383" s="223" t="s">
        <v>200</v>
      </c>
      <c r="C5383" s="223"/>
      <c r="K5383" s="319"/>
      <c r="L5383" s="218"/>
    </row>
    <row r="5384">
      <c r="B5384" s="223" t="s">
        <v>200</v>
      </c>
      <c r="C5384" s="223"/>
      <c r="K5384" s="319"/>
      <c r="L5384" s="218"/>
    </row>
    <row r="5385">
      <c r="B5385" s="223" t="s">
        <v>200</v>
      </c>
      <c r="C5385" s="223"/>
      <c r="K5385" s="319"/>
      <c r="L5385" s="218"/>
    </row>
    <row r="5386">
      <c r="B5386" s="223" t="s">
        <v>200</v>
      </c>
      <c r="C5386" s="223"/>
      <c r="K5386" s="319"/>
      <c r="L5386" s="218"/>
    </row>
    <row r="5387">
      <c r="B5387" s="223" t="s">
        <v>200</v>
      </c>
      <c r="C5387" s="223"/>
      <c r="K5387" s="319"/>
      <c r="L5387" s="218"/>
    </row>
    <row r="5388">
      <c r="B5388" s="223" t="s">
        <v>200</v>
      </c>
      <c r="C5388" s="223"/>
      <c r="K5388" s="319"/>
      <c r="L5388" s="218"/>
    </row>
    <row r="5389">
      <c r="B5389" s="223" t="s">
        <v>200</v>
      </c>
      <c r="C5389" s="223"/>
      <c r="K5389" s="319"/>
      <c r="L5389" s="218"/>
    </row>
    <row r="5390">
      <c r="B5390" s="223" t="s">
        <v>200</v>
      </c>
      <c r="C5390" s="223"/>
      <c r="K5390" s="319"/>
      <c r="L5390" s="218"/>
    </row>
    <row r="5391">
      <c r="B5391" s="223" t="s">
        <v>200</v>
      </c>
      <c r="C5391" s="223"/>
      <c r="K5391" s="319"/>
      <c r="L5391" s="218"/>
    </row>
    <row r="5392">
      <c r="B5392" s="223" t="s">
        <v>200</v>
      </c>
      <c r="C5392" s="223"/>
      <c r="K5392" s="319"/>
      <c r="L5392" s="218"/>
    </row>
    <row r="5393">
      <c r="B5393" s="223" t="s">
        <v>200</v>
      </c>
      <c r="C5393" s="223"/>
      <c r="K5393" s="319"/>
      <c r="L5393" s="218"/>
    </row>
    <row r="5394">
      <c r="B5394" s="223" t="s">
        <v>200</v>
      </c>
      <c r="C5394" s="223"/>
      <c r="K5394" s="319"/>
      <c r="L5394" s="218"/>
    </row>
    <row r="5395">
      <c r="B5395" s="223" t="s">
        <v>200</v>
      </c>
      <c r="C5395" s="223"/>
      <c r="K5395" s="319"/>
      <c r="L5395" s="218"/>
    </row>
    <row r="5396">
      <c r="B5396" s="223" t="s">
        <v>200</v>
      </c>
      <c r="C5396" s="223"/>
      <c r="K5396" s="319"/>
      <c r="L5396" s="218"/>
    </row>
    <row r="5397">
      <c r="B5397" s="223" t="s">
        <v>200</v>
      </c>
      <c r="C5397" s="223"/>
      <c r="K5397" s="319"/>
      <c r="L5397" s="218"/>
    </row>
    <row r="5398">
      <c r="B5398" s="223" t="s">
        <v>200</v>
      </c>
      <c r="C5398" s="223"/>
      <c r="K5398" s="319"/>
      <c r="L5398" s="218"/>
    </row>
    <row r="5399">
      <c r="B5399" s="223" t="s">
        <v>200</v>
      </c>
      <c r="C5399" s="223"/>
      <c r="K5399" s="319"/>
      <c r="L5399" s="218"/>
    </row>
    <row r="5400">
      <c r="B5400" s="223" t="s">
        <v>200</v>
      </c>
      <c r="C5400" s="223"/>
      <c r="K5400" s="319"/>
      <c r="L5400" s="218"/>
    </row>
    <row r="5401">
      <c r="B5401" s="223" t="s">
        <v>200</v>
      </c>
      <c r="C5401" s="223"/>
      <c r="K5401" s="319"/>
      <c r="L5401" s="218"/>
    </row>
    <row r="5402">
      <c r="B5402" s="223" t="s">
        <v>200</v>
      </c>
      <c r="C5402" s="223"/>
      <c r="K5402" s="319"/>
      <c r="L5402" s="218"/>
    </row>
    <row r="5403">
      <c r="B5403" s="223" t="s">
        <v>200</v>
      </c>
      <c r="C5403" s="223"/>
      <c r="K5403" s="319"/>
      <c r="L5403" s="218"/>
    </row>
    <row r="5404">
      <c r="B5404" s="223" t="s">
        <v>200</v>
      </c>
      <c r="C5404" s="223"/>
      <c r="K5404" s="319"/>
      <c r="L5404" s="218"/>
    </row>
    <row r="5405">
      <c r="B5405" s="223" t="s">
        <v>200</v>
      </c>
      <c r="C5405" s="223"/>
      <c r="K5405" s="319"/>
      <c r="L5405" s="218"/>
    </row>
    <row r="5406">
      <c r="B5406" s="223" t="s">
        <v>200</v>
      </c>
      <c r="C5406" s="223"/>
      <c r="K5406" s="319"/>
      <c r="L5406" s="218"/>
    </row>
    <row r="5407">
      <c r="B5407" s="223" t="s">
        <v>200</v>
      </c>
      <c r="C5407" s="223"/>
      <c r="K5407" s="319"/>
      <c r="L5407" s="218"/>
    </row>
    <row r="5408">
      <c r="B5408" s="223" t="s">
        <v>200</v>
      </c>
      <c r="C5408" s="223"/>
      <c r="K5408" s="319"/>
      <c r="L5408" s="218"/>
    </row>
    <row r="5409">
      <c r="B5409" s="223" t="s">
        <v>200</v>
      </c>
      <c r="C5409" s="223"/>
      <c r="K5409" s="319"/>
      <c r="L5409" s="218"/>
    </row>
    <row r="5410">
      <c r="B5410" s="223" t="s">
        <v>200</v>
      </c>
      <c r="C5410" s="223"/>
      <c r="K5410" s="319"/>
      <c r="L5410" s="218"/>
    </row>
    <row r="5411">
      <c r="B5411" s="223" t="s">
        <v>200</v>
      </c>
      <c r="C5411" s="223"/>
      <c r="K5411" s="319"/>
      <c r="L5411" s="218"/>
    </row>
    <row r="5412">
      <c r="B5412" s="223" t="s">
        <v>200</v>
      </c>
      <c r="C5412" s="223"/>
      <c r="K5412" s="319"/>
      <c r="L5412" s="218"/>
    </row>
    <row r="5413">
      <c r="B5413" s="223" t="s">
        <v>200</v>
      </c>
      <c r="C5413" s="223"/>
      <c r="K5413" s="319"/>
      <c r="L5413" s="218"/>
    </row>
    <row r="5414">
      <c r="B5414" s="223" t="s">
        <v>200</v>
      </c>
      <c r="C5414" s="223"/>
      <c r="K5414" s="319"/>
      <c r="L5414" s="218"/>
    </row>
    <row r="5415">
      <c r="B5415" s="223" t="s">
        <v>200</v>
      </c>
      <c r="C5415" s="223"/>
      <c r="K5415" s="319"/>
      <c r="L5415" s="218"/>
    </row>
    <row r="5416">
      <c r="B5416" s="223" t="s">
        <v>200</v>
      </c>
      <c r="C5416" s="223"/>
      <c r="K5416" s="319"/>
      <c r="L5416" s="218"/>
    </row>
    <row r="5417">
      <c r="B5417" s="223" t="s">
        <v>200</v>
      </c>
      <c r="C5417" s="223"/>
      <c r="K5417" s="319"/>
      <c r="L5417" s="218"/>
    </row>
    <row r="5418">
      <c r="B5418" s="223" t="s">
        <v>200</v>
      </c>
      <c r="C5418" s="223"/>
      <c r="K5418" s="319"/>
      <c r="L5418" s="218"/>
    </row>
    <row r="5419">
      <c r="B5419" s="223" t="s">
        <v>200</v>
      </c>
      <c r="C5419" s="223"/>
      <c r="K5419" s="319"/>
      <c r="L5419" s="218"/>
    </row>
    <row r="5420">
      <c r="B5420" s="223" t="s">
        <v>200</v>
      </c>
      <c r="C5420" s="223"/>
      <c r="K5420" s="319"/>
      <c r="L5420" s="218"/>
    </row>
    <row r="5421">
      <c r="B5421" s="223" t="s">
        <v>200</v>
      </c>
      <c r="C5421" s="223"/>
      <c r="K5421" s="319"/>
      <c r="L5421" s="218"/>
    </row>
    <row r="5422">
      <c r="B5422" s="223" t="s">
        <v>200</v>
      </c>
      <c r="C5422" s="223"/>
      <c r="K5422" s="319"/>
      <c r="L5422" s="218"/>
    </row>
    <row r="5423">
      <c r="B5423" s="223" t="s">
        <v>200</v>
      </c>
      <c r="C5423" s="223"/>
      <c r="K5423" s="319"/>
      <c r="L5423" s="218"/>
    </row>
    <row r="5424">
      <c r="B5424" s="223" t="s">
        <v>200</v>
      </c>
      <c r="C5424" s="223"/>
      <c r="K5424" s="319"/>
      <c r="L5424" s="218"/>
    </row>
    <row r="5425">
      <c r="B5425" s="223" t="s">
        <v>200</v>
      </c>
      <c r="C5425" s="223"/>
      <c r="K5425" s="319"/>
      <c r="L5425" s="218"/>
    </row>
    <row r="5426">
      <c r="B5426" s="223" t="s">
        <v>200</v>
      </c>
      <c r="C5426" s="223"/>
      <c r="K5426" s="319"/>
      <c r="L5426" s="218"/>
    </row>
    <row r="5427">
      <c r="B5427" s="223" t="s">
        <v>200</v>
      </c>
      <c r="C5427" s="223"/>
      <c r="K5427" s="319"/>
      <c r="L5427" s="218"/>
    </row>
    <row r="5428">
      <c r="B5428" s="223" t="s">
        <v>200</v>
      </c>
      <c r="C5428" s="223"/>
      <c r="K5428" s="319"/>
      <c r="L5428" s="218"/>
    </row>
    <row r="5429">
      <c r="B5429" s="223" t="s">
        <v>200</v>
      </c>
      <c r="C5429" s="223"/>
      <c r="K5429" s="319"/>
      <c r="L5429" s="218"/>
    </row>
    <row r="5430">
      <c r="B5430" s="223" t="s">
        <v>200</v>
      </c>
      <c r="C5430" s="223"/>
      <c r="K5430" s="319"/>
      <c r="L5430" s="218"/>
    </row>
    <row r="5431">
      <c r="B5431" s="223" t="s">
        <v>200</v>
      </c>
      <c r="C5431" s="223"/>
      <c r="K5431" s="319"/>
      <c r="L5431" s="218"/>
    </row>
    <row r="5432">
      <c r="B5432" s="223" t="s">
        <v>200</v>
      </c>
      <c r="C5432" s="223"/>
      <c r="K5432" s="319"/>
      <c r="L5432" s="218"/>
    </row>
    <row r="5433">
      <c r="B5433" s="223" t="s">
        <v>200</v>
      </c>
      <c r="C5433" s="223"/>
      <c r="K5433" s="319"/>
      <c r="L5433" s="218"/>
    </row>
    <row r="5434">
      <c r="B5434" s="223" t="s">
        <v>200</v>
      </c>
      <c r="C5434" s="223"/>
      <c r="K5434" s="319"/>
      <c r="L5434" s="218"/>
    </row>
    <row r="5435">
      <c r="B5435" s="223" t="s">
        <v>200</v>
      </c>
      <c r="C5435" s="223"/>
      <c r="K5435" s="319"/>
      <c r="L5435" s="218"/>
    </row>
    <row r="5436">
      <c r="B5436" s="223" t="s">
        <v>200</v>
      </c>
      <c r="C5436" s="223"/>
      <c r="K5436" s="319"/>
      <c r="L5436" s="218"/>
    </row>
    <row r="5437">
      <c r="B5437" s="223" t="s">
        <v>200</v>
      </c>
      <c r="C5437" s="223"/>
      <c r="K5437" s="319"/>
      <c r="L5437" s="218"/>
    </row>
    <row r="5438">
      <c r="B5438" s="223" t="s">
        <v>200</v>
      </c>
      <c r="C5438" s="223"/>
      <c r="K5438" s="319"/>
      <c r="L5438" s="218"/>
    </row>
    <row r="5439">
      <c r="B5439" s="223" t="s">
        <v>200</v>
      </c>
      <c r="C5439" s="223"/>
      <c r="K5439" s="319"/>
      <c r="L5439" s="218"/>
    </row>
    <row r="5440">
      <c r="B5440" s="223" t="s">
        <v>200</v>
      </c>
      <c r="C5440" s="223"/>
      <c r="K5440" s="319"/>
      <c r="L5440" s="218"/>
    </row>
    <row r="5441">
      <c r="B5441" s="223" t="s">
        <v>200</v>
      </c>
      <c r="C5441" s="223"/>
      <c r="K5441" s="319"/>
      <c r="L5441" s="218"/>
    </row>
    <row r="5442">
      <c r="B5442" s="223" t="s">
        <v>200</v>
      </c>
      <c r="C5442" s="223"/>
      <c r="K5442" s="319"/>
      <c r="L5442" s="218"/>
    </row>
    <row r="5443">
      <c r="B5443" s="223" t="s">
        <v>200</v>
      </c>
      <c r="C5443" s="223"/>
      <c r="K5443" s="319"/>
      <c r="L5443" s="218"/>
    </row>
    <row r="5444">
      <c r="B5444" s="223" t="s">
        <v>200</v>
      </c>
      <c r="C5444" s="223"/>
      <c r="K5444" s="319"/>
      <c r="L5444" s="218"/>
    </row>
    <row r="5445">
      <c r="B5445" s="223" t="s">
        <v>200</v>
      </c>
      <c r="C5445" s="223"/>
      <c r="K5445" s="319"/>
      <c r="L5445" s="218"/>
    </row>
    <row r="5446">
      <c r="B5446" s="223" t="s">
        <v>200</v>
      </c>
      <c r="C5446" s="223"/>
      <c r="K5446" s="319"/>
      <c r="L5446" s="218"/>
    </row>
    <row r="5447">
      <c r="B5447" s="223" t="s">
        <v>200</v>
      </c>
      <c r="C5447" s="223"/>
      <c r="K5447" s="319"/>
      <c r="L5447" s="218"/>
    </row>
    <row r="5448">
      <c r="B5448" s="223" t="s">
        <v>200</v>
      </c>
      <c r="C5448" s="223"/>
      <c r="K5448" s="319"/>
      <c r="L5448" s="218"/>
    </row>
    <row r="5449">
      <c r="B5449" s="223" t="s">
        <v>200</v>
      </c>
      <c r="C5449" s="223"/>
      <c r="K5449" s="319"/>
      <c r="L5449" s="218"/>
    </row>
    <row r="5450">
      <c r="B5450" s="223" t="s">
        <v>200</v>
      </c>
      <c r="C5450" s="223"/>
      <c r="K5450" s="319"/>
      <c r="L5450" s="218"/>
    </row>
    <row r="5451">
      <c r="B5451" s="223" t="s">
        <v>200</v>
      </c>
      <c r="C5451" s="223"/>
      <c r="K5451" s="319"/>
      <c r="L5451" s="218"/>
    </row>
    <row r="5452">
      <c r="B5452" s="223" t="s">
        <v>200</v>
      </c>
      <c r="C5452" s="223"/>
      <c r="K5452" s="319"/>
      <c r="L5452" s="218"/>
    </row>
    <row r="5453">
      <c r="B5453" s="223" t="s">
        <v>200</v>
      </c>
      <c r="C5453" s="223"/>
      <c r="K5453" s="319"/>
      <c r="L5453" s="218"/>
    </row>
    <row r="5454">
      <c r="B5454" s="223" t="s">
        <v>200</v>
      </c>
      <c r="C5454" s="223"/>
      <c r="K5454" s="319"/>
      <c r="L5454" s="218"/>
    </row>
    <row r="5455">
      <c r="B5455" s="223" t="s">
        <v>200</v>
      </c>
      <c r="C5455" s="223"/>
      <c r="K5455" s="319"/>
      <c r="L5455" s="218"/>
    </row>
    <row r="5456">
      <c r="B5456" s="223" t="s">
        <v>200</v>
      </c>
      <c r="C5456" s="223"/>
      <c r="K5456" s="319"/>
      <c r="L5456" s="218"/>
    </row>
    <row r="5457">
      <c r="B5457" s="223" t="s">
        <v>200</v>
      </c>
      <c r="C5457" s="223"/>
      <c r="K5457" s="319"/>
      <c r="L5457" s="218"/>
    </row>
    <row r="5458">
      <c r="B5458" s="223" t="s">
        <v>200</v>
      </c>
      <c r="C5458" s="223"/>
      <c r="K5458" s="319"/>
      <c r="L5458" s="218"/>
    </row>
    <row r="5459">
      <c r="B5459" s="223" t="s">
        <v>200</v>
      </c>
      <c r="C5459" s="223"/>
      <c r="K5459" s="319"/>
      <c r="L5459" s="218"/>
    </row>
    <row r="5460">
      <c r="B5460" s="223" t="s">
        <v>200</v>
      </c>
      <c r="C5460" s="223"/>
      <c r="K5460" s="319"/>
      <c r="L5460" s="218"/>
    </row>
    <row r="5461">
      <c r="B5461" s="223" t="s">
        <v>200</v>
      </c>
      <c r="C5461" s="223"/>
      <c r="K5461" s="319"/>
      <c r="L5461" s="218"/>
    </row>
    <row r="5462">
      <c r="B5462" s="223" t="s">
        <v>200</v>
      </c>
      <c r="C5462" s="223"/>
      <c r="K5462" s="319"/>
      <c r="L5462" s="218"/>
    </row>
    <row r="5463">
      <c r="B5463" s="223" t="s">
        <v>200</v>
      </c>
      <c r="C5463" s="223"/>
      <c r="K5463" s="319"/>
      <c r="L5463" s="218"/>
    </row>
    <row r="5464">
      <c r="B5464" s="223" t="s">
        <v>200</v>
      </c>
      <c r="C5464" s="223"/>
      <c r="K5464" s="319"/>
      <c r="L5464" s="218"/>
    </row>
    <row r="5465">
      <c r="B5465" s="223" t="s">
        <v>200</v>
      </c>
      <c r="C5465" s="223"/>
      <c r="K5465" s="319"/>
      <c r="L5465" s="218"/>
    </row>
    <row r="5466">
      <c r="B5466" s="223" t="s">
        <v>200</v>
      </c>
      <c r="C5466" s="223"/>
      <c r="K5466" s="319"/>
      <c r="L5466" s="218"/>
    </row>
    <row r="5467">
      <c r="B5467" s="223" t="s">
        <v>200</v>
      </c>
      <c r="C5467" s="223"/>
      <c r="K5467" s="319"/>
      <c r="L5467" s="218"/>
    </row>
    <row r="5468">
      <c r="B5468" s="223" t="s">
        <v>200</v>
      </c>
      <c r="C5468" s="223"/>
      <c r="K5468" s="319"/>
      <c r="L5468" s="218"/>
    </row>
    <row r="5469">
      <c r="B5469" s="223" t="s">
        <v>200</v>
      </c>
      <c r="C5469" s="223"/>
      <c r="K5469" s="319"/>
      <c r="L5469" s="218"/>
    </row>
    <row r="5470">
      <c r="B5470" s="223" t="s">
        <v>200</v>
      </c>
      <c r="C5470" s="223"/>
      <c r="K5470" s="319"/>
      <c r="L5470" s="218"/>
    </row>
    <row r="5471">
      <c r="B5471" s="223" t="s">
        <v>200</v>
      </c>
      <c r="C5471" s="223"/>
      <c r="K5471" s="319"/>
      <c r="L5471" s="218"/>
    </row>
    <row r="5472">
      <c r="B5472" s="223" t="s">
        <v>200</v>
      </c>
      <c r="C5472" s="223"/>
      <c r="K5472" s="319"/>
      <c r="L5472" s="218"/>
    </row>
    <row r="5473">
      <c r="B5473" s="223" t="s">
        <v>200</v>
      </c>
      <c r="C5473" s="223"/>
      <c r="K5473" s="319"/>
      <c r="L5473" s="218"/>
    </row>
    <row r="5474">
      <c r="B5474" s="223" t="s">
        <v>200</v>
      </c>
      <c r="C5474" s="223"/>
      <c r="K5474" s="319"/>
      <c r="L5474" s="218"/>
    </row>
    <row r="5475">
      <c r="B5475" s="223" t="s">
        <v>200</v>
      </c>
      <c r="C5475" s="223"/>
      <c r="K5475" s="319"/>
      <c r="L5475" s="218"/>
    </row>
    <row r="5476">
      <c r="B5476" s="223" t="s">
        <v>200</v>
      </c>
      <c r="C5476" s="223"/>
      <c r="K5476" s="319"/>
      <c r="L5476" s="218"/>
    </row>
    <row r="5477">
      <c r="B5477" s="223" t="s">
        <v>200</v>
      </c>
      <c r="C5477" s="223"/>
      <c r="K5477" s="319"/>
      <c r="L5477" s="218"/>
    </row>
    <row r="5478">
      <c r="B5478" s="223" t="s">
        <v>200</v>
      </c>
      <c r="C5478" s="223"/>
      <c r="K5478" s="319"/>
      <c r="L5478" s="218"/>
    </row>
    <row r="5479">
      <c r="B5479" s="223" t="s">
        <v>200</v>
      </c>
      <c r="C5479" s="223"/>
      <c r="K5479" s="319"/>
      <c r="L5479" s="218"/>
    </row>
    <row r="5480">
      <c r="B5480" s="223" t="s">
        <v>200</v>
      </c>
      <c r="C5480" s="223"/>
      <c r="K5480" s="319"/>
      <c r="L5480" s="218"/>
    </row>
    <row r="5481">
      <c r="B5481" s="223" t="s">
        <v>200</v>
      </c>
      <c r="C5481" s="223"/>
      <c r="K5481" s="319"/>
      <c r="L5481" s="218"/>
    </row>
    <row r="5482">
      <c r="B5482" s="223" t="s">
        <v>200</v>
      </c>
      <c r="C5482" s="223"/>
      <c r="K5482" s="319"/>
      <c r="L5482" s="218"/>
    </row>
    <row r="5483">
      <c r="B5483" s="223" t="s">
        <v>200</v>
      </c>
      <c r="C5483" s="223"/>
      <c r="K5483" s="319"/>
      <c r="L5483" s="218"/>
    </row>
    <row r="5484">
      <c r="B5484" s="223" t="s">
        <v>200</v>
      </c>
      <c r="C5484" s="223"/>
      <c r="K5484" s="319"/>
      <c r="L5484" s="218"/>
    </row>
    <row r="5485">
      <c r="B5485" s="223" t="s">
        <v>200</v>
      </c>
      <c r="C5485" s="223"/>
      <c r="K5485" s="319"/>
      <c r="L5485" s="218"/>
    </row>
    <row r="5486">
      <c r="B5486" s="223" t="s">
        <v>200</v>
      </c>
      <c r="C5486" s="223"/>
      <c r="K5486" s="319"/>
      <c r="L5486" s="218"/>
    </row>
    <row r="5487">
      <c r="B5487" s="223" t="s">
        <v>200</v>
      </c>
      <c r="C5487" s="223"/>
      <c r="K5487" s="319"/>
      <c r="L5487" s="218"/>
    </row>
    <row r="5488">
      <c r="B5488" s="223" t="s">
        <v>200</v>
      </c>
      <c r="C5488" s="223"/>
      <c r="K5488" s="319"/>
      <c r="L5488" s="218"/>
    </row>
    <row r="5489">
      <c r="B5489" s="223" t="s">
        <v>200</v>
      </c>
      <c r="C5489" s="223"/>
      <c r="K5489" s="319"/>
      <c r="L5489" s="218"/>
    </row>
    <row r="5490">
      <c r="B5490" s="223" t="s">
        <v>200</v>
      </c>
      <c r="C5490" s="223"/>
      <c r="K5490" s="319"/>
      <c r="L5490" s="218"/>
    </row>
    <row r="5491">
      <c r="B5491" s="223" t="s">
        <v>200</v>
      </c>
      <c r="C5491" s="223"/>
      <c r="K5491" s="319"/>
      <c r="L5491" s="218"/>
    </row>
    <row r="5492">
      <c r="B5492" s="223" t="s">
        <v>200</v>
      </c>
      <c r="C5492" s="223"/>
      <c r="K5492" s="319"/>
      <c r="L5492" s="218"/>
    </row>
    <row r="5493">
      <c r="B5493" s="223" t="s">
        <v>200</v>
      </c>
      <c r="C5493" s="223"/>
      <c r="K5493" s="319"/>
      <c r="L5493" s="218"/>
    </row>
    <row r="5494">
      <c r="B5494" s="223" t="s">
        <v>200</v>
      </c>
      <c r="C5494" s="223"/>
      <c r="K5494" s="319"/>
      <c r="L5494" s="218"/>
    </row>
    <row r="5495">
      <c r="B5495" s="223" t="s">
        <v>200</v>
      </c>
      <c r="C5495" s="223"/>
      <c r="K5495" s="319"/>
      <c r="L5495" s="218"/>
    </row>
    <row r="5496">
      <c r="B5496" s="223" t="s">
        <v>200</v>
      </c>
      <c r="C5496" s="223"/>
      <c r="K5496" s="319"/>
      <c r="L5496" s="218"/>
    </row>
    <row r="5497">
      <c r="B5497" s="223" t="s">
        <v>200</v>
      </c>
      <c r="C5497" s="223"/>
      <c r="K5497" s="319"/>
      <c r="L5497" s="218"/>
    </row>
    <row r="5498">
      <c r="B5498" s="223" t="s">
        <v>200</v>
      </c>
      <c r="C5498" s="223"/>
      <c r="K5498" s="319"/>
      <c r="L5498" s="218"/>
    </row>
    <row r="5499">
      <c r="B5499" s="223" t="s">
        <v>200</v>
      </c>
      <c r="C5499" s="223"/>
      <c r="K5499" s="319"/>
      <c r="L5499" s="218"/>
    </row>
    <row r="5500">
      <c r="B5500" s="223" t="s">
        <v>200</v>
      </c>
      <c r="C5500" s="223"/>
      <c r="K5500" s="319"/>
      <c r="L5500" s="218"/>
    </row>
    <row r="5501">
      <c r="B5501" s="223" t="s">
        <v>200</v>
      </c>
      <c r="C5501" s="223"/>
      <c r="K5501" s="319"/>
      <c r="L5501" s="218"/>
    </row>
    <row r="5502">
      <c r="B5502" s="223" t="s">
        <v>200</v>
      </c>
      <c r="C5502" s="223"/>
      <c r="K5502" s="319"/>
      <c r="L5502" s="218"/>
    </row>
    <row r="5503">
      <c r="B5503" s="223" t="s">
        <v>200</v>
      </c>
      <c r="C5503" s="223"/>
      <c r="K5503" s="319"/>
      <c r="L5503" s="218"/>
    </row>
    <row r="5504">
      <c r="B5504" s="223" t="s">
        <v>200</v>
      </c>
      <c r="C5504" s="223"/>
      <c r="K5504" s="319"/>
      <c r="L5504" s="218"/>
    </row>
    <row r="5505">
      <c r="B5505" s="223" t="s">
        <v>200</v>
      </c>
      <c r="C5505" s="223"/>
      <c r="K5505" s="319"/>
      <c r="L5505" s="218"/>
    </row>
    <row r="5506">
      <c r="B5506" s="223" t="s">
        <v>200</v>
      </c>
      <c r="C5506" s="223"/>
      <c r="K5506" s="319"/>
      <c r="L5506" s="218"/>
    </row>
    <row r="5507">
      <c r="B5507" s="223" t="s">
        <v>200</v>
      </c>
      <c r="C5507" s="223"/>
      <c r="K5507" s="319"/>
      <c r="L5507" s="218"/>
    </row>
    <row r="5508">
      <c r="B5508" s="223" t="s">
        <v>200</v>
      </c>
      <c r="C5508" s="223"/>
      <c r="K5508" s="319"/>
      <c r="L5508" s="218"/>
    </row>
    <row r="5509">
      <c r="B5509" s="223" t="s">
        <v>200</v>
      </c>
      <c r="C5509" s="223"/>
      <c r="K5509" s="319"/>
      <c r="L5509" s="218"/>
    </row>
    <row r="5510">
      <c r="B5510" s="223" t="s">
        <v>200</v>
      </c>
      <c r="C5510" s="223"/>
      <c r="K5510" s="319"/>
      <c r="L5510" s="218"/>
    </row>
    <row r="5511">
      <c r="B5511" s="223" t="s">
        <v>200</v>
      </c>
      <c r="C5511" s="223"/>
      <c r="K5511" s="319"/>
      <c r="L5511" s="218"/>
    </row>
    <row r="5512">
      <c r="B5512" s="223" t="s">
        <v>200</v>
      </c>
      <c r="C5512" s="223"/>
      <c r="K5512" s="319"/>
      <c r="L5512" s="218"/>
    </row>
    <row r="5513">
      <c r="B5513" s="223" t="s">
        <v>200</v>
      </c>
      <c r="C5513" s="223"/>
      <c r="K5513" s="319"/>
      <c r="L5513" s="218"/>
    </row>
    <row r="5514">
      <c r="B5514" s="223" t="s">
        <v>200</v>
      </c>
      <c r="C5514" s="223"/>
      <c r="K5514" s="319"/>
      <c r="L5514" s="218"/>
    </row>
    <row r="5515">
      <c r="B5515" s="223" t="s">
        <v>200</v>
      </c>
      <c r="C5515" s="223"/>
      <c r="K5515" s="319"/>
      <c r="L5515" s="218"/>
    </row>
    <row r="5516">
      <c r="B5516" s="223" t="s">
        <v>200</v>
      </c>
      <c r="C5516" s="223"/>
      <c r="K5516" s="319"/>
      <c r="L5516" s="218"/>
    </row>
    <row r="5517">
      <c r="B5517" s="223" t="s">
        <v>200</v>
      </c>
      <c r="C5517" s="223"/>
      <c r="K5517" s="319"/>
      <c r="L5517" s="218"/>
    </row>
    <row r="5518">
      <c r="B5518" s="223" t="s">
        <v>200</v>
      </c>
      <c r="C5518" s="223"/>
      <c r="K5518" s="319"/>
      <c r="L5518" s="218"/>
    </row>
    <row r="5519">
      <c r="B5519" s="223" t="s">
        <v>200</v>
      </c>
      <c r="C5519" s="223"/>
      <c r="K5519" s="319"/>
      <c r="L5519" s="218"/>
    </row>
    <row r="5520">
      <c r="B5520" s="223" t="s">
        <v>200</v>
      </c>
      <c r="C5520" s="223"/>
      <c r="K5520" s="319"/>
      <c r="L5520" s="218"/>
    </row>
    <row r="5521">
      <c r="B5521" s="223" t="s">
        <v>200</v>
      </c>
      <c r="C5521" s="223"/>
      <c r="K5521" s="319"/>
      <c r="L5521" s="218"/>
    </row>
    <row r="5522">
      <c r="B5522" s="223" t="s">
        <v>200</v>
      </c>
      <c r="C5522" s="223"/>
      <c r="K5522" s="319"/>
      <c r="L5522" s="218"/>
    </row>
    <row r="5523">
      <c r="B5523" s="223" t="s">
        <v>200</v>
      </c>
      <c r="C5523" s="223"/>
      <c r="K5523" s="319"/>
      <c r="L5523" s="218"/>
    </row>
    <row r="5524">
      <c r="B5524" s="223" t="s">
        <v>200</v>
      </c>
      <c r="C5524" s="223"/>
      <c r="K5524" s="319"/>
      <c r="L5524" s="218"/>
    </row>
    <row r="5525">
      <c r="B5525" s="223" t="s">
        <v>200</v>
      </c>
      <c r="C5525" s="223"/>
      <c r="K5525" s="319"/>
      <c r="L5525" s="218"/>
    </row>
    <row r="5526">
      <c r="B5526" s="223" t="s">
        <v>200</v>
      </c>
      <c r="C5526" s="223"/>
      <c r="K5526" s="319"/>
      <c r="L5526" s="218"/>
    </row>
    <row r="5527">
      <c r="B5527" s="223" t="s">
        <v>200</v>
      </c>
      <c r="C5527" s="223"/>
      <c r="K5527" s="319"/>
      <c r="L5527" s="218"/>
    </row>
    <row r="5528">
      <c r="B5528" s="223" t="s">
        <v>200</v>
      </c>
      <c r="C5528" s="223"/>
      <c r="K5528" s="319"/>
      <c r="L5528" s="218"/>
    </row>
    <row r="5529">
      <c r="B5529" s="223" t="s">
        <v>200</v>
      </c>
      <c r="C5529" s="223"/>
      <c r="K5529" s="319"/>
      <c r="L5529" s="218"/>
    </row>
    <row r="5530">
      <c r="B5530" s="223" t="s">
        <v>200</v>
      </c>
      <c r="C5530" s="223"/>
      <c r="K5530" s="319"/>
      <c r="L5530" s="218"/>
    </row>
    <row r="5531">
      <c r="B5531" s="223" t="s">
        <v>200</v>
      </c>
      <c r="C5531" s="223"/>
      <c r="K5531" s="319"/>
      <c r="L5531" s="218"/>
    </row>
    <row r="5532">
      <c r="B5532" s="223" t="s">
        <v>200</v>
      </c>
      <c r="C5532" s="223"/>
      <c r="K5532" s="319"/>
      <c r="L5532" s="218"/>
    </row>
    <row r="5533">
      <c r="B5533" s="223" t="s">
        <v>200</v>
      </c>
      <c r="C5533" s="223"/>
      <c r="K5533" s="319"/>
      <c r="L5533" s="218"/>
    </row>
    <row r="5534">
      <c r="B5534" s="223" t="s">
        <v>200</v>
      </c>
      <c r="C5534" s="223"/>
      <c r="K5534" s="319"/>
      <c r="L5534" s="218"/>
    </row>
    <row r="5535">
      <c r="B5535" s="223" t="s">
        <v>200</v>
      </c>
      <c r="C5535" s="223"/>
      <c r="K5535" s="319"/>
      <c r="L5535" s="218"/>
    </row>
    <row r="5536">
      <c r="B5536" s="223" t="s">
        <v>200</v>
      </c>
      <c r="C5536" s="223"/>
      <c r="K5536" s="319"/>
      <c r="L5536" s="218"/>
    </row>
    <row r="5537">
      <c r="B5537" s="223" t="s">
        <v>200</v>
      </c>
      <c r="C5537" s="223"/>
      <c r="K5537" s="319"/>
      <c r="L5537" s="218"/>
    </row>
    <row r="5538">
      <c r="B5538" s="223" t="s">
        <v>200</v>
      </c>
      <c r="C5538" s="223"/>
      <c r="K5538" s="319"/>
      <c r="L5538" s="218"/>
    </row>
    <row r="5539">
      <c r="B5539" s="223" t="s">
        <v>200</v>
      </c>
      <c r="C5539" s="223"/>
      <c r="K5539" s="319"/>
      <c r="L5539" s="218"/>
    </row>
    <row r="5540">
      <c r="B5540" s="223" t="s">
        <v>200</v>
      </c>
      <c r="C5540" s="223"/>
      <c r="K5540" s="319"/>
      <c r="L5540" s="218"/>
    </row>
    <row r="5541">
      <c r="B5541" s="223" t="s">
        <v>200</v>
      </c>
      <c r="C5541" s="223"/>
      <c r="K5541" s="319"/>
      <c r="L5541" s="218"/>
    </row>
    <row r="5542">
      <c r="B5542" s="223" t="s">
        <v>200</v>
      </c>
      <c r="C5542" s="223"/>
      <c r="K5542" s="319"/>
      <c r="L5542" s="218"/>
    </row>
    <row r="5543">
      <c r="B5543" s="223" t="s">
        <v>200</v>
      </c>
      <c r="C5543" s="223"/>
      <c r="K5543" s="319"/>
      <c r="L5543" s="218"/>
    </row>
    <row r="5544">
      <c r="B5544" s="223" t="s">
        <v>200</v>
      </c>
      <c r="C5544" s="223"/>
      <c r="K5544" s="319"/>
      <c r="L5544" s="218"/>
    </row>
    <row r="5545">
      <c r="B5545" s="223" t="s">
        <v>200</v>
      </c>
      <c r="C5545" s="223"/>
      <c r="K5545" s="319"/>
      <c r="L5545" s="218"/>
    </row>
    <row r="5546">
      <c r="B5546" s="223" t="s">
        <v>200</v>
      </c>
      <c r="C5546" s="223"/>
      <c r="K5546" s="319"/>
      <c r="L5546" s="218"/>
    </row>
    <row r="5547">
      <c r="B5547" s="223" t="s">
        <v>200</v>
      </c>
      <c r="C5547" s="223"/>
      <c r="K5547" s="319"/>
      <c r="L5547" s="218"/>
    </row>
    <row r="5548">
      <c r="B5548" s="223" t="s">
        <v>200</v>
      </c>
      <c r="C5548" s="223"/>
      <c r="K5548" s="319"/>
      <c r="L5548" s="218"/>
    </row>
    <row r="5549">
      <c r="B5549" s="223" t="s">
        <v>200</v>
      </c>
      <c r="C5549" s="223"/>
      <c r="K5549" s="319"/>
      <c r="L5549" s="218"/>
    </row>
    <row r="5550">
      <c r="B5550" s="223" t="s">
        <v>200</v>
      </c>
      <c r="C5550" s="223"/>
      <c r="K5550" s="319"/>
      <c r="L5550" s="218"/>
    </row>
    <row r="5551">
      <c r="B5551" s="223" t="s">
        <v>200</v>
      </c>
      <c r="C5551" s="223"/>
      <c r="K5551" s="319"/>
      <c r="L5551" s="218"/>
    </row>
    <row r="5552">
      <c r="B5552" s="223" t="s">
        <v>200</v>
      </c>
      <c r="C5552" s="223"/>
      <c r="K5552" s="319"/>
      <c r="L5552" s="218"/>
    </row>
    <row r="5553">
      <c r="B5553" s="223" t="s">
        <v>200</v>
      </c>
      <c r="C5553" s="223"/>
      <c r="K5553" s="319"/>
      <c r="L5553" s="218"/>
    </row>
    <row r="5554">
      <c r="B5554" s="223" t="s">
        <v>200</v>
      </c>
      <c r="C5554" s="223"/>
      <c r="K5554" s="319"/>
      <c r="L5554" s="218"/>
    </row>
    <row r="5555">
      <c r="B5555" s="223" t="s">
        <v>200</v>
      </c>
      <c r="C5555" s="223"/>
      <c r="K5555" s="319"/>
      <c r="L5555" s="218"/>
    </row>
    <row r="5556">
      <c r="B5556" s="223" t="s">
        <v>200</v>
      </c>
      <c r="C5556" s="223"/>
      <c r="K5556" s="319"/>
      <c r="L5556" s="218"/>
    </row>
    <row r="5557">
      <c r="B5557" s="223" t="s">
        <v>200</v>
      </c>
      <c r="C5557" s="223"/>
      <c r="K5557" s="319"/>
      <c r="L5557" s="218"/>
    </row>
    <row r="5558">
      <c r="B5558" s="223" t="s">
        <v>200</v>
      </c>
      <c r="C5558" s="223"/>
      <c r="K5558" s="319"/>
      <c r="L5558" s="218"/>
    </row>
    <row r="5559">
      <c r="B5559" s="223" t="s">
        <v>200</v>
      </c>
      <c r="C5559" s="223"/>
      <c r="K5559" s="319"/>
      <c r="L5559" s="218"/>
    </row>
    <row r="5560">
      <c r="B5560" s="223" t="s">
        <v>200</v>
      </c>
      <c r="C5560" s="223"/>
      <c r="K5560" s="319"/>
      <c r="L5560" s="218"/>
    </row>
    <row r="5561">
      <c r="B5561" s="223" t="s">
        <v>200</v>
      </c>
      <c r="C5561" s="223"/>
      <c r="K5561" s="319"/>
      <c r="L5561" s="218"/>
    </row>
    <row r="5562">
      <c r="B5562" s="223" t="s">
        <v>200</v>
      </c>
      <c r="C5562" s="223"/>
      <c r="K5562" s="319"/>
      <c r="L5562" s="218"/>
    </row>
    <row r="5563">
      <c r="B5563" s="223" t="s">
        <v>200</v>
      </c>
      <c r="C5563" s="223"/>
      <c r="K5563" s="319"/>
      <c r="L5563" s="218"/>
    </row>
    <row r="5564">
      <c r="B5564" s="223" t="s">
        <v>200</v>
      </c>
      <c r="C5564" s="223"/>
      <c r="K5564" s="319"/>
      <c r="L5564" s="218"/>
    </row>
    <row r="5565">
      <c r="B5565" s="223" t="s">
        <v>200</v>
      </c>
      <c r="C5565" s="223"/>
      <c r="K5565" s="319"/>
      <c r="L5565" s="218"/>
    </row>
    <row r="5566">
      <c r="B5566" s="223" t="s">
        <v>200</v>
      </c>
      <c r="C5566" s="223"/>
      <c r="K5566" s="319"/>
      <c r="L5566" s="218"/>
    </row>
    <row r="5567">
      <c r="B5567" s="223" t="s">
        <v>200</v>
      </c>
      <c r="C5567" s="223"/>
      <c r="K5567" s="319"/>
      <c r="L5567" s="218"/>
    </row>
    <row r="5568">
      <c r="B5568" s="223" t="s">
        <v>200</v>
      </c>
      <c r="C5568" s="223"/>
      <c r="K5568" s="319"/>
      <c r="L5568" s="218"/>
    </row>
    <row r="5569">
      <c r="B5569" s="223" t="s">
        <v>200</v>
      </c>
      <c r="C5569" s="223"/>
      <c r="K5569" s="319"/>
      <c r="L5569" s="218"/>
    </row>
    <row r="5570">
      <c r="B5570" s="223" t="s">
        <v>200</v>
      </c>
      <c r="C5570" s="223"/>
      <c r="K5570" s="319"/>
      <c r="L5570" s="218"/>
    </row>
    <row r="5571">
      <c r="B5571" s="223" t="s">
        <v>200</v>
      </c>
      <c r="C5571" s="223"/>
      <c r="K5571" s="319"/>
      <c r="L5571" s="218"/>
    </row>
    <row r="5572">
      <c r="B5572" s="223" t="s">
        <v>200</v>
      </c>
      <c r="C5572" s="223"/>
      <c r="K5572" s="319"/>
      <c r="L5572" s="218"/>
    </row>
    <row r="5573">
      <c r="B5573" s="223" t="s">
        <v>200</v>
      </c>
      <c r="C5573" s="223"/>
      <c r="K5573" s="319"/>
      <c r="L5573" s="218"/>
    </row>
    <row r="5574">
      <c r="B5574" s="223" t="s">
        <v>200</v>
      </c>
      <c r="C5574" s="223"/>
      <c r="K5574" s="319"/>
      <c r="L5574" s="218"/>
    </row>
    <row r="5575">
      <c r="B5575" s="223" t="s">
        <v>200</v>
      </c>
      <c r="C5575" s="223"/>
      <c r="K5575" s="319"/>
      <c r="L5575" s="218"/>
    </row>
    <row r="5576">
      <c r="B5576" s="223" t="s">
        <v>200</v>
      </c>
      <c r="C5576" s="223"/>
      <c r="K5576" s="319"/>
      <c r="L5576" s="218"/>
    </row>
    <row r="5577">
      <c r="B5577" s="223" t="s">
        <v>200</v>
      </c>
      <c r="C5577" s="223"/>
      <c r="K5577" s="319"/>
      <c r="L5577" s="218"/>
    </row>
    <row r="5578">
      <c r="B5578" s="223" t="s">
        <v>200</v>
      </c>
      <c r="C5578" s="223"/>
      <c r="K5578" s="319"/>
      <c r="L5578" s="218"/>
    </row>
    <row r="5579">
      <c r="B5579" s="223" t="s">
        <v>200</v>
      </c>
      <c r="C5579" s="223"/>
      <c r="K5579" s="319"/>
      <c r="L5579" s="218"/>
    </row>
    <row r="5580">
      <c r="B5580" s="223" t="s">
        <v>200</v>
      </c>
      <c r="C5580" s="223"/>
      <c r="K5580" s="319"/>
      <c r="L5580" s="218"/>
    </row>
    <row r="5581">
      <c r="B5581" s="223" t="s">
        <v>200</v>
      </c>
      <c r="C5581" s="223"/>
      <c r="K5581" s="319"/>
      <c r="L5581" s="218"/>
    </row>
    <row r="5582">
      <c r="B5582" s="223" t="s">
        <v>200</v>
      </c>
      <c r="C5582" s="223"/>
      <c r="K5582" s="319"/>
      <c r="L5582" s="218"/>
    </row>
    <row r="5583">
      <c r="B5583" s="223" t="s">
        <v>200</v>
      </c>
      <c r="C5583" s="223"/>
      <c r="K5583" s="319"/>
      <c r="L5583" s="218"/>
    </row>
    <row r="5584">
      <c r="B5584" s="223" t="s">
        <v>200</v>
      </c>
      <c r="C5584" s="223"/>
      <c r="K5584" s="319"/>
      <c r="L5584" s="218"/>
    </row>
    <row r="5585">
      <c r="B5585" s="223" t="s">
        <v>200</v>
      </c>
      <c r="C5585" s="223"/>
      <c r="K5585" s="319"/>
      <c r="L5585" s="218"/>
    </row>
    <row r="5586">
      <c r="B5586" s="223" t="s">
        <v>200</v>
      </c>
      <c r="C5586" s="223"/>
      <c r="K5586" s="319"/>
      <c r="L5586" s="218"/>
    </row>
    <row r="5587">
      <c r="B5587" s="223" t="s">
        <v>200</v>
      </c>
      <c r="C5587" s="223"/>
      <c r="K5587" s="319"/>
      <c r="L5587" s="218"/>
    </row>
    <row r="5588">
      <c r="B5588" s="223" t="s">
        <v>200</v>
      </c>
      <c r="C5588" s="223"/>
      <c r="K5588" s="319"/>
      <c r="L5588" s="218"/>
    </row>
    <row r="5589">
      <c r="B5589" s="223" t="s">
        <v>200</v>
      </c>
      <c r="C5589" s="223"/>
      <c r="K5589" s="319"/>
      <c r="L5589" s="218"/>
    </row>
    <row r="5590">
      <c r="B5590" s="223" t="s">
        <v>200</v>
      </c>
      <c r="C5590" s="223"/>
      <c r="K5590" s="319"/>
      <c r="L5590" s="218"/>
    </row>
    <row r="5591">
      <c r="B5591" s="223" t="s">
        <v>200</v>
      </c>
      <c r="C5591" s="223"/>
      <c r="K5591" s="319"/>
      <c r="L5591" s="218"/>
    </row>
    <row r="5592">
      <c r="B5592" s="223" t="s">
        <v>200</v>
      </c>
      <c r="C5592" s="223"/>
      <c r="K5592" s="319"/>
      <c r="L5592" s="218"/>
    </row>
    <row r="5593">
      <c r="B5593" s="223" t="s">
        <v>200</v>
      </c>
      <c r="C5593" s="223"/>
      <c r="K5593" s="319"/>
      <c r="L5593" s="218"/>
    </row>
    <row r="5594">
      <c r="B5594" s="223" t="s">
        <v>200</v>
      </c>
      <c r="C5594" s="223"/>
      <c r="K5594" s="319"/>
      <c r="L5594" s="218"/>
    </row>
    <row r="5595">
      <c r="B5595" s="223" t="s">
        <v>200</v>
      </c>
      <c r="C5595" s="223"/>
      <c r="K5595" s="319"/>
      <c r="L5595" s="218"/>
    </row>
    <row r="5596">
      <c r="B5596" s="223" t="s">
        <v>200</v>
      </c>
      <c r="C5596" s="223"/>
      <c r="K5596" s="319"/>
      <c r="L5596" s="218"/>
    </row>
    <row r="5597">
      <c r="B5597" s="223" t="s">
        <v>200</v>
      </c>
      <c r="C5597" s="223"/>
      <c r="K5597" s="319"/>
      <c r="L5597" s="218"/>
    </row>
    <row r="5598">
      <c r="B5598" s="223" t="s">
        <v>200</v>
      </c>
      <c r="C5598" s="223"/>
      <c r="K5598" s="319"/>
      <c r="L5598" s="218"/>
    </row>
    <row r="5599">
      <c r="B5599" s="223" t="s">
        <v>200</v>
      </c>
      <c r="C5599" s="223"/>
      <c r="K5599" s="319"/>
      <c r="L5599" s="218"/>
    </row>
    <row r="5600">
      <c r="B5600" s="223" t="s">
        <v>200</v>
      </c>
      <c r="C5600" s="223"/>
      <c r="K5600" s="319"/>
      <c r="L5600" s="218"/>
    </row>
    <row r="5601">
      <c r="B5601" s="223" t="s">
        <v>200</v>
      </c>
      <c r="C5601" s="223"/>
      <c r="K5601" s="319"/>
      <c r="L5601" s="218"/>
    </row>
    <row r="5602">
      <c r="B5602" s="223" t="s">
        <v>200</v>
      </c>
      <c r="C5602" s="223"/>
      <c r="K5602" s="319"/>
      <c r="L5602" s="218"/>
    </row>
    <row r="5603">
      <c r="B5603" s="223" t="s">
        <v>200</v>
      </c>
      <c r="C5603" s="223"/>
      <c r="K5603" s="319"/>
      <c r="L5603" s="218"/>
    </row>
    <row r="5604">
      <c r="B5604" s="223" t="s">
        <v>200</v>
      </c>
      <c r="C5604" s="223"/>
      <c r="K5604" s="319"/>
      <c r="L5604" s="218"/>
    </row>
    <row r="5605">
      <c r="B5605" s="223" t="s">
        <v>200</v>
      </c>
      <c r="C5605" s="223"/>
      <c r="K5605" s="319"/>
      <c r="L5605" s="218"/>
    </row>
    <row r="5606">
      <c r="B5606" s="223" t="s">
        <v>200</v>
      </c>
      <c r="C5606" s="223"/>
      <c r="K5606" s="319"/>
      <c r="L5606" s="218"/>
    </row>
    <row r="5607">
      <c r="B5607" s="223" t="s">
        <v>200</v>
      </c>
      <c r="C5607" s="223"/>
      <c r="K5607" s="319"/>
      <c r="L5607" s="218"/>
    </row>
    <row r="5608">
      <c r="B5608" s="223" t="s">
        <v>200</v>
      </c>
      <c r="C5608" s="223"/>
      <c r="K5608" s="319"/>
      <c r="L5608" s="218"/>
    </row>
    <row r="5609">
      <c r="B5609" s="223" t="s">
        <v>200</v>
      </c>
      <c r="C5609" s="223"/>
      <c r="K5609" s="319"/>
      <c r="L5609" s="218"/>
    </row>
    <row r="5610">
      <c r="B5610" s="223" t="s">
        <v>200</v>
      </c>
      <c r="C5610" s="223"/>
      <c r="K5610" s="319"/>
      <c r="L5610" s="218"/>
    </row>
    <row r="5611">
      <c r="B5611" s="223" t="s">
        <v>200</v>
      </c>
      <c r="C5611" s="223"/>
      <c r="K5611" s="319"/>
      <c r="L5611" s="218"/>
    </row>
    <row r="5612">
      <c r="B5612" s="223" t="s">
        <v>200</v>
      </c>
      <c r="C5612" s="223"/>
      <c r="K5612" s="319"/>
      <c r="L5612" s="218"/>
    </row>
    <row r="5613">
      <c r="B5613" s="223" t="s">
        <v>200</v>
      </c>
      <c r="C5613" s="223"/>
      <c r="K5613" s="319"/>
      <c r="L5613" s="218"/>
    </row>
    <row r="5614">
      <c r="B5614" s="223" t="s">
        <v>200</v>
      </c>
      <c r="C5614" s="223"/>
      <c r="K5614" s="319"/>
      <c r="L5614" s="218"/>
    </row>
    <row r="5615">
      <c r="B5615" s="223" t="s">
        <v>200</v>
      </c>
      <c r="C5615" s="223"/>
      <c r="K5615" s="319"/>
      <c r="L5615" s="218"/>
    </row>
    <row r="5616">
      <c r="B5616" s="223" t="s">
        <v>200</v>
      </c>
      <c r="C5616" s="223"/>
      <c r="K5616" s="319"/>
      <c r="L5616" s="218"/>
    </row>
    <row r="5617">
      <c r="B5617" s="223" t="s">
        <v>200</v>
      </c>
      <c r="C5617" s="223"/>
      <c r="K5617" s="319"/>
      <c r="L5617" s="218"/>
    </row>
    <row r="5618">
      <c r="B5618" s="223" t="s">
        <v>200</v>
      </c>
      <c r="C5618" s="223"/>
      <c r="K5618" s="319"/>
      <c r="L5618" s="218"/>
    </row>
    <row r="5619">
      <c r="B5619" s="223" t="s">
        <v>200</v>
      </c>
      <c r="C5619" s="223"/>
      <c r="K5619" s="319"/>
      <c r="L5619" s="218"/>
    </row>
    <row r="5620">
      <c r="B5620" s="223" t="s">
        <v>200</v>
      </c>
      <c r="C5620" s="223"/>
      <c r="K5620" s="319"/>
      <c r="L5620" s="218"/>
    </row>
    <row r="5621">
      <c r="B5621" s="223" t="s">
        <v>200</v>
      </c>
      <c r="C5621" s="223"/>
      <c r="K5621" s="319"/>
      <c r="L5621" s="218"/>
    </row>
    <row r="5622">
      <c r="B5622" s="223" t="s">
        <v>200</v>
      </c>
      <c r="C5622" s="223"/>
      <c r="K5622" s="319"/>
      <c r="L5622" s="218"/>
    </row>
    <row r="5623">
      <c r="B5623" s="223" t="s">
        <v>200</v>
      </c>
      <c r="C5623" s="223"/>
      <c r="K5623" s="319"/>
      <c r="L5623" s="218"/>
    </row>
    <row r="5624">
      <c r="B5624" s="223" t="s">
        <v>200</v>
      </c>
      <c r="C5624" s="223"/>
      <c r="K5624" s="319"/>
      <c r="L5624" s="218"/>
    </row>
    <row r="5625">
      <c r="B5625" s="223" t="s">
        <v>200</v>
      </c>
      <c r="C5625" s="223"/>
      <c r="K5625" s="319"/>
      <c r="L5625" s="218"/>
    </row>
    <row r="5626">
      <c r="B5626" s="223" t="s">
        <v>200</v>
      </c>
      <c r="C5626" s="223"/>
      <c r="K5626" s="319"/>
      <c r="L5626" s="218"/>
    </row>
    <row r="5627">
      <c r="B5627" s="223" t="s">
        <v>200</v>
      </c>
      <c r="C5627" s="223"/>
      <c r="K5627" s="319"/>
      <c r="L5627" s="218"/>
    </row>
    <row r="5628">
      <c r="B5628" s="223" t="s">
        <v>200</v>
      </c>
      <c r="C5628" s="223"/>
      <c r="K5628" s="319"/>
      <c r="L5628" s="218"/>
    </row>
    <row r="5629">
      <c r="B5629" s="223" t="s">
        <v>200</v>
      </c>
      <c r="C5629" s="223"/>
      <c r="K5629" s="319"/>
      <c r="L5629" s="218"/>
    </row>
    <row r="5630">
      <c r="B5630" s="223" t="s">
        <v>200</v>
      </c>
      <c r="C5630" s="223"/>
      <c r="K5630" s="319"/>
      <c r="L5630" s="218"/>
    </row>
    <row r="5631">
      <c r="B5631" s="223" t="s">
        <v>200</v>
      </c>
      <c r="C5631" s="223"/>
      <c r="K5631" s="319"/>
      <c r="L5631" s="218"/>
    </row>
    <row r="5632">
      <c r="B5632" s="223" t="s">
        <v>200</v>
      </c>
      <c r="C5632" s="223"/>
      <c r="K5632" s="319"/>
      <c r="L5632" s="218"/>
    </row>
    <row r="5633">
      <c r="B5633" s="223" t="s">
        <v>200</v>
      </c>
      <c r="C5633" s="223"/>
      <c r="K5633" s="319"/>
      <c r="L5633" s="218"/>
    </row>
    <row r="5634">
      <c r="B5634" s="223" t="s">
        <v>200</v>
      </c>
      <c r="C5634" s="223"/>
      <c r="K5634" s="319"/>
      <c r="L5634" s="218"/>
    </row>
    <row r="5635">
      <c r="B5635" s="223" t="s">
        <v>200</v>
      </c>
      <c r="C5635" s="223"/>
      <c r="K5635" s="319"/>
      <c r="L5635" s="218"/>
    </row>
    <row r="5636">
      <c r="B5636" s="223" t="s">
        <v>200</v>
      </c>
      <c r="C5636" s="223"/>
      <c r="K5636" s="319"/>
      <c r="L5636" s="218"/>
    </row>
    <row r="5637">
      <c r="B5637" s="223" t="s">
        <v>200</v>
      </c>
      <c r="C5637" s="223"/>
      <c r="K5637" s="319"/>
      <c r="L5637" s="218"/>
    </row>
    <row r="5638">
      <c r="B5638" s="223" t="s">
        <v>200</v>
      </c>
      <c r="C5638" s="223"/>
      <c r="K5638" s="319"/>
      <c r="L5638" s="218"/>
    </row>
    <row r="5639">
      <c r="B5639" s="223" t="s">
        <v>200</v>
      </c>
      <c r="C5639" s="223"/>
      <c r="K5639" s="319"/>
      <c r="L5639" s="218"/>
    </row>
    <row r="5640">
      <c r="B5640" s="223" t="s">
        <v>200</v>
      </c>
      <c r="C5640" s="223"/>
      <c r="K5640" s="319"/>
      <c r="L5640" s="218"/>
    </row>
    <row r="5641">
      <c r="B5641" s="223" t="s">
        <v>200</v>
      </c>
      <c r="C5641" s="223"/>
      <c r="K5641" s="319"/>
      <c r="L5641" s="218"/>
    </row>
    <row r="5642">
      <c r="B5642" s="223" t="s">
        <v>200</v>
      </c>
      <c r="C5642" s="223"/>
      <c r="K5642" s="319"/>
      <c r="L5642" s="218"/>
    </row>
    <row r="5643">
      <c r="B5643" s="223" t="s">
        <v>200</v>
      </c>
      <c r="C5643" s="223"/>
      <c r="K5643" s="319"/>
      <c r="L5643" s="218"/>
    </row>
    <row r="5644">
      <c r="B5644" s="223" t="s">
        <v>200</v>
      </c>
      <c r="C5644" s="223"/>
      <c r="K5644" s="319"/>
      <c r="L5644" s="218"/>
    </row>
    <row r="5645">
      <c r="B5645" s="223" t="s">
        <v>200</v>
      </c>
      <c r="C5645" s="223"/>
      <c r="K5645" s="319"/>
      <c r="L5645" s="218"/>
    </row>
    <row r="5646">
      <c r="B5646" s="223" t="s">
        <v>200</v>
      </c>
      <c r="C5646" s="223"/>
      <c r="K5646" s="319"/>
      <c r="L5646" s="218"/>
    </row>
    <row r="5647">
      <c r="B5647" s="223" t="s">
        <v>200</v>
      </c>
      <c r="C5647" s="223"/>
      <c r="K5647" s="319"/>
      <c r="L5647" s="218"/>
    </row>
    <row r="5648">
      <c r="B5648" s="223" t="s">
        <v>200</v>
      </c>
      <c r="C5648" s="223"/>
      <c r="K5648" s="319"/>
      <c r="L5648" s="218"/>
    </row>
    <row r="5649">
      <c r="B5649" s="223" t="s">
        <v>200</v>
      </c>
      <c r="C5649" s="223"/>
      <c r="K5649" s="319"/>
      <c r="L5649" s="218"/>
    </row>
    <row r="5650">
      <c r="B5650" s="223" t="s">
        <v>200</v>
      </c>
      <c r="C5650" s="223"/>
      <c r="K5650" s="319"/>
      <c r="L5650" s="218"/>
    </row>
    <row r="5651">
      <c r="B5651" s="223" t="s">
        <v>200</v>
      </c>
      <c r="C5651" s="223"/>
      <c r="K5651" s="319"/>
      <c r="L5651" s="218"/>
    </row>
    <row r="5652">
      <c r="B5652" s="223" t="s">
        <v>200</v>
      </c>
      <c r="C5652" s="223"/>
      <c r="K5652" s="319"/>
      <c r="L5652" s="218"/>
    </row>
    <row r="5653">
      <c r="B5653" s="223" t="s">
        <v>200</v>
      </c>
      <c r="C5653" s="223"/>
      <c r="K5653" s="319"/>
      <c r="L5653" s="218"/>
    </row>
    <row r="5654">
      <c r="B5654" s="223" t="s">
        <v>200</v>
      </c>
      <c r="C5654" s="223"/>
      <c r="K5654" s="319"/>
      <c r="L5654" s="218"/>
    </row>
    <row r="5655">
      <c r="B5655" s="223" t="s">
        <v>200</v>
      </c>
      <c r="C5655" s="223"/>
      <c r="K5655" s="319"/>
      <c r="L5655" s="218"/>
    </row>
    <row r="5656">
      <c r="B5656" s="223" t="s">
        <v>200</v>
      </c>
      <c r="C5656" s="223"/>
      <c r="K5656" s="319"/>
      <c r="L5656" s="218"/>
    </row>
    <row r="5657">
      <c r="B5657" s="223" t="s">
        <v>200</v>
      </c>
      <c r="C5657" s="223"/>
      <c r="K5657" s="319"/>
      <c r="L5657" s="218"/>
    </row>
    <row r="5658">
      <c r="B5658" s="223" t="s">
        <v>200</v>
      </c>
      <c r="C5658" s="223"/>
      <c r="K5658" s="319"/>
      <c r="L5658" s="218"/>
    </row>
    <row r="5659">
      <c r="B5659" s="223" t="s">
        <v>200</v>
      </c>
      <c r="C5659" s="223"/>
      <c r="K5659" s="319"/>
      <c r="L5659" s="218"/>
    </row>
    <row r="5660">
      <c r="B5660" s="223" t="s">
        <v>200</v>
      </c>
      <c r="C5660" s="223"/>
      <c r="K5660" s="319"/>
      <c r="L5660" s="218"/>
    </row>
    <row r="5661">
      <c r="B5661" s="223" t="s">
        <v>200</v>
      </c>
      <c r="C5661" s="223"/>
      <c r="K5661" s="319"/>
      <c r="L5661" s="218"/>
    </row>
    <row r="5662">
      <c r="B5662" s="223" t="s">
        <v>200</v>
      </c>
      <c r="C5662" s="223"/>
      <c r="K5662" s="319"/>
      <c r="L5662" s="218"/>
    </row>
    <row r="5663">
      <c r="B5663" s="223" t="s">
        <v>200</v>
      </c>
      <c r="C5663" s="223"/>
      <c r="K5663" s="319"/>
      <c r="L5663" s="218"/>
    </row>
    <row r="5664">
      <c r="B5664" s="223" t="s">
        <v>200</v>
      </c>
      <c r="C5664" s="223"/>
      <c r="K5664" s="319"/>
      <c r="L5664" s="218"/>
    </row>
    <row r="5665">
      <c r="B5665" s="223" t="s">
        <v>200</v>
      </c>
      <c r="C5665" s="223"/>
      <c r="K5665" s="319"/>
      <c r="L5665" s="218"/>
    </row>
    <row r="5666">
      <c r="B5666" s="223" t="s">
        <v>200</v>
      </c>
      <c r="C5666" s="223"/>
      <c r="K5666" s="319"/>
      <c r="L5666" s="218"/>
    </row>
    <row r="5667">
      <c r="B5667" s="223" t="s">
        <v>200</v>
      </c>
      <c r="C5667" s="223"/>
      <c r="K5667" s="319"/>
      <c r="L5667" s="218"/>
    </row>
    <row r="5668">
      <c r="B5668" s="223" t="s">
        <v>200</v>
      </c>
      <c r="C5668" s="223"/>
      <c r="K5668" s="319"/>
      <c r="L5668" s="218"/>
    </row>
    <row r="5669">
      <c r="B5669" s="223" t="s">
        <v>200</v>
      </c>
      <c r="C5669" s="223"/>
      <c r="K5669" s="319"/>
      <c r="L5669" s="218"/>
    </row>
    <row r="5670">
      <c r="B5670" s="223" t="s">
        <v>200</v>
      </c>
      <c r="C5670" s="223"/>
      <c r="K5670" s="319"/>
      <c r="L5670" s="218"/>
    </row>
    <row r="5671">
      <c r="B5671" s="223" t="s">
        <v>200</v>
      </c>
      <c r="C5671" s="223"/>
      <c r="K5671" s="319"/>
      <c r="L5671" s="218"/>
    </row>
    <row r="5672">
      <c r="B5672" s="223" t="s">
        <v>200</v>
      </c>
      <c r="C5672" s="223"/>
      <c r="K5672" s="319"/>
      <c r="L5672" s="218"/>
    </row>
    <row r="5673">
      <c r="B5673" s="223" t="s">
        <v>200</v>
      </c>
      <c r="C5673" s="223"/>
      <c r="K5673" s="319"/>
      <c r="L5673" s="218"/>
    </row>
    <row r="5674">
      <c r="B5674" s="223" t="s">
        <v>200</v>
      </c>
      <c r="C5674" s="223"/>
      <c r="K5674" s="319"/>
      <c r="L5674" s="218"/>
    </row>
    <row r="5675">
      <c r="B5675" s="223" t="s">
        <v>200</v>
      </c>
      <c r="C5675" s="223"/>
      <c r="K5675" s="319"/>
      <c r="L5675" s="218"/>
    </row>
    <row r="5676">
      <c r="B5676" s="223" t="s">
        <v>200</v>
      </c>
      <c r="C5676" s="223"/>
      <c r="K5676" s="319"/>
      <c r="L5676" s="218"/>
    </row>
    <row r="5677">
      <c r="B5677" s="223" t="s">
        <v>200</v>
      </c>
      <c r="C5677" s="223"/>
      <c r="K5677" s="319"/>
      <c r="L5677" s="218"/>
    </row>
    <row r="5678">
      <c r="B5678" s="223" t="s">
        <v>200</v>
      </c>
      <c r="C5678" s="223"/>
      <c r="K5678" s="319"/>
      <c r="L5678" s="218"/>
    </row>
    <row r="5679">
      <c r="B5679" s="223" t="s">
        <v>200</v>
      </c>
      <c r="C5679" s="223"/>
      <c r="K5679" s="319"/>
      <c r="L5679" s="218"/>
    </row>
    <row r="5680">
      <c r="B5680" s="223" t="s">
        <v>200</v>
      </c>
      <c r="C5680" s="223"/>
      <c r="K5680" s="319"/>
      <c r="L5680" s="218"/>
    </row>
    <row r="5681">
      <c r="B5681" s="223" t="s">
        <v>200</v>
      </c>
      <c r="C5681" s="223"/>
      <c r="K5681" s="319"/>
      <c r="L5681" s="218"/>
    </row>
    <row r="5682">
      <c r="B5682" s="223" t="s">
        <v>200</v>
      </c>
      <c r="C5682" s="223"/>
      <c r="K5682" s="319"/>
      <c r="L5682" s="218"/>
    </row>
    <row r="5683">
      <c r="B5683" s="223" t="s">
        <v>200</v>
      </c>
      <c r="C5683" s="223"/>
      <c r="K5683" s="319"/>
      <c r="L5683" s="218"/>
    </row>
    <row r="5684">
      <c r="B5684" s="223" t="s">
        <v>200</v>
      </c>
      <c r="C5684" s="223"/>
      <c r="K5684" s="319"/>
      <c r="L5684" s="218"/>
    </row>
    <row r="5685">
      <c r="B5685" s="223" t="s">
        <v>200</v>
      </c>
      <c r="C5685" s="223"/>
      <c r="K5685" s="319"/>
      <c r="L5685" s="218"/>
    </row>
    <row r="5686">
      <c r="B5686" s="223" t="s">
        <v>200</v>
      </c>
      <c r="C5686" s="223"/>
      <c r="K5686" s="319"/>
      <c r="L5686" s="218"/>
    </row>
    <row r="5687">
      <c r="B5687" s="223" t="s">
        <v>200</v>
      </c>
      <c r="C5687" s="223"/>
      <c r="K5687" s="319"/>
      <c r="L5687" s="218"/>
    </row>
    <row r="5688">
      <c r="B5688" s="223" t="s">
        <v>200</v>
      </c>
      <c r="C5688" s="223"/>
      <c r="K5688" s="319"/>
      <c r="L5688" s="218"/>
    </row>
    <row r="5689">
      <c r="B5689" s="223" t="s">
        <v>200</v>
      </c>
      <c r="C5689" s="223"/>
      <c r="K5689" s="319"/>
      <c r="L5689" s="218"/>
    </row>
    <row r="5690">
      <c r="B5690" s="223" t="s">
        <v>200</v>
      </c>
      <c r="C5690" s="223"/>
      <c r="K5690" s="319"/>
      <c r="L5690" s="218"/>
    </row>
    <row r="5691">
      <c r="B5691" s="223" t="s">
        <v>200</v>
      </c>
      <c r="C5691" s="223"/>
      <c r="K5691" s="319"/>
      <c r="L5691" s="218"/>
    </row>
    <row r="5692">
      <c r="B5692" s="223" t="s">
        <v>200</v>
      </c>
      <c r="C5692" s="223"/>
      <c r="K5692" s="319"/>
      <c r="L5692" s="218"/>
    </row>
    <row r="5693">
      <c r="B5693" s="223" t="s">
        <v>200</v>
      </c>
      <c r="C5693" s="223"/>
      <c r="K5693" s="319"/>
      <c r="L5693" s="218"/>
    </row>
    <row r="5694">
      <c r="B5694" s="223" t="s">
        <v>200</v>
      </c>
      <c r="C5694" s="223"/>
      <c r="K5694" s="319"/>
      <c r="L5694" s="218"/>
    </row>
    <row r="5695">
      <c r="B5695" s="223" t="s">
        <v>200</v>
      </c>
      <c r="C5695" s="223"/>
      <c r="K5695" s="319"/>
      <c r="L5695" s="218"/>
    </row>
    <row r="5696">
      <c r="B5696" s="223" t="s">
        <v>200</v>
      </c>
      <c r="C5696" s="223"/>
      <c r="K5696" s="319"/>
      <c r="L5696" s="218"/>
    </row>
    <row r="5697">
      <c r="B5697" s="223" t="s">
        <v>200</v>
      </c>
      <c r="C5697" s="223"/>
      <c r="K5697" s="319"/>
      <c r="L5697" s="218"/>
    </row>
    <row r="5698">
      <c r="B5698" s="223" t="s">
        <v>200</v>
      </c>
      <c r="C5698" s="223"/>
      <c r="K5698" s="319"/>
      <c r="L5698" s="218"/>
    </row>
    <row r="5699">
      <c r="B5699" s="223" t="s">
        <v>200</v>
      </c>
      <c r="C5699" s="223"/>
      <c r="K5699" s="319"/>
      <c r="L5699" s="218"/>
    </row>
    <row r="5700">
      <c r="B5700" s="223" t="s">
        <v>200</v>
      </c>
      <c r="C5700" s="223"/>
      <c r="K5700" s="319"/>
      <c r="L5700" s="218"/>
    </row>
    <row r="5701">
      <c r="B5701" s="223" t="s">
        <v>200</v>
      </c>
      <c r="C5701" s="223"/>
      <c r="K5701" s="319"/>
      <c r="L5701" s="218"/>
    </row>
    <row r="5702">
      <c r="B5702" s="223" t="s">
        <v>200</v>
      </c>
      <c r="C5702" s="223"/>
      <c r="K5702" s="319"/>
      <c r="L5702" s="218"/>
    </row>
    <row r="5703">
      <c r="B5703" s="223" t="s">
        <v>200</v>
      </c>
      <c r="C5703" s="223"/>
      <c r="K5703" s="319"/>
      <c r="L5703" s="218"/>
    </row>
    <row r="5704">
      <c r="B5704" s="223" t="s">
        <v>200</v>
      </c>
      <c r="C5704" s="223"/>
      <c r="K5704" s="319"/>
      <c r="L5704" s="218"/>
    </row>
    <row r="5705">
      <c r="B5705" s="223" t="s">
        <v>200</v>
      </c>
      <c r="C5705" s="223"/>
      <c r="K5705" s="319"/>
      <c r="L5705" s="218"/>
    </row>
    <row r="5706">
      <c r="B5706" s="223" t="s">
        <v>200</v>
      </c>
      <c r="C5706" s="223"/>
      <c r="K5706" s="319"/>
      <c r="L5706" s="218"/>
    </row>
    <row r="5707">
      <c r="B5707" s="223" t="s">
        <v>200</v>
      </c>
      <c r="C5707" s="223"/>
      <c r="K5707" s="319"/>
      <c r="L5707" s="218"/>
    </row>
    <row r="5708">
      <c r="B5708" s="223" t="s">
        <v>200</v>
      </c>
      <c r="C5708" s="223"/>
      <c r="K5708" s="319"/>
      <c r="L5708" s="218"/>
    </row>
    <row r="5709">
      <c r="B5709" s="223" t="s">
        <v>200</v>
      </c>
      <c r="C5709" s="223"/>
      <c r="K5709" s="319"/>
      <c r="L5709" s="218"/>
    </row>
    <row r="5710">
      <c r="B5710" s="223" t="s">
        <v>200</v>
      </c>
      <c r="C5710" s="223"/>
      <c r="K5710" s="319"/>
      <c r="L5710" s="218"/>
    </row>
    <row r="5711">
      <c r="B5711" s="223" t="s">
        <v>200</v>
      </c>
      <c r="C5711" s="223"/>
      <c r="K5711" s="319"/>
      <c r="L5711" s="218"/>
    </row>
    <row r="5712">
      <c r="B5712" s="223" t="s">
        <v>200</v>
      </c>
      <c r="C5712" s="223"/>
      <c r="K5712" s="319"/>
      <c r="L5712" s="218"/>
    </row>
    <row r="5713">
      <c r="B5713" s="223" t="s">
        <v>200</v>
      </c>
      <c r="C5713" s="223"/>
      <c r="K5713" s="319"/>
      <c r="L5713" s="218"/>
    </row>
    <row r="5714">
      <c r="B5714" s="223" t="s">
        <v>200</v>
      </c>
      <c r="C5714" s="223"/>
      <c r="K5714" s="319"/>
      <c r="L5714" s="218"/>
    </row>
    <row r="5715">
      <c r="B5715" s="223" t="s">
        <v>200</v>
      </c>
      <c r="C5715" s="223"/>
      <c r="K5715" s="319"/>
      <c r="L5715" s="218"/>
    </row>
    <row r="5716">
      <c r="B5716" s="223" t="s">
        <v>200</v>
      </c>
      <c r="C5716" s="223"/>
      <c r="K5716" s="319"/>
      <c r="L5716" s="218"/>
    </row>
    <row r="5717">
      <c r="B5717" s="223" t="s">
        <v>200</v>
      </c>
      <c r="C5717" s="223"/>
      <c r="K5717" s="319"/>
      <c r="L5717" s="218"/>
    </row>
    <row r="5718">
      <c r="B5718" s="223" t="s">
        <v>200</v>
      </c>
      <c r="C5718" s="223"/>
      <c r="K5718" s="319"/>
      <c r="L5718" s="218"/>
    </row>
    <row r="5719">
      <c r="B5719" s="223" t="s">
        <v>200</v>
      </c>
      <c r="C5719" s="223"/>
      <c r="K5719" s="319"/>
      <c r="L5719" s="218"/>
    </row>
    <row r="5720">
      <c r="B5720" s="223" t="s">
        <v>200</v>
      </c>
      <c r="C5720" s="223"/>
      <c r="K5720" s="319"/>
      <c r="L5720" s="218"/>
    </row>
    <row r="5721">
      <c r="B5721" s="223" t="s">
        <v>200</v>
      </c>
      <c r="C5721" s="223"/>
      <c r="K5721" s="319"/>
      <c r="L5721" s="218"/>
    </row>
    <row r="5722">
      <c r="B5722" s="223" t="s">
        <v>200</v>
      </c>
      <c r="C5722" s="223"/>
      <c r="K5722" s="319"/>
      <c r="L5722" s="218"/>
    </row>
    <row r="5723">
      <c r="B5723" s="223" t="s">
        <v>200</v>
      </c>
      <c r="C5723" s="223"/>
      <c r="K5723" s="319"/>
      <c r="L5723" s="218"/>
    </row>
    <row r="5724">
      <c r="B5724" s="223" t="s">
        <v>200</v>
      </c>
      <c r="C5724" s="223"/>
      <c r="K5724" s="319"/>
      <c r="L5724" s="218"/>
    </row>
    <row r="5725">
      <c r="B5725" s="223" t="s">
        <v>200</v>
      </c>
      <c r="C5725" s="223"/>
      <c r="K5725" s="319"/>
      <c r="L5725" s="218"/>
    </row>
    <row r="5726">
      <c r="B5726" s="223" t="s">
        <v>200</v>
      </c>
      <c r="C5726" s="223"/>
      <c r="K5726" s="319"/>
      <c r="L5726" s="218"/>
    </row>
    <row r="5727">
      <c r="B5727" s="223" t="s">
        <v>200</v>
      </c>
      <c r="C5727" s="223"/>
      <c r="K5727" s="319"/>
      <c r="L5727" s="218"/>
    </row>
    <row r="5728">
      <c r="B5728" s="223" t="s">
        <v>200</v>
      </c>
      <c r="C5728" s="223"/>
      <c r="K5728" s="319"/>
      <c r="L5728" s="218"/>
    </row>
    <row r="5729">
      <c r="B5729" s="223" t="s">
        <v>200</v>
      </c>
      <c r="C5729" s="223"/>
      <c r="K5729" s="319"/>
      <c r="L5729" s="218"/>
    </row>
    <row r="5730">
      <c r="B5730" s="223" t="s">
        <v>200</v>
      </c>
      <c r="C5730" s="223"/>
      <c r="K5730" s="319"/>
      <c r="L5730" s="218"/>
    </row>
    <row r="5731">
      <c r="B5731" s="223" t="s">
        <v>200</v>
      </c>
      <c r="C5731" s="223"/>
      <c r="K5731" s="319"/>
      <c r="L5731" s="218"/>
    </row>
    <row r="5732">
      <c r="B5732" s="223" t="s">
        <v>200</v>
      </c>
      <c r="C5732" s="223"/>
      <c r="K5732" s="319"/>
      <c r="L5732" s="218"/>
    </row>
    <row r="5733">
      <c r="B5733" s="223" t="s">
        <v>200</v>
      </c>
      <c r="C5733" s="223"/>
      <c r="K5733" s="319"/>
      <c r="L5733" s="218"/>
    </row>
    <row r="5734">
      <c r="B5734" s="223" t="s">
        <v>200</v>
      </c>
      <c r="C5734" s="223"/>
      <c r="K5734" s="319"/>
      <c r="L5734" s="218"/>
    </row>
    <row r="5735">
      <c r="B5735" s="223" t="s">
        <v>200</v>
      </c>
      <c r="C5735" s="223"/>
      <c r="K5735" s="319"/>
      <c r="L5735" s="218"/>
    </row>
    <row r="5736">
      <c r="B5736" s="223" t="s">
        <v>200</v>
      </c>
      <c r="C5736" s="223"/>
      <c r="K5736" s="319"/>
      <c r="L5736" s="218"/>
    </row>
    <row r="5737">
      <c r="B5737" s="223" t="s">
        <v>200</v>
      </c>
      <c r="C5737" s="223"/>
      <c r="K5737" s="319"/>
      <c r="L5737" s="218"/>
    </row>
    <row r="5738">
      <c r="B5738" s="223" t="s">
        <v>200</v>
      </c>
      <c r="C5738" s="223"/>
      <c r="K5738" s="319"/>
      <c r="L5738" s="218"/>
    </row>
    <row r="5739">
      <c r="B5739" s="223" t="s">
        <v>200</v>
      </c>
      <c r="C5739" s="223"/>
      <c r="K5739" s="319"/>
      <c r="L5739" s="218"/>
    </row>
    <row r="5740">
      <c r="B5740" s="223" t="s">
        <v>200</v>
      </c>
      <c r="C5740" s="223"/>
      <c r="K5740" s="319"/>
      <c r="L5740" s="218"/>
    </row>
    <row r="5741">
      <c r="B5741" s="223" t="s">
        <v>200</v>
      </c>
      <c r="C5741" s="223"/>
      <c r="K5741" s="319"/>
      <c r="L5741" s="218"/>
    </row>
    <row r="5742">
      <c r="B5742" s="223" t="s">
        <v>200</v>
      </c>
      <c r="C5742" s="223"/>
      <c r="K5742" s="319"/>
      <c r="L5742" s="218"/>
    </row>
    <row r="5743">
      <c r="B5743" s="223" t="s">
        <v>200</v>
      </c>
      <c r="C5743" s="223"/>
      <c r="K5743" s="319"/>
      <c r="L5743" s="218"/>
    </row>
    <row r="5744">
      <c r="B5744" s="223" t="s">
        <v>200</v>
      </c>
      <c r="C5744" s="223"/>
      <c r="K5744" s="319"/>
      <c r="L5744" s="218"/>
    </row>
    <row r="5745">
      <c r="B5745" s="223" t="s">
        <v>200</v>
      </c>
      <c r="C5745" s="223"/>
      <c r="K5745" s="319"/>
      <c r="L5745" s="218"/>
    </row>
    <row r="5746">
      <c r="B5746" s="223" t="s">
        <v>200</v>
      </c>
      <c r="C5746" s="223"/>
      <c r="K5746" s="319"/>
      <c r="L5746" s="218"/>
    </row>
    <row r="5747">
      <c r="B5747" s="223" t="s">
        <v>200</v>
      </c>
      <c r="C5747" s="223"/>
      <c r="K5747" s="319"/>
      <c r="L5747" s="218"/>
    </row>
    <row r="5748">
      <c r="B5748" s="223" t="s">
        <v>200</v>
      </c>
      <c r="C5748" s="223"/>
      <c r="K5748" s="319"/>
      <c r="L5748" s="218"/>
    </row>
    <row r="5749">
      <c r="B5749" s="223" t="s">
        <v>200</v>
      </c>
      <c r="C5749" s="223"/>
      <c r="K5749" s="319"/>
      <c r="L5749" s="218"/>
    </row>
    <row r="5750">
      <c r="B5750" s="223" t="s">
        <v>200</v>
      </c>
      <c r="C5750" s="223"/>
      <c r="K5750" s="319"/>
      <c r="L5750" s="218"/>
    </row>
    <row r="5751">
      <c r="B5751" s="223" t="s">
        <v>200</v>
      </c>
      <c r="C5751" s="223"/>
      <c r="K5751" s="319"/>
      <c r="L5751" s="218"/>
    </row>
    <row r="5752">
      <c r="B5752" s="223" t="s">
        <v>200</v>
      </c>
      <c r="C5752" s="223"/>
      <c r="K5752" s="319"/>
      <c r="L5752" s="218"/>
    </row>
    <row r="5753">
      <c r="B5753" s="223" t="s">
        <v>200</v>
      </c>
      <c r="C5753" s="223"/>
      <c r="K5753" s="319"/>
      <c r="L5753" s="218"/>
    </row>
    <row r="5754">
      <c r="B5754" s="223" t="s">
        <v>200</v>
      </c>
      <c r="C5754" s="223"/>
      <c r="K5754" s="319"/>
      <c r="L5754" s="218"/>
    </row>
    <row r="5755">
      <c r="B5755" s="223" t="s">
        <v>200</v>
      </c>
      <c r="C5755" s="223"/>
      <c r="K5755" s="319"/>
      <c r="L5755" s="218"/>
    </row>
    <row r="5756">
      <c r="B5756" s="223" t="s">
        <v>200</v>
      </c>
      <c r="C5756" s="223"/>
      <c r="K5756" s="319"/>
      <c r="L5756" s="218"/>
    </row>
    <row r="5757">
      <c r="B5757" s="223" t="s">
        <v>200</v>
      </c>
      <c r="C5757" s="223"/>
      <c r="K5757" s="319"/>
      <c r="L5757" s="218"/>
    </row>
    <row r="5758">
      <c r="B5758" s="223" t="s">
        <v>200</v>
      </c>
      <c r="C5758" s="223"/>
      <c r="K5758" s="319"/>
      <c r="L5758" s="218"/>
    </row>
    <row r="5759">
      <c r="B5759" s="223" t="s">
        <v>200</v>
      </c>
      <c r="C5759" s="223"/>
      <c r="K5759" s="319"/>
      <c r="L5759" s="218"/>
    </row>
    <row r="5760">
      <c r="B5760" s="223" t="s">
        <v>200</v>
      </c>
      <c r="C5760" s="223"/>
      <c r="K5760" s="319"/>
      <c r="L5760" s="218"/>
    </row>
    <row r="5761">
      <c r="B5761" s="223" t="s">
        <v>200</v>
      </c>
      <c r="C5761" s="223"/>
      <c r="K5761" s="319"/>
      <c r="L5761" s="218"/>
    </row>
    <row r="5762">
      <c r="B5762" s="223" t="s">
        <v>200</v>
      </c>
      <c r="C5762" s="223"/>
      <c r="K5762" s="319"/>
      <c r="L5762" s="218"/>
    </row>
    <row r="5763">
      <c r="B5763" s="223" t="s">
        <v>200</v>
      </c>
      <c r="C5763" s="223"/>
      <c r="K5763" s="319"/>
      <c r="L5763" s="218"/>
    </row>
    <row r="5764">
      <c r="B5764" s="223" t="s">
        <v>200</v>
      </c>
      <c r="C5764" s="223"/>
      <c r="K5764" s="319"/>
      <c r="L5764" s="218"/>
    </row>
    <row r="5765">
      <c r="B5765" s="223" t="s">
        <v>200</v>
      </c>
      <c r="C5765" s="223"/>
      <c r="K5765" s="319"/>
      <c r="L5765" s="218"/>
    </row>
    <row r="5766">
      <c r="B5766" s="223" t="s">
        <v>200</v>
      </c>
      <c r="C5766" s="223"/>
      <c r="K5766" s="319"/>
      <c r="L5766" s="218"/>
    </row>
    <row r="5767">
      <c r="B5767" s="223" t="s">
        <v>200</v>
      </c>
      <c r="C5767" s="223"/>
      <c r="K5767" s="319"/>
      <c r="L5767" s="218"/>
    </row>
    <row r="5768">
      <c r="B5768" s="223" t="s">
        <v>200</v>
      </c>
      <c r="C5768" s="223"/>
      <c r="K5768" s="319"/>
      <c r="L5768" s="218"/>
    </row>
    <row r="5769">
      <c r="B5769" s="223" t="s">
        <v>200</v>
      </c>
      <c r="C5769" s="223"/>
      <c r="K5769" s="319"/>
      <c r="L5769" s="218"/>
    </row>
    <row r="5770">
      <c r="B5770" s="223" t="s">
        <v>200</v>
      </c>
      <c r="C5770" s="223"/>
      <c r="K5770" s="319"/>
      <c r="L5770" s="218"/>
    </row>
    <row r="5771">
      <c r="B5771" s="223" t="s">
        <v>200</v>
      </c>
      <c r="C5771" s="223"/>
      <c r="K5771" s="319"/>
      <c r="L5771" s="218"/>
    </row>
    <row r="5772">
      <c r="B5772" s="223" t="s">
        <v>200</v>
      </c>
      <c r="C5772" s="223"/>
      <c r="K5772" s="319"/>
      <c r="L5772" s="218"/>
    </row>
    <row r="5773">
      <c r="B5773" s="223" t="s">
        <v>200</v>
      </c>
      <c r="C5773" s="223"/>
      <c r="K5773" s="319"/>
      <c r="L5773" s="218"/>
    </row>
    <row r="5774">
      <c r="B5774" s="223" t="s">
        <v>200</v>
      </c>
      <c r="C5774" s="223"/>
      <c r="K5774" s="319"/>
      <c r="L5774" s="218"/>
    </row>
    <row r="5775">
      <c r="B5775" s="223" t="s">
        <v>200</v>
      </c>
      <c r="C5775" s="223"/>
      <c r="K5775" s="319"/>
      <c r="L5775" s="218"/>
    </row>
    <row r="5776">
      <c r="B5776" s="223" t="s">
        <v>200</v>
      </c>
      <c r="C5776" s="223"/>
      <c r="K5776" s="319"/>
      <c r="L5776" s="218"/>
    </row>
    <row r="5777">
      <c r="B5777" s="223" t="s">
        <v>200</v>
      </c>
      <c r="C5777" s="223"/>
      <c r="K5777" s="319"/>
      <c r="L5777" s="218"/>
    </row>
    <row r="5778">
      <c r="B5778" s="223" t="s">
        <v>200</v>
      </c>
      <c r="C5778" s="223"/>
      <c r="K5778" s="319"/>
      <c r="L5778" s="218"/>
    </row>
    <row r="5779">
      <c r="B5779" s="223" t="s">
        <v>200</v>
      </c>
      <c r="C5779" s="223"/>
      <c r="K5779" s="319"/>
      <c r="L5779" s="218"/>
    </row>
    <row r="5780">
      <c r="B5780" s="223" t="s">
        <v>200</v>
      </c>
      <c r="C5780" s="223"/>
      <c r="K5780" s="319"/>
      <c r="L5780" s="218"/>
    </row>
    <row r="5781">
      <c r="B5781" s="223" t="s">
        <v>200</v>
      </c>
      <c r="C5781" s="223"/>
      <c r="K5781" s="319"/>
      <c r="L5781" s="218"/>
    </row>
    <row r="5782">
      <c r="B5782" s="223" t="s">
        <v>200</v>
      </c>
      <c r="C5782" s="223"/>
      <c r="K5782" s="319"/>
      <c r="L5782" s="218"/>
    </row>
    <row r="5783">
      <c r="B5783" s="223" t="s">
        <v>200</v>
      </c>
      <c r="C5783" s="223"/>
      <c r="K5783" s="319"/>
      <c r="L5783" s="218"/>
    </row>
    <row r="5784">
      <c r="B5784" s="223" t="s">
        <v>200</v>
      </c>
      <c r="C5784" s="223"/>
      <c r="K5784" s="319"/>
      <c r="L5784" s="218"/>
    </row>
    <row r="5785">
      <c r="B5785" s="223" t="s">
        <v>200</v>
      </c>
      <c r="C5785" s="223"/>
      <c r="K5785" s="319"/>
      <c r="L5785" s="218"/>
    </row>
    <row r="5786">
      <c r="B5786" s="223" t="s">
        <v>200</v>
      </c>
      <c r="C5786" s="223"/>
      <c r="K5786" s="319"/>
      <c r="L5786" s="218"/>
    </row>
    <row r="5787">
      <c r="B5787" s="223" t="s">
        <v>200</v>
      </c>
      <c r="C5787" s="223"/>
      <c r="K5787" s="319"/>
      <c r="L5787" s="218"/>
    </row>
    <row r="5788">
      <c r="B5788" s="223" t="s">
        <v>200</v>
      </c>
      <c r="C5788" s="223"/>
      <c r="K5788" s="319"/>
      <c r="L5788" s="218"/>
    </row>
    <row r="5789">
      <c r="B5789" s="223" t="s">
        <v>200</v>
      </c>
      <c r="C5789" s="223"/>
      <c r="K5789" s="319"/>
      <c r="L5789" s="218"/>
    </row>
    <row r="5790">
      <c r="B5790" s="223" t="s">
        <v>200</v>
      </c>
      <c r="C5790" s="223"/>
      <c r="K5790" s="319"/>
      <c r="L5790" s="218"/>
    </row>
    <row r="5791">
      <c r="B5791" s="223" t="s">
        <v>200</v>
      </c>
      <c r="C5791" s="223"/>
      <c r="K5791" s="319"/>
      <c r="L5791" s="218"/>
    </row>
    <row r="5792">
      <c r="B5792" s="223" t="s">
        <v>200</v>
      </c>
      <c r="C5792" s="223"/>
      <c r="K5792" s="319"/>
      <c r="L5792" s="218"/>
    </row>
    <row r="5793">
      <c r="B5793" s="223" t="s">
        <v>200</v>
      </c>
      <c r="C5793" s="223"/>
      <c r="K5793" s="319"/>
      <c r="L5793" s="218"/>
    </row>
    <row r="5794">
      <c r="B5794" s="223" t="s">
        <v>200</v>
      </c>
      <c r="C5794" s="223"/>
      <c r="K5794" s="319"/>
      <c r="L5794" s="218"/>
    </row>
    <row r="5795">
      <c r="B5795" s="223" t="s">
        <v>200</v>
      </c>
      <c r="C5795" s="223"/>
      <c r="K5795" s="319"/>
      <c r="L5795" s="218"/>
    </row>
    <row r="5796">
      <c r="B5796" s="223" t="s">
        <v>200</v>
      </c>
      <c r="C5796" s="223"/>
      <c r="K5796" s="319"/>
      <c r="L5796" s="218"/>
    </row>
    <row r="5797">
      <c r="B5797" s="223" t="s">
        <v>200</v>
      </c>
      <c r="C5797" s="223"/>
      <c r="K5797" s="319"/>
      <c r="L5797" s="218"/>
    </row>
    <row r="5798">
      <c r="B5798" s="223" t="s">
        <v>200</v>
      </c>
      <c r="C5798" s="223"/>
      <c r="K5798" s="319"/>
      <c r="L5798" s="218"/>
    </row>
    <row r="5799">
      <c r="B5799" s="223" t="s">
        <v>200</v>
      </c>
      <c r="C5799" s="223"/>
      <c r="K5799" s="319"/>
      <c r="L5799" s="218"/>
    </row>
    <row r="5800">
      <c r="B5800" s="223" t="s">
        <v>200</v>
      </c>
      <c r="C5800" s="223"/>
      <c r="K5800" s="319"/>
      <c r="L5800" s="218"/>
    </row>
    <row r="5801">
      <c r="B5801" s="223" t="s">
        <v>200</v>
      </c>
      <c r="C5801" s="223"/>
      <c r="K5801" s="319"/>
      <c r="L5801" s="218"/>
    </row>
    <row r="5802">
      <c r="B5802" s="223" t="s">
        <v>200</v>
      </c>
      <c r="C5802" s="223"/>
      <c r="K5802" s="319"/>
      <c r="L5802" s="218"/>
    </row>
    <row r="5803">
      <c r="B5803" s="223" t="s">
        <v>200</v>
      </c>
      <c r="C5803" s="223"/>
      <c r="K5803" s="319"/>
      <c r="L5803" s="218"/>
    </row>
    <row r="5804">
      <c r="B5804" s="223" t="s">
        <v>200</v>
      </c>
      <c r="C5804" s="223"/>
      <c r="K5804" s="319"/>
      <c r="L5804" s="218"/>
    </row>
    <row r="5805">
      <c r="B5805" s="223" t="s">
        <v>200</v>
      </c>
      <c r="C5805" s="223"/>
      <c r="K5805" s="319"/>
      <c r="L5805" s="218"/>
    </row>
    <row r="5806">
      <c r="B5806" s="223" t="s">
        <v>200</v>
      </c>
      <c r="C5806" s="223"/>
      <c r="K5806" s="319"/>
      <c r="L5806" s="218"/>
    </row>
    <row r="5807">
      <c r="B5807" s="223" t="s">
        <v>200</v>
      </c>
      <c r="C5807" s="223"/>
      <c r="K5807" s="319"/>
      <c r="L5807" s="218"/>
    </row>
    <row r="5808">
      <c r="B5808" s="223" t="s">
        <v>200</v>
      </c>
      <c r="C5808" s="223"/>
      <c r="K5808" s="319"/>
      <c r="L5808" s="218"/>
    </row>
    <row r="5809">
      <c r="B5809" s="223" t="s">
        <v>200</v>
      </c>
      <c r="C5809" s="223"/>
      <c r="K5809" s="319"/>
      <c r="L5809" s="218"/>
    </row>
    <row r="5810">
      <c r="B5810" s="223" t="s">
        <v>200</v>
      </c>
      <c r="C5810" s="223"/>
      <c r="K5810" s="319"/>
      <c r="L5810" s="218"/>
    </row>
    <row r="5811">
      <c r="B5811" s="223" t="s">
        <v>200</v>
      </c>
      <c r="C5811" s="223"/>
      <c r="K5811" s="319"/>
      <c r="L5811" s="218"/>
    </row>
    <row r="5812">
      <c r="B5812" s="223" t="s">
        <v>200</v>
      </c>
      <c r="C5812" s="223"/>
      <c r="K5812" s="319"/>
      <c r="L5812" s="218"/>
    </row>
    <row r="5813">
      <c r="B5813" s="223" t="s">
        <v>200</v>
      </c>
      <c r="C5813" s="223"/>
      <c r="K5813" s="319"/>
      <c r="L5813" s="218"/>
    </row>
    <row r="5814">
      <c r="B5814" s="223" t="s">
        <v>200</v>
      </c>
      <c r="C5814" s="223"/>
      <c r="K5814" s="319"/>
      <c r="L5814" s="218"/>
    </row>
    <row r="5815">
      <c r="B5815" s="223" t="s">
        <v>200</v>
      </c>
      <c r="C5815" s="223"/>
      <c r="K5815" s="319"/>
      <c r="L5815" s="218"/>
    </row>
    <row r="5816">
      <c r="B5816" s="223" t="s">
        <v>200</v>
      </c>
      <c r="C5816" s="223"/>
      <c r="K5816" s="319"/>
      <c r="L5816" s="218"/>
    </row>
    <row r="5817">
      <c r="B5817" s="223" t="s">
        <v>200</v>
      </c>
      <c r="C5817" s="223"/>
      <c r="K5817" s="319"/>
      <c r="L5817" s="218"/>
    </row>
    <row r="5818">
      <c r="B5818" s="223" t="s">
        <v>200</v>
      </c>
      <c r="C5818" s="223"/>
      <c r="K5818" s="319"/>
      <c r="L5818" s="218"/>
    </row>
    <row r="5819">
      <c r="B5819" s="223" t="s">
        <v>200</v>
      </c>
      <c r="C5819" s="223"/>
      <c r="K5819" s="319"/>
      <c r="L5819" s="218"/>
    </row>
    <row r="5820">
      <c r="B5820" s="223" t="s">
        <v>200</v>
      </c>
      <c r="C5820" s="223"/>
      <c r="K5820" s="319"/>
      <c r="L5820" s="218"/>
    </row>
    <row r="5821">
      <c r="B5821" s="223" t="s">
        <v>200</v>
      </c>
      <c r="C5821" s="223"/>
      <c r="K5821" s="319"/>
      <c r="L5821" s="218"/>
    </row>
    <row r="5822">
      <c r="B5822" s="223" t="s">
        <v>200</v>
      </c>
      <c r="C5822" s="223"/>
      <c r="K5822" s="319"/>
      <c r="L5822" s="218"/>
    </row>
    <row r="5823">
      <c r="B5823" s="223" t="s">
        <v>200</v>
      </c>
      <c r="C5823" s="223"/>
      <c r="K5823" s="319"/>
      <c r="L5823" s="218"/>
    </row>
    <row r="5824">
      <c r="B5824" s="223" t="s">
        <v>200</v>
      </c>
      <c r="C5824" s="223"/>
      <c r="K5824" s="319"/>
      <c r="L5824" s="218"/>
    </row>
    <row r="5825">
      <c r="B5825" s="223" t="s">
        <v>200</v>
      </c>
      <c r="C5825" s="223"/>
      <c r="K5825" s="319"/>
      <c r="L5825" s="218"/>
    </row>
    <row r="5826">
      <c r="B5826" s="223" t="s">
        <v>200</v>
      </c>
      <c r="C5826" s="223"/>
      <c r="K5826" s="319"/>
      <c r="L5826" s="218"/>
    </row>
    <row r="5827">
      <c r="B5827" s="223" t="s">
        <v>200</v>
      </c>
      <c r="C5827" s="223"/>
      <c r="K5827" s="319"/>
      <c r="L5827" s="218"/>
    </row>
    <row r="5828">
      <c r="B5828" s="223" t="s">
        <v>200</v>
      </c>
      <c r="C5828" s="223"/>
      <c r="K5828" s="319"/>
      <c r="L5828" s="218"/>
    </row>
    <row r="5829">
      <c r="B5829" s="223" t="s">
        <v>200</v>
      </c>
      <c r="C5829" s="223"/>
      <c r="K5829" s="319"/>
      <c r="L5829" s="218"/>
    </row>
    <row r="5830">
      <c r="B5830" s="223" t="s">
        <v>200</v>
      </c>
      <c r="C5830" s="223"/>
      <c r="K5830" s="319"/>
      <c r="L5830" s="218"/>
    </row>
    <row r="5831">
      <c r="B5831" s="223" t="s">
        <v>200</v>
      </c>
      <c r="C5831" s="223"/>
      <c r="K5831" s="319"/>
      <c r="L5831" s="218"/>
    </row>
    <row r="5832">
      <c r="B5832" s="223" t="s">
        <v>200</v>
      </c>
      <c r="C5832" s="223"/>
      <c r="K5832" s="319"/>
      <c r="L5832" s="218"/>
    </row>
    <row r="5833">
      <c r="B5833" s="223" t="s">
        <v>200</v>
      </c>
      <c r="C5833" s="223"/>
      <c r="K5833" s="319"/>
      <c r="L5833" s="218"/>
    </row>
    <row r="5834">
      <c r="B5834" s="223" t="s">
        <v>200</v>
      </c>
      <c r="C5834" s="223"/>
      <c r="K5834" s="319"/>
      <c r="L5834" s="218"/>
    </row>
    <row r="5835">
      <c r="B5835" s="223" t="s">
        <v>200</v>
      </c>
      <c r="C5835" s="223"/>
      <c r="K5835" s="319"/>
      <c r="L5835" s="218"/>
    </row>
    <row r="5836">
      <c r="B5836" s="223" t="s">
        <v>200</v>
      </c>
      <c r="C5836" s="223"/>
      <c r="K5836" s="319"/>
      <c r="L5836" s="218"/>
    </row>
    <row r="5837">
      <c r="B5837" s="223" t="s">
        <v>200</v>
      </c>
      <c r="C5837" s="223"/>
      <c r="K5837" s="319"/>
      <c r="L5837" s="218"/>
    </row>
    <row r="5838">
      <c r="B5838" s="223" t="s">
        <v>200</v>
      </c>
      <c r="C5838" s="223"/>
      <c r="K5838" s="319"/>
      <c r="L5838" s="218"/>
    </row>
    <row r="5839">
      <c r="B5839" s="223" t="s">
        <v>200</v>
      </c>
      <c r="C5839" s="223"/>
      <c r="K5839" s="319"/>
      <c r="L5839" s="218"/>
    </row>
    <row r="5840">
      <c r="B5840" s="223" t="s">
        <v>200</v>
      </c>
      <c r="C5840" s="223"/>
      <c r="K5840" s="319"/>
      <c r="L5840" s="218"/>
    </row>
    <row r="5841">
      <c r="B5841" s="223" t="s">
        <v>200</v>
      </c>
      <c r="C5841" s="223"/>
      <c r="K5841" s="319"/>
      <c r="L5841" s="218"/>
    </row>
    <row r="5842">
      <c r="B5842" s="223" t="s">
        <v>200</v>
      </c>
      <c r="C5842" s="223"/>
      <c r="K5842" s="319"/>
      <c r="L5842" s="218"/>
    </row>
    <row r="5843">
      <c r="B5843" s="223" t="s">
        <v>200</v>
      </c>
      <c r="C5843" s="223"/>
      <c r="K5843" s="319"/>
      <c r="L5843" s="218"/>
    </row>
    <row r="5844">
      <c r="B5844" s="223" t="s">
        <v>200</v>
      </c>
      <c r="C5844" s="223"/>
      <c r="K5844" s="319"/>
      <c r="L5844" s="218"/>
    </row>
    <row r="5845">
      <c r="B5845" s="223" t="s">
        <v>200</v>
      </c>
      <c r="C5845" s="223"/>
      <c r="K5845" s="319"/>
      <c r="L5845" s="218"/>
    </row>
    <row r="5846">
      <c r="B5846" s="223" t="s">
        <v>200</v>
      </c>
      <c r="C5846" s="223"/>
      <c r="K5846" s="319"/>
      <c r="L5846" s="218"/>
    </row>
    <row r="5847">
      <c r="B5847" s="223" t="s">
        <v>200</v>
      </c>
      <c r="C5847" s="223"/>
      <c r="K5847" s="319"/>
      <c r="L5847" s="218"/>
    </row>
    <row r="5848">
      <c r="B5848" s="223" t="s">
        <v>200</v>
      </c>
      <c r="C5848" s="223"/>
      <c r="K5848" s="319"/>
      <c r="L5848" s="218"/>
    </row>
    <row r="5849">
      <c r="B5849" s="223" t="s">
        <v>200</v>
      </c>
      <c r="C5849" s="223"/>
      <c r="K5849" s="319"/>
      <c r="L5849" s="218"/>
    </row>
    <row r="5850">
      <c r="B5850" s="223" t="s">
        <v>200</v>
      </c>
      <c r="C5850" s="223"/>
      <c r="K5850" s="319"/>
      <c r="L5850" s="218"/>
    </row>
    <row r="5851">
      <c r="B5851" s="223" t="s">
        <v>200</v>
      </c>
      <c r="C5851" s="223"/>
      <c r="K5851" s="319"/>
      <c r="L5851" s="218"/>
    </row>
    <row r="5852">
      <c r="B5852" s="223" t="s">
        <v>200</v>
      </c>
      <c r="C5852" s="223"/>
      <c r="K5852" s="319"/>
      <c r="L5852" s="218"/>
    </row>
    <row r="5853">
      <c r="B5853" s="223" t="s">
        <v>200</v>
      </c>
      <c r="C5853" s="223"/>
      <c r="K5853" s="319"/>
      <c r="L5853" s="218"/>
    </row>
    <row r="5854">
      <c r="B5854" s="223" t="s">
        <v>200</v>
      </c>
      <c r="C5854" s="223"/>
      <c r="K5854" s="319"/>
      <c r="L5854" s="218"/>
    </row>
    <row r="5855">
      <c r="B5855" s="223" t="s">
        <v>200</v>
      </c>
      <c r="C5855" s="223"/>
      <c r="K5855" s="319"/>
      <c r="L5855" s="218"/>
    </row>
    <row r="5856">
      <c r="B5856" s="223" t="s">
        <v>200</v>
      </c>
      <c r="C5856" s="223"/>
      <c r="K5856" s="319"/>
      <c r="L5856" s="218"/>
    </row>
    <row r="5857">
      <c r="B5857" s="223" t="s">
        <v>200</v>
      </c>
      <c r="C5857" s="223"/>
      <c r="K5857" s="319"/>
      <c r="L5857" s="218"/>
    </row>
    <row r="5858">
      <c r="B5858" s="223" t="s">
        <v>200</v>
      </c>
      <c r="C5858" s="223"/>
      <c r="K5858" s="319"/>
      <c r="L5858" s="218"/>
    </row>
    <row r="5859">
      <c r="B5859" s="223" t="s">
        <v>200</v>
      </c>
      <c r="C5859" s="223"/>
      <c r="K5859" s="319"/>
      <c r="L5859" s="218"/>
    </row>
    <row r="5860">
      <c r="B5860" s="223" t="s">
        <v>200</v>
      </c>
      <c r="C5860" s="223"/>
      <c r="K5860" s="319"/>
      <c r="L5860" s="218"/>
    </row>
    <row r="5861">
      <c r="B5861" s="223" t="s">
        <v>200</v>
      </c>
      <c r="C5861" s="223"/>
      <c r="K5861" s="319"/>
      <c r="L5861" s="218"/>
    </row>
    <row r="5862">
      <c r="B5862" s="223" t="s">
        <v>200</v>
      </c>
      <c r="C5862" s="223"/>
      <c r="K5862" s="319"/>
      <c r="L5862" s="218"/>
    </row>
    <row r="5863">
      <c r="B5863" s="223" t="s">
        <v>200</v>
      </c>
      <c r="C5863" s="223"/>
      <c r="K5863" s="319"/>
      <c r="L5863" s="218"/>
    </row>
    <row r="5864">
      <c r="B5864" s="223" t="s">
        <v>200</v>
      </c>
      <c r="C5864" s="223"/>
      <c r="K5864" s="319"/>
      <c r="L5864" s="218"/>
    </row>
    <row r="5865">
      <c r="B5865" s="223" t="s">
        <v>200</v>
      </c>
      <c r="C5865" s="223"/>
      <c r="K5865" s="319"/>
      <c r="L5865" s="218"/>
    </row>
    <row r="5866">
      <c r="B5866" s="223" t="s">
        <v>200</v>
      </c>
      <c r="C5866" s="223"/>
      <c r="K5866" s="319"/>
      <c r="L5866" s="218"/>
    </row>
    <row r="5867">
      <c r="B5867" s="223" t="s">
        <v>200</v>
      </c>
      <c r="C5867" s="223"/>
      <c r="K5867" s="319"/>
      <c r="L5867" s="218"/>
    </row>
    <row r="5868">
      <c r="B5868" s="223" t="s">
        <v>200</v>
      </c>
      <c r="C5868" s="223"/>
      <c r="K5868" s="319"/>
      <c r="L5868" s="218"/>
    </row>
    <row r="5869">
      <c r="B5869" s="223" t="s">
        <v>200</v>
      </c>
      <c r="C5869" s="223"/>
      <c r="K5869" s="319"/>
      <c r="L5869" s="218"/>
    </row>
    <row r="5870">
      <c r="B5870" s="223" t="s">
        <v>200</v>
      </c>
      <c r="C5870" s="223"/>
      <c r="K5870" s="319"/>
      <c r="L5870" s="218"/>
    </row>
    <row r="5871">
      <c r="B5871" s="223" t="s">
        <v>200</v>
      </c>
      <c r="C5871" s="223"/>
      <c r="K5871" s="319"/>
      <c r="L5871" s="218"/>
    </row>
    <row r="5872">
      <c r="B5872" s="223" t="s">
        <v>200</v>
      </c>
      <c r="C5872" s="223"/>
      <c r="K5872" s="319"/>
      <c r="L5872" s="218"/>
    </row>
    <row r="5873">
      <c r="B5873" s="223" t="s">
        <v>200</v>
      </c>
      <c r="C5873" s="223"/>
      <c r="K5873" s="319"/>
      <c r="L5873" s="218"/>
    </row>
    <row r="5874">
      <c r="B5874" s="223" t="s">
        <v>200</v>
      </c>
      <c r="C5874" s="223"/>
      <c r="K5874" s="319"/>
      <c r="L5874" s="218"/>
    </row>
    <row r="5875">
      <c r="B5875" s="223" t="s">
        <v>200</v>
      </c>
      <c r="C5875" s="223"/>
      <c r="K5875" s="319"/>
      <c r="L5875" s="218"/>
    </row>
    <row r="5876">
      <c r="B5876" s="223" t="s">
        <v>200</v>
      </c>
      <c r="C5876" s="223"/>
      <c r="K5876" s="319"/>
      <c r="L5876" s="218"/>
    </row>
    <row r="5877">
      <c r="B5877" s="223" t="s">
        <v>200</v>
      </c>
      <c r="C5877" s="223"/>
      <c r="K5877" s="319"/>
      <c r="L5877" s="218"/>
    </row>
    <row r="5878">
      <c r="B5878" s="223" t="s">
        <v>200</v>
      </c>
      <c r="C5878" s="223"/>
      <c r="K5878" s="319"/>
      <c r="L5878" s="218"/>
    </row>
    <row r="5879">
      <c r="B5879" s="223" t="s">
        <v>200</v>
      </c>
      <c r="C5879" s="223"/>
      <c r="K5879" s="319"/>
      <c r="L5879" s="218"/>
    </row>
    <row r="5880">
      <c r="B5880" s="223" t="s">
        <v>200</v>
      </c>
      <c r="C5880" s="223"/>
      <c r="K5880" s="319"/>
      <c r="L5880" s="218"/>
    </row>
    <row r="5881">
      <c r="B5881" s="223" t="s">
        <v>200</v>
      </c>
      <c r="C5881" s="223"/>
      <c r="K5881" s="319"/>
      <c r="L5881" s="218"/>
    </row>
    <row r="5882">
      <c r="B5882" s="223" t="s">
        <v>200</v>
      </c>
      <c r="C5882" s="223"/>
      <c r="K5882" s="319"/>
      <c r="L5882" s="218"/>
    </row>
    <row r="5883">
      <c r="B5883" s="223" t="s">
        <v>200</v>
      </c>
      <c r="C5883" s="223"/>
      <c r="K5883" s="319"/>
      <c r="L5883" s="218"/>
    </row>
    <row r="5884">
      <c r="B5884" s="223" t="s">
        <v>200</v>
      </c>
      <c r="C5884" s="223"/>
      <c r="K5884" s="319"/>
      <c r="L5884" s="218"/>
    </row>
    <row r="5885">
      <c r="B5885" s="223" t="s">
        <v>200</v>
      </c>
      <c r="C5885" s="223"/>
      <c r="K5885" s="319"/>
      <c r="L5885" s="218"/>
    </row>
    <row r="5886">
      <c r="B5886" s="223" t="s">
        <v>200</v>
      </c>
      <c r="C5886" s="223"/>
      <c r="K5886" s="319"/>
      <c r="L5886" s="218"/>
    </row>
    <row r="5887">
      <c r="B5887" s="223" t="s">
        <v>200</v>
      </c>
      <c r="C5887" s="223"/>
      <c r="K5887" s="319"/>
      <c r="L5887" s="218"/>
    </row>
    <row r="5888">
      <c r="B5888" s="223" t="s">
        <v>200</v>
      </c>
      <c r="C5888" s="223"/>
      <c r="K5888" s="319"/>
      <c r="L5888" s="218"/>
    </row>
    <row r="5889">
      <c r="B5889" s="223" t="s">
        <v>200</v>
      </c>
      <c r="C5889" s="223"/>
      <c r="K5889" s="319"/>
      <c r="L5889" s="218"/>
    </row>
    <row r="5890">
      <c r="B5890" s="223" t="s">
        <v>200</v>
      </c>
      <c r="C5890" s="223"/>
      <c r="K5890" s="319"/>
      <c r="L5890" s="218"/>
    </row>
    <row r="5891">
      <c r="B5891" s="223" t="s">
        <v>200</v>
      </c>
      <c r="C5891" s="223"/>
      <c r="K5891" s="319"/>
      <c r="L5891" s="218"/>
    </row>
    <row r="5892">
      <c r="B5892" s="223" t="s">
        <v>200</v>
      </c>
      <c r="C5892" s="223"/>
      <c r="K5892" s="319"/>
      <c r="L5892" s="218"/>
    </row>
    <row r="5893">
      <c r="B5893" s="223" t="s">
        <v>200</v>
      </c>
      <c r="C5893" s="223"/>
      <c r="K5893" s="319"/>
      <c r="L5893" s="218"/>
    </row>
    <row r="5894">
      <c r="B5894" s="223" t="s">
        <v>200</v>
      </c>
      <c r="C5894" s="223"/>
      <c r="K5894" s="319"/>
      <c r="L5894" s="218"/>
    </row>
    <row r="5895">
      <c r="B5895" s="223" t="s">
        <v>200</v>
      </c>
      <c r="C5895" s="223"/>
      <c r="K5895" s="319"/>
      <c r="L5895" s="218"/>
    </row>
    <row r="5896">
      <c r="B5896" s="223" t="s">
        <v>200</v>
      </c>
      <c r="C5896" s="223"/>
      <c r="K5896" s="319"/>
      <c r="L5896" s="218"/>
    </row>
    <row r="5897">
      <c r="B5897" s="223" t="s">
        <v>200</v>
      </c>
      <c r="C5897" s="223"/>
      <c r="K5897" s="319"/>
      <c r="L5897" s="218"/>
    </row>
    <row r="5898">
      <c r="B5898" s="223" t="s">
        <v>200</v>
      </c>
      <c r="C5898" s="223"/>
      <c r="K5898" s="319"/>
      <c r="L5898" s="218"/>
    </row>
    <row r="5899">
      <c r="B5899" s="223" t="s">
        <v>200</v>
      </c>
      <c r="C5899" s="223"/>
      <c r="K5899" s="319"/>
      <c r="L5899" s="218"/>
    </row>
    <row r="5900">
      <c r="B5900" s="223" t="s">
        <v>200</v>
      </c>
      <c r="C5900" s="223"/>
      <c r="K5900" s="319"/>
      <c r="L5900" s="218"/>
    </row>
    <row r="5901">
      <c r="B5901" s="223" t="s">
        <v>200</v>
      </c>
      <c r="C5901" s="223"/>
      <c r="K5901" s="319"/>
      <c r="L5901" s="218"/>
    </row>
    <row r="5902">
      <c r="B5902" s="223" t="s">
        <v>200</v>
      </c>
      <c r="C5902" s="223"/>
      <c r="K5902" s="319"/>
      <c r="L5902" s="218"/>
    </row>
    <row r="5903">
      <c r="B5903" s="223" t="s">
        <v>200</v>
      </c>
      <c r="C5903" s="223"/>
      <c r="K5903" s="319"/>
      <c r="L5903" s="218"/>
    </row>
    <row r="5904">
      <c r="B5904" s="223" t="s">
        <v>200</v>
      </c>
      <c r="C5904" s="223"/>
      <c r="K5904" s="319"/>
      <c r="L5904" s="218"/>
    </row>
    <row r="5905">
      <c r="B5905" s="223" t="s">
        <v>200</v>
      </c>
      <c r="C5905" s="223"/>
      <c r="K5905" s="319"/>
      <c r="L5905" s="218"/>
    </row>
    <row r="5906">
      <c r="B5906" s="223" t="s">
        <v>200</v>
      </c>
      <c r="C5906" s="223"/>
      <c r="K5906" s="319"/>
      <c r="L5906" s="218"/>
    </row>
    <row r="5907">
      <c r="B5907" s="223" t="s">
        <v>200</v>
      </c>
      <c r="C5907" s="223"/>
      <c r="K5907" s="319"/>
      <c r="L5907" s="218"/>
    </row>
    <row r="5908">
      <c r="B5908" s="223" t="s">
        <v>200</v>
      </c>
      <c r="C5908" s="223"/>
      <c r="K5908" s="319"/>
      <c r="L5908" s="218"/>
    </row>
    <row r="5909">
      <c r="B5909" s="223" t="s">
        <v>200</v>
      </c>
      <c r="C5909" s="223"/>
      <c r="K5909" s="319"/>
      <c r="L5909" s="218"/>
    </row>
    <row r="5910">
      <c r="B5910" s="223" t="s">
        <v>200</v>
      </c>
      <c r="C5910" s="223"/>
      <c r="K5910" s="319"/>
      <c r="L5910" s="218"/>
    </row>
    <row r="5911">
      <c r="B5911" s="223" t="s">
        <v>200</v>
      </c>
      <c r="C5911" s="223"/>
      <c r="K5911" s="319"/>
      <c r="L5911" s="218"/>
    </row>
    <row r="5912">
      <c r="B5912" s="223" t="s">
        <v>200</v>
      </c>
      <c r="C5912" s="223"/>
      <c r="K5912" s="319"/>
      <c r="L5912" s="218"/>
    </row>
    <row r="5913">
      <c r="B5913" s="223" t="s">
        <v>200</v>
      </c>
      <c r="C5913" s="223"/>
      <c r="K5913" s="319"/>
      <c r="L5913" s="218"/>
    </row>
    <row r="5914">
      <c r="B5914" s="223" t="s">
        <v>200</v>
      </c>
      <c r="C5914" s="223"/>
      <c r="K5914" s="319"/>
      <c r="L5914" s="218"/>
    </row>
    <row r="5915">
      <c r="B5915" s="223" t="s">
        <v>200</v>
      </c>
      <c r="C5915" s="223"/>
      <c r="K5915" s="319"/>
      <c r="L5915" s="218"/>
    </row>
    <row r="5916">
      <c r="B5916" s="223" t="s">
        <v>200</v>
      </c>
      <c r="C5916" s="223"/>
      <c r="K5916" s="319"/>
      <c r="L5916" s="218"/>
    </row>
    <row r="5917">
      <c r="B5917" s="223" t="s">
        <v>200</v>
      </c>
      <c r="C5917" s="223"/>
      <c r="K5917" s="319"/>
      <c r="L5917" s="218"/>
    </row>
    <row r="5918">
      <c r="B5918" s="223" t="s">
        <v>200</v>
      </c>
      <c r="C5918" s="223"/>
      <c r="K5918" s="319"/>
      <c r="L5918" s="218"/>
    </row>
    <row r="5919">
      <c r="B5919" s="223" t="s">
        <v>200</v>
      </c>
      <c r="C5919" s="223"/>
      <c r="K5919" s="319"/>
      <c r="L5919" s="218"/>
    </row>
    <row r="5920">
      <c r="B5920" s="223" t="s">
        <v>200</v>
      </c>
      <c r="C5920" s="223"/>
      <c r="K5920" s="319"/>
      <c r="L5920" s="218"/>
    </row>
    <row r="5921">
      <c r="B5921" s="223" t="s">
        <v>200</v>
      </c>
      <c r="C5921" s="223"/>
      <c r="K5921" s="319"/>
      <c r="L5921" s="218"/>
    </row>
    <row r="5922">
      <c r="B5922" s="223" t="s">
        <v>200</v>
      </c>
      <c r="C5922" s="223"/>
      <c r="K5922" s="319"/>
      <c r="L5922" s="218"/>
    </row>
    <row r="5923">
      <c r="B5923" s="223" t="s">
        <v>200</v>
      </c>
      <c r="C5923" s="223"/>
      <c r="K5923" s="319"/>
      <c r="L5923" s="218"/>
    </row>
    <row r="5924">
      <c r="B5924" s="223" t="s">
        <v>200</v>
      </c>
      <c r="C5924" s="223"/>
      <c r="K5924" s="319"/>
      <c r="L5924" s="218"/>
    </row>
    <row r="5925">
      <c r="B5925" s="223" t="s">
        <v>200</v>
      </c>
      <c r="C5925" s="223"/>
      <c r="K5925" s="319"/>
      <c r="L5925" s="218"/>
    </row>
    <row r="5926">
      <c r="B5926" s="223" t="s">
        <v>200</v>
      </c>
      <c r="C5926" s="223"/>
      <c r="K5926" s="319"/>
      <c r="L5926" s="218"/>
    </row>
    <row r="5927">
      <c r="B5927" s="223" t="s">
        <v>200</v>
      </c>
      <c r="C5927" s="223"/>
      <c r="K5927" s="319"/>
      <c r="L5927" s="218"/>
    </row>
    <row r="5928">
      <c r="B5928" s="223" t="s">
        <v>200</v>
      </c>
      <c r="C5928" s="223"/>
      <c r="K5928" s="319"/>
      <c r="L5928" s="218"/>
    </row>
    <row r="5929">
      <c r="B5929" s="223" t="s">
        <v>200</v>
      </c>
      <c r="C5929" s="223"/>
      <c r="K5929" s="319"/>
      <c r="L5929" s="218"/>
    </row>
    <row r="5930">
      <c r="B5930" s="223" t="s">
        <v>200</v>
      </c>
      <c r="C5930" s="223"/>
      <c r="K5930" s="319"/>
      <c r="L5930" s="218"/>
    </row>
    <row r="5931">
      <c r="B5931" s="223" t="s">
        <v>200</v>
      </c>
      <c r="C5931" s="223"/>
      <c r="K5931" s="319"/>
      <c r="L5931" s="218"/>
    </row>
    <row r="5932">
      <c r="B5932" s="223" t="s">
        <v>200</v>
      </c>
      <c r="C5932" s="223"/>
      <c r="K5932" s="319"/>
      <c r="L5932" s="218"/>
    </row>
    <row r="5933">
      <c r="B5933" s="223" t="s">
        <v>200</v>
      </c>
      <c r="C5933" s="223"/>
      <c r="K5933" s="319"/>
      <c r="L5933" s="218"/>
    </row>
    <row r="5934">
      <c r="B5934" s="223" t="s">
        <v>200</v>
      </c>
      <c r="C5934" s="223"/>
      <c r="K5934" s="319"/>
      <c r="L5934" s="218"/>
    </row>
    <row r="5935">
      <c r="B5935" s="223" t="s">
        <v>200</v>
      </c>
      <c r="C5935" s="223"/>
      <c r="K5935" s="319"/>
      <c r="L5935" s="218"/>
    </row>
    <row r="5936">
      <c r="B5936" s="223" t="s">
        <v>200</v>
      </c>
      <c r="C5936" s="223"/>
      <c r="K5936" s="319"/>
      <c r="L5936" s="218"/>
    </row>
    <row r="5937">
      <c r="B5937" s="223" t="s">
        <v>200</v>
      </c>
      <c r="C5937" s="223"/>
      <c r="K5937" s="319"/>
      <c r="L5937" s="218"/>
    </row>
    <row r="5938">
      <c r="B5938" s="223" t="s">
        <v>200</v>
      </c>
      <c r="C5938" s="223"/>
      <c r="K5938" s="319"/>
      <c r="L5938" s="218"/>
    </row>
    <row r="5939">
      <c r="B5939" s="223" t="s">
        <v>200</v>
      </c>
      <c r="C5939" s="223"/>
      <c r="K5939" s="319"/>
      <c r="L5939" s="218"/>
    </row>
    <row r="5940">
      <c r="B5940" s="223" t="s">
        <v>200</v>
      </c>
      <c r="C5940" s="223"/>
      <c r="K5940" s="319"/>
      <c r="L5940" s="218"/>
    </row>
    <row r="5941">
      <c r="B5941" s="223" t="s">
        <v>200</v>
      </c>
      <c r="C5941" s="223"/>
      <c r="K5941" s="319"/>
      <c r="L5941" s="218"/>
    </row>
    <row r="5942">
      <c r="B5942" s="223" t="s">
        <v>200</v>
      </c>
      <c r="C5942" s="223"/>
      <c r="K5942" s="319"/>
      <c r="L5942" s="218"/>
    </row>
    <row r="5943">
      <c r="B5943" s="223" t="s">
        <v>200</v>
      </c>
      <c r="C5943" s="223"/>
      <c r="K5943" s="319"/>
      <c r="L5943" s="218"/>
    </row>
    <row r="5944">
      <c r="B5944" s="223" t="s">
        <v>200</v>
      </c>
      <c r="C5944" s="223"/>
      <c r="K5944" s="319"/>
      <c r="L5944" s="218"/>
    </row>
    <row r="5945">
      <c r="B5945" s="223" t="s">
        <v>200</v>
      </c>
      <c r="C5945" s="223"/>
      <c r="K5945" s="319"/>
      <c r="L5945" s="218"/>
    </row>
    <row r="5946">
      <c r="B5946" s="223" t="s">
        <v>200</v>
      </c>
      <c r="C5946" s="223"/>
      <c r="K5946" s="319"/>
      <c r="L5946" s="218"/>
    </row>
    <row r="5947">
      <c r="B5947" s="223" t="s">
        <v>200</v>
      </c>
      <c r="C5947" s="223"/>
      <c r="K5947" s="319"/>
      <c r="L5947" s="218"/>
    </row>
    <row r="5948">
      <c r="B5948" s="223" t="s">
        <v>200</v>
      </c>
      <c r="C5948" s="223"/>
      <c r="K5948" s="319"/>
      <c r="L5948" s="218"/>
    </row>
    <row r="5949">
      <c r="B5949" s="223" t="s">
        <v>200</v>
      </c>
      <c r="C5949" s="223"/>
      <c r="K5949" s="319"/>
      <c r="L5949" s="218"/>
    </row>
    <row r="5950">
      <c r="B5950" s="223" t="s">
        <v>200</v>
      </c>
      <c r="C5950" s="223"/>
      <c r="K5950" s="319"/>
      <c r="L5950" s="218"/>
    </row>
    <row r="5951">
      <c r="B5951" s="223" t="s">
        <v>200</v>
      </c>
      <c r="C5951" s="223"/>
      <c r="K5951" s="319"/>
      <c r="L5951" s="218"/>
    </row>
    <row r="5952">
      <c r="B5952" s="223" t="s">
        <v>200</v>
      </c>
      <c r="C5952" s="223"/>
      <c r="K5952" s="319"/>
      <c r="L5952" s="218"/>
    </row>
    <row r="5953">
      <c r="B5953" s="223" t="s">
        <v>200</v>
      </c>
      <c r="C5953" s="223"/>
      <c r="K5953" s="319"/>
      <c r="L5953" s="218"/>
    </row>
    <row r="5954">
      <c r="B5954" s="223" t="s">
        <v>200</v>
      </c>
      <c r="C5954" s="223"/>
      <c r="K5954" s="319"/>
      <c r="L5954" s="218"/>
    </row>
    <row r="5955">
      <c r="B5955" s="223" t="s">
        <v>200</v>
      </c>
      <c r="C5955" s="223"/>
      <c r="K5955" s="319"/>
      <c r="L5955" s="218"/>
    </row>
    <row r="5956">
      <c r="B5956" s="223" t="s">
        <v>200</v>
      </c>
      <c r="C5956" s="223"/>
      <c r="K5956" s="319"/>
      <c r="L5956" s="218"/>
    </row>
    <row r="5957">
      <c r="B5957" s="223" t="s">
        <v>200</v>
      </c>
      <c r="C5957" s="223"/>
      <c r="K5957" s="319"/>
      <c r="L5957" s="218"/>
    </row>
    <row r="5958">
      <c r="B5958" s="223" t="s">
        <v>200</v>
      </c>
      <c r="C5958" s="223"/>
      <c r="K5958" s="319"/>
      <c r="L5958" s="218"/>
    </row>
    <row r="5959">
      <c r="B5959" s="223" t="s">
        <v>200</v>
      </c>
      <c r="C5959" s="223"/>
      <c r="K5959" s="319"/>
      <c r="L5959" s="218"/>
    </row>
    <row r="5960">
      <c r="B5960" s="223" t="s">
        <v>200</v>
      </c>
      <c r="C5960" s="223"/>
      <c r="K5960" s="319"/>
      <c r="L5960" s="218"/>
    </row>
    <row r="5961">
      <c r="B5961" s="223" t="s">
        <v>200</v>
      </c>
      <c r="C5961" s="223"/>
      <c r="K5961" s="319"/>
      <c r="L5961" s="218"/>
    </row>
    <row r="5962">
      <c r="B5962" s="223" t="s">
        <v>200</v>
      </c>
      <c r="C5962" s="223"/>
      <c r="K5962" s="319"/>
      <c r="L5962" s="218"/>
    </row>
    <row r="5963">
      <c r="B5963" s="223" t="s">
        <v>200</v>
      </c>
      <c r="C5963" s="223"/>
      <c r="K5963" s="319"/>
      <c r="L5963" s="218"/>
    </row>
    <row r="5964">
      <c r="B5964" s="223" t="s">
        <v>200</v>
      </c>
      <c r="C5964" s="223"/>
      <c r="K5964" s="319"/>
      <c r="L5964" s="218"/>
    </row>
    <row r="5965">
      <c r="B5965" s="223" t="s">
        <v>200</v>
      </c>
      <c r="C5965" s="223"/>
      <c r="K5965" s="319"/>
      <c r="L5965" s="218"/>
    </row>
    <row r="5966">
      <c r="B5966" s="223" t="s">
        <v>200</v>
      </c>
      <c r="C5966" s="223"/>
      <c r="K5966" s="319"/>
      <c r="L5966" s="218"/>
    </row>
    <row r="5967">
      <c r="B5967" s="223" t="s">
        <v>200</v>
      </c>
      <c r="C5967" s="223"/>
      <c r="K5967" s="319"/>
      <c r="L5967" s="218"/>
    </row>
    <row r="5968">
      <c r="B5968" s="223" t="s">
        <v>200</v>
      </c>
      <c r="C5968" s="223"/>
      <c r="K5968" s="319"/>
      <c r="L5968" s="218"/>
    </row>
    <row r="5969">
      <c r="B5969" s="223" t="s">
        <v>200</v>
      </c>
      <c r="C5969" s="223"/>
      <c r="K5969" s="319"/>
      <c r="L5969" s="218"/>
    </row>
    <row r="5970">
      <c r="B5970" s="223" t="s">
        <v>200</v>
      </c>
      <c r="C5970" s="223"/>
      <c r="K5970" s="319"/>
      <c r="L5970" s="218"/>
    </row>
    <row r="5971">
      <c r="B5971" s="223" t="s">
        <v>200</v>
      </c>
      <c r="C5971" s="223"/>
      <c r="K5971" s="319"/>
      <c r="L5971" s="218"/>
    </row>
    <row r="5972">
      <c r="B5972" s="223" t="s">
        <v>200</v>
      </c>
      <c r="C5972" s="223"/>
      <c r="K5972" s="319"/>
      <c r="L5972" s="218"/>
    </row>
    <row r="5973">
      <c r="B5973" s="223" t="s">
        <v>200</v>
      </c>
      <c r="C5973" s="223"/>
      <c r="K5973" s="319"/>
      <c r="L5973" s="218"/>
    </row>
    <row r="5974">
      <c r="B5974" s="223" t="s">
        <v>200</v>
      </c>
      <c r="C5974" s="223"/>
      <c r="K5974" s="319"/>
      <c r="L5974" s="218"/>
    </row>
    <row r="5975">
      <c r="B5975" s="223" t="s">
        <v>200</v>
      </c>
      <c r="C5975" s="223"/>
      <c r="K5975" s="319"/>
      <c r="L5975" s="218"/>
    </row>
    <row r="5976">
      <c r="B5976" s="223" t="s">
        <v>200</v>
      </c>
      <c r="C5976" s="223"/>
      <c r="K5976" s="319"/>
      <c r="L5976" s="218"/>
    </row>
    <row r="5977">
      <c r="B5977" s="223" t="s">
        <v>200</v>
      </c>
      <c r="C5977" s="223"/>
      <c r="K5977" s="319"/>
      <c r="L5977" s="218"/>
    </row>
    <row r="5978">
      <c r="B5978" s="223" t="s">
        <v>200</v>
      </c>
      <c r="C5978" s="223"/>
      <c r="K5978" s="319"/>
      <c r="L5978" s="218"/>
    </row>
    <row r="5979">
      <c r="B5979" s="223" t="s">
        <v>200</v>
      </c>
      <c r="C5979" s="223"/>
      <c r="K5979" s="319"/>
      <c r="L5979" s="218"/>
    </row>
    <row r="5980">
      <c r="B5980" s="223" t="s">
        <v>200</v>
      </c>
      <c r="C5980" s="223"/>
      <c r="K5980" s="319"/>
      <c r="L5980" s="218"/>
    </row>
    <row r="5981">
      <c r="B5981" s="223" t="s">
        <v>200</v>
      </c>
      <c r="C5981" s="223"/>
      <c r="K5981" s="319"/>
      <c r="L5981" s="218"/>
    </row>
    <row r="5982">
      <c r="B5982" s="223" t="s">
        <v>200</v>
      </c>
      <c r="C5982" s="223"/>
      <c r="K5982" s="319"/>
      <c r="L5982" s="218"/>
    </row>
    <row r="5983">
      <c r="B5983" s="223" t="s">
        <v>200</v>
      </c>
      <c r="C5983" s="223"/>
      <c r="K5983" s="319"/>
      <c r="L5983" s="218"/>
    </row>
    <row r="5984">
      <c r="B5984" s="223" t="s">
        <v>200</v>
      </c>
      <c r="C5984" s="223"/>
      <c r="K5984" s="319"/>
      <c r="L5984" s="218"/>
    </row>
    <row r="5985">
      <c r="B5985" s="223" t="s">
        <v>200</v>
      </c>
      <c r="C5985" s="223"/>
      <c r="K5985" s="319"/>
      <c r="L5985" s="218"/>
    </row>
    <row r="5986">
      <c r="B5986" s="223" t="s">
        <v>200</v>
      </c>
      <c r="C5986" s="223"/>
      <c r="K5986" s="319"/>
      <c r="L5986" s="218"/>
    </row>
    <row r="5987">
      <c r="B5987" s="223" t="s">
        <v>200</v>
      </c>
      <c r="C5987" s="223"/>
      <c r="K5987" s="319"/>
      <c r="L5987" s="218"/>
    </row>
    <row r="5988">
      <c r="B5988" s="223" t="s">
        <v>200</v>
      </c>
      <c r="C5988" s="223"/>
      <c r="K5988" s="319"/>
      <c r="L5988" s="218"/>
    </row>
    <row r="5989">
      <c r="B5989" s="223" t="s">
        <v>200</v>
      </c>
      <c r="C5989" s="223"/>
      <c r="K5989" s="319"/>
      <c r="L5989" s="218"/>
    </row>
    <row r="5990">
      <c r="B5990" s="223" t="s">
        <v>200</v>
      </c>
      <c r="C5990" s="223"/>
      <c r="K5990" s="319"/>
      <c r="L5990" s="218"/>
    </row>
    <row r="5991">
      <c r="B5991" s="223" t="s">
        <v>200</v>
      </c>
      <c r="C5991" s="223"/>
      <c r="K5991" s="319"/>
      <c r="L5991" s="218"/>
    </row>
    <row r="5992">
      <c r="B5992" s="223" t="s">
        <v>200</v>
      </c>
      <c r="C5992" s="223"/>
      <c r="K5992" s="319"/>
      <c r="L5992" s="218"/>
    </row>
    <row r="5993">
      <c r="B5993" s="223" t="s">
        <v>200</v>
      </c>
      <c r="C5993" s="223"/>
      <c r="K5993" s="319"/>
      <c r="L5993" s="218"/>
    </row>
    <row r="5994">
      <c r="B5994" s="223" t="s">
        <v>200</v>
      </c>
      <c r="C5994" s="223"/>
      <c r="K5994" s="319"/>
      <c r="L5994" s="218"/>
    </row>
    <row r="5995">
      <c r="B5995" s="223" t="s">
        <v>200</v>
      </c>
      <c r="C5995" s="223"/>
      <c r="K5995" s="319"/>
      <c r="L5995" s="218"/>
    </row>
    <row r="5996">
      <c r="B5996" s="223" t="s">
        <v>200</v>
      </c>
      <c r="C5996" s="223"/>
      <c r="K5996" s="319"/>
      <c r="L5996" s="218"/>
    </row>
    <row r="5997">
      <c r="B5997" s="223" t="s">
        <v>200</v>
      </c>
      <c r="C5997" s="223"/>
      <c r="K5997" s="319"/>
      <c r="L5997" s="218"/>
    </row>
    <row r="5998">
      <c r="B5998" s="223" t="s">
        <v>200</v>
      </c>
      <c r="C5998" s="223"/>
      <c r="K5998" s="319"/>
      <c r="L5998" s="218"/>
    </row>
    <row r="5999">
      <c r="B5999" s="223" t="s">
        <v>200</v>
      </c>
      <c r="C5999" s="223"/>
      <c r="K5999" s="319"/>
      <c r="L5999" s="218"/>
    </row>
    <row r="6000">
      <c r="B6000" s="223" t="s">
        <v>200</v>
      </c>
      <c r="C6000" s="223"/>
      <c r="K6000" s="319"/>
      <c r="L6000" s="218"/>
    </row>
    <row r="6001">
      <c r="B6001" s="223" t="s">
        <v>200</v>
      </c>
      <c r="C6001" s="223"/>
      <c r="K6001" s="319"/>
      <c r="L6001" s="218"/>
    </row>
    <row r="6002">
      <c r="B6002" s="223" t="s">
        <v>200</v>
      </c>
      <c r="C6002" s="223"/>
      <c r="K6002" s="319"/>
      <c r="L6002" s="218"/>
    </row>
    <row r="6003">
      <c r="B6003" s="223" t="s">
        <v>200</v>
      </c>
      <c r="C6003" s="223"/>
      <c r="K6003" s="319"/>
      <c r="L6003" s="218"/>
    </row>
    <row r="6004">
      <c r="B6004" s="223" t="s">
        <v>200</v>
      </c>
      <c r="C6004" s="223"/>
      <c r="K6004" s="319"/>
      <c r="L6004" s="218"/>
    </row>
    <row r="6005">
      <c r="B6005" s="223" t="s">
        <v>200</v>
      </c>
      <c r="C6005" s="223"/>
      <c r="K6005" s="319"/>
      <c r="L6005" s="218"/>
    </row>
    <row r="6006">
      <c r="B6006" s="223" t="s">
        <v>200</v>
      </c>
      <c r="C6006" s="223"/>
      <c r="K6006" s="319"/>
      <c r="L6006" s="218"/>
    </row>
    <row r="6007">
      <c r="B6007" s="223" t="s">
        <v>200</v>
      </c>
      <c r="C6007" s="223"/>
      <c r="K6007" s="319"/>
      <c r="L6007" s="218"/>
    </row>
    <row r="6008">
      <c r="B6008" s="223" t="s">
        <v>200</v>
      </c>
      <c r="C6008" s="223"/>
      <c r="K6008" s="319"/>
      <c r="L6008" s="218"/>
    </row>
    <row r="6009">
      <c r="B6009" s="223" t="s">
        <v>200</v>
      </c>
      <c r="C6009" s="223"/>
      <c r="K6009" s="319"/>
      <c r="L6009" s="218"/>
    </row>
    <row r="6010">
      <c r="B6010" s="223" t="s">
        <v>200</v>
      </c>
      <c r="C6010" s="223"/>
      <c r="K6010" s="319"/>
      <c r="L6010" s="218"/>
    </row>
    <row r="6011">
      <c r="B6011" s="223" t="s">
        <v>200</v>
      </c>
      <c r="C6011" s="223"/>
      <c r="K6011" s="319"/>
      <c r="L6011" s="218"/>
    </row>
    <row r="6012">
      <c r="B6012" s="223" t="s">
        <v>200</v>
      </c>
      <c r="C6012" s="223"/>
      <c r="K6012" s="319"/>
      <c r="L6012" s="218"/>
    </row>
    <row r="6013">
      <c r="B6013" s="223" t="s">
        <v>200</v>
      </c>
      <c r="C6013" s="223"/>
      <c r="K6013" s="319"/>
      <c r="L6013" s="218"/>
    </row>
    <row r="6014">
      <c r="B6014" s="223" t="s">
        <v>200</v>
      </c>
      <c r="C6014" s="223"/>
      <c r="K6014" s="319"/>
      <c r="L6014" s="218"/>
    </row>
    <row r="6015">
      <c r="B6015" s="223" t="s">
        <v>200</v>
      </c>
      <c r="C6015" s="223"/>
      <c r="K6015" s="319"/>
      <c r="L6015" s="218"/>
    </row>
    <row r="6016">
      <c r="B6016" s="223" t="s">
        <v>200</v>
      </c>
      <c r="C6016" s="223"/>
      <c r="K6016" s="319"/>
      <c r="L6016" s="218"/>
    </row>
    <row r="6017">
      <c r="B6017" s="223" t="s">
        <v>200</v>
      </c>
      <c r="C6017" s="223"/>
      <c r="K6017" s="319"/>
      <c r="L6017" s="218"/>
    </row>
    <row r="6018">
      <c r="B6018" s="223" t="s">
        <v>200</v>
      </c>
      <c r="C6018" s="223"/>
      <c r="K6018" s="319"/>
      <c r="L6018" s="218"/>
    </row>
    <row r="6019">
      <c r="B6019" s="223" t="s">
        <v>200</v>
      </c>
      <c r="C6019" s="223"/>
      <c r="K6019" s="319"/>
      <c r="L6019" s="218"/>
    </row>
    <row r="6020">
      <c r="B6020" s="223" t="s">
        <v>200</v>
      </c>
      <c r="C6020" s="223"/>
      <c r="K6020" s="319"/>
      <c r="L6020" s="218"/>
    </row>
    <row r="6021">
      <c r="B6021" s="223" t="s">
        <v>200</v>
      </c>
      <c r="C6021" s="223"/>
      <c r="K6021" s="319"/>
      <c r="L6021" s="218"/>
    </row>
    <row r="6022">
      <c r="B6022" s="223" t="s">
        <v>200</v>
      </c>
      <c r="C6022" s="223"/>
      <c r="K6022" s="319"/>
      <c r="L6022" s="218"/>
    </row>
    <row r="6023">
      <c r="B6023" s="223" t="s">
        <v>200</v>
      </c>
      <c r="C6023" s="223"/>
      <c r="K6023" s="319"/>
      <c r="L6023" s="218"/>
    </row>
    <row r="6024">
      <c r="B6024" s="223" t="s">
        <v>200</v>
      </c>
      <c r="C6024" s="223"/>
      <c r="K6024" s="319"/>
      <c r="L6024" s="218"/>
    </row>
    <row r="6025">
      <c r="B6025" s="223" t="s">
        <v>200</v>
      </c>
      <c r="C6025" s="223"/>
      <c r="K6025" s="319"/>
      <c r="L6025" s="218"/>
    </row>
    <row r="6026">
      <c r="B6026" s="223" t="s">
        <v>200</v>
      </c>
      <c r="C6026" s="223"/>
      <c r="K6026" s="319"/>
      <c r="L6026" s="218"/>
    </row>
    <row r="6027">
      <c r="B6027" s="223" t="s">
        <v>200</v>
      </c>
      <c r="C6027" s="223"/>
      <c r="K6027" s="319"/>
      <c r="L6027" s="218"/>
    </row>
    <row r="6028">
      <c r="B6028" s="223" t="s">
        <v>200</v>
      </c>
      <c r="C6028" s="223"/>
      <c r="K6028" s="319"/>
      <c r="L6028" s="218"/>
    </row>
    <row r="6029">
      <c r="B6029" s="223" t="s">
        <v>200</v>
      </c>
      <c r="C6029" s="223"/>
      <c r="K6029" s="319"/>
      <c r="L6029" s="218"/>
    </row>
    <row r="6030">
      <c r="B6030" s="223" t="s">
        <v>200</v>
      </c>
      <c r="C6030" s="223"/>
      <c r="K6030" s="319"/>
      <c r="L6030" s="218"/>
    </row>
    <row r="6031">
      <c r="B6031" s="223" t="s">
        <v>200</v>
      </c>
      <c r="C6031" s="223"/>
      <c r="K6031" s="319"/>
      <c r="L6031" s="218"/>
    </row>
    <row r="6032">
      <c r="B6032" s="223" t="s">
        <v>200</v>
      </c>
      <c r="C6032" s="223"/>
      <c r="K6032" s="319"/>
      <c r="L6032" s="218"/>
    </row>
    <row r="6033">
      <c r="B6033" s="223" t="s">
        <v>200</v>
      </c>
      <c r="C6033" s="223"/>
      <c r="K6033" s="319"/>
      <c r="L6033" s="218"/>
    </row>
    <row r="6034">
      <c r="B6034" s="223" t="s">
        <v>200</v>
      </c>
      <c r="C6034" s="223"/>
      <c r="K6034" s="319"/>
      <c r="L6034" s="218"/>
    </row>
    <row r="6035">
      <c r="B6035" s="223" t="s">
        <v>200</v>
      </c>
      <c r="C6035" s="223"/>
      <c r="K6035" s="319"/>
      <c r="L6035" s="218"/>
    </row>
    <row r="6036">
      <c r="B6036" s="223" t="s">
        <v>200</v>
      </c>
      <c r="C6036" s="223"/>
      <c r="K6036" s="319"/>
      <c r="L6036" s="218"/>
    </row>
    <row r="6037">
      <c r="B6037" s="223" t="s">
        <v>200</v>
      </c>
      <c r="C6037" s="223"/>
      <c r="K6037" s="319"/>
      <c r="L6037" s="218"/>
    </row>
    <row r="6038">
      <c r="B6038" s="223" t="s">
        <v>200</v>
      </c>
      <c r="C6038" s="223"/>
      <c r="K6038" s="319"/>
      <c r="L6038" s="218"/>
    </row>
    <row r="6039">
      <c r="B6039" s="223" t="s">
        <v>200</v>
      </c>
      <c r="C6039" s="223"/>
      <c r="K6039" s="319"/>
      <c r="L6039" s="218"/>
    </row>
    <row r="6040">
      <c r="B6040" s="223" t="s">
        <v>200</v>
      </c>
      <c r="C6040" s="223"/>
      <c r="K6040" s="319"/>
      <c r="L6040" s="218"/>
    </row>
    <row r="6041">
      <c r="B6041" s="223" t="s">
        <v>200</v>
      </c>
      <c r="C6041" s="223"/>
      <c r="K6041" s="319"/>
      <c r="L6041" s="218"/>
    </row>
    <row r="6042">
      <c r="B6042" s="223" t="s">
        <v>200</v>
      </c>
      <c r="C6042" s="223"/>
      <c r="K6042" s="319"/>
      <c r="L6042" s="218"/>
    </row>
    <row r="6043">
      <c r="B6043" s="223" t="s">
        <v>200</v>
      </c>
      <c r="C6043" s="223"/>
      <c r="K6043" s="319"/>
      <c r="L6043" s="218"/>
    </row>
    <row r="6044">
      <c r="B6044" s="223" t="s">
        <v>200</v>
      </c>
      <c r="C6044" s="223"/>
      <c r="K6044" s="319"/>
      <c r="L6044" s="218"/>
    </row>
    <row r="6045">
      <c r="B6045" s="223" t="s">
        <v>200</v>
      </c>
      <c r="C6045" s="223"/>
      <c r="K6045" s="319"/>
      <c r="L6045" s="218"/>
    </row>
    <row r="6046">
      <c r="B6046" s="223" t="s">
        <v>200</v>
      </c>
      <c r="C6046" s="223"/>
      <c r="K6046" s="319"/>
      <c r="L6046" s="218"/>
    </row>
    <row r="6047">
      <c r="B6047" s="223" t="s">
        <v>200</v>
      </c>
      <c r="C6047" s="223"/>
      <c r="K6047" s="319"/>
      <c r="L6047" s="218"/>
    </row>
    <row r="6048">
      <c r="B6048" s="223" t="s">
        <v>200</v>
      </c>
      <c r="C6048" s="223"/>
      <c r="K6048" s="319"/>
      <c r="L6048" s="218"/>
    </row>
    <row r="6049">
      <c r="B6049" s="223" t="s">
        <v>200</v>
      </c>
      <c r="C6049" s="223"/>
      <c r="K6049" s="319"/>
      <c r="L6049" s="218"/>
    </row>
    <row r="6050">
      <c r="B6050" s="223" t="s">
        <v>200</v>
      </c>
      <c r="C6050" s="223"/>
      <c r="K6050" s="319"/>
      <c r="L6050" s="218"/>
    </row>
    <row r="6051">
      <c r="B6051" s="223" t="s">
        <v>200</v>
      </c>
      <c r="C6051" s="223"/>
      <c r="K6051" s="319"/>
      <c r="L6051" s="218"/>
    </row>
    <row r="6052">
      <c r="B6052" s="223" t="s">
        <v>200</v>
      </c>
      <c r="C6052" s="223"/>
      <c r="K6052" s="319"/>
      <c r="L6052" s="218"/>
    </row>
    <row r="6053">
      <c r="B6053" s="223" t="s">
        <v>200</v>
      </c>
      <c r="C6053" s="223"/>
      <c r="K6053" s="319"/>
      <c r="L6053" s="218"/>
    </row>
    <row r="6054">
      <c r="B6054" s="223" t="s">
        <v>200</v>
      </c>
      <c r="C6054" s="223"/>
      <c r="K6054" s="319"/>
      <c r="L6054" s="218"/>
    </row>
    <row r="6055">
      <c r="B6055" s="223" t="s">
        <v>200</v>
      </c>
      <c r="C6055" s="223"/>
      <c r="K6055" s="319"/>
      <c r="L6055" s="218"/>
    </row>
    <row r="6056">
      <c r="B6056" s="223" t="s">
        <v>200</v>
      </c>
      <c r="C6056" s="223"/>
      <c r="K6056" s="319"/>
      <c r="L6056" s="218"/>
    </row>
    <row r="6057">
      <c r="B6057" s="223" t="s">
        <v>200</v>
      </c>
      <c r="C6057" s="223"/>
      <c r="K6057" s="319"/>
      <c r="L6057" s="218"/>
    </row>
    <row r="6058">
      <c r="B6058" s="223" t="s">
        <v>200</v>
      </c>
      <c r="C6058" s="223"/>
      <c r="K6058" s="319"/>
      <c r="L6058" s="218"/>
    </row>
    <row r="6059">
      <c r="B6059" s="223" t="s">
        <v>200</v>
      </c>
      <c r="C6059" s="223"/>
      <c r="K6059" s="319"/>
      <c r="L6059" s="218"/>
    </row>
    <row r="6060">
      <c r="B6060" s="223" t="s">
        <v>200</v>
      </c>
      <c r="C6060" s="223"/>
      <c r="K6060" s="319"/>
      <c r="L6060" s="218"/>
    </row>
    <row r="6061">
      <c r="B6061" s="223" t="s">
        <v>200</v>
      </c>
      <c r="C6061" s="223"/>
      <c r="K6061" s="319"/>
      <c r="L6061" s="218"/>
    </row>
    <row r="6062">
      <c r="B6062" s="223" t="s">
        <v>200</v>
      </c>
      <c r="C6062" s="223"/>
      <c r="K6062" s="319"/>
      <c r="L6062" s="218"/>
    </row>
    <row r="6063">
      <c r="B6063" s="223" t="s">
        <v>200</v>
      </c>
      <c r="C6063" s="223"/>
      <c r="K6063" s="319"/>
      <c r="L6063" s="218"/>
    </row>
    <row r="6064">
      <c r="B6064" s="223" t="s">
        <v>200</v>
      </c>
      <c r="C6064" s="223"/>
      <c r="K6064" s="319"/>
      <c r="L6064" s="218"/>
    </row>
    <row r="6065">
      <c r="B6065" s="223" t="s">
        <v>200</v>
      </c>
      <c r="C6065" s="223"/>
      <c r="K6065" s="319"/>
      <c r="L6065" s="218"/>
    </row>
    <row r="6066">
      <c r="B6066" s="223" t="s">
        <v>200</v>
      </c>
      <c r="C6066" s="223"/>
      <c r="K6066" s="319"/>
      <c r="L6066" s="218"/>
    </row>
    <row r="6067">
      <c r="B6067" s="223" t="s">
        <v>200</v>
      </c>
      <c r="C6067" s="223"/>
      <c r="K6067" s="319"/>
      <c r="L6067" s="218"/>
    </row>
    <row r="6068">
      <c r="B6068" s="223" t="s">
        <v>200</v>
      </c>
      <c r="C6068" s="223"/>
      <c r="K6068" s="319"/>
      <c r="L6068" s="218"/>
    </row>
    <row r="6069">
      <c r="B6069" s="223" t="s">
        <v>200</v>
      </c>
      <c r="C6069" s="223"/>
      <c r="K6069" s="319"/>
      <c r="L6069" s="218"/>
    </row>
    <row r="6070">
      <c r="B6070" s="223" t="s">
        <v>200</v>
      </c>
      <c r="C6070" s="223"/>
      <c r="K6070" s="319"/>
      <c r="L6070" s="218"/>
    </row>
    <row r="6071">
      <c r="B6071" s="223" t="s">
        <v>200</v>
      </c>
      <c r="C6071" s="223"/>
      <c r="K6071" s="319"/>
      <c r="L6071" s="218"/>
    </row>
    <row r="6072">
      <c r="B6072" s="223" t="s">
        <v>200</v>
      </c>
      <c r="C6072" s="223"/>
      <c r="K6072" s="319"/>
      <c r="L6072" s="218"/>
    </row>
    <row r="6073">
      <c r="B6073" s="223" t="s">
        <v>200</v>
      </c>
      <c r="C6073" s="223"/>
      <c r="K6073" s="319"/>
      <c r="L6073" s="218"/>
    </row>
    <row r="6074">
      <c r="B6074" s="223" t="s">
        <v>200</v>
      </c>
      <c r="C6074" s="223"/>
      <c r="K6074" s="319"/>
      <c r="L6074" s="218"/>
    </row>
    <row r="6075">
      <c r="B6075" s="223" t="s">
        <v>200</v>
      </c>
      <c r="C6075" s="223"/>
      <c r="K6075" s="319"/>
      <c r="L6075" s="218"/>
    </row>
    <row r="6076">
      <c r="B6076" s="223" t="s">
        <v>200</v>
      </c>
      <c r="C6076" s="223"/>
      <c r="K6076" s="319"/>
      <c r="L6076" s="218"/>
    </row>
    <row r="6077">
      <c r="B6077" s="223" t="s">
        <v>200</v>
      </c>
      <c r="C6077" s="223"/>
      <c r="K6077" s="319"/>
      <c r="L6077" s="218"/>
    </row>
    <row r="6078">
      <c r="B6078" s="223" t="s">
        <v>200</v>
      </c>
      <c r="C6078" s="223"/>
      <c r="K6078" s="319"/>
      <c r="L6078" s="218"/>
    </row>
    <row r="6079">
      <c r="B6079" s="223" t="s">
        <v>200</v>
      </c>
      <c r="C6079" s="223"/>
      <c r="K6079" s="319"/>
      <c r="L6079" s="218"/>
    </row>
    <row r="6080">
      <c r="B6080" s="223" t="s">
        <v>200</v>
      </c>
      <c r="C6080" s="223"/>
      <c r="K6080" s="319"/>
      <c r="L6080" s="218"/>
    </row>
    <row r="6081">
      <c r="B6081" s="223" t="s">
        <v>200</v>
      </c>
      <c r="C6081" s="223"/>
      <c r="K6081" s="319"/>
      <c r="L6081" s="218"/>
    </row>
    <row r="6082">
      <c r="B6082" s="223" t="s">
        <v>200</v>
      </c>
      <c r="C6082" s="223"/>
      <c r="K6082" s="319"/>
      <c r="L6082" s="218"/>
    </row>
    <row r="6083">
      <c r="B6083" s="223" t="s">
        <v>200</v>
      </c>
      <c r="C6083" s="223"/>
      <c r="K6083" s="319"/>
      <c r="L6083" s="218"/>
    </row>
    <row r="6084">
      <c r="B6084" s="223" t="s">
        <v>200</v>
      </c>
      <c r="C6084" s="223"/>
      <c r="K6084" s="319"/>
      <c r="L6084" s="218"/>
    </row>
    <row r="6085">
      <c r="B6085" s="223" t="s">
        <v>200</v>
      </c>
      <c r="C6085" s="223"/>
      <c r="K6085" s="319"/>
      <c r="L6085" s="218"/>
    </row>
    <row r="6086">
      <c r="B6086" s="223" t="s">
        <v>200</v>
      </c>
      <c r="C6086" s="223"/>
      <c r="K6086" s="319"/>
      <c r="L6086" s="218"/>
    </row>
    <row r="6087">
      <c r="B6087" s="223" t="s">
        <v>200</v>
      </c>
      <c r="C6087" s="223"/>
      <c r="K6087" s="319"/>
      <c r="L6087" s="218"/>
    </row>
    <row r="6088">
      <c r="B6088" s="223" t="s">
        <v>200</v>
      </c>
      <c r="C6088" s="223"/>
      <c r="K6088" s="319"/>
      <c r="L6088" s="218"/>
    </row>
    <row r="6089">
      <c r="B6089" s="223" t="s">
        <v>200</v>
      </c>
      <c r="C6089" s="223"/>
      <c r="K6089" s="319"/>
      <c r="L6089" s="218"/>
    </row>
    <row r="6090">
      <c r="B6090" s="223" t="s">
        <v>200</v>
      </c>
      <c r="C6090" s="223"/>
      <c r="K6090" s="319"/>
      <c r="L6090" s="218"/>
    </row>
    <row r="6091">
      <c r="B6091" s="223" t="s">
        <v>200</v>
      </c>
      <c r="C6091" s="223"/>
      <c r="K6091" s="319"/>
      <c r="L6091" s="218"/>
    </row>
    <row r="6092">
      <c r="B6092" s="223" t="s">
        <v>200</v>
      </c>
      <c r="C6092" s="223"/>
      <c r="K6092" s="319"/>
      <c r="L6092" s="218"/>
    </row>
    <row r="6093">
      <c r="B6093" s="223" t="s">
        <v>200</v>
      </c>
      <c r="C6093" s="223"/>
      <c r="K6093" s="319"/>
      <c r="L6093" s="218"/>
    </row>
    <row r="6094">
      <c r="B6094" s="223" t="s">
        <v>200</v>
      </c>
      <c r="C6094" s="223"/>
      <c r="K6094" s="319"/>
      <c r="L6094" s="218"/>
    </row>
    <row r="6095">
      <c r="B6095" s="223" t="s">
        <v>200</v>
      </c>
      <c r="C6095" s="223"/>
      <c r="K6095" s="319"/>
      <c r="L6095" s="218"/>
    </row>
    <row r="6096">
      <c r="B6096" s="223" t="s">
        <v>200</v>
      </c>
      <c r="C6096" s="223"/>
      <c r="K6096" s="319"/>
      <c r="L6096" s="218"/>
    </row>
    <row r="6097">
      <c r="B6097" s="223" t="s">
        <v>200</v>
      </c>
      <c r="C6097" s="223"/>
      <c r="K6097" s="319"/>
      <c r="L6097" s="218"/>
    </row>
    <row r="6098">
      <c r="B6098" s="223" t="s">
        <v>200</v>
      </c>
      <c r="C6098" s="223"/>
      <c r="K6098" s="319"/>
      <c r="L6098" s="218"/>
    </row>
    <row r="6099">
      <c r="B6099" s="223" t="s">
        <v>200</v>
      </c>
      <c r="C6099" s="223"/>
      <c r="K6099" s="319"/>
      <c r="L6099" s="218"/>
    </row>
    <row r="6100">
      <c r="B6100" s="223" t="s">
        <v>200</v>
      </c>
      <c r="C6100" s="223"/>
      <c r="K6100" s="319"/>
      <c r="L6100" s="218"/>
    </row>
    <row r="6101">
      <c r="B6101" s="223" t="s">
        <v>200</v>
      </c>
      <c r="C6101" s="223"/>
      <c r="K6101" s="319"/>
      <c r="L6101" s="218"/>
    </row>
    <row r="6102">
      <c r="B6102" s="223" t="s">
        <v>200</v>
      </c>
      <c r="C6102" s="223"/>
      <c r="K6102" s="319"/>
      <c r="L6102" s="218"/>
    </row>
    <row r="6103">
      <c r="B6103" s="223" t="s">
        <v>200</v>
      </c>
      <c r="C6103" s="223"/>
      <c r="K6103" s="319"/>
      <c r="L6103" s="218"/>
    </row>
    <row r="6104">
      <c r="B6104" s="223" t="s">
        <v>200</v>
      </c>
      <c r="C6104" s="223"/>
      <c r="K6104" s="319"/>
      <c r="L6104" s="218"/>
    </row>
    <row r="6105">
      <c r="B6105" s="223" t="s">
        <v>200</v>
      </c>
      <c r="C6105" s="223"/>
      <c r="K6105" s="319"/>
      <c r="L6105" s="218"/>
    </row>
    <row r="6106">
      <c r="B6106" s="223" t="s">
        <v>200</v>
      </c>
      <c r="C6106" s="223"/>
      <c r="K6106" s="319"/>
      <c r="L6106" s="218"/>
    </row>
    <row r="6107">
      <c r="B6107" s="223" t="s">
        <v>200</v>
      </c>
      <c r="C6107" s="223"/>
      <c r="K6107" s="319"/>
      <c r="L6107" s="218"/>
    </row>
    <row r="6108">
      <c r="B6108" s="223" t="s">
        <v>200</v>
      </c>
      <c r="C6108" s="223"/>
      <c r="K6108" s="319"/>
      <c r="L6108" s="218"/>
    </row>
    <row r="6109">
      <c r="B6109" s="223" t="s">
        <v>200</v>
      </c>
      <c r="C6109" s="223"/>
      <c r="K6109" s="319"/>
      <c r="L6109" s="218"/>
    </row>
    <row r="6110">
      <c r="B6110" s="223" t="s">
        <v>200</v>
      </c>
      <c r="C6110" s="223"/>
      <c r="K6110" s="319"/>
      <c r="L6110" s="218"/>
    </row>
    <row r="6111">
      <c r="B6111" s="223" t="s">
        <v>200</v>
      </c>
      <c r="C6111" s="223"/>
      <c r="K6111" s="319"/>
      <c r="L6111" s="218"/>
    </row>
    <row r="6112">
      <c r="B6112" s="223" t="s">
        <v>200</v>
      </c>
      <c r="C6112" s="223"/>
      <c r="K6112" s="319"/>
      <c r="L6112" s="218"/>
    </row>
    <row r="6113">
      <c r="B6113" s="223" t="s">
        <v>200</v>
      </c>
      <c r="C6113" s="223"/>
      <c r="K6113" s="319"/>
      <c r="L6113" s="218"/>
    </row>
    <row r="6114">
      <c r="B6114" s="223" t="s">
        <v>200</v>
      </c>
      <c r="C6114" s="223"/>
      <c r="K6114" s="319"/>
      <c r="L6114" s="218"/>
    </row>
    <row r="6115">
      <c r="B6115" s="223" t="s">
        <v>200</v>
      </c>
      <c r="C6115" s="223"/>
      <c r="K6115" s="319"/>
      <c r="L6115" s="218"/>
    </row>
    <row r="6116">
      <c r="B6116" s="223" t="s">
        <v>200</v>
      </c>
      <c r="C6116" s="223"/>
      <c r="K6116" s="319"/>
      <c r="L6116" s="218"/>
    </row>
    <row r="6117">
      <c r="B6117" s="223" t="s">
        <v>200</v>
      </c>
      <c r="C6117" s="223"/>
      <c r="K6117" s="319"/>
      <c r="L6117" s="218"/>
    </row>
    <row r="6118">
      <c r="B6118" s="223" t="s">
        <v>200</v>
      </c>
      <c r="C6118" s="223"/>
      <c r="K6118" s="319"/>
      <c r="L6118" s="218"/>
    </row>
    <row r="6119">
      <c r="B6119" s="223" t="s">
        <v>200</v>
      </c>
      <c r="C6119" s="223"/>
      <c r="K6119" s="319"/>
      <c r="L6119" s="218"/>
    </row>
    <row r="6120">
      <c r="B6120" s="223" t="s">
        <v>200</v>
      </c>
      <c r="C6120" s="223"/>
      <c r="K6120" s="319"/>
      <c r="L6120" s="218"/>
    </row>
    <row r="6121">
      <c r="B6121" s="223" t="s">
        <v>200</v>
      </c>
      <c r="C6121" s="223"/>
      <c r="K6121" s="319"/>
      <c r="L6121" s="218"/>
    </row>
    <row r="6122">
      <c r="B6122" s="223" t="s">
        <v>200</v>
      </c>
      <c r="C6122" s="223"/>
      <c r="K6122" s="319"/>
      <c r="L6122" s="218"/>
    </row>
    <row r="6123">
      <c r="B6123" s="223" t="s">
        <v>200</v>
      </c>
      <c r="C6123" s="223"/>
      <c r="K6123" s="319"/>
      <c r="L6123" s="218"/>
    </row>
    <row r="6124">
      <c r="B6124" s="223" t="s">
        <v>200</v>
      </c>
      <c r="C6124" s="223"/>
      <c r="K6124" s="319"/>
      <c r="L6124" s="218"/>
    </row>
    <row r="6125">
      <c r="B6125" s="223" t="s">
        <v>200</v>
      </c>
      <c r="C6125" s="223"/>
      <c r="K6125" s="319"/>
      <c r="L6125" s="218"/>
    </row>
    <row r="6126">
      <c r="B6126" s="223" t="s">
        <v>200</v>
      </c>
      <c r="C6126" s="223"/>
      <c r="K6126" s="319"/>
      <c r="L6126" s="218"/>
    </row>
    <row r="6127">
      <c r="B6127" s="223" t="s">
        <v>200</v>
      </c>
      <c r="C6127" s="223"/>
      <c r="K6127" s="319"/>
      <c r="L6127" s="218"/>
    </row>
    <row r="6128">
      <c r="B6128" s="223" t="s">
        <v>200</v>
      </c>
      <c r="C6128" s="223"/>
      <c r="K6128" s="319"/>
      <c r="L6128" s="218"/>
    </row>
    <row r="6129">
      <c r="B6129" s="223" t="s">
        <v>200</v>
      </c>
      <c r="C6129" s="223"/>
      <c r="K6129" s="319"/>
      <c r="L6129" s="218"/>
    </row>
    <row r="6130">
      <c r="B6130" s="223" t="s">
        <v>200</v>
      </c>
      <c r="C6130" s="223"/>
      <c r="K6130" s="319"/>
      <c r="L6130" s="218"/>
    </row>
    <row r="6131">
      <c r="B6131" s="223" t="s">
        <v>200</v>
      </c>
      <c r="C6131" s="223"/>
      <c r="K6131" s="319"/>
      <c r="L6131" s="218"/>
    </row>
    <row r="6132">
      <c r="B6132" s="223" t="s">
        <v>200</v>
      </c>
      <c r="C6132" s="223"/>
      <c r="K6132" s="319"/>
      <c r="L6132" s="218"/>
    </row>
    <row r="6133">
      <c r="B6133" s="223" t="s">
        <v>200</v>
      </c>
      <c r="C6133" s="223"/>
      <c r="K6133" s="319"/>
      <c r="L6133" s="218"/>
    </row>
    <row r="6134">
      <c r="B6134" s="223" t="s">
        <v>200</v>
      </c>
      <c r="C6134" s="223"/>
      <c r="K6134" s="319"/>
      <c r="L6134" s="218"/>
    </row>
    <row r="6135">
      <c r="B6135" s="223" t="s">
        <v>200</v>
      </c>
      <c r="C6135" s="223"/>
      <c r="K6135" s="319"/>
      <c r="L6135" s="218"/>
    </row>
    <row r="6136">
      <c r="B6136" s="223" t="s">
        <v>200</v>
      </c>
      <c r="C6136" s="223"/>
      <c r="K6136" s="319"/>
      <c r="L6136" s="218"/>
    </row>
    <row r="6137">
      <c r="B6137" s="223" t="s">
        <v>200</v>
      </c>
      <c r="C6137" s="223"/>
      <c r="K6137" s="319"/>
      <c r="L6137" s="218"/>
    </row>
    <row r="6138">
      <c r="B6138" s="223" t="s">
        <v>200</v>
      </c>
      <c r="C6138" s="223"/>
      <c r="K6138" s="319"/>
      <c r="L6138" s="218"/>
    </row>
    <row r="6139">
      <c r="B6139" s="223" t="s">
        <v>200</v>
      </c>
      <c r="C6139" s="223"/>
      <c r="K6139" s="319"/>
      <c r="L6139" s="218"/>
    </row>
    <row r="6140">
      <c r="B6140" s="223" t="s">
        <v>200</v>
      </c>
      <c r="C6140" s="223"/>
      <c r="K6140" s="319"/>
      <c r="L6140" s="218"/>
    </row>
    <row r="6141">
      <c r="B6141" s="223" t="s">
        <v>200</v>
      </c>
      <c r="C6141" s="223"/>
      <c r="K6141" s="319"/>
      <c r="L6141" s="218"/>
    </row>
    <row r="6142">
      <c r="B6142" s="223" t="s">
        <v>200</v>
      </c>
      <c r="C6142" s="223"/>
      <c r="K6142" s="319"/>
      <c r="L6142" s="218"/>
    </row>
    <row r="6143">
      <c r="B6143" s="223" t="s">
        <v>200</v>
      </c>
      <c r="C6143" s="223"/>
      <c r="K6143" s="319"/>
      <c r="L6143" s="218"/>
    </row>
    <row r="6144">
      <c r="B6144" s="223" t="s">
        <v>200</v>
      </c>
      <c r="C6144" s="223"/>
      <c r="K6144" s="319"/>
      <c r="L6144" s="218"/>
    </row>
    <row r="6145">
      <c r="B6145" s="223" t="s">
        <v>200</v>
      </c>
      <c r="C6145" s="223"/>
      <c r="K6145" s="319"/>
      <c r="L6145" s="218"/>
    </row>
    <row r="6146">
      <c r="B6146" s="223" t="s">
        <v>200</v>
      </c>
      <c r="C6146" s="223"/>
      <c r="K6146" s="319"/>
      <c r="L6146" s="218"/>
    </row>
    <row r="6147">
      <c r="B6147" s="223" t="s">
        <v>200</v>
      </c>
      <c r="C6147" s="223"/>
      <c r="K6147" s="319"/>
      <c r="L6147" s="218"/>
    </row>
    <row r="6148">
      <c r="B6148" s="223" t="s">
        <v>200</v>
      </c>
      <c r="C6148" s="223"/>
      <c r="K6148" s="319"/>
      <c r="L6148" s="218"/>
    </row>
    <row r="6149">
      <c r="B6149" s="223" t="s">
        <v>200</v>
      </c>
      <c r="C6149" s="223"/>
      <c r="K6149" s="319"/>
      <c r="L6149" s="218"/>
    </row>
    <row r="6150">
      <c r="B6150" s="223" t="s">
        <v>200</v>
      </c>
      <c r="C6150" s="223"/>
      <c r="K6150" s="319"/>
      <c r="L6150" s="218"/>
    </row>
    <row r="6151">
      <c r="B6151" s="223" t="s">
        <v>200</v>
      </c>
      <c r="C6151" s="223"/>
      <c r="K6151" s="319"/>
      <c r="L6151" s="218"/>
    </row>
    <row r="6152">
      <c r="B6152" s="223" t="s">
        <v>200</v>
      </c>
      <c r="C6152" s="223"/>
      <c r="K6152" s="319"/>
      <c r="L6152" s="218"/>
    </row>
    <row r="6153">
      <c r="B6153" s="223" t="s">
        <v>200</v>
      </c>
      <c r="C6153" s="223"/>
      <c r="K6153" s="319"/>
      <c r="L6153" s="218"/>
    </row>
    <row r="6154">
      <c r="B6154" s="223" t="s">
        <v>200</v>
      </c>
      <c r="C6154" s="223"/>
      <c r="K6154" s="319"/>
      <c r="L6154" s="218"/>
    </row>
    <row r="6155">
      <c r="B6155" s="223" t="s">
        <v>200</v>
      </c>
      <c r="C6155" s="223"/>
      <c r="K6155" s="319"/>
      <c r="L6155" s="218"/>
    </row>
    <row r="6156">
      <c r="B6156" s="223" t="s">
        <v>200</v>
      </c>
      <c r="C6156" s="223"/>
      <c r="K6156" s="319"/>
      <c r="L6156" s="218"/>
    </row>
    <row r="6157">
      <c r="B6157" s="223" t="s">
        <v>200</v>
      </c>
      <c r="C6157" s="223"/>
      <c r="K6157" s="319"/>
      <c r="L6157" s="218"/>
    </row>
    <row r="6158">
      <c r="B6158" s="223" t="s">
        <v>200</v>
      </c>
      <c r="C6158" s="223"/>
      <c r="K6158" s="319"/>
      <c r="L6158" s="218"/>
    </row>
    <row r="6159">
      <c r="B6159" s="223" t="s">
        <v>200</v>
      </c>
      <c r="C6159" s="223"/>
      <c r="K6159" s="319"/>
      <c r="L6159" s="218"/>
    </row>
    <row r="6160">
      <c r="B6160" s="223" t="s">
        <v>200</v>
      </c>
      <c r="C6160" s="223"/>
      <c r="K6160" s="319"/>
      <c r="L6160" s="218"/>
    </row>
    <row r="6161">
      <c r="B6161" s="223" t="s">
        <v>200</v>
      </c>
      <c r="C6161" s="223"/>
      <c r="K6161" s="319"/>
      <c r="L6161" s="218"/>
    </row>
    <row r="6162">
      <c r="B6162" s="223" t="s">
        <v>200</v>
      </c>
      <c r="C6162" s="223"/>
      <c r="K6162" s="319"/>
      <c r="L6162" s="218"/>
    </row>
    <row r="6163">
      <c r="B6163" s="223" t="s">
        <v>200</v>
      </c>
      <c r="C6163" s="223"/>
      <c r="K6163" s="319"/>
      <c r="L6163" s="218"/>
    </row>
    <row r="6164">
      <c r="B6164" s="223" t="s">
        <v>200</v>
      </c>
      <c r="C6164" s="223"/>
      <c r="K6164" s="319"/>
      <c r="L6164" s="218"/>
    </row>
    <row r="6165">
      <c r="B6165" s="223" t="s">
        <v>200</v>
      </c>
      <c r="C6165" s="223"/>
      <c r="K6165" s="319"/>
      <c r="L6165" s="218"/>
    </row>
    <row r="6166">
      <c r="B6166" s="223" t="s">
        <v>200</v>
      </c>
      <c r="C6166" s="223"/>
      <c r="K6166" s="319"/>
      <c r="L6166" s="218"/>
    </row>
    <row r="6167">
      <c r="B6167" s="223" t="s">
        <v>200</v>
      </c>
      <c r="C6167" s="223"/>
      <c r="K6167" s="319"/>
      <c r="L6167" s="218"/>
    </row>
    <row r="6168">
      <c r="B6168" s="223" t="s">
        <v>200</v>
      </c>
      <c r="C6168" s="223"/>
      <c r="K6168" s="319"/>
      <c r="L6168" s="218"/>
    </row>
    <row r="6169">
      <c r="B6169" s="223" t="s">
        <v>200</v>
      </c>
      <c r="C6169" s="223"/>
      <c r="K6169" s="319"/>
      <c r="L6169" s="218"/>
    </row>
    <row r="6170">
      <c r="B6170" s="223" t="s">
        <v>200</v>
      </c>
      <c r="C6170" s="223"/>
      <c r="K6170" s="319"/>
      <c r="L6170" s="218"/>
    </row>
    <row r="6171">
      <c r="B6171" s="223" t="s">
        <v>200</v>
      </c>
      <c r="C6171" s="223"/>
      <c r="K6171" s="319"/>
      <c r="L6171" s="218"/>
    </row>
    <row r="6172">
      <c r="B6172" s="223" t="s">
        <v>200</v>
      </c>
      <c r="C6172" s="223"/>
      <c r="K6172" s="319"/>
      <c r="L6172" s="218"/>
    </row>
    <row r="6173">
      <c r="B6173" s="223" t="s">
        <v>200</v>
      </c>
      <c r="C6173" s="223"/>
      <c r="K6173" s="319"/>
      <c r="L6173" s="218"/>
    </row>
    <row r="6174">
      <c r="B6174" s="223" t="s">
        <v>200</v>
      </c>
      <c r="C6174" s="223"/>
      <c r="K6174" s="319"/>
      <c r="L6174" s="218"/>
    </row>
    <row r="6175">
      <c r="B6175" s="223" t="s">
        <v>200</v>
      </c>
      <c r="C6175" s="223"/>
      <c r="K6175" s="319"/>
      <c r="L6175" s="218"/>
    </row>
    <row r="6176">
      <c r="B6176" s="223" t="s">
        <v>200</v>
      </c>
      <c r="C6176" s="223"/>
      <c r="K6176" s="319"/>
      <c r="L6176" s="218"/>
    </row>
    <row r="6177">
      <c r="B6177" s="223" t="s">
        <v>200</v>
      </c>
      <c r="C6177" s="223"/>
      <c r="K6177" s="319"/>
      <c r="L6177" s="218"/>
    </row>
    <row r="6178">
      <c r="B6178" s="223" t="s">
        <v>200</v>
      </c>
      <c r="C6178" s="223"/>
      <c r="K6178" s="319"/>
      <c r="L6178" s="218"/>
    </row>
    <row r="6179">
      <c r="B6179" s="223" t="s">
        <v>200</v>
      </c>
      <c r="C6179" s="223"/>
      <c r="K6179" s="319"/>
      <c r="L6179" s="218"/>
    </row>
    <row r="6180">
      <c r="B6180" s="223" t="s">
        <v>200</v>
      </c>
      <c r="C6180" s="223"/>
      <c r="K6180" s="319"/>
      <c r="L6180" s="218"/>
    </row>
    <row r="6181">
      <c r="B6181" s="223" t="s">
        <v>200</v>
      </c>
      <c r="C6181" s="223"/>
      <c r="K6181" s="319"/>
      <c r="L6181" s="218"/>
    </row>
    <row r="6182">
      <c r="B6182" s="223" t="s">
        <v>200</v>
      </c>
      <c r="C6182" s="223"/>
      <c r="K6182" s="319"/>
      <c r="L6182" s="218"/>
    </row>
    <row r="6183">
      <c r="B6183" s="223" t="s">
        <v>200</v>
      </c>
      <c r="C6183" s="223"/>
      <c r="K6183" s="319"/>
      <c r="L6183" s="218"/>
    </row>
    <row r="6184">
      <c r="B6184" s="223" t="s">
        <v>200</v>
      </c>
      <c r="C6184" s="223"/>
      <c r="K6184" s="319"/>
      <c r="L6184" s="218"/>
    </row>
    <row r="6185">
      <c r="B6185" s="223" t="s">
        <v>200</v>
      </c>
      <c r="C6185" s="223"/>
      <c r="K6185" s="319"/>
      <c r="L6185" s="218"/>
    </row>
    <row r="6186">
      <c r="B6186" s="223" t="s">
        <v>200</v>
      </c>
      <c r="C6186" s="223"/>
      <c r="K6186" s="319"/>
      <c r="L6186" s="218"/>
    </row>
    <row r="6187">
      <c r="B6187" s="223" t="s">
        <v>200</v>
      </c>
      <c r="C6187" s="223"/>
      <c r="K6187" s="319"/>
      <c r="L6187" s="218"/>
    </row>
    <row r="6188">
      <c r="B6188" s="223" t="s">
        <v>200</v>
      </c>
      <c r="C6188" s="223"/>
      <c r="K6188" s="319"/>
      <c r="L6188" s="218"/>
    </row>
    <row r="6189">
      <c r="B6189" s="223" t="s">
        <v>200</v>
      </c>
      <c r="C6189" s="223"/>
      <c r="K6189" s="319"/>
      <c r="L6189" s="218"/>
    </row>
    <row r="6190">
      <c r="B6190" s="223" t="s">
        <v>200</v>
      </c>
      <c r="C6190" s="223"/>
      <c r="K6190" s="319"/>
      <c r="L6190" s="218"/>
    </row>
    <row r="6191">
      <c r="B6191" s="223" t="s">
        <v>200</v>
      </c>
      <c r="C6191" s="223"/>
      <c r="K6191" s="319"/>
      <c r="L6191" s="218"/>
    </row>
    <row r="6192">
      <c r="B6192" s="223" t="s">
        <v>200</v>
      </c>
      <c r="C6192" s="223"/>
      <c r="K6192" s="319"/>
      <c r="L6192" s="218"/>
    </row>
    <row r="6193">
      <c r="B6193" s="223" t="s">
        <v>200</v>
      </c>
      <c r="C6193" s="223"/>
      <c r="K6193" s="319"/>
      <c r="L6193" s="218"/>
    </row>
    <row r="6194">
      <c r="B6194" s="223" t="s">
        <v>200</v>
      </c>
      <c r="C6194" s="223"/>
      <c r="K6194" s="319"/>
      <c r="L6194" s="218"/>
    </row>
    <row r="6195">
      <c r="B6195" s="223" t="s">
        <v>200</v>
      </c>
      <c r="C6195" s="223"/>
      <c r="K6195" s="319"/>
      <c r="L6195" s="218"/>
    </row>
    <row r="6196">
      <c r="B6196" s="223" t="s">
        <v>200</v>
      </c>
      <c r="C6196" s="223"/>
      <c r="K6196" s="319"/>
      <c r="L6196" s="218"/>
    </row>
    <row r="6197">
      <c r="B6197" s="223" t="s">
        <v>200</v>
      </c>
      <c r="C6197" s="223"/>
      <c r="K6197" s="319"/>
      <c r="L6197" s="218"/>
    </row>
    <row r="6198">
      <c r="B6198" s="223" t="s">
        <v>200</v>
      </c>
      <c r="C6198" s="223"/>
      <c r="K6198" s="319"/>
      <c r="L6198" s="218"/>
    </row>
    <row r="6199">
      <c r="B6199" s="223" t="s">
        <v>200</v>
      </c>
      <c r="C6199" s="223"/>
      <c r="K6199" s="319"/>
      <c r="L6199" s="218"/>
    </row>
    <row r="6200">
      <c r="B6200" s="223" t="s">
        <v>200</v>
      </c>
      <c r="C6200" s="223"/>
      <c r="K6200" s="319"/>
      <c r="L6200" s="218"/>
    </row>
    <row r="6201">
      <c r="B6201" s="223" t="s">
        <v>200</v>
      </c>
      <c r="C6201" s="223"/>
      <c r="K6201" s="319"/>
      <c r="L6201" s="218"/>
    </row>
    <row r="6202">
      <c r="B6202" s="223" t="s">
        <v>200</v>
      </c>
      <c r="C6202" s="223"/>
      <c r="K6202" s="319"/>
      <c r="L6202" s="218"/>
    </row>
    <row r="6203">
      <c r="B6203" s="223" t="s">
        <v>200</v>
      </c>
      <c r="C6203" s="223"/>
      <c r="K6203" s="319"/>
      <c r="L6203" s="218"/>
    </row>
    <row r="6204">
      <c r="B6204" s="223" t="s">
        <v>200</v>
      </c>
      <c r="C6204" s="223"/>
      <c r="K6204" s="319"/>
      <c r="L6204" s="218"/>
    </row>
    <row r="6205">
      <c r="B6205" s="223" t="s">
        <v>200</v>
      </c>
      <c r="C6205" s="223"/>
      <c r="K6205" s="319"/>
      <c r="L6205" s="218"/>
    </row>
    <row r="6206">
      <c r="B6206" s="223" t="s">
        <v>200</v>
      </c>
      <c r="C6206" s="223"/>
      <c r="K6206" s="319"/>
      <c r="L6206" s="218"/>
    </row>
    <row r="6207">
      <c r="B6207" s="223" t="s">
        <v>200</v>
      </c>
      <c r="C6207" s="223"/>
      <c r="K6207" s="319"/>
      <c r="L6207" s="218"/>
    </row>
    <row r="6208">
      <c r="B6208" s="223" t="s">
        <v>200</v>
      </c>
      <c r="C6208" s="223"/>
      <c r="K6208" s="319"/>
      <c r="L6208" s="218"/>
    </row>
    <row r="6209">
      <c r="B6209" s="223" t="s">
        <v>200</v>
      </c>
      <c r="C6209" s="223"/>
      <c r="K6209" s="319"/>
      <c r="L6209" s="218"/>
    </row>
    <row r="6210">
      <c r="B6210" s="223" t="s">
        <v>200</v>
      </c>
      <c r="C6210" s="223"/>
      <c r="K6210" s="319"/>
      <c r="L6210" s="218"/>
    </row>
    <row r="6211">
      <c r="B6211" s="223" t="s">
        <v>200</v>
      </c>
      <c r="C6211" s="223"/>
      <c r="K6211" s="319"/>
      <c r="L6211" s="218"/>
    </row>
    <row r="6212">
      <c r="B6212" s="223" t="s">
        <v>200</v>
      </c>
      <c r="C6212" s="223"/>
      <c r="K6212" s="319"/>
      <c r="L6212" s="218"/>
    </row>
    <row r="6213">
      <c r="B6213" s="223" t="s">
        <v>200</v>
      </c>
      <c r="C6213" s="223"/>
      <c r="K6213" s="319"/>
      <c r="L6213" s="218"/>
    </row>
    <row r="6214">
      <c r="B6214" s="223" t="s">
        <v>200</v>
      </c>
      <c r="C6214" s="223"/>
      <c r="K6214" s="319"/>
      <c r="L6214" s="218"/>
    </row>
    <row r="6215">
      <c r="B6215" s="223" t="s">
        <v>200</v>
      </c>
      <c r="C6215" s="223"/>
      <c r="K6215" s="319"/>
      <c r="L6215" s="218"/>
    </row>
    <row r="6216">
      <c r="B6216" s="223" t="s">
        <v>200</v>
      </c>
      <c r="C6216" s="223"/>
      <c r="K6216" s="319"/>
      <c r="L6216" s="218"/>
    </row>
    <row r="6217">
      <c r="B6217" s="223" t="s">
        <v>200</v>
      </c>
      <c r="C6217" s="223"/>
      <c r="K6217" s="319"/>
      <c r="L6217" s="218"/>
    </row>
    <row r="6218">
      <c r="B6218" s="223" t="s">
        <v>200</v>
      </c>
      <c r="C6218" s="223"/>
      <c r="K6218" s="319"/>
      <c r="L6218" s="218"/>
    </row>
    <row r="6219">
      <c r="B6219" s="223" t="s">
        <v>200</v>
      </c>
      <c r="C6219" s="223"/>
      <c r="K6219" s="319"/>
      <c r="L6219" s="218"/>
    </row>
    <row r="6220">
      <c r="B6220" s="223" t="s">
        <v>200</v>
      </c>
      <c r="C6220" s="223"/>
      <c r="K6220" s="319"/>
      <c r="L6220" s="218"/>
    </row>
    <row r="6221">
      <c r="B6221" s="223" t="s">
        <v>200</v>
      </c>
      <c r="C6221" s="223"/>
      <c r="K6221" s="319"/>
      <c r="L6221" s="218"/>
    </row>
    <row r="6222">
      <c r="B6222" s="223" t="s">
        <v>200</v>
      </c>
      <c r="C6222" s="223"/>
      <c r="K6222" s="319"/>
      <c r="L6222" s="218"/>
    </row>
    <row r="6223">
      <c r="B6223" s="223" t="s">
        <v>200</v>
      </c>
      <c r="C6223" s="223"/>
      <c r="K6223" s="319"/>
      <c r="L6223" s="218"/>
    </row>
    <row r="6224">
      <c r="B6224" s="223" t="s">
        <v>200</v>
      </c>
      <c r="C6224" s="223"/>
      <c r="K6224" s="319"/>
      <c r="L6224" s="218"/>
    </row>
    <row r="6225">
      <c r="B6225" s="223" t="s">
        <v>200</v>
      </c>
      <c r="C6225" s="223"/>
      <c r="K6225" s="319"/>
      <c r="L6225" s="218"/>
    </row>
    <row r="6226">
      <c r="B6226" s="223" t="s">
        <v>200</v>
      </c>
      <c r="C6226" s="223"/>
      <c r="K6226" s="319"/>
      <c r="L6226" s="218"/>
    </row>
    <row r="6227">
      <c r="B6227" s="223" t="s">
        <v>200</v>
      </c>
      <c r="C6227" s="223"/>
      <c r="K6227" s="319"/>
      <c r="L6227" s="218"/>
    </row>
    <row r="6228">
      <c r="B6228" s="223" t="s">
        <v>200</v>
      </c>
      <c r="C6228" s="223"/>
      <c r="K6228" s="319"/>
      <c r="L6228" s="218"/>
    </row>
    <row r="6229">
      <c r="B6229" s="223" t="s">
        <v>200</v>
      </c>
      <c r="C6229" s="223"/>
      <c r="K6229" s="319"/>
      <c r="L6229" s="218"/>
    </row>
    <row r="6230">
      <c r="B6230" s="223" t="s">
        <v>200</v>
      </c>
      <c r="C6230" s="223"/>
      <c r="K6230" s="319"/>
      <c r="L6230" s="218"/>
    </row>
    <row r="6231">
      <c r="B6231" s="223" t="s">
        <v>200</v>
      </c>
      <c r="C6231" s="223"/>
      <c r="K6231" s="319"/>
      <c r="L6231" s="218"/>
    </row>
    <row r="6232">
      <c r="B6232" s="223" t="s">
        <v>200</v>
      </c>
      <c r="C6232" s="223"/>
      <c r="K6232" s="319"/>
      <c r="L6232" s="218"/>
    </row>
    <row r="6233">
      <c r="B6233" s="223" t="s">
        <v>200</v>
      </c>
      <c r="C6233" s="223"/>
      <c r="K6233" s="319"/>
      <c r="L6233" s="218"/>
    </row>
    <row r="6234">
      <c r="B6234" s="223" t="s">
        <v>200</v>
      </c>
      <c r="C6234" s="223"/>
      <c r="K6234" s="319"/>
      <c r="L6234" s="218"/>
    </row>
    <row r="6235">
      <c r="B6235" s="223" t="s">
        <v>200</v>
      </c>
      <c r="C6235" s="223"/>
      <c r="K6235" s="319"/>
      <c r="L6235" s="218"/>
    </row>
    <row r="6236">
      <c r="B6236" s="223" t="s">
        <v>200</v>
      </c>
      <c r="C6236" s="223"/>
      <c r="K6236" s="319"/>
      <c r="L6236" s="218"/>
    </row>
    <row r="6237">
      <c r="B6237" s="223" t="s">
        <v>200</v>
      </c>
      <c r="C6237" s="223"/>
      <c r="K6237" s="319"/>
      <c r="L6237" s="218"/>
    </row>
    <row r="6238">
      <c r="B6238" s="223" t="s">
        <v>200</v>
      </c>
      <c r="C6238" s="223"/>
      <c r="K6238" s="319"/>
      <c r="L6238" s="218"/>
    </row>
    <row r="6239">
      <c r="B6239" s="223" t="s">
        <v>200</v>
      </c>
      <c r="C6239" s="223"/>
      <c r="K6239" s="319"/>
      <c r="L6239" s="218"/>
    </row>
    <row r="6240">
      <c r="B6240" s="223" t="s">
        <v>200</v>
      </c>
      <c r="C6240" s="223"/>
      <c r="K6240" s="319"/>
      <c r="L6240" s="218"/>
    </row>
    <row r="6241">
      <c r="B6241" s="223" t="s">
        <v>200</v>
      </c>
      <c r="C6241" s="223"/>
      <c r="K6241" s="319"/>
      <c r="L6241" s="218"/>
    </row>
    <row r="6242">
      <c r="B6242" s="223" t="s">
        <v>200</v>
      </c>
      <c r="C6242" s="223"/>
      <c r="K6242" s="319"/>
      <c r="L6242" s="218"/>
    </row>
    <row r="6243">
      <c r="B6243" s="223" t="s">
        <v>200</v>
      </c>
      <c r="C6243" s="223"/>
      <c r="K6243" s="319"/>
      <c r="L6243" s="218"/>
    </row>
    <row r="6244">
      <c r="B6244" s="223" t="s">
        <v>200</v>
      </c>
      <c r="C6244" s="223"/>
      <c r="K6244" s="319"/>
      <c r="L6244" s="218"/>
    </row>
    <row r="6245">
      <c r="B6245" s="223" t="s">
        <v>200</v>
      </c>
      <c r="C6245" s="223"/>
      <c r="K6245" s="319"/>
      <c r="L6245" s="218"/>
    </row>
    <row r="6246">
      <c r="B6246" s="223" t="s">
        <v>200</v>
      </c>
      <c r="C6246" s="223"/>
      <c r="K6246" s="319"/>
      <c r="L6246" s="218"/>
    </row>
    <row r="6247">
      <c r="B6247" s="223" t="s">
        <v>200</v>
      </c>
      <c r="C6247" s="223"/>
      <c r="K6247" s="319"/>
      <c r="L6247" s="218"/>
    </row>
    <row r="6248">
      <c r="B6248" s="223" t="s">
        <v>200</v>
      </c>
      <c r="C6248" s="223"/>
      <c r="K6248" s="319"/>
      <c r="L6248" s="218"/>
    </row>
    <row r="6249">
      <c r="B6249" s="223" t="s">
        <v>200</v>
      </c>
      <c r="C6249" s="223"/>
      <c r="K6249" s="319"/>
      <c r="L6249" s="218"/>
    </row>
    <row r="6250">
      <c r="B6250" s="223" t="s">
        <v>200</v>
      </c>
      <c r="C6250" s="223"/>
      <c r="K6250" s="319"/>
      <c r="L6250" s="218"/>
    </row>
    <row r="6251">
      <c r="B6251" s="223" t="s">
        <v>200</v>
      </c>
      <c r="C6251" s="223"/>
      <c r="K6251" s="319"/>
      <c r="L6251" s="218"/>
    </row>
    <row r="6252">
      <c r="B6252" s="223" t="s">
        <v>200</v>
      </c>
      <c r="C6252" s="223"/>
      <c r="K6252" s="319"/>
      <c r="L6252" s="218"/>
    </row>
    <row r="6253">
      <c r="B6253" s="223" t="s">
        <v>200</v>
      </c>
      <c r="C6253" s="223"/>
      <c r="K6253" s="319"/>
      <c r="L6253" s="218"/>
    </row>
    <row r="6254">
      <c r="B6254" s="223" t="s">
        <v>200</v>
      </c>
      <c r="C6254" s="223"/>
      <c r="K6254" s="319"/>
      <c r="L6254" s="218"/>
    </row>
    <row r="6255">
      <c r="B6255" s="223" t="s">
        <v>200</v>
      </c>
      <c r="C6255" s="223"/>
      <c r="K6255" s="319"/>
      <c r="L6255" s="218"/>
    </row>
    <row r="6256">
      <c r="B6256" s="223" t="s">
        <v>200</v>
      </c>
      <c r="C6256" s="223"/>
      <c r="K6256" s="319"/>
      <c r="L6256" s="218"/>
    </row>
    <row r="6257">
      <c r="B6257" s="223" t="s">
        <v>200</v>
      </c>
      <c r="C6257" s="223"/>
      <c r="K6257" s="319"/>
      <c r="L6257" s="218"/>
    </row>
    <row r="6258">
      <c r="B6258" s="223" t="s">
        <v>200</v>
      </c>
      <c r="C6258" s="223"/>
      <c r="K6258" s="319"/>
      <c r="L6258" s="218"/>
    </row>
    <row r="6259">
      <c r="B6259" s="223" t="s">
        <v>200</v>
      </c>
      <c r="C6259" s="223"/>
      <c r="K6259" s="319"/>
      <c r="L6259" s="218"/>
    </row>
    <row r="6260">
      <c r="B6260" s="223" t="s">
        <v>200</v>
      </c>
      <c r="C6260" s="223"/>
      <c r="K6260" s="319"/>
      <c r="L6260" s="218"/>
    </row>
    <row r="6261">
      <c r="B6261" s="223" t="s">
        <v>200</v>
      </c>
      <c r="C6261" s="223"/>
      <c r="K6261" s="319"/>
      <c r="L6261" s="218"/>
    </row>
    <row r="6262">
      <c r="B6262" s="223" t="s">
        <v>200</v>
      </c>
      <c r="C6262" s="223"/>
      <c r="K6262" s="319"/>
      <c r="L6262" s="218"/>
    </row>
    <row r="6263">
      <c r="B6263" s="223" t="s">
        <v>200</v>
      </c>
      <c r="C6263" s="223"/>
      <c r="K6263" s="319"/>
      <c r="L6263" s="218"/>
    </row>
    <row r="6264">
      <c r="B6264" s="223" t="s">
        <v>200</v>
      </c>
      <c r="C6264" s="223"/>
      <c r="K6264" s="319"/>
      <c r="L6264" s="218"/>
    </row>
    <row r="6265">
      <c r="B6265" s="223" t="s">
        <v>200</v>
      </c>
      <c r="C6265" s="223"/>
      <c r="K6265" s="319"/>
      <c r="L6265" s="218"/>
    </row>
    <row r="6266">
      <c r="B6266" s="223" t="s">
        <v>200</v>
      </c>
      <c r="C6266" s="223"/>
      <c r="K6266" s="319"/>
      <c r="L6266" s="218"/>
    </row>
    <row r="6267">
      <c r="B6267" s="223" t="s">
        <v>200</v>
      </c>
      <c r="C6267" s="223"/>
      <c r="K6267" s="319"/>
      <c r="L6267" s="218"/>
    </row>
    <row r="6268">
      <c r="B6268" s="223" t="s">
        <v>200</v>
      </c>
      <c r="C6268" s="223"/>
      <c r="K6268" s="319"/>
      <c r="L6268" s="218"/>
    </row>
    <row r="6269">
      <c r="B6269" s="223" t="s">
        <v>200</v>
      </c>
      <c r="C6269" s="223"/>
      <c r="K6269" s="319"/>
      <c r="L6269" s="218"/>
    </row>
    <row r="6270">
      <c r="B6270" s="223" t="s">
        <v>200</v>
      </c>
      <c r="C6270" s="223"/>
      <c r="K6270" s="319"/>
      <c r="L6270" s="218"/>
    </row>
    <row r="6271">
      <c r="B6271" s="223" t="s">
        <v>200</v>
      </c>
      <c r="C6271" s="223"/>
      <c r="K6271" s="319"/>
      <c r="L6271" s="218"/>
    </row>
    <row r="6272">
      <c r="B6272" s="223" t="s">
        <v>200</v>
      </c>
      <c r="C6272" s="223"/>
      <c r="K6272" s="319"/>
      <c r="L6272" s="218"/>
    </row>
    <row r="6273">
      <c r="B6273" s="223" t="s">
        <v>200</v>
      </c>
      <c r="C6273" s="223"/>
      <c r="K6273" s="319"/>
      <c r="L6273" s="218"/>
    </row>
    <row r="6274">
      <c r="B6274" s="223" t="s">
        <v>200</v>
      </c>
      <c r="C6274" s="223"/>
      <c r="K6274" s="319"/>
      <c r="L6274" s="218"/>
    </row>
    <row r="6275">
      <c r="B6275" s="223" t="s">
        <v>200</v>
      </c>
      <c r="C6275" s="223"/>
      <c r="K6275" s="319"/>
      <c r="L6275" s="218"/>
    </row>
    <row r="6276">
      <c r="B6276" s="223" t="s">
        <v>200</v>
      </c>
      <c r="C6276" s="223"/>
      <c r="K6276" s="319"/>
      <c r="L6276" s="218"/>
    </row>
    <row r="6277">
      <c r="B6277" s="223" t="s">
        <v>200</v>
      </c>
      <c r="C6277" s="223"/>
      <c r="K6277" s="319"/>
      <c r="L6277" s="218"/>
    </row>
    <row r="6278">
      <c r="B6278" s="223" t="s">
        <v>200</v>
      </c>
      <c r="C6278" s="223"/>
      <c r="K6278" s="319"/>
      <c r="L6278" s="218"/>
    </row>
    <row r="6279">
      <c r="B6279" s="223" t="s">
        <v>200</v>
      </c>
      <c r="C6279" s="223"/>
      <c r="K6279" s="319"/>
      <c r="L6279" s="218"/>
    </row>
    <row r="6280">
      <c r="B6280" s="223" t="s">
        <v>200</v>
      </c>
      <c r="C6280" s="223"/>
      <c r="K6280" s="319"/>
      <c r="L6280" s="218"/>
    </row>
    <row r="6281">
      <c r="B6281" s="223" t="s">
        <v>200</v>
      </c>
      <c r="C6281" s="223"/>
      <c r="K6281" s="319"/>
      <c r="L6281" s="218"/>
    </row>
    <row r="6282">
      <c r="B6282" s="223" t="s">
        <v>200</v>
      </c>
      <c r="C6282" s="223"/>
      <c r="K6282" s="319"/>
      <c r="L6282" s="218"/>
    </row>
    <row r="6283">
      <c r="B6283" s="223" t="s">
        <v>200</v>
      </c>
      <c r="C6283" s="223"/>
      <c r="K6283" s="319"/>
      <c r="L6283" s="218"/>
    </row>
    <row r="6284">
      <c r="B6284" s="223" t="s">
        <v>200</v>
      </c>
      <c r="C6284" s="223"/>
      <c r="K6284" s="319"/>
      <c r="L6284" s="218"/>
    </row>
    <row r="6285">
      <c r="B6285" s="223" t="s">
        <v>200</v>
      </c>
      <c r="C6285" s="223"/>
      <c r="K6285" s="319"/>
      <c r="L6285" s="218"/>
    </row>
    <row r="6286">
      <c r="B6286" s="223" t="s">
        <v>200</v>
      </c>
      <c r="C6286" s="223"/>
      <c r="K6286" s="319"/>
      <c r="L6286" s="218"/>
    </row>
    <row r="6287">
      <c r="B6287" s="223" t="s">
        <v>200</v>
      </c>
      <c r="C6287" s="223"/>
      <c r="K6287" s="319"/>
      <c r="L6287" s="218"/>
    </row>
    <row r="6288">
      <c r="B6288" s="223" t="s">
        <v>200</v>
      </c>
      <c r="C6288" s="223"/>
      <c r="K6288" s="319"/>
      <c r="L6288" s="218"/>
    </row>
    <row r="6289">
      <c r="B6289" s="223" t="s">
        <v>200</v>
      </c>
      <c r="C6289" s="223"/>
      <c r="K6289" s="319"/>
      <c r="L6289" s="218"/>
    </row>
    <row r="6290">
      <c r="B6290" s="223" t="s">
        <v>200</v>
      </c>
      <c r="C6290" s="223"/>
      <c r="K6290" s="319"/>
      <c r="L6290" s="218"/>
    </row>
    <row r="6291">
      <c r="B6291" s="223" t="s">
        <v>200</v>
      </c>
      <c r="C6291" s="223"/>
      <c r="K6291" s="319"/>
      <c r="L6291" s="218"/>
    </row>
    <row r="6292">
      <c r="B6292" s="223" t="s">
        <v>200</v>
      </c>
      <c r="C6292" s="223"/>
      <c r="K6292" s="319"/>
      <c r="L6292" s="218"/>
    </row>
    <row r="6293">
      <c r="B6293" s="223" t="s">
        <v>200</v>
      </c>
      <c r="C6293" s="223"/>
      <c r="K6293" s="319"/>
      <c r="L6293" s="218"/>
    </row>
    <row r="6294">
      <c r="B6294" s="223" t="s">
        <v>200</v>
      </c>
      <c r="C6294" s="223"/>
      <c r="K6294" s="319"/>
      <c r="L6294" s="218"/>
    </row>
    <row r="6295">
      <c r="B6295" s="223" t="s">
        <v>200</v>
      </c>
      <c r="C6295" s="223"/>
      <c r="K6295" s="319"/>
      <c r="L6295" s="218"/>
    </row>
    <row r="6296">
      <c r="B6296" s="223" t="s">
        <v>200</v>
      </c>
      <c r="C6296" s="223"/>
      <c r="K6296" s="319"/>
      <c r="L6296" s="218"/>
    </row>
    <row r="6297">
      <c r="B6297" s="223" t="s">
        <v>200</v>
      </c>
      <c r="C6297" s="223"/>
      <c r="K6297" s="319"/>
      <c r="L6297" s="218"/>
    </row>
    <row r="6298">
      <c r="B6298" s="223" t="s">
        <v>200</v>
      </c>
      <c r="C6298" s="223"/>
      <c r="K6298" s="319"/>
      <c r="L6298" s="218"/>
    </row>
    <row r="6299">
      <c r="B6299" s="223" t="s">
        <v>200</v>
      </c>
      <c r="C6299" s="223"/>
      <c r="K6299" s="319"/>
      <c r="L6299" s="218"/>
    </row>
    <row r="6300">
      <c r="B6300" s="223" t="s">
        <v>200</v>
      </c>
      <c r="C6300" s="223"/>
      <c r="K6300" s="319"/>
      <c r="L6300" s="218"/>
    </row>
    <row r="6301">
      <c r="B6301" s="223" t="s">
        <v>200</v>
      </c>
      <c r="C6301" s="223"/>
      <c r="K6301" s="319"/>
      <c r="L6301" s="218"/>
    </row>
    <row r="6302">
      <c r="B6302" s="223" t="s">
        <v>200</v>
      </c>
      <c r="C6302" s="223"/>
      <c r="K6302" s="319"/>
      <c r="L6302" s="218"/>
    </row>
    <row r="6303">
      <c r="B6303" s="223" t="s">
        <v>200</v>
      </c>
      <c r="C6303" s="223"/>
      <c r="K6303" s="319"/>
      <c r="L6303" s="218"/>
    </row>
    <row r="6304">
      <c r="B6304" s="223" t="s">
        <v>200</v>
      </c>
      <c r="C6304" s="223"/>
      <c r="K6304" s="319"/>
      <c r="L6304" s="218"/>
    </row>
    <row r="6305">
      <c r="B6305" s="223" t="s">
        <v>200</v>
      </c>
      <c r="C6305" s="223"/>
      <c r="K6305" s="319"/>
      <c r="L6305" s="218"/>
    </row>
    <row r="6306">
      <c r="B6306" s="223" t="s">
        <v>200</v>
      </c>
      <c r="C6306" s="223"/>
      <c r="K6306" s="319"/>
      <c r="L6306" s="218"/>
    </row>
    <row r="6307">
      <c r="B6307" s="223" t="s">
        <v>200</v>
      </c>
      <c r="C6307" s="223"/>
      <c r="K6307" s="319"/>
      <c r="L6307" s="218"/>
    </row>
    <row r="6308">
      <c r="B6308" s="223" t="s">
        <v>200</v>
      </c>
      <c r="C6308" s="223"/>
      <c r="K6308" s="319"/>
      <c r="L6308" s="218"/>
    </row>
    <row r="6309">
      <c r="B6309" s="223" t="s">
        <v>200</v>
      </c>
      <c r="C6309" s="223"/>
      <c r="K6309" s="319"/>
      <c r="L6309" s="218"/>
    </row>
    <row r="6310">
      <c r="B6310" s="223" t="s">
        <v>200</v>
      </c>
      <c r="C6310" s="223"/>
      <c r="K6310" s="319"/>
      <c r="L6310" s="218"/>
    </row>
    <row r="6311">
      <c r="B6311" s="223" t="s">
        <v>200</v>
      </c>
      <c r="C6311" s="223"/>
      <c r="K6311" s="319"/>
      <c r="L6311" s="218"/>
    </row>
    <row r="6312">
      <c r="B6312" s="223" t="s">
        <v>200</v>
      </c>
      <c r="C6312" s="223"/>
      <c r="K6312" s="319"/>
      <c r="L6312" s="218"/>
    </row>
    <row r="6313">
      <c r="B6313" s="223" t="s">
        <v>200</v>
      </c>
      <c r="C6313" s="223"/>
      <c r="K6313" s="319"/>
      <c r="L6313" s="218"/>
    </row>
    <row r="6314">
      <c r="B6314" s="223" t="s">
        <v>200</v>
      </c>
      <c r="C6314" s="223"/>
      <c r="K6314" s="319"/>
      <c r="L6314" s="218"/>
    </row>
    <row r="6315">
      <c r="B6315" s="223" t="s">
        <v>200</v>
      </c>
      <c r="C6315" s="223"/>
      <c r="K6315" s="319"/>
      <c r="L6315" s="218"/>
    </row>
    <row r="6316">
      <c r="B6316" s="223" t="s">
        <v>200</v>
      </c>
      <c r="C6316" s="223"/>
      <c r="K6316" s="319"/>
      <c r="L6316" s="218"/>
    </row>
    <row r="6317">
      <c r="B6317" s="223" t="s">
        <v>200</v>
      </c>
      <c r="C6317" s="223"/>
      <c r="K6317" s="319"/>
      <c r="L6317" s="218"/>
    </row>
    <row r="6318">
      <c r="B6318" s="223" t="s">
        <v>200</v>
      </c>
      <c r="C6318" s="223"/>
      <c r="K6318" s="319"/>
      <c r="L6318" s="218"/>
    </row>
    <row r="6319">
      <c r="B6319" s="223" t="s">
        <v>200</v>
      </c>
      <c r="C6319" s="223"/>
      <c r="K6319" s="319"/>
      <c r="L6319" s="218"/>
    </row>
    <row r="6320">
      <c r="B6320" s="223" t="s">
        <v>200</v>
      </c>
      <c r="C6320" s="223"/>
      <c r="K6320" s="319"/>
      <c r="L6320" s="218"/>
    </row>
    <row r="6321">
      <c r="B6321" s="223" t="s">
        <v>200</v>
      </c>
      <c r="C6321" s="223"/>
      <c r="K6321" s="319"/>
      <c r="L6321" s="218"/>
    </row>
    <row r="6322">
      <c r="B6322" s="223" t="s">
        <v>200</v>
      </c>
      <c r="C6322" s="223"/>
      <c r="K6322" s="319"/>
      <c r="L6322" s="218"/>
    </row>
    <row r="6323">
      <c r="B6323" s="223" t="s">
        <v>200</v>
      </c>
      <c r="C6323" s="223"/>
      <c r="K6323" s="319"/>
      <c r="L6323" s="218"/>
    </row>
    <row r="6324">
      <c r="B6324" s="223" t="s">
        <v>200</v>
      </c>
      <c r="C6324" s="223"/>
      <c r="K6324" s="319"/>
      <c r="L6324" s="218"/>
    </row>
    <row r="6325">
      <c r="B6325" s="223" t="s">
        <v>200</v>
      </c>
      <c r="C6325" s="223"/>
      <c r="K6325" s="319"/>
      <c r="L6325" s="218"/>
    </row>
    <row r="6326">
      <c r="B6326" s="223" t="s">
        <v>200</v>
      </c>
      <c r="C6326" s="223"/>
      <c r="K6326" s="319"/>
      <c r="L6326" s="218"/>
    </row>
    <row r="6327">
      <c r="B6327" s="223" t="s">
        <v>200</v>
      </c>
      <c r="C6327" s="223"/>
      <c r="K6327" s="319"/>
      <c r="L6327" s="218"/>
    </row>
    <row r="6328">
      <c r="B6328" s="223" t="s">
        <v>200</v>
      </c>
      <c r="C6328" s="223"/>
      <c r="K6328" s="319"/>
      <c r="L6328" s="218"/>
    </row>
    <row r="6329">
      <c r="B6329" s="223" t="s">
        <v>200</v>
      </c>
      <c r="C6329" s="223"/>
      <c r="K6329" s="319"/>
      <c r="L6329" s="218"/>
    </row>
    <row r="6330">
      <c r="B6330" s="223" t="s">
        <v>200</v>
      </c>
      <c r="C6330" s="223"/>
      <c r="K6330" s="319"/>
      <c r="L6330" s="218"/>
    </row>
    <row r="6331">
      <c r="B6331" s="223" t="s">
        <v>200</v>
      </c>
      <c r="C6331" s="223"/>
      <c r="K6331" s="319"/>
      <c r="L6331" s="218"/>
    </row>
    <row r="6332">
      <c r="B6332" s="223" t="s">
        <v>200</v>
      </c>
      <c r="C6332" s="223"/>
      <c r="K6332" s="319"/>
      <c r="L6332" s="218"/>
    </row>
    <row r="6333">
      <c r="B6333" s="223" t="s">
        <v>200</v>
      </c>
      <c r="C6333" s="223"/>
      <c r="K6333" s="319"/>
      <c r="L6333" s="218"/>
    </row>
    <row r="6334">
      <c r="B6334" s="223" t="s">
        <v>200</v>
      </c>
      <c r="C6334" s="223"/>
      <c r="K6334" s="319"/>
      <c r="L6334" s="218"/>
    </row>
    <row r="6335">
      <c r="B6335" s="223" t="s">
        <v>200</v>
      </c>
      <c r="C6335" s="223"/>
      <c r="K6335" s="319"/>
      <c r="L6335" s="218"/>
    </row>
    <row r="6336">
      <c r="B6336" s="223" t="s">
        <v>200</v>
      </c>
      <c r="C6336" s="223"/>
      <c r="K6336" s="319"/>
      <c r="L6336" s="218"/>
    </row>
    <row r="6337">
      <c r="B6337" s="223" t="s">
        <v>200</v>
      </c>
      <c r="C6337" s="223"/>
      <c r="K6337" s="319"/>
      <c r="L6337" s="218"/>
    </row>
    <row r="6338">
      <c r="B6338" s="223" t="s">
        <v>200</v>
      </c>
      <c r="C6338" s="223"/>
      <c r="K6338" s="319"/>
      <c r="L6338" s="218"/>
    </row>
    <row r="6339">
      <c r="B6339" s="223" t="s">
        <v>200</v>
      </c>
      <c r="C6339" s="223"/>
      <c r="K6339" s="319"/>
      <c r="L6339" s="218"/>
    </row>
    <row r="6340">
      <c r="B6340" s="223" t="s">
        <v>200</v>
      </c>
      <c r="C6340" s="223"/>
      <c r="K6340" s="319"/>
      <c r="L6340" s="218"/>
    </row>
    <row r="6341">
      <c r="B6341" s="223" t="s">
        <v>200</v>
      </c>
      <c r="C6341" s="223"/>
      <c r="K6341" s="319"/>
      <c r="L6341" s="218"/>
    </row>
    <row r="6342">
      <c r="B6342" s="223" t="s">
        <v>200</v>
      </c>
      <c r="C6342" s="223"/>
      <c r="K6342" s="319"/>
      <c r="L6342" s="218"/>
    </row>
    <row r="6343">
      <c r="B6343" s="223" t="s">
        <v>200</v>
      </c>
      <c r="C6343" s="223"/>
      <c r="K6343" s="319"/>
      <c r="L6343" s="218"/>
    </row>
    <row r="6344">
      <c r="B6344" s="223" t="s">
        <v>200</v>
      </c>
      <c r="C6344" s="223"/>
      <c r="K6344" s="319"/>
      <c r="L6344" s="218"/>
    </row>
    <row r="6345">
      <c r="B6345" s="223" t="s">
        <v>200</v>
      </c>
      <c r="C6345" s="223"/>
      <c r="K6345" s="319"/>
      <c r="L6345" s="218"/>
    </row>
    <row r="6346">
      <c r="B6346" s="223" t="s">
        <v>200</v>
      </c>
      <c r="C6346" s="223"/>
      <c r="K6346" s="319"/>
      <c r="L6346" s="218"/>
    </row>
    <row r="6347">
      <c r="B6347" s="223" t="s">
        <v>200</v>
      </c>
      <c r="C6347" s="223"/>
      <c r="K6347" s="319"/>
      <c r="L6347" s="218"/>
    </row>
    <row r="6348">
      <c r="B6348" s="223" t="s">
        <v>200</v>
      </c>
      <c r="C6348" s="223"/>
      <c r="K6348" s="319"/>
      <c r="L6348" s="218"/>
    </row>
    <row r="6349">
      <c r="B6349" s="223" t="s">
        <v>200</v>
      </c>
      <c r="C6349" s="223"/>
      <c r="K6349" s="319"/>
      <c r="L6349" s="218"/>
    </row>
    <row r="6350">
      <c r="B6350" s="223" t="s">
        <v>200</v>
      </c>
      <c r="C6350" s="223"/>
      <c r="K6350" s="319"/>
      <c r="L6350" s="218"/>
    </row>
    <row r="6351">
      <c r="B6351" s="223" t="s">
        <v>200</v>
      </c>
      <c r="C6351" s="223"/>
      <c r="K6351" s="319"/>
      <c r="L6351" s="218"/>
    </row>
    <row r="6352">
      <c r="B6352" s="223" t="s">
        <v>200</v>
      </c>
      <c r="C6352" s="223"/>
      <c r="K6352" s="319"/>
      <c r="L6352" s="218"/>
    </row>
    <row r="6353">
      <c r="B6353" s="223" t="s">
        <v>200</v>
      </c>
      <c r="C6353" s="223"/>
      <c r="K6353" s="319"/>
      <c r="L6353" s="218"/>
    </row>
    <row r="6354">
      <c r="B6354" s="223" t="s">
        <v>200</v>
      </c>
      <c r="C6354" s="223"/>
      <c r="K6354" s="319"/>
      <c r="L6354" s="218"/>
    </row>
    <row r="6355">
      <c r="B6355" s="223" t="s">
        <v>200</v>
      </c>
      <c r="C6355" s="223"/>
      <c r="K6355" s="319"/>
      <c r="L6355" s="218"/>
    </row>
    <row r="6356">
      <c r="B6356" s="223" t="s">
        <v>200</v>
      </c>
      <c r="C6356" s="223"/>
      <c r="K6356" s="319"/>
      <c r="L6356" s="218"/>
    </row>
    <row r="6357">
      <c r="B6357" s="223" t="s">
        <v>200</v>
      </c>
      <c r="C6357" s="223"/>
      <c r="K6357" s="319"/>
      <c r="L6357" s="218"/>
    </row>
    <row r="6358">
      <c r="B6358" s="223" t="s">
        <v>200</v>
      </c>
      <c r="C6358" s="223"/>
      <c r="K6358" s="319"/>
      <c r="L6358" s="218"/>
    </row>
    <row r="6359">
      <c r="B6359" s="223" t="s">
        <v>200</v>
      </c>
      <c r="C6359" s="223"/>
      <c r="K6359" s="319"/>
      <c r="L6359" s="218"/>
    </row>
    <row r="6360">
      <c r="B6360" s="223" t="s">
        <v>200</v>
      </c>
      <c r="C6360" s="223"/>
      <c r="K6360" s="319"/>
      <c r="L6360" s="218"/>
    </row>
    <row r="6361">
      <c r="B6361" s="223" t="s">
        <v>200</v>
      </c>
      <c r="C6361" s="223"/>
      <c r="K6361" s="319"/>
      <c r="L6361" s="218"/>
    </row>
    <row r="6362">
      <c r="B6362" s="223" t="s">
        <v>200</v>
      </c>
      <c r="C6362" s="223"/>
      <c r="K6362" s="319"/>
      <c r="L6362" s="218"/>
    </row>
    <row r="6363">
      <c r="B6363" s="223" t="s">
        <v>200</v>
      </c>
      <c r="C6363" s="223"/>
      <c r="K6363" s="319"/>
      <c r="L6363" s="218"/>
    </row>
    <row r="6364">
      <c r="B6364" s="223" t="s">
        <v>200</v>
      </c>
      <c r="C6364" s="223"/>
      <c r="K6364" s="319"/>
      <c r="L6364" s="218"/>
    </row>
    <row r="6365">
      <c r="B6365" s="223" t="s">
        <v>200</v>
      </c>
      <c r="C6365" s="223"/>
      <c r="K6365" s="319"/>
      <c r="L6365" s="218"/>
    </row>
    <row r="6366">
      <c r="B6366" s="223" t="s">
        <v>200</v>
      </c>
      <c r="C6366" s="223"/>
      <c r="K6366" s="319"/>
      <c r="L6366" s="218"/>
    </row>
    <row r="6367">
      <c r="B6367" s="223" t="s">
        <v>200</v>
      </c>
      <c r="C6367" s="223"/>
      <c r="K6367" s="319"/>
      <c r="L6367" s="218"/>
    </row>
    <row r="6368">
      <c r="B6368" s="223" t="s">
        <v>200</v>
      </c>
      <c r="C6368" s="223"/>
      <c r="K6368" s="319"/>
      <c r="L6368" s="218"/>
    </row>
    <row r="6369">
      <c r="B6369" s="223" t="s">
        <v>200</v>
      </c>
      <c r="C6369" s="223"/>
      <c r="K6369" s="319"/>
      <c r="L6369" s="218"/>
    </row>
    <row r="6370">
      <c r="B6370" s="223" t="s">
        <v>200</v>
      </c>
      <c r="C6370" s="223"/>
      <c r="K6370" s="319"/>
      <c r="L6370" s="218"/>
    </row>
    <row r="6371">
      <c r="B6371" s="223" t="s">
        <v>200</v>
      </c>
      <c r="C6371" s="223"/>
      <c r="K6371" s="319"/>
      <c r="L6371" s="218"/>
    </row>
    <row r="6372">
      <c r="B6372" s="223" t="s">
        <v>200</v>
      </c>
      <c r="C6372" s="223"/>
      <c r="K6372" s="319"/>
      <c r="L6372" s="218"/>
    </row>
    <row r="6373">
      <c r="B6373" s="223" t="s">
        <v>200</v>
      </c>
      <c r="C6373" s="223"/>
      <c r="K6373" s="319"/>
      <c r="L6373" s="218"/>
    </row>
    <row r="6374">
      <c r="B6374" s="223" t="s">
        <v>200</v>
      </c>
      <c r="C6374" s="223"/>
      <c r="K6374" s="319"/>
      <c r="L6374" s="218"/>
    </row>
    <row r="6375">
      <c r="B6375" s="223" t="s">
        <v>200</v>
      </c>
      <c r="C6375" s="223"/>
      <c r="K6375" s="319"/>
      <c r="L6375" s="218"/>
    </row>
    <row r="6376">
      <c r="B6376" s="223" t="s">
        <v>200</v>
      </c>
      <c r="C6376" s="223"/>
      <c r="K6376" s="319"/>
      <c r="L6376" s="218"/>
    </row>
    <row r="6377">
      <c r="B6377" s="223" t="s">
        <v>200</v>
      </c>
      <c r="C6377" s="223"/>
      <c r="K6377" s="319"/>
      <c r="L6377" s="218"/>
    </row>
    <row r="6378">
      <c r="B6378" s="223" t="s">
        <v>200</v>
      </c>
      <c r="C6378" s="223"/>
      <c r="K6378" s="319"/>
      <c r="L6378" s="218"/>
    </row>
    <row r="6379">
      <c r="B6379" s="223" t="s">
        <v>200</v>
      </c>
      <c r="C6379" s="223"/>
      <c r="K6379" s="319"/>
      <c r="L6379" s="218"/>
    </row>
    <row r="6380">
      <c r="B6380" s="223" t="s">
        <v>200</v>
      </c>
      <c r="C6380" s="223"/>
      <c r="K6380" s="319"/>
      <c r="L6380" s="218"/>
    </row>
    <row r="6381">
      <c r="B6381" s="223" t="s">
        <v>200</v>
      </c>
      <c r="C6381" s="223"/>
      <c r="K6381" s="319"/>
      <c r="L6381" s="218"/>
    </row>
    <row r="6382">
      <c r="B6382" s="223" t="s">
        <v>200</v>
      </c>
      <c r="C6382" s="223"/>
      <c r="K6382" s="319"/>
      <c r="L6382" s="218"/>
    </row>
    <row r="6383">
      <c r="B6383" s="223" t="s">
        <v>200</v>
      </c>
      <c r="C6383" s="223"/>
      <c r="K6383" s="319"/>
      <c r="L6383" s="218"/>
    </row>
    <row r="6384">
      <c r="B6384" s="223" t="s">
        <v>200</v>
      </c>
      <c r="C6384" s="223"/>
      <c r="K6384" s="319"/>
      <c r="L6384" s="218"/>
    </row>
    <row r="6385">
      <c r="B6385" s="223" t="s">
        <v>200</v>
      </c>
      <c r="C6385" s="223"/>
      <c r="K6385" s="319"/>
      <c r="L6385" s="218"/>
    </row>
    <row r="6386">
      <c r="B6386" s="223" t="s">
        <v>200</v>
      </c>
      <c r="C6386" s="223"/>
      <c r="K6386" s="319"/>
      <c r="L6386" s="218"/>
    </row>
    <row r="6387">
      <c r="B6387" s="223" t="s">
        <v>200</v>
      </c>
      <c r="C6387" s="223"/>
      <c r="K6387" s="319"/>
      <c r="L6387" s="218"/>
    </row>
    <row r="6388">
      <c r="B6388" s="223" t="s">
        <v>200</v>
      </c>
      <c r="C6388" s="223"/>
      <c r="K6388" s="319"/>
      <c r="L6388" s="218"/>
    </row>
    <row r="6389">
      <c r="B6389" s="223" t="s">
        <v>200</v>
      </c>
      <c r="C6389" s="223"/>
      <c r="K6389" s="319"/>
      <c r="L6389" s="218"/>
    </row>
    <row r="6390">
      <c r="B6390" s="223" t="s">
        <v>200</v>
      </c>
      <c r="C6390" s="223"/>
      <c r="K6390" s="319"/>
      <c r="L6390" s="218"/>
    </row>
    <row r="6391">
      <c r="B6391" s="223" t="s">
        <v>200</v>
      </c>
      <c r="C6391" s="223"/>
      <c r="K6391" s="319"/>
      <c r="L6391" s="218"/>
    </row>
    <row r="6392">
      <c r="B6392" s="223" t="s">
        <v>200</v>
      </c>
      <c r="C6392" s="223"/>
      <c r="K6392" s="319"/>
      <c r="L6392" s="218"/>
    </row>
    <row r="6393">
      <c r="B6393" s="223" t="s">
        <v>200</v>
      </c>
      <c r="C6393" s="223"/>
      <c r="K6393" s="319"/>
      <c r="L6393" s="218"/>
    </row>
    <row r="6394">
      <c r="B6394" s="223" t="s">
        <v>200</v>
      </c>
      <c r="C6394" s="223"/>
      <c r="K6394" s="319"/>
      <c r="L6394" s="218"/>
    </row>
    <row r="6395">
      <c r="B6395" s="223" t="s">
        <v>200</v>
      </c>
      <c r="C6395" s="223"/>
      <c r="K6395" s="319"/>
      <c r="L6395" s="218"/>
    </row>
    <row r="6396">
      <c r="B6396" s="223" t="s">
        <v>200</v>
      </c>
      <c r="C6396" s="223"/>
      <c r="K6396" s="319"/>
      <c r="L6396" s="218"/>
    </row>
    <row r="6397">
      <c r="B6397" s="223" t="s">
        <v>200</v>
      </c>
      <c r="C6397" s="223"/>
      <c r="K6397" s="319"/>
      <c r="L6397" s="218"/>
    </row>
    <row r="6398">
      <c r="B6398" s="223" t="s">
        <v>200</v>
      </c>
      <c r="C6398" s="223"/>
      <c r="K6398" s="319"/>
      <c r="L6398" s="218"/>
    </row>
    <row r="6399">
      <c r="B6399" s="223" t="s">
        <v>200</v>
      </c>
      <c r="C6399" s="223"/>
      <c r="K6399" s="319"/>
      <c r="L6399" s="218"/>
    </row>
    <row r="6400">
      <c r="B6400" s="223" t="s">
        <v>200</v>
      </c>
      <c r="C6400" s="223"/>
      <c r="K6400" s="319"/>
      <c r="L6400" s="218"/>
    </row>
    <row r="6401">
      <c r="B6401" s="223" t="s">
        <v>200</v>
      </c>
      <c r="C6401" s="223"/>
      <c r="K6401" s="319"/>
      <c r="L6401" s="218"/>
    </row>
    <row r="6402">
      <c r="B6402" s="223" t="s">
        <v>200</v>
      </c>
      <c r="C6402" s="223"/>
      <c r="K6402" s="319"/>
      <c r="L6402" s="218"/>
    </row>
    <row r="6403">
      <c r="B6403" s="223" t="s">
        <v>200</v>
      </c>
      <c r="C6403" s="223"/>
      <c r="K6403" s="319"/>
      <c r="L6403" s="218"/>
    </row>
    <row r="6404">
      <c r="B6404" s="223" t="s">
        <v>200</v>
      </c>
      <c r="C6404" s="223"/>
      <c r="K6404" s="319"/>
      <c r="L6404" s="218"/>
    </row>
    <row r="6405">
      <c r="B6405" s="223" t="s">
        <v>200</v>
      </c>
      <c r="C6405" s="223"/>
      <c r="K6405" s="319"/>
      <c r="L6405" s="218"/>
    </row>
    <row r="6406">
      <c r="B6406" s="223" t="s">
        <v>200</v>
      </c>
      <c r="C6406" s="223"/>
      <c r="K6406" s="319"/>
      <c r="L6406" s="218"/>
    </row>
    <row r="6407">
      <c r="B6407" s="223" t="s">
        <v>200</v>
      </c>
      <c r="C6407" s="223"/>
      <c r="K6407" s="319"/>
      <c r="L6407" s="218"/>
    </row>
    <row r="6408">
      <c r="B6408" s="223" t="s">
        <v>200</v>
      </c>
      <c r="C6408" s="223"/>
      <c r="K6408" s="319"/>
      <c r="L6408" s="218"/>
    </row>
    <row r="6409">
      <c r="B6409" s="223" t="s">
        <v>200</v>
      </c>
      <c r="C6409" s="223"/>
      <c r="K6409" s="319"/>
      <c r="L6409" s="218"/>
    </row>
    <row r="6410">
      <c r="B6410" s="223" t="s">
        <v>200</v>
      </c>
      <c r="C6410" s="223"/>
      <c r="K6410" s="319"/>
      <c r="L6410" s="218"/>
    </row>
    <row r="6411">
      <c r="B6411" s="223" t="s">
        <v>200</v>
      </c>
      <c r="C6411" s="223"/>
      <c r="K6411" s="319"/>
      <c r="L6411" s="218"/>
    </row>
    <row r="6412">
      <c r="B6412" s="223" t="s">
        <v>200</v>
      </c>
      <c r="C6412" s="223"/>
      <c r="K6412" s="319"/>
      <c r="L6412" s="218"/>
    </row>
    <row r="6413">
      <c r="B6413" s="223" t="s">
        <v>200</v>
      </c>
      <c r="C6413" s="223"/>
      <c r="K6413" s="319"/>
      <c r="L6413" s="218"/>
    </row>
    <row r="6414">
      <c r="B6414" s="223" t="s">
        <v>200</v>
      </c>
      <c r="C6414" s="223"/>
      <c r="K6414" s="319"/>
      <c r="L6414" s="218"/>
    </row>
    <row r="6415">
      <c r="B6415" s="223" t="s">
        <v>200</v>
      </c>
      <c r="C6415" s="223"/>
      <c r="K6415" s="319"/>
      <c r="L6415" s="218"/>
    </row>
    <row r="6416">
      <c r="B6416" s="223" t="s">
        <v>200</v>
      </c>
      <c r="C6416" s="223"/>
      <c r="K6416" s="319"/>
      <c r="L6416" s="218"/>
    </row>
    <row r="6417">
      <c r="B6417" s="223" t="s">
        <v>200</v>
      </c>
      <c r="C6417" s="223"/>
      <c r="K6417" s="319"/>
      <c r="L6417" s="218"/>
    </row>
    <row r="6418">
      <c r="B6418" s="223" t="s">
        <v>200</v>
      </c>
      <c r="C6418" s="223"/>
      <c r="K6418" s="319"/>
      <c r="L6418" s="218"/>
    </row>
    <row r="6419">
      <c r="B6419" s="223" t="s">
        <v>200</v>
      </c>
      <c r="C6419" s="223"/>
      <c r="K6419" s="319"/>
      <c r="L6419" s="218"/>
    </row>
    <row r="6420">
      <c r="B6420" s="223" t="s">
        <v>200</v>
      </c>
      <c r="C6420" s="223"/>
      <c r="K6420" s="319"/>
      <c r="L6420" s="218"/>
    </row>
    <row r="6421">
      <c r="B6421" s="223" t="s">
        <v>200</v>
      </c>
      <c r="C6421" s="223"/>
      <c r="K6421" s="319"/>
      <c r="L6421" s="218"/>
    </row>
    <row r="6422">
      <c r="B6422" s="223" t="s">
        <v>200</v>
      </c>
      <c r="C6422" s="223"/>
      <c r="K6422" s="319"/>
      <c r="L6422" s="218"/>
    </row>
    <row r="6423">
      <c r="B6423" s="223" t="s">
        <v>200</v>
      </c>
      <c r="C6423" s="223"/>
      <c r="K6423" s="319"/>
      <c r="L6423" s="218"/>
    </row>
    <row r="6424">
      <c r="B6424" s="223" t="s">
        <v>200</v>
      </c>
      <c r="C6424" s="223"/>
      <c r="K6424" s="319"/>
      <c r="L6424" s="218"/>
    </row>
    <row r="6425">
      <c r="B6425" s="223" t="s">
        <v>200</v>
      </c>
      <c r="C6425" s="223"/>
      <c r="K6425" s="319"/>
      <c r="L6425" s="218"/>
    </row>
    <row r="6426">
      <c r="B6426" s="223" t="s">
        <v>200</v>
      </c>
      <c r="C6426" s="223"/>
      <c r="K6426" s="319"/>
      <c r="L6426" s="218"/>
    </row>
    <row r="6427">
      <c r="B6427" s="223" t="s">
        <v>200</v>
      </c>
      <c r="C6427" s="223"/>
      <c r="K6427" s="319"/>
      <c r="L6427" s="218"/>
    </row>
    <row r="6428">
      <c r="B6428" s="223" t="s">
        <v>200</v>
      </c>
      <c r="C6428" s="223"/>
      <c r="K6428" s="319"/>
      <c r="L6428" s="218"/>
    </row>
    <row r="6429">
      <c r="B6429" s="223" t="s">
        <v>200</v>
      </c>
      <c r="C6429" s="223"/>
      <c r="K6429" s="319"/>
      <c r="L6429" s="218"/>
    </row>
    <row r="6430">
      <c r="B6430" s="223" t="s">
        <v>200</v>
      </c>
      <c r="C6430" s="223"/>
      <c r="K6430" s="319"/>
      <c r="L6430" s="218"/>
    </row>
    <row r="6431">
      <c r="B6431" s="223" t="s">
        <v>200</v>
      </c>
      <c r="C6431" s="223"/>
      <c r="K6431" s="319"/>
      <c r="L6431" s="218"/>
    </row>
    <row r="6432">
      <c r="B6432" s="223" t="s">
        <v>200</v>
      </c>
      <c r="C6432" s="223"/>
      <c r="K6432" s="319"/>
      <c r="L6432" s="218"/>
    </row>
    <row r="6433">
      <c r="B6433" s="223" t="s">
        <v>200</v>
      </c>
      <c r="C6433" s="223"/>
      <c r="K6433" s="319"/>
      <c r="L6433" s="218"/>
    </row>
    <row r="6434">
      <c r="B6434" s="223" t="s">
        <v>200</v>
      </c>
      <c r="C6434" s="223"/>
      <c r="K6434" s="319"/>
      <c r="L6434" s="218"/>
    </row>
    <row r="6435">
      <c r="B6435" s="223" t="s">
        <v>200</v>
      </c>
      <c r="C6435" s="223"/>
      <c r="K6435" s="319"/>
      <c r="L6435" s="218"/>
    </row>
    <row r="6436">
      <c r="B6436" s="223" t="s">
        <v>200</v>
      </c>
      <c r="C6436" s="223"/>
      <c r="K6436" s="319"/>
      <c r="L6436" s="218"/>
    </row>
    <row r="6437">
      <c r="B6437" s="223" t="s">
        <v>200</v>
      </c>
      <c r="C6437" s="223"/>
      <c r="K6437" s="319"/>
      <c r="L6437" s="218"/>
    </row>
    <row r="6438">
      <c r="B6438" s="223" t="s">
        <v>200</v>
      </c>
      <c r="C6438" s="223"/>
      <c r="K6438" s="319"/>
      <c r="L6438" s="218"/>
    </row>
    <row r="6439">
      <c r="B6439" s="223" t="s">
        <v>200</v>
      </c>
      <c r="C6439" s="223"/>
      <c r="K6439" s="319"/>
      <c r="L6439" s="218"/>
    </row>
    <row r="6440">
      <c r="B6440" s="223" t="s">
        <v>200</v>
      </c>
      <c r="C6440" s="223"/>
      <c r="K6440" s="319"/>
      <c r="L6440" s="218"/>
    </row>
    <row r="6441">
      <c r="B6441" s="223" t="s">
        <v>200</v>
      </c>
      <c r="C6441" s="223"/>
      <c r="K6441" s="319"/>
      <c r="L6441" s="218"/>
    </row>
    <row r="6442">
      <c r="B6442" s="223" t="s">
        <v>200</v>
      </c>
      <c r="C6442" s="223"/>
      <c r="K6442" s="319"/>
      <c r="L6442" s="218"/>
    </row>
    <row r="6443">
      <c r="B6443" s="223" t="s">
        <v>200</v>
      </c>
      <c r="C6443" s="223"/>
      <c r="K6443" s="319"/>
      <c r="L6443" s="218"/>
    </row>
    <row r="6444">
      <c r="B6444" s="223" t="s">
        <v>200</v>
      </c>
      <c r="C6444" s="223"/>
      <c r="K6444" s="319"/>
      <c r="L6444" s="218"/>
    </row>
    <row r="6445">
      <c r="B6445" s="223" t="s">
        <v>200</v>
      </c>
      <c r="C6445" s="223"/>
      <c r="K6445" s="319"/>
      <c r="L6445" s="218"/>
    </row>
    <row r="6446">
      <c r="B6446" s="223" t="s">
        <v>200</v>
      </c>
      <c r="C6446" s="223"/>
      <c r="K6446" s="319"/>
      <c r="L6446" s="218"/>
    </row>
    <row r="6447">
      <c r="B6447" s="223" t="s">
        <v>200</v>
      </c>
      <c r="C6447" s="223"/>
      <c r="K6447" s="319"/>
      <c r="L6447" s="218"/>
    </row>
    <row r="6448">
      <c r="B6448" s="223" t="s">
        <v>200</v>
      </c>
      <c r="C6448" s="223"/>
      <c r="K6448" s="319"/>
      <c r="L6448" s="218"/>
    </row>
    <row r="6449">
      <c r="B6449" s="223" t="s">
        <v>200</v>
      </c>
      <c r="C6449" s="223"/>
      <c r="K6449" s="319"/>
      <c r="L6449" s="218"/>
    </row>
    <row r="6450">
      <c r="B6450" s="223" t="s">
        <v>200</v>
      </c>
      <c r="C6450" s="223"/>
      <c r="K6450" s="319"/>
      <c r="L6450" s="218"/>
    </row>
    <row r="6451">
      <c r="B6451" s="223" t="s">
        <v>200</v>
      </c>
      <c r="C6451" s="223"/>
      <c r="K6451" s="319"/>
      <c r="L6451" s="218"/>
    </row>
    <row r="6452">
      <c r="B6452" s="223" t="s">
        <v>200</v>
      </c>
      <c r="C6452" s="223"/>
      <c r="K6452" s="319"/>
      <c r="L6452" s="218"/>
    </row>
    <row r="6453">
      <c r="B6453" s="223" t="s">
        <v>200</v>
      </c>
      <c r="C6453" s="223"/>
      <c r="K6453" s="319"/>
      <c r="L6453" s="218"/>
    </row>
    <row r="6454">
      <c r="B6454" s="223" t="s">
        <v>200</v>
      </c>
      <c r="C6454" s="223"/>
      <c r="K6454" s="319"/>
      <c r="L6454" s="218"/>
    </row>
    <row r="6455">
      <c r="B6455" s="223" t="s">
        <v>200</v>
      </c>
      <c r="C6455" s="223"/>
      <c r="K6455" s="319"/>
      <c r="L6455" s="218"/>
    </row>
    <row r="6456">
      <c r="B6456" s="223" t="s">
        <v>200</v>
      </c>
      <c r="C6456" s="223"/>
      <c r="K6456" s="319"/>
      <c r="L6456" s="218"/>
    </row>
    <row r="6457">
      <c r="B6457" s="223" t="s">
        <v>200</v>
      </c>
      <c r="C6457" s="223"/>
      <c r="K6457" s="319"/>
      <c r="L6457" s="218"/>
    </row>
    <row r="6458">
      <c r="B6458" s="223" t="s">
        <v>200</v>
      </c>
      <c r="C6458" s="223"/>
      <c r="K6458" s="319"/>
      <c r="L6458" s="218"/>
    </row>
    <row r="6459">
      <c r="B6459" s="223" t="s">
        <v>200</v>
      </c>
      <c r="C6459" s="223"/>
      <c r="K6459" s="319"/>
      <c r="L6459" s="218"/>
    </row>
    <row r="6460">
      <c r="B6460" s="223" t="s">
        <v>200</v>
      </c>
      <c r="C6460" s="223"/>
      <c r="K6460" s="319"/>
      <c r="L6460" s="218"/>
    </row>
    <row r="6461">
      <c r="B6461" s="223" t="s">
        <v>200</v>
      </c>
      <c r="C6461" s="223"/>
      <c r="K6461" s="319"/>
      <c r="L6461" s="218"/>
    </row>
    <row r="6462">
      <c r="B6462" s="223" t="s">
        <v>200</v>
      </c>
      <c r="C6462" s="223"/>
      <c r="K6462" s="319"/>
      <c r="L6462" s="218"/>
    </row>
    <row r="6463">
      <c r="B6463" s="223" t="s">
        <v>200</v>
      </c>
      <c r="C6463" s="223"/>
      <c r="K6463" s="319"/>
      <c r="L6463" s="218"/>
    </row>
    <row r="6464">
      <c r="B6464" s="223" t="s">
        <v>200</v>
      </c>
      <c r="C6464" s="223"/>
      <c r="K6464" s="319"/>
      <c r="L6464" s="218"/>
    </row>
    <row r="6465">
      <c r="B6465" s="223" t="s">
        <v>200</v>
      </c>
      <c r="C6465" s="223"/>
      <c r="K6465" s="319"/>
      <c r="L6465" s="218"/>
    </row>
    <row r="6466">
      <c r="B6466" s="223" t="s">
        <v>200</v>
      </c>
      <c r="C6466" s="223"/>
      <c r="K6466" s="319"/>
      <c r="L6466" s="218"/>
    </row>
    <row r="6467">
      <c r="B6467" s="223" t="s">
        <v>200</v>
      </c>
      <c r="C6467" s="223"/>
      <c r="K6467" s="319"/>
      <c r="L6467" s="218"/>
    </row>
    <row r="6468">
      <c r="B6468" s="223" t="s">
        <v>200</v>
      </c>
      <c r="C6468" s="223"/>
      <c r="K6468" s="319"/>
      <c r="L6468" s="218"/>
    </row>
    <row r="6469">
      <c r="B6469" s="223" t="s">
        <v>200</v>
      </c>
      <c r="C6469" s="223"/>
      <c r="K6469" s="319"/>
      <c r="L6469" s="218"/>
    </row>
    <row r="6470">
      <c r="B6470" s="223" t="s">
        <v>200</v>
      </c>
      <c r="C6470" s="223"/>
      <c r="K6470" s="319"/>
      <c r="L6470" s="218"/>
    </row>
    <row r="6471">
      <c r="B6471" s="223" t="s">
        <v>200</v>
      </c>
      <c r="C6471" s="223"/>
      <c r="K6471" s="319"/>
      <c r="L6471" s="218"/>
    </row>
    <row r="6472">
      <c r="B6472" s="223" t="s">
        <v>200</v>
      </c>
      <c r="C6472" s="223"/>
      <c r="K6472" s="319"/>
      <c r="L6472" s="218"/>
    </row>
    <row r="6473">
      <c r="B6473" s="223" t="s">
        <v>200</v>
      </c>
      <c r="C6473" s="223"/>
      <c r="K6473" s="319"/>
      <c r="L6473" s="218"/>
    </row>
    <row r="6474">
      <c r="B6474" s="223" t="s">
        <v>200</v>
      </c>
      <c r="C6474" s="223"/>
      <c r="K6474" s="319"/>
      <c r="L6474" s="218"/>
    </row>
    <row r="6475">
      <c r="B6475" s="223" t="s">
        <v>200</v>
      </c>
      <c r="C6475" s="223"/>
      <c r="K6475" s="319"/>
      <c r="L6475" s="218"/>
    </row>
    <row r="6476">
      <c r="B6476" s="223" t="s">
        <v>200</v>
      </c>
      <c r="C6476" s="223"/>
      <c r="K6476" s="319"/>
      <c r="L6476" s="218"/>
    </row>
    <row r="6477">
      <c r="B6477" s="223" t="s">
        <v>200</v>
      </c>
      <c r="C6477" s="223"/>
      <c r="K6477" s="319"/>
      <c r="L6477" s="218"/>
    </row>
    <row r="6478">
      <c r="B6478" s="223" t="s">
        <v>200</v>
      </c>
      <c r="C6478" s="223"/>
      <c r="K6478" s="319"/>
      <c r="L6478" s="218"/>
    </row>
    <row r="6479">
      <c r="B6479" s="223" t="s">
        <v>200</v>
      </c>
      <c r="C6479" s="223"/>
      <c r="K6479" s="319"/>
      <c r="L6479" s="218"/>
    </row>
    <row r="6480">
      <c r="B6480" s="223" t="s">
        <v>200</v>
      </c>
      <c r="C6480" s="223"/>
      <c r="K6480" s="319"/>
      <c r="L6480" s="218"/>
    </row>
    <row r="6481">
      <c r="B6481" s="223" t="s">
        <v>200</v>
      </c>
      <c r="C6481" s="223"/>
      <c r="K6481" s="319"/>
      <c r="L6481" s="218"/>
    </row>
    <row r="6482">
      <c r="B6482" s="223" t="s">
        <v>200</v>
      </c>
      <c r="C6482" s="223"/>
      <c r="K6482" s="319"/>
      <c r="L6482" s="218"/>
    </row>
    <row r="6483">
      <c r="B6483" s="223" t="s">
        <v>200</v>
      </c>
      <c r="C6483" s="223"/>
      <c r="K6483" s="319"/>
      <c r="L6483" s="218"/>
    </row>
    <row r="6484">
      <c r="B6484" s="223" t="s">
        <v>200</v>
      </c>
      <c r="C6484" s="223"/>
      <c r="K6484" s="319"/>
      <c r="L6484" s="218"/>
    </row>
    <row r="6485">
      <c r="B6485" s="223" t="s">
        <v>200</v>
      </c>
      <c r="C6485" s="223"/>
      <c r="K6485" s="319"/>
      <c r="L6485" s="218"/>
    </row>
    <row r="6486">
      <c r="B6486" s="223" t="s">
        <v>200</v>
      </c>
      <c r="C6486" s="223"/>
      <c r="K6486" s="319"/>
      <c r="L6486" s="218"/>
    </row>
    <row r="6487">
      <c r="B6487" s="223" t="s">
        <v>200</v>
      </c>
      <c r="C6487" s="223"/>
      <c r="K6487" s="319"/>
      <c r="L6487" s="218"/>
    </row>
    <row r="6488">
      <c r="B6488" s="223" t="s">
        <v>200</v>
      </c>
      <c r="C6488" s="223"/>
      <c r="K6488" s="319"/>
      <c r="L6488" s="218"/>
    </row>
    <row r="6489">
      <c r="B6489" s="223" t="s">
        <v>200</v>
      </c>
      <c r="C6489" s="223"/>
      <c r="K6489" s="319"/>
      <c r="L6489" s="218"/>
    </row>
    <row r="6490">
      <c r="B6490" s="223" t="s">
        <v>200</v>
      </c>
      <c r="C6490" s="223"/>
      <c r="K6490" s="319"/>
      <c r="L6490" s="218"/>
    </row>
    <row r="6491">
      <c r="B6491" s="223" t="s">
        <v>200</v>
      </c>
      <c r="C6491" s="223"/>
      <c r="K6491" s="319"/>
      <c r="L6491" s="218"/>
    </row>
    <row r="6492">
      <c r="B6492" s="223" t="s">
        <v>200</v>
      </c>
      <c r="C6492" s="223"/>
      <c r="K6492" s="319"/>
      <c r="L6492" s="218"/>
    </row>
    <row r="6493">
      <c r="B6493" s="223" t="s">
        <v>200</v>
      </c>
      <c r="C6493" s="223"/>
      <c r="K6493" s="319"/>
      <c r="L6493" s="218"/>
    </row>
    <row r="6494">
      <c r="B6494" s="223" t="s">
        <v>200</v>
      </c>
      <c r="C6494" s="223"/>
      <c r="K6494" s="319"/>
      <c r="L6494" s="218"/>
    </row>
    <row r="6495">
      <c r="B6495" s="223" t="s">
        <v>200</v>
      </c>
      <c r="C6495" s="223"/>
      <c r="K6495" s="319"/>
      <c r="L6495" s="218"/>
    </row>
    <row r="6496">
      <c r="B6496" s="223" t="s">
        <v>200</v>
      </c>
      <c r="C6496" s="223"/>
      <c r="K6496" s="319"/>
      <c r="L6496" s="218"/>
    </row>
    <row r="6497">
      <c r="B6497" s="223" t="s">
        <v>200</v>
      </c>
      <c r="C6497" s="223"/>
      <c r="K6497" s="319"/>
      <c r="L6497" s="218"/>
    </row>
    <row r="6498">
      <c r="B6498" s="223" t="s">
        <v>200</v>
      </c>
      <c r="C6498" s="223"/>
      <c r="K6498" s="319"/>
      <c r="L6498" s="218"/>
    </row>
    <row r="6499">
      <c r="B6499" s="223" t="s">
        <v>200</v>
      </c>
      <c r="C6499" s="223"/>
      <c r="K6499" s="319"/>
      <c r="L6499" s="218"/>
    </row>
    <row r="6500">
      <c r="B6500" s="223" t="s">
        <v>200</v>
      </c>
      <c r="C6500" s="223"/>
      <c r="K6500" s="319"/>
      <c r="L6500" s="218"/>
    </row>
    <row r="6501">
      <c r="B6501" s="223" t="s">
        <v>200</v>
      </c>
      <c r="C6501" s="223"/>
      <c r="K6501" s="319"/>
      <c r="L6501" s="218"/>
    </row>
    <row r="6502">
      <c r="B6502" s="223" t="s">
        <v>200</v>
      </c>
      <c r="C6502" s="223"/>
      <c r="K6502" s="319"/>
      <c r="L6502" s="218"/>
    </row>
    <row r="6503">
      <c r="B6503" s="223" t="s">
        <v>200</v>
      </c>
      <c r="C6503" s="223"/>
      <c r="K6503" s="319"/>
      <c r="L6503" s="218"/>
    </row>
    <row r="6504">
      <c r="B6504" s="223" t="s">
        <v>200</v>
      </c>
      <c r="C6504" s="223"/>
      <c r="K6504" s="319"/>
      <c r="L6504" s="218"/>
    </row>
    <row r="6505">
      <c r="B6505" s="223" t="s">
        <v>200</v>
      </c>
      <c r="C6505" s="223"/>
      <c r="K6505" s="319"/>
      <c r="L6505" s="218"/>
    </row>
    <row r="6506">
      <c r="B6506" s="223" t="s">
        <v>200</v>
      </c>
      <c r="C6506" s="223"/>
      <c r="K6506" s="319"/>
      <c r="L6506" s="218"/>
    </row>
    <row r="6507">
      <c r="B6507" s="223" t="s">
        <v>200</v>
      </c>
      <c r="C6507" s="223"/>
      <c r="K6507" s="319"/>
      <c r="L6507" s="218"/>
    </row>
    <row r="6508">
      <c r="B6508" s="223" t="s">
        <v>200</v>
      </c>
      <c r="C6508" s="223"/>
      <c r="K6508" s="319"/>
      <c r="L6508" s="218"/>
    </row>
    <row r="6509">
      <c r="B6509" s="223" t="s">
        <v>200</v>
      </c>
      <c r="C6509" s="223"/>
      <c r="K6509" s="319"/>
      <c r="L6509" s="218"/>
    </row>
    <row r="6510">
      <c r="B6510" s="223" t="s">
        <v>200</v>
      </c>
      <c r="C6510" s="223"/>
      <c r="K6510" s="319"/>
      <c r="L6510" s="218"/>
    </row>
    <row r="6511">
      <c r="B6511" s="223" t="s">
        <v>200</v>
      </c>
      <c r="C6511" s="223"/>
      <c r="K6511" s="319"/>
      <c r="L6511" s="218"/>
    </row>
    <row r="6512">
      <c r="B6512" s="223" t="s">
        <v>200</v>
      </c>
      <c r="C6512" s="223"/>
      <c r="K6512" s="319"/>
      <c r="L6512" s="218"/>
    </row>
    <row r="6513">
      <c r="B6513" s="223" t="s">
        <v>200</v>
      </c>
      <c r="C6513" s="223"/>
      <c r="K6513" s="319"/>
      <c r="L6513" s="218"/>
    </row>
    <row r="6514">
      <c r="B6514" s="223" t="s">
        <v>200</v>
      </c>
      <c r="C6514" s="223"/>
      <c r="K6514" s="319"/>
      <c r="L6514" s="218"/>
    </row>
    <row r="6515">
      <c r="B6515" s="223" t="s">
        <v>200</v>
      </c>
      <c r="C6515" s="223"/>
      <c r="K6515" s="319"/>
      <c r="L6515" s="218"/>
    </row>
    <row r="6516">
      <c r="B6516" s="223" t="s">
        <v>200</v>
      </c>
      <c r="C6516" s="223"/>
      <c r="K6516" s="319"/>
      <c r="L6516" s="218"/>
    </row>
    <row r="6517">
      <c r="B6517" s="223" t="s">
        <v>200</v>
      </c>
      <c r="C6517" s="223"/>
      <c r="K6517" s="319"/>
      <c r="L6517" s="218"/>
    </row>
    <row r="6518">
      <c r="B6518" s="223" t="s">
        <v>200</v>
      </c>
      <c r="C6518" s="223"/>
      <c r="K6518" s="319"/>
      <c r="L6518" s="218"/>
    </row>
    <row r="6519">
      <c r="B6519" s="223" t="s">
        <v>200</v>
      </c>
      <c r="C6519" s="223"/>
      <c r="K6519" s="319"/>
      <c r="L6519" s="218"/>
    </row>
    <row r="6520">
      <c r="B6520" s="223" t="s">
        <v>200</v>
      </c>
      <c r="C6520" s="223"/>
      <c r="K6520" s="319"/>
      <c r="L6520" s="218"/>
    </row>
    <row r="6521">
      <c r="B6521" s="223" t="s">
        <v>200</v>
      </c>
      <c r="C6521" s="223"/>
      <c r="K6521" s="319"/>
      <c r="L6521" s="218"/>
    </row>
    <row r="6522">
      <c r="B6522" s="223" t="s">
        <v>200</v>
      </c>
      <c r="C6522" s="223"/>
      <c r="K6522" s="319"/>
      <c r="L6522" s="218"/>
    </row>
    <row r="6523">
      <c r="B6523" s="223" t="s">
        <v>200</v>
      </c>
      <c r="C6523" s="223"/>
      <c r="K6523" s="319"/>
      <c r="L6523" s="218"/>
    </row>
    <row r="6524">
      <c r="B6524" s="223" t="s">
        <v>200</v>
      </c>
      <c r="C6524" s="223"/>
      <c r="K6524" s="319"/>
      <c r="L6524" s="218"/>
    </row>
    <row r="6525">
      <c r="B6525" s="223" t="s">
        <v>200</v>
      </c>
      <c r="C6525" s="223"/>
      <c r="K6525" s="319"/>
      <c r="L6525" s="218"/>
    </row>
    <row r="6526">
      <c r="B6526" s="223" t="s">
        <v>200</v>
      </c>
      <c r="C6526" s="223"/>
      <c r="K6526" s="319"/>
      <c r="L6526" s="218"/>
    </row>
    <row r="6527">
      <c r="B6527" s="223" t="s">
        <v>200</v>
      </c>
      <c r="C6527" s="223"/>
      <c r="K6527" s="319"/>
      <c r="L6527" s="218"/>
    </row>
    <row r="6528">
      <c r="B6528" s="223" t="s">
        <v>200</v>
      </c>
      <c r="C6528" s="223"/>
      <c r="K6528" s="319"/>
      <c r="L6528" s="218"/>
    </row>
    <row r="6529">
      <c r="B6529" s="223" t="s">
        <v>200</v>
      </c>
      <c r="C6529" s="223"/>
      <c r="K6529" s="319"/>
      <c r="L6529" s="218"/>
    </row>
    <row r="6530">
      <c r="B6530" s="223" t="s">
        <v>200</v>
      </c>
      <c r="C6530" s="223"/>
      <c r="K6530" s="319"/>
      <c r="L6530" s="218"/>
    </row>
    <row r="6531">
      <c r="B6531" s="223" t="s">
        <v>200</v>
      </c>
      <c r="C6531" s="223"/>
      <c r="K6531" s="319"/>
      <c r="L6531" s="218"/>
    </row>
    <row r="6532">
      <c r="B6532" s="223" t="s">
        <v>200</v>
      </c>
      <c r="C6532" s="223"/>
      <c r="K6532" s="319"/>
      <c r="L6532" s="218"/>
    </row>
    <row r="6533">
      <c r="B6533" s="223" t="s">
        <v>200</v>
      </c>
      <c r="C6533" s="223"/>
      <c r="K6533" s="319"/>
      <c r="L6533" s="218"/>
    </row>
    <row r="6534">
      <c r="B6534" s="223" t="s">
        <v>200</v>
      </c>
      <c r="C6534" s="223"/>
      <c r="K6534" s="319"/>
      <c r="L6534" s="218"/>
    </row>
    <row r="6535">
      <c r="B6535" s="223" t="s">
        <v>200</v>
      </c>
      <c r="C6535" s="223"/>
      <c r="K6535" s="319"/>
      <c r="L6535" s="218"/>
    </row>
    <row r="6536">
      <c r="B6536" s="223" t="s">
        <v>200</v>
      </c>
      <c r="C6536" s="223"/>
      <c r="K6536" s="319"/>
      <c r="L6536" s="218"/>
    </row>
    <row r="6537">
      <c r="B6537" s="223" t="s">
        <v>200</v>
      </c>
      <c r="C6537" s="223"/>
      <c r="K6537" s="319"/>
      <c r="L6537" s="218"/>
    </row>
    <row r="6538">
      <c r="B6538" s="223" t="s">
        <v>200</v>
      </c>
      <c r="C6538" s="223"/>
      <c r="K6538" s="319"/>
      <c r="L6538" s="218"/>
    </row>
    <row r="6539">
      <c r="B6539" s="223" t="s">
        <v>200</v>
      </c>
      <c r="C6539" s="223"/>
      <c r="K6539" s="319"/>
      <c r="L6539" s="218"/>
    </row>
    <row r="6540">
      <c r="B6540" s="223" t="s">
        <v>200</v>
      </c>
      <c r="C6540" s="223"/>
      <c r="K6540" s="319"/>
      <c r="L6540" s="218"/>
    </row>
    <row r="6541">
      <c r="B6541" s="223" t="s">
        <v>200</v>
      </c>
      <c r="C6541" s="223"/>
      <c r="K6541" s="319"/>
      <c r="L6541" s="218"/>
    </row>
    <row r="6542">
      <c r="B6542" s="223" t="s">
        <v>200</v>
      </c>
      <c r="C6542" s="223"/>
      <c r="K6542" s="319"/>
      <c r="L6542" s="218"/>
    </row>
    <row r="6543">
      <c r="B6543" s="223" t="s">
        <v>200</v>
      </c>
      <c r="C6543" s="223"/>
      <c r="K6543" s="319"/>
      <c r="L6543" s="218"/>
    </row>
    <row r="6544">
      <c r="B6544" s="223" t="s">
        <v>200</v>
      </c>
      <c r="C6544" s="223"/>
      <c r="K6544" s="319"/>
      <c r="L6544" s="218"/>
    </row>
    <row r="6545">
      <c r="B6545" s="223" t="s">
        <v>200</v>
      </c>
      <c r="C6545" s="223"/>
      <c r="K6545" s="319"/>
      <c r="L6545" s="218"/>
    </row>
    <row r="6546">
      <c r="B6546" s="223" t="s">
        <v>200</v>
      </c>
      <c r="C6546" s="223"/>
      <c r="K6546" s="319"/>
      <c r="L6546" s="218"/>
    </row>
    <row r="6547">
      <c r="B6547" s="223" t="s">
        <v>200</v>
      </c>
      <c r="C6547" s="223"/>
      <c r="K6547" s="319"/>
      <c r="L6547" s="218"/>
    </row>
    <row r="6548">
      <c r="B6548" s="223" t="s">
        <v>200</v>
      </c>
      <c r="C6548" s="223"/>
      <c r="K6548" s="319"/>
      <c r="L6548" s="218"/>
    </row>
    <row r="6549">
      <c r="B6549" s="223" t="s">
        <v>200</v>
      </c>
      <c r="C6549" s="223"/>
      <c r="K6549" s="319"/>
      <c r="L6549" s="218"/>
    </row>
    <row r="6550">
      <c r="B6550" s="223" t="s">
        <v>200</v>
      </c>
      <c r="C6550" s="223"/>
      <c r="K6550" s="319"/>
      <c r="L6550" s="218"/>
    </row>
    <row r="6551">
      <c r="B6551" s="223" t="s">
        <v>200</v>
      </c>
      <c r="C6551" s="223"/>
      <c r="K6551" s="319"/>
      <c r="L6551" s="218"/>
    </row>
    <row r="6552">
      <c r="B6552" s="223" t="s">
        <v>200</v>
      </c>
      <c r="C6552" s="223"/>
      <c r="K6552" s="319"/>
      <c r="L6552" s="218"/>
    </row>
    <row r="6553">
      <c r="B6553" s="223" t="s">
        <v>200</v>
      </c>
      <c r="C6553" s="223"/>
      <c r="K6553" s="319"/>
      <c r="L6553" s="218"/>
    </row>
    <row r="6554">
      <c r="B6554" s="223" t="s">
        <v>200</v>
      </c>
      <c r="C6554" s="223"/>
      <c r="K6554" s="319"/>
      <c r="L6554" s="218"/>
    </row>
    <row r="6555">
      <c r="B6555" s="223" t="s">
        <v>200</v>
      </c>
      <c r="C6555" s="223"/>
      <c r="K6555" s="319"/>
      <c r="L6555" s="218"/>
    </row>
    <row r="6556">
      <c r="B6556" s="223" t="s">
        <v>200</v>
      </c>
      <c r="C6556" s="223"/>
      <c r="K6556" s="319"/>
      <c r="L6556" s="218"/>
    </row>
    <row r="6557">
      <c r="B6557" s="223" t="s">
        <v>200</v>
      </c>
      <c r="C6557" s="223"/>
      <c r="K6557" s="319"/>
      <c r="L6557" s="218"/>
    </row>
    <row r="6558">
      <c r="B6558" s="223" t="s">
        <v>200</v>
      </c>
      <c r="C6558" s="223"/>
      <c r="K6558" s="319"/>
      <c r="L6558" s="218"/>
    </row>
    <row r="6559">
      <c r="B6559" s="223" t="s">
        <v>200</v>
      </c>
      <c r="C6559" s="223"/>
      <c r="K6559" s="319"/>
      <c r="L6559" s="218"/>
    </row>
    <row r="6560">
      <c r="B6560" s="223" t="s">
        <v>200</v>
      </c>
      <c r="C6560" s="223"/>
      <c r="K6560" s="319"/>
      <c r="L6560" s="218"/>
    </row>
    <row r="6561">
      <c r="B6561" s="223" t="s">
        <v>200</v>
      </c>
      <c r="C6561" s="223"/>
      <c r="K6561" s="319"/>
      <c r="L6561" s="218"/>
    </row>
    <row r="6562">
      <c r="B6562" s="223" t="s">
        <v>200</v>
      </c>
      <c r="C6562" s="223"/>
      <c r="K6562" s="319"/>
      <c r="L6562" s="218"/>
    </row>
    <row r="6563">
      <c r="B6563" s="223" t="s">
        <v>200</v>
      </c>
      <c r="C6563" s="223"/>
      <c r="K6563" s="319"/>
      <c r="L6563" s="218"/>
    </row>
    <row r="6564">
      <c r="B6564" s="223" t="s">
        <v>200</v>
      </c>
      <c r="C6564" s="223"/>
      <c r="K6564" s="319"/>
      <c r="L6564" s="218"/>
    </row>
    <row r="6565">
      <c r="B6565" s="223" t="s">
        <v>200</v>
      </c>
      <c r="C6565" s="223"/>
      <c r="K6565" s="319"/>
      <c r="L6565" s="218"/>
    </row>
    <row r="6566">
      <c r="B6566" s="223" t="s">
        <v>200</v>
      </c>
      <c r="C6566" s="223"/>
      <c r="K6566" s="319"/>
      <c r="L6566" s="218"/>
    </row>
    <row r="6567">
      <c r="B6567" s="223" t="s">
        <v>200</v>
      </c>
      <c r="C6567" s="223"/>
      <c r="K6567" s="319"/>
      <c r="L6567" s="218"/>
    </row>
    <row r="6568">
      <c r="B6568" s="223" t="s">
        <v>200</v>
      </c>
      <c r="C6568" s="223"/>
      <c r="K6568" s="319"/>
      <c r="L6568" s="218"/>
    </row>
    <row r="6569">
      <c r="B6569" s="223" t="s">
        <v>200</v>
      </c>
      <c r="C6569" s="223"/>
      <c r="K6569" s="319"/>
      <c r="L6569" s="218"/>
    </row>
    <row r="6570">
      <c r="B6570" s="223" t="s">
        <v>200</v>
      </c>
      <c r="C6570" s="223"/>
      <c r="K6570" s="319"/>
      <c r="L6570" s="218"/>
    </row>
    <row r="6571">
      <c r="B6571" s="223" t="s">
        <v>200</v>
      </c>
      <c r="C6571" s="223"/>
      <c r="K6571" s="319"/>
      <c r="L6571" s="218"/>
    </row>
    <row r="6572">
      <c r="B6572" s="223" t="s">
        <v>200</v>
      </c>
      <c r="C6572" s="223"/>
      <c r="K6572" s="319"/>
      <c r="L6572" s="218"/>
    </row>
    <row r="6573">
      <c r="B6573" s="223" t="s">
        <v>200</v>
      </c>
      <c r="C6573" s="223"/>
      <c r="K6573" s="319"/>
      <c r="L6573" s="218"/>
    </row>
    <row r="6574">
      <c r="B6574" s="223" t="s">
        <v>200</v>
      </c>
      <c r="C6574" s="223"/>
      <c r="K6574" s="319"/>
      <c r="L6574" s="218"/>
    </row>
    <row r="6575">
      <c r="B6575" s="223" t="s">
        <v>200</v>
      </c>
      <c r="C6575" s="223"/>
      <c r="K6575" s="319"/>
      <c r="L6575" s="218"/>
    </row>
    <row r="6576">
      <c r="B6576" s="223" t="s">
        <v>200</v>
      </c>
      <c r="C6576" s="223"/>
      <c r="K6576" s="319"/>
      <c r="L6576" s="218"/>
    </row>
    <row r="6577">
      <c r="B6577" s="223" t="s">
        <v>200</v>
      </c>
      <c r="C6577" s="223"/>
      <c r="K6577" s="319"/>
      <c r="L6577" s="218"/>
    </row>
    <row r="6578">
      <c r="B6578" s="223" t="s">
        <v>200</v>
      </c>
      <c r="C6578" s="223"/>
      <c r="K6578" s="319"/>
      <c r="L6578" s="218"/>
    </row>
    <row r="6579">
      <c r="B6579" s="223" t="s">
        <v>200</v>
      </c>
      <c r="C6579" s="223"/>
      <c r="K6579" s="319"/>
      <c r="L6579" s="218"/>
    </row>
    <row r="6580">
      <c r="B6580" s="223" t="s">
        <v>200</v>
      </c>
      <c r="C6580" s="223"/>
      <c r="K6580" s="319"/>
      <c r="L6580" s="218"/>
    </row>
    <row r="6581">
      <c r="B6581" s="223" t="s">
        <v>200</v>
      </c>
      <c r="C6581" s="223"/>
      <c r="K6581" s="319"/>
      <c r="L6581" s="218"/>
    </row>
    <row r="6582">
      <c r="B6582" s="223" t="s">
        <v>200</v>
      </c>
      <c r="C6582" s="223"/>
      <c r="K6582" s="319"/>
      <c r="L6582" s="218"/>
    </row>
    <row r="6583">
      <c r="B6583" s="223" t="s">
        <v>200</v>
      </c>
      <c r="C6583" s="223"/>
      <c r="K6583" s="319"/>
      <c r="L6583" s="218"/>
    </row>
    <row r="6584">
      <c r="B6584" s="223" t="s">
        <v>200</v>
      </c>
      <c r="C6584" s="223"/>
      <c r="K6584" s="319"/>
      <c r="L6584" s="218"/>
    </row>
    <row r="6585">
      <c r="B6585" s="223" t="s">
        <v>200</v>
      </c>
      <c r="C6585" s="223"/>
      <c r="K6585" s="319"/>
      <c r="L6585" s="218"/>
    </row>
    <row r="6586">
      <c r="B6586" s="223" t="s">
        <v>200</v>
      </c>
      <c r="C6586" s="223"/>
      <c r="K6586" s="319"/>
      <c r="L6586" s="218"/>
    </row>
    <row r="6587">
      <c r="B6587" s="223" t="s">
        <v>200</v>
      </c>
      <c r="C6587" s="223"/>
      <c r="K6587" s="319"/>
      <c r="L6587" s="218"/>
    </row>
    <row r="6588">
      <c r="B6588" s="223" t="s">
        <v>200</v>
      </c>
      <c r="C6588" s="223"/>
      <c r="K6588" s="319"/>
      <c r="L6588" s="218"/>
    </row>
    <row r="6589">
      <c r="B6589" s="223" t="s">
        <v>200</v>
      </c>
      <c r="C6589" s="223"/>
      <c r="K6589" s="319"/>
      <c r="L6589" s="218"/>
    </row>
    <row r="6590">
      <c r="B6590" s="223" t="s">
        <v>200</v>
      </c>
      <c r="C6590" s="223"/>
      <c r="K6590" s="319"/>
      <c r="L6590" s="218"/>
    </row>
    <row r="6591">
      <c r="B6591" s="223" t="s">
        <v>200</v>
      </c>
      <c r="C6591" s="223"/>
      <c r="K6591" s="319"/>
      <c r="L6591" s="218"/>
    </row>
    <row r="6592">
      <c r="B6592" s="223" t="s">
        <v>200</v>
      </c>
      <c r="C6592" s="223"/>
      <c r="K6592" s="319"/>
      <c r="L6592" s="218"/>
    </row>
    <row r="6593">
      <c r="B6593" s="223" t="s">
        <v>200</v>
      </c>
      <c r="C6593" s="223"/>
      <c r="K6593" s="319"/>
      <c r="L6593" s="218"/>
    </row>
    <row r="6594">
      <c r="B6594" s="223" t="s">
        <v>200</v>
      </c>
      <c r="C6594" s="223"/>
      <c r="K6594" s="319"/>
      <c r="L6594" s="218"/>
    </row>
    <row r="6595">
      <c r="B6595" s="223" t="s">
        <v>200</v>
      </c>
      <c r="C6595" s="223"/>
      <c r="K6595" s="319"/>
      <c r="L6595" s="218"/>
    </row>
    <row r="6596">
      <c r="B6596" s="223" t="s">
        <v>200</v>
      </c>
      <c r="C6596" s="223"/>
      <c r="K6596" s="319"/>
      <c r="L6596" s="218"/>
    </row>
    <row r="6597">
      <c r="B6597" s="223" t="s">
        <v>200</v>
      </c>
      <c r="C6597" s="223"/>
      <c r="K6597" s="319"/>
      <c r="L6597" s="218"/>
    </row>
    <row r="6598">
      <c r="B6598" s="223" t="s">
        <v>200</v>
      </c>
      <c r="C6598" s="223"/>
      <c r="K6598" s="319"/>
      <c r="L6598" s="218"/>
    </row>
    <row r="6599">
      <c r="B6599" s="223" t="s">
        <v>200</v>
      </c>
      <c r="C6599" s="223"/>
      <c r="K6599" s="319"/>
      <c r="L6599" s="218"/>
    </row>
    <row r="6600">
      <c r="B6600" s="223" t="s">
        <v>200</v>
      </c>
      <c r="C6600" s="223"/>
      <c r="K6600" s="319"/>
      <c r="L6600" s="218"/>
    </row>
    <row r="6601">
      <c r="B6601" s="223" t="s">
        <v>200</v>
      </c>
      <c r="C6601" s="223"/>
      <c r="K6601" s="319"/>
      <c r="L6601" s="218"/>
    </row>
    <row r="6602">
      <c r="B6602" s="223" t="s">
        <v>200</v>
      </c>
      <c r="C6602" s="223"/>
      <c r="K6602" s="319"/>
      <c r="L6602" s="218"/>
    </row>
    <row r="6603">
      <c r="B6603" s="223" t="s">
        <v>200</v>
      </c>
      <c r="C6603" s="223"/>
      <c r="K6603" s="319"/>
      <c r="L6603" s="218"/>
    </row>
    <row r="6604">
      <c r="B6604" s="223" t="s">
        <v>200</v>
      </c>
      <c r="C6604" s="223"/>
      <c r="K6604" s="319"/>
      <c r="L6604" s="218"/>
    </row>
    <row r="6605">
      <c r="B6605" s="223" t="s">
        <v>200</v>
      </c>
      <c r="C6605" s="223"/>
      <c r="K6605" s="319"/>
      <c r="L6605" s="218"/>
    </row>
    <row r="6606">
      <c r="B6606" s="223" t="s">
        <v>200</v>
      </c>
      <c r="C6606" s="223"/>
      <c r="K6606" s="319"/>
      <c r="L6606" s="218"/>
    </row>
    <row r="6607">
      <c r="B6607" s="223" t="s">
        <v>200</v>
      </c>
      <c r="C6607" s="223"/>
      <c r="K6607" s="319"/>
      <c r="L6607" s="218"/>
    </row>
    <row r="6608">
      <c r="B6608" s="223" t="s">
        <v>200</v>
      </c>
      <c r="C6608" s="223"/>
      <c r="K6608" s="319"/>
      <c r="L6608" s="218"/>
    </row>
    <row r="6609">
      <c r="B6609" s="223" t="s">
        <v>200</v>
      </c>
      <c r="C6609" s="223"/>
      <c r="K6609" s="319"/>
      <c r="L6609" s="218"/>
    </row>
    <row r="6610">
      <c r="B6610" s="223" t="s">
        <v>200</v>
      </c>
      <c r="C6610" s="223"/>
      <c r="K6610" s="319"/>
      <c r="L6610" s="218"/>
    </row>
    <row r="6611">
      <c r="B6611" s="223" t="s">
        <v>200</v>
      </c>
      <c r="C6611" s="223"/>
      <c r="K6611" s="319"/>
      <c r="L6611" s="218"/>
    </row>
    <row r="6612">
      <c r="B6612" s="223" t="s">
        <v>200</v>
      </c>
      <c r="C6612" s="223"/>
      <c r="K6612" s="319"/>
      <c r="L6612" s="218"/>
    </row>
    <row r="6613">
      <c r="B6613" s="223" t="s">
        <v>200</v>
      </c>
      <c r="C6613" s="223"/>
      <c r="K6613" s="319"/>
      <c r="L6613" s="218"/>
    </row>
    <row r="6614">
      <c r="B6614" s="223" t="s">
        <v>200</v>
      </c>
      <c r="C6614" s="223"/>
      <c r="K6614" s="319"/>
      <c r="L6614" s="218"/>
    </row>
    <row r="6615">
      <c r="B6615" s="223" t="s">
        <v>200</v>
      </c>
      <c r="C6615" s="223"/>
      <c r="K6615" s="319"/>
      <c r="L6615" s="218"/>
    </row>
    <row r="6616">
      <c r="B6616" s="223" t="s">
        <v>200</v>
      </c>
      <c r="C6616" s="223"/>
      <c r="K6616" s="319"/>
      <c r="L6616" s="218"/>
    </row>
    <row r="6617">
      <c r="B6617" s="223" t="s">
        <v>200</v>
      </c>
      <c r="C6617" s="223"/>
      <c r="K6617" s="319"/>
      <c r="L6617" s="218"/>
    </row>
    <row r="6618">
      <c r="B6618" s="223" t="s">
        <v>200</v>
      </c>
      <c r="C6618" s="223"/>
      <c r="K6618" s="319"/>
      <c r="L6618" s="218"/>
    </row>
    <row r="6619">
      <c r="B6619" s="223" t="s">
        <v>200</v>
      </c>
      <c r="C6619" s="223"/>
      <c r="K6619" s="319"/>
      <c r="L6619" s="218"/>
    </row>
    <row r="6620">
      <c r="B6620" s="223" t="s">
        <v>200</v>
      </c>
      <c r="C6620" s="223"/>
      <c r="K6620" s="319"/>
      <c r="L6620" s="218"/>
    </row>
    <row r="6621">
      <c r="B6621" s="223" t="s">
        <v>200</v>
      </c>
      <c r="C6621" s="223"/>
      <c r="K6621" s="319"/>
      <c r="L6621" s="218"/>
    </row>
    <row r="6622">
      <c r="B6622" s="223" t="s">
        <v>200</v>
      </c>
      <c r="C6622" s="223"/>
      <c r="K6622" s="319"/>
      <c r="L6622" s="218"/>
    </row>
    <row r="6623">
      <c r="B6623" s="223" t="s">
        <v>200</v>
      </c>
      <c r="C6623" s="223"/>
      <c r="K6623" s="319"/>
      <c r="L6623" s="218"/>
    </row>
    <row r="6624">
      <c r="B6624" s="223" t="s">
        <v>200</v>
      </c>
      <c r="C6624" s="223"/>
      <c r="K6624" s="319"/>
      <c r="L6624" s="218"/>
    </row>
    <row r="6625">
      <c r="B6625" s="223" t="s">
        <v>200</v>
      </c>
      <c r="C6625" s="223"/>
      <c r="K6625" s="319"/>
      <c r="L6625" s="218"/>
    </row>
    <row r="6626">
      <c r="B6626" s="223" t="s">
        <v>200</v>
      </c>
      <c r="C6626" s="223"/>
      <c r="K6626" s="319"/>
      <c r="L6626" s="218"/>
    </row>
    <row r="6627">
      <c r="B6627" s="223" t="s">
        <v>200</v>
      </c>
      <c r="C6627" s="223"/>
      <c r="K6627" s="319"/>
      <c r="L6627" s="218"/>
    </row>
    <row r="6628">
      <c r="B6628" s="223" t="s">
        <v>200</v>
      </c>
      <c r="C6628" s="223"/>
      <c r="K6628" s="319"/>
      <c r="L6628" s="218"/>
    </row>
    <row r="6629">
      <c r="B6629" s="223" t="s">
        <v>200</v>
      </c>
      <c r="C6629" s="223"/>
      <c r="K6629" s="319"/>
      <c r="L6629" s="218"/>
    </row>
    <row r="6630">
      <c r="B6630" s="223" t="s">
        <v>200</v>
      </c>
      <c r="C6630" s="223"/>
      <c r="K6630" s="319"/>
      <c r="L6630" s="218"/>
    </row>
    <row r="6631">
      <c r="B6631" s="223" t="s">
        <v>200</v>
      </c>
      <c r="C6631" s="223"/>
      <c r="K6631" s="319"/>
      <c r="L6631" s="218"/>
    </row>
    <row r="6632">
      <c r="B6632" s="223" t="s">
        <v>200</v>
      </c>
      <c r="C6632" s="223"/>
      <c r="K6632" s="319"/>
      <c r="L6632" s="218"/>
    </row>
    <row r="6633">
      <c r="B6633" s="223" t="s">
        <v>200</v>
      </c>
      <c r="C6633" s="223"/>
      <c r="K6633" s="319"/>
      <c r="L6633" s="218"/>
    </row>
    <row r="6634">
      <c r="B6634" s="223" t="s">
        <v>200</v>
      </c>
      <c r="C6634" s="223"/>
      <c r="K6634" s="319"/>
      <c r="L6634" s="218"/>
    </row>
    <row r="6635">
      <c r="B6635" s="223" t="s">
        <v>200</v>
      </c>
      <c r="C6635" s="223"/>
      <c r="K6635" s="319"/>
      <c r="L6635" s="218"/>
    </row>
    <row r="6636">
      <c r="B6636" s="223" t="s">
        <v>200</v>
      </c>
      <c r="C6636" s="223"/>
      <c r="K6636" s="319"/>
      <c r="L6636" s="218"/>
    </row>
    <row r="6637">
      <c r="B6637" s="223" t="s">
        <v>200</v>
      </c>
      <c r="C6637" s="223"/>
      <c r="K6637" s="319"/>
      <c r="L6637" s="218"/>
    </row>
    <row r="6638">
      <c r="B6638" s="223" t="s">
        <v>200</v>
      </c>
      <c r="C6638" s="223"/>
      <c r="K6638" s="319"/>
      <c r="L6638" s="218"/>
    </row>
    <row r="6639">
      <c r="B6639" s="223" t="s">
        <v>200</v>
      </c>
      <c r="C6639" s="223"/>
      <c r="K6639" s="319"/>
      <c r="L6639" s="218"/>
    </row>
    <row r="6640">
      <c r="B6640" s="223" t="s">
        <v>200</v>
      </c>
      <c r="C6640" s="223"/>
      <c r="K6640" s="319"/>
      <c r="L6640" s="218"/>
    </row>
    <row r="6641">
      <c r="B6641" s="223" t="s">
        <v>200</v>
      </c>
      <c r="C6641" s="223"/>
      <c r="K6641" s="319"/>
      <c r="L6641" s="218"/>
    </row>
    <row r="6642">
      <c r="B6642" s="223" t="s">
        <v>200</v>
      </c>
      <c r="C6642" s="223"/>
      <c r="K6642" s="319"/>
      <c r="L6642" s="218"/>
    </row>
    <row r="6643">
      <c r="B6643" s="223" t="s">
        <v>200</v>
      </c>
      <c r="C6643" s="223"/>
      <c r="K6643" s="319"/>
      <c r="L6643" s="218"/>
    </row>
    <row r="6644">
      <c r="B6644" s="223" t="s">
        <v>200</v>
      </c>
      <c r="C6644" s="223"/>
      <c r="K6644" s="319"/>
      <c r="L6644" s="218"/>
    </row>
    <row r="6645">
      <c r="B6645" s="223" t="s">
        <v>200</v>
      </c>
      <c r="C6645" s="223"/>
      <c r="K6645" s="319"/>
      <c r="L6645" s="218"/>
    </row>
    <row r="6646">
      <c r="B6646" s="223" t="s">
        <v>200</v>
      </c>
      <c r="C6646" s="223"/>
      <c r="K6646" s="319"/>
      <c r="L6646" s="218"/>
    </row>
    <row r="6647">
      <c r="B6647" s="223" t="s">
        <v>200</v>
      </c>
      <c r="C6647" s="223"/>
      <c r="K6647" s="319"/>
      <c r="L6647" s="218"/>
    </row>
    <row r="6648">
      <c r="B6648" s="223" t="s">
        <v>200</v>
      </c>
      <c r="C6648" s="223"/>
      <c r="K6648" s="319"/>
      <c r="L6648" s="218"/>
    </row>
    <row r="6649">
      <c r="B6649" s="223" t="s">
        <v>200</v>
      </c>
      <c r="C6649" s="223"/>
      <c r="K6649" s="319"/>
      <c r="L6649" s="218"/>
    </row>
    <row r="6650">
      <c r="B6650" s="223" t="s">
        <v>200</v>
      </c>
      <c r="C6650" s="223"/>
      <c r="K6650" s="319"/>
      <c r="L6650" s="218"/>
    </row>
    <row r="6651">
      <c r="B6651" s="223" t="s">
        <v>200</v>
      </c>
      <c r="C6651" s="223"/>
      <c r="K6651" s="319"/>
      <c r="L6651" s="218"/>
    </row>
    <row r="6652">
      <c r="B6652" s="223" t="s">
        <v>200</v>
      </c>
      <c r="C6652" s="223"/>
      <c r="K6652" s="319"/>
      <c r="L6652" s="218"/>
    </row>
    <row r="6653">
      <c r="B6653" s="223" t="s">
        <v>200</v>
      </c>
      <c r="C6653" s="223"/>
      <c r="K6653" s="319"/>
      <c r="L6653" s="218"/>
    </row>
    <row r="6654">
      <c r="B6654" s="223" t="s">
        <v>200</v>
      </c>
      <c r="C6654" s="223"/>
      <c r="K6654" s="319"/>
      <c r="L6654" s="218"/>
    </row>
    <row r="6655">
      <c r="B6655" s="223" t="s">
        <v>200</v>
      </c>
      <c r="C6655" s="223"/>
      <c r="K6655" s="319"/>
      <c r="L6655" s="218"/>
    </row>
    <row r="6656">
      <c r="B6656" s="223" t="s">
        <v>200</v>
      </c>
      <c r="C6656" s="223"/>
      <c r="K6656" s="319"/>
      <c r="L6656" s="218"/>
    </row>
    <row r="6657">
      <c r="B6657" s="223" t="s">
        <v>200</v>
      </c>
      <c r="C6657" s="223"/>
      <c r="K6657" s="319"/>
      <c r="L6657" s="218"/>
    </row>
    <row r="6658">
      <c r="B6658" s="223" t="s">
        <v>200</v>
      </c>
      <c r="C6658" s="223"/>
      <c r="K6658" s="319"/>
      <c r="L6658" s="218"/>
    </row>
    <row r="6659">
      <c r="B6659" s="223" t="s">
        <v>200</v>
      </c>
      <c r="C6659" s="223"/>
      <c r="K6659" s="319"/>
      <c r="L6659" s="218"/>
    </row>
    <row r="6660">
      <c r="B6660" s="223" t="s">
        <v>200</v>
      </c>
      <c r="C6660" s="223"/>
      <c r="K6660" s="319"/>
      <c r="L6660" s="218"/>
    </row>
    <row r="6661">
      <c r="B6661" s="223" t="s">
        <v>200</v>
      </c>
      <c r="C6661" s="223"/>
      <c r="K6661" s="319"/>
      <c r="L6661" s="218"/>
    </row>
    <row r="6662">
      <c r="B6662" s="223" t="s">
        <v>200</v>
      </c>
      <c r="C6662" s="223"/>
      <c r="K6662" s="319"/>
      <c r="L6662" s="218"/>
    </row>
    <row r="6663">
      <c r="B6663" s="223" t="s">
        <v>200</v>
      </c>
      <c r="C6663" s="223"/>
      <c r="K6663" s="319"/>
      <c r="L6663" s="218"/>
    </row>
    <row r="6664">
      <c r="B6664" s="223" t="s">
        <v>200</v>
      </c>
      <c r="C6664" s="223"/>
      <c r="K6664" s="319"/>
      <c r="L6664" s="218"/>
    </row>
    <row r="6665">
      <c r="B6665" s="223" t="s">
        <v>200</v>
      </c>
      <c r="C6665" s="223"/>
      <c r="K6665" s="319"/>
      <c r="L6665" s="218"/>
    </row>
    <row r="6666">
      <c r="B6666" s="223" t="s">
        <v>200</v>
      </c>
      <c r="C6666" s="223"/>
      <c r="K6666" s="319"/>
      <c r="L6666" s="218"/>
    </row>
    <row r="6667">
      <c r="B6667" s="223" t="s">
        <v>200</v>
      </c>
      <c r="C6667" s="223"/>
      <c r="K6667" s="319"/>
      <c r="L6667" s="218"/>
    </row>
    <row r="6668">
      <c r="B6668" s="223" t="s">
        <v>200</v>
      </c>
      <c r="C6668" s="223"/>
      <c r="K6668" s="319"/>
      <c r="L6668" s="218"/>
    </row>
    <row r="6669">
      <c r="B6669" s="223" t="s">
        <v>200</v>
      </c>
      <c r="C6669" s="223"/>
      <c r="K6669" s="319"/>
      <c r="L6669" s="218"/>
    </row>
    <row r="6670">
      <c r="B6670" s="223" t="s">
        <v>200</v>
      </c>
      <c r="C6670" s="223"/>
      <c r="K6670" s="319"/>
      <c r="L6670" s="218"/>
    </row>
    <row r="6671">
      <c r="B6671" s="223" t="s">
        <v>200</v>
      </c>
      <c r="C6671" s="223"/>
      <c r="K6671" s="319"/>
      <c r="L6671" s="218"/>
    </row>
    <row r="6672">
      <c r="B6672" s="223" t="s">
        <v>200</v>
      </c>
      <c r="C6672" s="223"/>
      <c r="K6672" s="319"/>
      <c r="L6672" s="218"/>
    </row>
    <row r="6673">
      <c r="B6673" s="223" t="s">
        <v>200</v>
      </c>
      <c r="C6673" s="223"/>
      <c r="K6673" s="319"/>
      <c r="L6673" s="218"/>
    </row>
    <row r="6674">
      <c r="B6674" s="223" t="s">
        <v>200</v>
      </c>
      <c r="C6674" s="223"/>
      <c r="K6674" s="319"/>
      <c r="L6674" s="218"/>
    </row>
    <row r="6675">
      <c r="B6675" s="223" t="s">
        <v>200</v>
      </c>
      <c r="C6675" s="223"/>
      <c r="K6675" s="319"/>
      <c r="L6675" s="218"/>
    </row>
    <row r="6676">
      <c r="B6676" s="223" t="s">
        <v>200</v>
      </c>
      <c r="C6676" s="223"/>
      <c r="K6676" s="319"/>
      <c r="L6676" s="218"/>
    </row>
    <row r="6677">
      <c r="B6677" s="223" t="s">
        <v>200</v>
      </c>
      <c r="C6677" s="223"/>
      <c r="K6677" s="319"/>
      <c r="L6677" s="218"/>
    </row>
    <row r="6678">
      <c r="B6678" s="223" t="s">
        <v>200</v>
      </c>
      <c r="C6678" s="223"/>
      <c r="K6678" s="319"/>
      <c r="L6678" s="218"/>
    </row>
    <row r="6679">
      <c r="B6679" s="223" t="s">
        <v>200</v>
      </c>
      <c r="C6679" s="223"/>
      <c r="K6679" s="319"/>
      <c r="L6679" s="218"/>
    </row>
    <row r="6680">
      <c r="B6680" s="223" t="s">
        <v>200</v>
      </c>
      <c r="C6680" s="223"/>
      <c r="K6680" s="319"/>
      <c r="L6680" s="218"/>
    </row>
    <row r="6681">
      <c r="B6681" s="223" t="s">
        <v>200</v>
      </c>
      <c r="C6681" s="223"/>
      <c r="K6681" s="319"/>
      <c r="L6681" s="218"/>
    </row>
    <row r="6682">
      <c r="B6682" s="223" t="s">
        <v>200</v>
      </c>
      <c r="C6682" s="223"/>
      <c r="K6682" s="319"/>
      <c r="L6682" s="218"/>
    </row>
    <row r="6683">
      <c r="B6683" s="223" t="s">
        <v>200</v>
      </c>
      <c r="C6683" s="223"/>
      <c r="K6683" s="319"/>
      <c r="L6683" s="218"/>
    </row>
    <row r="6684">
      <c r="B6684" s="223" t="s">
        <v>200</v>
      </c>
      <c r="C6684" s="223"/>
      <c r="K6684" s="319"/>
      <c r="L6684" s="218"/>
    </row>
    <row r="6685">
      <c r="B6685" s="223" t="s">
        <v>200</v>
      </c>
      <c r="C6685" s="223"/>
      <c r="K6685" s="319"/>
      <c r="L6685" s="218"/>
    </row>
    <row r="6686">
      <c r="B6686" s="223" t="s">
        <v>200</v>
      </c>
      <c r="C6686" s="223"/>
      <c r="K6686" s="319"/>
      <c r="L6686" s="218"/>
    </row>
    <row r="6687">
      <c r="B6687" s="223" t="s">
        <v>200</v>
      </c>
      <c r="C6687" s="223"/>
      <c r="K6687" s="319"/>
      <c r="L6687" s="218"/>
    </row>
    <row r="6688">
      <c r="B6688" s="223" t="s">
        <v>200</v>
      </c>
      <c r="C6688" s="223"/>
      <c r="K6688" s="319"/>
      <c r="L6688" s="218"/>
    </row>
    <row r="6689">
      <c r="B6689" s="223" t="s">
        <v>200</v>
      </c>
      <c r="C6689" s="223"/>
      <c r="K6689" s="319"/>
      <c r="L6689" s="218"/>
    </row>
    <row r="6690">
      <c r="B6690" s="223" t="s">
        <v>200</v>
      </c>
      <c r="C6690" s="223"/>
      <c r="K6690" s="319"/>
      <c r="L6690" s="218"/>
    </row>
    <row r="6691">
      <c r="B6691" s="223" t="s">
        <v>200</v>
      </c>
      <c r="C6691" s="223"/>
      <c r="K6691" s="319"/>
      <c r="L6691" s="218"/>
    </row>
    <row r="6692">
      <c r="B6692" s="223" t="s">
        <v>200</v>
      </c>
      <c r="C6692" s="223"/>
      <c r="K6692" s="319"/>
      <c r="L6692" s="218"/>
    </row>
    <row r="6693">
      <c r="B6693" s="223" t="s">
        <v>200</v>
      </c>
      <c r="C6693" s="223"/>
      <c r="K6693" s="319"/>
      <c r="L6693" s="218"/>
    </row>
    <row r="6694">
      <c r="B6694" s="223" t="s">
        <v>200</v>
      </c>
      <c r="C6694" s="223"/>
      <c r="K6694" s="319"/>
      <c r="L6694" s="218"/>
    </row>
    <row r="6695">
      <c r="B6695" s="223" t="s">
        <v>200</v>
      </c>
      <c r="C6695" s="223"/>
      <c r="K6695" s="319"/>
      <c r="L6695" s="218"/>
    </row>
    <row r="6696">
      <c r="B6696" s="223" t="s">
        <v>200</v>
      </c>
      <c r="C6696" s="223"/>
      <c r="K6696" s="319"/>
      <c r="L6696" s="218"/>
    </row>
    <row r="6697">
      <c r="B6697" s="223" t="s">
        <v>200</v>
      </c>
      <c r="C6697" s="223"/>
      <c r="K6697" s="319"/>
      <c r="L6697" s="218"/>
    </row>
    <row r="6698">
      <c r="B6698" s="223" t="s">
        <v>200</v>
      </c>
      <c r="C6698" s="223"/>
      <c r="K6698" s="319"/>
      <c r="L6698" s="218"/>
    </row>
    <row r="6699">
      <c r="B6699" s="223" t="s">
        <v>200</v>
      </c>
      <c r="C6699" s="223"/>
      <c r="K6699" s="319"/>
      <c r="L6699" s="218"/>
    </row>
    <row r="6700">
      <c r="B6700" s="223" t="s">
        <v>200</v>
      </c>
      <c r="C6700" s="223"/>
      <c r="K6700" s="319"/>
      <c r="L6700" s="218"/>
    </row>
    <row r="6701">
      <c r="B6701" s="223" t="s">
        <v>200</v>
      </c>
      <c r="C6701" s="223"/>
      <c r="K6701" s="319"/>
      <c r="L6701" s="218"/>
    </row>
    <row r="6702">
      <c r="B6702" s="223" t="s">
        <v>200</v>
      </c>
      <c r="C6702" s="223"/>
      <c r="K6702" s="319"/>
      <c r="L6702" s="218"/>
    </row>
    <row r="6703">
      <c r="B6703" s="223" t="s">
        <v>200</v>
      </c>
      <c r="C6703" s="223"/>
      <c r="K6703" s="319"/>
      <c r="L6703" s="218"/>
    </row>
    <row r="6704">
      <c r="B6704" s="223" t="s">
        <v>200</v>
      </c>
      <c r="C6704" s="223"/>
      <c r="K6704" s="319"/>
      <c r="L6704" s="218"/>
    </row>
    <row r="6705">
      <c r="B6705" s="223" t="s">
        <v>200</v>
      </c>
      <c r="C6705" s="223"/>
      <c r="K6705" s="319"/>
      <c r="L6705" s="218"/>
    </row>
    <row r="6706">
      <c r="B6706" s="223" t="s">
        <v>200</v>
      </c>
      <c r="C6706" s="223"/>
      <c r="K6706" s="319"/>
      <c r="L6706" s="218"/>
    </row>
    <row r="6707">
      <c r="B6707" s="223" t="s">
        <v>200</v>
      </c>
      <c r="C6707" s="223"/>
      <c r="K6707" s="319"/>
      <c r="L6707" s="218"/>
    </row>
    <row r="6708">
      <c r="B6708" s="223" t="s">
        <v>200</v>
      </c>
      <c r="C6708" s="223"/>
      <c r="K6708" s="319"/>
      <c r="L6708" s="218"/>
    </row>
    <row r="6709">
      <c r="B6709" s="223" t="s">
        <v>200</v>
      </c>
      <c r="C6709" s="223"/>
      <c r="K6709" s="319"/>
      <c r="L6709" s="218"/>
    </row>
    <row r="6710">
      <c r="B6710" s="223" t="s">
        <v>200</v>
      </c>
      <c r="C6710" s="223"/>
      <c r="K6710" s="319"/>
      <c r="L6710" s="218"/>
    </row>
    <row r="6711">
      <c r="B6711" s="223" t="s">
        <v>200</v>
      </c>
      <c r="C6711" s="223"/>
      <c r="K6711" s="319"/>
      <c r="L6711" s="218"/>
    </row>
    <row r="6712">
      <c r="B6712" s="223" t="s">
        <v>200</v>
      </c>
      <c r="C6712" s="223"/>
      <c r="K6712" s="319"/>
      <c r="L6712" s="218"/>
    </row>
    <row r="6713">
      <c r="B6713" s="223" t="s">
        <v>200</v>
      </c>
      <c r="C6713" s="223"/>
      <c r="K6713" s="319"/>
      <c r="L6713" s="218"/>
    </row>
    <row r="6714">
      <c r="B6714" s="223" t="s">
        <v>200</v>
      </c>
      <c r="C6714" s="223"/>
      <c r="K6714" s="319"/>
      <c r="L6714" s="218"/>
    </row>
    <row r="6715">
      <c r="B6715" s="223" t="s">
        <v>200</v>
      </c>
      <c r="C6715" s="223"/>
      <c r="K6715" s="319"/>
      <c r="L6715" s="218"/>
    </row>
    <row r="6716">
      <c r="B6716" s="223" t="s">
        <v>200</v>
      </c>
      <c r="C6716" s="223"/>
      <c r="K6716" s="319"/>
      <c r="L6716" s="218"/>
    </row>
    <row r="6717">
      <c r="B6717" s="223" t="s">
        <v>200</v>
      </c>
      <c r="C6717" s="223"/>
      <c r="K6717" s="319"/>
      <c r="L6717" s="218"/>
    </row>
    <row r="6718">
      <c r="B6718" s="223" t="s">
        <v>200</v>
      </c>
      <c r="C6718" s="223"/>
      <c r="K6718" s="319"/>
      <c r="L6718" s="218"/>
    </row>
    <row r="6719">
      <c r="B6719" s="223" t="s">
        <v>200</v>
      </c>
      <c r="C6719" s="223"/>
      <c r="K6719" s="319"/>
      <c r="L6719" s="218"/>
    </row>
    <row r="6720">
      <c r="B6720" s="223" t="s">
        <v>200</v>
      </c>
      <c r="C6720" s="223"/>
      <c r="K6720" s="319"/>
      <c r="L6720" s="218"/>
    </row>
    <row r="6721">
      <c r="B6721" s="223" t="s">
        <v>200</v>
      </c>
      <c r="C6721" s="223"/>
      <c r="K6721" s="319"/>
      <c r="L6721" s="218"/>
    </row>
    <row r="6722">
      <c r="B6722" s="223" t="s">
        <v>200</v>
      </c>
      <c r="C6722" s="223"/>
      <c r="K6722" s="319"/>
      <c r="L6722" s="218"/>
    </row>
    <row r="6723">
      <c r="B6723" s="223" t="s">
        <v>200</v>
      </c>
      <c r="C6723" s="223"/>
      <c r="K6723" s="319"/>
      <c r="L6723" s="218"/>
    </row>
    <row r="6724">
      <c r="B6724" s="223" t="s">
        <v>200</v>
      </c>
      <c r="C6724" s="223"/>
      <c r="K6724" s="319"/>
      <c r="L6724" s="218"/>
    </row>
    <row r="6725">
      <c r="B6725" s="223" t="s">
        <v>200</v>
      </c>
      <c r="C6725" s="223"/>
      <c r="K6725" s="319"/>
      <c r="L6725" s="218"/>
    </row>
    <row r="6726">
      <c r="B6726" s="223" t="s">
        <v>200</v>
      </c>
      <c r="C6726" s="223"/>
      <c r="K6726" s="319"/>
      <c r="L6726" s="218"/>
    </row>
    <row r="6727">
      <c r="B6727" s="223" t="s">
        <v>200</v>
      </c>
      <c r="C6727" s="223"/>
      <c r="K6727" s="319"/>
      <c r="L6727" s="218"/>
    </row>
    <row r="6728">
      <c r="B6728" s="223" t="s">
        <v>200</v>
      </c>
      <c r="C6728" s="223"/>
      <c r="K6728" s="319"/>
      <c r="L6728" s="218"/>
    </row>
    <row r="6729">
      <c r="B6729" s="223" t="s">
        <v>200</v>
      </c>
      <c r="C6729" s="223"/>
      <c r="K6729" s="319"/>
      <c r="L6729" s="218"/>
    </row>
    <row r="6730">
      <c r="B6730" s="223" t="s">
        <v>200</v>
      </c>
      <c r="C6730" s="223"/>
      <c r="K6730" s="319"/>
      <c r="L6730" s="218"/>
    </row>
    <row r="6731">
      <c r="B6731" s="223" t="s">
        <v>200</v>
      </c>
      <c r="C6731" s="223"/>
      <c r="K6731" s="319"/>
      <c r="L6731" s="218"/>
    </row>
    <row r="6732">
      <c r="B6732" s="223" t="s">
        <v>200</v>
      </c>
      <c r="C6732" s="223"/>
      <c r="K6732" s="319"/>
      <c r="L6732" s="218"/>
    </row>
    <row r="6733">
      <c r="B6733" s="223" t="s">
        <v>200</v>
      </c>
      <c r="C6733" s="223"/>
      <c r="K6733" s="319"/>
      <c r="L6733" s="218"/>
    </row>
    <row r="6734">
      <c r="B6734" s="223" t="s">
        <v>200</v>
      </c>
      <c r="C6734" s="223"/>
      <c r="K6734" s="319"/>
      <c r="L6734" s="218"/>
    </row>
    <row r="6735">
      <c r="B6735" s="223" t="s">
        <v>200</v>
      </c>
      <c r="C6735" s="223"/>
      <c r="K6735" s="319"/>
      <c r="L6735" s="218"/>
    </row>
    <row r="6736">
      <c r="B6736" s="223" t="s">
        <v>200</v>
      </c>
      <c r="C6736" s="223"/>
      <c r="K6736" s="319"/>
      <c r="L6736" s="218"/>
    </row>
    <row r="6737">
      <c r="B6737" s="223" t="s">
        <v>200</v>
      </c>
      <c r="C6737" s="223"/>
      <c r="K6737" s="319"/>
      <c r="L6737" s="218"/>
    </row>
    <row r="6738">
      <c r="B6738" s="223" t="s">
        <v>200</v>
      </c>
      <c r="C6738" s="223"/>
      <c r="K6738" s="319"/>
      <c r="L6738" s="218"/>
    </row>
    <row r="6739">
      <c r="B6739" s="223" t="s">
        <v>200</v>
      </c>
      <c r="C6739" s="223"/>
      <c r="K6739" s="319"/>
      <c r="L6739" s="218"/>
    </row>
    <row r="6740">
      <c r="B6740" s="223" t="s">
        <v>200</v>
      </c>
      <c r="C6740" s="223"/>
      <c r="K6740" s="319"/>
      <c r="L6740" s="218"/>
    </row>
    <row r="6741">
      <c r="B6741" s="223" t="s">
        <v>200</v>
      </c>
      <c r="C6741" s="223"/>
      <c r="K6741" s="319"/>
      <c r="L6741" s="218"/>
    </row>
    <row r="6742">
      <c r="B6742" s="223" t="s">
        <v>200</v>
      </c>
      <c r="C6742" s="223"/>
      <c r="K6742" s="319"/>
      <c r="L6742" s="218"/>
    </row>
    <row r="6743">
      <c r="B6743" s="223" t="s">
        <v>200</v>
      </c>
      <c r="C6743" s="223"/>
      <c r="K6743" s="319"/>
      <c r="L6743" s="218"/>
    </row>
    <row r="6744">
      <c r="B6744" s="223" t="s">
        <v>200</v>
      </c>
      <c r="C6744" s="223"/>
      <c r="K6744" s="319"/>
      <c r="L6744" s="218"/>
    </row>
    <row r="6745">
      <c r="B6745" s="223" t="s">
        <v>200</v>
      </c>
      <c r="C6745" s="223"/>
      <c r="K6745" s="319"/>
      <c r="L6745" s="218"/>
    </row>
    <row r="6746">
      <c r="B6746" s="223" t="s">
        <v>200</v>
      </c>
      <c r="C6746" s="223"/>
      <c r="K6746" s="319"/>
      <c r="L6746" s="218"/>
    </row>
    <row r="6747">
      <c r="B6747" s="223" t="s">
        <v>200</v>
      </c>
      <c r="C6747" s="223"/>
      <c r="K6747" s="319"/>
      <c r="L6747" s="218"/>
    </row>
    <row r="6748">
      <c r="B6748" s="223" t="s">
        <v>200</v>
      </c>
      <c r="C6748" s="223"/>
      <c r="K6748" s="319"/>
      <c r="L6748" s="218"/>
    </row>
    <row r="6749">
      <c r="B6749" s="223" t="s">
        <v>200</v>
      </c>
      <c r="C6749" s="223"/>
      <c r="K6749" s="319"/>
      <c r="L6749" s="218"/>
    </row>
    <row r="6750">
      <c r="B6750" s="223" t="s">
        <v>200</v>
      </c>
      <c r="C6750" s="223"/>
      <c r="K6750" s="319"/>
      <c r="L6750" s="218"/>
    </row>
    <row r="6751">
      <c r="B6751" s="223" t="s">
        <v>200</v>
      </c>
      <c r="C6751" s="223"/>
      <c r="K6751" s="319"/>
      <c r="L6751" s="218"/>
    </row>
    <row r="6752">
      <c r="B6752" s="223" t="s">
        <v>200</v>
      </c>
      <c r="C6752" s="223"/>
      <c r="K6752" s="319"/>
      <c r="L6752" s="218"/>
    </row>
    <row r="6753">
      <c r="B6753" s="223" t="s">
        <v>200</v>
      </c>
      <c r="C6753" s="223"/>
      <c r="K6753" s="319"/>
      <c r="L6753" s="218"/>
    </row>
    <row r="6754">
      <c r="B6754" s="223" t="s">
        <v>200</v>
      </c>
      <c r="C6754" s="223"/>
      <c r="K6754" s="319"/>
      <c r="L6754" s="218"/>
    </row>
    <row r="6755">
      <c r="B6755" s="223" t="s">
        <v>200</v>
      </c>
      <c r="C6755" s="223"/>
      <c r="K6755" s="319"/>
      <c r="L6755" s="218"/>
    </row>
    <row r="6756">
      <c r="B6756" s="223" t="s">
        <v>200</v>
      </c>
      <c r="C6756" s="223"/>
      <c r="K6756" s="319"/>
      <c r="L6756" s="218"/>
    </row>
    <row r="6757">
      <c r="B6757" s="223" t="s">
        <v>200</v>
      </c>
      <c r="C6757" s="223"/>
      <c r="K6757" s="319"/>
      <c r="L6757" s="218"/>
    </row>
    <row r="6758">
      <c r="B6758" s="223" t="s">
        <v>200</v>
      </c>
      <c r="C6758" s="223"/>
      <c r="K6758" s="319"/>
      <c r="L6758" s="218"/>
    </row>
    <row r="6759">
      <c r="B6759" s="223" t="s">
        <v>200</v>
      </c>
      <c r="C6759" s="223"/>
      <c r="K6759" s="319"/>
      <c r="L6759" s="218"/>
    </row>
    <row r="6760">
      <c r="B6760" s="223" t="s">
        <v>200</v>
      </c>
      <c r="C6760" s="223"/>
      <c r="K6760" s="319"/>
      <c r="L6760" s="218"/>
    </row>
    <row r="6761">
      <c r="B6761" s="223" t="s">
        <v>200</v>
      </c>
      <c r="C6761" s="223"/>
      <c r="K6761" s="319"/>
      <c r="L6761" s="218"/>
    </row>
    <row r="6762">
      <c r="B6762" s="223" t="s">
        <v>200</v>
      </c>
      <c r="C6762" s="223"/>
      <c r="K6762" s="319"/>
      <c r="L6762" s="218"/>
    </row>
    <row r="6763">
      <c r="B6763" s="223" t="s">
        <v>200</v>
      </c>
      <c r="C6763" s="223"/>
      <c r="K6763" s="319"/>
      <c r="L6763" s="218"/>
    </row>
    <row r="6764">
      <c r="B6764" s="223" t="s">
        <v>200</v>
      </c>
      <c r="C6764" s="223"/>
      <c r="K6764" s="319"/>
      <c r="L6764" s="218"/>
    </row>
    <row r="6765">
      <c r="B6765" s="223" t="s">
        <v>200</v>
      </c>
      <c r="C6765" s="223"/>
      <c r="K6765" s="319"/>
      <c r="L6765" s="218"/>
    </row>
    <row r="6766">
      <c r="B6766" s="223" t="s">
        <v>200</v>
      </c>
      <c r="C6766" s="223"/>
      <c r="K6766" s="319"/>
      <c r="L6766" s="218"/>
    </row>
    <row r="6767">
      <c r="B6767" s="223" t="s">
        <v>200</v>
      </c>
      <c r="C6767" s="223"/>
      <c r="K6767" s="319"/>
      <c r="L6767" s="218"/>
    </row>
    <row r="6768">
      <c r="B6768" s="223" t="s">
        <v>200</v>
      </c>
      <c r="C6768" s="223"/>
      <c r="K6768" s="319"/>
      <c r="L6768" s="218"/>
    </row>
    <row r="6769">
      <c r="B6769" s="223" t="s">
        <v>200</v>
      </c>
      <c r="C6769" s="223"/>
      <c r="K6769" s="319"/>
      <c r="L6769" s="218"/>
    </row>
    <row r="6770">
      <c r="B6770" s="223" t="s">
        <v>200</v>
      </c>
      <c r="C6770" s="223"/>
      <c r="K6770" s="319"/>
      <c r="L6770" s="218"/>
    </row>
    <row r="6771">
      <c r="B6771" s="223" t="s">
        <v>200</v>
      </c>
      <c r="C6771" s="223"/>
      <c r="K6771" s="319"/>
      <c r="L6771" s="218"/>
    </row>
    <row r="6772">
      <c r="B6772" s="223" t="s">
        <v>200</v>
      </c>
      <c r="C6772" s="223"/>
      <c r="K6772" s="319"/>
      <c r="L6772" s="218"/>
    </row>
    <row r="6773">
      <c r="B6773" s="223" t="s">
        <v>200</v>
      </c>
      <c r="C6773" s="223"/>
      <c r="K6773" s="319"/>
      <c r="L6773" s="218"/>
    </row>
    <row r="6774">
      <c r="B6774" s="223" t="s">
        <v>200</v>
      </c>
      <c r="C6774" s="223"/>
      <c r="K6774" s="319"/>
      <c r="L6774" s="218"/>
    </row>
    <row r="6775">
      <c r="B6775" s="223" t="s">
        <v>200</v>
      </c>
      <c r="C6775" s="223"/>
      <c r="K6775" s="319"/>
      <c r="L6775" s="218"/>
    </row>
    <row r="6776">
      <c r="B6776" s="223" t="s">
        <v>200</v>
      </c>
      <c r="C6776" s="223"/>
      <c r="K6776" s="319"/>
      <c r="L6776" s="218"/>
    </row>
    <row r="6777">
      <c r="B6777" s="223" t="s">
        <v>200</v>
      </c>
      <c r="C6777" s="223"/>
      <c r="K6777" s="319"/>
      <c r="L6777" s="218"/>
    </row>
    <row r="6778">
      <c r="B6778" s="223" t="s">
        <v>200</v>
      </c>
      <c r="C6778" s="223"/>
      <c r="K6778" s="319"/>
      <c r="L6778" s="218"/>
    </row>
    <row r="6779">
      <c r="B6779" s="223" t="s">
        <v>200</v>
      </c>
      <c r="C6779" s="223"/>
      <c r="K6779" s="319"/>
      <c r="L6779" s="218"/>
    </row>
    <row r="6780">
      <c r="B6780" s="223" t="s">
        <v>200</v>
      </c>
      <c r="C6780" s="223"/>
      <c r="K6780" s="319"/>
      <c r="L6780" s="218"/>
    </row>
    <row r="6781">
      <c r="B6781" s="223" t="s">
        <v>200</v>
      </c>
      <c r="C6781" s="223"/>
      <c r="K6781" s="319"/>
      <c r="L6781" s="218"/>
    </row>
    <row r="6782">
      <c r="B6782" s="223" t="s">
        <v>200</v>
      </c>
      <c r="C6782" s="223"/>
      <c r="K6782" s="319"/>
      <c r="L6782" s="218"/>
    </row>
    <row r="6783">
      <c r="B6783" s="223" t="s">
        <v>200</v>
      </c>
      <c r="C6783" s="223"/>
      <c r="K6783" s="319"/>
      <c r="L6783" s="218"/>
    </row>
    <row r="6784">
      <c r="B6784" s="223" t="s">
        <v>200</v>
      </c>
      <c r="C6784" s="223"/>
      <c r="K6784" s="319"/>
      <c r="L6784" s="218"/>
    </row>
    <row r="6785">
      <c r="B6785" s="223" t="s">
        <v>200</v>
      </c>
      <c r="C6785" s="223"/>
      <c r="K6785" s="319"/>
      <c r="L6785" s="218"/>
    </row>
    <row r="6786">
      <c r="B6786" s="223" t="s">
        <v>200</v>
      </c>
      <c r="C6786" s="223"/>
      <c r="K6786" s="319"/>
      <c r="L6786" s="218"/>
    </row>
    <row r="6787">
      <c r="B6787" s="223" t="s">
        <v>200</v>
      </c>
      <c r="C6787" s="223"/>
      <c r="K6787" s="319"/>
      <c r="L6787" s="218"/>
    </row>
    <row r="6788">
      <c r="B6788" s="223" t="s">
        <v>200</v>
      </c>
      <c r="C6788" s="223"/>
      <c r="K6788" s="319"/>
      <c r="L6788" s="218"/>
    </row>
    <row r="6789">
      <c r="B6789" s="223" t="s">
        <v>200</v>
      </c>
      <c r="C6789" s="223"/>
      <c r="K6789" s="319"/>
      <c r="L6789" s="218"/>
    </row>
    <row r="6790">
      <c r="B6790" s="223" t="s">
        <v>200</v>
      </c>
      <c r="C6790" s="223"/>
      <c r="K6790" s="319"/>
      <c r="L6790" s="218"/>
    </row>
    <row r="6791">
      <c r="B6791" s="223" t="s">
        <v>200</v>
      </c>
      <c r="C6791" s="223"/>
      <c r="K6791" s="319"/>
      <c r="L6791" s="218"/>
    </row>
    <row r="6792">
      <c r="B6792" s="223" t="s">
        <v>200</v>
      </c>
      <c r="C6792" s="223"/>
      <c r="K6792" s="319"/>
      <c r="L6792" s="218"/>
    </row>
    <row r="6793">
      <c r="B6793" s="223" t="s">
        <v>200</v>
      </c>
      <c r="C6793" s="223"/>
      <c r="K6793" s="319"/>
      <c r="L6793" s="218"/>
    </row>
    <row r="6794">
      <c r="B6794" s="223" t="s">
        <v>200</v>
      </c>
      <c r="C6794" s="223"/>
      <c r="K6794" s="319"/>
      <c r="L6794" s="218"/>
    </row>
    <row r="6795">
      <c r="B6795" s="223" t="s">
        <v>200</v>
      </c>
      <c r="C6795" s="223"/>
      <c r="K6795" s="319"/>
      <c r="L6795" s="218"/>
    </row>
    <row r="6796">
      <c r="B6796" s="223" t="s">
        <v>200</v>
      </c>
      <c r="C6796" s="223"/>
      <c r="K6796" s="319"/>
      <c r="L6796" s="218"/>
    </row>
    <row r="6797">
      <c r="B6797" s="223" t="s">
        <v>200</v>
      </c>
      <c r="C6797" s="223"/>
      <c r="K6797" s="319"/>
      <c r="L6797" s="218"/>
    </row>
    <row r="6798">
      <c r="B6798" s="223" t="s">
        <v>200</v>
      </c>
      <c r="C6798" s="223"/>
      <c r="K6798" s="319"/>
      <c r="L6798" s="218"/>
    </row>
    <row r="6799">
      <c r="B6799" s="223" t="s">
        <v>200</v>
      </c>
      <c r="C6799" s="223"/>
      <c r="K6799" s="319"/>
      <c r="L6799" s="218"/>
    </row>
    <row r="6800">
      <c r="B6800" s="223" t="s">
        <v>200</v>
      </c>
      <c r="C6800" s="223"/>
      <c r="K6800" s="319"/>
      <c r="L6800" s="218"/>
    </row>
    <row r="6801">
      <c r="B6801" s="223" t="s">
        <v>200</v>
      </c>
      <c r="C6801" s="223"/>
      <c r="K6801" s="319"/>
      <c r="L6801" s="218"/>
    </row>
    <row r="6802">
      <c r="B6802" s="223" t="s">
        <v>200</v>
      </c>
      <c r="C6802" s="223"/>
      <c r="K6802" s="319"/>
      <c r="L6802" s="218"/>
    </row>
    <row r="6803">
      <c r="B6803" s="223" t="s">
        <v>200</v>
      </c>
      <c r="C6803" s="223"/>
      <c r="K6803" s="319"/>
      <c r="L6803" s="218"/>
    </row>
    <row r="6804">
      <c r="B6804" s="223" t="s">
        <v>200</v>
      </c>
      <c r="C6804" s="223"/>
      <c r="K6804" s="319"/>
      <c r="L6804" s="218"/>
    </row>
    <row r="6805">
      <c r="B6805" s="223" t="s">
        <v>200</v>
      </c>
      <c r="C6805" s="223"/>
      <c r="K6805" s="319"/>
      <c r="L6805" s="218"/>
    </row>
    <row r="6806">
      <c r="B6806" s="223" t="s">
        <v>200</v>
      </c>
      <c r="C6806" s="223"/>
      <c r="K6806" s="319"/>
      <c r="L6806" s="218"/>
    </row>
    <row r="6807">
      <c r="B6807" s="223" t="s">
        <v>200</v>
      </c>
      <c r="C6807" s="223"/>
      <c r="K6807" s="319"/>
      <c r="L6807" s="218"/>
    </row>
    <row r="6808">
      <c r="B6808" s="223" t="s">
        <v>200</v>
      </c>
      <c r="C6808" s="223"/>
      <c r="K6808" s="319"/>
      <c r="L6808" s="218"/>
    </row>
    <row r="6809">
      <c r="B6809" s="223" t="s">
        <v>200</v>
      </c>
      <c r="C6809" s="223"/>
      <c r="K6809" s="319"/>
      <c r="L6809" s="218"/>
    </row>
    <row r="6810">
      <c r="B6810" s="223" t="s">
        <v>200</v>
      </c>
      <c r="C6810" s="223"/>
      <c r="K6810" s="319"/>
      <c r="L6810" s="218"/>
    </row>
    <row r="6811">
      <c r="B6811" s="223" t="s">
        <v>200</v>
      </c>
      <c r="C6811" s="223"/>
      <c r="K6811" s="319"/>
      <c r="L6811" s="218"/>
    </row>
    <row r="6812">
      <c r="B6812" s="223" t="s">
        <v>200</v>
      </c>
      <c r="C6812" s="223"/>
      <c r="K6812" s="319"/>
      <c r="L6812" s="218"/>
    </row>
    <row r="6813">
      <c r="B6813" s="223" t="s">
        <v>200</v>
      </c>
      <c r="C6813" s="223"/>
      <c r="K6813" s="319"/>
      <c r="L6813" s="218"/>
    </row>
    <row r="6814">
      <c r="B6814" s="223" t="s">
        <v>200</v>
      </c>
      <c r="C6814" s="223"/>
      <c r="K6814" s="319"/>
      <c r="L6814" s="218"/>
    </row>
    <row r="6815">
      <c r="B6815" s="223" t="s">
        <v>200</v>
      </c>
      <c r="C6815" s="223"/>
      <c r="K6815" s="319"/>
      <c r="L6815" s="218"/>
    </row>
    <row r="6816">
      <c r="B6816" s="223" t="s">
        <v>200</v>
      </c>
      <c r="C6816" s="223"/>
      <c r="K6816" s="319"/>
      <c r="L6816" s="218"/>
    </row>
    <row r="6817">
      <c r="B6817" s="223" t="s">
        <v>200</v>
      </c>
      <c r="C6817" s="223"/>
      <c r="K6817" s="319"/>
      <c r="L6817" s="218"/>
    </row>
    <row r="6818">
      <c r="B6818" s="223" t="s">
        <v>200</v>
      </c>
      <c r="C6818" s="223"/>
      <c r="K6818" s="319"/>
      <c r="L6818" s="218"/>
    </row>
    <row r="6819">
      <c r="B6819" s="223" t="s">
        <v>200</v>
      </c>
      <c r="C6819" s="223"/>
      <c r="K6819" s="319"/>
      <c r="L6819" s="218"/>
    </row>
    <row r="6820">
      <c r="B6820" s="223" t="s">
        <v>200</v>
      </c>
      <c r="C6820" s="223"/>
      <c r="K6820" s="319"/>
      <c r="L6820" s="218"/>
    </row>
    <row r="6821">
      <c r="B6821" s="223" t="s">
        <v>200</v>
      </c>
      <c r="C6821" s="223"/>
      <c r="K6821" s="319"/>
      <c r="L6821" s="218"/>
    </row>
    <row r="6822">
      <c r="B6822" s="223" t="s">
        <v>200</v>
      </c>
      <c r="C6822" s="223"/>
      <c r="K6822" s="319"/>
      <c r="L6822" s="218"/>
    </row>
    <row r="6823">
      <c r="B6823" s="223" t="s">
        <v>200</v>
      </c>
      <c r="C6823" s="223"/>
      <c r="K6823" s="319"/>
      <c r="L6823" s="218"/>
    </row>
    <row r="6824">
      <c r="B6824" s="223" t="s">
        <v>200</v>
      </c>
      <c r="C6824" s="223"/>
      <c r="K6824" s="319"/>
      <c r="L6824" s="218"/>
    </row>
    <row r="6825">
      <c r="B6825" s="223" t="s">
        <v>200</v>
      </c>
      <c r="C6825" s="223"/>
      <c r="K6825" s="319"/>
      <c r="L6825" s="218"/>
    </row>
    <row r="6826">
      <c r="B6826" s="223" t="s">
        <v>200</v>
      </c>
      <c r="C6826" s="223"/>
      <c r="K6826" s="319"/>
      <c r="L6826" s="218"/>
    </row>
    <row r="6827">
      <c r="B6827" s="223" t="s">
        <v>200</v>
      </c>
      <c r="C6827" s="223"/>
      <c r="K6827" s="319"/>
      <c r="L6827" s="218"/>
    </row>
    <row r="6828">
      <c r="B6828" s="223" t="s">
        <v>200</v>
      </c>
      <c r="C6828" s="223"/>
      <c r="K6828" s="319"/>
      <c r="L6828" s="218"/>
    </row>
    <row r="6829">
      <c r="B6829" s="223" t="s">
        <v>200</v>
      </c>
      <c r="C6829" s="223"/>
      <c r="K6829" s="319"/>
      <c r="L6829" s="218"/>
    </row>
    <row r="6830">
      <c r="B6830" s="223" t="s">
        <v>200</v>
      </c>
      <c r="C6830" s="223"/>
      <c r="K6830" s="319"/>
      <c r="L6830" s="218"/>
    </row>
    <row r="6831">
      <c r="B6831" s="223" t="s">
        <v>200</v>
      </c>
      <c r="C6831" s="223"/>
      <c r="K6831" s="319"/>
      <c r="L6831" s="218"/>
    </row>
    <row r="6832">
      <c r="B6832" s="223" t="s">
        <v>200</v>
      </c>
      <c r="C6832" s="223"/>
      <c r="K6832" s="319"/>
      <c r="L6832" s="218"/>
    </row>
    <row r="6833">
      <c r="B6833" s="223" t="s">
        <v>200</v>
      </c>
      <c r="C6833" s="223"/>
      <c r="K6833" s="319"/>
      <c r="L6833" s="218"/>
    </row>
    <row r="6834">
      <c r="B6834" s="223" t="s">
        <v>200</v>
      </c>
      <c r="C6834" s="223"/>
      <c r="K6834" s="319"/>
      <c r="L6834" s="218"/>
    </row>
    <row r="6835">
      <c r="B6835" s="223" t="s">
        <v>200</v>
      </c>
      <c r="C6835" s="223"/>
      <c r="K6835" s="319"/>
      <c r="L6835" s="218"/>
    </row>
    <row r="6836">
      <c r="B6836" s="223" t="s">
        <v>200</v>
      </c>
      <c r="C6836" s="223"/>
      <c r="K6836" s="319"/>
      <c r="L6836" s="218"/>
    </row>
    <row r="6837">
      <c r="B6837" s="223" t="s">
        <v>200</v>
      </c>
      <c r="C6837" s="223"/>
      <c r="K6837" s="319"/>
      <c r="L6837" s="218"/>
    </row>
    <row r="6838">
      <c r="B6838" s="223" t="s">
        <v>200</v>
      </c>
      <c r="C6838" s="223"/>
      <c r="K6838" s="319"/>
      <c r="L6838" s="218"/>
    </row>
    <row r="6839">
      <c r="B6839" s="223" t="s">
        <v>200</v>
      </c>
      <c r="C6839" s="223"/>
      <c r="K6839" s="319"/>
      <c r="L6839" s="218"/>
    </row>
    <row r="6840">
      <c r="B6840" s="223" t="s">
        <v>200</v>
      </c>
      <c r="C6840" s="223"/>
      <c r="K6840" s="319"/>
      <c r="L6840" s="218"/>
    </row>
    <row r="6841">
      <c r="B6841" s="223" t="s">
        <v>200</v>
      </c>
      <c r="C6841" s="223"/>
      <c r="K6841" s="319"/>
      <c r="L6841" s="218"/>
    </row>
    <row r="6842">
      <c r="B6842" s="223" t="s">
        <v>200</v>
      </c>
      <c r="C6842" s="223"/>
      <c r="K6842" s="319"/>
      <c r="L6842" s="218"/>
    </row>
    <row r="6843">
      <c r="B6843" s="223" t="s">
        <v>200</v>
      </c>
      <c r="C6843" s="223"/>
      <c r="K6843" s="319"/>
      <c r="L6843" s="218"/>
    </row>
    <row r="6844">
      <c r="B6844" s="223" t="s">
        <v>200</v>
      </c>
      <c r="C6844" s="223"/>
      <c r="K6844" s="319"/>
      <c r="L6844" s="218"/>
    </row>
    <row r="6845">
      <c r="B6845" s="223" t="s">
        <v>200</v>
      </c>
      <c r="C6845" s="223"/>
      <c r="K6845" s="319"/>
      <c r="L6845" s="218"/>
    </row>
    <row r="6846">
      <c r="B6846" s="223" t="s">
        <v>200</v>
      </c>
      <c r="C6846" s="223"/>
      <c r="K6846" s="319"/>
      <c r="L6846" s="218"/>
    </row>
    <row r="6847">
      <c r="B6847" s="223" t="s">
        <v>200</v>
      </c>
      <c r="C6847" s="223"/>
      <c r="K6847" s="319"/>
      <c r="L6847" s="218"/>
    </row>
    <row r="6848">
      <c r="B6848" s="223" t="s">
        <v>200</v>
      </c>
      <c r="C6848" s="223"/>
      <c r="K6848" s="319"/>
      <c r="L6848" s="218"/>
    </row>
    <row r="6849">
      <c r="B6849" s="223" t="s">
        <v>200</v>
      </c>
      <c r="C6849" s="223"/>
      <c r="K6849" s="319"/>
      <c r="L6849" s="218"/>
    </row>
    <row r="6850">
      <c r="B6850" s="223" t="s">
        <v>200</v>
      </c>
      <c r="C6850" s="223"/>
      <c r="K6850" s="319"/>
      <c r="L6850" s="218"/>
    </row>
    <row r="6851">
      <c r="B6851" s="223" t="s">
        <v>200</v>
      </c>
      <c r="C6851" s="223"/>
      <c r="K6851" s="319"/>
      <c r="L6851" s="218"/>
    </row>
    <row r="6852">
      <c r="B6852" s="223" t="s">
        <v>200</v>
      </c>
      <c r="C6852" s="223"/>
      <c r="K6852" s="319"/>
      <c r="L6852" s="218"/>
    </row>
    <row r="6853">
      <c r="B6853" s="223" t="s">
        <v>200</v>
      </c>
      <c r="C6853" s="223"/>
      <c r="K6853" s="319"/>
      <c r="L6853" s="218"/>
    </row>
    <row r="6854">
      <c r="B6854" s="223" t="s">
        <v>200</v>
      </c>
      <c r="C6854" s="223"/>
      <c r="K6854" s="319"/>
      <c r="L6854" s="218"/>
    </row>
    <row r="6855">
      <c r="B6855" s="223" t="s">
        <v>200</v>
      </c>
      <c r="C6855" s="223"/>
      <c r="K6855" s="319"/>
      <c r="L6855" s="218"/>
    </row>
    <row r="6856">
      <c r="B6856" s="223" t="s">
        <v>200</v>
      </c>
      <c r="C6856" s="223"/>
      <c r="K6856" s="319"/>
      <c r="L6856" s="218"/>
    </row>
    <row r="6857">
      <c r="B6857" s="223" t="s">
        <v>200</v>
      </c>
      <c r="C6857" s="223"/>
      <c r="K6857" s="319"/>
      <c r="L6857" s="218"/>
    </row>
    <row r="6858">
      <c r="B6858" s="223" t="s">
        <v>200</v>
      </c>
      <c r="C6858" s="223"/>
      <c r="K6858" s="319"/>
      <c r="L6858" s="218"/>
    </row>
    <row r="6859">
      <c r="B6859" s="223" t="s">
        <v>200</v>
      </c>
      <c r="C6859" s="223"/>
      <c r="K6859" s="319"/>
      <c r="L6859" s="218"/>
    </row>
    <row r="6860">
      <c r="B6860" s="223" t="s">
        <v>200</v>
      </c>
      <c r="C6860" s="223"/>
      <c r="K6860" s="319"/>
      <c r="L6860" s="218"/>
    </row>
    <row r="6861">
      <c r="B6861" s="223" t="s">
        <v>200</v>
      </c>
      <c r="C6861" s="223"/>
      <c r="K6861" s="319"/>
      <c r="L6861" s="218"/>
    </row>
    <row r="6862">
      <c r="B6862" s="223" t="s">
        <v>200</v>
      </c>
      <c r="C6862" s="223"/>
      <c r="K6862" s="319"/>
      <c r="L6862" s="218"/>
    </row>
    <row r="6863">
      <c r="B6863" s="223" t="s">
        <v>200</v>
      </c>
      <c r="C6863" s="223"/>
      <c r="K6863" s="319"/>
      <c r="L6863" s="218"/>
    </row>
    <row r="6864">
      <c r="B6864" s="223" t="s">
        <v>200</v>
      </c>
      <c r="C6864" s="223"/>
      <c r="K6864" s="319"/>
      <c r="L6864" s="218"/>
    </row>
    <row r="6865">
      <c r="B6865" s="223" t="s">
        <v>200</v>
      </c>
      <c r="C6865" s="223"/>
      <c r="K6865" s="319"/>
      <c r="L6865" s="218"/>
    </row>
    <row r="6866">
      <c r="B6866" s="223" t="s">
        <v>200</v>
      </c>
      <c r="C6866" s="223"/>
      <c r="K6866" s="319"/>
      <c r="L6866" s="218"/>
    </row>
    <row r="6867">
      <c r="B6867" s="223" t="s">
        <v>200</v>
      </c>
      <c r="C6867" s="223"/>
      <c r="K6867" s="319"/>
      <c r="L6867" s="218"/>
    </row>
    <row r="6868">
      <c r="B6868" s="223" t="s">
        <v>200</v>
      </c>
      <c r="C6868" s="223"/>
      <c r="K6868" s="319"/>
      <c r="L6868" s="218"/>
    </row>
    <row r="6869">
      <c r="B6869" s="223" t="s">
        <v>200</v>
      </c>
      <c r="C6869" s="223"/>
      <c r="K6869" s="319"/>
      <c r="L6869" s="218"/>
    </row>
    <row r="6870">
      <c r="B6870" s="223" t="s">
        <v>200</v>
      </c>
      <c r="C6870" s="223"/>
      <c r="K6870" s="319"/>
      <c r="L6870" s="218"/>
    </row>
    <row r="6871">
      <c r="B6871" s="223" t="s">
        <v>200</v>
      </c>
      <c r="C6871" s="223"/>
      <c r="K6871" s="319"/>
      <c r="L6871" s="218"/>
    </row>
    <row r="6872">
      <c r="B6872" s="223" t="s">
        <v>200</v>
      </c>
      <c r="C6872" s="223"/>
      <c r="K6872" s="319"/>
      <c r="L6872" s="218"/>
    </row>
    <row r="6873">
      <c r="B6873" s="223" t="s">
        <v>200</v>
      </c>
      <c r="C6873" s="223"/>
      <c r="K6873" s="319"/>
      <c r="L6873" s="218"/>
    </row>
    <row r="6874">
      <c r="B6874" s="223" t="s">
        <v>200</v>
      </c>
      <c r="C6874" s="223"/>
      <c r="K6874" s="319"/>
      <c r="L6874" s="218"/>
    </row>
    <row r="6875">
      <c r="B6875" s="223" t="s">
        <v>200</v>
      </c>
      <c r="C6875" s="223"/>
      <c r="K6875" s="319"/>
      <c r="L6875" s="218"/>
    </row>
    <row r="6876">
      <c r="B6876" s="223" t="s">
        <v>200</v>
      </c>
      <c r="C6876" s="223"/>
      <c r="K6876" s="319"/>
      <c r="L6876" s="218"/>
    </row>
    <row r="6877">
      <c r="B6877" s="223" t="s">
        <v>200</v>
      </c>
      <c r="C6877" s="223"/>
      <c r="K6877" s="319"/>
      <c r="L6877" s="218"/>
    </row>
    <row r="6878">
      <c r="B6878" s="223" t="s">
        <v>200</v>
      </c>
      <c r="C6878" s="223"/>
      <c r="K6878" s="319"/>
      <c r="L6878" s="218"/>
    </row>
    <row r="6879">
      <c r="B6879" s="223" t="s">
        <v>200</v>
      </c>
      <c r="C6879" s="223"/>
      <c r="K6879" s="319"/>
      <c r="L6879" s="218"/>
    </row>
    <row r="6880">
      <c r="B6880" s="223" t="s">
        <v>200</v>
      </c>
      <c r="C6880" s="223"/>
      <c r="K6880" s="319"/>
      <c r="L6880" s="218"/>
    </row>
    <row r="6881">
      <c r="B6881" s="223" t="s">
        <v>200</v>
      </c>
      <c r="C6881" s="223"/>
      <c r="K6881" s="319"/>
      <c r="L6881" s="218"/>
    </row>
    <row r="6882">
      <c r="B6882" s="223" t="s">
        <v>200</v>
      </c>
      <c r="C6882" s="223"/>
      <c r="K6882" s="319"/>
      <c r="L6882" s="218"/>
    </row>
    <row r="6883">
      <c r="B6883" s="223" t="s">
        <v>200</v>
      </c>
      <c r="C6883" s="223"/>
      <c r="K6883" s="319"/>
      <c r="L6883" s="218"/>
    </row>
    <row r="6884">
      <c r="B6884" s="223" t="s">
        <v>200</v>
      </c>
      <c r="C6884" s="223"/>
      <c r="K6884" s="319"/>
      <c r="L6884" s="218"/>
    </row>
    <row r="6885">
      <c r="B6885" s="223" t="s">
        <v>200</v>
      </c>
      <c r="C6885" s="223"/>
      <c r="K6885" s="319"/>
      <c r="L6885" s="218"/>
    </row>
    <row r="6886">
      <c r="B6886" s="223" t="s">
        <v>200</v>
      </c>
      <c r="C6886" s="223"/>
      <c r="K6886" s="319"/>
      <c r="L6886" s="218"/>
    </row>
    <row r="6887">
      <c r="B6887" s="223" t="s">
        <v>200</v>
      </c>
      <c r="C6887" s="223"/>
      <c r="K6887" s="319"/>
      <c r="L6887" s="218"/>
    </row>
    <row r="6888">
      <c r="B6888" s="223" t="s">
        <v>200</v>
      </c>
      <c r="C6888" s="223"/>
      <c r="K6888" s="319"/>
      <c r="L6888" s="218"/>
    </row>
    <row r="6889">
      <c r="B6889" s="223" t="s">
        <v>200</v>
      </c>
      <c r="C6889" s="223"/>
      <c r="K6889" s="319"/>
      <c r="L6889" s="218"/>
    </row>
    <row r="6890">
      <c r="B6890" s="223" t="s">
        <v>200</v>
      </c>
      <c r="C6890" s="223"/>
      <c r="K6890" s="319"/>
      <c r="L6890" s="218"/>
    </row>
    <row r="6891">
      <c r="B6891" s="223" t="s">
        <v>200</v>
      </c>
      <c r="C6891" s="223"/>
      <c r="K6891" s="319"/>
      <c r="L6891" s="218"/>
    </row>
    <row r="6892">
      <c r="B6892" s="223" t="s">
        <v>200</v>
      </c>
      <c r="C6892" s="223"/>
      <c r="K6892" s="319"/>
      <c r="L6892" s="218"/>
    </row>
    <row r="6893">
      <c r="B6893" s="223" t="s">
        <v>200</v>
      </c>
      <c r="C6893" s="223"/>
      <c r="K6893" s="319"/>
      <c r="L6893" s="218"/>
    </row>
    <row r="6894">
      <c r="B6894" s="223" t="s">
        <v>200</v>
      </c>
      <c r="C6894" s="223"/>
      <c r="K6894" s="319"/>
      <c r="L6894" s="218"/>
    </row>
    <row r="6895">
      <c r="B6895" s="223" t="s">
        <v>200</v>
      </c>
      <c r="C6895" s="223"/>
      <c r="K6895" s="319"/>
      <c r="L6895" s="218"/>
    </row>
    <row r="6896">
      <c r="B6896" s="223" t="s">
        <v>200</v>
      </c>
      <c r="C6896" s="223"/>
      <c r="K6896" s="319"/>
      <c r="L6896" s="218"/>
    </row>
    <row r="6897">
      <c r="B6897" s="223" t="s">
        <v>200</v>
      </c>
      <c r="C6897" s="223"/>
      <c r="K6897" s="319"/>
      <c r="L6897" s="218"/>
    </row>
    <row r="6898">
      <c r="B6898" s="223" t="s">
        <v>200</v>
      </c>
      <c r="C6898" s="223"/>
      <c r="K6898" s="319"/>
      <c r="L6898" s="218"/>
    </row>
    <row r="6899">
      <c r="B6899" s="223" t="s">
        <v>200</v>
      </c>
      <c r="C6899" s="223"/>
      <c r="K6899" s="319"/>
      <c r="L6899" s="218"/>
    </row>
    <row r="6900">
      <c r="B6900" s="223" t="s">
        <v>200</v>
      </c>
      <c r="C6900" s="223"/>
      <c r="K6900" s="319"/>
      <c r="L6900" s="218"/>
    </row>
    <row r="6901">
      <c r="B6901" s="223" t="s">
        <v>200</v>
      </c>
      <c r="C6901" s="223"/>
      <c r="K6901" s="319"/>
      <c r="L6901" s="218"/>
    </row>
    <row r="6902">
      <c r="B6902" s="223" t="s">
        <v>200</v>
      </c>
      <c r="C6902" s="223"/>
      <c r="K6902" s="319"/>
      <c r="L6902" s="218"/>
    </row>
    <row r="6903">
      <c r="B6903" s="223" t="s">
        <v>200</v>
      </c>
      <c r="C6903" s="223"/>
      <c r="K6903" s="319"/>
      <c r="L6903" s="218"/>
    </row>
    <row r="6904">
      <c r="B6904" s="223" t="s">
        <v>200</v>
      </c>
      <c r="C6904" s="223"/>
      <c r="K6904" s="319"/>
      <c r="L6904" s="218"/>
    </row>
    <row r="6905">
      <c r="B6905" s="223" t="s">
        <v>200</v>
      </c>
      <c r="C6905" s="223"/>
      <c r="K6905" s="319"/>
      <c r="L6905" s="218"/>
    </row>
    <row r="6906">
      <c r="B6906" s="223" t="s">
        <v>200</v>
      </c>
      <c r="C6906" s="223"/>
      <c r="K6906" s="319"/>
      <c r="L6906" s="218"/>
    </row>
    <row r="6907">
      <c r="B6907" s="223" t="s">
        <v>200</v>
      </c>
      <c r="C6907" s="223"/>
      <c r="K6907" s="319"/>
      <c r="L6907" s="218"/>
    </row>
    <row r="6908">
      <c r="B6908" s="223" t="s">
        <v>200</v>
      </c>
      <c r="C6908" s="223"/>
      <c r="K6908" s="319"/>
      <c r="L6908" s="218"/>
    </row>
    <row r="6909">
      <c r="B6909" s="223" t="s">
        <v>200</v>
      </c>
      <c r="C6909" s="223"/>
      <c r="K6909" s="319"/>
      <c r="L6909" s="218"/>
    </row>
    <row r="6910">
      <c r="B6910" s="223" t="s">
        <v>200</v>
      </c>
      <c r="C6910" s="223"/>
      <c r="K6910" s="319"/>
      <c r="L6910" s="218"/>
    </row>
    <row r="6911">
      <c r="B6911" s="223" t="s">
        <v>200</v>
      </c>
      <c r="C6911" s="223"/>
      <c r="K6911" s="319"/>
      <c r="L6911" s="218"/>
    </row>
    <row r="6912">
      <c r="B6912" s="223" t="s">
        <v>200</v>
      </c>
      <c r="C6912" s="223"/>
      <c r="K6912" s="319"/>
      <c r="L6912" s="218"/>
    </row>
    <row r="6913">
      <c r="B6913" s="223" t="s">
        <v>200</v>
      </c>
      <c r="C6913" s="223"/>
      <c r="K6913" s="319"/>
      <c r="L6913" s="218"/>
    </row>
    <row r="6914">
      <c r="B6914" s="223" t="s">
        <v>200</v>
      </c>
      <c r="C6914" s="223"/>
      <c r="K6914" s="319"/>
      <c r="L6914" s="218"/>
    </row>
    <row r="6915">
      <c r="B6915" s="223" t="s">
        <v>200</v>
      </c>
      <c r="C6915" s="223"/>
      <c r="K6915" s="319"/>
      <c r="L6915" s="218"/>
    </row>
    <row r="6916">
      <c r="B6916" s="223" t="s">
        <v>200</v>
      </c>
      <c r="C6916" s="223"/>
      <c r="K6916" s="319"/>
      <c r="L6916" s="218"/>
    </row>
    <row r="6917">
      <c r="B6917" s="223" t="s">
        <v>200</v>
      </c>
      <c r="C6917" s="223"/>
      <c r="K6917" s="319"/>
      <c r="L6917" s="218"/>
    </row>
    <row r="6918">
      <c r="B6918" s="223" t="s">
        <v>200</v>
      </c>
      <c r="C6918" s="223"/>
      <c r="K6918" s="319"/>
      <c r="L6918" s="218"/>
    </row>
    <row r="6919">
      <c r="B6919" s="223" t="s">
        <v>200</v>
      </c>
      <c r="C6919" s="223"/>
      <c r="K6919" s="319"/>
      <c r="L6919" s="218"/>
    </row>
    <row r="6920">
      <c r="B6920" s="223" t="s">
        <v>200</v>
      </c>
      <c r="C6920" s="223"/>
      <c r="K6920" s="319"/>
      <c r="L6920" s="218"/>
    </row>
    <row r="6921">
      <c r="B6921" s="223" t="s">
        <v>200</v>
      </c>
      <c r="C6921" s="223"/>
      <c r="K6921" s="319"/>
      <c r="L6921" s="218"/>
    </row>
    <row r="6922">
      <c r="B6922" s="223" t="s">
        <v>200</v>
      </c>
      <c r="C6922" s="223"/>
      <c r="K6922" s="319"/>
      <c r="L6922" s="218"/>
    </row>
    <row r="6923">
      <c r="B6923" s="223" t="s">
        <v>200</v>
      </c>
      <c r="C6923" s="223"/>
      <c r="K6923" s="319"/>
      <c r="L6923" s="218"/>
    </row>
    <row r="6924">
      <c r="B6924" s="223" t="s">
        <v>200</v>
      </c>
      <c r="C6924" s="223"/>
      <c r="K6924" s="319"/>
      <c r="L6924" s="218"/>
    </row>
    <row r="6925">
      <c r="B6925" s="223" t="s">
        <v>200</v>
      </c>
      <c r="C6925" s="223"/>
      <c r="K6925" s="319"/>
      <c r="L6925" s="218"/>
    </row>
    <row r="6926">
      <c r="B6926" s="223" t="s">
        <v>200</v>
      </c>
      <c r="C6926" s="223"/>
      <c r="K6926" s="319"/>
      <c r="L6926" s="218"/>
    </row>
    <row r="6927">
      <c r="B6927" s="223" t="s">
        <v>200</v>
      </c>
      <c r="C6927" s="223"/>
      <c r="K6927" s="319"/>
      <c r="L6927" s="218"/>
    </row>
    <row r="6928">
      <c r="B6928" s="223" t="s">
        <v>200</v>
      </c>
      <c r="C6928" s="223"/>
      <c r="K6928" s="319"/>
      <c r="L6928" s="218"/>
    </row>
    <row r="6929">
      <c r="B6929" s="223" t="s">
        <v>200</v>
      </c>
      <c r="C6929" s="223"/>
      <c r="K6929" s="319"/>
      <c r="L6929" s="218"/>
    </row>
    <row r="6930">
      <c r="B6930" s="223" t="s">
        <v>200</v>
      </c>
      <c r="C6930" s="223"/>
      <c r="K6930" s="319"/>
      <c r="L6930" s="218"/>
    </row>
    <row r="6931">
      <c r="B6931" s="223" t="s">
        <v>200</v>
      </c>
      <c r="C6931" s="223"/>
      <c r="K6931" s="319"/>
      <c r="L6931" s="218"/>
    </row>
    <row r="6932">
      <c r="B6932" s="223" t="s">
        <v>200</v>
      </c>
      <c r="C6932" s="223"/>
      <c r="K6932" s="319"/>
      <c r="L6932" s="218"/>
    </row>
    <row r="6933">
      <c r="B6933" s="223" t="s">
        <v>200</v>
      </c>
      <c r="C6933" s="223"/>
      <c r="K6933" s="319"/>
      <c r="L6933" s="218"/>
    </row>
    <row r="6934">
      <c r="B6934" s="223" t="s">
        <v>200</v>
      </c>
      <c r="C6934" s="223"/>
      <c r="K6934" s="319"/>
      <c r="L6934" s="218"/>
    </row>
    <row r="6935">
      <c r="B6935" s="223" t="s">
        <v>200</v>
      </c>
      <c r="C6935" s="223"/>
      <c r="K6935" s="319"/>
      <c r="L6935" s="218"/>
    </row>
    <row r="6936">
      <c r="B6936" s="223" t="s">
        <v>200</v>
      </c>
      <c r="C6936" s="223"/>
      <c r="K6936" s="319"/>
      <c r="L6936" s="218"/>
    </row>
    <row r="6937">
      <c r="B6937" s="223" t="s">
        <v>200</v>
      </c>
      <c r="C6937" s="223"/>
      <c r="K6937" s="319"/>
      <c r="L6937" s="218"/>
    </row>
    <row r="6938">
      <c r="B6938" s="223" t="s">
        <v>200</v>
      </c>
      <c r="C6938" s="223"/>
      <c r="K6938" s="319"/>
      <c r="L6938" s="218"/>
    </row>
    <row r="6939">
      <c r="B6939" s="223" t="s">
        <v>200</v>
      </c>
      <c r="C6939" s="223"/>
      <c r="K6939" s="319"/>
      <c r="L6939" s="218"/>
    </row>
    <row r="6940">
      <c r="B6940" s="223" t="s">
        <v>200</v>
      </c>
      <c r="C6940" s="223"/>
      <c r="K6940" s="319"/>
      <c r="L6940" s="218"/>
    </row>
    <row r="6941">
      <c r="B6941" s="223" t="s">
        <v>200</v>
      </c>
      <c r="C6941" s="223"/>
      <c r="K6941" s="319"/>
      <c r="L6941" s="218"/>
    </row>
    <row r="6942">
      <c r="B6942" s="223" t="s">
        <v>200</v>
      </c>
      <c r="C6942" s="223"/>
      <c r="K6942" s="319"/>
      <c r="L6942" s="218"/>
    </row>
    <row r="6943">
      <c r="B6943" s="223" t="s">
        <v>200</v>
      </c>
      <c r="C6943" s="223"/>
      <c r="K6943" s="319"/>
      <c r="L6943" s="218"/>
    </row>
    <row r="6944">
      <c r="B6944" s="223" t="s">
        <v>200</v>
      </c>
      <c r="C6944" s="223"/>
      <c r="K6944" s="319"/>
      <c r="L6944" s="218"/>
    </row>
    <row r="6945">
      <c r="B6945" s="223" t="s">
        <v>200</v>
      </c>
      <c r="C6945" s="223"/>
      <c r="K6945" s="319"/>
      <c r="L6945" s="218"/>
    </row>
    <row r="6946">
      <c r="B6946" s="223" t="s">
        <v>200</v>
      </c>
      <c r="C6946" s="223"/>
      <c r="K6946" s="319"/>
      <c r="L6946" s="218"/>
    </row>
    <row r="6947">
      <c r="B6947" s="223" t="s">
        <v>200</v>
      </c>
      <c r="C6947" s="223"/>
      <c r="K6947" s="319"/>
      <c r="L6947" s="218"/>
    </row>
    <row r="6948">
      <c r="B6948" s="223" t="s">
        <v>200</v>
      </c>
      <c r="C6948" s="223"/>
      <c r="K6948" s="319"/>
      <c r="L6948" s="218"/>
    </row>
    <row r="6949">
      <c r="B6949" s="223" t="s">
        <v>200</v>
      </c>
      <c r="C6949" s="223"/>
      <c r="K6949" s="319"/>
      <c r="L6949" s="218"/>
    </row>
    <row r="6950">
      <c r="B6950" s="223" t="s">
        <v>200</v>
      </c>
      <c r="C6950" s="223"/>
      <c r="K6950" s="319"/>
      <c r="L6950" s="218"/>
    </row>
    <row r="6951">
      <c r="B6951" s="223" t="s">
        <v>200</v>
      </c>
      <c r="C6951" s="223"/>
      <c r="K6951" s="319"/>
      <c r="L6951" s="218"/>
    </row>
    <row r="6952">
      <c r="B6952" s="223" t="s">
        <v>200</v>
      </c>
      <c r="C6952" s="223"/>
      <c r="K6952" s="319"/>
      <c r="L6952" s="218"/>
    </row>
    <row r="6953">
      <c r="B6953" s="223" t="s">
        <v>200</v>
      </c>
      <c r="C6953" s="223"/>
      <c r="K6953" s="319"/>
      <c r="L6953" s="218"/>
    </row>
    <row r="6954">
      <c r="B6954" s="223" t="s">
        <v>200</v>
      </c>
      <c r="C6954" s="223"/>
      <c r="K6954" s="319"/>
      <c r="L6954" s="218"/>
    </row>
    <row r="6955">
      <c r="B6955" s="223" t="s">
        <v>200</v>
      </c>
      <c r="C6955" s="223"/>
      <c r="K6955" s="319"/>
      <c r="L6955" s="218"/>
    </row>
    <row r="6956">
      <c r="B6956" s="223" t="s">
        <v>200</v>
      </c>
      <c r="C6956" s="223"/>
      <c r="K6956" s="319"/>
      <c r="L6956" s="218"/>
    </row>
    <row r="6957">
      <c r="B6957" s="223" t="s">
        <v>200</v>
      </c>
      <c r="C6957" s="223"/>
      <c r="K6957" s="319"/>
      <c r="L6957" s="218"/>
    </row>
    <row r="6958">
      <c r="B6958" s="223" t="s">
        <v>200</v>
      </c>
      <c r="C6958" s="223"/>
      <c r="K6958" s="319"/>
      <c r="L6958" s="218"/>
    </row>
    <row r="6959">
      <c r="B6959" s="223" t="s">
        <v>200</v>
      </c>
      <c r="C6959" s="223"/>
      <c r="K6959" s="319"/>
      <c r="L6959" s="218"/>
    </row>
    <row r="6960">
      <c r="B6960" s="223" t="s">
        <v>200</v>
      </c>
      <c r="C6960" s="223"/>
      <c r="K6960" s="319"/>
      <c r="L6960" s="218"/>
    </row>
    <row r="6961">
      <c r="B6961" s="223" t="s">
        <v>200</v>
      </c>
      <c r="C6961" s="223"/>
      <c r="K6961" s="319"/>
      <c r="L6961" s="218"/>
    </row>
    <row r="6962">
      <c r="B6962" s="223" t="s">
        <v>200</v>
      </c>
      <c r="C6962" s="223"/>
      <c r="K6962" s="319"/>
      <c r="L6962" s="218"/>
    </row>
    <row r="6963">
      <c r="B6963" s="223" t="s">
        <v>200</v>
      </c>
      <c r="C6963" s="223"/>
      <c r="K6963" s="319"/>
      <c r="L6963" s="218"/>
    </row>
    <row r="6964">
      <c r="B6964" s="223" t="s">
        <v>200</v>
      </c>
      <c r="C6964" s="223"/>
      <c r="K6964" s="319"/>
      <c r="L6964" s="218"/>
    </row>
    <row r="6965">
      <c r="B6965" s="223" t="s">
        <v>200</v>
      </c>
      <c r="C6965" s="223"/>
      <c r="K6965" s="319"/>
      <c r="L6965" s="218"/>
    </row>
    <row r="6966">
      <c r="B6966" s="223" t="s">
        <v>200</v>
      </c>
      <c r="C6966" s="223"/>
      <c r="K6966" s="319"/>
      <c r="L6966" s="218"/>
    </row>
    <row r="6967">
      <c r="B6967" s="223" t="s">
        <v>200</v>
      </c>
      <c r="C6967" s="223"/>
      <c r="K6967" s="319"/>
      <c r="L6967" s="218"/>
    </row>
    <row r="6968">
      <c r="B6968" s="223" t="s">
        <v>200</v>
      </c>
      <c r="C6968" s="223"/>
      <c r="K6968" s="319"/>
      <c r="L6968" s="218"/>
    </row>
    <row r="6969">
      <c r="B6969" s="223" t="s">
        <v>200</v>
      </c>
      <c r="C6969" s="223"/>
      <c r="K6969" s="319"/>
      <c r="L6969" s="218"/>
    </row>
    <row r="6970">
      <c r="B6970" s="223" t="s">
        <v>200</v>
      </c>
      <c r="C6970" s="223"/>
      <c r="K6970" s="319"/>
      <c r="L6970" s="218"/>
    </row>
    <row r="6971">
      <c r="B6971" s="223" t="s">
        <v>200</v>
      </c>
      <c r="C6971" s="223"/>
      <c r="K6971" s="319"/>
      <c r="L6971" s="218"/>
    </row>
    <row r="6972">
      <c r="B6972" s="223" t="s">
        <v>200</v>
      </c>
      <c r="C6972" s="223"/>
      <c r="K6972" s="319"/>
      <c r="L6972" s="218"/>
    </row>
    <row r="6973">
      <c r="B6973" s="223" t="s">
        <v>200</v>
      </c>
      <c r="C6973" s="223"/>
      <c r="K6973" s="319"/>
      <c r="L6973" s="218"/>
    </row>
    <row r="6974">
      <c r="B6974" s="223" t="s">
        <v>200</v>
      </c>
      <c r="C6974" s="223"/>
      <c r="K6974" s="319"/>
      <c r="L6974" s="218"/>
    </row>
    <row r="6975">
      <c r="B6975" s="223" t="s">
        <v>200</v>
      </c>
      <c r="C6975" s="223"/>
      <c r="K6975" s="319"/>
      <c r="L6975" s="218"/>
    </row>
    <row r="6976">
      <c r="B6976" s="223" t="s">
        <v>200</v>
      </c>
      <c r="C6976" s="223"/>
      <c r="K6976" s="319"/>
      <c r="L6976" s="218"/>
    </row>
    <row r="6977">
      <c r="B6977" s="223" t="s">
        <v>200</v>
      </c>
      <c r="C6977" s="223"/>
      <c r="K6977" s="319"/>
      <c r="L6977" s="218"/>
    </row>
    <row r="6978">
      <c r="B6978" s="223" t="s">
        <v>200</v>
      </c>
      <c r="C6978" s="223"/>
      <c r="K6978" s="319"/>
      <c r="L6978" s="218"/>
    </row>
    <row r="6979">
      <c r="B6979" s="223" t="s">
        <v>200</v>
      </c>
      <c r="C6979" s="223"/>
      <c r="K6979" s="319"/>
      <c r="L6979" s="218"/>
    </row>
    <row r="6980">
      <c r="B6980" s="223" t="s">
        <v>200</v>
      </c>
      <c r="C6980" s="223"/>
      <c r="K6980" s="319"/>
      <c r="L6980" s="218"/>
    </row>
    <row r="6981">
      <c r="B6981" s="223" t="s">
        <v>200</v>
      </c>
      <c r="C6981" s="223"/>
      <c r="K6981" s="319"/>
      <c r="L6981" s="218"/>
    </row>
    <row r="6982">
      <c r="B6982" s="223" t="s">
        <v>200</v>
      </c>
      <c r="C6982" s="223"/>
      <c r="K6982" s="319"/>
      <c r="L6982" s="218"/>
    </row>
    <row r="6983">
      <c r="B6983" s="223" t="s">
        <v>200</v>
      </c>
      <c r="C6983" s="223"/>
      <c r="K6983" s="319"/>
      <c r="L6983" s="218"/>
    </row>
    <row r="6984">
      <c r="B6984" s="223" t="s">
        <v>200</v>
      </c>
      <c r="C6984" s="223"/>
      <c r="K6984" s="319"/>
      <c r="L6984" s="218"/>
    </row>
    <row r="6985">
      <c r="B6985" s="223" t="s">
        <v>200</v>
      </c>
      <c r="C6985" s="223"/>
      <c r="K6985" s="319"/>
      <c r="L6985" s="218"/>
    </row>
    <row r="6986">
      <c r="B6986" s="223" t="s">
        <v>200</v>
      </c>
      <c r="C6986" s="223"/>
      <c r="K6986" s="319"/>
      <c r="L6986" s="218"/>
    </row>
    <row r="6987">
      <c r="B6987" s="223" t="s">
        <v>200</v>
      </c>
      <c r="C6987" s="223"/>
      <c r="K6987" s="319"/>
      <c r="L6987" s="218"/>
    </row>
    <row r="6988">
      <c r="B6988" s="223" t="s">
        <v>200</v>
      </c>
      <c r="C6988" s="223"/>
      <c r="K6988" s="319"/>
      <c r="L6988" s="218"/>
    </row>
    <row r="6989">
      <c r="B6989" s="223" t="s">
        <v>200</v>
      </c>
      <c r="C6989" s="223"/>
      <c r="K6989" s="319"/>
      <c r="L6989" s="218"/>
    </row>
    <row r="6990">
      <c r="B6990" s="223" t="s">
        <v>200</v>
      </c>
      <c r="C6990" s="223"/>
      <c r="K6990" s="319"/>
      <c r="L6990" s="218"/>
    </row>
    <row r="6991">
      <c r="B6991" s="223" t="s">
        <v>200</v>
      </c>
      <c r="C6991" s="223"/>
      <c r="K6991" s="319"/>
      <c r="L6991" s="218"/>
    </row>
    <row r="6992">
      <c r="B6992" s="223" t="s">
        <v>200</v>
      </c>
      <c r="C6992" s="223"/>
      <c r="K6992" s="319"/>
      <c r="L6992" s="218"/>
    </row>
    <row r="6993">
      <c r="B6993" s="223" t="s">
        <v>200</v>
      </c>
      <c r="C6993" s="223"/>
      <c r="K6993" s="319"/>
      <c r="L6993" s="218"/>
    </row>
    <row r="6994">
      <c r="B6994" s="223" t="s">
        <v>200</v>
      </c>
      <c r="C6994" s="223"/>
      <c r="K6994" s="319"/>
      <c r="L6994" s="218"/>
    </row>
    <row r="6995">
      <c r="B6995" s="223" t="s">
        <v>200</v>
      </c>
      <c r="C6995" s="223"/>
      <c r="K6995" s="319"/>
      <c r="L6995" s="218"/>
    </row>
    <row r="6996">
      <c r="B6996" s="223" t="s">
        <v>200</v>
      </c>
      <c r="C6996" s="223"/>
      <c r="K6996" s="319"/>
      <c r="L6996" s="218"/>
    </row>
    <row r="6997">
      <c r="B6997" s="223" t="s">
        <v>200</v>
      </c>
      <c r="C6997" s="223"/>
      <c r="K6997" s="319"/>
      <c r="L6997" s="218"/>
    </row>
    <row r="6998">
      <c r="B6998" s="223" t="s">
        <v>200</v>
      </c>
      <c r="C6998" s="223"/>
      <c r="K6998" s="319"/>
      <c r="L6998" s="218"/>
    </row>
    <row r="6999">
      <c r="B6999" s="223" t="s">
        <v>200</v>
      </c>
      <c r="C6999" s="223"/>
      <c r="K6999" s="319"/>
      <c r="L6999" s="218"/>
    </row>
    <row r="7000">
      <c r="B7000" s="223" t="s">
        <v>200</v>
      </c>
      <c r="C7000" s="223"/>
      <c r="K7000" s="319"/>
      <c r="L7000" s="218"/>
    </row>
    <row r="7001">
      <c r="B7001" s="223" t="s">
        <v>200</v>
      </c>
      <c r="C7001" s="223"/>
      <c r="K7001" s="319"/>
      <c r="L7001" s="218"/>
    </row>
    <row r="7002">
      <c r="B7002" s="223" t="s">
        <v>200</v>
      </c>
      <c r="C7002" s="223"/>
      <c r="K7002" s="319"/>
      <c r="L7002" s="218"/>
    </row>
    <row r="7003">
      <c r="B7003" s="223" t="s">
        <v>200</v>
      </c>
      <c r="C7003" s="223"/>
      <c r="K7003" s="319"/>
      <c r="L7003" s="218"/>
    </row>
    <row r="7004">
      <c r="B7004" s="223" t="s">
        <v>200</v>
      </c>
      <c r="C7004" s="223"/>
      <c r="K7004" s="319"/>
      <c r="L7004" s="218"/>
    </row>
    <row r="7005">
      <c r="B7005" s="223" t="s">
        <v>200</v>
      </c>
      <c r="C7005" s="223"/>
      <c r="K7005" s="319"/>
      <c r="L7005" s="218"/>
    </row>
    <row r="7006">
      <c r="B7006" s="223" t="s">
        <v>200</v>
      </c>
      <c r="C7006" s="223"/>
      <c r="K7006" s="319"/>
      <c r="L7006" s="218"/>
    </row>
    <row r="7007">
      <c r="B7007" s="223" t="s">
        <v>200</v>
      </c>
      <c r="C7007" s="223"/>
      <c r="K7007" s="319"/>
      <c r="L7007" s="218"/>
    </row>
    <row r="7008">
      <c r="B7008" s="223" t="s">
        <v>200</v>
      </c>
      <c r="C7008" s="223"/>
      <c r="K7008" s="319"/>
      <c r="L7008" s="218"/>
    </row>
    <row r="7009">
      <c r="B7009" s="223" t="s">
        <v>200</v>
      </c>
      <c r="C7009" s="223"/>
      <c r="K7009" s="319"/>
      <c r="L7009" s="218"/>
    </row>
    <row r="7010">
      <c r="B7010" s="223" t="s">
        <v>200</v>
      </c>
      <c r="C7010" s="223"/>
      <c r="K7010" s="319"/>
      <c r="L7010" s="218"/>
    </row>
    <row r="7011">
      <c r="B7011" s="223" t="s">
        <v>200</v>
      </c>
      <c r="C7011" s="223"/>
      <c r="K7011" s="319"/>
      <c r="L7011" s="218"/>
    </row>
    <row r="7012">
      <c r="B7012" s="223" t="s">
        <v>200</v>
      </c>
      <c r="C7012" s="223"/>
      <c r="K7012" s="319"/>
      <c r="L7012" s="218"/>
    </row>
    <row r="7013">
      <c r="B7013" s="223" t="s">
        <v>200</v>
      </c>
      <c r="C7013" s="223"/>
      <c r="K7013" s="319"/>
      <c r="L7013" s="218"/>
    </row>
    <row r="7014">
      <c r="B7014" s="223" t="s">
        <v>200</v>
      </c>
      <c r="C7014" s="223"/>
      <c r="K7014" s="319"/>
      <c r="L7014" s="218"/>
    </row>
    <row r="7015">
      <c r="B7015" s="223" t="s">
        <v>200</v>
      </c>
      <c r="C7015" s="223"/>
      <c r="K7015" s="319"/>
      <c r="L7015" s="218"/>
    </row>
    <row r="7016">
      <c r="B7016" s="223" t="s">
        <v>200</v>
      </c>
      <c r="C7016" s="223"/>
      <c r="K7016" s="319"/>
      <c r="L7016" s="218"/>
    </row>
    <row r="7017">
      <c r="B7017" s="223" t="s">
        <v>200</v>
      </c>
      <c r="C7017" s="223"/>
      <c r="K7017" s="319"/>
      <c r="L7017" s="218"/>
    </row>
    <row r="7018">
      <c r="B7018" s="223" t="s">
        <v>200</v>
      </c>
      <c r="C7018" s="223"/>
      <c r="K7018" s="319"/>
      <c r="L7018" s="218"/>
    </row>
    <row r="7019">
      <c r="B7019" s="223" t="s">
        <v>200</v>
      </c>
      <c r="C7019" s="223"/>
      <c r="K7019" s="319"/>
      <c r="L7019" s="218"/>
    </row>
    <row r="7020">
      <c r="B7020" s="223" t="s">
        <v>200</v>
      </c>
      <c r="C7020" s="223"/>
      <c r="K7020" s="319"/>
      <c r="L7020" s="218"/>
    </row>
    <row r="7021">
      <c r="B7021" s="223" t="s">
        <v>200</v>
      </c>
      <c r="C7021" s="223"/>
      <c r="K7021" s="319"/>
      <c r="L7021" s="218"/>
    </row>
    <row r="7022">
      <c r="B7022" s="223" t="s">
        <v>200</v>
      </c>
      <c r="C7022" s="223"/>
      <c r="K7022" s="319"/>
      <c r="L7022" s="218"/>
    </row>
    <row r="7023">
      <c r="B7023" s="223" t="s">
        <v>200</v>
      </c>
      <c r="C7023" s="223"/>
      <c r="K7023" s="319"/>
      <c r="L7023" s="218"/>
    </row>
    <row r="7024">
      <c r="B7024" s="223" t="s">
        <v>200</v>
      </c>
      <c r="C7024" s="223"/>
      <c r="K7024" s="319"/>
      <c r="L7024" s="218"/>
    </row>
    <row r="7025">
      <c r="B7025" s="223" t="s">
        <v>200</v>
      </c>
      <c r="C7025" s="223"/>
      <c r="K7025" s="319"/>
      <c r="L7025" s="218"/>
    </row>
    <row r="7026">
      <c r="B7026" s="223" t="s">
        <v>200</v>
      </c>
      <c r="C7026" s="223"/>
      <c r="K7026" s="319"/>
      <c r="L7026" s="218"/>
    </row>
    <row r="7027">
      <c r="B7027" s="223" t="s">
        <v>200</v>
      </c>
      <c r="C7027" s="223"/>
      <c r="K7027" s="319"/>
      <c r="L7027" s="218"/>
    </row>
    <row r="7028">
      <c r="B7028" s="223" t="s">
        <v>200</v>
      </c>
      <c r="C7028" s="223"/>
      <c r="K7028" s="319"/>
      <c r="L7028" s="218"/>
    </row>
    <row r="7029">
      <c r="B7029" s="223" t="s">
        <v>200</v>
      </c>
      <c r="C7029" s="223"/>
      <c r="K7029" s="319"/>
      <c r="L7029" s="218"/>
    </row>
    <row r="7030">
      <c r="B7030" s="223" t="s">
        <v>200</v>
      </c>
      <c r="C7030" s="223"/>
      <c r="K7030" s="319"/>
      <c r="L7030" s="218"/>
    </row>
    <row r="7031">
      <c r="B7031" s="223" t="s">
        <v>200</v>
      </c>
      <c r="C7031" s="223"/>
      <c r="K7031" s="319"/>
      <c r="L7031" s="218"/>
    </row>
    <row r="7032">
      <c r="B7032" s="223" t="s">
        <v>200</v>
      </c>
      <c r="C7032" s="223"/>
      <c r="K7032" s="319"/>
      <c r="L7032" s="218"/>
    </row>
    <row r="7033">
      <c r="B7033" s="223" t="s">
        <v>200</v>
      </c>
      <c r="C7033" s="223"/>
      <c r="K7033" s="319"/>
      <c r="L7033" s="218"/>
    </row>
    <row r="7034">
      <c r="B7034" s="223" t="s">
        <v>200</v>
      </c>
      <c r="C7034" s="223"/>
      <c r="K7034" s="319"/>
      <c r="L7034" s="218"/>
    </row>
    <row r="7035">
      <c r="B7035" s="223" t="s">
        <v>200</v>
      </c>
      <c r="C7035" s="223"/>
      <c r="K7035" s="319"/>
      <c r="L7035" s="218"/>
    </row>
    <row r="7036">
      <c r="B7036" s="223" t="s">
        <v>200</v>
      </c>
      <c r="C7036" s="223"/>
      <c r="K7036" s="319"/>
      <c r="L7036" s="218"/>
    </row>
    <row r="7037">
      <c r="B7037" s="223" t="s">
        <v>200</v>
      </c>
      <c r="C7037" s="223"/>
      <c r="K7037" s="319"/>
      <c r="L7037" s="218"/>
    </row>
    <row r="7038">
      <c r="B7038" s="223" t="s">
        <v>200</v>
      </c>
      <c r="C7038" s="223"/>
      <c r="K7038" s="319"/>
      <c r="L7038" s="218"/>
    </row>
    <row r="7039">
      <c r="B7039" s="223" t="s">
        <v>200</v>
      </c>
      <c r="C7039" s="223"/>
      <c r="K7039" s="319"/>
      <c r="L7039" s="218"/>
    </row>
    <row r="7040">
      <c r="B7040" s="223" t="s">
        <v>200</v>
      </c>
      <c r="C7040" s="223"/>
      <c r="K7040" s="319"/>
      <c r="L7040" s="218"/>
    </row>
    <row r="7041">
      <c r="B7041" s="223" t="s">
        <v>200</v>
      </c>
      <c r="C7041" s="223"/>
      <c r="K7041" s="319"/>
      <c r="L7041" s="218"/>
    </row>
    <row r="7042">
      <c r="B7042" s="223" t="s">
        <v>200</v>
      </c>
      <c r="C7042" s="223"/>
      <c r="K7042" s="319"/>
      <c r="L7042" s="218"/>
    </row>
    <row r="7043">
      <c r="B7043" s="223" t="s">
        <v>200</v>
      </c>
      <c r="C7043" s="223"/>
      <c r="K7043" s="319"/>
      <c r="L7043" s="218"/>
    </row>
    <row r="7044">
      <c r="B7044" s="223" t="s">
        <v>200</v>
      </c>
      <c r="C7044" s="223"/>
      <c r="K7044" s="319"/>
      <c r="L7044" s="218"/>
    </row>
    <row r="7045">
      <c r="B7045" s="223" t="s">
        <v>200</v>
      </c>
      <c r="C7045" s="223"/>
      <c r="K7045" s="319"/>
      <c r="L7045" s="218"/>
    </row>
    <row r="7046">
      <c r="B7046" s="223" t="s">
        <v>200</v>
      </c>
      <c r="C7046" s="223"/>
      <c r="K7046" s="319"/>
      <c r="L7046" s="218"/>
    </row>
    <row r="7047">
      <c r="B7047" s="223" t="s">
        <v>200</v>
      </c>
      <c r="C7047" s="223"/>
      <c r="K7047" s="319"/>
      <c r="L7047" s="218"/>
    </row>
    <row r="7048">
      <c r="B7048" s="223" t="s">
        <v>200</v>
      </c>
      <c r="C7048" s="223"/>
      <c r="K7048" s="319"/>
      <c r="L7048" s="218"/>
    </row>
    <row r="7049">
      <c r="B7049" s="223" t="s">
        <v>200</v>
      </c>
      <c r="C7049" s="223"/>
      <c r="K7049" s="319"/>
      <c r="L7049" s="218"/>
    </row>
    <row r="7050">
      <c r="B7050" s="223" t="s">
        <v>200</v>
      </c>
      <c r="C7050" s="223"/>
      <c r="K7050" s="319"/>
      <c r="L7050" s="218"/>
    </row>
    <row r="7051">
      <c r="B7051" s="223" t="s">
        <v>200</v>
      </c>
      <c r="C7051" s="223"/>
      <c r="K7051" s="319"/>
      <c r="L7051" s="218"/>
    </row>
    <row r="7052">
      <c r="B7052" s="223" t="s">
        <v>200</v>
      </c>
      <c r="C7052" s="223"/>
      <c r="K7052" s="319"/>
      <c r="L7052" s="218"/>
    </row>
    <row r="7053">
      <c r="B7053" s="223" t="s">
        <v>200</v>
      </c>
      <c r="C7053" s="223"/>
      <c r="K7053" s="319"/>
      <c r="L7053" s="218"/>
    </row>
    <row r="7054">
      <c r="B7054" s="223" t="s">
        <v>200</v>
      </c>
      <c r="C7054" s="223"/>
      <c r="K7054" s="319"/>
      <c r="L7054" s="218"/>
    </row>
    <row r="7055">
      <c r="B7055" s="223" t="s">
        <v>200</v>
      </c>
      <c r="C7055" s="223"/>
      <c r="K7055" s="319"/>
      <c r="L7055" s="218"/>
    </row>
    <row r="7056">
      <c r="B7056" s="223" t="s">
        <v>200</v>
      </c>
      <c r="C7056" s="223"/>
      <c r="K7056" s="319"/>
      <c r="L7056" s="218"/>
    </row>
    <row r="7057">
      <c r="B7057" s="223" t="s">
        <v>200</v>
      </c>
      <c r="C7057" s="223"/>
      <c r="K7057" s="319"/>
      <c r="L7057" s="218"/>
    </row>
    <row r="7058">
      <c r="B7058" s="223" t="s">
        <v>200</v>
      </c>
      <c r="C7058" s="223"/>
      <c r="K7058" s="319"/>
      <c r="L7058" s="218"/>
    </row>
    <row r="7059">
      <c r="B7059" s="223" t="s">
        <v>200</v>
      </c>
      <c r="C7059" s="223"/>
      <c r="K7059" s="319"/>
      <c r="L7059" s="218"/>
    </row>
    <row r="7060">
      <c r="B7060" s="223" t="s">
        <v>200</v>
      </c>
      <c r="C7060" s="223"/>
      <c r="K7060" s="319"/>
      <c r="L7060" s="218"/>
    </row>
    <row r="7061">
      <c r="B7061" s="223" t="s">
        <v>200</v>
      </c>
      <c r="C7061" s="223"/>
      <c r="K7061" s="319"/>
      <c r="L7061" s="218"/>
    </row>
    <row r="7062">
      <c r="B7062" s="223" t="s">
        <v>200</v>
      </c>
      <c r="C7062" s="223"/>
      <c r="K7062" s="319"/>
      <c r="L7062" s="218"/>
    </row>
    <row r="7063">
      <c r="B7063" s="223" t="s">
        <v>200</v>
      </c>
      <c r="C7063" s="223"/>
      <c r="K7063" s="319"/>
      <c r="L7063" s="218"/>
    </row>
    <row r="7064">
      <c r="B7064" s="223" t="s">
        <v>200</v>
      </c>
      <c r="C7064" s="223"/>
      <c r="K7064" s="319"/>
      <c r="L7064" s="218"/>
    </row>
    <row r="7065">
      <c r="B7065" s="223" t="s">
        <v>200</v>
      </c>
      <c r="C7065" s="223"/>
      <c r="K7065" s="319"/>
      <c r="L7065" s="218"/>
    </row>
    <row r="7066">
      <c r="B7066" s="223" t="s">
        <v>200</v>
      </c>
      <c r="C7066" s="223"/>
      <c r="K7066" s="319"/>
      <c r="L7066" s="218"/>
    </row>
    <row r="7067">
      <c r="B7067" s="223" t="s">
        <v>200</v>
      </c>
      <c r="C7067" s="223"/>
      <c r="K7067" s="319"/>
      <c r="L7067" s="218"/>
    </row>
    <row r="7068">
      <c r="B7068" s="223" t="s">
        <v>200</v>
      </c>
      <c r="C7068" s="223"/>
      <c r="K7068" s="319"/>
      <c r="L7068" s="218"/>
    </row>
    <row r="7069">
      <c r="B7069" s="223" t="s">
        <v>200</v>
      </c>
      <c r="C7069" s="223"/>
      <c r="K7069" s="319"/>
      <c r="L7069" s="218"/>
    </row>
    <row r="7070">
      <c r="B7070" s="223" t="s">
        <v>200</v>
      </c>
      <c r="C7070" s="223"/>
      <c r="K7070" s="319"/>
      <c r="L7070" s="218"/>
    </row>
    <row r="7071">
      <c r="B7071" s="223" t="s">
        <v>200</v>
      </c>
      <c r="C7071" s="223"/>
      <c r="K7071" s="319"/>
      <c r="L7071" s="218"/>
    </row>
    <row r="7072">
      <c r="B7072" s="223" t="s">
        <v>200</v>
      </c>
      <c r="C7072" s="223"/>
      <c r="K7072" s="319"/>
      <c r="L7072" s="218"/>
    </row>
    <row r="7073">
      <c r="B7073" s="223" t="s">
        <v>200</v>
      </c>
      <c r="C7073" s="223"/>
      <c r="K7073" s="319"/>
      <c r="L7073" s="218"/>
    </row>
    <row r="7074">
      <c r="B7074" s="223" t="s">
        <v>200</v>
      </c>
      <c r="C7074" s="223"/>
      <c r="K7074" s="319"/>
      <c r="L7074" s="218"/>
    </row>
    <row r="7075">
      <c r="B7075" s="223" t="s">
        <v>200</v>
      </c>
      <c r="C7075" s="223"/>
      <c r="K7075" s="319"/>
      <c r="L7075" s="218"/>
    </row>
    <row r="7076">
      <c r="B7076" s="223" t="s">
        <v>200</v>
      </c>
      <c r="C7076" s="223"/>
      <c r="K7076" s="319"/>
      <c r="L7076" s="218"/>
    </row>
    <row r="7077">
      <c r="B7077" s="223" t="s">
        <v>200</v>
      </c>
      <c r="C7077" s="223"/>
      <c r="K7077" s="319"/>
      <c r="L7077" s="218"/>
    </row>
    <row r="7078">
      <c r="B7078" s="223" t="s">
        <v>200</v>
      </c>
      <c r="C7078" s="223"/>
      <c r="K7078" s="319"/>
      <c r="L7078" s="218"/>
    </row>
    <row r="7079">
      <c r="B7079" s="223" t="s">
        <v>200</v>
      </c>
      <c r="C7079" s="223"/>
      <c r="K7079" s="319"/>
      <c r="L7079" s="218"/>
    </row>
    <row r="7080">
      <c r="B7080" s="223" t="s">
        <v>200</v>
      </c>
      <c r="C7080" s="223"/>
      <c r="K7080" s="319"/>
      <c r="L7080" s="218"/>
    </row>
    <row r="7081">
      <c r="B7081" s="223" t="s">
        <v>200</v>
      </c>
      <c r="C7081" s="223"/>
      <c r="K7081" s="319"/>
      <c r="L7081" s="218"/>
    </row>
    <row r="7082">
      <c r="B7082" s="223" t="s">
        <v>200</v>
      </c>
      <c r="C7082" s="223"/>
      <c r="K7082" s="319"/>
      <c r="L7082" s="218"/>
    </row>
    <row r="7083">
      <c r="B7083" s="223" t="s">
        <v>200</v>
      </c>
      <c r="C7083" s="223"/>
      <c r="K7083" s="319"/>
      <c r="L7083" s="218"/>
    </row>
    <row r="7084">
      <c r="B7084" s="223" t="s">
        <v>200</v>
      </c>
      <c r="C7084" s="223"/>
      <c r="K7084" s="319"/>
      <c r="L7084" s="218"/>
    </row>
    <row r="7085">
      <c r="B7085" s="223" t="s">
        <v>200</v>
      </c>
      <c r="C7085" s="223"/>
      <c r="K7085" s="319"/>
      <c r="L7085" s="218"/>
    </row>
    <row r="7086">
      <c r="B7086" s="223" t="s">
        <v>200</v>
      </c>
      <c r="C7086" s="223"/>
      <c r="K7086" s="319"/>
      <c r="L7086" s="218"/>
    </row>
    <row r="7087">
      <c r="B7087" s="223" t="s">
        <v>200</v>
      </c>
      <c r="C7087" s="223"/>
      <c r="K7087" s="319"/>
      <c r="L7087" s="218"/>
    </row>
    <row r="7088">
      <c r="B7088" s="223" t="s">
        <v>200</v>
      </c>
      <c r="C7088" s="223"/>
      <c r="K7088" s="319"/>
      <c r="L7088" s="218"/>
    </row>
    <row r="7089">
      <c r="B7089" s="223" t="s">
        <v>200</v>
      </c>
      <c r="C7089" s="223"/>
      <c r="K7089" s="319"/>
      <c r="L7089" s="218"/>
    </row>
    <row r="7090">
      <c r="B7090" s="223" t="s">
        <v>200</v>
      </c>
      <c r="C7090" s="223"/>
      <c r="K7090" s="319"/>
      <c r="L7090" s="218"/>
    </row>
    <row r="7091">
      <c r="B7091" s="223" t="s">
        <v>200</v>
      </c>
      <c r="C7091" s="223"/>
      <c r="K7091" s="319"/>
      <c r="L7091" s="218"/>
    </row>
    <row r="7092">
      <c r="B7092" s="223" t="s">
        <v>200</v>
      </c>
      <c r="C7092" s="223"/>
      <c r="K7092" s="319"/>
      <c r="L7092" s="218"/>
    </row>
    <row r="7093">
      <c r="B7093" s="223" t="s">
        <v>200</v>
      </c>
      <c r="C7093" s="223"/>
      <c r="K7093" s="319"/>
      <c r="L7093" s="218"/>
    </row>
    <row r="7094">
      <c r="B7094" s="223" t="s">
        <v>200</v>
      </c>
      <c r="C7094" s="223"/>
      <c r="K7094" s="319"/>
      <c r="L7094" s="218"/>
    </row>
    <row r="7095">
      <c r="B7095" s="223" t="s">
        <v>200</v>
      </c>
      <c r="C7095" s="223"/>
      <c r="K7095" s="319"/>
      <c r="L7095" s="218"/>
    </row>
    <row r="7096">
      <c r="B7096" s="223" t="s">
        <v>200</v>
      </c>
      <c r="C7096" s="223"/>
      <c r="K7096" s="319"/>
      <c r="L7096" s="218"/>
    </row>
    <row r="7097">
      <c r="B7097" s="223" t="s">
        <v>200</v>
      </c>
      <c r="C7097" s="223"/>
      <c r="K7097" s="319"/>
      <c r="L7097" s="218"/>
    </row>
    <row r="7098">
      <c r="B7098" s="223" t="s">
        <v>200</v>
      </c>
      <c r="C7098" s="223"/>
      <c r="K7098" s="319"/>
      <c r="L7098" s="218"/>
    </row>
    <row r="7099">
      <c r="B7099" s="223" t="s">
        <v>200</v>
      </c>
      <c r="C7099" s="223"/>
      <c r="K7099" s="319"/>
      <c r="L7099" s="218"/>
    </row>
    <row r="7100">
      <c r="B7100" s="223" t="s">
        <v>200</v>
      </c>
      <c r="C7100" s="223"/>
      <c r="K7100" s="319"/>
      <c r="L7100" s="218"/>
    </row>
    <row r="7101">
      <c r="B7101" s="223" t="s">
        <v>200</v>
      </c>
      <c r="C7101" s="223"/>
      <c r="K7101" s="319"/>
      <c r="L7101" s="218"/>
    </row>
    <row r="7102">
      <c r="B7102" s="223" t="s">
        <v>200</v>
      </c>
      <c r="C7102" s="223"/>
      <c r="K7102" s="319"/>
      <c r="L7102" s="218"/>
    </row>
    <row r="7103">
      <c r="B7103" s="223" t="s">
        <v>200</v>
      </c>
      <c r="C7103" s="223"/>
      <c r="K7103" s="319"/>
      <c r="L7103" s="218"/>
    </row>
    <row r="7104">
      <c r="B7104" s="223" t="s">
        <v>200</v>
      </c>
      <c r="C7104" s="223"/>
      <c r="K7104" s="319"/>
      <c r="L7104" s="218"/>
    </row>
    <row r="7105">
      <c r="B7105" s="223" t="s">
        <v>200</v>
      </c>
      <c r="C7105" s="223"/>
      <c r="K7105" s="319"/>
      <c r="L7105" s="218"/>
    </row>
    <row r="7106">
      <c r="B7106" s="223" t="s">
        <v>200</v>
      </c>
      <c r="C7106" s="223"/>
      <c r="K7106" s="319"/>
      <c r="L7106" s="218"/>
    </row>
    <row r="7107">
      <c r="B7107" s="223" t="s">
        <v>200</v>
      </c>
      <c r="C7107" s="223"/>
      <c r="K7107" s="319"/>
      <c r="L7107" s="218"/>
    </row>
    <row r="7108">
      <c r="B7108" s="223" t="s">
        <v>200</v>
      </c>
      <c r="C7108" s="223"/>
      <c r="K7108" s="319"/>
      <c r="L7108" s="218"/>
    </row>
    <row r="7109">
      <c r="B7109" s="223" t="s">
        <v>200</v>
      </c>
      <c r="C7109" s="223"/>
      <c r="K7109" s="319"/>
      <c r="L7109" s="218"/>
    </row>
    <row r="7110">
      <c r="B7110" s="223" t="s">
        <v>200</v>
      </c>
      <c r="C7110" s="223"/>
      <c r="K7110" s="319"/>
      <c r="L7110" s="218"/>
    </row>
    <row r="7111">
      <c r="B7111" s="223" t="s">
        <v>200</v>
      </c>
      <c r="C7111" s="223"/>
      <c r="K7111" s="319"/>
      <c r="L7111" s="218"/>
    </row>
    <row r="7112">
      <c r="B7112" s="223" t="s">
        <v>200</v>
      </c>
      <c r="C7112" s="223"/>
      <c r="K7112" s="319"/>
      <c r="L7112" s="218"/>
    </row>
    <row r="7113">
      <c r="B7113" s="223" t="s">
        <v>200</v>
      </c>
      <c r="C7113" s="223"/>
      <c r="K7113" s="319"/>
      <c r="L7113" s="218"/>
    </row>
    <row r="7114">
      <c r="B7114" s="223" t="s">
        <v>200</v>
      </c>
      <c r="C7114" s="223"/>
      <c r="K7114" s="319"/>
      <c r="L7114" s="218"/>
    </row>
    <row r="7115">
      <c r="B7115" s="223" t="s">
        <v>200</v>
      </c>
      <c r="C7115" s="223"/>
      <c r="K7115" s="319"/>
      <c r="L7115" s="218"/>
    </row>
    <row r="7116">
      <c r="B7116" s="223" t="s">
        <v>200</v>
      </c>
      <c r="C7116" s="223"/>
      <c r="K7116" s="319"/>
      <c r="L7116" s="218"/>
    </row>
    <row r="7117">
      <c r="B7117" s="223" t="s">
        <v>200</v>
      </c>
      <c r="C7117" s="223"/>
      <c r="K7117" s="319"/>
      <c r="L7117" s="218"/>
    </row>
    <row r="7118">
      <c r="B7118" s="223" t="s">
        <v>200</v>
      </c>
      <c r="C7118" s="223"/>
      <c r="K7118" s="319"/>
      <c r="L7118" s="218"/>
    </row>
    <row r="7119">
      <c r="B7119" s="223" t="s">
        <v>200</v>
      </c>
      <c r="C7119" s="223"/>
      <c r="K7119" s="319"/>
      <c r="L7119" s="218"/>
    </row>
    <row r="7120">
      <c r="B7120" s="223" t="s">
        <v>200</v>
      </c>
      <c r="C7120" s="223"/>
      <c r="K7120" s="319"/>
      <c r="L7120" s="218"/>
    </row>
    <row r="7121">
      <c r="B7121" s="223" t="s">
        <v>200</v>
      </c>
      <c r="C7121" s="223"/>
      <c r="K7121" s="319"/>
      <c r="L7121" s="218"/>
    </row>
    <row r="7122">
      <c r="B7122" s="223" t="s">
        <v>200</v>
      </c>
      <c r="C7122" s="223"/>
      <c r="K7122" s="319"/>
      <c r="L7122" s="218"/>
    </row>
    <row r="7123">
      <c r="B7123" s="223" t="s">
        <v>200</v>
      </c>
      <c r="C7123" s="223"/>
      <c r="K7123" s="319"/>
      <c r="L7123" s="218"/>
    </row>
    <row r="7124">
      <c r="B7124" s="223" t="s">
        <v>200</v>
      </c>
      <c r="C7124" s="223"/>
      <c r="K7124" s="319"/>
      <c r="L7124" s="218"/>
    </row>
    <row r="7125">
      <c r="B7125" s="223" t="s">
        <v>200</v>
      </c>
      <c r="C7125" s="223"/>
      <c r="K7125" s="319"/>
      <c r="L7125" s="218"/>
    </row>
    <row r="7126">
      <c r="B7126" s="223" t="s">
        <v>200</v>
      </c>
      <c r="C7126" s="223"/>
      <c r="K7126" s="319"/>
      <c r="L7126" s="218"/>
    </row>
    <row r="7127">
      <c r="B7127" s="223" t="s">
        <v>200</v>
      </c>
      <c r="C7127" s="223"/>
      <c r="K7127" s="319"/>
      <c r="L7127" s="218"/>
    </row>
    <row r="7128">
      <c r="B7128" s="223" t="s">
        <v>200</v>
      </c>
      <c r="C7128" s="223"/>
      <c r="K7128" s="319"/>
      <c r="L7128" s="218"/>
    </row>
    <row r="7129">
      <c r="B7129" s="223" t="s">
        <v>200</v>
      </c>
      <c r="C7129" s="223"/>
      <c r="K7129" s="319"/>
      <c r="L7129" s="218"/>
    </row>
    <row r="7130">
      <c r="B7130" s="223" t="s">
        <v>200</v>
      </c>
      <c r="C7130" s="223"/>
      <c r="K7130" s="319"/>
      <c r="L7130" s="218"/>
    </row>
    <row r="7131">
      <c r="B7131" s="223" t="s">
        <v>200</v>
      </c>
      <c r="C7131" s="223"/>
      <c r="K7131" s="319"/>
      <c r="L7131" s="218"/>
    </row>
    <row r="7132">
      <c r="B7132" s="223" t="s">
        <v>200</v>
      </c>
      <c r="C7132" s="223"/>
      <c r="K7132" s="319"/>
      <c r="L7132" s="218"/>
    </row>
    <row r="7133">
      <c r="B7133" s="223" t="s">
        <v>200</v>
      </c>
      <c r="C7133" s="223"/>
      <c r="K7133" s="319"/>
      <c r="L7133" s="218"/>
    </row>
    <row r="7134">
      <c r="B7134" s="223" t="s">
        <v>200</v>
      </c>
      <c r="C7134" s="223"/>
      <c r="K7134" s="319"/>
      <c r="L7134" s="218"/>
    </row>
    <row r="7135">
      <c r="B7135" s="223" t="s">
        <v>200</v>
      </c>
      <c r="C7135" s="223"/>
      <c r="K7135" s="319"/>
      <c r="L7135" s="218"/>
    </row>
    <row r="7136">
      <c r="B7136" s="223" t="s">
        <v>200</v>
      </c>
      <c r="C7136" s="223"/>
      <c r="K7136" s="319"/>
      <c r="L7136" s="218"/>
    </row>
    <row r="7137">
      <c r="B7137" s="223" t="s">
        <v>200</v>
      </c>
      <c r="C7137" s="223"/>
      <c r="K7137" s="319"/>
      <c r="L7137" s="218"/>
    </row>
    <row r="7138">
      <c r="B7138" s="223" t="s">
        <v>200</v>
      </c>
      <c r="C7138" s="223"/>
      <c r="K7138" s="319"/>
      <c r="L7138" s="218"/>
    </row>
    <row r="7139">
      <c r="B7139" s="223" t="s">
        <v>200</v>
      </c>
      <c r="C7139" s="223"/>
      <c r="K7139" s="319"/>
      <c r="L7139" s="218"/>
    </row>
    <row r="7140">
      <c r="B7140" s="223" t="s">
        <v>200</v>
      </c>
      <c r="C7140" s="223"/>
      <c r="K7140" s="319"/>
      <c r="L7140" s="218"/>
    </row>
    <row r="7141">
      <c r="B7141" s="223" t="s">
        <v>200</v>
      </c>
      <c r="C7141" s="223"/>
      <c r="K7141" s="319"/>
      <c r="L7141" s="218"/>
    </row>
    <row r="7142">
      <c r="B7142" s="223" t="s">
        <v>200</v>
      </c>
      <c r="C7142" s="223"/>
      <c r="K7142" s="319"/>
      <c r="L7142" s="218"/>
    </row>
    <row r="7143">
      <c r="B7143" s="223" t="s">
        <v>200</v>
      </c>
      <c r="C7143" s="223"/>
      <c r="K7143" s="319"/>
      <c r="L7143" s="218"/>
    </row>
    <row r="7144">
      <c r="B7144" s="223" t="s">
        <v>200</v>
      </c>
      <c r="C7144" s="223"/>
      <c r="K7144" s="319"/>
      <c r="L7144" s="218"/>
    </row>
    <row r="7145">
      <c r="B7145" s="223" t="s">
        <v>200</v>
      </c>
      <c r="C7145" s="223"/>
      <c r="K7145" s="319"/>
      <c r="L7145" s="218"/>
    </row>
    <row r="7146">
      <c r="B7146" s="223" t="s">
        <v>200</v>
      </c>
      <c r="C7146" s="223"/>
      <c r="K7146" s="319"/>
      <c r="L7146" s="218"/>
    </row>
    <row r="7147">
      <c r="B7147" s="223" t="s">
        <v>200</v>
      </c>
      <c r="C7147" s="223"/>
      <c r="K7147" s="319"/>
      <c r="L7147" s="218"/>
    </row>
    <row r="7148">
      <c r="B7148" s="223" t="s">
        <v>200</v>
      </c>
      <c r="C7148" s="223"/>
      <c r="K7148" s="319"/>
      <c r="L7148" s="218"/>
    </row>
    <row r="7149">
      <c r="B7149" s="223" t="s">
        <v>200</v>
      </c>
      <c r="C7149" s="223"/>
      <c r="K7149" s="319"/>
      <c r="L7149" s="218"/>
    </row>
    <row r="7150">
      <c r="B7150" s="223" t="s">
        <v>200</v>
      </c>
      <c r="C7150" s="223"/>
      <c r="K7150" s="319"/>
      <c r="L7150" s="218"/>
    </row>
    <row r="7151">
      <c r="B7151" s="223" t="s">
        <v>200</v>
      </c>
      <c r="C7151" s="223"/>
      <c r="K7151" s="319"/>
      <c r="L7151" s="218"/>
    </row>
    <row r="7152">
      <c r="B7152" s="223" t="s">
        <v>200</v>
      </c>
      <c r="C7152" s="223"/>
      <c r="K7152" s="319"/>
      <c r="L7152" s="218"/>
    </row>
    <row r="7153">
      <c r="B7153" s="223" t="s">
        <v>200</v>
      </c>
      <c r="C7153" s="223"/>
      <c r="K7153" s="319"/>
      <c r="L7153" s="218"/>
    </row>
    <row r="7154">
      <c r="B7154" s="223" t="s">
        <v>200</v>
      </c>
      <c r="C7154" s="223"/>
      <c r="K7154" s="319"/>
      <c r="L7154" s="218"/>
    </row>
    <row r="7155">
      <c r="B7155" s="223" t="s">
        <v>200</v>
      </c>
      <c r="C7155" s="223"/>
      <c r="K7155" s="319"/>
      <c r="L7155" s="218"/>
    </row>
    <row r="7156">
      <c r="B7156" s="223" t="s">
        <v>200</v>
      </c>
      <c r="C7156" s="223"/>
      <c r="K7156" s="319"/>
      <c r="L7156" s="218"/>
    </row>
    <row r="7157">
      <c r="B7157" s="223" t="s">
        <v>200</v>
      </c>
      <c r="C7157" s="223"/>
      <c r="K7157" s="319"/>
      <c r="L7157" s="218"/>
    </row>
    <row r="7158">
      <c r="B7158" s="223" t="s">
        <v>200</v>
      </c>
      <c r="C7158" s="223"/>
      <c r="K7158" s="319"/>
      <c r="L7158" s="218"/>
    </row>
    <row r="7159">
      <c r="B7159" s="223" t="s">
        <v>200</v>
      </c>
      <c r="C7159" s="223"/>
      <c r="K7159" s="319"/>
      <c r="L7159" s="218"/>
    </row>
    <row r="7160">
      <c r="B7160" s="223" t="s">
        <v>200</v>
      </c>
      <c r="C7160" s="223"/>
      <c r="K7160" s="319"/>
      <c r="L7160" s="218"/>
    </row>
    <row r="7161">
      <c r="B7161" s="223" t="s">
        <v>200</v>
      </c>
      <c r="C7161" s="223"/>
      <c r="K7161" s="319"/>
      <c r="L7161" s="218"/>
    </row>
    <row r="7162">
      <c r="B7162" s="223" t="s">
        <v>200</v>
      </c>
      <c r="C7162" s="223"/>
      <c r="K7162" s="319"/>
      <c r="L7162" s="218"/>
    </row>
    <row r="7163">
      <c r="B7163" s="223" t="s">
        <v>200</v>
      </c>
      <c r="C7163" s="223"/>
      <c r="K7163" s="319"/>
      <c r="L7163" s="218"/>
    </row>
    <row r="7164">
      <c r="B7164" s="223" t="s">
        <v>200</v>
      </c>
      <c r="C7164" s="223"/>
      <c r="K7164" s="319"/>
      <c r="L7164" s="218"/>
    </row>
    <row r="7165">
      <c r="B7165" s="223" t="s">
        <v>200</v>
      </c>
      <c r="C7165" s="223"/>
      <c r="K7165" s="319"/>
      <c r="L7165" s="218"/>
    </row>
    <row r="7166">
      <c r="B7166" s="223" t="s">
        <v>200</v>
      </c>
      <c r="C7166" s="223"/>
      <c r="K7166" s="319"/>
      <c r="L7166" s="218"/>
    </row>
    <row r="7167">
      <c r="B7167" s="223" t="s">
        <v>200</v>
      </c>
      <c r="C7167" s="223"/>
      <c r="K7167" s="319"/>
      <c r="L7167" s="218"/>
    </row>
    <row r="7168">
      <c r="B7168" s="223" t="s">
        <v>200</v>
      </c>
      <c r="C7168" s="223"/>
      <c r="K7168" s="319"/>
      <c r="L7168" s="218"/>
    </row>
    <row r="7169">
      <c r="B7169" s="223" t="s">
        <v>200</v>
      </c>
      <c r="C7169" s="223"/>
      <c r="K7169" s="319"/>
      <c r="L7169" s="218"/>
    </row>
    <row r="7170">
      <c r="B7170" s="223" t="s">
        <v>200</v>
      </c>
      <c r="C7170" s="223"/>
      <c r="K7170" s="319"/>
      <c r="L7170" s="218"/>
    </row>
    <row r="7171">
      <c r="B7171" s="223" t="s">
        <v>200</v>
      </c>
      <c r="C7171" s="223"/>
      <c r="K7171" s="319"/>
      <c r="L7171" s="218"/>
    </row>
    <row r="7172">
      <c r="B7172" s="223" t="s">
        <v>200</v>
      </c>
      <c r="C7172" s="223"/>
      <c r="K7172" s="319"/>
      <c r="L7172" s="218"/>
    </row>
    <row r="7173">
      <c r="B7173" s="223" t="s">
        <v>200</v>
      </c>
      <c r="C7173" s="223"/>
      <c r="K7173" s="319"/>
      <c r="L7173" s="218"/>
    </row>
    <row r="7174">
      <c r="B7174" s="223" t="s">
        <v>200</v>
      </c>
      <c r="C7174" s="223"/>
      <c r="K7174" s="319"/>
      <c r="L7174" s="218"/>
    </row>
    <row r="7175">
      <c r="B7175" s="223" t="s">
        <v>200</v>
      </c>
      <c r="C7175" s="223"/>
      <c r="K7175" s="319"/>
      <c r="L7175" s="218"/>
    </row>
    <row r="7176">
      <c r="B7176" s="223" t="s">
        <v>200</v>
      </c>
      <c r="C7176" s="223"/>
      <c r="K7176" s="319"/>
      <c r="L7176" s="218"/>
    </row>
    <row r="7177">
      <c r="B7177" s="223" t="s">
        <v>200</v>
      </c>
      <c r="C7177" s="223"/>
      <c r="K7177" s="319"/>
      <c r="L7177" s="218"/>
    </row>
    <row r="7178">
      <c r="B7178" s="223" t="s">
        <v>200</v>
      </c>
      <c r="C7178" s="223"/>
      <c r="K7178" s="319"/>
      <c r="L7178" s="218"/>
    </row>
    <row r="7179">
      <c r="B7179" s="223" t="s">
        <v>200</v>
      </c>
      <c r="C7179" s="223"/>
      <c r="K7179" s="319"/>
      <c r="L7179" s="218"/>
    </row>
    <row r="7180">
      <c r="B7180" s="223" t="s">
        <v>200</v>
      </c>
      <c r="C7180" s="223"/>
      <c r="K7180" s="319"/>
      <c r="L7180" s="218"/>
    </row>
    <row r="7181">
      <c r="B7181" s="223" t="s">
        <v>200</v>
      </c>
      <c r="C7181" s="223"/>
      <c r="K7181" s="319"/>
      <c r="L7181" s="218"/>
    </row>
    <row r="7182">
      <c r="B7182" s="223" t="s">
        <v>200</v>
      </c>
      <c r="C7182" s="223"/>
      <c r="K7182" s="319"/>
      <c r="L7182" s="218"/>
    </row>
    <row r="7183">
      <c r="B7183" s="223" t="s">
        <v>200</v>
      </c>
      <c r="C7183" s="223"/>
      <c r="K7183" s="319"/>
      <c r="L7183" s="218"/>
    </row>
    <row r="7184">
      <c r="B7184" s="223" t="s">
        <v>200</v>
      </c>
      <c r="C7184" s="223"/>
      <c r="K7184" s="319"/>
      <c r="L7184" s="218"/>
    </row>
    <row r="7185">
      <c r="B7185" s="223" t="s">
        <v>200</v>
      </c>
      <c r="C7185" s="223"/>
      <c r="K7185" s="319"/>
      <c r="L7185" s="218"/>
    </row>
    <row r="7186">
      <c r="B7186" s="223" t="s">
        <v>200</v>
      </c>
      <c r="C7186" s="223"/>
      <c r="K7186" s="319"/>
      <c r="L7186" s="218"/>
    </row>
    <row r="7187">
      <c r="B7187" s="223" t="s">
        <v>200</v>
      </c>
      <c r="C7187" s="223"/>
      <c r="K7187" s="319"/>
      <c r="L7187" s="218"/>
    </row>
    <row r="7188">
      <c r="B7188" s="223" t="s">
        <v>200</v>
      </c>
      <c r="C7188" s="223"/>
      <c r="K7188" s="319"/>
      <c r="L7188" s="218"/>
    </row>
    <row r="7189">
      <c r="B7189" s="223" t="s">
        <v>200</v>
      </c>
      <c r="C7189" s="223"/>
      <c r="K7189" s="319"/>
      <c r="L7189" s="218"/>
    </row>
    <row r="7190">
      <c r="B7190" s="223" t="s">
        <v>200</v>
      </c>
      <c r="C7190" s="223"/>
      <c r="K7190" s="319"/>
      <c r="L7190" s="218"/>
    </row>
    <row r="7191">
      <c r="B7191" s="223" t="s">
        <v>200</v>
      </c>
      <c r="C7191" s="223"/>
      <c r="K7191" s="319"/>
      <c r="L7191" s="218"/>
    </row>
    <row r="7192">
      <c r="B7192" s="223" t="s">
        <v>200</v>
      </c>
      <c r="C7192" s="223"/>
      <c r="K7192" s="319"/>
      <c r="L7192" s="218"/>
    </row>
    <row r="7193">
      <c r="B7193" s="223" t="s">
        <v>200</v>
      </c>
      <c r="C7193" s="223"/>
      <c r="K7193" s="319"/>
      <c r="L7193" s="218"/>
    </row>
    <row r="7194">
      <c r="B7194" s="223" t="s">
        <v>200</v>
      </c>
      <c r="C7194" s="223"/>
      <c r="K7194" s="319"/>
      <c r="L7194" s="218"/>
    </row>
    <row r="7195">
      <c r="B7195" s="223" t="s">
        <v>200</v>
      </c>
      <c r="C7195" s="223"/>
      <c r="K7195" s="319"/>
      <c r="L7195" s="218"/>
    </row>
    <row r="7196">
      <c r="B7196" s="223" t="s">
        <v>200</v>
      </c>
      <c r="C7196" s="223"/>
      <c r="K7196" s="319"/>
      <c r="L7196" s="218"/>
    </row>
    <row r="7197">
      <c r="B7197" s="223" t="s">
        <v>200</v>
      </c>
      <c r="C7197" s="223"/>
      <c r="K7197" s="319"/>
      <c r="L7197" s="218"/>
    </row>
    <row r="7198">
      <c r="B7198" s="223" t="s">
        <v>200</v>
      </c>
      <c r="C7198" s="223"/>
      <c r="K7198" s="319"/>
      <c r="L7198" s="218"/>
    </row>
    <row r="7199">
      <c r="B7199" s="223" t="s">
        <v>200</v>
      </c>
      <c r="C7199" s="223"/>
      <c r="K7199" s="319"/>
      <c r="L7199" s="218"/>
    </row>
    <row r="7200">
      <c r="B7200" s="223" t="s">
        <v>200</v>
      </c>
      <c r="C7200" s="223"/>
      <c r="K7200" s="319"/>
      <c r="L7200" s="218"/>
    </row>
    <row r="7201">
      <c r="B7201" s="223" t="s">
        <v>200</v>
      </c>
      <c r="C7201" s="223"/>
      <c r="K7201" s="319"/>
      <c r="L7201" s="218"/>
    </row>
    <row r="7202">
      <c r="B7202" s="223" t="s">
        <v>200</v>
      </c>
      <c r="C7202" s="223"/>
      <c r="K7202" s="319"/>
      <c r="L7202" s="218"/>
    </row>
    <row r="7203">
      <c r="B7203" s="223" t="s">
        <v>200</v>
      </c>
      <c r="C7203" s="223"/>
      <c r="K7203" s="319"/>
      <c r="L7203" s="218"/>
    </row>
    <row r="7204">
      <c r="B7204" s="223" t="s">
        <v>200</v>
      </c>
      <c r="C7204" s="223"/>
      <c r="K7204" s="319"/>
      <c r="L7204" s="218"/>
    </row>
    <row r="7205">
      <c r="B7205" s="223" t="s">
        <v>200</v>
      </c>
      <c r="C7205" s="223"/>
      <c r="K7205" s="319"/>
      <c r="L7205" s="218"/>
    </row>
    <row r="7206">
      <c r="B7206" s="223" t="s">
        <v>200</v>
      </c>
      <c r="C7206" s="223"/>
      <c r="K7206" s="319"/>
      <c r="L7206" s="218"/>
    </row>
    <row r="7207">
      <c r="B7207" s="223" t="s">
        <v>200</v>
      </c>
      <c r="C7207" s="223"/>
      <c r="K7207" s="319"/>
      <c r="L7207" s="218"/>
    </row>
    <row r="7208">
      <c r="B7208" s="223" t="s">
        <v>200</v>
      </c>
      <c r="C7208" s="223"/>
      <c r="K7208" s="319"/>
      <c r="L7208" s="218"/>
    </row>
    <row r="7209">
      <c r="B7209" s="223" t="s">
        <v>200</v>
      </c>
      <c r="C7209" s="223"/>
      <c r="K7209" s="319"/>
      <c r="L7209" s="218"/>
    </row>
    <row r="7210">
      <c r="B7210" s="223" t="s">
        <v>200</v>
      </c>
      <c r="C7210" s="223"/>
      <c r="K7210" s="319"/>
      <c r="L7210" s="218"/>
    </row>
    <row r="7211">
      <c r="B7211" s="223" t="s">
        <v>200</v>
      </c>
      <c r="C7211" s="223"/>
      <c r="K7211" s="319"/>
      <c r="L7211" s="218"/>
    </row>
    <row r="7212">
      <c r="B7212" s="223" t="s">
        <v>200</v>
      </c>
      <c r="C7212" s="223"/>
      <c r="K7212" s="319"/>
      <c r="L7212" s="218"/>
    </row>
    <row r="7213">
      <c r="B7213" s="223" t="s">
        <v>200</v>
      </c>
      <c r="C7213" s="223"/>
      <c r="K7213" s="319"/>
      <c r="L7213" s="218"/>
    </row>
    <row r="7214">
      <c r="B7214" s="223" t="s">
        <v>200</v>
      </c>
      <c r="C7214" s="223"/>
      <c r="K7214" s="319"/>
      <c r="L7214" s="218"/>
    </row>
    <row r="7215">
      <c r="B7215" s="223" t="s">
        <v>200</v>
      </c>
      <c r="C7215" s="223"/>
      <c r="K7215" s="319"/>
      <c r="L7215" s="218"/>
    </row>
    <row r="7216">
      <c r="B7216" s="223" t="s">
        <v>200</v>
      </c>
      <c r="C7216" s="223"/>
      <c r="K7216" s="319"/>
      <c r="L7216" s="218"/>
    </row>
    <row r="7217">
      <c r="B7217" s="223" t="s">
        <v>200</v>
      </c>
      <c r="C7217" s="223"/>
      <c r="K7217" s="319"/>
      <c r="L7217" s="218"/>
    </row>
    <row r="7218">
      <c r="B7218" s="223" t="s">
        <v>200</v>
      </c>
      <c r="C7218" s="223"/>
      <c r="K7218" s="319"/>
      <c r="L7218" s="218"/>
    </row>
    <row r="7219">
      <c r="B7219" s="223" t="s">
        <v>200</v>
      </c>
      <c r="C7219" s="223"/>
      <c r="K7219" s="319"/>
      <c r="L7219" s="218"/>
    </row>
    <row r="7220">
      <c r="B7220" s="223" t="s">
        <v>200</v>
      </c>
      <c r="C7220" s="223"/>
      <c r="K7220" s="319"/>
      <c r="L7220" s="218"/>
    </row>
    <row r="7221">
      <c r="B7221" s="223" t="s">
        <v>200</v>
      </c>
      <c r="C7221" s="223"/>
      <c r="K7221" s="319"/>
      <c r="L7221" s="218"/>
    </row>
    <row r="7222">
      <c r="B7222" s="223" t="s">
        <v>200</v>
      </c>
      <c r="C7222" s="223"/>
      <c r="K7222" s="319"/>
      <c r="L7222" s="218"/>
    </row>
    <row r="7223">
      <c r="B7223" s="223" t="s">
        <v>200</v>
      </c>
      <c r="C7223" s="223"/>
      <c r="K7223" s="319"/>
      <c r="L7223" s="218"/>
    </row>
    <row r="7224">
      <c r="B7224" s="223" t="s">
        <v>200</v>
      </c>
      <c r="C7224" s="223"/>
      <c r="K7224" s="319"/>
      <c r="L7224" s="218"/>
    </row>
    <row r="7225">
      <c r="B7225" s="223" t="s">
        <v>200</v>
      </c>
      <c r="C7225" s="223"/>
      <c r="K7225" s="319"/>
      <c r="L7225" s="218"/>
    </row>
    <row r="7226">
      <c r="B7226" s="223" t="s">
        <v>200</v>
      </c>
      <c r="C7226" s="223"/>
      <c r="K7226" s="319"/>
      <c r="L7226" s="218"/>
    </row>
    <row r="7227">
      <c r="B7227" s="223" t="s">
        <v>200</v>
      </c>
      <c r="C7227" s="223"/>
      <c r="K7227" s="319"/>
      <c r="L7227" s="218"/>
    </row>
    <row r="7228">
      <c r="B7228" s="223" t="s">
        <v>200</v>
      </c>
      <c r="C7228" s="223"/>
      <c r="K7228" s="319"/>
      <c r="L7228" s="218"/>
    </row>
    <row r="7229">
      <c r="B7229" s="223" t="s">
        <v>200</v>
      </c>
      <c r="C7229" s="223"/>
      <c r="K7229" s="319"/>
      <c r="L7229" s="218"/>
    </row>
    <row r="7230">
      <c r="B7230" s="223" t="s">
        <v>200</v>
      </c>
      <c r="C7230" s="223"/>
      <c r="K7230" s="319"/>
      <c r="L7230" s="218"/>
    </row>
    <row r="7231">
      <c r="B7231" s="223" t="s">
        <v>200</v>
      </c>
      <c r="C7231" s="223"/>
      <c r="K7231" s="319"/>
      <c r="L7231" s="218"/>
    </row>
    <row r="7232">
      <c r="B7232" s="223" t="s">
        <v>200</v>
      </c>
      <c r="C7232" s="223"/>
      <c r="K7232" s="319"/>
      <c r="L7232" s="218"/>
    </row>
    <row r="7233">
      <c r="B7233" s="223" t="s">
        <v>200</v>
      </c>
      <c r="C7233" s="223"/>
      <c r="K7233" s="319"/>
      <c r="L7233" s="218"/>
    </row>
    <row r="7234">
      <c r="B7234" s="223" t="s">
        <v>200</v>
      </c>
      <c r="C7234" s="223"/>
      <c r="K7234" s="319"/>
      <c r="L7234" s="218"/>
    </row>
    <row r="7235">
      <c r="B7235" s="223" t="s">
        <v>200</v>
      </c>
      <c r="C7235" s="223"/>
      <c r="K7235" s="319"/>
      <c r="L7235" s="218"/>
    </row>
    <row r="7236">
      <c r="B7236" s="223" t="s">
        <v>200</v>
      </c>
      <c r="C7236" s="223"/>
      <c r="K7236" s="319"/>
      <c r="L7236" s="218"/>
    </row>
    <row r="7237">
      <c r="B7237" s="223" t="s">
        <v>200</v>
      </c>
      <c r="C7237" s="223"/>
      <c r="K7237" s="319"/>
      <c r="L7237" s="218"/>
    </row>
    <row r="7238">
      <c r="B7238" s="223" t="s">
        <v>200</v>
      </c>
      <c r="C7238" s="223"/>
      <c r="K7238" s="319"/>
      <c r="L7238" s="218"/>
    </row>
    <row r="7239">
      <c r="B7239" s="223" t="s">
        <v>200</v>
      </c>
      <c r="C7239" s="223"/>
      <c r="K7239" s="319"/>
      <c r="L7239" s="218"/>
    </row>
    <row r="7240">
      <c r="B7240" s="223" t="s">
        <v>200</v>
      </c>
      <c r="C7240" s="223"/>
      <c r="K7240" s="319"/>
      <c r="L7240" s="218"/>
    </row>
    <row r="7241">
      <c r="B7241" s="223" t="s">
        <v>200</v>
      </c>
      <c r="C7241" s="223"/>
      <c r="K7241" s="319"/>
      <c r="L7241" s="218"/>
    </row>
    <row r="7242">
      <c r="B7242" s="223" t="s">
        <v>200</v>
      </c>
      <c r="C7242" s="223"/>
      <c r="K7242" s="319"/>
      <c r="L7242" s="218"/>
    </row>
    <row r="7243">
      <c r="B7243" s="223" t="s">
        <v>200</v>
      </c>
      <c r="C7243" s="223"/>
      <c r="K7243" s="319"/>
      <c r="L7243" s="218"/>
    </row>
    <row r="7244">
      <c r="B7244" s="223" t="s">
        <v>200</v>
      </c>
      <c r="C7244" s="223"/>
      <c r="K7244" s="319"/>
      <c r="L7244" s="218"/>
    </row>
    <row r="7245">
      <c r="B7245" s="223" t="s">
        <v>200</v>
      </c>
      <c r="C7245" s="223"/>
      <c r="K7245" s="319"/>
      <c r="L7245" s="218"/>
    </row>
    <row r="7246">
      <c r="B7246" s="223" t="s">
        <v>200</v>
      </c>
      <c r="C7246" s="223"/>
      <c r="K7246" s="319"/>
      <c r="L7246" s="218"/>
    </row>
    <row r="7247">
      <c r="B7247" s="223" t="s">
        <v>200</v>
      </c>
      <c r="C7247" s="223"/>
      <c r="K7247" s="319"/>
      <c r="L7247" s="218"/>
    </row>
    <row r="7248">
      <c r="B7248" s="223" t="s">
        <v>200</v>
      </c>
      <c r="C7248" s="223"/>
      <c r="K7248" s="319"/>
      <c r="L7248" s="218"/>
    </row>
    <row r="7249">
      <c r="B7249" s="223" t="s">
        <v>200</v>
      </c>
      <c r="C7249" s="223"/>
      <c r="K7249" s="319"/>
      <c r="L7249" s="218"/>
    </row>
    <row r="7250">
      <c r="B7250" s="223" t="s">
        <v>200</v>
      </c>
      <c r="C7250" s="223"/>
      <c r="K7250" s="319"/>
      <c r="L7250" s="218"/>
    </row>
    <row r="7251">
      <c r="B7251" s="223" t="s">
        <v>200</v>
      </c>
      <c r="C7251" s="223"/>
      <c r="K7251" s="319"/>
      <c r="L7251" s="218"/>
    </row>
    <row r="7252">
      <c r="B7252" s="223" t="s">
        <v>200</v>
      </c>
      <c r="C7252" s="223"/>
      <c r="K7252" s="319"/>
      <c r="L7252" s="218"/>
    </row>
    <row r="7253">
      <c r="B7253" s="223" t="s">
        <v>200</v>
      </c>
      <c r="C7253" s="223"/>
      <c r="K7253" s="319"/>
      <c r="L7253" s="218"/>
    </row>
    <row r="7254">
      <c r="B7254" s="223" t="s">
        <v>200</v>
      </c>
      <c r="C7254" s="223"/>
      <c r="K7254" s="319"/>
      <c r="L7254" s="218"/>
    </row>
    <row r="7255">
      <c r="B7255" s="223" t="s">
        <v>200</v>
      </c>
      <c r="C7255" s="223"/>
      <c r="K7255" s="319"/>
      <c r="L7255" s="218"/>
    </row>
    <row r="7256">
      <c r="B7256" s="223" t="s">
        <v>200</v>
      </c>
      <c r="C7256" s="223"/>
      <c r="K7256" s="319"/>
      <c r="L7256" s="218"/>
    </row>
    <row r="7257">
      <c r="B7257" s="223" t="s">
        <v>200</v>
      </c>
      <c r="C7257" s="223"/>
      <c r="K7257" s="319"/>
      <c r="L7257" s="218"/>
    </row>
    <row r="7258">
      <c r="B7258" s="223" t="s">
        <v>200</v>
      </c>
      <c r="C7258" s="223"/>
      <c r="K7258" s="319"/>
      <c r="L7258" s="218"/>
    </row>
    <row r="7259">
      <c r="B7259" s="223" t="s">
        <v>200</v>
      </c>
      <c r="C7259" s="223"/>
      <c r="K7259" s="319"/>
      <c r="L7259" s="218"/>
    </row>
    <row r="7260">
      <c r="B7260" s="223" t="s">
        <v>200</v>
      </c>
      <c r="C7260" s="223"/>
      <c r="K7260" s="319"/>
      <c r="L7260" s="218"/>
    </row>
    <row r="7261">
      <c r="B7261" s="223" t="s">
        <v>200</v>
      </c>
      <c r="C7261" s="223"/>
      <c r="K7261" s="319"/>
      <c r="L7261" s="218"/>
    </row>
    <row r="7262">
      <c r="B7262" s="223" t="s">
        <v>200</v>
      </c>
      <c r="C7262" s="223"/>
      <c r="K7262" s="319"/>
      <c r="L7262" s="218"/>
    </row>
    <row r="7263">
      <c r="B7263" s="223" t="s">
        <v>200</v>
      </c>
      <c r="C7263" s="223"/>
      <c r="K7263" s="319"/>
      <c r="L7263" s="218"/>
    </row>
    <row r="7264">
      <c r="B7264" s="223" t="s">
        <v>200</v>
      </c>
      <c r="C7264" s="223"/>
      <c r="K7264" s="319"/>
      <c r="L7264" s="218"/>
    </row>
    <row r="7265">
      <c r="B7265" s="223" t="s">
        <v>200</v>
      </c>
      <c r="C7265" s="223"/>
      <c r="K7265" s="319"/>
      <c r="L7265" s="218"/>
    </row>
    <row r="7266">
      <c r="B7266" s="223" t="s">
        <v>200</v>
      </c>
      <c r="C7266" s="223"/>
      <c r="K7266" s="319"/>
      <c r="L7266" s="218"/>
    </row>
    <row r="7267">
      <c r="B7267" s="223" t="s">
        <v>200</v>
      </c>
      <c r="C7267" s="223"/>
      <c r="K7267" s="319"/>
      <c r="L7267" s="218"/>
    </row>
    <row r="7268">
      <c r="B7268" s="223" t="s">
        <v>200</v>
      </c>
      <c r="C7268" s="223"/>
      <c r="K7268" s="319"/>
      <c r="L7268" s="218"/>
    </row>
    <row r="7269">
      <c r="B7269" s="223" t="s">
        <v>200</v>
      </c>
      <c r="C7269" s="223"/>
      <c r="K7269" s="319"/>
      <c r="L7269" s="218"/>
    </row>
    <row r="7270">
      <c r="B7270" s="223" t="s">
        <v>200</v>
      </c>
      <c r="C7270" s="223"/>
      <c r="K7270" s="319"/>
      <c r="L7270" s="218"/>
    </row>
    <row r="7271">
      <c r="B7271" s="223" t="s">
        <v>200</v>
      </c>
      <c r="C7271" s="223"/>
      <c r="K7271" s="319"/>
      <c r="L7271" s="218"/>
    </row>
    <row r="7272">
      <c r="B7272" s="223" t="s">
        <v>200</v>
      </c>
      <c r="C7272" s="223"/>
      <c r="K7272" s="319"/>
      <c r="L7272" s="218"/>
    </row>
    <row r="7273">
      <c r="B7273" s="223" t="s">
        <v>200</v>
      </c>
      <c r="C7273" s="223"/>
      <c r="K7273" s="319"/>
      <c r="L7273" s="218"/>
    </row>
    <row r="7274">
      <c r="B7274" s="223" t="s">
        <v>200</v>
      </c>
      <c r="C7274" s="223"/>
      <c r="K7274" s="319"/>
      <c r="L7274" s="218"/>
    </row>
    <row r="7275">
      <c r="B7275" s="223" t="s">
        <v>200</v>
      </c>
      <c r="C7275" s="223"/>
      <c r="K7275" s="319"/>
      <c r="L7275" s="218"/>
    </row>
    <row r="7276">
      <c r="B7276" s="223" t="s">
        <v>200</v>
      </c>
      <c r="C7276" s="223"/>
      <c r="K7276" s="319"/>
      <c r="L7276" s="218"/>
    </row>
    <row r="7277">
      <c r="B7277" s="223" t="s">
        <v>200</v>
      </c>
      <c r="C7277" s="223"/>
      <c r="K7277" s="319"/>
      <c r="L7277" s="218"/>
    </row>
    <row r="7278">
      <c r="B7278" s="223" t="s">
        <v>200</v>
      </c>
      <c r="C7278" s="223"/>
      <c r="K7278" s="319"/>
      <c r="L7278" s="218"/>
    </row>
    <row r="7279">
      <c r="B7279" s="223" t="s">
        <v>200</v>
      </c>
      <c r="C7279" s="223"/>
      <c r="K7279" s="319"/>
      <c r="L7279" s="218"/>
    </row>
    <row r="7280">
      <c r="B7280" s="223" t="s">
        <v>200</v>
      </c>
      <c r="C7280" s="223"/>
      <c r="K7280" s="319"/>
      <c r="L7280" s="218"/>
    </row>
    <row r="7281">
      <c r="B7281" s="223" t="s">
        <v>200</v>
      </c>
      <c r="C7281" s="223"/>
      <c r="K7281" s="319"/>
      <c r="L7281" s="218"/>
    </row>
    <row r="7282">
      <c r="B7282" s="223" t="s">
        <v>200</v>
      </c>
      <c r="C7282" s="223"/>
      <c r="K7282" s="319"/>
      <c r="L7282" s="218"/>
    </row>
    <row r="7283">
      <c r="B7283" s="223" t="s">
        <v>200</v>
      </c>
      <c r="C7283" s="223"/>
      <c r="K7283" s="319"/>
      <c r="L7283" s="218"/>
    </row>
    <row r="7284">
      <c r="B7284" s="223" t="s">
        <v>200</v>
      </c>
      <c r="C7284" s="223"/>
      <c r="K7284" s="319"/>
      <c r="L7284" s="218"/>
    </row>
    <row r="7285">
      <c r="B7285" s="223" t="s">
        <v>200</v>
      </c>
      <c r="C7285" s="223"/>
      <c r="K7285" s="319"/>
      <c r="L7285" s="218"/>
    </row>
    <row r="7286">
      <c r="B7286" s="223" t="s">
        <v>200</v>
      </c>
      <c r="C7286" s="223"/>
      <c r="K7286" s="319"/>
      <c r="L7286" s="218"/>
    </row>
    <row r="7287">
      <c r="B7287" s="223" t="s">
        <v>200</v>
      </c>
      <c r="C7287" s="223"/>
      <c r="K7287" s="319"/>
      <c r="L7287" s="218"/>
    </row>
    <row r="7288">
      <c r="B7288" s="223" t="s">
        <v>200</v>
      </c>
      <c r="C7288" s="223"/>
      <c r="K7288" s="319"/>
      <c r="L7288" s="218"/>
    </row>
    <row r="7289">
      <c r="B7289" s="223" t="s">
        <v>200</v>
      </c>
      <c r="C7289" s="223"/>
      <c r="K7289" s="319"/>
      <c r="L7289" s="218"/>
    </row>
    <row r="7290">
      <c r="B7290" s="223" t="s">
        <v>200</v>
      </c>
      <c r="C7290" s="223"/>
      <c r="K7290" s="319"/>
      <c r="L7290" s="218"/>
    </row>
    <row r="7291">
      <c r="B7291" s="223" t="s">
        <v>200</v>
      </c>
      <c r="C7291" s="223"/>
      <c r="K7291" s="319"/>
      <c r="L7291" s="218"/>
    </row>
    <row r="7292">
      <c r="B7292" s="223" t="s">
        <v>200</v>
      </c>
      <c r="C7292" s="223"/>
      <c r="K7292" s="319"/>
      <c r="L7292" s="218"/>
    </row>
    <row r="7293">
      <c r="B7293" s="223" t="s">
        <v>200</v>
      </c>
      <c r="C7293" s="223"/>
      <c r="K7293" s="319"/>
      <c r="L7293" s="218"/>
    </row>
    <row r="7294">
      <c r="B7294" s="223" t="s">
        <v>200</v>
      </c>
      <c r="C7294" s="223"/>
      <c r="K7294" s="319"/>
      <c r="L7294" s="218"/>
    </row>
    <row r="7295">
      <c r="B7295" s="223" t="s">
        <v>200</v>
      </c>
      <c r="C7295" s="223"/>
      <c r="K7295" s="319"/>
      <c r="L7295" s="218"/>
    </row>
    <row r="7296">
      <c r="B7296" s="223" t="s">
        <v>200</v>
      </c>
      <c r="C7296" s="223"/>
      <c r="K7296" s="319"/>
      <c r="L7296" s="218"/>
    </row>
    <row r="7297">
      <c r="B7297" s="223" t="s">
        <v>200</v>
      </c>
      <c r="C7297" s="223"/>
      <c r="K7297" s="319"/>
      <c r="L7297" s="218"/>
    </row>
    <row r="7298">
      <c r="B7298" s="223" t="s">
        <v>200</v>
      </c>
      <c r="C7298" s="223"/>
      <c r="K7298" s="319"/>
      <c r="L7298" s="218"/>
    </row>
    <row r="7299">
      <c r="B7299" s="223" t="s">
        <v>200</v>
      </c>
      <c r="C7299" s="223"/>
      <c r="K7299" s="319"/>
      <c r="L7299" s="218"/>
    </row>
    <row r="7300">
      <c r="B7300" s="223" t="s">
        <v>200</v>
      </c>
      <c r="C7300" s="223"/>
      <c r="K7300" s="319"/>
      <c r="L7300" s="218"/>
    </row>
    <row r="7301">
      <c r="B7301" s="223" t="s">
        <v>200</v>
      </c>
      <c r="C7301" s="223"/>
      <c r="K7301" s="319"/>
      <c r="L7301" s="218"/>
    </row>
    <row r="7302">
      <c r="B7302" s="223" t="s">
        <v>200</v>
      </c>
      <c r="C7302" s="223"/>
      <c r="K7302" s="319"/>
      <c r="L7302" s="218"/>
    </row>
    <row r="7303">
      <c r="B7303" s="223" t="s">
        <v>200</v>
      </c>
      <c r="C7303" s="223"/>
      <c r="K7303" s="319"/>
      <c r="L7303" s="218"/>
    </row>
    <row r="7304">
      <c r="B7304" s="223" t="s">
        <v>200</v>
      </c>
      <c r="C7304" s="223"/>
      <c r="K7304" s="319"/>
      <c r="L7304" s="218"/>
    </row>
    <row r="7305">
      <c r="B7305" s="223" t="s">
        <v>200</v>
      </c>
      <c r="C7305" s="223"/>
      <c r="K7305" s="319"/>
      <c r="L7305" s="218"/>
    </row>
    <row r="7306">
      <c r="B7306" s="223" t="s">
        <v>200</v>
      </c>
      <c r="C7306" s="223"/>
      <c r="K7306" s="319"/>
      <c r="L7306" s="218"/>
    </row>
    <row r="7307">
      <c r="B7307" s="223" t="s">
        <v>200</v>
      </c>
      <c r="C7307" s="223"/>
      <c r="K7307" s="319"/>
      <c r="L7307" s="218"/>
    </row>
    <row r="7308">
      <c r="B7308" s="223" t="s">
        <v>200</v>
      </c>
      <c r="C7308" s="223"/>
      <c r="K7308" s="319"/>
      <c r="L7308" s="218"/>
    </row>
    <row r="7309">
      <c r="B7309" s="223" t="s">
        <v>200</v>
      </c>
      <c r="C7309" s="223"/>
      <c r="K7309" s="319"/>
      <c r="L7309" s="218"/>
    </row>
    <row r="7310">
      <c r="B7310" s="223" t="s">
        <v>200</v>
      </c>
      <c r="C7310" s="223"/>
      <c r="K7310" s="319"/>
      <c r="L7310" s="218"/>
    </row>
    <row r="7311">
      <c r="B7311" s="223" t="s">
        <v>200</v>
      </c>
      <c r="C7311" s="223"/>
      <c r="K7311" s="319"/>
      <c r="L7311" s="218"/>
    </row>
    <row r="7312">
      <c r="B7312" s="223" t="s">
        <v>200</v>
      </c>
      <c r="C7312" s="223"/>
      <c r="K7312" s="319"/>
      <c r="L7312" s="218"/>
    </row>
    <row r="7313">
      <c r="B7313" s="223" t="s">
        <v>200</v>
      </c>
      <c r="C7313" s="223"/>
      <c r="K7313" s="319"/>
      <c r="L7313" s="218"/>
    </row>
    <row r="7314">
      <c r="B7314" s="223" t="s">
        <v>200</v>
      </c>
      <c r="C7314" s="223"/>
      <c r="K7314" s="319"/>
      <c r="L7314" s="218"/>
    </row>
    <row r="7315">
      <c r="B7315" s="223" t="s">
        <v>200</v>
      </c>
      <c r="C7315" s="223"/>
      <c r="K7315" s="319"/>
      <c r="L7315" s="218"/>
    </row>
    <row r="7316">
      <c r="B7316" s="223" t="s">
        <v>200</v>
      </c>
      <c r="C7316" s="223"/>
      <c r="K7316" s="319"/>
      <c r="L7316" s="218"/>
    </row>
    <row r="7317">
      <c r="B7317" s="223" t="s">
        <v>200</v>
      </c>
      <c r="C7317" s="223"/>
      <c r="K7317" s="319"/>
      <c r="L7317" s="218"/>
    </row>
    <row r="7318">
      <c r="B7318" s="223" t="s">
        <v>200</v>
      </c>
      <c r="C7318" s="223"/>
      <c r="K7318" s="319"/>
      <c r="L7318" s="218"/>
    </row>
    <row r="7319">
      <c r="B7319" s="223" t="s">
        <v>200</v>
      </c>
      <c r="C7319" s="223"/>
      <c r="K7319" s="319"/>
      <c r="L7319" s="218"/>
    </row>
    <row r="7320">
      <c r="B7320" s="223" t="s">
        <v>200</v>
      </c>
      <c r="C7320" s="223"/>
      <c r="K7320" s="319"/>
      <c r="L7320" s="218"/>
    </row>
    <row r="7321">
      <c r="B7321" s="223" t="s">
        <v>200</v>
      </c>
      <c r="C7321" s="223"/>
      <c r="K7321" s="319"/>
      <c r="L7321" s="218"/>
    </row>
    <row r="7322">
      <c r="B7322" s="223" t="s">
        <v>200</v>
      </c>
      <c r="C7322" s="223"/>
      <c r="K7322" s="319"/>
      <c r="L7322" s="218"/>
    </row>
    <row r="7323">
      <c r="B7323" s="223" t="s">
        <v>200</v>
      </c>
      <c r="C7323" s="223"/>
      <c r="K7323" s="319"/>
      <c r="L7323" s="218"/>
    </row>
    <row r="7324">
      <c r="B7324" s="223" t="s">
        <v>200</v>
      </c>
      <c r="C7324" s="223"/>
      <c r="K7324" s="319"/>
      <c r="L7324" s="218"/>
    </row>
    <row r="7325">
      <c r="B7325" s="223" t="s">
        <v>200</v>
      </c>
      <c r="C7325" s="223"/>
      <c r="K7325" s="319"/>
      <c r="L7325" s="218"/>
    </row>
    <row r="7326">
      <c r="B7326" s="223" t="s">
        <v>200</v>
      </c>
      <c r="C7326" s="223"/>
      <c r="K7326" s="319"/>
      <c r="L7326" s="218"/>
    </row>
    <row r="7327">
      <c r="B7327" s="223" t="s">
        <v>200</v>
      </c>
      <c r="C7327" s="223"/>
      <c r="K7327" s="319"/>
      <c r="L7327" s="218"/>
    </row>
    <row r="7328">
      <c r="B7328" s="223" t="s">
        <v>200</v>
      </c>
      <c r="C7328" s="223"/>
      <c r="K7328" s="319"/>
      <c r="L7328" s="218"/>
    </row>
    <row r="7329">
      <c r="B7329" s="223" t="s">
        <v>200</v>
      </c>
      <c r="C7329" s="223"/>
      <c r="K7329" s="319"/>
      <c r="L7329" s="218"/>
    </row>
    <row r="7330">
      <c r="B7330" s="223" t="s">
        <v>200</v>
      </c>
      <c r="C7330" s="223"/>
      <c r="K7330" s="319"/>
      <c r="L7330" s="218"/>
    </row>
    <row r="7331">
      <c r="B7331" s="223" t="s">
        <v>200</v>
      </c>
      <c r="C7331" s="223"/>
      <c r="K7331" s="319"/>
      <c r="L7331" s="218"/>
    </row>
    <row r="7332">
      <c r="B7332" s="223" t="s">
        <v>200</v>
      </c>
      <c r="C7332" s="223"/>
      <c r="K7332" s="319"/>
      <c r="L7332" s="218"/>
    </row>
    <row r="7333">
      <c r="B7333" s="223" t="s">
        <v>200</v>
      </c>
      <c r="C7333" s="223"/>
      <c r="K7333" s="319"/>
      <c r="L7333" s="218"/>
    </row>
    <row r="7334">
      <c r="B7334" s="223" t="s">
        <v>200</v>
      </c>
      <c r="C7334" s="223"/>
      <c r="K7334" s="319"/>
      <c r="L7334" s="218"/>
    </row>
    <row r="7335">
      <c r="B7335" s="223" t="s">
        <v>200</v>
      </c>
      <c r="C7335" s="223"/>
      <c r="K7335" s="319"/>
      <c r="L7335" s="218"/>
    </row>
    <row r="7336">
      <c r="B7336" s="223" t="s">
        <v>200</v>
      </c>
      <c r="C7336" s="223"/>
      <c r="K7336" s="319"/>
      <c r="L7336" s="218"/>
    </row>
    <row r="7337">
      <c r="B7337" s="223" t="s">
        <v>200</v>
      </c>
      <c r="C7337" s="223"/>
      <c r="K7337" s="319"/>
      <c r="L7337" s="218"/>
    </row>
    <row r="7338">
      <c r="B7338" s="223" t="s">
        <v>200</v>
      </c>
      <c r="C7338" s="223"/>
      <c r="K7338" s="319"/>
      <c r="L7338" s="218"/>
    </row>
    <row r="7339">
      <c r="B7339" s="223" t="s">
        <v>200</v>
      </c>
      <c r="C7339" s="223"/>
      <c r="K7339" s="319"/>
      <c r="L7339" s="218"/>
    </row>
    <row r="7340">
      <c r="B7340" s="223" t="s">
        <v>200</v>
      </c>
      <c r="C7340" s="223"/>
      <c r="K7340" s="319"/>
      <c r="L7340" s="218"/>
    </row>
    <row r="7341">
      <c r="B7341" s="223" t="s">
        <v>200</v>
      </c>
      <c r="C7341" s="223"/>
      <c r="K7341" s="319"/>
      <c r="L7341" s="218"/>
    </row>
    <row r="7342">
      <c r="B7342" s="223" t="s">
        <v>200</v>
      </c>
      <c r="C7342" s="223"/>
      <c r="K7342" s="319"/>
      <c r="L7342" s="218"/>
    </row>
    <row r="7343">
      <c r="B7343" s="223" t="s">
        <v>200</v>
      </c>
      <c r="C7343" s="223"/>
      <c r="K7343" s="319"/>
      <c r="L7343" s="218"/>
    </row>
    <row r="7344">
      <c r="B7344" s="223" t="s">
        <v>200</v>
      </c>
      <c r="C7344" s="223"/>
      <c r="K7344" s="319"/>
      <c r="L7344" s="218"/>
    </row>
    <row r="7345">
      <c r="B7345" s="223" t="s">
        <v>200</v>
      </c>
      <c r="C7345" s="223"/>
      <c r="K7345" s="319"/>
      <c r="L7345" s="218"/>
    </row>
    <row r="7346">
      <c r="B7346" s="223" t="s">
        <v>200</v>
      </c>
      <c r="C7346" s="223"/>
      <c r="K7346" s="319"/>
      <c r="L7346" s="218"/>
    </row>
    <row r="7347">
      <c r="B7347" s="223" t="s">
        <v>200</v>
      </c>
      <c r="C7347" s="223"/>
      <c r="K7347" s="319"/>
      <c r="L7347" s="218"/>
    </row>
    <row r="7348">
      <c r="B7348" s="223" t="s">
        <v>200</v>
      </c>
      <c r="C7348" s="223"/>
      <c r="K7348" s="319"/>
      <c r="L7348" s="218"/>
    </row>
    <row r="7349">
      <c r="B7349" s="223" t="s">
        <v>200</v>
      </c>
      <c r="C7349" s="223"/>
      <c r="K7349" s="319"/>
      <c r="L7349" s="218"/>
    </row>
    <row r="7350">
      <c r="B7350" s="223" t="s">
        <v>200</v>
      </c>
      <c r="C7350" s="223"/>
      <c r="K7350" s="319"/>
      <c r="L7350" s="218"/>
    </row>
    <row r="7351">
      <c r="B7351" s="223" t="s">
        <v>200</v>
      </c>
      <c r="C7351" s="223"/>
      <c r="K7351" s="319"/>
      <c r="L7351" s="218"/>
    </row>
    <row r="7352">
      <c r="B7352" s="223" t="s">
        <v>200</v>
      </c>
      <c r="C7352" s="223"/>
      <c r="K7352" s="319"/>
      <c r="L7352" s="218"/>
    </row>
    <row r="7353">
      <c r="B7353" s="223" t="s">
        <v>200</v>
      </c>
      <c r="C7353" s="223"/>
      <c r="K7353" s="319"/>
      <c r="L7353" s="218"/>
    </row>
    <row r="7354">
      <c r="B7354" s="223" t="s">
        <v>200</v>
      </c>
      <c r="C7354" s="223"/>
      <c r="K7354" s="319"/>
      <c r="L7354" s="218"/>
    </row>
    <row r="7355">
      <c r="B7355" s="223" t="s">
        <v>200</v>
      </c>
      <c r="C7355" s="223"/>
      <c r="K7355" s="319"/>
      <c r="L7355" s="218"/>
    </row>
    <row r="7356">
      <c r="B7356" s="223" t="s">
        <v>200</v>
      </c>
      <c r="C7356" s="223"/>
      <c r="K7356" s="319"/>
      <c r="L7356" s="218"/>
    </row>
    <row r="7357">
      <c r="B7357" s="223" t="s">
        <v>200</v>
      </c>
      <c r="C7357" s="223"/>
      <c r="K7357" s="319"/>
      <c r="L7357" s="218"/>
    </row>
    <row r="7358">
      <c r="B7358" s="223" t="s">
        <v>200</v>
      </c>
      <c r="C7358" s="223"/>
      <c r="K7358" s="319"/>
      <c r="L7358" s="218"/>
    </row>
    <row r="7359">
      <c r="B7359" s="223" t="s">
        <v>200</v>
      </c>
      <c r="C7359" s="223"/>
      <c r="K7359" s="319"/>
      <c r="L7359" s="218"/>
    </row>
    <row r="7360">
      <c r="B7360" s="223" t="s">
        <v>200</v>
      </c>
      <c r="C7360" s="223"/>
      <c r="K7360" s="319"/>
      <c r="L7360" s="218"/>
    </row>
    <row r="7361">
      <c r="B7361" s="223" t="s">
        <v>200</v>
      </c>
      <c r="C7361" s="223"/>
      <c r="K7361" s="319"/>
      <c r="L7361" s="218"/>
    </row>
    <row r="7362">
      <c r="B7362" s="223" t="s">
        <v>200</v>
      </c>
      <c r="C7362" s="223"/>
      <c r="K7362" s="319"/>
      <c r="L7362" s="218"/>
    </row>
    <row r="7363">
      <c r="B7363" s="223" t="s">
        <v>200</v>
      </c>
      <c r="C7363" s="223"/>
      <c r="K7363" s="319"/>
      <c r="L7363" s="218"/>
    </row>
    <row r="7364">
      <c r="B7364" s="223" t="s">
        <v>200</v>
      </c>
      <c r="C7364" s="223"/>
      <c r="K7364" s="319"/>
      <c r="L7364" s="218"/>
    </row>
    <row r="7365">
      <c r="B7365" s="223" t="s">
        <v>200</v>
      </c>
      <c r="C7365" s="223"/>
      <c r="K7365" s="319"/>
      <c r="L7365" s="218"/>
    </row>
    <row r="7366">
      <c r="B7366" s="223" t="s">
        <v>200</v>
      </c>
      <c r="C7366" s="223"/>
      <c r="K7366" s="319"/>
      <c r="L7366" s="218"/>
    </row>
    <row r="7367">
      <c r="B7367" s="223" t="s">
        <v>200</v>
      </c>
      <c r="C7367" s="223"/>
      <c r="K7367" s="319"/>
      <c r="L7367" s="218"/>
    </row>
    <row r="7368">
      <c r="B7368" s="223" t="s">
        <v>200</v>
      </c>
      <c r="C7368" s="223"/>
      <c r="K7368" s="319"/>
      <c r="L7368" s="218"/>
    </row>
    <row r="7369">
      <c r="B7369" s="223" t="s">
        <v>200</v>
      </c>
      <c r="C7369" s="223"/>
      <c r="K7369" s="319"/>
      <c r="L7369" s="218"/>
    </row>
    <row r="7370">
      <c r="B7370" s="223" t="s">
        <v>200</v>
      </c>
      <c r="C7370" s="223"/>
      <c r="K7370" s="319"/>
      <c r="L7370" s="218"/>
    </row>
    <row r="7371">
      <c r="B7371" s="223" t="s">
        <v>200</v>
      </c>
      <c r="C7371" s="223"/>
      <c r="K7371" s="319"/>
      <c r="L7371" s="218"/>
    </row>
    <row r="7372">
      <c r="B7372" s="223" t="s">
        <v>200</v>
      </c>
      <c r="C7372" s="223"/>
      <c r="K7372" s="319"/>
      <c r="L7372" s="218"/>
    </row>
    <row r="7373">
      <c r="B7373" s="223" t="s">
        <v>200</v>
      </c>
      <c r="C7373" s="223"/>
      <c r="K7373" s="319"/>
      <c r="L7373" s="218"/>
    </row>
    <row r="7374">
      <c r="B7374" s="223" t="s">
        <v>200</v>
      </c>
      <c r="C7374" s="223"/>
      <c r="K7374" s="319"/>
      <c r="L7374" s="218"/>
    </row>
    <row r="7375">
      <c r="B7375" s="223" t="s">
        <v>200</v>
      </c>
      <c r="C7375" s="223"/>
      <c r="K7375" s="319"/>
      <c r="L7375" s="218"/>
    </row>
    <row r="7376">
      <c r="B7376" s="223" t="s">
        <v>200</v>
      </c>
      <c r="C7376" s="223"/>
      <c r="K7376" s="319"/>
      <c r="L7376" s="218"/>
    </row>
    <row r="7377">
      <c r="B7377" s="223" t="s">
        <v>200</v>
      </c>
      <c r="C7377" s="223"/>
      <c r="K7377" s="319"/>
      <c r="L7377" s="218"/>
    </row>
    <row r="7378">
      <c r="B7378" s="223" t="s">
        <v>200</v>
      </c>
      <c r="C7378" s="223"/>
      <c r="K7378" s="319"/>
      <c r="L7378" s="218"/>
    </row>
    <row r="7379">
      <c r="B7379" s="223" t="s">
        <v>200</v>
      </c>
      <c r="C7379" s="223"/>
      <c r="K7379" s="319"/>
      <c r="L7379" s="218"/>
    </row>
    <row r="7380">
      <c r="B7380" s="223" t="s">
        <v>200</v>
      </c>
      <c r="C7380" s="223"/>
      <c r="K7380" s="319"/>
      <c r="L7380" s="218"/>
    </row>
    <row r="7381">
      <c r="B7381" s="223" t="s">
        <v>200</v>
      </c>
      <c r="C7381" s="223"/>
      <c r="K7381" s="319"/>
      <c r="L7381" s="218"/>
    </row>
    <row r="7382">
      <c r="B7382" s="223" t="s">
        <v>200</v>
      </c>
      <c r="C7382" s="223"/>
      <c r="K7382" s="319"/>
      <c r="L7382" s="218"/>
    </row>
    <row r="7383">
      <c r="B7383" s="223" t="s">
        <v>200</v>
      </c>
      <c r="C7383" s="223"/>
      <c r="K7383" s="319"/>
      <c r="L7383" s="218"/>
    </row>
    <row r="7384">
      <c r="B7384" s="223" t="s">
        <v>200</v>
      </c>
      <c r="C7384" s="223"/>
      <c r="K7384" s="319"/>
      <c r="L7384" s="218"/>
    </row>
    <row r="7385">
      <c r="B7385" s="223" t="s">
        <v>200</v>
      </c>
      <c r="C7385" s="223"/>
      <c r="K7385" s="319"/>
      <c r="L7385" s="218"/>
    </row>
    <row r="7386">
      <c r="B7386" s="223" t="s">
        <v>200</v>
      </c>
      <c r="C7386" s="223"/>
      <c r="K7386" s="319"/>
      <c r="L7386" s="218"/>
    </row>
    <row r="7387">
      <c r="B7387" s="223" t="s">
        <v>200</v>
      </c>
      <c r="C7387" s="223"/>
      <c r="K7387" s="319"/>
      <c r="L7387" s="218"/>
    </row>
    <row r="7388">
      <c r="B7388" s="223" t="s">
        <v>200</v>
      </c>
      <c r="C7388" s="223"/>
      <c r="K7388" s="319"/>
      <c r="L7388" s="218"/>
    </row>
    <row r="7389">
      <c r="B7389" s="223" t="s">
        <v>200</v>
      </c>
      <c r="C7389" s="223"/>
      <c r="K7389" s="319"/>
      <c r="L7389" s="218"/>
    </row>
    <row r="7390">
      <c r="B7390" s="223" t="s">
        <v>200</v>
      </c>
      <c r="C7390" s="223"/>
      <c r="K7390" s="319"/>
      <c r="L7390" s="218"/>
    </row>
    <row r="7391">
      <c r="B7391" s="223" t="s">
        <v>200</v>
      </c>
      <c r="C7391" s="223"/>
      <c r="K7391" s="319"/>
      <c r="L7391" s="218"/>
    </row>
    <row r="7392">
      <c r="B7392" s="223" t="s">
        <v>200</v>
      </c>
      <c r="C7392" s="223"/>
      <c r="K7392" s="319"/>
      <c r="L7392" s="218"/>
    </row>
    <row r="7393">
      <c r="B7393" s="223" t="s">
        <v>200</v>
      </c>
      <c r="C7393" s="223"/>
      <c r="K7393" s="319"/>
      <c r="L7393" s="218"/>
    </row>
    <row r="7394">
      <c r="B7394" s="223" t="s">
        <v>200</v>
      </c>
      <c r="C7394" s="223"/>
      <c r="K7394" s="319"/>
      <c r="L7394" s="218"/>
    </row>
    <row r="7395">
      <c r="B7395" s="223" t="s">
        <v>200</v>
      </c>
      <c r="C7395" s="223"/>
      <c r="K7395" s="319"/>
      <c r="L7395" s="218"/>
    </row>
    <row r="7396">
      <c r="B7396" s="223" t="s">
        <v>200</v>
      </c>
      <c r="C7396" s="223"/>
      <c r="K7396" s="319"/>
      <c r="L7396" s="218"/>
    </row>
    <row r="7397">
      <c r="B7397" s="223" t="s">
        <v>200</v>
      </c>
      <c r="C7397" s="223"/>
      <c r="K7397" s="319"/>
      <c r="L7397" s="218"/>
    </row>
    <row r="7398">
      <c r="B7398" s="223" t="s">
        <v>200</v>
      </c>
      <c r="C7398" s="223"/>
      <c r="K7398" s="319"/>
      <c r="L7398" s="218"/>
    </row>
    <row r="7399">
      <c r="B7399" s="223" t="s">
        <v>200</v>
      </c>
      <c r="C7399" s="223"/>
      <c r="K7399" s="319"/>
      <c r="L7399" s="218"/>
    </row>
    <row r="7400">
      <c r="B7400" s="223" t="s">
        <v>200</v>
      </c>
      <c r="C7400" s="223"/>
      <c r="K7400" s="319"/>
      <c r="L7400" s="218"/>
    </row>
    <row r="7401">
      <c r="B7401" s="223" t="s">
        <v>200</v>
      </c>
      <c r="C7401" s="223"/>
      <c r="K7401" s="319"/>
      <c r="L7401" s="218"/>
    </row>
    <row r="7402">
      <c r="B7402" s="223" t="s">
        <v>200</v>
      </c>
      <c r="C7402" s="223"/>
      <c r="K7402" s="319"/>
      <c r="L7402" s="218"/>
    </row>
    <row r="7403">
      <c r="B7403" s="223" t="s">
        <v>200</v>
      </c>
      <c r="C7403" s="223"/>
      <c r="K7403" s="319"/>
      <c r="L7403" s="218"/>
    </row>
    <row r="7404">
      <c r="B7404" s="223" t="s">
        <v>200</v>
      </c>
      <c r="C7404" s="223"/>
      <c r="K7404" s="319"/>
      <c r="L7404" s="218"/>
    </row>
    <row r="7405">
      <c r="B7405" s="223" t="s">
        <v>200</v>
      </c>
      <c r="C7405" s="223"/>
      <c r="K7405" s="319"/>
      <c r="L7405" s="218"/>
    </row>
    <row r="7406">
      <c r="B7406" s="223" t="s">
        <v>200</v>
      </c>
      <c r="C7406" s="223"/>
      <c r="K7406" s="319"/>
      <c r="L7406" s="218"/>
    </row>
    <row r="7407">
      <c r="B7407" s="223" t="s">
        <v>200</v>
      </c>
      <c r="C7407" s="223"/>
      <c r="K7407" s="319"/>
      <c r="L7407" s="218"/>
    </row>
    <row r="7408">
      <c r="B7408" s="223" t="s">
        <v>200</v>
      </c>
      <c r="C7408" s="223"/>
      <c r="K7408" s="319"/>
      <c r="L7408" s="218"/>
    </row>
    <row r="7409">
      <c r="B7409" s="223" t="s">
        <v>200</v>
      </c>
      <c r="C7409" s="223"/>
      <c r="K7409" s="319"/>
      <c r="L7409" s="218"/>
    </row>
    <row r="7410">
      <c r="B7410" s="223" t="s">
        <v>200</v>
      </c>
      <c r="C7410" s="223"/>
      <c r="K7410" s="319"/>
      <c r="L7410" s="218"/>
    </row>
    <row r="7411">
      <c r="B7411" s="223" t="s">
        <v>200</v>
      </c>
      <c r="C7411" s="223"/>
      <c r="K7411" s="319"/>
      <c r="L7411" s="218"/>
    </row>
    <row r="7412">
      <c r="B7412" s="223" t="s">
        <v>200</v>
      </c>
      <c r="C7412" s="223"/>
      <c r="K7412" s="319"/>
      <c r="L7412" s="218"/>
    </row>
    <row r="7413">
      <c r="B7413" s="223" t="s">
        <v>200</v>
      </c>
      <c r="C7413" s="223"/>
      <c r="K7413" s="319"/>
      <c r="L7413" s="218"/>
    </row>
    <row r="7414">
      <c r="B7414" s="223" t="s">
        <v>200</v>
      </c>
      <c r="C7414" s="223"/>
      <c r="K7414" s="319"/>
      <c r="L7414" s="218"/>
    </row>
    <row r="7415">
      <c r="B7415" s="223" t="s">
        <v>200</v>
      </c>
      <c r="C7415" s="223"/>
      <c r="K7415" s="319"/>
      <c r="L7415" s="218"/>
    </row>
    <row r="7416">
      <c r="B7416" s="223" t="s">
        <v>200</v>
      </c>
      <c r="C7416" s="223"/>
      <c r="K7416" s="319"/>
      <c r="L7416" s="218"/>
    </row>
    <row r="7417">
      <c r="B7417" s="223" t="s">
        <v>200</v>
      </c>
      <c r="C7417" s="223"/>
      <c r="K7417" s="319"/>
      <c r="L7417" s="218"/>
    </row>
    <row r="7418">
      <c r="B7418" s="223" t="s">
        <v>200</v>
      </c>
      <c r="C7418" s="223"/>
      <c r="K7418" s="319"/>
      <c r="L7418" s="218"/>
    </row>
    <row r="7419">
      <c r="B7419" s="223" t="s">
        <v>200</v>
      </c>
      <c r="C7419" s="223"/>
      <c r="K7419" s="319"/>
      <c r="L7419" s="218"/>
    </row>
    <row r="7420">
      <c r="B7420" s="223" t="s">
        <v>200</v>
      </c>
      <c r="C7420" s="223"/>
      <c r="K7420" s="319"/>
      <c r="L7420" s="218"/>
    </row>
    <row r="7421">
      <c r="B7421" s="223" t="s">
        <v>200</v>
      </c>
      <c r="C7421" s="223"/>
      <c r="K7421" s="319"/>
      <c r="L7421" s="218"/>
    </row>
    <row r="7422">
      <c r="B7422" s="223" t="s">
        <v>200</v>
      </c>
      <c r="C7422" s="223"/>
      <c r="K7422" s="319"/>
      <c r="L7422" s="218"/>
    </row>
    <row r="7423">
      <c r="B7423" s="223" t="s">
        <v>200</v>
      </c>
      <c r="C7423" s="223"/>
      <c r="K7423" s="319"/>
      <c r="L7423" s="218"/>
    </row>
    <row r="7424">
      <c r="B7424" s="223" t="s">
        <v>200</v>
      </c>
      <c r="C7424" s="223"/>
      <c r="K7424" s="319"/>
      <c r="L7424" s="218"/>
    </row>
    <row r="7425">
      <c r="B7425" s="223" t="s">
        <v>200</v>
      </c>
      <c r="C7425" s="223"/>
      <c r="K7425" s="319"/>
      <c r="L7425" s="218"/>
    </row>
    <row r="7426">
      <c r="B7426" s="223" t="s">
        <v>200</v>
      </c>
      <c r="C7426" s="223"/>
      <c r="K7426" s="319"/>
      <c r="L7426" s="218"/>
    </row>
    <row r="7427">
      <c r="B7427" s="223" t="s">
        <v>200</v>
      </c>
      <c r="C7427" s="223"/>
      <c r="K7427" s="319"/>
      <c r="L7427" s="218"/>
    </row>
    <row r="7428">
      <c r="B7428" s="223" t="s">
        <v>200</v>
      </c>
      <c r="C7428" s="223"/>
      <c r="K7428" s="319"/>
      <c r="L7428" s="218"/>
    </row>
    <row r="7429">
      <c r="B7429" s="223" t="s">
        <v>200</v>
      </c>
      <c r="C7429" s="223"/>
      <c r="K7429" s="319"/>
      <c r="L7429" s="218"/>
    </row>
    <row r="7430">
      <c r="B7430" s="223" t="s">
        <v>200</v>
      </c>
      <c r="C7430" s="223"/>
      <c r="K7430" s="319"/>
      <c r="L7430" s="218"/>
    </row>
    <row r="7431">
      <c r="B7431" s="223" t="s">
        <v>200</v>
      </c>
      <c r="C7431" s="223"/>
      <c r="K7431" s="319"/>
      <c r="L7431" s="218"/>
    </row>
    <row r="7432">
      <c r="B7432" s="223" t="s">
        <v>200</v>
      </c>
      <c r="C7432" s="223"/>
      <c r="K7432" s="319"/>
      <c r="L7432" s="218"/>
    </row>
    <row r="7433">
      <c r="B7433" s="223" t="s">
        <v>200</v>
      </c>
      <c r="C7433" s="223"/>
      <c r="K7433" s="319"/>
      <c r="L7433" s="218"/>
    </row>
    <row r="7434">
      <c r="B7434" s="223" t="s">
        <v>200</v>
      </c>
      <c r="C7434" s="223"/>
      <c r="K7434" s="319"/>
      <c r="L7434" s="218"/>
    </row>
    <row r="7435">
      <c r="B7435" s="223" t="s">
        <v>200</v>
      </c>
      <c r="C7435" s="223"/>
      <c r="K7435" s="319"/>
      <c r="L7435" s="218"/>
    </row>
    <row r="7436">
      <c r="B7436" s="223" t="s">
        <v>200</v>
      </c>
      <c r="C7436" s="223"/>
      <c r="K7436" s="319"/>
      <c r="L7436" s="218"/>
    </row>
    <row r="7437">
      <c r="B7437" s="223" t="s">
        <v>200</v>
      </c>
      <c r="C7437" s="223"/>
      <c r="K7437" s="319"/>
      <c r="L7437" s="218"/>
    </row>
    <row r="7438">
      <c r="B7438" s="223" t="s">
        <v>200</v>
      </c>
      <c r="C7438" s="223"/>
      <c r="K7438" s="319"/>
      <c r="L7438" s="218"/>
    </row>
    <row r="7439">
      <c r="B7439" s="223" t="s">
        <v>200</v>
      </c>
      <c r="C7439" s="223"/>
      <c r="K7439" s="319"/>
      <c r="L7439" s="218"/>
    </row>
    <row r="7440">
      <c r="B7440" s="223" t="s">
        <v>200</v>
      </c>
      <c r="C7440" s="223"/>
      <c r="K7440" s="319"/>
      <c r="L7440" s="218"/>
    </row>
    <row r="7441">
      <c r="B7441" s="223" t="s">
        <v>200</v>
      </c>
      <c r="C7441" s="223"/>
      <c r="K7441" s="319"/>
      <c r="L7441" s="218"/>
    </row>
    <row r="7442">
      <c r="B7442" s="223" t="s">
        <v>200</v>
      </c>
      <c r="C7442" s="223"/>
      <c r="K7442" s="319"/>
      <c r="L7442" s="218"/>
    </row>
    <row r="7443">
      <c r="B7443" s="223" t="s">
        <v>200</v>
      </c>
      <c r="C7443" s="223"/>
      <c r="K7443" s="319"/>
      <c r="L7443" s="218"/>
    </row>
    <row r="7444">
      <c r="B7444" s="223" t="s">
        <v>200</v>
      </c>
      <c r="C7444" s="223"/>
      <c r="K7444" s="319"/>
      <c r="L7444" s="218"/>
    </row>
    <row r="7445">
      <c r="B7445" s="223" t="s">
        <v>200</v>
      </c>
      <c r="C7445" s="223"/>
      <c r="K7445" s="319"/>
      <c r="L7445" s="218"/>
    </row>
    <row r="7446">
      <c r="B7446" s="223" t="s">
        <v>200</v>
      </c>
      <c r="C7446" s="223"/>
      <c r="K7446" s="319"/>
      <c r="L7446" s="218"/>
    </row>
    <row r="7447">
      <c r="B7447" s="223" t="s">
        <v>200</v>
      </c>
      <c r="C7447" s="223"/>
      <c r="K7447" s="319"/>
      <c r="L7447" s="218"/>
    </row>
    <row r="7448">
      <c r="B7448" s="223" t="s">
        <v>200</v>
      </c>
      <c r="C7448" s="223"/>
      <c r="K7448" s="319"/>
      <c r="L7448" s="218"/>
    </row>
    <row r="7449">
      <c r="B7449" s="223" t="s">
        <v>200</v>
      </c>
      <c r="C7449" s="223"/>
      <c r="K7449" s="319"/>
      <c r="L7449" s="218"/>
    </row>
    <row r="7450">
      <c r="B7450" s="223" t="s">
        <v>200</v>
      </c>
      <c r="C7450" s="223"/>
      <c r="K7450" s="319"/>
      <c r="L7450" s="218"/>
    </row>
    <row r="7451">
      <c r="B7451" s="223" t="s">
        <v>200</v>
      </c>
      <c r="C7451" s="223"/>
      <c r="K7451" s="319"/>
      <c r="L7451" s="218"/>
    </row>
    <row r="7452">
      <c r="B7452" s="223" t="s">
        <v>200</v>
      </c>
      <c r="C7452" s="223"/>
      <c r="K7452" s="319"/>
      <c r="L7452" s="218"/>
    </row>
    <row r="7453">
      <c r="B7453" s="223" t="s">
        <v>200</v>
      </c>
      <c r="C7453" s="223"/>
      <c r="K7453" s="319"/>
      <c r="L7453" s="218"/>
    </row>
    <row r="7454">
      <c r="B7454" s="223" t="s">
        <v>200</v>
      </c>
      <c r="C7454" s="223"/>
      <c r="K7454" s="319"/>
      <c r="L7454" s="218"/>
    </row>
    <row r="7455">
      <c r="B7455" s="223" t="s">
        <v>200</v>
      </c>
      <c r="C7455" s="223"/>
      <c r="K7455" s="319"/>
      <c r="L7455" s="218"/>
    </row>
    <row r="7456">
      <c r="B7456" s="223" t="s">
        <v>200</v>
      </c>
      <c r="C7456" s="223"/>
      <c r="K7456" s="319"/>
      <c r="L7456" s="218"/>
    </row>
    <row r="7457">
      <c r="B7457" s="223" t="s">
        <v>200</v>
      </c>
      <c r="C7457" s="223"/>
      <c r="K7457" s="319"/>
      <c r="L7457" s="218"/>
    </row>
    <row r="7458">
      <c r="B7458" s="223" t="s">
        <v>200</v>
      </c>
      <c r="C7458" s="223"/>
      <c r="K7458" s="319"/>
      <c r="L7458" s="218"/>
    </row>
    <row r="7459">
      <c r="B7459" s="223" t="s">
        <v>200</v>
      </c>
      <c r="C7459" s="223"/>
      <c r="K7459" s="319"/>
      <c r="L7459" s="218"/>
    </row>
    <row r="7460">
      <c r="B7460" s="223" t="s">
        <v>200</v>
      </c>
      <c r="C7460" s="223"/>
      <c r="K7460" s="319"/>
      <c r="L7460" s="218"/>
    </row>
    <row r="7461">
      <c r="B7461" s="223" t="s">
        <v>200</v>
      </c>
      <c r="C7461" s="223"/>
      <c r="K7461" s="319"/>
      <c r="L7461" s="218"/>
    </row>
    <row r="7462">
      <c r="B7462" s="223" t="s">
        <v>200</v>
      </c>
      <c r="C7462" s="223"/>
      <c r="K7462" s="319"/>
      <c r="L7462" s="218"/>
    </row>
    <row r="7463">
      <c r="B7463" s="223" t="s">
        <v>200</v>
      </c>
      <c r="C7463" s="223"/>
      <c r="K7463" s="319"/>
      <c r="L7463" s="218"/>
    </row>
    <row r="7464">
      <c r="B7464" s="223" t="s">
        <v>200</v>
      </c>
      <c r="C7464" s="223"/>
      <c r="K7464" s="319"/>
      <c r="L7464" s="218"/>
    </row>
    <row r="7465">
      <c r="B7465" s="223" t="s">
        <v>200</v>
      </c>
      <c r="C7465" s="223"/>
      <c r="K7465" s="319"/>
      <c r="L7465" s="218"/>
    </row>
    <row r="7466">
      <c r="B7466" s="223" t="s">
        <v>200</v>
      </c>
      <c r="C7466" s="223"/>
      <c r="K7466" s="319"/>
      <c r="L7466" s="218"/>
    </row>
    <row r="7467">
      <c r="B7467" s="223" t="s">
        <v>200</v>
      </c>
      <c r="C7467" s="223"/>
      <c r="K7467" s="319"/>
      <c r="L7467" s="218"/>
    </row>
    <row r="7468">
      <c r="B7468" s="223" t="s">
        <v>200</v>
      </c>
      <c r="C7468" s="223"/>
      <c r="K7468" s="319"/>
      <c r="L7468" s="218"/>
    </row>
    <row r="7469">
      <c r="B7469" s="223" t="s">
        <v>200</v>
      </c>
      <c r="C7469" s="223"/>
      <c r="K7469" s="319"/>
      <c r="L7469" s="218"/>
    </row>
    <row r="7470">
      <c r="B7470" s="223" t="s">
        <v>200</v>
      </c>
      <c r="C7470" s="223"/>
      <c r="K7470" s="319"/>
      <c r="L7470" s="218"/>
    </row>
    <row r="7471">
      <c r="B7471" s="223" t="s">
        <v>200</v>
      </c>
      <c r="C7471" s="223"/>
      <c r="K7471" s="319"/>
      <c r="L7471" s="218"/>
    </row>
    <row r="7472">
      <c r="B7472" s="223" t="s">
        <v>200</v>
      </c>
      <c r="C7472" s="223"/>
      <c r="K7472" s="319"/>
      <c r="L7472" s="218"/>
    </row>
    <row r="7473">
      <c r="B7473" s="223" t="s">
        <v>200</v>
      </c>
      <c r="C7473" s="223"/>
      <c r="K7473" s="319"/>
      <c r="L7473" s="218"/>
    </row>
    <row r="7474">
      <c r="B7474" s="223" t="s">
        <v>200</v>
      </c>
      <c r="C7474" s="223"/>
      <c r="K7474" s="319"/>
      <c r="L7474" s="218"/>
    </row>
    <row r="7475">
      <c r="B7475" s="223" t="s">
        <v>200</v>
      </c>
      <c r="C7475" s="223"/>
      <c r="K7475" s="319"/>
      <c r="L7475" s="218"/>
    </row>
    <row r="7476">
      <c r="B7476" s="223" t="s">
        <v>200</v>
      </c>
      <c r="C7476" s="223"/>
      <c r="K7476" s="319"/>
      <c r="L7476" s="218"/>
    </row>
    <row r="7477">
      <c r="B7477" s="223" t="s">
        <v>200</v>
      </c>
      <c r="C7477" s="223"/>
      <c r="K7477" s="319"/>
      <c r="L7477" s="218"/>
    </row>
    <row r="7478">
      <c r="B7478" s="223" t="s">
        <v>200</v>
      </c>
      <c r="C7478" s="223"/>
      <c r="K7478" s="319"/>
      <c r="L7478" s="218"/>
    </row>
    <row r="7479">
      <c r="B7479" s="223" t="s">
        <v>200</v>
      </c>
      <c r="C7479" s="223"/>
      <c r="K7479" s="319"/>
      <c r="L7479" s="218"/>
    </row>
    <row r="7480">
      <c r="B7480" s="223" t="s">
        <v>200</v>
      </c>
      <c r="C7480" s="223"/>
      <c r="K7480" s="319"/>
      <c r="L7480" s="218"/>
    </row>
    <row r="7481">
      <c r="B7481" s="223" t="s">
        <v>200</v>
      </c>
      <c r="C7481" s="223"/>
      <c r="K7481" s="319"/>
      <c r="L7481" s="218"/>
    </row>
    <row r="7482">
      <c r="B7482" s="223" t="s">
        <v>200</v>
      </c>
      <c r="C7482" s="223"/>
      <c r="K7482" s="319"/>
      <c r="L7482" s="218"/>
    </row>
    <row r="7483">
      <c r="B7483" s="223" t="s">
        <v>200</v>
      </c>
      <c r="C7483" s="223"/>
      <c r="K7483" s="319"/>
      <c r="L7483" s="218"/>
    </row>
    <row r="7484">
      <c r="B7484" s="223" t="s">
        <v>200</v>
      </c>
      <c r="C7484" s="223"/>
      <c r="K7484" s="319"/>
      <c r="L7484" s="218"/>
    </row>
    <row r="7485">
      <c r="B7485" s="223" t="s">
        <v>200</v>
      </c>
      <c r="C7485" s="223"/>
      <c r="K7485" s="319"/>
      <c r="L7485" s="218"/>
    </row>
    <row r="7486">
      <c r="B7486" s="223" t="s">
        <v>200</v>
      </c>
      <c r="C7486" s="223"/>
      <c r="K7486" s="319"/>
      <c r="L7486" s="218"/>
    </row>
    <row r="7487">
      <c r="B7487" s="223" t="s">
        <v>200</v>
      </c>
      <c r="C7487" s="223"/>
      <c r="K7487" s="319"/>
      <c r="L7487" s="218"/>
    </row>
    <row r="7488">
      <c r="B7488" s="223" t="s">
        <v>200</v>
      </c>
      <c r="C7488" s="223"/>
      <c r="K7488" s="319"/>
      <c r="L7488" s="218"/>
    </row>
    <row r="7489">
      <c r="B7489" s="223" t="s">
        <v>200</v>
      </c>
      <c r="C7489" s="223"/>
      <c r="K7489" s="319"/>
      <c r="L7489" s="218"/>
    </row>
    <row r="7490">
      <c r="B7490" s="223" t="s">
        <v>200</v>
      </c>
      <c r="C7490" s="223"/>
      <c r="K7490" s="319"/>
      <c r="L7490" s="218"/>
    </row>
    <row r="7491">
      <c r="B7491" s="223" t="s">
        <v>200</v>
      </c>
      <c r="C7491" s="223"/>
      <c r="K7491" s="319"/>
      <c r="L7491" s="218"/>
    </row>
    <row r="7492">
      <c r="B7492" s="223" t="s">
        <v>200</v>
      </c>
      <c r="C7492" s="223"/>
      <c r="K7492" s="319"/>
      <c r="L7492" s="218"/>
    </row>
    <row r="7493">
      <c r="B7493" s="223" t="s">
        <v>200</v>
      </c>
      <c r="C7493" s="223"/>
      <c r="K7493" s="319"/>
      <c r="L7493" s="218"/>
    </row>
    <row r="7494">
      <c r="B7494" s="223" t="s">
        <v>200</v>
      </c>
      <c r="C7494" s="223"/>
      <c r="K7494" s="319"/>
      <c r="L7494" s="218"/>
    </row>
    <row r="7495">
      <c r="B7495" s="223" t="s">
        <v>200</v>
      </c>
      <c r="C7495" s="223"/>
      <c r="K7495" s="319"/>
      <c r="L7495" s="218"/>
    </row>
    <row r="7496">
      <c r="B7496" s="223" t="s">
        <v>200</v>
      </c>
      <c r="C7496" s="223"/>
      <c r="K7496" s="319"/>
      <c r="L7496" s="218"/>
    </row>
    <row r="7497">
      <c r="B7497" s="223" t="s">
        <v>200</v>
      </c>
      <c r="C7497" s="223"/>
      <c r="K7497" s="319"/>
      <c r="L7497" s="218"/>
    </row>
    <row r="7498">
      <c r="B7498" s="223" t="s">
        <v>200</v>
      </c>
      <c r="C7498" s="223"/>
      <c r="K7498" s="319"/>
      <c r="L7498" s="218"/>
    </row>
    <row r="7499">
      <c r="B7499" s="223" t="s">
        <v>200</v>
      </c>
      <c r="C7499" s="223"/>
      <c r="K7499" s="319"/>
      <c r="L7499" s="218"/>
    </row>
    <row r="7500">
      <c r="B7500" s="223" t="s">
        <v>200</v>
      </c>
      <c r="C7500" s="223"/>
      <c r="K7500" s="319"/>
      <c r="L7500" s="218"/>
    </row>
    <row r="7501">
      <c r="B7501" s="223" t="s">
        <v>200</v>
      </c>
      <c r="C7501" s="223"/>
      <c r="K7501" s="319"/>
      <c r="L7501" s="218"/>
    </row>
    <row r="7502">
      <c r="B7502" s="223" t="s">
        <v>200</v>
      </c>
      <c r="C7502" s="223"/>
      <c r="K7502" s="319"/>
      <c r="L7502" s="218"/>
    </row>
    <row r="7503">
      <c r="B7503" s="223" t="s">
        <v>200</v>
      </c>
      <c r="C7503" s="223"/>
      <c r="K7503" s="319"/>
      <c r="L7503" s="218"/>
    </row>
    <row r="7504">
      <c r="B7504" s="223" t="s">
        <v>200</v>
      </c>
      <c r="C7504" s="223"/>
      <c r="K7504" s="319"/>
      <c r="L7504" s="218"/>
    </row>
    <row r="7505">
      <c r="B7505" s="223" t="s">
        <v>200</v>
      </c>
      <c r="C7505" s="223"/>
      <c r="K7505" s="319"/>
      <c r="L7505" s="218"/>
    </row>
    <row r="7506">
      <c r="B7506" s="223" t="s">
        <v>200</v>
      </c>
      <c r="C7506" s="223"/>
      <c r="K7506" s="319"/>
      <c r="L7506" s="218"/>
    </row>
    <row r="7507">
      <c r="B7507" s="223" t="s">
        <v>200</v>
      </c>
      <c r="C7507" s="223"/>
      <c r="K7507" s="319"/>
      <c r="L7507" s="218"/>
    </row>
    <row r="7508">
      <c r="B7508" s="223" t="s">
        <v>200</v>
      </c>
      <c r="C7508" s="223"/>
      <c r="K7508" s="319"/>
      <c r="L7508" s="218"/>
    </row>
    <row r="7509">
      <c r="B7509" s="223" t="s">
        <v>200</v>
      </c>
      <c r="C7509" s="223"/>
      <c r="K7509" s="319"/>
      <c r="L7509" s="218"/>
    </row>
    <row r="7510">
      <c r="B7510" s="223" t="s">
        <v>200</v>
      </c>
      <c r="C7510" s="223"/>
      <c r="K7510" s="319"/>
      <c r="L7510" s="218"/>
    </row>
    <row r="7511">
      <c r="B7511" s="223" t="s">
        <v>200</v>
      </c>
      <c r="C7511" s="223"/>
      <c r="K7511" s="319"/>
      <c r="L7511" s="218"/>
    </row>
    <row r="7512">
      <c r="B7512" s="223" t="s">
        <v>200</v>
      </c>
      <c r="C7512" s="223"/>
      <c r="K7512" s="319"/>
      <c r="L7512" s="218"/>
    </row>
    <row r="7513">
      <c r="B7513" s="223" t="s">
        <v>200</v>
      </c>
      <c r="C7513" s="223"/>
      <c r="K7513" s="319"/>
      <c r="L7513" s="218"/>
    </row>
    <row r="7514">
      <c r="B7514" s="223" t="s">
        <v>200</v>
      </c>
      <c r="C7514" s="223"/>
      <c r="K7514" s="319"/>
      <c r="L7514" s="218"/>
    </row>
    <row r="7515">
      <c r="B7515" s="223" t="s">
        <v>200</v>
      </c>
      <c r="C7515" s="223"/>
      <c r="K7515" s="319"/>
      <c r="L7515" s="218"/>
    </row>
    <row r="7516">
      <c r="B7516" s="223" t="s">
        <v>200</v>
      </c>
      <c r="C7516" s="223"/>
      <c r="K7516" s="319"/>
      <c r="L7516" s="218"/>
    </row>
    <row r="7517">
      <c r="B7517" s="223" t="s">
        <v>200</v>
      </c>
      <c r="C7517" s="223"/>
      <c r="K7517" s="319"/>
      <c r="L7517" s="218"/>
    </row>
    <row r="7518">
      <c r="B7518" s="223" t="s">
        <v>200</v>
      </c>
      <c r="C7518" s="223"/>
      <c r="K7518" s="319"/>
      <c r="L7518" s="218"/>
    </row>
    <row r="7519">
      <c r="B7519" s="223" t="s">
        <v>200</v>
      </c>
      <c r="C7519" s="223"/>
      <c r="K7519" s="319"/>
      <c r="L7519" s="218"/>
    </row>
    <row r="7520">
      <c r="B7520" s="223" t="s">
        <v>200</v>
      </c>
      <c r="C7520" s="223"/>
      <c r="K7520" s="319"/>
      <c r="L7520" s="218"/>
    </row>
    <row r="7521">
      <c r="B7521" s="223" t="s">
        <v>200</v>
      </c>
      <c r="C7521" s="223"/>
      <c r="K7521" s="319"/>
      <c r="L7521" s="218"/>
    </row>
    <row r="7522">
      <c r="B7522" s="223" t="s">
        <v>200</v>
      </c>
      <c r="C7522" s="223"/>
      <c r="K7522" s="319"/>
      <c r="L7522" s="218"/>
    </row>
    <row r="7523">
      <c r="B7523" s="223" t="s">
        <v>200</v>
      </c>
      <c r="C7523" s="223"/>
      <c r="K7523" s="319"/>
      <c r="L7523" s="218"/>
    </row>
    <row r="7524">
      <c r="B7524" s="223" t="s">
        <v>200</v>
      </c>
      <c r="C7524" s="223"/>
      <c r="K7524" s="319"/>
      <c r="L7524" s="218"/>
    </row>
    <row r="7525">
      <c r="B7525" s="223" t="s">
        <v>200</v>
      </c>
      <c r="C7525" s="223"/>
      <c r="K7525" s="319"/>
      <c r="L7525" s="218"/>
    </row>
    <row r="7526">
      <c r="B7526" s="223" t="s">
        <v>200</v>
      </c>
      <c r="C7526" s="223"/>
      <c r="K7526" s="319"/>
      <c r="L7526" s="218"/>
    </row>
    <row r="7527">
      <c r="B7527" s="223" t="s">
        <v>200</v>
      </c>
      <c r="C7527" s="223"/>
      <c r="K7527" s="319"/>
      <c r="L7527" s="218"/>
    </row>
    <row r="7528">
      <c r="B7528" s="223" t="s">
        <v>200</v>
      </c>
      <c r="C7528" s="223"/>
      <c r="K7528" s="319"/>
      <c r="L7528" s="218"/>
    </row>
    <row r="7529">
      <c r="B7529" s="223" t="s">
        <v>200</v>
      </c>
      <c r="C7529" s="223"/>
      <c r="K7529" s="319"/>
      <c r="L7529" s="218"/>
    </row>
    <row r="7530">
      <c r="B7530" s="223" t="s">
        <v>200</v>
      </c>
      <c r="C7530" s="223"/>
      <c r="K7530" s="319"/>
      <c r="L7530" s="218"/>
    </row>
    <row r="7531">
      <c r="B7531" s="223" t="s">
        <v>200</v>
      </c>
      <c r="C7531" s="223"/>
      <c r="K7531" s="319"/>
      <c r="L7531" s="218"/>
    </row>
    <row r="7532">
      <c r="B7532" s="223" t="s">
        <v>200</v>
      </c>
      <c r="C7532" s="223"/>
      <c r="K7532" s="319"/>
      <c r="L7532" s="218"/>
    </row>
    <row r="7533">
      <c r="B7533" s="223" t="s">
        <v>200</v>
      </c>
      <c r="C7533" s="223"/>
      <c r="K7533" s="319"/>
      <c r="L7533" s="218"/>
    </row>
    <row r="7534">
      <c r="B7534" s="223" t="s">
        <v>200</v>
      </c>
      <c r="C7534" s="223"/>
      <c r="K7534" s="319"/>
      <c r="L7534" s="218"/>
    </row>
    <row r="7535">
      <c r="B7535" s="223" t="s">
        <v>200</v>
      </c>
      <c r="C7535" s="223"/>
      <c r="K7535" s="319"/>
      <c r="L7535" s="218"/>
    </row>
    <row r="7536">
      <c r="B7536" s="223" t="s">
        <v>200</v>
      </c>
      <c r="C7536" s="223"/>
      <c r="K7536" s="319"/>
      <c r="L7536" s="218"/>
    </row>
    <row r="7537">
      <c r="B7537" s="223" t="s">
        <v>200</v>
      </c>
      <c r="C7537" s="223"/>
      <c r="K7537" s="319"/>
      <c r="L7537" s="218"/>
    </row>
    <row r="7538">
      <c r="B7538" s="223" t="s">
        <v>200</v>
      </c>
      <c r="C7538" s="223"/>
      <c r="K7538" s="319"/>
      <c r="L7538" s="218"/>
    </row>
    <row r="7539">
      <c r="B7539" s="223" t="s">
        <v>200</v>
      </c>
      <c r="C7539" s="223"/>
      <c r="K7539" s="319"/>
      <c r="L7539" s="218"/>
    </row>
    <row r="7540">
      <c r="B7540" s="223" t="s">
        <v>200</v>
      </c>
      <c r="C7540" s="223"/>
      <c r="K7540" s="319"/>
      <c r="L7540" s="218"/>
    </row>
    <row r="7541">
      <c r="B7541" s="223" t="s">
        <v>200</v>
      </c>
      <c r="C7541" s="223"/>
      <c r="K7541" s="319"/>
      <c r="L7541" s="218"/>
    </row>
    <row r="7542">
      <c r="B7542" s="223" t="s">
        <v>200</v>
      </c>
      <c r="C7542" s="223"/>
      <c r="K7542" s="319"/>
      <c r="L7542" s="218"/>
    </row>
    <row r="7543">
      <c r="B7543" s="223" t="s">
        <v>200</v>
      </c>
      <c r="C7543" s="223"/>
      <c r="K7543" s="319"/>
      <c r="L7543" s="218"/>
    </row>
    <row r="7544">
      <c r="B7544" s="223" t="s">
        <v>200</v>
      </c>
      <c r="C7544" s="223"/>
      <c r="K7544" s="319"/>
      <c r="L7544" s="218"/>
    </row>
    <row r="7545">
      <c r="B7545" s="223" t="s">
        <v>200</v>
      </c>
      <c r="C7545" s="223"/>
      <c r="K7545" s="319"/>
      <c r="L7545" s="218"/>
    </row>
    <row r="7546">
      <c r="B7546" s="223" t="s">
        <v>200</v>
      </c>
      <c r="C7546" s="223"/>
      <c r="K7546" s="319"/>
      <c r="L7546" s="218"/>
    </row>
    <row r="7547">
      <c r="B7547" s="223" t="s">
        <v>200</v>
      </c>
      <c r="C7547" s="223"/>
      <c r="K7547" s="319"/>
      <c r="L7547" s="218"/>
    </row>
    <row r="7548">
      <c r="B7548" s="223" t="s">
        <v>200</v>
      </c>
      <c r="C7548" s="223"/>
      <c r="K7548" s="319"/>
      <c r="L7548" s="218"/>
    </row>
    <row r="7549">
      <c r="B7549" s="223" t="s">
        <v>200</v>
      </c>
      <c r="C7549" s="223"/>
      <c r="K7549" s="319"/>
      <c r="L7549" s="218"/>
    </row>
    <row r="7550">
      <c r="B7550" s="223" t="s">
        <v>200</v>
      </c>
      <c r="C7550" s="223"/>
      <c r="K7550" s="319"/>
      <c r="L7550" s="218"/>
    </row>
    <row r="7551">
      <c r="B7551" s="223" t="s">
        <v>200</v>
      </c>
      <c r="C7551" s="223"/>
      <c r="K7551" s="319"/>
      <c r="L7551" s="218"/>
    </row>
    <row r="7552">
      <c r="B7552" s="223" t="s">
        <v>200</v>
      </c>
      <c r="C7552" s="223"/>
      <c r="K7552" s="319"/>
      <c r="L7552" s="218"/>
    </row>
    <row r="7553">
      <c r="B7553" s="223" t="s">
        <v>200</v>
      </c>
      <c r="C7553" s="223"/>
      <c r="K7553" s="319"/>
      <c r="L7553" s="218"/>
    </row>
    <row r="7554">
      <c r="B7554" s="223" t="s">
        <v>200</v>
      </c>
      <c r="C7554" s="223"/>
      <c r="K7554" s="319"/>
      <c r="L7554" s="218"/>
    </row>
    <row r="7555">
      <c r="B7555" s="223" t="s">
        <v>200</v>
      </c>
      <c r="C7555" s="223"/>
      <c r="K7555" s="319"/>
      <c r="L7555" s="218"/>
    </row>
    <row r="7556">
      <c r="B7556" s="223" t="s">
        <v>200</v>
      </c>
      <c r="C7556" s="223"/>
      <c r="K7556" s="319"/>
      <c r="L7556" s="218"/>
    </row>
    <row r="7557">
      <c r="B7557" s="223" t="s">
        <v>200</v>
      </c>
      <c r="C7557" s="223"/>
      <c r="K7557" s="319"/>
      <c r="L7557" s="218"/>
    </row>
    <row r="7558">
      <c r="B7558" s="223" t="s">
        <v>200</v>
      </c>
      <c r="C7558" s="223"/>
      <c r="K7558" s="319"/>
      <c r="L7558" s="218"/>
    </row>
    <row r="7559">
      <c r="B7559" s="223" t="s">
        <v>200</v>
      </c>
      <c r="C7559" s="223"/>
      <c r="K7559" s="319"/>
      <c r="L7559" s="218"/>
    </row>
    <row r="7560">
      <c r="B7560" s="223" t="s">
        <v>200</v>
      </c>
      <c r="C7560" s="223"/>
      <c r="K7560" s="319"/>
      <c r="L7560" s="218"/>
    </row>
    <row r="7561">
      <c r="B7561" s="223" t="s">
        <v>200</v>
      </c>
      <c r="C7561" s="223"/>
      <c r="K7561" s="319"/>
      <c r="L7561" s="218"/>
    </row>
    <row r="7562">
      <c r="B7562" s="223" t="s">
        <v>200</v>
      </c>
      <c r="C7562" s="223"/>
      <c r="K7562" s="319"/>
      <c r="L7562" s="218"/>
    </row>
    <row r="7563">
      <c r="B7563" s="223" t="s">
        <v>200</v>
      </c>
      <c r="C7563" s="223"/>
      <c r="K7563" s="319"/>
      <c r="L7563" s="218"/>
    </row>
    <row r="7564">
      <c r="B7564" s="223" t="s">
        <v>200</v>
      </c>
      <c r="C7564" s="223"/>
      <c r="K7564" s="319"/>
      <c r="L7564" s="218"/>
    </row>
    <row r="7565">
      <c r="B7565" s="223" t="s">
        <v>200</v>
      </c>
      <c r="C7565" s="223"/>
      <c r="K7565" s="319"/>
      <c r="L7565" s="218"/>
    </row>
    <row r="7566">
      <c r="B7566" s="223" t="s">
        <v>200</v>
      </c>
      <c r="C7566" s="223"/>
      <c r="K7566" s="319"/>
      <c r="L7566" s="218"/>
    </row>
    <row r="7567">
      <c r="B7567" s="223" t="s">
        <v>200</v>
      </c>
      <c r="C7567" s="223"/>
      <c r="K7567" s="319"/>
      <c r="L7567" s="218"/>
    </row>
    <row r="7568">
      <c r="B7568" s="223" t="s">
        <v>200</v>
      </c>
      <c r="C7568" s="223"/>
      <c r="K7568" s="319"/>
      <c r="L7568" s="218"/>
    </row>
    <row r="7569">
      <c r="B7569" s="223" t="s">
        <v>200</v>
      </c>
      <c r="C7569" s="223"/>
      <c r="K7569" s="319"/>
      <c r="L7569" s="218"/>
    </row>
    <row r="7570">
      <c r="B7570" s="223" t="s">
        <v>200</v>
      </c>
      <c r="C7570" s="223"/>
      <c r="K7570" s="319"/>
      <c r="L7570" s="218"/>
    </row>
    <row r="7571">
      <c r="B7571" s="223" t="s">
        <v>200</v>
      </c>
      <c r="C7571" s="223"/>
      <c r="K7571" s="319"/>
      <c r="L7571" s="218"/>
    </row>
    <row r="7572">
      <c r="B7572" s="223" t="s">
        <v>200</v>
      </c>
      <c r="C7572" s="223"/>
      <c r="K7572" s="319"/>
      <c r="L7572" s="218"/>
    </row>
    <row r="7573">
      <c r="B7573" s="223" t="s">
        <v>200</v>
      </c>
      <c r="C7573" s="223"/>
      <c r="K7573" s="319"/>
      <c r="L7573" s="218"/>
    </row>
    <row r="7574">
      <c r="B7574" s="223" t="s">
        <v>200</v>
      </c>
      <c r="C7574" s="223"/>
      <c r="K7574" s="319"/>
      <c r="L7574" s="218"/>
    </row>
    <row r="7575">
      <c r="B7575" s="223" t="s">
        <v>200</v>
      </c>
      <c r="C7575" s="223"/>
      <c r="K7575" s="319"/>
      <c r="L7575" s="218"/>
    </row>
    <row r="7576">
      <c r="B7576" s="223" t="s">
        <v>200</v>
      </c>
      <c r="C7576" s="223"/>
      <c r="K7576" s="319"/>
      <c r="L7576" s="218"/>
    </row>
    <row r="7577">
      <c r="B7577" s="223" t="s">
        <v>200</v>
      </c>
      <c r="C7577" s="223"/>
      <c r="K7577" s="319"/>
      <c r="L7577" s="218"/>
    </row>
    <row r="7578">
      <c r="B7578" s="223" t="s">
        <v>200</v>
      </c>
      <c r="C7578" s="223"/>
      <c r="K7578" s="319"/>
      <c r="L7578" s="218"/>
    </row>
    <row r="7579">
      <c r="B7579" s="223" t="s">
        <v>200</v>
      </c>
      <c r="C7579" s="223"/>
      <c r="K7579" s="319"/>
      <c r="L7579" s="218"/>
    </row>
    <row r="7580">
      <c r="B7580" s="223" t="s">
        <v>200</v>
      </c>
      <c r="C7580" s="223"/>
      <c r="K7580" s="319"/>
      <c r="L7580" s="218"/>
    </row>
    <row r="7581">
      <c r="B7581" s="223" t="s">
        <v>200</v>
      </c>
      <c r="C7581" s="223"/>
      <c r="K7581" s="319"/>
      <c r="L7581" s="218"/>
    </row>
    <row r="7582">
      <c r="B7582" s="223" t="s">
        <v>200</v>
      </c>
      <c r="C7582" s="223"/>
      <c r="K7582" s="319"/>
      <c r="L7582" s="218"/>
    </row>
    <row r="7583">
      <c r="B7583" s="223" t="s">
        <v>200</v>
      </c>
      <c r="C7583" s="223"/>
      <c r="K7583" s="319"/>
      <c r="L7583" s="218"/>
    </row>
    <row r="7584">
      <c r="B7584" s="223" t="s">
        <v>200</v>
      </c>
      <c r="C7584" s="223"/>
      <c r="K7584" s="319"/>
      <c r="L7584" s="218"/>
    </row>
    <row r="7585">
      <c r="B7585" s="223" t="s">
        <v>200</v>
      </c>
      <c r="C7585" s="223"/>
      <c r="K7585" s="319"/>
      <c r="L7585" s="218"/>
    </row>
    <row r="7586">
      <c r="B7586" s="223" t="s">
        <v>200</v>
      </c>
      <c r="C7586" s="223"/>
      <c r="K7586" s="319"/>
      <c r="L7586" s="218"/>
    </row>
    <row r="7587">
      <c r="B7587" s="223" t="s">
        <v>200</v>
      </c>
      <c r="C7587" s="223"/>
      <c r="K7587" s="319"/>
      <c r="L7587" s="218"/>
    </row>
    <row r="7588">
      <c r="B7588" s="223" t="s">
        <v>200</v>
      </c>
      <c r="C7588" s="223"/>
      <c r="K7588" s="319"/>
      <c r="L7588" s="218"/>
    </row>
    <row r="7589">
      <c r="B7589" s="223" t="s">
        <v>200</v>
      </c>
      <c r="C7589" s="223"/>
      <c r="K7589" s="319"/>
      <c r="L7589" s="218"/>
    </row>
    <row r="7590">
      <c r="B7590" s="223" t="s">
        <v>200</v>
      </c>
      <c r="C7590" s="223"/>
      <c r="K7590" s="319"/>
      <c r="L7590" s="218"/>
    </row>
    <row r="7591">
      <c r="B7591" s="223" t="s">
        <v>200</v>
      </c>
      <c r="C7591" s="223"/>
      <c r="K7591" s="319"/>
      <c r="L7591" s="218"/>
    </row>
    <row r="7592">
      <c r="B7592" s="223" t="s">
        <v>200</v>
      </c>
      <c r="C7592" s="223"/>
      <c r="K7592" s="319"/>
      <c r="L7592" s="218"/>
    </row>
    <row r="7593">
      <c r="B7593" s="223" t="s">
        <v>200</v>
      </c>
      <c r="C7593" s="223"/>
      <c r="K7593" s="319"/>
      <c r="L7593" s="218"/>
    </row>
    <row r="7594">
      <c r="B7594" s="223" t="s">
        <v>200</v>
      </c>
      <c r="C7594" s="223"/>
      <c r="K7594" s="319"/>
      <c r="L7594" s="218"/>
    </row>
    <row r="7595">
      <c r="B7595" s="223" t="s">
        <v>200</v>
      </c>
      <c r="C7595" s="223"/>
      <c r="K7595" s="319"/>
      <c r="L7595" s="218"/>
    </row>
    <row r="7596">
      <c r="B7596" s="223" t="s">
        <v>200</v>
      </c>
      <c r="C7596" s="223"/>
      <c r="K7596" s="319"/>
      <c r="L7596" s="218"/>
    </row>
    <row r="7597">
      <c r="B7597" s="223" t="s">
        <v>200</v>
      </c>
      <c r="C7597" s="223"/>
      <c r="K7597" s="319"/>
      <c r="L7597" s="218"/>
    </row>
    <row r="7598">
      <c r="B7598" s="223" t="s">
        <v>200</v>
      </c>
      <c r="C7598" s="223"/>
      <c r="K7598" s="319"/>
      <c r="L7598" s="218"/>
    </row>
    <row r="7599">
      <c r="B7599" s="223" t="s">
        <v>200</v>
      </c>
      <c r="C7599" s="223"/>
      <c r="K7599" s="319"/>
      <c r="L7599" s="218"/>
    </row>
    <row r="7600">
      <c r="B7600" s="223" t="s">
        <v>200</v>
      </c>
      <c r="C7600" s="223"/>
      <c r="K7600" s="319"/>
      <c r="L7600" s="218"/>
    </row>
    <row r="7601">
      <c r="B7601" s="223" t="s">
        <v>200</v>
      </c>
      <c r="C7601" s="223"/>
      <c r="K7601" s="319"/>
      <c r="L7601" s="218"/>
    </row>
    <row r="7602">
      <c r="B7602" s="223" t="s">
        <v>200</v>
      </c>
      <c r="C7602" s="223"/>
      <c r="K7602" s="319"/>
      <c r="L7602" s="218"/>
    </row>
    <row r="7603">
      <c r="B7603" s="223" t="s">
        <v>200</v>
      </c>
      <c r="C7603" s="223"/>
      <c r="K7603" s="319"/>
      <c r="L7603" s="218"/>
    </row>
    <row r="7604">
      <c r="B7604" s="223" t="s">
        <v>200</v>
      </c>
      <c r="C7604" s="223"/>
      <c r="K7604" s="319"/>
      <c r="L7604" s="218"/>
    </row>
    <row r="7605">
      <c r="B7605" s="223" t="s">
        <v>200</v>
      </c>
      <c r="C7605" s="223"/>
      <c r="K7605" s="319"/>
      <c r="L7605" s="218"/>
    </row>
    <row r="7606">
      <c r="B7606" s="223" t="s">
        <v>200</v>
      </c>
      <c r="C7606" s="223"/>
      <c r="K7606" s="319"/>
      <c r="L7606" s="218"/>
    </row>
    <row r="7607">
      <c r="B7607" s="223" t="s">
        <v>200</v>
      </c>
      <c r="C7607" s="223"/>
      <c r="K7607" s="319"/>
      <c r="L7607" s="218"/>
    </row>
    <row r="7608">
      <c r="B7608" s="223" t="s">
        <v>200</v>
      </c>
      <c r="C7608" s="223"/>
      <c r="K7608" s="319"/>
      <c r="L7608" s="218"/>
    </row>
    <row r="7609">
      <c r="B7609" s="223" t="s">
        <v>200</v>
      </c>
      <c r="C7609" s="223"/>
      <c r="K7609" s="319"/>
      <c r="L7609" s="218"/>
    </row>
    <row r="7610">
      <c r="B7610" s="223" t="s">
        <v>200</v>
      </c>
      <c r="C7610" s="223"/>
      <c r="K7610" s="319"/>
      <c r="L7610" s="218"/>
    </row>
    <row r="7611">
      <c r="B7611" s="223" t="s">
        <v>200</v>
      </c>
      <c r="C7611" s="223"/>
      <c r="K7611" s="319"/>
      <c r="L7611" s="218"/>
    </row>
    <row r="7612">
      <c r="B7612" s="223" t="s">
        <v>200</v>
      </c>
      <c r="C7612" s="223"/>
      <c r="K7612" s="319"/>
      <c r="L7612" s="218"/>
    </row>
    <row r="7613">
      <c r="B7613" s="223" t="s">
        <v>200</v>
      </c>
      <c r="C7613" s="223"/>
      <c r="K7613" s="319"/>
      <c r="L7613" s="218"/>
    </row>
    <row r="7614">
      <c r="B7614" s="223" t="s">
        <v>200</v>
      </c>
      <c r="C7614" s="223"/>
      <c r="K7614" s="319"/>
      <c r="L7614" s="218"/>
    </row>
    <row r="7615">
      <c r="B7615" s="223" t="s">
        <v>200</v>
      </c>
      <c r="C7615" s="223"/>
      <c r="K7615" s="319"/>
      <c r="L7615" s="218"/>
    </row>
    <row r="7616">
      <c r="B7616" s="223" t="s">
        <v>200</v>
      </c>
      <c r="C7616" s="223"/>
      <c r="K7616" s="319"/>
      <c r="L7616" s="218"/>
    </row>
    <row r="7617">
      <c r="B7617" s="223" t="s">
        <v>200</v>
      </c>
      <c r="C7617" s="223"/>
      <c r="K7617" s="319"/>
      <c r="L7617" s="218"/>
    </row>
    <row r="7618">
      <c r="B7618" s="223" t="s">
        <v>200</v>
      </c>
      <c r="C7618" s="223"/>
      <c r="K7618" s="319"/>
      <c r="L7618" s="218"/>
    </row>
    <row r="7619">
      <c r="B7619" s="223" t="s">
        <v>200</v>
      </c>
      <c r="C7619" s="223"/>
      <c r="K7619" s="319"/>
      <c r="L7619" s="218"/>
    </row>
    <row r="7620">
      <c r="B7620" s="223" t="s">
        <v>200</v>
      </c>
      <c r="C7620" s="223"/>
      <c r="K7620" s="319"/>
      <c r="L7620" s="218"/>
    </row>
    <row r="7621">
      <c r="B7621" s="223" t="s">
        <v>200</v>
      </c>
      <c r="C7621" s="223"/>
      <c r="K7621" s="319"/>
      <c r="L7621" s="218"/>
    </row>
    <row r="7622">
      <c r="B7622" s="223" t="s">
        <v>200</v>
      </c>
      <c r="C7622" s="223"/>
      <c r="K7622" s="319"/>
      <c r="L7622" s="218"/>
    </row>
    <row r="7623">
      <c r="B7623" s="223" t="s">
        <v>200</v>
      </c>
      <c r="C7623" s="223"/>
      <c r="K7623" s="319"/>
      <c r="L7623" s="218"/>
    </row>
    <row r="7624">
      <c r="B7624" s="223" t="s">
        <v>200</v>
      </c>
      <c r="C7624" s="223"/>
      <c r="K7624" s="319"/>
      <c r="L7624" s="218"/>
    </row>
    <row r="7625">
      <c r="B7625" s="223" t="s">
        <v>200</v>
      </c>
      <c r="C7625" s="223"/>
      <c r="K7625" s="319"/>
      <c r="L7625" s="218"/>
    </row>
    <row r="7626">
      <c r="B7626" s="223" t="s">
        <v>200</v>
      </c>
      <c r="C7626" s="223"/>
      <c r="K7626" s="319"/>
      <c r="L7626" s="218"/>
    </row>
    <row r="7627">
      <c r="B7627" s="223" t="s">
        <v>200</v>
      </c>
      <c r="C7627" s="223"/>
      <c r="K7627" s="319"/>
      <c r="L7627" s="218"/>
    </row>
    <row r="7628">
      <c r="B7628" s="223" t="s">
        <v>200</v>
      </c>
      <c r="C7628" s="223"/>
      <c r="K7628" s="319"/>
      <c r="L7628" s="218"/>
    </row>
    <row r="7629">
      <c r="B7629" s="223" t="s">
        <v>200</v>
      </c>
      <c r="C7629" s="223"/>
      <c r="K7629" s="319"/>
      <c r="L7629" s="218"/>
    </row>
    <row r="7630">
      <c r="B7630" s="223" t="s">
        <v>200</v>
      </c>
      <c r="C7630" s="223"/>
      <c r="K7630" s="319"/>
      <c r="L7630" s="218"/>
    </row>
    <row r="7631">
      <c r="B7631" s="223" t="s">
        <v>200</v>
      </c>
      <c r="C7631" s="223"/>
      <c r="K7631" s="319"/>
      <c r="L7631" s="218"/>
    </row>
    <row r="7632">
      <c r="B7632" s="223" t="s">
        <v>200</v>
      </c>
      <c r="C7632" s="223"/>
      <c r="K7632" s="319"/>
      <c r="L7632" s="218"/>
    </row>
    <row r="7633">
      <c r="B7633" s="223" t="s">
        <v>200</v>
      </c>
      <c r="C7633" s="223"/>
      <c r="K7633" s="319"/>
      <c r="L7633" s="218"/>
    </row>
    <row r="7634">
      <c r="B7634" s="223" t="s">
        <v>200</v>
      </c>
      <c r="C7634" s="223"/>
      <c r="K7634" s="319"/>
      <c r="L7634" s="218"/>
    </row>
    <row r="7635">
      <c r="B7635" s="223" t="s">
        <v>200</v>
      </c>
      <c r="C7635" s="223"/>
      <c r="K7635" s="319"/>
      <c r="L7635" s="218"/>
    </row>
    <row r="7636">
      <c r="B7636" s="223" t="s">
        <v>200</v>
      </c>
      <c r="C7636" s="223"/>
      <c r="K7636" s="319"/>
      <c r="L7636" s="218"/>
    </row>
    <row r="7637">
      <c r="B7637" s="223" t="s">
        <v>200</v>
      </c>
      <c r="C7637" s="223"/>
      <c r="K7637" s="319"/>
      <c r="L7637" s="218"/>
    </row>
    <row r="7638">
      <c r="B7638" s="223" t="s">
        <v>200</v>
      </c>
      <c r="C7638" s="223"/>
      <c r="K7638" s="319"/>
      <c r="L7638" s="218"/>
    </row>
    <row r="7639">
      <c r="B7639" s="223" t="s">
        <v>200</v>
      </c>
      <c r="C7639" s="223"/>
      <c r="K7639" s="319"/>
      <c r="L7639" s="218"/>
    </row>
    <row r="7640">
      <c r="B7640" s="223" t="s">
        <v>200</v>
      </c>
      <c r="C7640" s="223"/>
      <c r="K7640" s="319"/>
      <c r="L7640" s="218"/>
    </row>
    <row r="7641">
      <c r="B7641" s="223" t="s">
        <v>200</v>
      </c>
      <c r="C7641" s="223"/>
      <c r="K7641" s="319"/>
      <c r="L7641" s="218"/>
    </row>
    <row r="7642">
      <c r="B7642" s="223" t="s">
        <v>200</v>
      </c>
      <c r="C7642" s="223"/>
      <c r="K7642" s="319"/>
      <c r="L7642" s="218"/>
    </row>
    <row r="7643">
      <c r="B7643" s="223" t="s">
        <v>200</v>
      </c>
      <c r="C7643" s="223"/>
      <c r="K7643" s="319"/>
      <c r="L7643" s="218"/>
    </row>
    <row r="7644">
      <c r="B7644" s="223" t="s">
        <v>200</v>
      </c>
      <c r="C7644" s="223"/>
      <c r="K7644" s="319"/>
      <c r="L7644" s="218"/>
    </row>
    <row r="7645">
      <c r="B7645" s="223" t="s">
        <v>200</v>
      </c>
      <c r="C7645" s="223"/>
      <c r="K7645" s="319"/>
      <c r="L7645" s="218"/>
    </row>
    <row r="7646">
      <c r="B7646" s="223" t="s">
        <v>200</v>
      </c>
      <c r="C7646" s="223"/>
      <c r="K7646" s="319"/>
      <c r="L7646" s="218"/>
    </row>
    <row r="7647">
      <c r="B7647" s="223" t="s">
        <v>200</v>
      </c>
      <c r="C7647" s="223"/>
      <c r="K7647" s="319"/>
      <c r="L7647" s="218"/>
    </row>
    <row r="7648">
      <c r="B7648" s="223" t="s">
        <v>200</v>
      </c>
      <c r="C7648" s="223"/>
      <c r="K7648" s="319"/>
      <c r="L7648" s="218"/>
    </row>
    <row r="7649">
      <c r="B7649" s="223" t="s">
        <v>200</v>
      </c>
      <c r="C7649" s="223"/>
      <c r="K7649" s="319"/>
      <c r="L7649" s="218"/>
    </row>
    <row r="7650">
      <c r="B7650" s="223" t="s">
        <v>200</v>
      </c>
      <c r="C7650" s="223"/>
      <c r="K7650" s="319"/>
      <c r="L7650" s="218"/>
    </row>
    <row r="7651">
      <c r="B7651" s="223" t="s">
        <v>200</v>
      </c>
      <c r="C7651" s="223"/>
      <c r="K7651" s="319"/>
      <c r="L7651" s="218"/>
    </row>
    <row r="7652">
      <c r="B7652" s="223" t="s">
        <v>200</v>
      </c>
      <c r="C7652" s="223"/>
      <c r="K7652" s="319"/>
      <c r="L7652" s="218"/>
    </row>
    <row r="7653">
      <c r="B7653" s="223" t="s">
        <v>200</v>
      </c>
      <c r="C7653" s="223"/>
      <c r="K7653" s="319"/>
      <c r="L7653" s="218"/>
    </row>
    <row r="7654">
      <c r="B7654" s="223" t="s">
        <v>200</v>
      </c>
      <c r="C7654" s="223"/>
      <c r="K7654" s="319"/>
      <c r="L7654" s="218"/>
    </row>
    <row r="7655">
      <c r="B7655" s="223" t="s">
        <v>200</v>
      </c>
      <c r="C7655" s="223"/>
      <c r="K7655" s="319"/>
      <c r="L7655" s="218"/>
    </row>
    <row r="7656">
      <c r="B7656" s="223" t="s">
        <v>200</v>
      </c>
      <c r="C7656" s="223"/>
      <c r="K7656" s="319"/>
      <c r="L7656" s="218"/>
    </row>
    <row r="7657">
      <c r="B7657" s="223" t="s">
        <v>200</v>
      </c>
      <c r="C7657" s="223"/>
      <c r="K7657" s="319"/>
      <c r="L7657" s="218"/>
    </row>
    <row r="7658">
      <c r="B7658" s="223" t="s">
        <v>200</v>
      </c>
      <c r="C7658" s="223"/>
      <c r="K7658" s="319"/>
      <c r="L7658" s="218"/>
    </row>
    <row r="7659">
      <c r="B7659" s="223" t="s">
        <v>200</v>
      </c>
      <c r="C7659" s="223"/>
      <c r="K7659" s="319"/>
      <c r="L7659" s="218"/>
    </row>
    <row r="7660">
      <c r="B7660" s="223" t="s">
        <v>200</v>
      </c>
      <c r="C7660" s="223"/>
      <c r="K7660" s="319"/>
      <c r="L7660" s="218"/>
    </row>
    <row r="7661">
      <c r="B7661" s="223" t="s">
        <v>200</v>
      </c>
      <c r="C7661" s="223"/>
      <c r="K7661" s="319"/>
      <c r="L7661" s="218"/>
    </row>
    <row r="7662">
      <c r="B7662" s="223" t="s">
        <v>200</v>
      </c>
      <c r="C7662" s="223"/>
      <c r="K7662" s="319"/>
      <c r="L7662" s="218"/>
    </row>
    <row r="7663">
      <c r="B7663" s="223" t="s">
        <v>200</v>
      </c>
      <c r="C7663" s="223"/>
      <c r="K7663" s="319"/>
      <c r="L7663" s="218"/>
    </row>
    <row r="7664">
      <c r="B7664" s="223" t="s">
        <v>200</v>
      </c>
      <c r="C7664" s="223"/>
      <c r="K7664" s="319"/>
      <c r="L7664" s="218"/>
    </row>
    <row r="7665">
      <c r="B7665" s="223" t="s">
        <v>200</v>
      </c>
      <c r="C7665" s="223"/>
      <c r="K7665" s="319"/>
      <c r="L7665" s="218"/>
    </row>
    <row r="7666">
      <c r="B7666" s="223" t="s">
        <v>200</v>
      </c>
      <c r="C7666" s="223"/>
      <c r="K7666" s="319"/>
      <c r="L7666" s="218"/>
    </row>
    <row r="7667">
      <c r="B7667" s="223" t="s">
        <v>200</v>
      </c>
      <c r="C7667" s="223"/>
      <c r="K7667" s="319"/>
      <c r="L7667" s="218"/>
    </row>
    <row r="7668">
      <c r="B7668" s="223" t="s">
        <v>200</v>
      </c>
      <c r="C7668" s="223"/>
      <c r="K7668" s="319"/>
      <c r="L7668" s="218"/>
    </row>
    <row r="7669">
      <c r="B7669" s="223" t="s">
        <v>200</v>
      </c>
      <c r="C7669" s="223"/>
      <c r="K7669" s="319"/>
      <c r="L7669" s="218"/>
    </row>
    <row r="7670">
      <c r="B7670" s="223" t="s">
        <v>200</v>
      </c>
      <c r="C7670" s="223"/>
      <c r="K7670" s="319"/>
      <c r="L7670" s="218"/>
    </row>
    <row r="7671">
      <c r="B7671" s="223" t="s">
        <v>200</v>
      </c>
      <c r="C7671" s="223"/>
      <c r="K7671" s="319"/>
      <c r="L7671" s="218"/>
    </row>
    <row r="7672">
      <c r="B7672" s="223" t="s">
        <v>200</v>
      </c>
      <c r="C7672" s="223"/>
      <c r="K7672" s="319"/>
      <c r="L7672" s="218"/>
    </row>
    <row r="7673">
      <c r="B7673" s="223" t="s">
        <v>200</v>
      </c>
      <c r="C7673" s="223"/>
      <c r="K7673" s="319"/>
      <c r="L7673" s="218"/>
    </row>
    <row r="7674">
      <c r="B7674" s="223" t="s">
        <v>200</v>
      </c>
      <c r="C7674" s="223"/>
      <c r="K7674" s="319"/>
      <c r="L7674" s="218"/>
    </row>
    <row r="7675">
      <c r="B7675" s="223" t="s">
        <v>200</v>
      </c>
      <c r="C7675" s="223"/>
      <c r="K7675" s="319"/>
      <c r="L7675" s="218"/>
    </row>
    <row r="7676">
      <c r="B7676" s="223" t="s">
        <v>200</v>
      </c>
      <c r="C7676" s="223"/>
      <c r="K7676" s="319"/>
      <c r="L7676" s="218"/>
    </row>
    <row r="7677">
      <c r="B7677" s="223" t="s">
        <v>200</v>
      </c>
      <c r="C7677" s="223"/>
      <c r="K7677" s="319"/>
      <c r="L7677" s="218"/>
    </row>
    <row r="7678">
      <c r="B7678" s="223" t="s">
        <v>200</v>
      </c>
      <c r="C7678" s="223"/>
      <c r="K7678" s="319"/>
      <c r="L7678" s="218"/>
    </row>
    <row r="7679">
      <c r="B7679" s="223" t="s">
        <v>200</v>
      </c>
      <c r="C7679" s="223"/>
      <c r="K7679" s="319"/>
      <c r="L7679" s="218"/>
    </row>
    <row r="7680">
      <c r="B7680" s="223" t="s">
        <v>200</v>
      </c>
      <c r="C7680" s="223"/>
      <c r="K7680" s="319"/>
      <c r="L7680" s="218"/>
    </row>
    <row r="7681">
      <c r="B7681" s="223" t="s">
        <v>200</v>
      </c>
      <c r="C7681" s="223"/>
      <c r="K7681" s="319"/>
      <c r="L7681" s="218"/>
    </row>
    <row r="7682">
      <c r="B7682" s="223" t="s">
        <v>200</v>
      </c>
      <c r="C7682" s="223"/>
      <c r="K7682" s="319"/>
      <c r="L7682" s="218"/>
    </row>
    <row r="7683">
      <c r="B7683" s="223" t="s">
        <v>200</v>
      </c>
      <c r="C7683" s="223"/>
      <c r="K7683" s="319"/>
      <c r="L7683" s="218"/>
    </row>
    <row r="7684">
      <c r="B7684" s="223" t="s">
        <v>200</v>
      </c>
      <c r="C7684" s="223"/>
      <c r="K7684" s="319"/>
      <c r="L7684" s="218"/>
    </row>
    <row r="7685">
      <c r="B7685" s="223" t="s">
        <v>200</v>
      </c>
      <c r="C7685" s="223"/>
      <c r="K7685" s="319"/>
      <c r="L7685" s="218"/>
    </row>
    <row r="7686">
      <c r="B7686" s="223" t="s">
        <v>200</v>
      </c>
      <c r="C7686" s="223"/>
      <c r="K7686" s="319"/>
      <c r="L7686" s="218"/>
    </row>
    <row r="7687">
      <c r="B7687" s="223" t="s">
        <v>200</v>
      </c>
      <c r="C7687" s="223"/>
      <c r="K7687" s="319"/>
      <c r="L7687" s="218"/>
    </row>
    <row r="7688">
      <c r="B7688" s="223" t="s">
        <v>200</v>
      </c>
      <c r="C7688" s="223"/>
      <c r="K7688" s="319"/>
      <c r="L7688" s="218"/>
    </row>
    <row r="7689">
      <c r="B7689" s="223" t="s">
        <v>200</v>
      </c>
      <c r="C7689" s="223"/>
      <c r="K7689" s="319"/>
      <c r="L7689" s="218"/>
    </row>
    <row r="7690">
      <c r="B7690" s="223" t="s">
        <v>200</v>
      </c>
      <c r="C7690" s="223"/>
      <c r="K7690" s="319"/>
      <c r="L7690" s="218"/>
    </row>
    <row r="7691">
      <c r="B7691" s="223" t="s">
        <v>200</v>
      </c>
      <c r="C7691" s="223"/>
      <c r="K7691" s="319"/>
      <c r="L7691" s="218"/>
    </row>
    <row r="7692">
      <c r="B7692" s="223" t="s">
        <v>200</v>
      </c>
      <c r="C7692" s="223"/>
      <c r="K7692" s="319"/>
      <c r="L7692" s="218"/>
    </row>
    <row r="7693">
      <c r="B7693" s="223" t="s">
        <v>200</v>
      </c>
      <c r="C7693" s="223"/>
      <c r="K7693" s="319"/>
      <c r="L7693" s="218"/>
    </row>
    <row r="7694">
      <c r="B7694" s="223" t="s">
        <v>200</v>
      </c>
      <c r="C7694" s="223"/>
      <c r="K7694" s="319"/>
      <c r="L7694" s="218"/>
    </row>
    <row r="7695">
      <c r="B7695" s="223" t="s">
        <v>200</v>
      </c>
      <c r="C7695" s="223"/>
      <c r="K7695" s="319"/>
      <c r="L7695" s="218"/>
    </row>
    <row r="7696">
      <c r="B7696" s="223" t="s">
        <v>200</v>
      </c>
      <c r="C7696" s="223"/>
      <c r="K7696" s="319"/>
      <c r="L7696" s="218"/>
    </row>
    <row r="7697">
      <c r="B7697" s="223" t="s">
        <v>200</v>
      </c>
      <c r="C7697" s="223"/>
      <c r="K7697" s="319"/>
      <c r="L7697" s="218"/>
    </row>
    <row r="7698">
      <c r="B7698" s="223" t="s">
        <v>200</v>
      </c>
      <c r="C7698" s="223"/>
      <c r="K7698" s="319"/>
      <c r="L7698" s="218"/>
    </row>
    <row r="7699">
      <c r="B7699" s="223" t="s">
        <v>200</v>
      </c>
      <c r="C7699" s="223"/>
      <c r="K7699" s="319"/>
      <c r="L7699" s="218"/>
    </row>
    <row r="7700">
      <c r="B7700" s="223" t="s">
        <v>200</v>
      </c>
      <c r="C7700" s="223"/>
      <c r="K7700" s="319"/>
      <c r="L7700" s="218"/>
    </row>
    <row r="7701">
      <c r="B7701" s="223" t="s">
        <v>200</v>
      </c>
      <c r="C7701" s="223"/>
      <c r="K7701" s="319"/>
      <c r="L7701" s="218"/>
    </row>
    <row r="7702">
      <c r="B7702" s="223" t="s">
        <v>200</v>
      </c>
      <c r="C7702" s="223"/>
      <c r="K7702" s="319"/>
      <c r="L7702" s="218"/>
    </row>
    <row r="7703">
      <c r="B7703" s="223" t="s">
        <v>200</v>
      </c>
      <c r="C7703" s="223"/>
      <c r="K7703" s="319"/>
      <c r="L7703" s="218"/>
    </row>
    <row r="7704">
      <c r="B7704" s="223" t="s">
        <v>200</v>
      </c>
      <c r="C7704" s="223"/>
      <c r="K7704" s="319"/>
      <c r="L7704" s="218"/>
    </row>
    <row r="7705">
      <c r="B7705" s="223" t="s">
        <v>200</v>
      </c>
      <c r="C7705" s="223"/>
      <c r="K7705" s="319"/>
      <c r="L7705" s="218"/>
    </row>
    <row r="7706">
      <c r="B7706" s="223" t="s">
        <v>200</v>
      </c>
      <c r="C7706" s="223"/>
      <c r="K7706" s="319"/>
      <c r="L7706" s="218"/>
    </row>
    <row r="7707">
      <c r="B7707" s="223" t="s">
        <v>200</v>
      </c>
      <c r="C7707" s="223"/>
      <c r="K7707" s="319"/>
      <c r="L7707" s="218"/>
    </row>
    <row r="7708">
      <c r="B7708" s="223" t="s">
        <v>200</v>
      </c>
      <c r="C7708" s="223"/>
      <c r="K7708" s="319"/>
      <c r="L7708" s="218"/>
    </row>
    <row r="7709">
      <c r="B7709" s="223" t="s">
        <v>200</v>
      </c>
      <c r="C7709" s="223"/>
      <c r="K7709" s="319"/>
      <c r="L7709" s="218"/>
    </row>
    <row r="7710">
      <c r="B7710" s="223" t="s">
        <v>200</v>
      </c>
      <c r="C7710" s="223"/>
      <c r="K7710" s="319"/>
      <c r="L7710" s="218"/>
    </row>
    <row r="7711">
      <c r="B7711" s="223" t="s">
        <v>200</v>
      </c>
      <c r="C7711" s="223"/>
      <c r="K7711" s="319"/>
      <c r="L7711" s="218"/>
    </row>
    <row r="7712">
      <c r="B7712" s="223" t="s">
        <v>200</v>
      </c>
      <c r="C7712" s="223"/>
      <c r="K7712" s="319"/>
      <c r="L7712" s="218"/>
    </row>
    <row r="7713">
      <c r="B7713" s="223" t="s">
        <v>200</v>
      </c>
      <c r="C7713" s="223"/>
      <c r="K7713" s="319"/>
      <c r="L7713" s="218"/>
    </row>
    <row r="7714">
      <c r="B7714" s="223" t="s">
        <v>200</v>
      </c>
      <c r="C7714" s="223"/>
      <c r="K7714" s="319"/>
      <c r="L7714" s="218"/>
    </row>
    <row r="7715">
      <c r="B7715" s="223" t="s">
        <v>200</v>
      </c>
      <c r="C7715" s="223"/>
      <c r="K7715" s="319"/>
      <c r="L7715" s="218"/>
    </row>
    <row r="7716">
      <c r="B7716" s="223" t="s">
        <v>200</v>
      </c>
      <c r="C7716" s="223"/>
      <c r="K7716" s="319"/>
      <c r="L7716" s="218"/>
    </row>
    <row r="7717">
      <c r="B7717" s="223" t="s">
        <v>200</v>
      </c>
      <c r="C7717" s="223"/>
      <c r="K7717" s="319"/>
      <c r="L7717" s="218"/>
    </row>
    <row r="7718">
      <c r="B7718" s="223" t="s">
        <v>200</v>
      </c>
      <c r="C7718" s="223"/>
      <c r="K7718" s="319"/>
      <c r="L7718" s="218"/>
    </row>
    <row r="7719">
      <c r="B7719" s="223" t="s">
        <v>200</v>
      </c>
      <c r="C7719" s="223"/>
      <c r="K7719" s="319"/>
      <c r="L7719" s="218"/>
    </row>
    <row r="7720">
      <c r="B7720" s="223" t="s">
        <v>200</v>
      </c>
      <c r="C7720" s="223"/>
      <c r="K7720" s="319"/>
      <c r="L7720" s="218"/>
    </row>
    <row r="7721">
      <c r="B7721" s="223" t="s">
        <v>200</v>
      </c>
      <c r="C7721" s="223"/>
      <c r="K7721" s="319"/>
      <c r="L7721" s="218"/>
    </row>
    <row r="7722">
      <c r="B7722" s="223" t="s">
        <v>200</v>
      </c>
      <c r="C7722" s="223"/>
      <c r="K7722" s="319"/>
      <c r="L7722" s="218"/>
    </row>
    <row r="7723">
      <c r="B7723" s="223" t="s">
        <v>200</v>
      </c>
      <c r="C7723" s="223"/>
      <c r="K7723" s="319"/>
      <c r="L7723" s="218"/>
    </row>
    <row r="7724">
      <c r="B7724" s="223" t="s">
        <v>200</v>
      </c>
      <c r="C7724" s="223"/>
      <c r="K7724" s="319"/>
      <c r="L7724" s="218"/>
    </row>
    <row r="7725">
      <c r="B7725" s="223" t="s">
        <v>200</v>
      </c>
      <c r="C7725" s="223"/>
      <c r="K7725" s="319"/>
      <c r="L7725" s="218"/>
    </row>
    <row r="7726">
      <c r="B7726" s="223" t="s">
        <v>200</v>
      </c>
      <c r="C7726" s="223"/>
      <c r="K7726" s="319"/>
      <c r="L7726" s="218"/>
    </row>
    <row r="7727">
      <c r="B7727" s="223" t="s">
        <v>200</v>
      </c>
      <c r="C7727" s="223"/>
      <c r="K7727" s="319"/>
      <c r="L7727" s="218"/>
    </row>
    <row r="7728">
      <c r="B7728" s="223" t="s">
        <v>200</v>
      </c>
      <c r="C7728" s="223"/>
      <c r="K7728" s="319"/>
      <c r="L7728" s="218"/>
    </row>
    <row r="7729">
      <c r="B7729" s="223" t="s">
        <v>200</v>
      </c>
      <c r="C7729" s="223"/>
      <c r="K7729" s="319"/>
      <c r="L7729" s="218"/>
    </row>
    <row r="7730">
      <c r="B7730" s="223" t="s">
        <v>200</v>
      </c>
      <c r="C7730" s="223"/>
      <c r="K7730" s="319"/>
      <c r="L7730" s="218"/>
    </row>
    <row r="7731">
      <c r="B7731" s="223" t="s">
        <v>200</v>
      </c>
      <c r="C7731" s="223"/>
      <c r="K7731" s="319"/>
      <c r="L7731" s="218"/>
    </row>
    <row r="7732">
      <c r="B7732" s="223" t="s">
        <v>200</v>
      </c>
      <c r="C7732" s="223"/>
      <c r="K7732" s="319"/>
      <c r="L7732" s="218"/>
    </row>
    <row r="7733">
      <c r="B7733" s="223" t="s">
        <v>200</v>
      </c>
      <c r="C7733" s="223"/>
      <c r="K7733" s="319"/>
      <c r="L7733" s="218"/>
    </row>
    <row r="7734">
      <c r="B7734" s="223" t="s">
        <v>200</v>
      </c>
      <c r="C7734" s="223"/>
      <c r="K7734" s="319"/>
      <c r="L7734" s="218"/>
    </row>
    <row r="7735">
      <c r="B7735" s="223" t="s">
        <v>200</v>
      </c>
      <c r="C7735" s="223"/>
      <c r="K7735" s="319"/>
      <c r="L7735" s="218"/>
    </row>
    <row r="7736">
      <c r="B7736" s="223" t="s">
        <v>200</v>
      </c>
      <c r="C7736" s="223"/>
      <c r="K7736" s="319"/>
      <c r="L7736" s="218"/>
    </row>
    <row r="7737">
      <c r="B7737" s="223" t="s">
        <v>200</v>
      </c>
      <c r="C7737" s="223"/>
      <c r="K7737" s="319"/>
      <c r="L7737" s="218"/>
    </row>
    <row r="7738">
      <c r="B7738" s="223" t="s">
        <v>200</v>
      </c>
      <c r="C7738" s="223"/>
      <c r="K7738" s="319"/>
      <c r="L7738" s="218"/>
    </row>
    <row r="7739">
      <c r="B7739" s="223" t="s">
        <v>200</v>
      </c>
      <c r="C7739" s="223"/>
      <c r="K7739" s="319"/>
      <c r="L7739" s="218"/>
    </row>
    <row r="7740">
      <c r="B7740" s="223" t="s">
        <v>200</v>
      </c>
      <c r="C7740" s="223"/>
      <c r="K7740" s="319"/>
      <c r="L7740" s="218"/>
    </row>
    <row r="7741">
      <c r="B7741" s="223" t="s">
        <v>200</v>
      </c>
      <c r="C7741" s="223"/>
      <c r="K7741" s="319"/>
      <c r="L7741" s="218"/>
    </row>
    <row r="7742">
      <c r="B7742" s="223" t="s">
        <v>200</v>
      </c>
      <c r="C7742" s="223"/>
      <c r="K7742" s="319"/>
      <c r="L7742" s="218"/>
    </row>
    <row r="7743">
      <c r="B7743" s="223" t="s">
        <v>200</v>
      </c>
      <c r="C7743" s="223"/>
      <c r="K7743" s="319"/>
      <c r="L7743" s="218"/>
    </row>
    <row r="7744">
      <c r="B7744" s="223" t="s">
        <v>200</v>
      </c>
      <c r="C7744" s="223"/>
      <c r="K7744" s="319"/>
      <c r="L7744" s="218"/>
    </row>
    <row r="7745">
      <c r="B7745" s="223" t="s">
        <v>200</v>
      </c>
      <c r="C7745" s="223"/>
      <c r="K7745" s="319"/>
      <c r="L7745" s="218"/>
    </row>
    <row r="7746">
      <c r="B7746" s="223" t="s">
        <v>200</v>
      </c>
      <c r="C7746" s="223"/>
      <c r="K7746" s="319"/>
      <c r="L7746" s="218"/>
    </row>
    <row r="7747">
      <c r="B7747" s="223" t="s">
        <v>200</v>
      </c>
      <c r="C7747" s="223"/>
      <c r="K7747" s="319"/>
      <c r="L7747" s="218"/>
    </row>
    <row r="7748">
      <c r="B7748" s="223" t="s">
        <v>200</v>
      </c>
      <c r="C7748" s="223"/>
      <c r="K7748" s="319"/>
      <c r="L7748" s="218"/>
    </row>
    <row r="7749">
      <c r="B7749" s="223" t="s">
        <v>200</v>
      </c>
      <c r="C7749" s="223"/>
      <c r="K7749" s="319"/>
      <c r="L7749" s="218"/>
    </row>
    <row r="7750">
      <c r="B7750" s="223" t="s">
        <v>200</v>
      </c>
      <c r="C7750" s="223"/>
      <c r="K7750" s="319"/>
      <c r="L7750" s="218"/>
    </row>
    <row r="7751">
      <c r="B7751" s="223" t="s">
        <v>200</v>
      </c>
      <c r="C7751" s="223"/>
      <c r="K7751" s="319"/>
      <c r="L7751" s="218"/>
    </row>
    <row r="7752">
      <c r="B7752" s="223" t="s">
        <v>200</v>
      </c>
      <c r="C7752" s="223"/>
      <c r="K7752" s="319"/>
      <c r="L7752" s="218"/>
    </row>
    <row r="7753">
      <c r="B7753" s="223" t="s">
        <v>200</v>
      </c>
      <c r="C7753" s="223"/>
      <c r="K7753" s="319"/>
      <c r="L7753" s="218"/>
    </row>
    <row r="7754">
      <c r="B7754" s="223" t="s">
        <v>200</v>
      </c>
      <c r="C7754" s="223"/>
      <c r="K7754" s="319"/>
      <c r="L7754" s="218"/>
    </row>
    <row r="7755">
      <c r="B7755" s="223" t="s">
        <v>200</v>
      </c>
      <c r="C7755" s="223"/>
      <c r="K7755" s="319"/>
      <c r="L7755" s="218"/>
    </row>
    <row r="7756">
      <c r="B7756" s="223" t="s">
        <v>200</v>
      </c>
      <c r="C7756" s="223"/>
      <c r="K7756" s="319"/>
      <c r="L7756" s="218"/>
    </row>
    <row r="7757">
      <c r="B7757" s="223" t="s">
        <v>200</v>
      </c>
      <c r="C7757" s="223"/>
      <c r="K7757" s="319"/>
      <c r="L7757" s="218"/>
    </row>
    <row r="7758">
      <c r="B7758" s="223" t="s">
        <v>200</v>
      </c>
      <c r="C7758" s="223"/>
      <c r="K7758" s="319"/>
      <c r="L7758" s="218"/>
    </row>
    <row r="7759">
      <c r="B7759" s="223" t="s">
        <v>200</v>
      </c>
      <c r="C7759" s="223"/>
      <c r="K7759" s="319"/>
      <c r="L7759" s="218"/>
    </row>
    <row r="7760">
      <c r="B7760" s="223" t="s">
        <v>200</v>
      </c>
      <c r="C7760" s="223"/>
      <c r="K7760" s="319"/>
      <c r="L7760" s="218"/>
    </row>
    <row r="7761">
      <c r="B7761" s="223" t="s">
        <v>200</v>
      </c>
      <c r="C7761" s="223"/>
      <c r="K7761" s="319"/>
      <c r="L7761" s="218"/>
    </row>
    <row r="7762">
      <c r="B7762" s="223" t="s">
        <v>200</v>
      </c>
      <c r="C7762" s="223"/>
      <c r="K7762" s="319"/>
      <c r="L7762" s="218"/>
    </row>
    <row r="7763">
      <c r="B7763" s="223" t="s">
        <v>200</v>
      </c>
      <c r="C7763" s="223"/>
      <c r="K7763" s="319"/>
      <c r="L7763" s="218"/>
    </row>
    <row r="7764">
      <c r="B7764" s="223" t="s">
        <v>200</v>
      </c>
      <c r="C7764" s="223"/>
      <c r="K7764" s="319"/>
      <c r="L7764" s="218"/>
    </row>
    <row r="7765">
      <c r="B7765" s="223" t="s">
        <v>200</v>
      </c>
      <c r="C7765" s="223"/>
      <c r="K7765" s="319"/>
      <c r="L7765" s="218"/>
    </row>
    <row r="7766">
      <c r="B7766" s="223" t="s">
        <v>200</v>
      </c>
      <c r="C7766" s="223"/>
      <c r="K7766" s="319"/>
      <c r="L7766" s="218"/>
    </row>
    <row r="7767">
      <c r="B7767" s="223" t="s">
        <v>200</v>
      </c>
      <c r="C7767" s="223"/>
      <c r="K7767" s="319"/>
      <c r="L7767" s="218"/>
    </row>
    <row r="7768">
      <c r="B7768" s="223" t="s">
        <v>200</v>
      </c>
      <c r="C7768" s="223"/>
      <c r="K7768" s="319"/>
      <c r="L7768" s="218"/>
    </row>
    <row r="7769">
      <c r="B7769" s="223" t="s">
        <v>200</v>
      </c>
      <c r="C7769" s="223"/>
      <c r="K7769" s="319"/>
      <c r="L7769" s="218"/>
    </row>
    <row r="7770">
      <c r="B7770" s="223" t="s">
        <v>200</v>
      </c>
      <c r="C7770" s="223"/>
      <c r="K7770" s="319"/>
      <c r="L7770" s="218"/>
    </row>
    <row r="7771">
      <c r="B7771" s="223" t="s">
        <v>200</v>
      </c>
      <c r="C7771" s="223"/>
      <c r="K7771" s="319"/>
      <c r="L7771" s="218"/>
    </row>
    <row r="7772">
      <c r="B7772" s="223" t="s">
        <v>200</v>
      </c>
      <c r="C7772" s="223"/>
      <c r="K7772" s="319"/>
      <c r="L7772" s="218"/>
    </row>
    <row r="7773">
      <c r="B7773" s="223" t="s">
        <v>200</v>
      </c>
      <c r="C7773" s="223"/>
      <c r="K7773" s="319"/>
      <c r="L7773" s="218"/>
    </row>
    <row r="7774">
      <c r="B7774" s="223" t="s">
        <v>200</v>
      </c>
      <c r="C7774" s="223"/>
      <c r="K7774" s="319"/>
      <c r="L7774" s="218"/>
    </row>
    <row r="7775">
      <c r="B7775" s="223" t="s">
        <v>200</v>
      </c>
      <c r="C7775" s="223"/>
      <c r="K7775" s="319"/>
      <c r="L7775" s="218"/>
    </row>
    <row r="7776">
      <c r="B7776" s="223" t="s">
        <v>200</v>
      </c>
      <c r="C7776" s="223"/>
      <c r="K7776" s="319"/>
      <c r="L7776" s="218"/>
    </row>
    <row r="7777">
      <c r="B7777" s="223" t="s">
        <v>200</v>
      </c>
      <c r="C7777" s="223"/>
      <c r="K7777" s="319"/>
      <c r="L7777" s="218"/>
    </row>
    <row r="7778">
      <c r="B7778" s="223" t="s">
        <v>200</v>
      </c>
      <c r="C7778" s="223"/>
      <c r="K7778" s="319"/>
      <c r="L7778" s="218"/>
    </row>
    <row r="7779">
      <c r="B7779" s="223" t="s">
        <v>200</v>
      </c>
      <c r="C7779" s="223"/>
      <c r="K7779" s="319"/>
      <c r="L7779" s="218"/>
    </row>
    <row r="7780">
      <c r="B7780" s="223" t="s">
        <v>200</v>
      </c>
      <c r="C7780" s="223"/>
      <c r="K7780" s="319"/>
      <c r="L7780" s="218"/>
    </row>
    <row r="7781">
      <c r="B7781" s="223" t="s">
        <v>200</v>
      </c>
      <c r="C7781" s="223"/>
      <c r="K7781" s="319"/>
      <c r="L7781" s="218"/>
    </row>
    <row r="7782">
      <c r="B7782" s="223" t="s">
        <v>200</v>
      </c>
      <c r="C7782" s="223"/>
      <c r="K7782" s="319"/>
      <c r="L7782" s="218"/>
    </row>
    <row r="7783">
      <c r="B7783" s="223" t="s">
        <v>200</v>
      </c>
      <c r="C7783" s="223"/>
      <c r="K7783" s="319"/>
      <c r="L7783" s="218"/>
    </row>
    <row r="7784">
      <c r="B7784" s="223" t="s">
        <v>200</v>
      </c>
      <c r="C7784" s="223"/>
      <c r="K7784" s="319"/>
      <c r="L7784" s="218"/>
    </row>
    <row r="7785">
      <c r="B7785" s="223" t="s">
        <v>200</v>
      </c>
      <c r="C7785" s="223"/>
      <c r="K7785" s="319"/>
      <c r="L7785" s="218"/>
    </row>
    <row r="7786">
      <c r="B7786" s="223" t="s">
        <v>200</v>
      </c>
      <c r="C7786" s="223"/>
      <c r="K7786" s="319"/>
      <c r="L7786" s="218"/>
    </row>
    <row r="7787">
      <c r="B7787" s="223" t="s">
        <v>200</v>
      </c>
      <c r="C7787" s="223"/>
      <c r="K7787" s="319"/>
      <c r="L7787" s="218"/>
    </row>
    <row r="7788">
      <c r="B7788" s="223" t="s">
        <v>200</v>
      </c>
      <c r="C7788" s="223"/>
      <c r="K7788" s="319"/>
      <c r="L7788" s="218"/>
    </row>
    <row r="7789">
      <c r="B7789" s="223" t="s">
        <v>200</v>
      </c>
      <c r="C7789" s="223"/>
      <c r="K7789" s="319"/>
      <c r="L7789" s="218"/>
    </row>
    <row r="7790">
      <c r="B7790" s="223" t="s">
        <v>200</v>
      </c>
      <c r="C7790" s="223"/>
      <c r="K7790" s="319"/>
      <c r="L7790" s="218"/>
    </row>
    <row r="7791">
      <c r="B7791" s="223" t="s">
        <v>200</v>
      </c>
      <c r="C7791" s="223"/>
      <c r="K7791" s="319"/>
      <c r="L7791" s="218"/>
    </row>
    <row r="7792">
      <c r="B7792" s="223" t="s">
        <v>200</v>
      </c>
      <c r="C7792" s="223"/>
      <c r="K7792" s="319"/>
      <c r="L7792" s="218"/>
    </row>
    <row r="7793">
      <c r="B7793" s="223" t="s">
        <v>200</v>
      </c>
      <c r="C7793" s="223"/>
      <c r="K7793" s="319"/>
      <c r="L7793" s="218"/>
    </row>
    <row r="7794">
      <c r="B7794" s="223" t="s">
        <v>200</v>
      </c>
      <c r="C7794" s="223"/>
      <c r="K7794" s="319"/>
      <c r="L7794" s="218"/>
    </row>
    <row r="7795">
      <c r="B7795" s="223" t="s">
        <v>200</v>
      </c>
      <c r="C7795" s="223"/>
      <c r="K7795" s="319"/>
      <c r="L7795" s="218"/>
    </row>
    <row r="7796">
      <c r="B7796" s="223" t="s">
        <v>200</v>
      </c>
      <c r="C7796" s="223"/>
      <c r="K7796" s="319"/>
      <c r="L7796" s="218"/>
    </row>
    <row r="7797">
      <c r="B7797" s="223" t="s">
        <v>200</v>
      </c>
      <c r="C7797" s="223"/>
      <c r="K7797" s="319"/>
      <c r="L7797" s="218"/>
    </row>
    <row r="7798">
      <c r="B7798" s="223" t="s">
        <v>200</v>
      </c>
      <c r="C7798" s="223"/>
      <c r="K7798" s="319"/>
      <c r="L7798" s="218"/>
    </row>
    <row r="7799">
      <c r="B7799" s="223" t="s">
        <v>200</v>
      </c>
      <c r="C7799" s="223"/>
      <c r="K7799" s="319"/>
      <c r="L7799" s="218"/>
    </row>
    <row r="7800">
      <c r="B7800" s="223" t="s">
        <v>200</v>
      </c>
      <c r="C7800" s="223"/>
      <c r="K7800" s="319"/>
      <c r="L7800" s="218"/>
    </row>
    <row r="7801">
      <c r="B7801" s="223" t="s">
        <v>200</v>
      </c>
      <c r="C7801" s="223"/>
      <c r="K7801" s="319"/>
      <c r="L7801" s="218"/>
    </row>
    <row r="7802">
      <c r="B7802" s="223" t="s">
        <v>200</v>
      </c>
      <c r="C7802" s="223"/>
      <c r="K7802" s="319"/>
      <c r="L7802" s="218"/>
    </row>
    <row r="7803">
      <c r="B7803" s="223" t="s">
        <v>200</v>
      </c>
      <c r="C7803" s="223"/>
      <c r="K7803" s="319"/>
      <c r="L7803" s="218"/>
    </row>
    <row r="7804">
      <c r="B7804" s="223" t="s">
        <v>200</v>
      </c>
      <c r="C7804" s="223"/>
      <c r="K7804" s="319"/>
      <c r="L7804" s="218"/>
    </row>
    <row r="7805">
      <c r="B7805" s="223" t="s">
        <v>200</v>
      </c>
      <c r="C7805" s="223"/>
      <c r="K7805" s="319"/>
      <c r="L7805" s="218"/>
    </row>
    <row r="7806">
      <c r="B7806" s="223" t="s">
        <v>200</v>
      </c>
      <c r="C7806" s="223"/>
      <c r="K7806" s="319"/>
      <c r="L7806" s="218"/>
    </row>
    <row r="7807">
      <c r="B7807" s="223" t="s">
        <v>200</v>
      </c>
      <c r="C7807" s="223"/>
      <c r="K7807" s="319"/>
      <c r="L7807" s="218"/>
    </row>
    <row r="7808">
      <c r="B7808" s="223" t="s">
        <v>200</v>
      </c>
      <c r="C7808" s="223"/>
      <c r="K7808" s="319"/>
      <c r="L7808" s="218"/>
    </row>
    <row r="7809">
      <c r="B7809" s="223" t="s">
        <v>200</v>
      </c>
      <c r="C7809" s="223"/>
      <c r="K7809" s="319"/>
      <c r="L7809" s="218"/>
    </row>
    <row r="7810">
      <c r="B7810" s="223" t="s">
        <v>200</v>
      </c>
      <c r="C7810" s="223"/>
      <c r="K7810" s="319"/>
      <c r="L7810" s="218"/>
    </row>
    <row r="7811">
      <c r="B7811" s="223" t="s">
        <v>200</v>
      </c>
      <c r="C7811" s="223"/>
      <c r="K7811" s="319"/>
      <c r="L7811" s="218"/>
    </row>
    <row r="7812">
      <c r="B7812" s="223" t="s">
        <v>200</v>
      </c>
      <c r="C7812" s="223"/>
      <c r="K7812" s="319"/>
      <c r="L7812" s="218"/>
    </row>
    <row r="7813">
      <c r="B7813" s="223" t="s">
        <v>200</v>
      </c>
      <c r="C7813" s="223"/>
      <c r="K7813" s="319"/>
      <c r="L7813" s="218"/>
    </row>
    <row r="7814">
      <c r="B7814" s="223" t="s">
        <v>200</v>
      </c>
      <c r="C7814" s="223"/>
      <c r="K7814" s="319"/>
      <c r="L7814" s="218"/>
    </row>
    <row r="7815">
      <c r="B7815" s="223" t="s">
        <v>200</v>
      </c>
      <c r="C7815" s="223"/>
      <c r="K7815" s="319"/>
      <c r="L7815" s="218"/>
    </row>
    <row r="7816">
      <c r="B7816" s="223" t="s">
        <v>200</v>
      </c>
      <c r="C7816" s="223"/>
      <c r="K7816" s="319"/>
      <c r="L7816" s="218"/>
    </row>
    <row r="7817">
      <c r="B7817" s="223" t="s">
        <v>200</v>
      </c>
      <c r="C7817" s="223"/>
      <c r="K7817" s="319"/>
      <c r="L7817" s="218"/>
    </row>
    <row r="7818">
      <c r="B7818" s="223" t="s">
        <v>200</v>
      </c>
      <c r="C7818" s="223"/>
      <c r="K7818" s="319"/>
      <c r="L7818" s="218"/>
    </row>
    <row r="7819">
      <c r="B7819" s="223" t="s">
        <v>200</v>
      </c>
      <c r="C7819" s="223"/>
      <c r="K7819" s="319"/>
      <c r="L7819" s="218"/>
    </row>
    <row r="7820">
      <c r="B7820" s="223" t="s">
        <v>200</v>
      </c>
      <c r="C7820" s="223"/>
      <c r="K7820" s="319"/>
      <c r="L7820" s="218"/>
    </row>
    <row r="7821">
      <c r="B7821" s="223" t="s">
        <v>200</v>
      </c>
      <c r="C7821" s="223"/>
      <c r="K7821" s="319"/>
      <c r="L7821" s="218"/>
    </row>
    <row r="7822">
      <c r="B7822" s="223" t="s">
        <v>200</v>
      </c>
      <c r="C7822" s="223"/>
      <c r="K7822" s="319"/>
      <c r="L7822" s="218"/>
    </row>
    <row r="7823">
      <c r="B7823" s="223" t="s">
        <v>200</v>
      </c>
      <c r="C7823" s="223"/>
      <c r="K7823" s="319"/>
      <c r="L7823" s="218"/>
    </row>
    <row r="7824">
      <c r="B7824" s="223" t="s">
        <v>200</v>
      </c>
      <c r="C7824" s="223"/>
      <c r="K7824" s="319"/>
      <c r="L7824" s="218"/>
    </row>
    <row r="7825">
      <c r="B7825" s="223" t="s">
        <v>200</v>
      </c>
      <c r="C7825" s="223"/>
      <c r="K7825" s="319"/>
      <c r="L7825" s="218"/>
    </row>
    <row r="7826">
      <c r="B7826" s="223" t="s">
        <v>200</v>
      </c>
      <c r="C7826" s="223"/>
      <c r="K7826" s="319"/>
      <c r="L7826" s="218"/>
    </row>
    <row r="7827">
      <c r="B7827" s="223" t="s">
        <v>200</v>
      </c>
      <c r="C7827" s="223"/>
      <c r="K7827" s="319"/>
      <c r="L7827" s="218"/>
    </row>
    <row r="7828">
      <c r="B7828" s="223" t="s">
        <v>200</v>
      </c>
      <c r="C7828" s="223"/>
      <c r="K7828" s="319"/>
      <c r="L7828" s="218"/>
    </row>
    <row r="7829">
      <c r="B7829" s="223" t="s">
        <v>200</v>
      </c>
      <c r="C7829" s="223"/>
      <c r="K7829" s="319"/>
      <c r="L7829" s="218"/>
    </row>
    <row r="7830">
      <c r="B7830" s="223" t="s">
        <v>200</v>
      </c>
      <c r="C7830" s="223"/>
      <c r="K7830" s="319"/>
      <c r="L7830" s="218"/>
    </row>
    <row r="7831">
      <c r="B7831" s="223" t="s">
        <v>200</v>
      </c>
      <c r="C7831" s="223"/>
      <c r="K7831" s="319"/>
      <c r="L7831" s="218"/>
    </row>
    <row r="7832">
      <c r="B7832" s="223" t="s">
        <v>200</v>
      </c>
      <c r="C7832" s="223"/>
      <c r="K7832" s="319"/>
      <c r="L7832" s="218"/>
    </row>
    <row r="7833">
      <c r="B7833" s="223" t="s">
        <v>200</v>
      </c>
      <c r="C7833" s="223"/>
      <c r="K7833" s="319"/>
      <c r="L7833" s="218"/>
    </row>
    <row r="7834">
      <c r="B7834" s="223" t="s">
        <v>200</v>
      </c>
      <c r="C7834" s="223"/>
      <c r="K7834" s="319"/>
      <c r="L7834" s="218"/>
    </row>
    <row r="7835">
      <c r="B7835" s="223" t="s">
        <v>200</v>
      </c>
      <c r="C7835" s="223"/>
      <c r="K7835" s="319"/>
      <c r="L7835" s="218"/>
    </row>
    <row r="7836">
      <c r="B7836" s="223" t="s">
        <v>200</v>
      </c>
      <c r="C7836" s="223"/>
      <c r="K7836" s="319"/>
      <c r="L7836" s="218"/>
    </row>
    <row r="7837">
      <c r="B7837" s="223" t="s">
        <v>200</v>
      </c>
      <c r="C7837" s="223"/>
      <c r="K7837" s="319"/>
      <c r="L7837" s="218"/>
    </row>
    <row r="7838">
      <c r="B7838" s="223" t="s">
        <v>200</v>
      </c>
      <c r="C7838" s="223"/>
      <c r="K7838" s="319"/>
      <c r="L7838" s="218"/>
    </row>
    <row r="7839">
      <c r="B7839" s="223" t="s">
        <v>200</v>
      </c>
      <c r="C7839" s="223"/>
      <c r="K7839" s="319"/>
      <c r="L7839" s="218"/>
    </row>
    <row r="7840">
      <c r="B7840" s="223" t="s">
        <v>200</v>
      </c>
      <c r="C7840" s="223"/>
      <c r="K7840" s="319"/>
      <c r="L7840" s="218"/>
    </row>
    <row r="7841">
      <c r="B7841" s="223" t="s">
        <v>200</v>
      </c>
      <c r="C7841" s="223"/>
      <c r="K7841" s="319"/>
      <c r="L7841" s="218"/>
    </row>
    <row r="7842">
      <c r="B7842" s="223" t="s">
        <v>200</v>
      </c>
      <c r="C7842" s="223"/>
      <c r="K7842" s="319"/>
      <c r="L7842" s="218"/>
    </row>
    <row r="7843">
      <c r="B7843" s="223" t="s">
        <v>200</v>
      </c>
      <c r="C7843" s="223"/>
      <c r="K7843" s="319"/>
      <c r="L7843" s="218"/>
    </row>
    <row r="7844">
      <c r="B7844" s="223" t="s">
        <v>200</v>
      </c>
      <c r="C7844" s="223"/>
      <c r="K7844" s="319"/>
      <c r="L7844" s="218"/>
    </row>
    <row r="7845">
      <c r="B7845" s="223" t="s">
        <v>200</v>
      </c>
      <c r="C7845" s="223"/>
      <c r="K7845" s="319"/>
      <c r="L7845" s="218"/>
    </row>
    <row r="7846">
      <c r="B7846" s="223" t="s">
        <v>200</v>
      </c>
      <c r="C7846" s="223"/>
      <c r="K7846" s="319"/>
      <c r="L7846" s="218"/>
    </row>
    <row r="7847">
      <c r="B7847" s="223" t="s">
        <v>200</v>
      </c>
      <c r="C7847" s="223"/>
      <c r="K7847" s="319"/>
      <c r="L7847" s="218"/>
    </row>
    <row r="7848">
      <c r="B7848" s="223" t="s">
        <v>200</v>
      </c>
      <c r="C7848" s="223"/>
      <c r="K7848" s="319"/>
      <c r="L7848" s="218"/>
    </row>
    <row r="7849">
      <c r="B7849" s="223" t="s">
        <v>200</v>
      </c>
      <c r="C7849" s="223"/>
      <c r="K7849" s="319"/>
      <c r="L7849" s="218"/>
    </row>
    <row r="7850">
      <c r="B7850" s="223" t="s">
        <v>200</v>
      </c>
      <c r="C7850" s="223"/>
      <c r="K7850" s="319"/>
      <c r="L7850" s="218"/>
    </row>
    <row r="7851">
      <c r="B7851" s="223" t="s">
        <v>200</v>
      </c>
      <c r="C7851" s="223"/>
      <c r="K7851" s="319"/>
      <c r="L7851" s="218"/>
    </row>
    <row r="7852">
      <c r="B7852" s="223" t="s">
        <v>200</v>
      </c>
      <c r="C7852" s="223"/>
      <c r="K7852" s="319"/>
      <c r="L7852" s="218"/>
    </row>
    <row r="7853">
      <c r="B7853" s="223" t="s">
        <v>200</v>
      </c>
      <c r="C7853" s="223"/>
      <c r="K7853" s="319"/>
      <c r="L7853" s="218"/>
    </row>
    <row r="7854">
      <c r="B7854" s="223" t="s">
        <v>200</v>
      </c>
      <c r="C7854" s="223"/>
      <c r="K7854" s="319"/>
      <c r="L7854" s="218"/>
    </row>
    <row r="7855">
      <c r="B7855" s="223" t="s">
        <v>200</v>
      </c>
      <c r="C7855" s="223"/>
      <c r="K7855" s="319"/>
      <c r="L7855" s="218"/>
    </row>
    <row r="7856">
      <c r="B7856" s="223" t="s">
        <v>200</v>
      </c>
      <c r="C7856" s="223"/>
      <c r="K7856" s="319"/>
      <c r="L7856" s="218"/>
    </row>
    <row r="7857">
      <c r="B7857" s="223" t="s">
        <v>200</v>
      </c>
      <c r="C7857" s="223"/>
      <c r="K7857" s="319"/>
      <c r="L7857" s="218"/>
    </row>
    <row r="7858">
      <c r="B7858" s="223" t="s">
        <v>200</v>
      </c>
      <c r="C7858" s="223"/>
      <c r="K7858" s="319"/>
      <c r="L7858" s="218"/>
    </row>
    <row r="7859">
      <c r="B7859" s="223" t="s">
        <v>200</v>
      </c>
      <c r="C7859" s="223"/>
      <c r="K7859" s="319"/>
      <c r="L7859" s="218"/>
    </row>
    <row r="7860">
      <c r="B7860" s="223" t="s">
        <v>200</v>
      </c>
      <c r="C7860" s="223"/>
      <c r="K7860" s="319"/>
      <c r="L7860" s="218"/>
    </row>
    <row r="7861">
      <c r="B7861" s="223" t="s">
        <v>200</v>
      </c>
      <c r="C7861" s="223"/>
      <c r="K7861" s="319"/>
      <c r="L7861" s="218"/>
    </row>
    <row r="7862">
      <c r="B7862" s="223" t="s">
        <v>200</v>
      </c>
      <c r="C7862" s="223"/>
      <c r="K7862" s="319"/>
      <c r="L7862" s="218"/>
    </row>
    <row r="7863">
      <c r="B7863" s="223" t="s">
        <v>200</v>
      </c>
      <c r="C7863" s="223"/>
      <c r="K7863" s="319"/>
      <c r="L7863" s="218"/>
    </row>
    <row r="7864">
      <c r="B7864" s="223" t="s">
        <v>200</v>
      </c>
      <c r="C7864" s="223"/>
      <c r="K7864" s="319"/>
      <c r="L7864" s="218"/>
    </row>
    <row r="7865">
      <c r="B7865" s="223" t="s">
        <v>200</v>
      </c>
      <c r="C7865" s="223"/>
      <c r="K7865" s="319"/>
      <c r="L7865" s="218"/>
    </row>
    <row r="7866">
      <c r="B7866" s="223" t="s">
        <v>200</v>
      </c>
      <c r="C7866" s="223"/>
      <c r="K7866" s="319"/>
      <c r="L7866" s="218"/>
    </row>
    <row r="7867">
      <c r="B7867" s="223" t="s">
        <v>200</v>
      </c>
      <c r="C7867" s="223"/>
      <c r="K7867" s="319"/>
      <c r="L7867" s="218"/>
    </row>
    <row r="7868">
      <c r="B7868" s="223" t="s">
        <v>200</v>
      </c>
      <c r="C7868" s="223"/>
      <c r="K7868" s="319"/>
      <c r="L7868" s="218"/>
    </row>
    <row r="7869">
      <c r="B7869" s="223" t="s">
        <v>200</v>
      </c>
      <c r="C7869" s="223"/>
      <c r="K7869" s="319"/>
      <c r="L7869" s="218"/>
    </row>
    <row r="7870">
      <c r="B7870" s="223" t="s">
        <v>200</v>
      </c>
      <c r="C7870" s="223"/>
      <c r="K7870" s="319"/>
      <c r="L7870" s="218"/>
    </row>
    <row r="7871">
      <c r="B7871" s="223" t="s">
        <v>200</v>
      </c>
      <c r="C7871" s="223"/>
      <c r="K7871" s="319"/>
      <c r="L7871" s="218"/>
    </row>
    <row r="7872">
      <c r="B7872" s="223" t="s">
        <v>200</v>
      </c>
      <c r="C7872" s="223"/>
      <c r="K7872" s="319"/>
      <c r="L7872" s="218"/>
    </row>
    <row r="7873">
      <c r="B7873" s="223" t="s">
        <v>200</v>
      </c>
      <c r="C7873" s="223"/>
      <c r="K7873" s="319"/>
      <c r="L7873" s="218"/>
    </row>
    <row r="7874">
      <c r="B7874" s="223" t="s">
        <v>200</v>
      </c>
      <c r="C7874" s="223"/>
      <c r="K7874" s="319"/>
      <c r="L7874" s="218"/>
    </row>
    <row r="7875">
      <c r="B7875" s="223" t="s">
        <v>200</v>
      </c>
      <c r="C7875" s="223"/>
      <c r="K7875" s="319"/>
      <c r="L7875" s="218"/>
    </row>
    <row r="7876">
      <c r="B7876" s="223" t="s">
        <v>200</v>
      </c>
      <c r="C7876" s="223"/>
      <c r="K7876" s="319"/>
      <c r="L7876" s="218"/>
    </row>
    <row r="7877">
      <c r="B7877" s="223" t="s">
        <v>200</v>
      </c>
      <c r="C7877" s="223"/>
      <c r="K7877" s="319"/>
      <c r="L7877" s="218"/>
    </row>
    <row r="7878">
      <c r="B7878" s="223" t="s">
        <v>200</v>
      </c>
      <c r="C7878" s="223"/>
      <c r="K7878" s="319"/>
      <c r="L7878" s="218"/>
    </row>
    <row r="7879">
      <c r="B7879" s="223" t="s">
        <v>200</v>
      </c>
      <c r="C7879" s="223"/>
      <c r="K7879" s="319"/>
      <c r="L7879" s="218"/>
    </row>
    <row r="7880">
      <c r="B7880" s="223" t="s">
        <v>200</v>
      </c>
      <c r="C7880" s="223"/>
      <c r="K7880" s="319"/>
      <c r="L7880" s="218"/>
    </row>
    <row r="7881">
      <c r="B7881" s="223" t="s">
        <v>200</v>
      </c>
      <c r="C7881" s="223"/>
      <c r="K7881" s="319"/>
      <c r="L7881" s="218"/>
    </row>
    <row r="7882">
      <c r="B7882" s="223" t="s">
        <v>200</v>
      </c>
      <c r="C7882" s="223"/>
      <c r="K7882" s="319"/>
      <c r="L7882" s="218"/>
    </row>
    <row r="7883">
      <c r="B7883" s="223" t="s">
        <v>200</v>
      </c>
      <c r="C7883" s="223"/>
      <c r="K7883" s="319"/>
      <c r="L7883" s="218"/>
    </row>
    <row r="7884">
      <c r="B7884" s="223" t="s">
        <v>200</v>
      </c>
      <c r="C7884" s="223"/>
      <c r="K7884" s="319"/>
      <c r="L7884" s="218"/>
    </row>
    <row r="7885">
      <c r="B7885" s="223" t="s">
        <v>200</v>
      </c>
      <c r="C7885" s="223"/>
      <c r="K7885" s="319"/>
      <c r="L7885" s="218"/>
    </row>
    <row r="7886">
      <c r="B7886" s="223" t="s">
        <v>200</v>
      </c>
      <c r="C7886" s="223"/>
      <c r="K7886" s="319"/>
      <c r="L7886" s="218"/>
    </row>
    <row r="7887">
      <c r="B7887" s="223" t="s">
        <v>200</v>
      </c>
      <c r="C7887" s="223"/>
      <c r="K7887" s="319"/>
      <c r="L7887" s="218"/>
    </row>
    <row r="7888">
      <c r="B7888" s="223" t="s">
        <v>200</v>
      </c>
      <c r="C7888" s="223"/>
      <c r="K7888" s="319"/>
      <c r="L7888" s="218"/>
    </row>
    <row r="7889">
      <c r="B7889" s="223" t="s">
        <v>200</v>
      </c>
      <c r="C7889" s="223"/>
      <c r="K7889" s="319"/>
      <c r="L7889" s="218"/>
    </row>
    <row r="7890">
      <c r="B7890" s="223" t="s">
        <v>200</v>
      </c>
      <c r="C7890" s="223"/>
      <c r="K7890" s="319"/>
      <c r="L7890" s="218"/>
    </row>
    <row r="7891">
      <c r="B7891" s="223" t="s">
        <v>200</v>
      </c>
      <c r="C7891" s="223"/>
      <c r="K7891" s="319"/>
      <c r="L7891" s="218"/>
    </row>
    <row r="7892">
      <c r="B7892" s="223" t="s">
        <v>200</v>
      </c>
      <c r="C7892" s="223"/>
      <c r="K7892" s="319"/>
      <c r="L7892" s="218"/>
    </row>
    <row r="7893">
      <c r="B7893" s="223" t="s">
        <v>200</v>
      </c>
      <c r="C7893" s="223"/>
      <c r="K7893" s="319"/>
      <c r="L7893" s="218"/>
    </row>
    <row r="7894">
      <c r="B7894" s="223" t="s">
        <v>200</v>
      </c>
      <c r="C7894" s="223"/>
      <c r="K7894" s="319"/>
      <c r="L7894" s="218"/>
    </row>
    <row r="7895">
      <c r="B7895" s="223" t="s">
        <v>200</v>
      </c>
      <c r="C7895" s="223"/>
      <c r="K7895" s="319"/>
      <c r="L7895" s="218"/>
    </row>
    <row r="7896">
      <c r="B7896" s="223" t="s">
        <v>200</v>
      </c>
      <c r="C7896" s="223"/>
      <c r="K7896" s="319"/>
      <c r="L7896" s="218"/>
    </row>
    <row r="7897">
      <c r="B7897" s="223" t="s">
        <v>200</v>
      </c>
      <c r="C7897" s="223"/>
      <c r="K7897" s="319"/>
      <c r="L7897" s="218"/>
    </row>
    <row r="7898">
      <c r="B7898" s="223" t="s">
        <v>200</v>
      </c>
      <c r="C7898" s="223"/>
      <c r="K7898" s="319"/>
      <c r="L7898" s="218"/>
    </row>
    <row r="7899">
      <c r="B7899" s="223" t="s">
        <v>200</v>
      </c>
      <c r="C7899" s="223"/>
      <c r="K7899" s="319"/>
      <c r="L7899" s="218"/>
    </row>
    <row r="7900">
      <c r="B7900" s="223" t="s">
        <v>200</v>
      </c>
      <c r="C7900" s="223"/>
      <c r="K7900" s="319"/>
      <c r="L7900" s="218"/>
    </row>
    <row r="7901">
      <c r="B7901" s="223" t="s">
        <v>200</v>
      </c>
      <c r="C7901" s="223"/>
      <c r="K7901" s="319"/>
      <c r="L7901" s="218"/>
    </row>
    <row r="7902">
      <c r="B7902" s="223" t="s">
        <v>200</v>
      </c>
      <c r="C7902" s="223"/>
      <c r="K7902" s="319"/>
      <c r="L7902" s="218"/>
    </row>
    <row r="7903">
      <c r="B7903" s="223" t="s">
        <v>200</v>
      </c>
      <c r="C7903" s="223"/>
      <c r="K7903" s="319"/>
      <c r="L7903" s="218"/>
    </row>
    <row r="7904">
      <c r="B7904" s="223" t="s">
        <v>200</v>
      </c>
      <c r="C7904" s="223"/>
      <c r="K7904" s="319"/>
      <c r="L7904" s="218"/>
    </row>
    <row r="7905">
      <c r="B7905" s="223" t="s">
        <v>200</v>
      </c>
      <c r="C7905" s="223"/>
      <c r="K7905" s="319"/>
      <c r="L7905" s="218"/>
    </row>
    <row r="7906">
      <c r="B7906" s="223" t="s">
        <v>200</v>
      </c>
      <c r="C7906" s="223"/>
      <c r="K7906" s="319"/>
      <c r="L7906" s="218"/>
    </row>
    <row r="7907">
      <c r="B7907" s="223" t="s">
        <v>200</v>
      </c>
      <c r="C7907" s="223"/>
      <c r="K7907" s="319"/>
      <c r="L7907" s="218"/>
    </row>
    <row r="7908">
      <c r="B7908" s="223" t="s">
        <v>200</v>
      </c>
      <c r="C7908" s="223"/>
      <c r="K7908" s="319"/>
      <c r="L7908" s="218"/>
    </row>
    <row r="7909">
      <c r="B7909" s="223" t="s">
        <v>200</v>
      </c>
      <c r="C7909" s="223"/>
      <c r="K7909" s="319"/>
      <c r="L7909" s="218"/>
    </row>
    <row r="7910">
      <c r="B7910" s="223" t="s">
        <v>200</v>
      </c>
      <c r="C7910" s="223"/>
      <c r="K7910" s="319"/>
      <c r="L7910" s="218"/>
    </row>
    <row r="7911">
      <c r="B7911" s="223" t="s">
        <v>200</v>
      </c>
      <c r="C7911" s="223"/>
      <c r="K7911" s="319"/>
      <c r="L7911" s="218"/>
    </row>
    <row r="7912">
      <c r="B7912" s="223" t="s">
        <v>200</v>
      </c>
      <c r="C7912" s="223"/>
      <c r="K7912" s="319"/>
      <c r="L7912" s="218"/>
    </row>
    <row r="7913">
      <c r="B7913" s="223" t="s">
        <v>200</v>
      </c>
      <c r="C7913" s="223"/>
      <c r="K7913" s="319"/>
      <c r="L7913" s="218"/>
    </row>
    <row r="7914">
      <c r="B7914" s="223" t="s">
        <v>200</v>
      </c>
      <c r="C7914" s="223"/>
      <c r="K7914" s="319"/>
      <c r="L7914" s="218"/>
    </row>
    <row r="7915">
      <c r="B7915" s="223" t="s">
        <v>200</v>
      </c>
      <c r="C7915" s="223"/>
      <c r="K7915" s="319"/>
      <c r="L7915" s="218"/>
    </row>
    <row r="7916">
      <c r="B7916" s="223" t="s">
        <v>200</v>
      </c>
      <c r="C7916" s="223"/>
      <c r="K7916" s="319"/>
      <c r="L7916" s="218"/>
    </row>
    <row r="7917">
      <c r="B7917" s="223" t="s">
        <v>200</v>
      </c>
      <c r="C7917" s="223"/>
      <c r="K7917" s="319"/>
      <c r="L7917" s="218"/>
    </row>
    <row r="7918">
      <c r="B7918" s="223" t="s">
        <v>200</v>
      </c>
      <c r="C7918" s="223"/>
      <c r="K7918" s="319"/>
      <c r="L7918" s="218"/>
    </row>
    <row r="7919">
      <c r="B7919" s="223" t="s">
        <v>200</v>
      </c>
      <c r="C7919" s="223"/>
      <c r="K7919" s="319"/>
      <c r="L7919" s="218"/>
    </row>
    <row r="7920">
      <c r="B7920" s="223" t="s">
        <v>200</v>
      </c>
      <c r="C7920" s="223"/>
      <c r="K7920" s="319"/>
      <c r="L7920" s="218"/>
    </row>
    <row r="7921">
      <c r="B7921" s="223" t="s">
        <v>200</v>
      </c>
      <c r="C7921" s="223"/>
      <c r="K7921" s="319"/>
      <c r="L7921" s="218"/>
    </row>
    <row r="7922">
      <c r="B7922" s="223" t="s">
        <v>200</v>
      </c>
      <c r="C7922" s="223"/>
      <c r="K7922" s="319"/>
      <c r="L7922" s="218"/>
    </row>
    <row r="7923">
      <c r="B7923" s="223" t="s">
        <v>200</v>
      </c>
      <c r="C7923" s="223"/>
      <c r="K7923" s="319"/>
      <c r="L7923" s="218"/>
    </row>
    <row r="7924">
      <c r="B7924" s="223" t="s">
        <v>200</v>
      </c>
      <c r="C7924" s="223"/>
      <c r="K7924" s="319"/>
      <c r="L7924" s="218"/>
    </row>
    <row r="7925">
      <c r="B7925" s="223" t="s">
        <v>200</v>
      </c>
      <c r="C7925" s="223"/>
      <c r="K7925" s="319"/>
      <c r="L7925" s="218"/>
    </row>
    <row r="7926">
      <c r="B7926" s="223" t="s">
        <v>200</v>
      </c>
      <c r="C7926" s="223"/>
      <c r="K7926" s="319"/>
      <c r="L7926" s="218"/>
    </row>
    <row r="7927">
      <c r="B7927" s="223" t="s">
        <v>200</v>
      </c>
      <c r="C7927" s="223"/>
      <c r="K7927" s="319"/>
      <c r="L7927" s="218"/>
    </row>
    <row r="7928">
      <c r="B7928" s="223" t="s">
        <v>200</v>
      </c>
      <c r="C7928" s="223"/>
      <c r="K7928" s="319"/>
      <c r="L7928" s="218"/>
    </row>
    <row r="7929">
      <c r="B7929" s="223" t="s">
        <v>200</v>
      </c>
      <c r="C7929" s="223"/>
      <c r="K7929" s="319"/>
      <c r="L7929" s="218"/>
    </row>
    <row r="7930">
      <c r="B7930" s="223" t="s">
        <v>200</v>
      </c>
      <c r="C7930" s="223"/>
      <c r="K7930" s="319"/>
      <c r="L7930" s="218"/>
    </row>
    <row r="7931">
      <c r="B7931" s="223" t="s">
        <v>200</v>
      </c>
      <c r="C7931" s="223"/>
      <c r="K7931" s="319"/>
      <c r="L7931" s="218"/>
    </row>
    <row r="7932">
      <c r="B7932" s="223" t="s">
        <v>200</v>
      </c>
      <c r="C7932" s="223"/>
      <c r="K7932" s="319"/>
      <c r="L7932" s="218"/>
    </row>
    <row r="7933">
      <c r="B7933" s="223" t="s">
        <v>200</v>
      </c>
      <c r="C7933" s="223"/>
      <c r="K7933" s="319"/>
      <c r="L7933" s="218"/>
    </row>
    <row r="7934">
      <c r="B7934" s="223" t="s">
        <v>200</v>
      </c>
      <c r="C7934" s="223"/>
      <c r="K7934" s="319"/>
      <c r="L7934" s="218"/>
    </row>
    <row r="7935">
      <c r="B7935" s="223" t="s">
        <v>200</v>
      </c>
      <c r="C7935" s="223"/>
      <c r="K7935" s="319"/>
      <c r="L7935" s="218"/>
    </row>
    <row r="7936">
      <c r="B7936" s="223" t="s">
        <v>200</v>
      </c>
      <c r="C7936" s="223"/>
      <c r="K7936" s="319"/>
      <c r="L7936" s="218"/>
    </row>
    <row r="7937">
      <c r="B7937" s="223" t="s">
        <v>200</v>
      </c>
      <c r="C7937" s="223"/>
      <c r="K7937" s="319"/>
      <c r="L7937" s="218"/>
    </row>
    <row r="7938">
      <c r="B7938" s="223" t="s">
        <v>200</v>
      </c>
      <c r="C7938" s="223"/>
      <c r="K7938" s="319"/>
      <c r="L7938" s="218"/>
    </row>
    <row r="7939">
      <c r="B7939" s="223" t="s">
        <v>200</v>
      </c>
      <c r="C7939" s="223"/>
      <c r="K7939" s="319"/>
      <c r="L7939" s="218"/>
    </row>
    <row r="7940">
      <c r="B7940" s="223" t="s">
        <v>200</v>
      </c>
      <c r="C7940" s="223"/>
      <c r="K7940" s="319"/>
      <c r="L7940" s="218"/>
    </row>
    <row r="7941">
      <c r="B7941" s="223" t="s">
        <v>200</v>
      </c>
      <c r="C7941" s="223"/>
      <c r="K7941" s="319"/>
      <c r="L7941" s="218"/>
    </row>
    <row r="7942">
      <c r="B7942" s="223" t="s">
        <v>200</v>
      </c>
      <c r="C7942" s="223"/>
      <c r="K7942" s="319"/>
      <c r="L7942" s="218"/>
    </row>
    <row r="7943">
      <c r="B7943" s="223" t="s">
        <v>200</v>
      </c>
      <c r="C7943" s="223"/>
      <c r="K7943" s="319"/>
      <c r="L7943" s="218"/>
    </row>
    <row r="7944">
      <c r="B7944" s="223" t="s">
        <v>200</v>
      </c>
      <c r="C7944" s="223"/>
      <c r="K7944" s="319"/>
      <c r="L7944" s="218"/>
    </row>
    <row r="7945">
      <c r="B7945" s="223" t="s">
        <v>200</v>
      </c>
      <c r="C7945" s="223"/>
      <c r="K7945" s="319"/>
      <c r="L7945" s="218"/>
    </row>
    <row r="7946">
      <c r="B7946" s="223" t="s">
        <v>200</v>
      </c>
      <c r="C7946" s="223"/>
      <c r="K7946" s="319"/>
      <c r="L7946" s="218"/>
    </row>
    <row r="7947">
      <c r="B7947" s="223" t="s">
        <v>200</v>
      </c>
      <c r="C7947" s="223"/>
      <c r="K7947" s="319"/>
      <c r="L7947" s="218"/>
    </row>
    <row r="7948">
      <c r="B7948" s="223" t="s">
        <v>200</v>
      </c>
      <c r="C7948" s="223"/>
      <c r="K7948" s="319"/>
      <c r="L7948" s="218"/>
    </row>
    <row r="7949">
      <c r="B7949" s="223" t="s">
        <v>200</v>
      </c>
      <c r="C7949" s="223"/>
      <c r="K7949" s="319"/>
      <c r="L7949" s="218"/>
    </row>
    <row r="7950">
      <c r="B7950" s="223" t="s">
        <v>200</v>
      </c>
      <c r="C7950" s="223"/>
      <c r="K7950" s="319"/>
      <c r="L7950" s="218"/>
    </row>
    <row r="7951">
      <c r="B7951" s="223" t="s">
        <v>200</v>
      </c>
      <c r="C7951" s="223"/>
      <c r="K7951" s="319"/>
      <c r="L7951" s="218"/>
    </row>
    <row r="7952">
      <c r="B7952" s="223" t="s">
        <v>200</v>
      </c>
      <c r="C7952" s="223"/>
      <c r="K7952" s="319"/>
      <c r="L7952" s="218"/>
    </row>
    <row r="7953">
      <c r="B7953" s="223" t="s">
        <v>200</v>
      </c>
      <c r="C7953" s="223"/>
      <c r="K7953" s="319"/>
      <c r="L7953" s="218"/>
    </row>
    <row r="7954">
      <c r="B7954" s="223" t="s">
        <v>200</v>
      </c>
      <c r="C7954" s="223"/>
      <c r="K7954" s="319"/>
      <c r="L7954" s="218"/>
    </row>
    <row r="7955">
      <c r="B7955" s="223" t="s">
        <v>200</v>
      </c>
      <c r="C7955" s="223"/>
      <c r="K7955" s="319"/>
      <c r="L7955" s="218"/>
    </row>
    <row r="7956">
      <c r="B7956" s="223" t="s">
        <v>200</v>
      </c>
      <c r="C7956" s="223"/>
      <c r="K7956" s="319"/>
      <c r="L7956" s="218"/>
    </row>
    <row r="7957">
      <c r="B7957" s="223" t="s">
        <v>200</v>
      </c>
      <c r="C7957" s="223"/>
      <c r="K7957" s="319"/>
      <c r="L7957" s="218"/>
    </row>
    <row r="7958">
      <c r="B7958" s="223" t="s">
        <v>200</v>
      </c>
      <c r="C7958" s="223"/>
      <c r="K7958" s="319"/>
      <c r="L7958" s="218"/>
    </row>
    <row r="7959">
      <c r="B7959" s="223" t="s">
        <v>200</v>
      </c>
      <c r="C7959" s="223"/>
      <c r="K7959" s="319"/>
      <c r="L7959" s="218"/>
    </row>
    <row r="7960">
      <c r="B7960" s="223" t="s">
        <v>200</v>
      </c>
      <c r="C7960" s="223"/>
      <c r="K7960" s="319"/>
      <c r="L7960" s="218"/>
    </row>
    <row r="7961">
      <c r="B7961" s="223" t="s">
        <v>200</v>
      </c>
      <c r="C7961" s="223"/>
      <c r="K7961" s="319"/>
      <c r="L7961" s="218"/>
    </row>
    <row r="7962">
      <c r="B7962" s="223" t="s">
        <v>200</v>
      </c>
      <c r="C7962" s="223"/>
      <c r="K7962" s="319"/>
      <c r="L7962" s="218"/>
    </row>
    <row r="7963">
      <c r="B7963" s="223" t="s">
        <v>200</v>
      </c>
      <c r="C7963" s="223"/>
      <c r="K7963" s="319"/>
      <c r="L7963" s="218"/>
    </row>
    <row r="7964">
      <c r="B7964" s="223" t="s">
        <v>200</v>
      </c>
      <c r="C7964" s="223"/>
      <c r="K7964" s="319"/>
      <c r="L7964" s="218"/>
    </row>
    <row r="7965">
      <c r="B7965" s="223" t="s">
        <v>200</v>
      </c>
      <c r="C7965" s="223"/>
      <c r="K7965" s="319"/>
      <c r="L7965" s="218"/>
    </row>
    <row r="7966">
      <c r="B7966" s="223" t="s">
        <v>200</v>
      </c>
      <c r="C7966" s="223"/>
      <c r="K7966" s="319"/>
      <c r="L7966" s="218"/>
    </row>
    <row r="7967">
      <c r="B7967" s="223" t="s">
        <v>200</v>
      </c>
      <c r="C7967" s="223"/>
      <c r="K7967" s="319"/>
      <c r="L7967" s="218"/>
    </row>
    <row r="7968">
      <c r="B7968" s="223" t="s">
        <v>200</v>
      </c>
      <c r="C7968" s="223"/>
      <c r="K7968" s="319"/>
      <c r="L7968" s="218"/>
    </row>
    <row r="7969">
      <c r="B7969" s="223" t="s">
        <v>200</v>
      </c>
      <c r="C7969" s="223"/>
      <c r="K7969" s="319"/>
      <c r="L7969" s="218"/>
    </row>
    <row r="7970">
      <c r="B7970" s="223" t="s">
        <v>200</v>
      </c>
      <c r="C7970" s="223"/>
      <c r="K7970" s="319"/>
      <c r="L7970" s="218"/>
    </row>
    <row r="7971">
      <c r="B7971" s="223" t="s">
        <v>200</v>
      </c>
      <c r="C7971" s="223"/>
      <c r="K7971" s="319"/>
      <c r="L7971" s="218"/>
    </row>
    <row r="7972">
      <c r="B7972" s="223" t="s">
        <v>200</v>
      </c>
      <c r="C7972" s="223"/>
      <c r="K7972" s="319"/>
      <c r="L7972" s="218"/>
    </row>
    <row r="7973">
      <c r="B7973" s="223" t="s">
        <v>200</v>
      </c>
      <c r="C7973" s="223"/>
      <c r="K7973" s="319"/>
      <c r="L7973" s="218"/>
    </row>
    <row r="7974">
      <c r="B7974" s="223" t="s">
        <v>200</v>
      </c>
      <c r="C7974" s="223"/>
      <c r="K7974" s="319"/>
      <c r="L7974" s="218"/>
    </row>
    <row r="7975">
      <c r="B7975" s="223" t="s">
        <v>200</v>
      </c>
      <c r="C7975" s="223"/>
      <c r="K7975" s="319"/>
      <c r="L7975" s="218"/>
    </row>
    <row r="7976">
      <c r="B7976" s="223" t="s">
        <v>200</v>
      </c>
      <c r="C7976" s="223"/>
      <c r="K7976" s="319"/>
      <c r="L7976" s="218"/>
    </row>
    <row r="7977">
      <c r="B7977" s="223" t="s">
        <v>200</v>
      </c>
      <c r="C7977" s="223"/>
      <c r="K7977" s="319"/>
      <c r="L7977" s="218"/>
    </row>
    <row r="7978">
      <c r="B7978" s="223" t="s">
        <v>200</v>
      </c>
      <c r="C7978" s="223"/>
      <c r="K7978" s="319"/>
      <c r="L7978" s="218"/>
    </row>
    <row r="7979">
      <c r="B7979" s="223" t="s">
        <v>200</v>
      </c>
      <c r="C7979" s="223"/>
      <c r="K7979" s="319"/>
      <c r="L7979" s="218"/>
    </row>
    <row r="7980">
      <c r="B7980" s="223" t="s">
        <v>200</v>
      </c>
      <c r="C7980" s="223"/>
      <c r="K7980" s="319"/>
      <c r="L7980" s="218"/>
    </row>
    <row r="7981">
      <c r="B7981" s="223" t="s">
        <v>200</v>
      </c>
      <c r="C7981" s="223"/>
      <c r="K7981" s="319"/>
      <c r="L7981" s="218"/>
    </row>
    <row r="7982">
      <c r="B7982" s="223" t="s">
        <v>200</v>
      </c>
      <c r="C7982" s="223"/>
      <c r="K7982" s="319"/>
      <c r="L7982" s="218"/>
    </row>
    <row r="7983">
      <c r="B7983" s="223" t="s">
        <v>200</v>
      </c>
      <c r="C7983" s="223"/>
      <c r="K7983" s="319"/>
      <c r="L7983" s="218"/>
    </row>
    <row r="7984">
      <c r="B7984" s="223" t="s">
        <v>200</v>
      </c>
      <c r="C7984" s="223"/>
      <c r="K7984" s="319"/>
      <c r="L7984" s="218"/>
    </row>
    <row r="7985">
      <c r="B7985" s="223" t="s">
        <v>200</v>
      </c>
      <c r="C7985" s="223"/>
      <c r="K7985" s="319"/>
      <c r="L7985" s="218"/>
    </row>
    <row r="7986">
      <c r="B7986" s="223" t="s">
        <v>200</v>
      </c>
      <c r="C7986" s="223"/>
      <c r="K7986" s="319"/>
      <c r="L7986" s="218"/>
    </row>
    <row r="7987">
      <c r="B7987" s="223" t="s">
        <v>200</v>
      </c>
      <c r="C7987" s="223"/>
      <c r="K7987" s="319"/>
      <c r="L7987" s="218"/>
    </row>
    <row r="7988">
      <c r="B7988" s="223" t="s">
        <v>200</v>
      </c>
      <c r="C7988" s="223"/>
      <c r="K7988" s="319"/>
      <c r="L7988" s="218"/>
    </row>
    <row r="7989">
      <c r="B7989" s="223" t="s">
        <v>200</v>
      </c>
      <c r="C7989" s="223"/>
      <c r="K7989" s="319"/>
      <c r="L7989" s="218"/>
    </row>
    <row r="7990">
      <c r="B7990" s="223" t="s">
        <v>200</v>
      </c>
      <c r="C7990" s="223"/>
      <c r="K7990" s="319"/>
      <c r="L7990" s="218"/>
    </row>
    <row r="7991">
      <c r="B7991" s="223" t="s">
        <v>200</v>
      </c>
      <c r="C7991" s="223"/>
      <c r="K7991" s="319"/>
      <c r="L7991" s="218"/>
    </row>
    <row r="7992">
      <c r="B7992" s="223" t="s">
        <v>200</v>
      </c>
      <c r="C7992" s="223"/>
      <c r="K7992" s="319"/>
      <c r="L7992" s="218"/>
    </row>
    <row r="7993">
      <c r="B7993" s="223" t="s">
        <v>200</v>
      </c>
      <c r="C7993" s="223"/>
      <c r="K7993" s="319"/>
      <c r="L7993" s="218"/>
    </row>
    <row r="7994">
      <c r="B7994" s="223" t="s">
        <v>200</v>
      </c>
      <c r="C7994" s="223"/>
      <c r="K7994" s="319"/>
      <c r="L7994" s="218"/>
    </row>
    <row r="7995">
      <c r="B7995" s="223" t="s">
        <v>200</v>
      </c>
      <c r="C7995" s="223"/>
      <c r="K7995" s="319"/>
      <c r="L7995" s="218"/>
    </row>
    <row r="7996">
      <c r="B7996" s="223" t="s">
        <v>200</v>
      </c>
      <c r="C7996" s="223"/>
      <c r="K7996" s="319"/>
      <c r="L7996" s="218"/>
    </row>
    <row r="7997">
      <c r="B7997" s="223" t="s">
        <v>200</v>
      </c>
      <c r="C7997" s="223"/>
      <c r="K7997" s="319"/>
      <c r="L7997" s="218"/>
    </row>
    <row r="7998">
      <c r="B7998" s="223" t="s">
        <v>200</v>
      </c>
      <c r="C7998" s="223"/>
      <c r="K7998" s="319"/>
      <c r="L7998" s="218"/>
    </row>
    <row r="7999">
      <c r="B7999" s="223" t="s">
        <v>200</v>
      </c>
      <c r="C7999" s="223"/>
      <c r="K7999" s="319"/>
      <c r="L7999" s="218"/>
    </row>
    <row r="8000">
      <c r="B8000" s="223" t="s">
        <v>200</v>
      </c>
      <c r="C8000" s="223"/>
      <c r="K8000" s="319"/>
      <c r="L8000" s="218"/>
    </row>
    <row r="8001">
      <c r="B8001" s="223" t="s">
        <v>200</v>
      </c>
      <c r="C8001" s="223"/>
      <c r="K8001" s="319"/>
      <c r="L8001" s="218"/>
    </row>
    <row r="8002">
      <c r="B8002" s="223" t="s">
        <v>200</v>
      </c>
      <c r="C8002" s="223"/>
      <c r="K8002" s="319"/>
      <c r="L8002" s="218"/>
    </row>
    <row r="8003">
      <c r="B8003" s="223" t="s">
        <v>200</v>
      </c>
      <c r="C8003" s="223"/>
      <c r="K8003" s="319"/>
      <c r="L8003" s="218"/>
    </row>
    <row r="8004">
      <c r="B8004" s="223" t="s">
        <v>200</v>
      </c>
      <c r="C8004" s="223"/>
      <c r="K8004" s="319"/>
      <c r="L8004" s="218"/>
    </row>
    <row r="8005">
      <c r="B8005" s="223" t="s">
        <v>200</v>
      </c>
      <c r="C8005" s="223"/>
      <c r="K8005" s="319"/>
      <c r="L8005" s="218"/>
    </row>
    <row r="8006">
      <c r="B8006" s="223" t="s">
        <v>200</v>
      </c>
      <c r="C8006" s="223"/>
      <c r="K8006" s="319"/>
      <c r="L8006" s="218"/>
    </row>
    <row r="8007">
      <c r="B8007" s="223" t="s">
        <v>200</v>
      </c>
      <c r="C8007" s="223"/>
      <c r="K8007" s="319"/>
      <c r="L8007" s="218"/>
    </row>
    <row r="8008">
      <c r="B8008" s="223" t="s">
        <v>200</v>
      </c>
      <c r="C8008" s="223"/>
      <c r="K8008" s="319"/>
      <c r="L8008" s="218"/>
    </row>
    <row r="8009">
      <c r="B8009" s="223" t="s">
        <v>200</v>
      </c>
      <c r="C8009" s="223"/>
      <c r="K8009" s="319"/>
      <c r="L8009" s="218"/>
    </row>
    <row r="8010">
      <c r="B8010" s="223" t="s">
        <v>200</v>
      </c>
      <c r="C8010" s="223"/>
      <c r="K8010" s="319"/>
      <c r="L8010" s="218"/>
    </row>
    <row r="8011">
      <c r="B8011" s="223" t="s">
        <v>200</v>
      </c>
      <c r="C8011" s="223"/>
      <c r="K8011" s="319"/>
      <c r="L8011" s="218"/>
    </row>
    <row r="8012">
      <c r="B8012" s="223" t="s">
        <v>200</v>
      </c>
      <c r="C8012" s="223"/>
      <c r="K8012" s="319"/>
      <c r="L8012" s="218"/>
    </row>
    <row r="8013">
      <c r="B8013" s="223" t="s">
        <v>200</v>
      </c>
      <c r="C8013" s="223"/>
      <c r="K8013" s="319"/>
      <c r="L8013" s="218"/>
    </row>
    <row r="8014">
      <c r="B8014" s="223" t="s">
        <v>200</v>
      </c>
      <c r="C8014" s="223"/>
      <c r="K8014" s="319"/>
      <c r="L8014" s="218"/>
    </row>
    <row r="8015">
      <c r="B8015" s="223" t="s">
        <v>200</v>
      </c>
      <c r="C8015" s="223"/>
      <c r="K8015" s="319"/>
      <c r="L8015" s="218"/>
    </row>
    <row r="8016">
      <c r="B8016" s="223" t="s">
        <v>200</v>
      </c>
      <c r="C8016" s="223"/>
      <c r="K8016" s="319"/>
      <c r="L8016" s="218"/>
    </row>
    <row r="8017">
      <c r="B8017" s="223" t="s">
        <v>200</v>
      </c>
      <c r="C8017" s="223"/>
      <c r="K8017" s="319"/>
      <c r="L8017" s="218"/>
    </row>
    <row r="8018">
      <c r="B8018" s="223" t="s">
        <v>200</v>
      </c>
      <c r="C8018" s="223"/>
      <c r="K8018" s="319"/>
      <c r="L8018" s="218"/>
    </row>
    <row r="8019">
      <c r="B8019" s="223" t="s">
        <v>200</v>
      </c>
      <c r="C8019" s="223"/>
      <c r="K8019" s="319"/>
      <c r="L8019" s="218"/>
    </row>
    <row r="8020">
      <c r="B8020" s="223" t="s">
        <v>200</v>
      </c>
      <c r="C8020" s="223"/>
      <c r="K8020" s="319"/>
      <c r="L8020" s="218"/>
    </row>
    <row r="8021">
      <c r="B8021" s="223" t="s">
        <v>200</v>
      </c>
      <c r="C8021" s="223"/>
      <c r="K8021" s="319"/>
      <c r="L8021" s="218"/>
    </row>
    <row r="8022">
      <c r="B8022" s="223" t="s">
        <v>200</v>
      </c>
      <c r="C8022" s="223"/>
      <c r="K8022" s="319"/>
      <c r="L8022" s="218"/>
    </row>
    <row r="8023">
      <c r="B8023" s="223" t="s">
        <v>200</v>
      </c>
      <c r="C8023" s="223"/>
      <c r="K8023" s="319"/>
      <c r="L8023" s="218"/>
    </row>
    <row r="8024">
      <c r="B8024" s="223" t="s">
        <v>200</v>
      </c>
      <c r="C8024" s="223"/>
      <c r="K8024" s="319"/>
      <c r="L8024" s="218"/>
    </row>
    <row r="8025">
      <c r="B8025" s="223" t="s">
        <v>200</v>
      </c>
      <c r="C8025" s="223"/>
      <c r="K8025" s="319"/>
      <c r="L8025" s="218"/>
    </row>
    <row r="8026">
      <c r="B8026" s="223" t="s">
        <v>200</v>
      </c>
      <c r="C8026" s="223"/>
      <c r="K8026" s="319"/>
      <c r="L8026" s="218"/>
    </row>
    <row r="8027">
      <c r="B8027" s="223" t="s">
        <v>200</v>
      </c>
      <c r="C8027" s="223"/>
      <c r="K8027" s="319"/>
      <c r="L8027" s="218"/>
    </row>
    <row r="8028">
      <c r="B8028" s="223" t="s">
        <v>200</v>
      </c>
      <c r="C8028" s="223"/>
      <c r="K8028" s="319"/>
      <c r="L8028" s="218"/>
    </row>
    <row r="8029">
      <c r="B8029" s="223" t="s">
        <v>200</v>
      </c>
      <c r="C8029" s="223"/>
      <c r="K8029" s="319"/>
      <c r="L8029" s="218"/>
    </row>
    <row r="8030">
      <c r="B8030" s="223" t="s">
        <v>200</v>
      </c>
      <c r="C8030" s="223"/>
      <c r="K8030" s="319"/>
      <c r="L8030" s="218"/>
    </row>
    <row r="8031">
      <c r="B8031" s="223" t="s">
        <v>200</v>
      </c>
      <c r="C8031" s="223"/>
      <c r="K8031" s="319"/>
      <c r="L8031" s="218"/>
    </row>
    <row r="8032">
      <c r="B8032" s="223" t="s">
        <v>200</v>
      </c>
      <c r="C8032" s="223"/>
      <c r="K8032" s="319"/>
      <c r="L8032" s="218"/>
    </row>
    <row r="8033">
      <c r="B8033" s="223" t="s">
        <v>200</v>
      </c>
      <c r="C8033" s="223"/>
      <c r="K8033" s="319"/>
      <c r="L8033" s="218"/>
    </row>
    <row r="8034">
      <c r="B8034" s="223" t="s">
        <v>200</v>
      </c>
      <c r="C8034" s="223"/>
      <c r="K8034" s="319"/>
      <c r="L8034" s="218"/>
    </row>
    <row r="8035">
      <c r="B8035" s="223" t="s">
        <v>200</v>
      </c>
      <c r="C8035" s="223"/>
      <c r="K8035" s="319"/>
      <c r="L8035" s="218"/>
    </row>
    <row r="8036">
      <c r="B8036" s="223" t="s">
        <v>200</v>
      </c>
      <c r="C8036" s="223"/>
      <c r="K8036" s="319"/>
      <c r="L8036" s="218"/>
    </row>
    <row r="8037">
      <c r="B8037" s="223" t="s">
        <v>200</v>
      </c>
      <c r="C8037" s="223"/>
      <c r="K8037" s="319"/>
      <c r="L8037" s="218"/>
    </row>
    <row r="8038">
      <c r="B8038" s="223" t="s">
        <v>200</v>
      </c>
      <c r="C8038" s="223"/>
      <c r="K8038" s="319"/>
      <c r="L8038" s="218"/>
    </row>
    <row r="8039">
      <c r="B8039" s="223" t="s">
        <v>200</v>
      </c>
      <c r="C8039" s="223"/>
      <c r="K8039" s="319"/>
      <c r="L8039" s="218"/>
    </row>
    <row r="8040">
      <c r="B8040" s="223" t="s">
        <v>200</v>
      </c>
      <c r="C8040" s="223"/>
      <c r="K8040" s="319"/>
      <c r="L8040" s="218"/>
    </row>
    <row r="8041">
      <c r="B8041" s="223" t="s">
        <v>200</v>
      </c>
      <c r="C8041" s="223"/>
      <c r="K8041" s="319"/>
      <c r="L8041" s="218"/>
    </row>
    <row r="8042">
      <c r="B8042" s="223" t="s">
        <v>200</v>
      </c>
      <c r="C8042" s="223"/>
      <c r="K8042" s="319"/>
      <c r="L8042" s="218"/>
    </row>
    <row r="8043">
      <c r="B8043" s="223" t="s">
        <v>200</v>
      </c>
      <c r="C8043" s="223"/>
      <c r="K8043" s="319"/>
      <c r="L8043" s="218"/>
    </row>
    <row r="8044">
      <c r="B8044" s="223" t="s">
        <v>200</v>
      </c>
      <c r="C8044" s="223"/>
      <c r="K8044" s="319"/>
      <c r="L8044" s="218"/>
    </row>
    <row r="8045">
      <c r="B8045" s="223" t="s">
        <v>200</v>
      </c>
      <c r="C8045" s="223"/>
      <c r="K8045" s="319"/>
      <c r="L8045" s="218"/>
    </row>
    <row r="8046">
      <c r="B8046" s="223" t="s">
        <v>200</v>
      </c>
      <c r="C8046" s="223"/>
      <c r="K8046" s="319"/>
      <c r="L8046" s="218"/>
    </row>
    <row r="8047">
      <c r="B8047" s="223" t="s">
        <v>200</v>
      </c>
      <c r="C8047" s="223"/>
      <c r="K8047" s="319"/>
      <c r="L8047" s="218"/>
    </row>
    <row r="8048">
      <c r="B8048" s="223" t="s">
        <v>200</v>
      </c>
      <c r="C8048" s="223"/>
      <c r="K8048" s="319"/>
      <c r="L8048" s="218"/>
    </row>
    <row r="8049">
      <c r="B8049" s="223" t="s">
        <v>200</v>
      </c>
      <c r="C8049" s="223"/>
      <c r="K8049" s="319"/>
      <c r="L8049" s="218"/>
    </row>
    <row r="8050">
      <c r="B8050" s="223" t="s">
        <v>200</v>
      </c>
      <c r="C8050" s="223"/>
      <c r="K8050" s="319"/>
      <c r="L8050" s="218"/>
    </row>
    <row r="8051">
      <c r="B8051" s="223" t="s">
        <v>200</v>
      </c>
      <c r="C8051" s="223"/>
      <c r="K8051" s="319"/>
      <c r="L8051" s="218"/>
    </row>
    <row r="8052">
      <c r="B8052" s="223" t="s">
        <v>200</v>
      </c>
      <c r="C8052" s="223"/>
      <c r="K8052" s="319"/>
      <c r="L8052" s="218"/>
    </row>
    <row r="8053">
      <c r="B8053" s="223" t="s">
        <v>200</v>
      </c>
      <c r="C8053" s="223"/>
      <c r="K8053" s="319"/>
      <c r="L8053" s="218"/>
    </row>
    <row r="8054">
      <c r="B8054" s="223" t="s">
        <v>200</v>
      </c>
      <c r="C8054" s="223"/>
      <c r="K8054" s="319"/>
      <c r="L8054" s="218"/>
    </row>
    <row r="8055">
      <c r="B8055" s="223" t="s">
        <v>200</v>
      </c>
      <c r="C8055" s="223"/>
      <c r="K8055" s="319"/>
      <c r="L8055" s="218"/>
    </row>
    <row r="8056">
      <c r="B8056" s="223" t="s">
        <v>200</v>
      </c>
      <c r="C8056" s="223"/>
      <c r="K8056" s="319"/>
      <c r="L8056" s="218"/>
    </row>
    <row r="8057">
      <c r="B8057" s="223" t="s">
        <v>200</v>
      </c>
      <c r="C8057" s="223"/>
      <c r="K8057" s="319"/>
      <c r="L8057" s="218"/>
    </row>
    <row r="8058">
      <c r="B8058" s="223" t="s">
        <v>200</v>
      </c>
      <c r="C8058" s="223"/>
      <c r="K8058" s="319"/>
      <c r="L8058" s="218"/>
    </row>
    <row r="8059">
      <c r="B8059" s="223" t="s">
        <v>200</v>
      </c>
      <c r="C8059" s="223"/>
      <c r="K8059" s="319"/>
      <c r="L8059" s="218"/>
    </row>
    <row r="8060">
      <c r="B8060" s="223" t="s">
        <v>200</v>
      </c>
      <c r="C8060" s="223"/>
      <c r="K8060" s="319"/>
      <c r="L8060" s="218"/>
    </row>
    <row r="8061">
      <c r="B8061" s="223" t="s">
        <v>200</v>
      </c>
      <c r="C8061" s="223"/>
      <c r="K8061" s="319"/>
      <c r="L8061" s="218"/>
    </row>
    <row r="8062">
      <c r="B8062" s="223" t="s">
        <v>200</v>
      </c>
      <c r="C8062" s="223"/>
      <c r="K8062" s="319"/>
      <c r="L8062" s="218"/>
    </row>
    <row r="8063">
      <c r="B8063" s="223" t="s">
        <v>200</v>
      </c>
      <c r="C8063" s="223"/>
      <c r="K8063" s="319"/>
      <c r="L8063" s="218"/>
    </row>
    <row r="8064">
      <c r="B8064" s="223" t="s">
        <v>200</v>
      </c>
      <c r="C8064" s="223"/>
      <c r="K8064" s="319"/>
      <c r="L8064" s="218"/>
    </row>
    <row r="8065">
      <c r="B8065" s="223" t="s">
        <v>200</v>
      </c>
      <c r="C8065" s="223"/>
      <c r="K8065" s="319"/>
      <c r="L8065" s="218"/>
    </row>
    <row r="8066">
      <c r="B8066" s="223" t="s">
        <v>200</v>
      </c>
      <c r="C8066" s="223"/>
      <c r="K8066" s="319"/>
      <c r="L8066" s="218"/>
    </row>
    <row r="8067">
      <c r="B8067" s="223" t="s">
        <v>200</v>
      </c>
      <c r="C8067" s="223"/>
      <c r="K8067" s="319"/>
      <c r="L8067" s="218"/>
    </row>
    <row r="8068">
      <c r="B8068" s="223" t="s">
        <v>200</v>
      </c>
      <c r="C8068" s="223"/>
      <c r="K8068" s="319"/>
      <c r="L8068" s="218"/>
    </row>
    <row r="8069">
      <c r="B8069" s="223" t="s">
        <v>200</v>
      </c>
      <c r="C8069" s="223"/>
      <c r="K8069" s="319"/>
      <c r="L8069" s="218"/>
    </row>
    <row r="8070">
      <c r="B8070" s="223" t="s">
        <v>200</v>
      </c>
      <c r="C8070" s="223"/>
      <c r="K8070" s="319"/>
      <c r="L8070" s="218"/>
    </row>
    <row r="8071">
      <c r="B8071" s="223" t="s">
        <v>200</v>
      </c>
      <c r="C8071" s="223"/>
      <c r="K8071" s="319"/>
      <c r="L8071" s="218"/>
    </row>
    <row r="8072">
      <c r="B8072" s="223" t="s">
        <v>200</v>
      </c>
      <c r="C8072" s="223"/>
      <c r="K8072" s="319"/>
      <c r="L8072" s="218"/>
    </row>
    <row r="8073">
      <c r="B8073" s="223" t="s">
        <v>200</v>
      </c>
      <c r="C8073" s="223"/>
      <c r="K8073" s="319"/>
      <c r="L8073" s="218"/>
    </row>
    <row r="8074">
      <c r="B8074" s="223" t="s">
        <v>200</v>
      </c>
      <c r="C8074" s="223"/>
      <c r="K8074" s="319"/>
      <c r="L8074" s="218"/>
    </row>
    <row r="8075">
      <c r="B8075" s="223" t="s">
        <v>200</v>
      </c>
      <c r="C8075" s="223"/>
      <c r="K8075" s="319"/>
      <c r="L8075" s="218"/>
    </row>
    <row r="8076">
      <c r="B8076" s="223" t="s">
        <v>200</v>
      </c>
      <c r="C8076" s="223"/>
      <c r="K8076" s="319"/>
      <c r="L8076" s="218"/>
    </row>
    <row r="8077">
      <c r="B8077" s="223" t="s">
        <v>200</v>
      </c>
      <c r="C8077" s="223"/>
      <c r="K8077" s="319"/>
      <c r="L8077" s="218"/>
    </row>
    <row r="8078">
      <c r="B8078" s="223" t="s">
        <v>200</v>
      </c>
      <c r="C8078" s="223"/>
      <c r="K8078" s="319"/>
      <c r="L8078" s="218"/>
    </row>
    <row r="8079">
      <c r="B8079" s="223" t="s">
        <v>200</v>
      </c>
      <c r="C8079" s="223"/>
      <c r="K8079" s="319"/>
      <c r="L8079" s="218"/>
    </row>
    <row r="8080">
      <c r="B8080" s="223" t="s">
        <v>200</v>
      </c>
      <c r="C8080" s="223"/>
      <c r="K8080" s="319"/>
      <c r="L8080" s="218"/>
    </row>
    <row r="8081">
      <c r="B8081" s="223" t="s">
        <v>200</v>
      </c>
      <c r="C8081" s="223"/>
      <c r="K8081" s="319"/>
      <c r="L8081" s="218"/>
    </row>
    <row r="8082">
      <c r="B8082" s="223" t="s">
        <v>200</v>
      </c>
      <c r="C8082" s="223"/>
      <c r="K8082" s="319"/>
      <c r="L8082" s="218"/>
    </row>
    <row r="8083">
      <c r="B8083" s="223" t="s">
        <v>200</v>
      </c>
      <c r="C8083" s="223"/>
      <c r="K8083" s="319"/>
      <c r="L8083" s="218"/>
    </row>
    <row r="8084">
      <c r="B8084" s="223" t="s">
        <v>200</v>
      </c>
      <c r="C8084" s="223"/>
      <c r="K8084" s="319"/>
      <c r="L8084" s="218"/>
    </row>
    <row r="8085">
      <c r="B8085" s="223" t="s">
        <v>200</v>
      </c>
      <c r="C8085" s="223"/>
      <c r="K8085" s="319"/>
      <c r="L8085" s="218"/>
    </row>
    <row r="8086">
      <c r="B8086" s="223" t="s">
        <v>200</v>
      </c>
      <c r="C8086" s="223"/>
      <c r="K8086" s="319"/>
      <c r="L8086" s="218"/>
    </row>
    <row r="8087">
      <c r="B8087" s="223" t="s">
        <v>200</v>
      </c>
      <c r="C8087" s="223"/>
      <c r="K8087" s="319"/>
      <c r="L8087" s="218"/>
    </row>
    <row r="8088">
      <c r="B8088" s="223" t="s">
        <v>200</v>
      </c>
      <c r="C8088" s="223"/>
      <c r="K8088" s="319"/>
      <c r="L8088" s="218"/>
    </row>
    <row r="8089">
      <c r="B8089" s="223" t="s">
        <v>200</v>
      </c>
      <c r="C8089" s="223"/>
      <c r="K8089" s="319"/>
      <c r="L8089" s="218"/>
    </row>
    <row r="8090">
      <c r="B8090" s="223" t="s">
        <v>200</v>
      </c>
      <c r="C8090" s="223"/>
      <c r="K8090" s="319"/>
      <c r="L8090" s="218"/>
    </row>
    <row r="8091">
      <c r="B8091" s="223" t="s">
        <v>200</v>
      </c>
      <c r="C8091" s="223"/>
      <c r="K8091" s="319"/>
      <c r="L8091" s="218"/>
    </row>
    <row r="8092">
      <c r="B8092" s="223" t="s">
        <v>200</v>
      </c>
      <c r="C8092" s="223"/>
      <c r="K8092" s="319"/>
      <c r="L8092" s="218"/>
    </row>
    <row r="8093">
      <c r="B8093" s="223" t="s">
        <v>200</v>
      </c>
      <c r="C8093" s="223"/>
      <c r="K8093" s="319"/>
      <c r="L8093" s="218"/>
    </row>
    <row r="8094">
      <c r="B8094" s="223" t="s">
        <v>200</v>
      </c>
      <c r="C8094" s="223"/>
      <c r="K8094" s="319"/>
      <c r="L8094" s="218"/>
    </row>
    <row r="8095">
      <c r="B8095" s="223" t="s">
        <v>200</v>
      </c>
      <c r="C8095" s="223"/>
      <c r="K8095" s="319"/>
      <c r="L8095" s="218"/>
    </row>
    <row r="8096">
      <c r="B8096" s="223" t="s">
        <v>200</v>
      </c>
      <c r="C8096" s="223"/>
      <c r="K8096" s="319"/>
      <c r="L8096" s="218"/>
    </row>
    <row r="8097">
      <c r="B8097" s="223" t="s">
        <v>200</v>
      </c>
      <c r="C8097" s="223"/>
      <c r="K8097" s="319"/>
      <c r="L8097" s="218"/>
    </row>
    <row r="8098">
      <c r="B8098" s="223" t="s">
        <v>200</v>
      </c>
      <c r="C8098" s="223"/>
      <c r="K8098" s="319"/>
      <c r="L8098" s="218"/>
    </row>
    <row r="8099">
      <c r="B8099" s="223" t="s">
        <v>200</v>
      </c>
      <c r="C8099" s="223"/>
      <c r="K8099" s="319"/>
      <c r="L8099" s="218"/>
    </row>
    <row r="8100">
      <c r="B8100" s="223" t="s">
        <v>200</v>
      </c>
      <c r="C8100" s="223"/>
      <c r="K8100" s="319"/>
      <c r="L8100" s="218"/>
    </row>
    <row r="8101">
      <c r="B8101" s="223" t="s">
        <v>200</v>
      </c>
      <c r="C8101" s="223"/>
      <c r="K8101" s="319"/>
      <c r="L8101" s="218"/>
    </row>
    <row r="8102">
      <c r="B8102" s="223" t="s">
        <v>200</v>
      </c>
      <c r="C8102" s="223"/>
      <c r="K8102" s="319"/>
      <c r="L8102" s="218"/>
    </row>
    <row r="8103">
      <c r="B8103" s="223" t="s">
        <v>200</v>
      </c>
      <c r="C8103" s="223"/>
      <c r="K8103" s="319"/>
      <c r="L8103" s="218"/>
    </row>
    <row r="8104">
      <c r="B8104" s="223" t="s">
        <v>200</v>
      </c>
      <c r="C8104" s="223"/>
      <c r="K8104" s="319"/>
      <c r="L8104" s="218"/>
    </row>
    <row r="8105">
      <c r="B8105" s="223" t="s">
        <v>200</v>
      </c>
      <c r="C8105" s="223"/>
      <c r="K8105" s="319"/>
      <c r="L8105" s="218"/>
    </row>
    <row r="8106">
      <c r="B8106" s="223" t="s">
        <v>200</v>
      </c>
      <c r="C8106" s="223"/>
      <c r="K8106" s="319"/>
      <c r="L8106" s="218"/>
    </row>
    <row r="8107">
      <c r="B8107" s="223" t="s">
        <v>200</v>
      </c>
      <c r="C8107" s="223"/>
      <c r="K8107" s="319"/>
      <c r="L8107" s="218"/>
    </row>
    <row r="8108">
      <c r="B8108" s="223" t="s">
        <v>200</v>
      </c>
      <c r="C8108" s="223"/>
      <c r="K8108" s="319"/>
      <c r="L8108" s="218"/>
    </row>
    <row r="8109">
      <c r="B8109" s="223" t="s">
        <v>200</v>
      </c>
      <c r="C8109" s="223"/>
      <c r="K8109" s="319"/>
      <c r="L8109" s="218"/>
    </row>
    <row r="8110">
      <c r="B8110" s="223" t="s">
        <v>200</v>
      </c>
      <c r="C8110" s="223"/>
      <c r="K8110" s="319"/>
      <c r="L8110" s="218"/>
    </row>
    <row r="8111">
      <c r="B8111" s="223" t="s">
        <v>200</v>
      </c>
      <c r="C8111" s="223"/>
      <c r="K8111" s="319"/>
      <c r="L8111" s="218"/>
    </row>
    <row r="8112">
      <c r="B8112" s="223" t="s">
        <v>200</v>
      </c>
      <c r="C8112" s="223"/>
      <c r="K8112" s="319"/>
      <c r="L8112" s="218"/>
    </row>
    <row r="8113">
      <c r="B8113" s="223" t="s">
        <v>200</v>
      </c>
      <c r="C8113" s="223"/>
      <c r="K8113" s="319"/>
      <c r="L8113" s="218"/>
    </row>
    <row r="8114">
      <c r="B8114" s="223" t="s">
        <v>200</v>
      </c>
      <c r="C8114" s="223"/>
      <c r="K8114" s="319"/>
      <c r="L8114" s="218"/>
    </row>
    <row r="8115">
      <c r="B8115" s="223" t="s">
        <v>200</v>
      </c>
      <c r="C8115" s="223"/>
      <c r="K8115" s="319"/>
      <c r="L8115" s="218"/>
    </row>
    <row r="8116">
      <c r="B8116" s="223" t="s">
        <v>200</v>
      </c>
      <c r="C8116" s="223"/>
      <c r="K8116" s="319"/>
      <c r="L8116" s="218"/>
    </row>
    <row r="8117">
      <c r="B8117" s="223" t="s">
        <v>200</v>
      </c>
      <c r="C8117" s="223"/>
      <c r="K8117" s="319"/>
      <c r="L8117" s="218"/>
    </row>
    <row r="8118">
      <c r="B8118" s="223" t="s">
        <v>200</v>
      </c>
      <c r="C8118" s="223"/>
      <c r="K8118" s="319"/>
      <c r="L8118" s="218"/>
    </row>
    <row r="8119">
      <c r="B8119" s="223" t="s">
        <v>200</v>
      </c>
      <c r="C8119" s="223"/>
      <c r="K8119" s="319"/>
      <c r="L8119" s="218"/>
    </row>
    <row r="8120">
      <c r="B8120" s="223" t="s">
        <v>200</v>
      </c>
      <c r="C8120" s="223"/>
      <c r="K8120" s="319"/>
      <c r="L8120" s="218"/>
    </row>
    <row r="8121">
      <c r="B8121" s="223" t="s">
        <v>200</v>
      </c>
      <c r="C8121" s="223"/>
      <c r="K8121" s="319"/>
      <c r="L8121" s="218"/>
    </row>
    <row r="8122">
      <c r="B8122" s="223" t="s">
        <v>200</v>
      </c>
      <c r="C8122" s="223"/>
      <c r="K8122" s="319"/>
      <c r="L8122" s="218"/>
    </row>
    <row r="8123">
      <c r="B8123" s="223" t="s">
        <v>200</v>
      </c>
      <c r="C8123" s="223"/>
      <c r="K8123" s="319"/>
      <c r="L8123" s="218"/>
    </row>
    <row r="8124">
      <c r="B8124" s="223" t="s">
        <v>200</v>
      </c>
      <c r="C8124" s="223"/>
      <c r="K8124" s="319"/>
      <c r="L8124" s="218"/>
    </row>
    <row r="8125">
      <c r="B8125" s="223" t="s">
        <v>200</v>
      </c>
      <c r="C8125" s="223"/>
      <c r="K8125" s="319"/>
      <c r="L8125" s="218"/>
    </row>
    <row r="8126">
      <c r="B8126" s="223" t="s">
        <v>200</v>
      </c>
      <c r="C8126" s="223"/>
      <c r="K8126" s="319"/>
      <c r="L8126" s="218"/>
    </row>
    <row r="8127">
      <c r="B8127" s="223" t="s">
        <v>200</v>
      </c>
      <c r="C8127" s="223"/>
      <c r="K8127" s="319"/>
      <c r="L8127" s="218"/>
    </row>
    <row r="8128">
      <c r="B8128" s="223" t="s">
        <v>200</v>
      </c>
      <c r="C8128" s="223"/>
      <c r="K8128" s="319"/>
      <c r="L8128" s="218"/>
    </row>
    <row r="8129">
      <c r="B8129" s="223" t="s">
        <v>200</v>
      </c>
      <c r="C8129" s="223"/>
      <c r="K8129" s="319"/>
      <c r="L8129" s="218"/>
    </row>
    <row r="8130">
      <c r="B8130" s="223" t="s">
        <v>200</v>
      </c>
      <c r="C8130" s="223"/>
      <c r="K8130" s="319"/>
      <c r="L8130" s="218"/>
    </row>
    <row r="8131">
      <c r="B8131" s="223" t="s">
        <v>200</v>
      </c>
      <c r="C8131" s="223"/>
      <c r="K8131" s="319"/>
      <c r="L8131" s="218"/>
    </row>
    <row r="8132">
      <c r="B8132" s="223" t="s">
        <v>200</v>
      </c>
      <c r="C8132" s="223"/>
      <c r="K8132" s="319"/>
      <c r="L8132" s="218"/>
    </row>
    <row r="8133">
      <c r="B8133" s="223" t="s">
        <v>200</v>
      </c>
      <c r="C8133" s="223"/>
      <c r="K8133" s="319"/>
      <c r="L8133" s="218"/>
    </row>
    <row r="8134">
      <c r="B8134" s="223" t="s">
        <v>200</v>
      </c>
      <c r="C8134" s="223"/>
      <c r="K8134" s="319"/>
      <c r="L8134" s="218"/>
    </row>
    <row r="8135">
      <c r="B8135" s="223" t="s">
        <v>200</v>
      </c>
      <c r="C8135" s="223"/>
      <c r="K8135" s="319"/>
      <c r="L8135" s="218"/>
    </row>
    <row r="8136">
      <c r="B8136" s="223" t="s">
        <v>200</v>
      </c>
      <c r="C8136" s="223"/>
      <c r="K8136" s="319"/>
      <c r="L8136" s="218"/>
    </row>
    <row r="8137">
      <c r="B8137" s="223" t="s">
        <v>200</v>
      </c>
      <c r="C8137" s="223"/>
      <c r="K8137" s="319"/>
      <c r="L8137" s="218"/>
    </row>
    <row r="8138">
      <c r="B8138" s="223" t="s">
        <v>200</v>
      </c>
      <c r="C8138" s="223"/>
      <c r="K8138" s="319"/>
      <c r="L8138" s="218"/>
    </row>
    <row r="8139">
      <c r="B8139" s="223" t="s">
        <v>200</v>
      </c>
      <c r="C8139" s="223"/>
      <c r="K8139" s="319"/>
      <c r="L8139" s="218"/>
    </row>
    <row r="8140">
      <c r="B8140" s="223" t="s">
        <v>200</v>
      </c>
      <c r="C8140" s="223"/>
      <c r="K8140" s="319"/>
      <c r="L8140" s="218"/>
    </row>
    <row r="8141">
      <c r="B8141" s="223" t="s">
        <v>200</v>
      </c>
      <c r="C8141" s="223"/>
      <c r="K8141" s="319"/>
      <c r="L8141" s="218"/>
    </row>
    <row r="8142">
      <c r="B8142" s="223" t="s">
        <v>200</v>
      </c>
      <c r="C8142" s="223"/>
      <c r="K8142" s="319"/>
      <c r="L8142" s="218"/>
    </row>
    <row r="8143">
      <c r="B8143" s="223" t="s">
        <v>200</v>
      </c>
      <c r="C8143" s="223"/>
      <c r="K8143" s="319"/>
      <c r="L8143" s="218"/>
    </row>
    <row r="8144">
      <c r="B8144" s="223" t="s">
        <v>200</v>
      </c>
      <c r="C8144" s="223"/>
      <c r="K8144" s="319"/>
      <c r="L8144" s="218"/>
    </row>
    <row r="8145">
      <c r="B8145" s="223" t="s">
        <v>200</v>
      </c>
      <c r="C8145" s="223"/>
      <c r="K8145" s="319"/>
      <c r="L8145" s="218"/>
    </row>
    <row r="8146">
      <c r="B8146" s="223" t="s">
        <v>200</v>
      </c>
      <c r="C8146" s="223"/>
      <c r="K8146" s="319"/>
      <c r="L8146" s="218"/>
    </row>
    <row r="8147">
      <c r="B8147" s="223" t="s">
        <v>200</v>
      </c>
      <c r="C8147" s="223"/>
      <c r="K8147" s="319"/>
      <c r="L8147" s="218"/>
    </row>
    <row r="8148">
      <c r="B8148" s="223" t="s">
        <v>200</v>
      </c>
      <c r="C8148" s="223"/>
      <c r="K8148" s="319"/>
      <c r="L8148" s="218"/>
    </row>
    <row r="8149">
      <c r="B8149" s="223" t="s">
        <v>200</v>
      </c>
      <c r="C8149" s="223"/>
      <c r="K8149" s="319"/>
      <c r="L8149" s="218"/>
    </row>
    <row r="8150">
      <c r="B8150" s="223" t="s">
        <v>200</v>
      </c>
      <c r="C8150" s="223"/>
      <c r="K8150" s="319"/>
      <c r="L8150" s="218"/>
    </row>
    <row r="8151">
      <c r="B8151" s="223" t="s">
        <v>200</v>
      </c>
      <c r="C8151" s="223"/>
      <c r="K8151" s="319"/>
      <c r="L8151" s="218"/>
    </row>
    <row r="8152">
      <c r="B8152" s="223" t="s">
        <v>200</v>
      </c>
      <c r="C8152" s="223"/>
      <c r="K8152" s="319"/>
      <c r="L8152" s="218"/>
    </row>
    <row r="8153">
      <c r="B8153" s="223" t="s">
        <v>200</v>
      </c>
      <c r="C8153" s="223"/>
      <c r="K8153" s="319"/>
      <c r="L8153" s="218"/>
    </row>
    <row r="8154">
      <c r="B8154" s="223" t="s">
        <v>200</v>
      </c>
      <c r="C8154" s="223"/>
      <c r="K8154" s="319"/>
      <c r="L8154" s="218"/>
    </row>
    <row r="8155">
      <c r="B8155" s="223" t="s">
        <v>200</v>
      </c>
      <c r="C8155" s="223"/>
      <c r="K8155" s="319"/>
      <c r="L8155" s="218"/>
    </row>
    <row r="8156">
      <c r="B8156" s="223" t="s">
        <v>200</v>
      </c>
      <c r="C8156" s="223"/>
      <c r="K8156" s="319"/>
      <c r="L8156" s="218"/>
    </row>
    <row r="8157">
      <c r="B8157" s="223" t="s">
        <v>200</v>
      </c>
      <c r="C8157" s="223"/>
      <c r="K8157" s="319"/>
      <c r="L8157" s="218"/>
    </row>
    <row r="8158">
      <c r="B8158" s="223" t="s">
        <v>200</v>
      </c>
      <c r="C8158" s="223"/>
      <c r="K8158" s="319"/>
      <c r="L8158" s="218"/>
    </row>
    <row r="8159">
      <c r="B8159" s="223" t="s">
        <v>200</v>
      </c>
      <c r="C8159" s="223"/>
      <c r="K8159" s="319"/>
      <c r="L8159" s="218"/>
    </row>
    <row r="8160">
      <c r="B8160" s="223" t="s">
        <v>200</v>
      </c>
      <c r="C8160" s="223"/>
      <c r="K8160" s="319"/>
      <c r="L8160" s="218"/>
    </row>
    <row r="8161">
      <c r="B8161" s="223" t="s">
        <v>200</v>
      </c>
      <c r="C8161" s="223"/>
      <c r="K8161" s="319"/>
      <c r="L8161" s="218"/>
    </row>
    <row r="8162">
      <c r="B8162" s="223" t="s">
        <v>200</v>
      </c>
      <c r="C8162" s="223"/>
      <c r="K8162" s="319"/>
      <c r="L8162" s="218"/>
    </row>
    <row r="8163">
      <c r="B8163" s="223" t="s">
        <v>200</v>
      </c>
      <c r="C8163" s="223"/>
      <c r="K8163" s="319"/>
      <c r="L8163" s="218"/>
    </row>
    <row r="8164">
      <c r="B8164" s="223" t="s">
        <v>200</v>
      </c>
      <c r="C8164" s="223"/>
      <c r="K8164" s="319"/>
      <c r="L8164" s="218"/>
    </row>
    <row r="8165">
      <c r="B8165" s="223" t="s">
        <v>200</v>
      </c>
      <c r="C8165" s="223"/>
      <c r="K8165" s="319"/>
      <c r="L8165" s="218"/>
    </row>
    <row r="8166">
      <c r="B8166" s="223" t="s">
        <v>200</v>
      </c>
      <c r="C8166" s="223"/>
      <c r="K8166" s="319"/>
      <c r="L8166" s="218"/>
    </row>
    <row r="8167">
      <c r="B8167" s="223" t="s">
        <v>200</v>
      </c>
      <c r="C8167" s="223"/>
      <c r="K8167" s="319"/>
      <c r="L8167" s="218"/>
    </row>
    <row r="8168">
      <c r="B8168" s="223" t="s">
        <v>200</v>
      </c>
      <c r="C8168" s="223"/>
      <c r="K8168" s="319"/>
      <c r="L8168" s="218"/>
    </row>
    <row r="8169">
      <c r="B8169" s="223" t="s">
        <v>200</v>
      </c>
      <c r="C8169" s="223"/>
      <c r="K8169" s="319"/>
      <c r="L8169" s="218"/>
    </row>
    <row r="8170">
      <c r="B8170" s="223" t="s">
        <v>200</v>
      </c>
      <c r="C8170" s="223"/>
      <c r="K8170" s="319"/>
      <c r="L8170" s="218"/>
    </row>
    <row r="8171">
      <c r="B8171" s="223" t="s">
        <v>200</v>
      </c>
      <c r="C8171" s="223"/>
      <c r="K8171" s="319"/>
      <c r="L8171" s="218"/>
    </row>
    <row r="8172">
      <c r="B8172" s="223" t="s">
        <v>200</v>
      </c>
      <c r="C8172" s="223"/>
      <c r="K8172" s="319"/>
      <c r="L8172" s="218"/>
    </row>
    <row r="8173">
      <c r="B8173" s="223" t="s">
        <v>200</v>
      </c>
      <c r="C8173" s="223"/>
      <c r="K8173" s="319"/>
      <c r="L8173" s="218"/>
    </row>
    <row r="8174">
      <c r="B8174" s="223" t="s">
        <v>200</v>
      </c>
      <c r="C8174" s="223"/>
      <c r="K8174" s="319"/>
      <c r="L8174" s="218"/>
    </row>
    <row r="8175">
      <c r="B8175" s="223" t="s">
        <v>200</v>
      </c>
      <c r="C8175" s="223"/>
      <c r="K8175" s="319"/>
      <c r="L8175" s="218"/>
    </row>
    <row r="8176">
      <c r="B8176" s="223" t="s">
        <v>200</v>
      </c>
      <c r="C8176" s="223"/>
      <c r="K8176" s="319"/>
      <c r="L8176" s="218"/>
    </row>
    <row r="8177">
      <c r="B8177" s="223" t="s">
        <v>200</v>
      </c>
      <c r="C8177" s="223"/>
      <c r="K8177" s="319"/>
      <c r="L8177" s="218"/>
    </row>
    <row r="8178">
      <c r="B8178" s="223" t="s">
        <v>200</v>
      </c>
      <c r="C8178" s="223"/>
      <c r="K8178" s="319"/>
      <c r="L8178" s="218"/>
    </row>
    <row r="8179">
      <c r="B8179" s="223" t="s">
        <v>200</v>
      </c>
      <c r="C8179" s="223"/>
      <c r="K8179" s="319"/>
      <c r="L8179" s="218"/>
    </row>
    <row r="8180">
      <c r="B8180" s="223" t="s">
        <v>200</v>
      </c>
      <c r="C8180" s="223"/>
      <c r="K8180" s="319"/>
      <c r="L8180" s="218"/>
    </row>
    <row r="8181">
      <c r="B8181" s="223" t="s">
        <v>200</v>
      </c>
      <c r="C8181" s="223"/>
      <c r="K8181" s="319"/>
      <c r="L8181" s="218"/>
    </row>
    <row r="8182">
      <c r="B8182" s="223" t="s">
        <v>200</v>
      </c>
      <c r="C8182" s="223"/>
      <c r="K8182" s="319"/>
      <c r="L8182" s="218"/>
    </row>
    <row r="8183">
      <c r="B8183" s="223" t="s">
        <v>200</v>
      </c>
      <c r="C8183" s="223"/>
      <c r="K8183" s="319"/>
      <c r="L8183" s="218"/>
    </row>
    <row r="8184">
      <c r="B8184" s="223" t="s">
        <v>200</v>
      </c>
      <c r="C8184" s="223"/>
      <c r="K8184" s="319"/>
      <c r="L8184" s="218"/>
    </row>
    <row r="8185">
      <c r="B8185" s="223" t="s">
        <v>200</v>
      </c>
      <c r="C8185" s="223"/>
      <c r="K8185" s="319"/>
      <c r="L8185" s="218"/>
    </row>
    <row r="8186">
      <c r="B8186" s="223" t="s">
        <v>200</v>
      </c>
      <c r="C8186" s="223"/>
      <c r="K8186" s="319"/>
      <c r="L8186" s="218"/>
    </row>
    <row r="8187">
      <c r="B8187" s="223" t="s">
        <v>200</v>
      </c>
      <c r="C8187" s="223"/>
      <c r="K8187" s="319"/>
      <c r="L8187" s="218"/>
    </row>
    <row r="8188">
      <c r="B8188" s="223" t="s">
        <v>200</v>
      </c>
      <c r="C8188" s="223"/>
      <c r="K8188" s="319"/>
      <c r="L8188" s="218"/>
    </row>
    <row r="8189">
      <c r="B8189" s="223" t="s">
        <v>200</v>
      </c>
      <c r="C8189" s="223"/>
      <c r="K8189" s="319"/>
      <c r="L8189" s="218"/>
    </row>
    <row r="8190">
      <c r="B8190" s="223" t="s">
        <v>200</v>
      </c>
      <c r="C8190" s="223"/>
      <c r="K8190" s="319"/>
      <c r="L8190" s="218"/>
    </row>
    <row r="8191">
      <c r="B8191" s="223" t="s">
        <v>200</v>
      </c>
      <c r="C8191" s="223"/>
      <c r="K8191" s="319"/>
      <c r="L8191" s="218"/>
    </row>
    <row r="8192">
      <c r="B8192" s="223" t="s">
        <v>200</v>
      </c>
      <c r="C8192" s="223"/>
      <c r="K8192" s="319"/>
      <c r="L8192" s="218"/>
    </row>
    <row r="8193">
      <c r="B8193" s="223" t="s">
        <v>200</v>
      </c>
      <c r="C8193" s="223"/>
      <c r="K8193" s="319"/>
      <c r="L8193" s="218"/>
    </row>
    <row r="8194">
      <c r="B8194" s="223" t="s">
        <v>200</v>
      </c>
      <c r="C8194" s="223"/>
      <c r="K8194" s="319"/>
      <c r="L8194" s="218"/>
    </row>
    <row r="8195">
      <c r="B8195" s="223" t="s">
        <v>200</v>
      </c>
      <c r="C8195" s="223"/>
      <c r="K8195" s="319"/>
      <c r="L8195" s="218"/>
    </row>
    <row r="8196">
      <c r="B8196" s="223" t="s">
        <v>200</v>
      </c>
      <c r="C8196" s="223"/>
      <c r="K8196" s="319"/>
      <c r="L8196" s="218"/>
    </row>
    <row r="8197">
      <c r="B8197" s="223" t="s">
        <v>200</v>
      </c>
      <c r="C8197" s="223"/>
      <c r="K8197" s="319"/>
      <c r="L8197" s="218"/>
    </row>
    <row r="8198">
      <c r="B8198" s="223" t="s">
        <v>200</v>
      </c>
      <c r="C8198" s="223"/>
      <c r="K8198" s="319"/>
      <c r="L8198" s="218"/>
    </row>
    <row r="8199">
      <c r="B8199" s="223" t="s">
        <v>200</v>
      </c>
      <c r="C8199" s="223"/>
      <c r="K8199" s="319"/>
      <c r="L8199" s="218"/>
    </row>
    <row r="8200">
      <c r="B8200" s="223" t="s">
        <v>200</v>
      </c>
      <c r="C8200" s="223"/>
      <c r="K8200" s="319"/>
      <c r="L8200" s="218"/>
    </row>
    <row r="8201">
      <c r="B8201" s="223" t="s">
        <v>200</v>
      </c>
      <c r="C8201" s="223"/>
      <c r="K8201" s="319"/>
      <c r="L8201" s="218"/>
    </row>
    <row r="8202">
      <c r="B8202" s="223" t="s">
        <v>200</v>
      </c>
      <c r="C8202" s="223"/>
      <c r="K8202" s="319"/>
      <c r="L8202" s="218"/>
    </row>
    <row r="8203">
      <c r="B8203" s="223" t="s">
        <v>200</v>
      </c>
      <c r="C8203" s="223"/>
      <c r="K8203" s="319"/>
      <c r="L8203" s="218"/>
    </row>
    <row r="8204">
      <c r="B8204" s="223" t="s">
        <v>200</v>
      </c>
      <c r="C8204" s="223"/>
      <c r="K8204" s="319"/>
      <c r="L8204" s="218"/>
    </row>
    <row r="8205">
      <c r="B8205" s="223" t="s">
        <v>200</v>
      </c>
      <c r="C8205" s="223"/>
      <c r="K8205" s="319"/>
      <c r="L8205" s="218"/>
    </row>
    <row r="8206">
      <c r="B8206" s="223" t="s">
        <v>200</v>
      </c>
      <c r="C8206" s="223"/>
      <c r="K8206" s="319"/>
      <c r="L8206" s="218"/>
    </row>
    <row r="8207">
      <c r="B8207" s="223" t="s">
        <v>200</v>
      </c>
      <c r="C8207" s="223"/>
      <c r="K8207" s="319"/>
      <c r="L8207" s="218"/>
    </row>
    <row r="8208">
      <c r="B8208" s="223" t="s">
        <v>200</v>
      </c>
      <c r="C8208" s="223"/>
      <c r="K8208" s="319"/>
      <c r="L8208" s="218"/>
    </row>
    <row r="8209">
      <c r="B8209" s="223" t="s">
        <v>200</v>
      </c>
      <c r="C8209" s="223"/>
      <c r="K8209" s="319"/>
      <c r="L8209" s="218"/>
    </row>
    <row r="8210">
      <c r="B8210" s="223" t="s">
        <v>200</v>
      </c>
      <c r="C8210" s="223"/>
      <c r="K8210" s="319"/>
      <c r="L8210" s="218"/>
    </row>
    <row r="8211">
      <c r="B8211" s="223" t="s">
        <v>200</v>
      </c>
      <c r="C8211" s="223"/>
      <c r="K8211" s="319"/>
      <c r="L8211" s="218"/>
    </row>
    <row r="8212">
      <c r="B8212" s="223" t="s">
        <v>200</v>
      </c>
      <c r="C8212" s="223"/>
      <c r="K8212" s="319"/>
      <c r="L8212" s="218"/>
    </row>
    <row r="8213">
      <c r="B8213" s="223" t="s">
        <v>200</v>
      </c>
      <c r="C8213" s="223"/>
      <c r="K8213" s="319"/>
      <c r="L8213" s="218"/>
    </row>
    <row r="8214">
      <c r="B8214" s="223" t="s">
        <v>200</v>
      </c>
      <c r="C8214" s="223"/>
      <c r="K8214" s="319"/>
      <c r="L8214" s="218"/>
    </row>
    <row r="8215">
      <c r="B8215" s="223" t="s">
        <v>200</v>
      </c>
      <c r="C8215" s="223"/>
      <c r="K8215" s="319"/>
      <c r="L8215" s="218"/>
    </row>
    <row r="8216">
      <c r="B8216" s="223" t="s">
        <v>200</v>
      </c>
      <c r="C8216" s="223"/>
      <c r="K8216" s="319"/>
      <c r="L8216" s="218"/>
    </row>
    <row r="8217">
      <c r="B8217" s="223" t="s">
        <v>200</v>
      </c>
      <c r="C8217" s="223"/>
      <c r="K8217" s="319"/>
      <c r="L8217" s="218"/>
    </row>
    <row r="8218">
      <c r="B8218" s="223" t="s">
        <v>200</v>
      </c>
      <c r="C8218" s="223"/>
      <c r="K8218" s="319"/>
      <c r="L8218" s="218"/>
    </row>
    <row r="8219">
      <c r="B8219" s="223" t="s">
        <v>200</v>
      </c>
      <c r="C8219" s="223"/>
      <c r="K8219" s="319"/>
      <c r="L8219" s="218"/>
    </row>
    <row r="8220">
      <c r="B8220" s="223" t="s">
        <v>200</v>
      </c>
      <c r="C8220" s="223"/>
      <c r="K8220" s="319"/>
      <c r="L8220" s="218"/>
    </row>
    <row r="8221">
      <c r="B8221" s="223" t="s">
        <v>200</v>
      </c>
      <c r="C8221" s="223"/>
      <c r="K8221" s="319"/>
      <c r="L8221" s="218"/>
    </row>
    <row r="8222">
      <c r="B8222" s="223" t="s">
        <v>200</v>
      </c>
      <c r="C8222" s="223"/>
      <c r="K8222" s="319"/>
      <c r="L8222" s="218"/>
    </row>
    <row r="8223">
      <c r="B8223" s="223" t="s">
        <v>200</v>
      </c>
      <c r="C8223" s="223"/>
      <c r="K8223" s="319"/>
      <c r="L8223" s="218"/>
    </row>
    <row r="8224">
      <c r="B8224" s="223" t="s">
        <v>200</v>
      </c>
      <c r="C8224" s="223"/>
      <c r="K8224" s="319"/>
      <c r="L8224" s="218"/>
    </row>
    <row r="8225">
      <c r="B8225" s="223" t="s">
        <v>200</v>
      </c>
      <c r="C8225" s="223"/>
      <c r="K8225" s="319"/>
      <c r="L8225" s="218"/>
    </row>
    <row r="8226">
      <c r="B8226" s="223" t="s">
        <v>200</v>
      </c>
      <c r="C8226" s="223"/>
      <c r="K8226" s="319"/>
      <c r="L8226" s="218"/>
    </row>
    <row r="8227">
      <c r="B8227" s="223" t="s">
        <v>200</v>
      </c>
      <c r="C8227" s="223"/>
      <c r="K8227" s="319"/>
      <c r="L8227" s="218"/>
    </row>
    <row r="8228">
      <c r="B8228" s="223" t="s">
        <v>200</v>
      </c>
      <c r="C8228" s="223"/>
      <c r="K8228" s="319"/>
      <c r="L8228" s="218"/>
    </row>
    <row r="8229">
      <c r="B8229" s="223" t="s">
        <v>200</v>
      </c>
      <c r="C8229" s="223"/>
      <c r="K8229" s="319"/>
      <c r="L8229" s="218"/>
    </row>
    <row r="8230">
      <c r="B8230" s="223" t="s">
        <v>200</v>
      </c>
      <c r="C8230" s="223"/>
      <c r="K8230" s="319"/>
      <c r="L8230" s="218"/>
    </row>
    <row r="8231">
      <c r="B8231" s="223" t="s">
        <v>200</v>
      </c>
      <c r="C8231" s="223"/>
      <c r="K8231" s="319"/>
      <c r="L8231" s="218"/>
    </row>
    <row r="8232">
      <c r="B8232" s="223" t="s">
        <v>200</v>
      </c>
      <c r="C8232" s="223"/>
      <c r="K8232" s="319"/>
      <c r="L8232" s="218"/>
    </row>
    <row r="8233">
      <c r="B8233" s="223" t="s">
        <v>200</v>
      </c>
      <c r="C8233" s="223"/>
      <c r="K8233" s="319"/>
      <c r="L8233" s="218"/>
    </row>
    <row r="8234">
      <c r="B8234" s="223" t="s">
        <v>200</v>
      </c>
      <c r="C8234" s="223"/>
      <c r="K8234" s="319"/>
      <c r="L8234" s="218"/>
    </row>
    <row r="8235">
      <c r="B8235" s="223" t="s">
        <v>200</v>
      </c>
      <c r="C8235" s="223"/>
      <c r="K8235" s="319"/>
      <c r="L8235" s="218"/>
    </row>
    <row r="8236">
      <c r="B8236" s="223" t="s">
        <v>200</v>
      </c>
      <c r="C8236" s="223"/>
      <c r="K8236" s="319"/>
      <c r="L8236" s="218"/>
    </row>
    <row r="8237">
      <c r="B8237" s="223" t="s">
        <v>200</v>
      </c>
      <c r="C8237" s="223"/>
      <c r="K8237" s="319"/>
      <c r="L8237" s="218"/>
    </row>
    <row r="8238">
      <c r="B8238" s="223" t="s">
        <v>200</v>
      </c>
      <c r="C8238" s="223"/>
      <c r="K8238" s="319"/>
      <c r="L8238" s="218"/>
    </row>
    <row r="8239">
      <c r="B8239" s="223" t="s">
        <v>200</v>
      </c>
      <c r="C8239" s="223"/>
      <c r="K8239" s="319"/>
      <c r="L8239" s="218"/>
    </row>
    <row r="8240">
      <c r="B8240" s="223" t="s">
        <v>200</v>
      </c>
      <c r="C8240" s="223"/>
      <c r="K8240" s="319"/>
      <c r="L8240" s="218"/>
    </row>
    <row r="8241">
      <c r="B8241" s="223" t="s">
        <v>200</v>
      </c>
      <c r="C8241" s="223"/>
      <c r="K8241" s="319"/>
      <c r="L8241" s="218"/>
    </row>
    <row r="8242">
      <c r="B8242" s="223" t="s">
        <v>200</v>
      </c>
      <c r="C8242" s="223"/>
      <c r="K8242" s="319"/>
      <c r="L8242" s="218"/>
    </row>
    <row r="8243">
      <c r="B8243" s="223" t="s">
        <v>200</v>
      </c>
      <c r="C8243" s="223"/>
      <c r="K8243" s="319"/>
      <c r="L8243" s="218"/>
    </row>
    <row r="8244">
      <c r="B8244" s="223" t="s">
        <v>200</v>
      </c>
      <c r="C8244" s="223"/>
      <c r="K8244" s="319"/>
      <c r="L8244" s="218"/>
    </row>
    <row r="8245">
      <c r="B8245" s="223" t="s">
        <v>200</v>
      </c>
      <c r="C8245" s="223"/>
      <c r="K8245" s="319"/>
      <c r="L8245" s="218"/>
    </row>
    <row r="8246">
      <c r="B8246" s="223" t="s">
        <v>200</v>
      </c>
      <c r="C8246" s="223"/>
      <c r="K8246" s="319"/>
      <c r="L8246" s="218"/>
    </row>
    <row r="8247">
      <c r="B8247" s="223" t="s">
        <v>200</v>
      </c>
      <c r="C8247" s="223"/>
      <c r="K8247" s="319"/>
      <c r="L8247" s="218"/>
    </row>
    <row r="8248">
      <c r="B8248" s="223" t="s">
        <v>200</v>
      </c>
      <c r="C8248" s="223"/>
      <c r="K8248" s="319"/>
      <c r="L8248" s="218"/>
    </row>
    <row r="8249">
      <c r="B8249" s="223" t="s">
        <v>200</v>
      </c>
      <c r="C8249" s="223"/>
      <c r="K8249" s="319"/>
      <c r="L8249" s="218"/>
    </row>
    <row r="8250">
      <c r="B8250" s="223" t="s">
        <v>200</v>
      </c>
      <c r="C8250" s="223"/>
      <c r="K8250" s="319"/>
      <c r="L8250" s="218"/>
    </row>
    <row r="8251">
      <c r="B8251" s="223" t="s">
        <v>200</v>
      </c>
      <c r="C8251" s="223"/>
      <c r="K8251" s="319"/>
      <c r="L8251" s="218"/>
    </row>
    <row r="8252">
      <c r="B8252" s="223" t="s">
        <v>200</v>
      </c>
      <c r="C8252" s="223"/>
      <c r="K8252" s="319"/>
      <c r="L8252" s="218"/>
    </row>
    <row r="8253">
      <c r="B8253" s="223" t="s">
        <v>200</v>
      </c>
      <c r="C8253" s="223"/>
      <c r="K8253" s="319"/>
      <c r="L8253" s="218"/>
    </row>
    <row r="8254">
      <c r="B8254" s="223" t="s">
        <v>200</v>
      </c>
      <c r="C8254" s="223"/>
      <c r="K8254" s="319"/>
      <c r="L8254" s="218"/>
    </row>
    <row r="8255">
      <c r="B8255" s="223" t="s">
        <v>200</v>
      </c>
      <c r="C8255" s="223"/>
      <c r="K8255" s="319"/>
      <c r="L8255" s="218"/>
    </row>
    <row r="8256">
      <c r="B8256" s="223" t="s">
        <v>200</v>
      </c>
      <c r="C8256" s="223"/>
      <c r="K8256" s="319"/>
      <c r="L8256" s="218"/>
    </row>
    <row r="8257">
      <c r="B8257" s="223" t="s">
        <v>200</v>
      </c>
      <c r="C8257" s="223"/>
      <c r="K8257" s="319"/>
      <c r="L8257" s="218"/>
    </row>
    <row r="8258">
      <c r="B8258" s="223" t="s">
        <v>200</v>
      </c>
      <c r="C8258" s="223"/>
      <c r="K8258" s="319"/>
      <c r="L8258" s="218"/>
    </row>
    <row r="8259">
      <c r="B8259" s="223" t="s">
        <v>200</v>
      </c>
      <c r="C8259" s="223"/>
      <c r="K8259" s="319"/>
      <c r="L8259" s="218"/>
    </row>
    <row r="8260">
      <c r="B8260" s="223" t="s">
        <v>200</v>
      </c>
      <c r="C8260" s="223"/>
      <c r="K8260" s="319"/>
      <c r="L8260" s="218"/>
    </row>
    <row r="8261">
      <c r="B8261" s="223" t="s">
        <v>200</v>
      </c>
      <c r="C8261" s="223"/>
      <c r="K8261" s="319"/>
      <c r="L8261" s="218"/>
    </row>
    <row r="8262">
      <c r="B8262" s="223" t="s">
        <v>200</v>
      </c>
      <c r="C8262" s="223"/>
      <c r="K8262" s="319"/>
      <c r="L8262" s="218"/>
    </row>
    <row r="8263">
      <c r="B8263" s="223" t="s">
        <v>200</v>
      </c>
      <c r="C8263" s="223"/>
      <c r="K8263" s="319"/>
      <c r="L8263" s="218"/>
    </row>
    <row r="8264">
      <c r="B8264" s="223" t="s">
        <v>200</v>
      </c>
      <c r="C8264" s="223"/>
      <c r="K8264" s="319"/>
      <c r="L8264" s="218"/>
    </row>
    <row r="8265">
      <c r="B8265" s="223" t="s">
        <v>200</v>
      </c>
      <c r="C8265" s="223"/>
      <c r="K8265" s="319"/>
      <c r="L8265" s="218"/>
    </row>
    <row r="8266">
      <c r="B8266" s="223" t="s">
        <v>200</v>
      </c>
      <c r="C8266" s="223"/>
      <c r="K8266" s="319"/>
      <c r="L8266" s="218"/>
    </row>
    <row r="8267">
      <c r="B8267" s="223" t="s">
        <v>200</v>
      </c>
      <c r="C8267" s="223"/>
      <c r="K8267" s="319"/>
      <c r="L8267" s="218"/>
    </row>
    <row r="8268">
      <c r="B8268" s="223" t="s">
        <v>200</v>
      </c>
      <c r="C8268" s="223"/>
      <c r="K8268" s="319"/>
      <c r="L8268" s="218"/>
    </row>
    <row r="8269">
      <c r="B8269" s="223" t="s">
        <v>200</v>
      </c>
      <c r="C8269" s="223"/>
      <c r="K8269" s="319"/>
      <c r="L8269" s="218"/>
    </row>
    <row r="8270">
      <c r="B8270" s="223" t="s">
        <v>200</v>
      </c>
      <c r="C8270" s="223"/>
      <c r="K8270" s="319"/>
      <c r="L8270" s="218"/>
    </row>
    <row r="8271">
      <c r="B8271" s="223" t="s">
        <v>200</v>
      </c>
      <c r="C8271" s="223"/>
      <c r="K8271" s="319"/>
      <c r="L8271" s="218"/>
    </row>
    <row r="8272">
      <c r="B8272" s="223" t="s">
        <v>200</v>
      </c>
      <c r="C8272" s="223"/>
      <c r="K8272" s="319"/>
      <c r="L8272" s="218"/>
    </row>
    <row r="8273">
      <c r="B8273" s="223" t="s">
        <v>200</v>
      </c>
      <c r="C8273" s="223"/>
      <c r="K8273" s="319"/>
      <c r="L8273" s="218"/>
    </row>
    <row r="8274">
      <c r="B8274" s="223" t="s">
        <v>200</v>
      </c>
      <c r="C8274" s="223"/>
      <c r="K8274" s="319"/>
      <c r="L8274" s="218"/>
    </row>
    <row r="8275">
      <c r="B8275" s="223" t="s">
        <v>200</v>
      </c>
      <c r="C8275" s="223"/>
      <c r="K8275" s="319"/>
      <c r="L8275" s="218"/>
    </row>
    <row r="8276">
      <c r="B8276" s="223" t="s">
        <v>200</v>
      </c>
      <c r="C8276" s="223"/>
      <c r="K8276" s="319"/>
      <c r="L8276" s="218"/>
    </row>
    <row r="8277">
      <c r="B8277" s="223" t="s">
        <v>200</v>
      </c>
      <c r="C8277" s="223"/>
      <c r="K8277" s="319"/>
      <c r="L8277" s="218"/>
    </row>
    <row r="8278">
      <c r="B8278" s="223" t="s">
        <v>200</v>
      </c>
      <c r="C8278" s="223"/>
      <c r="K8278" s="319"/>
      <c r="L8278" s="218"/>
    </row>
    <row r="8279">
      <c r="B8279" s="223" t="s">
        <v>200</v>
      </c>
      <c r="C8279" s="223"/>
      <c r="K8279" s="319"/>
      <c r="L8279" s="218"/>
    </row>
    <row r="8280">
      <c r="B8280" s="223" t="s">
        <v>200</v>
      </c>
      <c r="C8280" s="223"/>
      <c r="K8280" s="319"/>
      <c r="L8280" s="218"/>
    </row>
    <row r="8281">
      <c r="B8281" s="223" t="s">
        <v>200</v>
      </c>
      <c r="C8281" s="223"/>
      <c r="K8281" s="319"/>
      <c r="L8281" s="218"/>
    </row>
    <row r="8282">
      <c r="B8282" s="223" t="s">
        <v>200</v>
      </c>
      <c r="C8282" s="223"/>
      <c r="K8282" s="319"/>
      <c r="L8282" s="218"/>
    </row>
    <row r="8283">
      <c r="B8283" s="223" t="s">
        <v>200</v>
      </c>
      <c r="C8283" s="223"/>
      <c r="K8283" s="319"/>
      <c r="L8283" s="218"/>
    </row>
    <row r="8284">
      <c r="B8284" s="223" t="s">
        <v>200</v>
      </c>
      <c r="C8284" s="223"/>
      <c r="K8284" s="319"/>
      <c r="L8284" s="218"/>
    </row>
    <row r="8285">
      <c r="B8285" s="223" t="s">
        <v>200</v>
      </c>
      <c r="C8285" s="223"/>
      <c r="K8285" s="319"/>
      <c r="L8285" s="218"/>
    </row>
    <row r="8286">
      <c r="B8286" s="223" t="s">
        <v>200</v>
      </c>
      <c r="C8286" s="223"/>
      <c r="K8286" s="319"/>
      <c r="L8286" s="218"/>
    </row>
    <row r="8287">
      <c r="B8287" s="223" t="s">
        <v>200</v>
      </c>
      <c r="C8287" s="223"/>
      <c r="K8287" s="319"/>
      <c r="L8287" s="218"/>
    </row>
    <row r="8288">
      <c r="B8288" s="223" t="s">
        <v>200</v>
      </c>
      <c r="C8288" s="223"/>
      <c r="K8288" s="319"/>
      <c r="L8288" s="218"/>
    </row>
    <row r="8289">
      <c r="B8289" s="223" t="s">
        <v>200</v>
      </c>
      <c r="C8289" s="223"/>
      <c r="K8289" s="319"/>
      <c r="L8289" s="218"/>
    </row>
    <row r="8290">
      <c r="B8290" s="223" t="s">
        <v>200</v>
      </c>
      <c r="C8290" s="223"/>
      <c r="K8290" s="319"/>
      <c r="L8290" s="218"/>
    </row>
    <row r="8291">
      <c r="B8291" s="223" t="s">
        <v>200</v>
      </c>
      <c r="C8291" s="223"/>
      <c r="K8291" s="319"/>
      <c r="L8291" s="218"/>
    </row>
    <row r="8292">
      <c r="B8292" s="223" t="s">
        <v>200</v>
      </c>
      <c r="C8292" s="223"/>
      <c r="K8292" s="319"/>
      <c r="L8292" s="218"/>
    </row>
    <row r="8293">
      <c r="B8293" s="223" t="s">
        <v>200</v>
      </c>
      <c r="C8293" s="223"/>
      <c r="K8293" s="319"/>
      <c r="L8293" s="218"/>
    </row>
    <row r="8294">
      <c r="B8294" s="223" t="s">
        <v>200</v>
      </c>
      <c r="C8294" s="223"/>
      <c r="K8294" s="319"/>
      <c r="L8294" s="218"/>
    </row>
    <row r="8295">
      <c r="B8295" s="223" t="s">
        <v>200</v>
      </c>
      <c r="C8295" s="223"/>
      <c r="K8295" s="319"/>
      <c r="L8295" s="218"/>
    </row>
    <row r="8296">
      <c r="B8296" s="223" t="s">
        <v>200</v>
      </c>
      <c r="C8296" s="223"/>
      <c r="K8296" s="319"/>
      <c r="L8296" s="218"/>
    </row>
    <row r="8297">
      <c r="B8297" s="223" t="s">
        <v>200</v>
      </c>
      <c r="C8297" s="223"/>
      <c r="K8297" s="319"/>
      <c r="L8297" s="218"/>
    </row>
    <row r="8298">
      <c r="B8298" s="223" t="s">
        <v>200</v>
      </c>
      <c r="C8298" s="223"/>
      <c r="K8298" s="319"/>
      <c r="L8298" s="218"/>
    </row>
    <row r="8299">
      <c r="B8299" s="223" t="s">
        <v>200</v>
      </c>
      <c r="C8299" s="223"/>
      <c r="K8299" s="319"/>
      <c r="L8299" s="218"/>
    </row>
    <row r="8300">
      <c r="B8300" s="223" t="s">
        <v>200</v>
      </c>
      <c r="C8300" s="223"/>
      <c r="K8300" s="319"/>
      <c r="L8300" s="218"/>
    </row>
    <row r="8301">
      <c r="B8301" s="223" t="s">
        <v>200</v>
      </c>
      <c r="C8301" s="223"/>
      <c r="K8301" s="319"/>
      <c r="L8301" s="218"/>
    </row>
    <row r="8302">
      <c r="B8302" s="223" t="s">
        <v>200</v>
      </c>
      <c r="C8302" s="223"/>
      <c r="K8302" s="319"/>
      <c r="L8302" s="218"/>
    </row>
    <row r="8303">
      <c r="B8303" s="223" t="s">
        <v>200</v>
      </c>
      <c r="C8303" s="223"/>
      <c r="K8303" s="319"/>
      <c r="L8303" s="218"/>
    </row>
    <row r="8304">
      <c r="B8304" s="223" t="s">
        <v>200</v>
      </c>
      <c r="C8304" s="223"/>
      <c r="K8304" s="319"/>
      <c r="L8304" s="218"/>
    </row>
    <row r="8305">
      <c r="B8305" s="223" t="s">
        <v>200</v>
      </c>
      <c r="C8305" s="223"/>
      <c r="K8305" s="319"/>
      <c r="L8305" s="218"/>
    </row>
    <row r="8306">
      <c r="B8306" s="223" t="s">
        <v>200</v>
      </c>
      <c r="C8306" s="223"/>
      <c r="K8306" s="319"/>
      <c r="L8306" s="218"/>
    </row>
    <row r="8307">
      <c r="B8307" s="223" t="s">
        <v>200</v>
      </c>
      <c r="C8307" s="223"/>
      <c r="K8307" s="319"/>
      <c r="L8307" s="218"/>
    </row>
    <row r="8308">
      <c r="B8308" s="223" t="s">
        <v>200</v>
      </c>
      <c r="C8308" s="223"/>
      <c r="K8308" s="319"/>
      <c r="L8308" s="218"/>
    </row>
    <row r="8309">
      <c r="B8309" s="223" t="s">
        <v>200</v>
      </c>
      <c r="C8309" s="223"/>
      <c r="K8309" s="319"/>
      <c r="L8309" s="218"/>
    </row>
    <row r="8310">
      <c r="B8310" s="223" t="s">
        <v>200</v>
      </c>
      <c r="C8310" s="223"/>
      <c r="K8310" s="319"/>
      <c r="L8310" s="218"/>
    </row>
    <row r="8311">
      <c r="B8311" s="223" t="s">
        <v>200</v>
      </c>
      <c r="C8311" s="223"/>
      <c r="K8311" s="319"/>
      <c r="L8311" s="218"/>
    </row>
    <row r="8312">
      <c r="B8312" s="223" t="s">
        <v>200</v>
      </c>
      <c r="C8312" s="223"/>
      <c r="K8312" s="319"/>
      <c r="L8312" s="218"/>
    </row>
    <row r="8313">
      <c r="B8313" s="223" t="s">
        <v>200</v>
      </c>
      <c r="C8313" s="223"/>
      <c r="K8313" s="319"/>
      <c r="L8313" s="218"/>
    </row>
    <row r="8314">
      <c r="B8314" s="223" t="s">
        <v>200</v>
      </c>
      <c r="C8314" s="223"/>
      <c r="K8314" s="319"/>
      <c r="L8314" s="218"/>
    </row>
    <row r="8315">
      <c r="B8315" s="223" t="s">
        <v>200</v>
      </c>
      <c r="C8315" s="223"/>
      <c r="K8315" s="319"/>
      <c r="L8315" s="218"/>
    </row>
    <row r="8316">
      <c r="B8316" s="223" t="s">
        <v>200</v>
      </c>
      <c r="C8316" s="223"/>
      <c r="K8316" s="319"/>
      <c r="L8316" s="218"/>
    </row>
    <row r="8317">
      <c r="B8317" s="223" t="s">
        <v>200</v>
      </c>
      <c r="C8317" s="223"/>
      <c r="K8317" s="319"/>
      <c r="L8317" s="218"/>
    </row>
    <row r="8318">
      <c r="B8318" s="223" t="s">
        <v>200</v>
      </c>
      <c r="C8318" s="223"/>
      <c r="K8318" s="319"/>
      <c r="L8318" s="218"/>
    </row>
    <row r="8319">
      <c r="B8319" s="223" t="s">
        <v>200</v>
      </c>
      <c r="C8319" s="223"/>
      <c r="K8319" s="319"/>
      <c r="L8319" s="218"/>
    </row>
    <row r="8320">
      <c r="B8320" s="223" t="s">
        <v>200</v>
      </c>
      <c r="C8320" s="223"/>
      <c r="K8320" s="319"/>
      <c r="L8320" s="218"/>
    </row>
    <row r="8321">
      <c r="B8321" s="223" t="s">
        <v>200</v>
      </c>
      <c r="C8321" s="223"/>
      <c r="K8321" s="319"/>
      <c r="L8321" s="218"/>
    </row>
    <row r="8322">
      <c r="B8322" s="223" t="s">
        <v>200</v>
      </c>
      <c r="C8322" s="223"/>
      <c r="K8322" s="319"/>
      <c r="L8322" s="218"/>
    </row>
    <row r="8323">
      <c r="B8323" s="223" t="s">
        <v>200</v>
      </c>
      <c r="C8323" s="223"/>
      <c r="K8323" s="319"/>
      <c r="L8323" s="218"/>
    </row>
    <row r="8324">
      <c r="B8324" s="223" t="s">
        <v>200</v>
      </c>
      <c r="C8324" s="223"/>
      <c r="K8324" s="319"/>
      <c r="L8324" s="218"/>
    </row>
    <row r="8325">
      <c r="B8325" s="223" t="s">
        <v>200</v>
      </c>
      <c r="C8325" s="223"/>
      <c r="K8325" s="319"/>
      <c r="L8325" s="218"/>
    </row>
    <row r="8326">
      <c r="B8326" s="223" t="s">
        <v>200</v>
      </c>
      <c r="C8326" s="223"/>
      <c r="K8326" s="319"/>
      <c r="L8326" s="218"/>
    </row>
    <row r="8327">
      <c r="B8327" s="223" t="s">
        <v>200</v>
      </c>
      <c r="C8327" s="223"/>
      <c r="K8327" s="319"/>
      <c r="L8327" s="218"/>
    </row>
    <row r="8328">
      <c r="B8328" s="223" t="s">
        <v>200</v>
      </c>
      <c r="C8328" s="223"/>
      <c r="K8328" s="319"/>
      <c r="L8328" s="218"/>
    </row>
    <row r="8329">
      <c r="B8329" s="223" t="s">
        <v>200</v>
      </c>
      <c r="C8329" s="223"/>
      <c r="K8329" s="319"/>
      <c r="L8329" s="218"/>
    </row>
    <row r="8330">
      <c r="B8330" s="223" t="s">
        <v>200</v>
      </c>
      <c r="C8330" s="223"/>
      <c r="K8330" s="319"/>
      <c r="L8330" s="218"/>
    </row>
    <row r="8331">
      <c r="B8331" s="223" t="s">
        <v>200</v>
      </c>
      <c r="C8331" s="223"/>
      <c r="K8331" s="319"/>
      <c r="L8331" s="218"/>
    </row>
    <row r="8332">
      <c r="B8332" s="223" t="s">
        <v>200</v>
      </c>
      <c r="C8332" s="223"/>
      <c r="K8332" s="319"/>
      <c r="L8332" s="218"/>
    </row>
    <row r="8333">
      <c r="B8333" s="223" t="s">
        <v>200</v>
      </c>
      <c r="C8333" s="223"/>
      <c r="K8333" s="319"/>
      <c r="L8333" s="218"/>
    </row>
    <row r="8334">
      <c r="B8334" s="223" t="s">
        <v>200</v>
      </c>
      <c r="C8334" s="223"/>
      <c r="K8334" s="319"/>
      <c r="L8334" s="218"/>
    </row>
    <row r="8335">
      <c r="B8335" s="223" t="s">
        <v>200</v>
      </c>
      <c r="C8335" s="223"/>
      <c r="K8335" s="319"/>
      <c r="L8335" s="218"/>
    </row>
    <row r="8336">
      <c r="B8336" s="223" t="s">
        <v>200</v>
      </c>
      <c r="C8336" s="223"/>
      <c r="K8336" s="319"/>
      <c r="L8336" s="218"/>
    </row>
    <row r="8337">
      <c r="B8337" s="223" t="s">
        <v>200</v>
      </c>
      <c r="C8337" s="223"/>
      <c r="K8337" s="319"/>
      <c r="L8337" s="218"/>
    </row>
    <row r="8338">
      <c r="B8338" s="223" t="s">
        <v>200</v>
      </c>
      <c r="C8338" s="223"/>
      <c r="K8338" s="319"/>
      <c r="L8338" s="218"/>
    </row>
    <row r="8339">
      <c r="B8339" s="223" t="s">
        <v>200</v>
      </c>
      <c r="C8339" s="223"/>
      <c r="K8339" s="319"/>
      <c r="L8339" s="218"/>
    </row>
    <row r="8340">
      <c r="B8340" s="223" t="s">
        <v>200</v>
      </c>
      <c r="C8340" s="223"/>
      <c r="K8340" s="319"/>
      <c r="L8340" s="218"/>
    </row>
    <row r="8341">
      <c r="B8341" s="223" t="s">
        <v>200</v>
      </c>
      <c r="C8341" s="223"/>
      <c r="K8341" s="319"/>
      <c r="L8341" s="218"/>
    </row>
    <row r="8342">
      <c r="B8342" s="223" t="s">
        <v>200</v>
      </c>
      <c r="C8342" s="223"/>
      <c r="K8342" s="319"/>
      <c r="L8342" s="218"/>
    </row>
    <row r="8343">
      <c r="B8343" s="223" t="s">
        <v>200</v>
      </c>
      <c r="C8343" s="223"/>
      <c r="K8343" s="319"/>
      <c r="L8343" s="218"/>
    </row>
    <row r="8344">
      <c r="B8344" s="223" t="s">
        <v>200</v>
      </c>
      <c r="C8344" s="223"/>
      <c r="K8344" s="319"/>
      <c r="L8344" s="218"/>
    </row>
    <row r="8345">
      <c r="B8345" s="223" t="s">
        <v>200</v>
      </c>
      <c r="C8345" s="223"/>
      <c r="K8345" s="319"/>
      <c r="L8345" s="218"/>
    </row>
    <row r="8346">
      <c r="B8346" s="223" t="s">
        <v>200</v>
      </c>
      <c r="C8346" s="223"/>
      <c r="K8346" s="319"/>
      <c r="L8346" s="218"/>
    </row>
    <row r="8347">
      <c r="B8347" s="223" t="s">
        <v>200</v>
      </c>
      <c r="C8347" s="223"/>
      <c r="K8347" s="319"/>
      <c r="L8347" s="218"/>
    </row>
    <row r="8348">
      <c r="B8348" s="223" t="s">
        <v>200</v>
      </c>
      <c r="C8348" s="223"/>
      <c r="K8348" s="319"/>
      <c r="L8348" s="218"/>
    </row>
    <row r="8349">
      <c r="B8349" s="223" t="s">
        <v>200</v>
      </c>
      <c r="C8349" s="223"/>
      <c r="K8349" s="319"/>
      <c r="L8349" s="218"/>
    </row>
    <row r="8350">
      <c r="B8350" s="223" t="s">
        <v>200</v>
      </c>
      <c r="C8350" s="223"/>
      <c r="K8350" s="319"/>
      <c r="L8350" s="218"/>
    </row>
    <row r="8351">
      <c r="B8351" s="223" t="s">
        <v>200</v>
      </c>
      <c r="C8351" s="223"/>
      <c r="K8351" s="319"/>
      <c r="L8351" s="218"/>
    </row>
    <row r="8352">
      <c r="B8352" s="223" t="s">
        <v>200</v>
      </c>
      <c r="C8352" s="223"/>
      <c r="K8352" s="319"/>
      <c r="L8352" s="218"/>
    </row>
    <row r="8353">
      <c r="B8353" s="223" t="s">
        <v>200</v>
      </c>
      <c r="C8353" s="223"/>
      <c r="K8353" s="319"/>
      <c r="L8353" s="218"/>
    </row>
    <row r="8354">
      <c r="B8354" s="223" t="s">
        <v>200</v>
      </c>
      <c r="C8354" s="223"/>
      <c r="K8354" s="319"/>
      <c r="L8354" s="218"/>
    </row>
    <row r="8355">
      <c r="B8355" s="223" t="s">
        <v>200</v>
      </c>
      <c r="C8355" s="223"/>
      <c r="K8355" s="319"/>
      <c r="L8355" s="218"/>
    </row>
    <row r="8356">
      <c r="B8356" s="223" t="s">
        <v>200</v>
      </c>
      <c r="C8356" s="223"/>
      <c r="K8356" s="319"/>
      <c r="L8356" s="218"/>
    </row>
    <row r="8357">
      <c r="B8357" s="223" t="s">
        <v>200</v>
      </c>
      <c r="C8357" s="223"/>
      <c r="K8357" s="319"/>
      <c r="L8357" s="218"/>
    </row>
    <row r="8358">
      <c r="B8358" s="223" t="s">
        <v>200</v>
      </c>
      <c r="C8358" s="223"/>
      <c r="K8358" s="319"/>
      <c r="L8358" s="218"/>
    </row>
    <row r="8359">
      <c r="B8359" s="223" t="s">
        <v>200</v>
      </c>
      <c r="C8359" s="223"/>
      <c r="K8359" s="319"/>
      <c r="L8359" s="218"/>
    </row>
    <row r="8360">
      <c r="B8360" s="223" t="s">
        <v>200</v>
      </c>
      <c r="C8360" s="223"/>
      <c r="K8360" s="319"/>
      <c r="L8360" s="218"/>
    </row>
    <row r="8361">
      <c r="B8361" s="223" t="s">
        <v>200</v>
      </c>
      <c r="C8361" s="223"/>
      <c r="K8361" s="319"/>
      <c r="L8361" s="218"/>
    </row>
    <row r="8362">
      <c r="B8362" s="223" t="s">
        <v>200</v>
      </c>
      <c r="C8362" s="223"/>
      <c r="K8362" s="319"/>
      <c r="L8362" s="218"/>
    </row>
    <row r="8363">
      <c r="B8363" s="223" t="s">
        <v>200</v>
      </c>
      <c r="C8363" s="223"/>
      <c r="K8363" s="319"/>
      <c r="L8363" s="218"/>
    </row>
    <row r="8364">
      <c r="B8364" s="223" t="s">
        <v>200</v>
      </c>
      <c r="C8364" s="223"/>
      <c r="K8364" s="319"/>
      <c r="L8364" s="218"/>
    </row>
    <row r="8365">
      <c r="B8365" s="223" t="s">
        <v>200</v>
      </c>
      <c r="C8365" s="223"/>
      <c r="K8365" s="319"/>
      <c r="L8365" s="218"/>
    </row>
    <row r="8366">
      <c r="B8366" s="223" t="s">
        <v>200</v>
      </c>
      <c r="C8366" s="223"/>
      <c r="K8366" s="319"/>
      <c r="L8366" s="218"/>
    </row>
    <row r="8367">
      <c r="B8367" s="223" t="s">
        <v>200</v>
      </c>
      <c r="C8367" s="223"/>
      <c r="K8367" s="319"/>
      <c r="L8367" s="218"/>
    </row>
    <row r="8368">
      <c r="B8368" s="223" t="s">
        <v>200</v>
      </c>
      <c r="C8368" s="223"/>
      <c r="K8368" s="319"/>
      <c r="L8368" s="218"/>
    </row>
    <row r="8369">
      <c r="B8369" s="223" t="s">
        <v>200</v>
      </c>
      <c r="C8369" s="223"/>
      <c r="K8369" s="319"/>
      <c r="L8369" s="218"/>
    </row>
    <row r="8370">
      <c r="B8370" s="223" t="s">
        <v>200</v>
      </c>
      <c r="C8370" s="223"/>
      <c r="K8370" s="319"/>
      <c r="L8370" s="218"/>
    </row>
    <row r="8371">
      <c r="B8371" s="223" t="s">
        <v>200</v>
      </c>
      <c r="C8371" s="223"/>
      <c r="K8371" s="319"/>
      <c r="L8371" s="218"/>
    </row>
    <row r="8372">
      <c r="B8372" s="223" t="s">
        <v>200</v>
      </c>
      <c r="C8372" s="223"/>
      <c r="K8372" s="319"/>
      <c r="L8372" s="218"/>
    </row>
    <row r="8373">
      <c r="B8373" s="223" t="s">
        <v>200</v>
      </c>
      <c r="C8373" s="223"/>
      <c r="K8373" s="319"/>
      <c r="L8373" s="218"/>
    </row>
    <row r="8374">
      <c r="B8374" s="223" t="s">
        <v>200</v>
      </c>
      <c r="C8374" s="223"/>
      <c r="K8374" s="319"/>
      <c r="L8374" s="218"/>
    </row>
    <row r="8375">
      <c r="B8375" s="223" t="s">
        <v>200</v>
      </c>
      <c r="C8375" s="223"/>
      <c r="K8375" s="319"/>
      <c r="L8375" s="218"/>
    </row>
    <row r="8376">
      <c r="B8376" s="223" t="s">
        <v>200</v>
      </c>
      <c r="C8376" s="223"/>
      <c r="K8376" s="319"/>
      <c r="L8376" s="218"/>
    </row>
    <row r="8377">
      <c r="B8377" s="223" t="s">
        <v>200</v>
      </c>
      <c r="C8377" s="223"/>
      <c r="K8377" s="319"/>
      <c r="L8377" s="218"/>
    </row>
    <row r="8378">
      <c r="B8378" s="223" t="s">
        <v>200</v>
      </c>
      <c r="C8378" s="223"/>
      <c r="K8378" s="319"/>
      <c r="L8378" s="218"/>
    </row>
    <row r="8379">
      <c r="B8379" s="223" t="s">
        <v>200</v>
      </c>
      <c r="C8379" s="223"/>
      <c r="K8379" s="319"/>
      <c r="L8379" s="218"/>
    </row>
    <row r="8380">
      <c r="B8380" s="223" t="s">
        <v>200</v>
      </c>
      <c r="C8380" s="223"/>
      <c r="K8380" s="319"/>
      <c r="L8380" s="218"/>
    </row>
    <row r="8381">
      <c r="B8381" s="223" t="s">
        <v>200</v>
      </c>
      <c r="C8381" s="223"/>
      <c r="K8381" s="319"/>
      <c r="L8381" s="218"/>
    </row>
    <row r="8382">
      <c r="B8382" s="223" t="s">
        <v>200</v>
      </c>
      <c r="C8382" s="223"/>
      <c r="K8382" s="319"/>
      <c r="L8382" s="218"/>
    </row>
    <row r="8383">
      <c r="B8383" s="223" t="s">
        <v>200</v>
      </c>
      <c r="C8383" s="223"/>
      <c r="K8383" s="319"/>
      <c r="L8383" s="218"/>
    </row>
    <row r="8384">
      <c r="B8384" s="223" t="s">
        <v>200</v>
      </c>
      <c r="C8384" s="223"/>
      <c r="K8384" s="319"/>
      <c r="L8384" s="218"/>
    </row>
    <row r="8385">
      <c r="B8385" s="223" t="s">
        <v>200</v>
      </c>
      <c r="C8385" s="223"/>
      <c r="K8385" s="319"/>
      <c r="L8385" s="218"/>
    </row>
    <row r="8386">
      <c r="B8386" s="223" t="s">
        <v>200</v>
      </c>
      <c r="C8386" s="223"/>
      <c r="K8386" s="319"/>
      <c r="L8386" s="218"/>
    </row>
    <row r="8387">
      <c r="B8387" s="223" t="s">
        <v>200</v>
      </c>
      <c r="C8387" s="223"/>
      <c r="K8387" s="319"/>
      <c r="L8387" s="218"/>
    </row>
    <row r="8388">
      <c r="B8388" s="223" t="s">
        <v>200</v>
      </c>
      <c r="C8388" s="223"/>
      <c r="K8388" s="319"/>
      <c r="L8388" s="218"/>
    </row>
    <row r="8389">
      <c r="B8389" s="223" t="s">
        <v>200</v>
      </c>
      <c r="C8389" s="223"/>
      <c r="K8389" s="319"/>
      <c r="L8389" s="218"/>
    </row>
    <row r="8390">
      <c r="B8390" s="223" t="s">
        <v>200</v>
      </c>
      <c r="C8390" s="223"/>
      <c r="K8390" s="319"/>
      <c r="L8390" s="218"/>
    </row>
    <row r="8391">
      <c r="B8391" s="223" t="s">
        <v>200</v>
      </c>
      <c r="C8391" s="223"/>
      <c r="K8391" s="319"/>
      <c r="L8391" s="218"/>
    </row>
    <row r="8392">
      <c r="B8392" s="223" t="s">
        <v>200</v>
      </c>
      <c r="C8392" s="223"/>
      <c r="K8392" s="319"/>
      <c r="L8392" s="218"/>
    </row>
    <row r="8393">
      <c r="B8393" s="223" t="s">
        <v>200</v>
      </c>
      <c r="C8393" s="223"/>
      <c r="K8393" s="319"/>
      <c r="L8393" s="218"/>
    </row>
    <row r="8394">
      <c r="B8394" s="223" t="s">
        <v>200</v>
      </c>
      <c r="C8394" s="223"/>
      <c r="K8394" s="319"/>
      <c r="L8394" s="218"/>
    </row>
    <row r="8395">
      <c r="B8395" s="223" t="s">
        <v>200</v>
      </c>
      <c r="C8395" s="223"/>
      <c r="K8395" s="319"/>
      <c r="L8395" s="218"/>
    </row>
    <row r="8396">
      <c r="B8396" s="223" t="s">
        <v>200</v>
      </c>
      <c r="C8396" s="223"/>
      <c r="K8396" s="319"/>
      <c r="L8396" s="218"/>
    </row>
    <row r="8397">
      <c r="B8397" s="223" t="s">
        <v>200</v>
      </c>
      <c r="C8397" s="223"/>
      <c r="K8397" s="319"/>
      <c r="L8397" s="218"/>
    </row>
    <row r="8398">
      <c r="B8398" s="223" t="s">
        <v>200</v>
      </c>
      <c r="C8398" s="223"/>
      <c r="K8398" s="319"/>
      <c r="L8398" s="218"/>
    </row>
    <row r="8399">
      <c r="B8399" s="223" t="s">
        <v>200</v>
      </c>
      <c r="C8399" s="223"/>
      <c r="K8399" s="319"/>
      <c r="L8399" s="218"/>
    </row>
    <row r="8400">
      <c r="B8400" s="223" t="s">
        <v>200</v>
      </c>
      <c r="C8400" s="223"/>
      <c r="K8400" s="319"/>
      <c r="L8400" s="218"/>
    </row>
    <row r="8401">
      <c r="B8401" s="223" t="s">
        <v>200</v>
      </c>
      <c r="C8401" s="223"/>
      <c r="K8401" s="319"/>
      <c r="L8401" s="218"/>
    </row>
    <row r="8402">
      <c r="B8402" s="223" t="s">
        <v>200</v>
      </c>
      <c r="C8402" s="223"/>
      <c r="K8402" s="319"/>
      <c r="L8402" s="218"/>
    </row>
    <row r="8403">
      <c r="B8403" s="223" t="s">
        <v>200</v>
      </c>
      <c r="C8403" s="223"/>
      <c r="K8403" s="319"/>
      <c r="L8403" s="218"/>
    </row>
    <row r="8404">
      <c r="B8404" s="223" t="s">
        <v>200</v>
      </c>
      <c r="C8404" s="223"/>
      <c r="K8404" s="319"/>
      <c r="L8404" s="218"/>
    </row>
    <row r="8405">
      <c r="B8405" s="223" t="s">
        <v>200</v>
      </c>
      <c r="C8405" s="223"/>
      <c r="K8405" s="319"/>
      <c r="L8405" s="218"/>
    </row>
    <row r="8406">
      <c r="B8406" s="223" t="s">
        <v>200</v>
      </c>
      <c r="C8406" s="223"/>
      <c r="K8406" s="319"/>
      <c r="L8406" s="218"/>
    </row>
    <row r="8407">
      <c r="B8407" s="223" t="s">
        <v>200</v>
      </c>
      <c r="C8407" s="223"/>
      <c r="K8407" s="319"/>
      <c r="L8407" s="218"/>
    </row>
    <row r="8408">
      <c r="B8408" s="223" t="s">
        <v>200</v>
      </c>
      <c r="C8408" s="223"/>
      <c r="K8408" s="319"/>
      <c r="L8408" s="218"/>
    </row>
    <row r="8409">
      <c r="B8409" s="223" t="s">
        <v>200</v>
      </c>
      <c r="C8409" s="223"/>
      <c r="K8409" s="319"/>
      <c r="L8409" s="218"/>
    </row>
    <row r="8410">
      <c r="B8410" s="223" t="s">
        <v>200</v>
      </c>
      <c r="C8410" s="223"/>
      <c r="K8410" s="319"/>
      <c r="L8410" s="218"/>
    </row>
    <row r="8411">
      <c r="B8411" s="223" t="s">
        <v>200</v>
      </c>
      <c r="C8411" s="223"/>
      <c r="K8411" s="319"/>
      <c r="L8411" s="218"/>
    </row>
    <row r="8412">
      <c r="B8412" s="223" t="s">
        <v>200</v>
      </c>
      <c r="C8412" s="223"/>
      <c r="K8412" s="319"/>
      <c r="L8412" s="218"/>
    </row>
    <row r="8413">
      <c r="B8413" s="223" t="s">
        <v>200</v>
      </c>
      <c r="C8413" s="223"/>
      <c r="K8413" s="319"/>
      <c r="L8413" s="218"/>
    </row>
    <row r="8414">
      <c r="B8414" s="223" t="s">
        <v>200</v>
      </c>
      <c r="C8414" s="223"/>
      <c r="K8414" s="319"/>
      <c r="L8414" s="218"/>
    </row>
    <row r="8415">
      <c r="B8415" s="223" t="s">
        <v>200</v>
      </c>
      <c r="C8415" s="223"/>
      <c r="K8415" s="319"/>
      <c r="L8415" s="218"/>
    </row>
    <row r="8416">
      <c r="B8416" s="223" t="s">
        <v>200</v>
      </c>
      <c r="C8416" s="223"/>
      <c r="K8416" s="319"/>
      <c r="L8416" s="218"/>
    </row>
    <row r="8417">
      <c r="B8417" s="223" t="s">
        <v>200</v>
      </c>
      <c r="C8417" s="223"/>
      <c r="K8417" s="319"/>
      <c r="L8417" s="218"/>
    </row>
    <row r="8418">
      <c r="B8418" s="223" t="s">
        <v>200</v>
      </c>
      <c r="C8418" s="223"/>
      <c r="K8418" s="319"/>
      <c r="L8418" s="218"/>
    </row>
    <row r="8419">
      <c r="B8419" s="223" t="s">
        <v>200</v>
      </c>
      <c r="C8419" s="223"/>
      <c r="K8419" s="319"/>
      <c r="L8419" s="218"/>
    </row>
    <row r="8420">
      <c r="B8420" s="223" t="s">
        <v>200</v>
      </c>
      <c r="C8420" s="223"/>
      <c r="K8420" s="319"/>
      <c r="L8420" s="218"/>
    </row>
    <row r="8421">
      <c r="B8421" s="223" t="s">
        <v>200</v>
      </c>
      <c r="C8421" s="223"/>
      <c r="K8421" s="319"/>
      <c r="L8421" s="218"/>
    </row>
    <row r="8422">
      <c r="B8422" s="223" t="s">
        <v>200</v>
      </c>
      <c r="C8422" s="223"/>
      <c r="K8422" s="319"/>
      <c r="L8422" s="218"/>
    </row>
    <row r="8423">
      <c r="B8423" s="223" t="s">
        <v>200</v>
      </c>
      <c r="C8423" s="223"/>
      <c r="K8423" s="319"/>
      <c r="L8423" s="218"/>
    </row>
    <row r="8424">
      <c r="B8424" s="223" t="s">
        <v>200</v>
      </c>
      <c r="C8424" s="223"/>
      <c r="K8424" s="319"/>
      <c r="L8424" s="218"/>
    </row>
    <row r="8425">
      <c r="B8425" s="223" t="s">
        <v>200</v>
      </c>
      <c r="C8425" s="223"/>
      <c r="K8425" s="319"/>
      <c r="L8425" s="218"/>
    </row>
    <row r="8426">
      <c r="B8426" s="223" t="s">
        <v>200</v>
      </c>
      <c r="C8426" s="223"/>
      <c r="K8426" s="319"/>
      <c r="L8426" s="218"/>
    </row>
    <row r="8427">
      <c r="B8427" s="223" t="s">
        <v>200</v>
      </c>
      <c r="C8427" s="223"/>
      <c r="K8427" s="319"/>
      <c r="L8427" s="218"/>
    </row>
    <row r="8428">
      <c r="B8428" s="223" t="s">
        <v>200</v>
      </c>
      <c r="C8428" s="223"/>
      <c r="K8428" s="319"/>
      <c r="L8428" s="218"/>
    </row>
    <row r="8429">
      <c r="B8429" s="223" t="s">
        <v>200</v>
      </c>
      <c r="C8429" s="223"/>
      <c r="K8429" s="319"/>
      <c r="L8429" s="218"/>
    </row>
    <row r="8430">
      <c r="B8430" s="223" t="s">
        <v>200</v>
      </c>
      <c r="C8430" s="223"/>
      <c r="K8430" s="319"/>
      <c r="L8430" s="218"/>
    </row>
    <row r="8431">
      <c r="B8431" s="223" t="s">
        <v>200</v>
      </c>
      <c r="C8431" s="223"/>
      <c r="K8431" s="319"/>
      <c r="L8431" s="218"/>
    </row>
    <row r="8432">
      <c r="B8432" s="223" t="s">
        <v>200</v>
      </c>
      <c r="C8432" s="223"/>
      <c r="K8432" s="319"/>
      <c r="L8432" s="218"/>
    </row>
    <row r="8433">
      <c r="B8433" s="223" t="s">
        <v>200</v>
      </c>
      <c r="C8433" s="223"/>
      <c r="K8433" s="319"/>
      <c r="L8433" s="218"/>
    </row>
    <row r="8434">
      <c r="B8434" s="223" t="s">
        <v>200</v>
      </c>
      <c r="C8434" s="223"/>
      <c r="K8434" s="319"/>
      <c r="L8434" s="218"/>
    </row>
    <row r="8435">
      <c r="B8435" s="223" t="s">
        <v>200</v>
      </c>
      <c r="C8435" s="223"/>
      <c r="K8435" s="319"/>
      <c r="L8435" s="218"/>
    </row>
    <row r="8436">
      <c r="B8436" s="223" t="s">
        <v>200</v>
      </c>
      <c r="C8436" s="223"/>
      <c r="K8436" s="319"/>
      <c r="L8436" s="218"/>
    </row>
    <row r="8437">
      <c r="B8437" s="223" t="s">
        <v>200</v>
      </c>
      <c r="C8437" s="223"/>
      <c r="K8437" s="319"/>
      <c r="L8437" s="218"/>
    </row>
    <row r="8438">
      <c r="B8438" s="223" t="s">
        <v>200</v>
      </c>
      <c r="C8438" s="223"/>
      <c r="K8438" s="319"/>
      <c r="L8438" s="218"/>
    </row>
    <row r="8439">
      <c r="B8439" s="223" t="s">
        <v>200</v>
      </c>
      <c r="C8439" s="223"/>
      <c r="K8439" s="319"/>
      <c r="L8439" s="218"/>
    </row>
    <row r="8440">
      <c r="B8440" s="223" t="s">
        <v>200</v>
      </c>
      <c r="C8440" s="223"/>
      <c r="K8440" s="319"/>
      <c r="L8440" s="218"/>
    </row>
    <row r="8441">
      <c r="B8441" s="223" t="s">
        <v>200</v>
      </c>
      <c r="C8441" s="223"/>
      <c r="K8441" s="319"/>
      <c r="L8441" s="218"/>
    </row>
    <row r="8442">
      <c r="B8442" s="223" t="s">
        <v>200</v>
      </c>
      <c r="C8442" s="223"/>
      <c r="K8442" s="319"/>
      <c r="L8442" s="218"/>
    </row>
    <row r="8443">
      <c r="B8443" s="223" t="s">
        <v>200</v>
      </c>
      <c r="C8443" s="223"/>
      <c r="K8443" s="319"/>
      <c r="L8443" s="218"/>
    </row>
    <row r="8444">
      <c r="B8444" s="223" t="s">
        <v>200</v>
      </c>
      <c r="C8444" s="223"/>
      <c r="K8444" s="319"/>
      <c r="L8444" s="218"/>
    </row>
    <row r="8445">
      <c r="B8445" s="223" t="s">
        <v>200</v>
      </c>
      <c r="C8445" s="223"/>
      <c r="K8445" s="319"/>
      <c r="L8445" s="218"/>
    </row>
    <row r="8446">
      <c r="B8446" s="223" t="s">
        <v>200</v>
      </c>
      <c r="C8446" s="223"/>
      <c r="K8446" s="319"/>
      <c r="L8446" s="218"/>
    </row>
    <row r="8447">
      <c r="B8447" s="223" t="s">
        <v>200</v>
      </c>
      <c r="C8447" s="223"/>
      <c r="K8447" s="319"/>
      <c r="L8447" s="218"/>
    </row>
    <row r="8448">
      <c r="B8448" s="223" t="s">
        <v>200</v>
      </c>
      <c r="C8448" s="223"/>
      <c r="K8448" s="319"/>
      <c r="L8448" s="218"/>
    </row>
    <row r="8449">
      <c r="B8449" s="223" t="s">
        <v>200</v>
      </c>
      <c r="C8449" s="223"/>
      <c r="K8449" s="319"/>
      <c r="L8449" s="218"/>
    </row>
    <row r="8450">
      <c r="B8450" s="223" t="s">
        <v>200</v>
      </c>
      <c r="C8450" s="223"/>
      <c r="K8450" s="319"/>
      <c r="L8450" s="218"/>
    </row>
    <row r="8451">
      <c r="B8451" s="223" t="s">
        <v>200</v>
      </c>
      <c r="C8451" s="223"/>
      <c r="K8451" s="319"/>
      <c r="L8451" s="218"/>
    </row>
    <row r="8452">
      <c r="B8452" s="223" t="s">
        <v>200</v>
      </c>
      <c r="C8452" s="223"/>
      <c r="K8452" s="319"/>
      <c r="L8452" s="218"/>
    </row>
    <row r="8453">
      <c r="B8453" s="223" t="s">
        <v>200</v>
      </c>
      <c r="C8453" s="223"/>
      <c r="K8453" s="319"/>
      <c r="L8453" s="218"/>
    </row>
    <row r="8454">
      <c r="B8454" s="223" t="s">
        <v>200</v>
      </c>
      <c r="C8454" s="223"/>
      <c r="K8454" s="319"/>
      <c r="L8454" s="218"/>
    </row>
    <row r="8455">
      <c r="B8455" s="223" t="s">
        <v>200</v>
      </c>
      <c r="C8455" s="223"/>
      <c r="K8455" s="319"/>
      <c r="L8455" s="218"/>
    </row>
    <row r="8456">
      <c r="B8456" s="223" t="s">
        <v>200</v>
      </c>
      <c r="C8456" s="223"/>
      <c r="K8456" s="319"/>
      <c r="L8456" s="218"/>
    </row>
    <row r="8457">
      <c r="B8457" s="223" t="s">
        <v>200</v>
      </c>
      <c r="C8457" s="223"/>
      <c r="K8457" s="319"/>
      <c r="L8457" s="218"/>
    </row>
    <row r="8458">
      <c r="B8458" s="223" t="s">
        <v>200</v>
      </c>
      <c r="C8458" s="223"/>
      <c r="K8458" s="319"/>
      <c r="L8458" s="218"/>
    </row>
    <row r="8459">
      <c r="B8459" s="223" t="s">
        <v>200</v>
      </c>
      <c r="C8459" s="223"/>
      <c r="K8459" s="319"/>
      <c r="L8459" s="218"/>
    </row>
    <row r="8460">
      <c r="B8460" s="223" t="s">
        <v>200</v>
      </c>
      <c r="C8460" s="223"/>
      <c r="K8460" s="319"/>
      <c r="L8460" s="218"/>
    </row>
    <row r="8461">
      <c r="B8461" s="223" t="s">
        <v>200</v>
      </c>
      <c r="C8461" s="223"/>
      <c r="K8461" s="319"/>
      <c r="L8461" s="218"/>
    </row>
    <row r="8462">
      <c r="B8462" s="223" t="s">
        <v>200</v>
      </c>
      <c r="C8462" s="223"/>
      <c r="K8462" s="319"/>
      <c r="L8462" s="218"/>
    </row>
    <row r="8463">
      <c r="B8463" s="223" t="s">
        <v>200</v>
      </c>
      <c r="C8463" s="223"/>
      <c r="K8463" s="319"/>
      <c r="L8463" s="218"/>
    </row>
    <row r="8464">
      <c r="B8464" s="223" t="s">
        <v>200</v>
      </c>
      <c r="C8464" s="223"/>
      <c r="K8464" s="319"/>
      <c r="L8464" s="218"/>
    </row>
    <row r="8465">
      <c r="B8465" s="223" t="s">
        <v>200</v>
      </c>
      <c r="C8465" s="223"/>
      <c r="K8465" s="319"/>
      <c r="L8465" s="218"/>
    </row>
    <row r="8466">
      <c r="B8466" s="223" t="s">
        <v>200</v>
      </c>
      <c r="C8466" s="223"/>
      <c r="K8466" s="319"/>
      <c r="L8466" s="218"/>
    </row>
    <row r="8467">
      <c r="B8467" s="223" t="s">
        <v>200</v>
      </c>
      <c r="C8467" s="223"/>
      <c r="K8467" s="319"/>
      <c r="L8467" s="218"/>
    </row>
    <row r="8468">
      <c r="B8468" s="223" t="s">
        <v>200</v>
      </c>
      <c r="C8468" s="223"/>
      <c r="K8468" s="319"/>
      <c r="L8468" s="218"/>
    </row>
    <row r="8469">
      <c r="B8469" s="223" t="s">
        <v>200</v>
      </c>
      <c r="C8469" s="223"/>
      <c r="K8469" s="319"/>
      <c r="L8469" s="218"/>
    </row>
    <row r="8470">
      <c r="B8470" s="223" t="s">
        <v>200</v>
      </c>
      <c r="C8470" s="223"/>
      <c r="K8470" s="319"/>
      <c r="L8470" s="218"/>
    </row>
    <row r="8471">
      <c r="B8471" s="223" t="s">
        <v>200</v>
      </c>
      <c r="C8471" s="223"/>
      <c r="K8471" s="319"/>
      <c r="L8471" s="218"/>
    </row>
    <row r="8472">
      <c r="B8472" s="223" t="s">
        <v>200</v>
      </c>
      <c r="C8472" s="223"/>
      <c r="K8472" s="319"/>
      <c r="L8472" s="218"/>
    </row>
    <row r="8473">
      <c r="B8473" s="223" t="s">
        <v>200</v>
      </c>
      <c r="C8473" s="223"/>
      <c r="K8473" s="319"/>
      <c r="L8473" s="218"/>
    </row>
    <row r="8474">
      <c r="B8474" s="223" t="s">
        <v>200</v>
      </c>
      <c r="C8474" s="223"/>
      <c r="K8474" s="319"/>
      <c r="L8474" s="218"/>
    </row>
    <row r="8475">
      <c r="B8475" s="223" t="s">
        <v>200</v>
      </c>
      <c r="C8475" s="223"/>
      <c r="K8475" s="319"/>
      <c r="L8475" s="218"/>
    </row>
    <row r="8476">
      <c r="B8476" s="223" t="s">
        <v>200</v>
      </c>
      <c r="C8476" s="223"/>
      <c r="K8476" s="319"/>
      <c r="L8476" s="218"/>
    </row>
    <row r="8477">
      <c r="B8477" s="223" t="s">
        <v>200</v>
      </c>
      <c r="C8477" s="223"/>
      <c r="K8477" s="319"/>
      <c r="L8477" s="218"/>
    </row>
    <row r="8478">
      <c r="B8478" s="223" t="s">
        <v>200</v>
      </c>
      <c r="C8478" s="223"/>
      <c r="K8478" s="319"/>
      <c r="L8478" s="218"/>
    </row>
    <row r="8479">
      <c r="B8479" s="223" t="s">
        <v>200</v>
      </c>
      <c r="C8479" s="223"/>
      <c r="K8479" s="319"/>
      <c r="L8479" s="218"/>
    </row>
    <row r="8480">
      <c r="B8480" s="223" t="s">
        <v>200</v>
      </c>
      <c r="C8480" s="223"/>
      <c r="K8480" s="319"/>
      <c r="L8480" s="218"/>
    </row>
    <row r="8481">
      <c r="B8481" s="223" t="s">
        <v>200</v>
      </c>
      <c r="C8481" s="223"/>
      <c r="K8481" s="319"/>
      <c r="L8481" s="218"/>
    </row>
    <row r="8482">
      <c r="B8482" s="223" t="s">
        <v>200</v>
      </c>
      <c r="C8482" s="223"/>
      <c r="K8482" s="319"/>
      <c r="L8482" s="218"/>
    </row>
    <row r="8483">
      <c r="B8483" s="223" t="s">
        <v>200</v>
      </c>
      <c r="C8483" s="223"/>
      <c r="K8483" s="319"/>
      <c r="L8483" s="218"/>
    </row>
    <row r="8484">
      <c r="B8484" s="223" t="s">
        <v>200</v>
      </c>
      <c r="C8484" s="223"/>
      <c r="K8484" s="319"/>
      <c r="L8484" s="218"/>
    </row>
    <row r="8485">
      <c r="B8485" s="223" t="s">
        <v>200</v>
      </c>
      <c r="C8485" s="223"/>
      <c r="K8485" s="319"/>
      <c r="L8485" s="218"/>
    </row>
    <row r="8486">
      <c r="B8486" s="223" t="s">
        <v>200</v>
      </c>
      <c r="C8486" s="223"/>
      <c r="K8486" s="319"/>
      <c r="L8486" s="218"/>
    </row>
    <row r="8487">
      <c r="B8487" s="223" t="s">
        <v>200</v>
      </c>
      <c r="C8487" s="223"/>
      <c r="K8487" s="319"/>
      <c r="L8487" s="218"/>
    </row>
    <row r="8488">
      <c r="B8488" s="223" t="s">
        <v>200</v>
      </c>
      <c r="C8488" s="223"/>
      <c r="K8488" s="319"/>
      <c r="L8488" s="218"/>
    </row>
    <row r="8489">
      <c r="B8489" s="223" t="s">
        <v>200</v>
      </c>
      <c r="C8489" s="223"/>
      <c r="K8489" s="319"/>
      <c r="L8489" s="218"/>
    </row>
    <row r="8490">
      <c r="B8490" s="223" t="s">
        <v>200</v>
      </c>
      <c r="C8490" s="223"/>
      <c r="K8490" s="319"/>
      <c r="L8490" s="218"/>
    </row>
    <row r="8491">
      <c r="B8491" s="223" t="s">
        <v>200</v>
      </c>
      <c r="C8491" s="223"/>
      <c r="K8491" s="319"/>
      <c r="L8491" s="218"/>
    </row>
    <row r="8492">
      <c r="B8492" s="223" t="s">
        <v>200</v>
      </c>
      <c r="C8492" s="223"/>
      <c r="K8492" s="319"/>
      <c r="L8492" s="218"/>
    </row>
    <row r="8493">
      <c r="B8493" s="223" t="s">
        <v>200</v>
      </c>
      <c r="C8493" s="223"/>
      <c r="K8493" s="319"/>
      <c r="L8493" s="218"/>
    </row>
    <row r="8494">
      <c r="B8494" s="223" t="s">
        <v>200</v>
      </c>
      <c r="C8494" s="223"/>
      <c r="K8494" s="319"/>
      <c r="L8494" s="218"/>
    </row>
    <row r="8495">
      <c r="B8495" s="223" t="s">
        <v>200</v>
      </c>
      <c r="C8495" s="223"/>
      <c r="K8495" s="319"/>
      <c r="L8495" s="218"/>
    </row>
    <row r="8496">
      <c r="B8496" s="223" t="s">
        <v>200</v>
      </c>
      <c r="C8496" s="223"/>
      <c r="K8496" s="319"/>
      <c r="L8496" s="218"/>
    </row>
    <row r="8497">
      <c r="B8497" s="223" t="s">
        <v>200</v>
      </c>
      <c r="C8497" s="223"/>
      <c r="K8497" s="319"/>
      <c r="L8497" s="218"/>
    </row>
    <row r="8498">
      <c r="B8498" s="223" t="s">
        <v>200</v>
      </c>
      <c r="C8498" s="223"/>
      <c r="K8498" s="319"/>
      <c r="L8498" s="218"/>
    </row>
    <row r="8499">
      <c r="B8499" s="223" t="s">
        <v>200</v>
      </c>
      <c r="C8499" s="223"/>
      <c r="K8499" s="319"/>
      <c r="L8499" s="218"/>
    </row>
    <row r="8500">
      <c r="B8500" s="223" t="s">
        <v>200</v>
      </c>
      <c r="C8500" s="223"/>
      <c r="K8500" s="319"/>
      <c r="L8500" s="218"/>
    </row>
    <row r="8501">
      <c r="B8501" s="223" t="s">
        <v>200</v>
      </c>
      <c r="C8501" s="223"/>
      <c r="K8501" s="319"/>
      <c r="L8501" s="218"/>
    </row>
    <row r="8502">
      <c r="B8502" s="223" t="s">
        <v>200</v>
      </c>
      <c r="C8502" s="223"/>
      <c r="K8502" s="319"/>
      <c r="L8502" s="218"/>
    </row>
    <row r="8503">
      <c r="B8503" s="223" t="s">
        <v>200</v>
      </c>
      <c r="C8503" s="223"/>
      <c r="K8503" s="319"/>
      <c r="L8503" s="218"/>
    </row>
    <row r="8504">
      <c r="B8504" s="223" t="s">
        <v>200</v>
      </c>
      <c r="C8504" s="223"/>
      <c r="K8504" s="319"/>
      <c r="L8504" s="218"/>
    </row>
    <row r="8505">
      <c r="B8505" s="223" t="s">
        <v>200</v>
      </c>
      <c r="C8505" s="223"/>
      <c r="K8505" s="319"/>
      <c r="L8505" s="218"/>
    </row>
    <row r="8506">
      <c r="B8506" s="223" t="s">
        <v>200</v>
      </c>
      <c r="C8506" s="223"/>
      <c r="K8506" s="319"/>
      <c r="L8506" s="218"/>
    </row>
    <row r="8507">
      <c r="B8507" s="223" t="s">
        <v>200</v>
      </c>
      <c r="C8507" s="223"/>
      <c r="K8507" s="319"/>
      <c r="L8507" s="218"/>
    </row>
    <row r="8508">
      <c r="B8508" s="223" t="s">
        <v>200</v>
      </c>
      <c r="C8508" s="223"/>
      <c r="K8508" s="319"/>
      <c r="L8508" s="218"/>
    </row>
    <row r="8509">
      <c r="B8509" s="223" t="s">
        <v>200</v>
      </c>
      <c r="C8509" s="223"/>
      <c r="K8509" s="319"/>
      <c r="L8509" s="218"/>
    </row>
    <row r="8510">
      <c r="B8510" s="223" t="s">
        <v>200</v>
      </c>
      <c r="C8510" s="223"/>
      <c r="K8510" s="319"/>
      <c r="L8510" s="218"/>
    </row>
    <row r="8511">
      <c r="B8511" s="223" t="s">
        <v>200</v>
      </c>
      <c r="C8511" s="223"/>
      <c r="K8511" s="319"/>
      <c r="L8511" s="218"/>
    </row>
    <row r="8512">
      <c r="B8512" s="223" t="s">
        <v>200</v>
      </c>
      <c r="C8512" s="223"/>
      <c r="K8512" s="319"/>
      <c r="L8512" s="218"/>
    </row>
    <row r="8513">
      <c r="B8513" s="223" t="s">
        <v>200</v>
      </c>
      <c r="C8513" s="223"/>
      <c r="K8513" s="319"/>
      <c r="L8513" s="218"/>
    </row>
    <row r="8514">
      <c r="B8514" s="223" t="s">
        <v>200</v>
      </c>
      <c r="C8514" s="223"/>
      <c r="K8514" s="319"/>
      <c r="L8514" s="218"/>
    </row>
    <row r="8515">
      <c r="B8515" s="223" t="s">
        <v>200</v>
      </c>
      <c r="C8515" s="223"/>
      <c r="K8515" s="319"/>
      <c r="L8515" s="218"/>
    </row>
    <row r="8516">
      <c r="B8516" s="223" t="s">
        <v>200</v>
      </c>
      <c r="C8516" s="223"/>
      <c r="K8516" s="319"/>
      <c r="L8516" s="218"/>
    </row>
    <row r="8517">
      <c r="B8517" s="223" t="s">
        <v>200</v>
      </c>
      <c r="C8517" s="223"/>
      <c r="K8517" s="319"/>
      <c r="L8517" s="218"/>
    </row>
    <row r="8518">
      <c r="B8518" s="223" t="s">
        <v>200</v>
      </c>
      <c r="C8518" s="223"/>
      <c r="K8518" s="319"/>
      <c r="L8518" s="218"/>
    </row>
    <row r="8519">
      <c r="B8519" s="223" t="s">
        <v>200</v>
      </c>
      <c r="C8519" s="223"/>
      <c r="K8519" s="319"/>
      <c r="L8519" s="218"/>
    </row>
    <row r="8520">
      <c r="B8520" s="223" t="s">
        <v>200</v>
      </c>
      <c r="C8520" s="223"/>
      <c r="K8520" s="319"/>
      <c r="L8520" s="218"/>
    </row>
    <row r="8521">
      <c r="B8521" s="223" t="s">
        <v>200</v>
      </c>
      <c r="C8521" s="223"/>
      <c r="K8521" s="319"/>
      <c r="L8521" s="218"/>
    </row>
    <row r="8522">
      <c r="B8522" s="223" t="s">
        <v>200</v>
      </c>
      <c r="C8522" s="223"/>
      <c r="K8522" s="319"/>
      <c r="L8522" s="218"/>
    </row>
    <row r="8523">
      <c r="B8523" s="223" t="s">
        <v>200</v>
      </c>
      <c r="C8523" s="223"/>
      <c r="K8523" s="319"/>
      <c r="L8523" s="218"/>
    </row>
    <row r="8524">
      <c r="B8524" s="223" t="s">
        <v>200</v>
      </c>
      <c r="C8524" s="223"/>
      <c r="K8524" s="319"/>
      <c r="L8524" s="218"/>
    </row>
    <row r="8525">
      <c r="B8525" s="223" t="s">
        <v>200</v>
      </c>
      <c r="C8525" s="223"/>
      <c r="K8525" s="319"/>
      <c r="L8525" s="218"/>
    </row>
    <row r="8526">
      <c r="B8526" s="223" t="s">
        <v>200</v>
      </c>
      <c r="C8526" s="223"/>
      <c r="K8526" s="319"/>
      <c r="L8526" s="218"/>
    </row>
    <row r="8527">
      <c r="B8527" s="223" t="s">
        <v>200</v>
      </c>
      <c r="C8527" s="223"/>
      <c r="K8527" s="319"/>
      <c r="L8527" s="218"/>
    </row>
    <row r="8528">
      <c r="B8528" s="223" t="s">
        <v>200</v>
      </c>
      <c r="C8528" s="223"/>
      <c r="K8528" s="319"/>
      <c r="L8528" s="218"/>
    </row>
    <row r="8529">
      <c r="B8529" s="223" t="s">
        <v>200</v>
      </c>
      <c r="C8529" s="223"/>
      <c r="K8529" s="319"/>
      <c r="L8529" s="218"/>
    </row>
    <row r="8530">
      <c r="B8530" s="223" t="s">
        <v>200</v>
      </c>
      <c r="C8530" s="223"/>
      <c r="K8530" s="319"/>
      <c r="L8530" s="218"/>
    </row>
    <row r="8531">
      <c r="B8531" s="223" t="s">
        <v>200</v>
      </c>
      <c r="C8531" s="223"/>
      <c r="K8531" s="319"/>
      <c r="L8531" s="218"/>
    </row>
    <row r="8532">
      <c r="B8532" s="223" t="s">
        <v>200</v>
      </c>
      <c r="C8532" s="223"/>
      <c r="K8532" s="319"/>
      <c r="L8532" s="218"/>
    </row>
    <row r="8533">
      <c r="B8533" s="223" t="s">
        <v>200</v>
      </c>
      <c r="C8533" s="223"/>
      <c r="K8533" s="319"/>
      <c r="L8533" s="218"/>
    </row>
    <row r="8534">
      <c r="B8534" s="223" t="s">
        <v>200</v>
      </c>
      <c r="C8534" s="223"/>
      <c r="K8534" s="319"/>
      <c r="L8534" s="218"/>
    </row>
    <row r="8535">
      <c r="B8535" s="223" t="s">
        <v>200</v>
      </c>
      <c r="C8535" s="223"/>
      <c r="K8535" s="319"/>
      <c r="L8535" s="218"/>
    </row>
    <row r="8536">
      <c r="B8536" s="223" t="s">
        <v>200</v>
      </c>
      <c r="C8536" s="223"/>
      <c r="K8536" s="319"/>
      <c r="L8536" s="218"/>
    </row>
    <row r="8537">
      <c r="B8537" s="223" t="s">
        <v>200</v>
      </c>
      <c r="C8537" s="223"/>
      <c r="K8537" s="319"/>
      <c r="L8537" s="218"/>
    </row>
    <row r="8538">
      <c r="B8538" s="223" t="s">
        <v>200</v>
      </c>
      <c r="C8538" s="223"/>
      <c r="K8538" s="319"/>
      <c r="L8538" s="218"/>
    </row>
    <row r="8539">
      <c r="B8539" s="223" t="s">
        <v>200</v>
      </c>
      <c r="C8539" s="223"/>
      <c r="K8539" s="319"/>
      <c r="L8539" s="218"/>
    </row>
    <row r="8540">
      <c r="B8540" s="223" t="s">
        <v>200</v>
      </c>
      <c r="C8540" s="223"/>
      <c r="K8540" s="319"/>
      <c r="L8540" s="218"/>
    </row>
    <row r="8541">
      <c r="B8541" s="223" t="s">
        <v>200</v>
      </c>
      <c r="C8541" s="223"/>
      <c r="K8541" s="319"/>
      <c r="L8541" s="218"/>
    </row>
    <row r="8542">
      <c r="B8542" s="223" t="s">
        <v>200</v>
      </c>
      <c r="C8542" s="223"/>
      <c r="K8542" s="319"/>
      <c r="L8542" s="218"/>
    </row>
    <row r="8543">
      <c r="B8543" s="223" t="s">
        <v>200</v>
      </c>
      <c r="C8543" s="223"/>
      <c r="K8543" s="319"/>
      <c r="L8543" s="218"/>
    </row>
    <row r="8544">
      <c r="B8544" s="223" t="s">
        <v>200</v>
      </c>
      <c r="C8544" s="223"/>
      <c r="K8544" s="319"/>
      <c r="L8544" s="218"/>
    </row>
    <row r="8545">
      <c r="B8545" s="223" t="s">
        <v>200</v>
      </c>
      <c r="C8545" s="223"/>
      <c r="K8545" s="319"/>
      <c r="L8545" s="218"/>
    </row>
    <row r="8546">
      <c r="B8546" s="223" t="s">
        <v>200</v>
      </c>
      <c r="C8546" s="223"/>
      <c r="K8546" s="319"/>
      <c r="L8546" s="218"/>
    </row>
    <row r="8547">
      <c r="B8547" s="223" t="s">
        <v>200</v>
      </c>
      <c r="C8547" s="223"/>
      <c r="K8547" s="319"/>
      <c r="L8547" s="218"/>
    </row>
    <row r="8548">
      <c r="B8548" s="223" t="s">
        <v>200</v>
      </c>
      <c r="C8548" s="223"/>
      <c r="K8548" s="319"/>
      <c r="L8548" s="218"/>
    </row>
    <row r="8549">
      <c r="B8549" s="223" t="s">
        <v>200</v>
      </c>
      <c r="C8549" s="223"/>
      <c r="K8549" s="319"/>
      <c r="L8549" s="218"/>
    </row>
    <row r="8550">
      <c r="B8550" s="223" t="s">
        <v>200</v>
      </c>
      <c r="C8550" s="223"/>
      <c r="K8550" s="319"/>
      <c r="L8550" s="218"/>
    </row>
    <row r="8551">
      <c r="B8551" s="223" t="s">
        <v>200</v>
      </c>
      <c r="C8551" s="223"/>
      <c r="K8551" s="319"/>
      <c r="L8551" s="218"/>
    </row>
    <row r="8552">
      <c r="B8552" s="223" t="s">
        <v>200</v>
      </c>
      <c r="C8552" s="223"/>
      <c r="K8552" s="319"/>
      <c r="L8552" s="218"/>
    </row>
    <row r="8553">
      <c r="B8553" s="223" t="s">
        <v>200</v>
      </c>
      <c r="C8553" s="223"/>
      <c r="K8553" s="319"/>
      <c r="L8553" s="218"/>
    </row>
    <row r="8554">
      <c r="B8554" s="223" t="s">
        <v>200</v>
      </c>
      <c r="C8554" s="223"/>
      <c r="K8554" s="319"/>
      <c r="L8554" s="218"/>
    </row>
    <row r="8555">
      <c r="B8555" s="223" t="s">
        <v>200</v>
      </c>
      <c r="C8555" s="223"/>
      <c r="K8555" s="319"/>
      <c r="L8555" s="218"/>
    </row>
    <row r="8556">
      <c r="B8556" s="223" t="s">
        <v>200</v>
      </c>
      <c r="C8556" s="223"/>
      <c r="K8556" s="319"/>
      <c r="L8556" s="218"/>
    </row>
    <row r="8557">
      <c r="B8557" s="223" t="s">
        <v>200</v>
      </c>
      <c r="C8557" s="223"/>
      <c r="K8557" s="319"/>
      <c r="L8557" s="218"/>
    </row>
    <row r="8558">
      <c r="B8558" s="223" t="s">
        <v>200</v>
      </c>
      <c r="C8558" s="223"/>
      <c r="K8558" s="319"/>
      <c r="L8558" s="218"/>
    </row>
    <row r="8559">
      <c r="B8559" s="223" t="s">
        <v>200</v>
      </c>
      <c r="C8559" s="223"/>
      <c r="K8559" s="319"/>
      <c r="L8559" s="218"/>
    </row>
    <row r="8560">
      <c r="B8560" s="223" t="s">
        <v>200</v>
      </c>
      <c r="C8560" s="223"/>
      <c r="K8560" s="319"/>
      <c r="L8560" s="218"/>
    </row>
    <row r="8561">
      <c r="B8561" s="223" t="s">
        <v>200</v>
      </c>
      <c r="C8561" s="223"/>
      <c r="K8561" s="319"/>
      <c r="L8561" s="218"/>
    </row>
    <row r="8562">
      <c r="B8562" s="223" t="s">
        <v>200</v>
      </c>
      <c r="C8562" s="223"/>
      <c r="K8562" s="319"/>
      <c r="L8562" s="218"/>
    </row>
    <row r="8563">
      <c r="B8563" s="223" t="s">
        <v>200</v>
      </c>
      <c r="C8563" s="223"/>
      <c r="K8563" s="319"/>
      <c r="L8563" s="218"/>
    </row>
    <row r="8564">
      <c r="B8564" s="223" t="s">
        <v>200</v>
      </c>
      <c r="C8564" s="223"/>
      <c r="K8564" s="319"/>
      <c r="L8564" s="218"/>
    </row>
    <row r="8565">
      <c r="B8565" s="223" t="s">
        <v>200</v>
      </c>
      <c r="C8565" s="223"/>
      <c r="K8565" s="319"/>
      <c r="L8565" s="218"/>
    </row>
    <row r="8566">
      <c r="B8566" s="223" t="s">
        <v>200</v>
      </c>
      <c r="C8566" s="223"/>
      <c r="K8566" s="319"/>
      <c r="L8566" s="218"/>
    </row>
    <row r="8567">
      <c r="B8567" s="223" t="s">
        <v>200</v>
      </c>
      <c r="C8567" s="223"/>
      <c r="K8567" s="319"/>
      <c r="L8567" s="218"/>
    </row>
    <row r="8568">
      <c r="B8568" s="223" t="s">
        <v>200</v>
      </c>
      <c r="C8568" s="223"/>
      <c r="K8568" s="319"/>
      <c r="L8568" s="218"/>
    </row>
    <row r="8569">
      <c r="B8569" s="223" t="s">
        <v>200</v>
      </c>
      <c r="C8569" s="223"/>
      <c r="K8569" s="319"/>
      <c r="L8569" s="218"/>
    </row>
    <row r="8570">
      <c r="B8570" s="223" t="s">
        <v>200</v>
      </c>
      <c r="C8570" s="223"/>
      <c r="K8570" s="319"/>
      <c r="L8570" s="218"/>
    </row>
    <row r="8571">
      <c r="B8571" s="223" t="s">
        <v>200</v>
      </c>
      <c r="C8571" s="223"/>
      <c r="K8571" s="319"/>
      <c r="L8571" s="218"/>
    </row>
    <row r="8572">
      <c r="B8572" s="223" t="s">
        <v>200</v>
      </c>
      <c r="C8572" s="223"/>
      <c r="K8572" s="319"/>
      <c r="L8572" s="218"/>
    </row>
    <row r="8573">
      <c r="B8573" s="223" t="s">
        <v>200</v>
      </c>
      <c r="C8573" s="223"/>
      <c r="K8573" s="319"/>
      <c r="L8573" s="218"/>
    </row>
    <row r="8574">
      <c r="B8574" s="223" t="s">
        <v>200</v>
      </c>
      <c r="C8574" s="223"/>
      <c r="K8574" s="319"/>
      <c r="L8574" s="218"/>
    </row>
    <row r="8575">
      <c r="B8575" s="223" t="s">
        <v>200</v>
      </c>
      <c r="C8575" s="223"/>
      <c r="K8575" s="319"/>
      <c r="L8575" s="218"/>
    </row>
    <row r="8576">
      <c r="B8576" s="223" t="s">
        <v>200</v>
      </c>
      <c r="C8576" s="223"/>
      <c r="K8576" s="319"/>
      <c r="L8576" s="218"/>
    </row>
    <row r="8577">
      <c r="B8577" s="223" t="s">
        <v>200</v>
      </c>
      <c r="C8577" s="223"/>
      <c r="K8577" s="319"/>
      <c r="L8577" s="218"/>
    </row>
    <row r="8578">
      <c r="B8578" s="223" t="s">
        <v>200</v>
      </c>
      <c r="C8578" s="223"/>
      <c r="K8578" s="319"/>
      <c r="L8578" s="218"/>
    </row>
    <row r="8579">
      <c r="B8579" s="223" t="s">
        <v>200</v>
      </c>
      <c r="C8579" s="223"/>
      <c r="K8579" s="319"/>
      <c r="L8579" s="218"/>
    </row>
    <row r="8580">
      <c r="B8580" s="223" t="s">
        <v>200</v>
      </c>
      <c r="C8580" s="223"/>
      <c r="K8580" s="319"/>
      <c r="L8580" s="218"/>
    </row>
    <row r="8581">
      <c r="B8581" s="223" t="s">
        <v>200</v>
      </c>
      <c r="C8581" s="223"/>
      <c r="K8581" s="319"/>
      <c r="L8581" s="218"/>
    </row>
    <row r="8582">
      <c r="B8582" s="223" t="s">
        <v>200</v>
      </c>
      <c r="C8582" s="223"/>
      <c r="K8582" s="319"/>
      <c r="L8582" s="218"/>
    </row>
    <row r="8583">
      <c r="B8583" s="223" t="s">
        <v>200</v>
      </c>
      <c r="C8583" s="223"/>
      <c r="K8583" s="319"/>
      <c r="L8583" s="218"/>
    </row>
    <row r="8584">
      <c r="B8584" s="223" t="s">
        <v>200</v>
      </c>
      <c r="C8584" s="223"/>
      <c r="K8584" s="319"/>
      <c r="L8584" s="218"/>
    </row>
    <row r="8585">
      <c r="B8585" s="223" t="s">
        <v>200</v>
      </c>
      <c r="C8585" s="223"/>
      <c r="K8585" s="319"/>
      <c r="L8585" s="218"/>
    </row>
    <row r="8586">
      <c r="B8586" s="223" t="s">
        <v>200</v>
      </c>
      <c r="C8586" s="223"/>
      <c r="K8586" s="319"/>
      <c r="L8586" s="218"/>
    </row>
    <row r="8587">
      <c r="B8587" s="223" t="s">
        <v>200</v>
      </c>
      <c r="C8587" s="223"/>
      <c r="K8587" s="319"/>
      <c r="L8587" s="218"/>
    </row>
    <row r="8588">
      <c r="B8588" s="223" t="s">
        <v>200</v>
      </c>
      <c r="C8588" s="223"/>
      <c r="K8588" s="319"/>
      <c r="L8588" s="218"/>
    </row>
    <row r="8589">
      <c r="B8589" s="223" t="s">
        <v>200</v>
      </c>
      <c r="C8589" s="223"/>
      <c r="K8589" s="319"/>
      <c r="L8589" s="218"/>
    </row>
    <row r="8590">
      <c r="B8590" s="223" t="s">
        <v>200</v>
      </c>
      <c r="C8590" s="223"/>
      <c r="K8590" s="319"/>
      <c r="L8590" s="218"/>
    </row>
    <row r="8591">
      <c r="B8591" s="223" t="s">
        <v>200</v>
      </c>
      <c r="C8591" s="223"/>
      <c r="K8591" s="319"/>
      <c r="L8591" s="218"/>
    </row>
    <row r="8592">
      <c r="B8592" s="223" t="s">
        <v>200</v>
      </c>
      <c r="C8592" s="223"/>
      <c r="K8592" s="319"/>
      <c r="L8592" s="218"/>
    </row>
    <row r="8593">
      <c r="B8593" s="223" t="s">
        <v>200</v>
      </c>
      <c r="C8593" s="223"/>
      <c r="K8593" s="319"/>
      <c r="L8593" s="218"/>
    </row>
    <row r="8594">
      <c r="B8594" s="223" t="s">
        <v>200</v>
      </c>
      <c r="C8594" s="223"/>
      <c r="K8594" s="319"/>
      <c r="L8594" s="218"/>
    </row>
    <row r="8595">
      <c r="B8595" s="223" t="s">
        <v>200</v>
      </c>
      <c r="C8595" s="223"/>
      <c r="K8595" s="319"/>
      <c r="L8595" s="218"/>
    </row>
    <row r="8596">
      <c r="B8596" s="223" t="s">
        <v>200</v>
      </c>
      <c r="C8596" s="223"/>
      <c r="K8596" s="319"/>
      <c r="L8596" s="218"/>
    </row>
    <row r="8597">
      <c r="B8597" s="223" t="s">
        <v>200</v>
      </c>
      <c r="C8597" s="223"/>
      <c r="K8597" s="319"/>
      <c r="L8597" s="218"/>
    </row>
    <row r="8598">
      <c r="B8598" s="223" t="s">
        <v>200</v>
      </c>
      <c r="C8598" s="223"/>
      <c r="K8598" s="319"/>
      <c r="L8598" s="218"/>
    </row>
    <row r="8599">
      <c r="B8599" s="223" t="s">
        <v>200</v>
      </c>
      <c r="C8599" s="223"/>
      <c r="K8599" s="319"/>
      <c r="L8599" s="218"/>
    </row>
    <row r="8600">
      <c r="B8600" s="223" t="s">
        <v>200</v>
      </c>
      <c r="C8600" s="223"/>
      <c r="K8600" s="319"/>
      <c r="L8600" s="218"/>
    </row>
    <row r="8601">
      <c r="B8601" s="223" t="s">
        <v>200</v>
      </c>
      <c r="C8601" s="223"/>
      <c r="K8601" s="319"/>
      <c r="L8601" s="218"/>
    </row>
    <row r="8602">
      <c r="B8602" s="223" t="s">
        <v>200</v>
      </c>
      <c r="C8602" s="223"/>
      <c r="K8602" s="319"/>
      <c r="L8602" s="218"/>
    </row>
    <row r="8603">
      <c r="B8603" s="223" t="s">
        <v>200</v>
      </c>
      <c r="C8603" s="223"/>
      <c r="K8603" s="319"/>
      <c r="L8603" s="218"/>
    </row>
    <row r="8604">
      <c r="B8604" s="223" t="s">
        <v>200</v>
      </c>
      <c r="C8604" s="223"/>
      <c r="K8604" s="319"/>
      <c r="L8604" s="218"/>
    </row>
    <row r="8605">
      <c r="B8605" s="223" t="s">
        <v>200</v>
      </c>
      <c r="C8605" s="223"/>
      <c r="K8605" s="319"/>
      <c r="L8605" s="218"/>
    </row>
    <row r="8606">
      <c r="B8606" s="223" t="s">
        <v>200</v>
      </c>
      <c r="C8606" s="223"/>
      <c r="K8606" s="319"/>
      <c r="L8606" s="218"/>
    </row>
    <row r="8607">
      <c r="B8607" s="223" t="s">
        <v>200</v>
      </c>
      <c r="C8607" s="223"/>
      <c r="K8607" s="319"/>
      <c r="L8607" s="218"/>
    </row>
    <row r="8608">
      <c r="B8608" s="223" t="s">
        <v>200</v>
      </c>
      <c r="C8608" s="223"/>
      <c r="K8608" s="319"/>
      <c r="L8608" s="218"/>
    </row>
    <row r="8609">
      <c r="B8609" s="223" t="s">
        <v>200</v>
      </c>
      <c r="C8609" s="223"/>
      <c r="K8609" s="319"/>
      <c r="L8609" s="218"/>
    </row>
    <row r="8610">
      <c r="B8610" s="223" t="s">
        <v>200</v>
      </c>
      <c r="C8610" s="223"/>
      <c r="K8610" s="319"/>
      <c r="L8610" s="218"/>
    </row>
    <row r="8611">
      <c r="B8611" s="223" t="s">
        <v>200</v>
      </c>
      <c r="C8611" s="223"/>
      <c r="K8611" s="319"/>
      <c r="L8611" s="218"/>
    </row>
    <row r="8612">
      <c r="B8612" s="223" t="s">
        <v>200</v>
      </c>
      <c r="C8612" s="223"/>
      <c r="K8612" s="319"/>
      <c r="L8612" s="218"/>
    </row>
    <row r="8613">
      <c r="B8613" s="223" t="s">
        <v>200</v>
      </c>
      <c r="C8613" s="223"/>
      <c r="K8613" s="319"/>
      <c r="L8613" s="218"/>
    </row>
    <row r="8614">
      <c r="B8614" s="223" t="s">
        <v>200</v>
      </c>
      <c r="C8614" s="223"/>
      <c r="K8614" s="319"/>
      <c r="L8614" s="218"/>
    </row>
    <row r="8615">
      <c r="B8615" s="223" t="s">
        <v>200</v>
      </c>
      <c r="C8615" s="223"/>
      <c r="K8615" s="319"/>
      <c r="L8615" s="218"/>
    </row>
    <row r="8616">
      <c r="B8616" s="223" t="s">
        <v>200</v>
      </c>
      <c r="C8616" s="223"/>
      <c r="K8616" s="319"/>
      <c r="L8616" s="218"/>
    </row>
    <row r="8617">
      <c r="B8617" s="223" t="s">
        <v>200</v>
      </c>
      <c r="C8617" s="223"/>
      <c r="K8617" s="319"/>
      <c r="L8617" s="218"/>
    </row>
    <row r="8618">
      <c r="B8618" s="223" t="s">
        <v>200</v>
      </c>
      <c r="C8618" s="223"/>
      <c r="K8618" s="319"/>
      <c r="L8618" s="218"/>
    </row>
    <row r="8619">
      <c r="B8619" s="223" t="s">
        <v>200</v>
      </c>
      <c r="C8619" s="223"/>
      <c r="K8619" s="319"/>
      <c r="L8619" s="218"/>
    </row>
    <row r="8620">
      <c r="B8620" s="223" t="s">
        <v>200</v>
      </c>
      <c r="C8620" s="223"/>
      <c r="K8620" s="319"/>
      <c r="L8620" s="218"/>
    </row>
    <row r="8621">
      <c r="B8621" s="223" t="s">
        <v>200</v>
      </c>
      <c r="C8621" s="223"/>
      <c r="K8621" s="319"/>
      <c r="L8621" s="218"/>
    </row>
    <row r="8622">
      <c r="B8622" s="223" t="s">
        <v>200</v>
      </c>
      <c r="C8622" s="223"/>
      <c r="K8622" s="319"/>
      <c r="L8622" s="218"/>
    </row>
    <row r="8623">
      <c r="B8623" s="223" t="s">
        <v>200</v>
      </c>
      <c r="C8623" s="223"/>
      <c r="K8623" s="319"/>
      <c r="L8623" s="218"/>
    </row>
    <row r="8624">
      <c r="B8624" s="223" t="s">
        <v>200</v>
      </c>
      <c r="C8624" s="223"/>
      <c r="K8624" s="319"/>
      <c r="L8624" s="218"/>
    </row>
    <row r="8625">
      <c r="B8625" s="223" t="s">
        <v>200</v>
      </c>
      <c r="C8625" s="223"/>
      <c r="K8625" s="319"/>
      <c r="L8625" s="218"/>
    </row>
    <row r="8626">
      <c r="B8626" s="223" t="s">
        <v>200</v>
      </c>
      <c r="C8626" s="223"/>
      <c r="K8626" s="319"/>
      <c r="L8626" s="218"/>
    </row>
    <row r="8627">
      <c r="B8627" s="223" t="s">
        <v>200</v>
      </c>
      <c r="C8627" s="223"/>
      <c r="K8627" s="319"/>
      <c r="L8627" s="218"/>
    </row>
    <row r="8628">
      <c r="B8628" s="223" t="s">
        <v>200</v>
      </c>
      <c r="C8628" s="223"/>
      <c r="K8628" s="319"/>
      <c r="L8628" s="218"/>
    </row>
    <row r="8629">
      <c r="B8629" s="223" t="s">
        <v>200</v>
      </c>
      <c r="C8629" s="223"/>
      <c r="K8629" s="319"/>
      <c r="L8629" s="218"/>
    </row>
    <row r="8630">
      <c r="B8630" s="223" t="s">
        <v>200</v>
      </c>
      <c r="C8630" s="223"/>
      <c r="K8630" s="319"/>
      <c r="L8630" s="218"/>
    </row>
    <row r="8631">
      <c r="B8631" s="223" t="s">
        <v>200</v>
      </c>
      <c r="C8631" s="223"/>
      <c r="K8631" s="319"/>
      <c r="L8631" s="218"/>
    </row>
    <row r="8632">
      <c r="B8632" s="223" t="s">
        <v>200</v>
      </c>
      <c r="C8632" s="223"/>
      <c r="K8632" s="319"/>
      <c r="L8632" s="218"/>
    </row>
    <row r="8633">
      <c r="B8633" s="223" t="s">
        <v>200</v>
      </c>
      <c r="C8633" s="223"/>
      <c r="K8633" s="319"/>
      <c r="L8633" s="218"/>
    </row>
    <row r="8634">
      <c r="B8634" s="223" t="s">
        <v>200</v>
      </c>
      <c r="C8634" s="223"/>
      <c r="K8634" s="319"/>
      <c r="L8634" s="218"/>
    </row>
    <row r="8635">
      <c r="B8635" s="223" t="s">
        <v>200</v>
      </c>
      <c r="C8635" s="223"/>
      <c r="K8635" s="319"/>
      <c r="L8635" s="218"/>
    </row>
    <row r="8636">
      <c r="B8636" s="223" t="s">
        <v>200</v>
      </c>
      <c r="C8636" s="223"/>
      <c r="K8636" s="319"/>
      <c r="L8636" s="218"/>
    </row>
    <row r="8637">
      <c r="B8637" s="223" t="s">
        <v>200</v>
      </c>
      <c r="C8637" s="223"/>
      <c r="K8637" s="319"/>
      <c r="L8637" s="218"/>
    </row>
    <row r="8638">
      <c r="B8638" s="223" t="s">
        <v>200</v>
      </c>
      <c r="C8638" s="223"/>
      <c r="K8638" s="319"/>
      <c r="L8638" s="218"/>
    </row>
    <row r="8639">
      <c r="B8639" s="223" t="s">
        <v>200</v>
      </c>
      <c r="C8639" s="223"/>
      <c r="K8639" s="319"/>
      <c r="L8639" s="218"/>
    </row>
    <row r="8640">
      <c r="B8640" s="223" t="s">
        <v>200</v>
      </c>
      <c r="C8640" s="223"/>
      <c r="K8640" s="319"/>
      <c r="L8640" s="218"/>
    </row>
    <row r="8641">
      <c r="B8641" s="223" t="s">
        <v>200</v>
      </c>
      <c r="C8641" s="223"/>
      <c r="K8641" s="319"/>
      <c r="L8641" s="218"/>
    </row>
    <row r="8642">
      <c r="B8642" s="223" t="s">
        <v>200</v>
      </c>
      <c r="C8642" s="223"/>
      <c r="K8642" s="319"/>
      <c r="L8642" s="218"/>
    </row>
    <row r="8643">
      <c r="B8643" s="223" t="s">
        <v>200</v>
      </c>
      <c r="C8643" s="223"/>
      <c r="K8643" s="319"/>
      <c r="L8643" s="218"/>
    </row>
    <row r="8644">
      <c r="B8644" s="223" t="s">
        <v>200</v>
      </c>
      <c r="C8644" s="223"/>
      <c r="K8644" s="319"/>
      <c r="L8644" s="218"/>
    </row>
    <row r="8645">
      <c r="B8645" s="223" t="s">
        <v>200</v>
      </c>
      <c r="C8645" s="223"/>
      <c r="K8645" s="319"/>
      <c r="L8645" s="218"/>
    </row>
    <row r="8646">
      <c r="B8646" s="223" t="s">
        <v>200</v>
      </c>
      <c r="C8646" s="223"/>
      <c r="K8646" s="319"/>
      <c r="L8646" s="218"/>
    </row>
    <row r="8647">
      <c r="B8647" s="223" t="s">
        <v>200</v>
      </c>
      <c r="C8647" s="223"/>
      <c r="K8647" s="319"/>
      <c r="L8647" s="218"/>
    </row>
    <row r="8648">
      <c r="B8648" s="223" t="s">
        <v>200</v>
      </c>
      <c r="C8648" s="223"/>
      <c r="K8648" s="319"/>
      <c r="L8648" s="218"/>
    </row>
    <row r="8649">
      <c r="B8649" s="223" t="s">
        <v>200</v>
      </c>
      <c r="C8649" s="223"/>
      <c r="K8649" s="319"/>
      <c r="L8649" s="218"/>
    </row>
    <row r="8650">
      <c r="B8650" s="223" t="s">
        <v>200</v>
      </c>
      <c r="C8650" s="223"/>
      <c r="K8650" s="319"/>
      <c r="L8650" s="218"/>
    </row>
    <row r="8651">
      <c r="B8651" s="223" t="s">
        <v>200</v>
      </c>
      <c r="C8651" s="223"/>
      <c r="K8651" s="319"/>
      <c r="L8651" s="218"/>
    </row>
    <row r="8652">
      <c r="B8652" s="223" t="s">
        <v>200</v>
      </c>
      <c r="C8652" s="223"/>
      <c r="K8652" s="319"/>
      <c r="L8652" s="218"/>
    </row>
    <row r="8653">
      <c r="B8653" s="223" t="s">
        <v>200</v>
      </c>
      <c r="C8653" s="223"/>
      <c r="K8653" s="319"/>
      <c r="L8653" s="218"/>
    </row>
    <row r="8654">
      <c r="B8654" s="223" t="s">
        <v>200</v>
      </c>
      <c r="C8654" s="223"/>
      <c r="K8654" s="319"/>
      <c r="L8654" s="218"/>
    </row>
    <row r="8655">
      <c r="B8655" s="223" t="s">
        <v>200</v>
      </c>
      <c r="C8655" s="223"/>
      <c r="K8655" s="319"/>
      <c r="L8655" s="218"/>
    </row>
    <row r="8656">
      <c r="B8656" s="223" t="s">
        <v>200</v>
      </c>
      <c r="C8656" s="223"/>
      <c r="K8656" s="319"/>
      <c r="L8656" s="218"/>
    </row>
    <row r="8657">
      <c r="B8657" s="223" t="s">
        <v>200</v>
      </c>
      <c r="C8657" s="223"/>
      <c r="K8657" s="319"/>
      <c r="L8657" s="218"/>
    </row>
    <row r="8658">
      <c r="B8658" s="223" t="s">
        <v>200</v>
      </c>
      <c r="C8658" s="223"/>
      <c r="K8658" s="319"/>
      <c r="L8658" s="218"/>
    </row>
    <row r="8659">
      <c r="B8659" s="223" t="s">
        <v>200</v>
      </c>
      <c r="C8659" s="223"/>
      <c r="K8659" s="319"/>
      <c r="L8659" s="218"/>
    </row>
    <row r="8660">
      <c r="B8660" s="223" t="s">
        <v>200</v>
      </c>
      <c r="C8660" s="223"/>
      <c r="K8660" s="319"/>
      <c r="L8660" s="218"/>
    </row>
    <row r="8661">
      <c r="B8661" s="223" t="s">
        <v>200</v>
      </c>
      <c r="C8661" s="223"/>
      <c r="K8661" s="319"/>
      <c r="L8661" s="218"/>
    </row>
    <row r="8662">
      <c r="B8662" s="223" t="s">
        <v>200</v>
      </c>
      <c r="C8662" s="223"/>
      <c r="K8662" s="319"/>
      <c r="L8662" s="218"/>
    </row>
    <row r="8663">
      <c r="B8663" s="223" t="s">
        <v>200</v>
      </c>
      <c r="C8663" s="223"/>
      <c r="K8663" s="319"/>
      <c r="L8663" s="218"/>
    </row>
    <row r="8664">
      <c r="B8664" s="223" t="s">
        <v>200</v>
      </c>
      <c r="C8664" s="223"/>
      <c r="K8664" s="319"/>
      <c r="L8664" s="218"/>
    </row>
    <row r="8665">
      <c r="B8665" s="223" t="s">
        <v>200</v>
      </c>
      <c r="C8665" s="223"/>
      <c r="K8665" s="319"/>
      <c r="L8665" s="218"/>
    </row>
    <row r="8666">
      <c r="B8666" s="223" t="s">
        <v>200</v>
      </c>
      <c r="C8666" s="223"/>
      <c r="K8666" s="319"/>
      <c r="L8666" s="218"/>
    </row>
    <row r="8667">
      <c r="B8667" s="223" t="s">
        <v>200</v>
      </c>
      <c r="C8667" s="223"/>
      <c r="K8667" s="319"/>
      <c r="L8667" s="218"/>
    </row>
    <row r="8668">
      <c r="B8668" s="223" t="s">
        <v>200</v>
      </c>
      <c r="C8668" s="223"/>
      <c r="K8668" s="319"/>
      <c r="L8668" s="218"/>
    </row>
    <row r="8669">
      <c r="B8669" s="223" t="s">
        <v>200</v>
      </c>
      <c r="C8669" s="223"/>
      <c r="K8669" s="319"/>
      <c r="L8669" s="218"/>
    </row>
    <row r="8670">
      <c r="B8670" s="223" t="s">
        <v>200</v>
      </c>
      <c r="C8670" s="223"/>
      <c r="K8670" s="319"/>
      <c r="L8670" s="218"/>
    </row>
    <row r="8671">
      <c r="B8671" s="223" t="s">
        <v>200</v>
      </c>
      <c r="C8671" s="223"/>
      <c r="K8671" s="319"/>
      <c r="L8671" s="218"/>
    </row>
    <row r="8672">
      <c r="B8672" s="223" t="s">
        <v>200</v>
      </c>
      <c r="C8672" s="223"/>
      <c r="K8672" s="319"/>
      <c r="L8672" s="218"/>
    </row>
    <row r="8673">
      <c r="B8673" s="223" t="s">
        <v>200</v>
      </c>
      <c r="C8673" s="223"/>
      <c r="K8673" s="319"/>
      <c r="L8673" s="218"/>
    </row>
    <row r="8674">
      <c r="B8674" s="223" t="s">
        <v>200</v>
      </c>
      <c r="C8674" s="223"/>
      <c r="K8674" s="319"/>
      <c r="L8674" s="218"/>
    </row>
    <row r="8675">
      <c r="B8675" s="223" t="s">
        <v>200</v>
      </c>
      <c r="C8675" s="223"/>
      <c r="K8675" s="319"/>
      <c r="L8675" s="218"/>
    </row>
    <row r="8676">
      <c r="B8676" s="223" t="s">
        <v>200</v>
      </c>
      <c r="C8676" s="223"/>
      <c r="K8676" s="319"/>
      <c r="L8676" s="218"/>
    </row>
    <row r="8677">
      <c r="B8677" s="223" t="s">
        <v>200</v>
      </c>
      <c r="C8677" s="223"/>
      <c r="K8677" s="319"/>
      <c r="L8677" s="218"/>
    </row>
    <row r="8678">
      <c r="B8678" s="223" t="s">
        <v>200</v>
      </c>
      <c r="C8678" s="223"/>
      <c r="K8678" s="319"/>
      <c r="L8678" s="218"/>
    </row>
    <row r="8679">
      <c r="B8679" s="223" t="s">
        <v>200</v>
      </c>
      <c r="C8679" s="223"/>
      <c r="K8679" s="319"/>
      <c r="L8679" s="218"/>
    </row>
    <row r="8680">
      <c r="B8680" s="223" t="s">
        <v>200</v>
      </c>
      <c r="C8680" s="223"/>
      <c r="K8680" s="319"/>
      <c r="L8680" s="218"/>
    </row>
    <row r="8681">
      <c r="B8681" s="223" t="s">
        <v>200</v>
      </c>
      <c r="C8681" s="223"/>
      <c r="K8681" s="319"/>
      <c r="L8681" s="218"/>
    </row>
    <row r="8682">
      <c r="B8682" s="223" t="s">
        <v>200</v>
      </c>
      <c r="C8682" s="223"/>
      <c r="K8682" s="319"/>
      <c r="L8682" s="218"/>
    </row>
    <row r="8683">
      <c r="B8683" s="223" t="s">
        <v>200</v>
      </c>
      <c r="C8683" s="223"/>
      <c r="K8683" s="319"/>
      <c r="L8683" s="218"/>
    </row>
    <row r="8684">
      <c r="B8684" s="223" t="s">
        <v>200</v>
      </c>
      <c r="C8684" s="223"/>
      <c r="K8684" s="319"/>
      <c r="L8684" s="218"/>
    </row>
    <row r="8685">
      <c r="B8685" s="223" t="s">
        <v>200</v>
      </c>
      <c r="C8685" s="223"/>
      <c r="K8685" s="319"/>
      <c r="L8685" s="218"/>
    </row>
    <row r="8686">
      <c r="B8686" s="223" t="s">
        <v>200</v>
      </c>
      <c r="C8686" s="223"/>
      <c r="K8686" s="319"/>
      <c r="L8686" s="218"/>
    </row>
    <row r="8687">
      <c r="B8687" s="223" t="s">
        <v>200</v>
      </c>
      <c r="C8687" s="223"/>
      <c r="K8687" s="319"/>
      <c r="L8687" s="218"/>
    </row>
    <row r="8688">
      <c r="B8688" s="223" t="s">
        <v>200</v>
      </c>
      <c r="C8688" s="223"/>
      <c r="K8688" s="319"/>
      <c r="L8688" s="218"/>
    </row>
    <row r="8689">
      <c r="B8689" s="223" t="s">
        <v>200</v>
      </c>
      <c r="C8689" s="223"/>
      <c r="K8689" s="319"/>
      <c r="L8689" s="218"/>
    </row>
    <row r="8690">
      <c r="B8690" s="223" t="s">
        <v>200</v>
      </c>
      <c r="C8690" s="223"/>
      <c r="K8690" s="319"/>
      <c r="L8690" s="218"/>
    </row>
    <row r="8691">
      <c r="B8691" s="223" t="s">
        <v>200</v>
      </c>
      <c r="C8691" s="223"/>
      <c r="K8691" s="319"/>
      <c r="L8691" s="218"/>
    </row>
    <row r="8692">
      <c r="B8692" s="223" t="s">
        <v>200</v>
      </c>
      <c r="C8692" s="223"/>
      <c r="K8692" s="319"/>
      <c r="L8692" s="218"/>
    </row>
    <row r="8693">
      <c r="B8693" s="223" t="s">
        <v>200</v>
      </c>
      <c r="C8693" s="223"/>
      <c r="K8693" s="319"/>
      <c r="L8693" s="218"/>
    </row>
    <row r="8694">
      <c r="B8694" s="223" t="s">
        <v>200</v>
      </c>
      <c r="C8694" s="223"/>
      <c r="K8694" s="319"/>
      <c r="L8694" s="218"/>
    </row>
    <row r="8695">
      <c r="B8695" s="223" t="s">
        <v>200</v>
      </c>
      <c r="C8695" s="223"/>
      <c r="K8695" s="319"/>
      <c r="L8695" s="218"/>
    </row>
    <row r="8696">
      <c r="B8696" s="223" t="s">
        <v>200</v>
      </c>
      <c r="C8696" s="223"/>
      <c r="K8696" s="319"/>
      <c r="L8696" s="218"/>
    </row>
    <row r="8697">
      <c r="B8697" s="223" t="s">
        <v>200</v>
      </c>
      <c r="C8697" s="223"/>
      <c r="K8697" s="319"/>
      <c r="L8697" s="218"/>
    </row>
    <row r="8698">
      <c r="B8698" s="223" t="s">
        <v>200</v>
      </c>
      <c r="C8698" s="223"/>
      <c r="K8698" s="319"/>
      <c r="L8698" s="218"/>
    </row>
    <row r="8699">
      <c r="B8699" s="223" t="s">
        <v>200</v>
      </c>
      <c r="C8699" s="223"/>
      <c r="K8699" s="319"/>
      <c r="L8699" s="218"/>
    </row>
    <row r="8700">
      <c r="B8700" s="223" t="s">
        <v>200</v>
      </c>
      <c r="C8700" s="223"/>
      <c r="K8700" s="319"/>
      <c r="L8700" s="218"/>
    </row>
    <row r="8701">
      <c r="B8701" s="223" t="s">
        <v>200</v>
      </c>
      <c r="C8701" s="223"/>
      <c r="K8701" s="319"/>
      <c r="L8701" s="218"/>
    </row>
    <row r="8702">
      <c r="B8702" s="223" t="s">
        <v>200</v>
      </c>
      <c r="C8702" s="223"/>
      <c r="K8702" s="319"/>
      <c r="L8702" s="218"/>
    </row>
    <row r="8703">
      <c r="B8703" s="223" t="s">
        <v>200</v>
      </c>
      <c r="C8703" s="223"/>
      <c r="K8703" s="319"/>
      <c r="L8703" s="218"/>
    </row>
    <row r="8704">
      <c r="B8704" s="223" t="s">
        <v>200</v>
      </c>
      <c r="C8704" s="223"/>
      <c r="K8704" s="319"/>
      <c r="L8704" s="218"/>
    </row>
    <row r="8705">
      <c r="B8705" s="223" t="s">
        <v>200</v>
      </c>
      <c r="C8705" s="223"/>
      <c r="K8705" s="319"/>
      <c r="L8705" s="218"/>
    </row>
    <row r="8706">
      <c r="B8706" s="223" t="s">
        <v>200</v>
      </c>
      <c r="C8706" s="223"/>
      <c r="K8706" s="319"/>
      <c r="L8706" s="218"/>
    </row>
    <row r="8707">
      <c r="B8707" s="223" t="s">
        <v>200</v>
      </c>
      <c r="C8707" s="223"/>
      <c r="K8707" s="319"/>
      <c r="L8707" s="218"/>
    </row>
    <row r="8708">
      <c r="B8708" s="223" t="s">
        <v>200</v>
      </c>
      <c r="C8708" s="223"/>
      <c r="K8708" s="319"/>
      <c r="L8708" s="218"/>
    </row>
    <row r="8709">
      <c r="B8709" s="223" t="s">
        <v>200</v>
      </c>
      <c r="C8709" s="223"/>
      <c r="K8709" s="319"/>
      <c r="L8709" s="218"/>
    </row>
    <row r="8710">
      <c r="B8710" s="223" t="s">
        <v>200</v>
      </c>
      <c r="C8710" s="223"/>
      <c r="K8710" s="319"/>
      <c r="L8710" s="218"/>
    </row>
    <row r="8711">
      <c r="B8711" s="223" t="s">
        <v>200</v>
      </c>
      <c r="C8711" s="223"/>
      <c r="K8711" s="319"/>
      <c r="L8711" s="218"/>
    </row>
    <row r="8712">
      <c r="B8712" s="223" t="s">
        <v>200</v>
      </c>
      <c r="C8712" s="223"/>
      <c r="K8712" s="319"/>
      <c r="L8712" s="218"/>
    </row>
    <row r="8713">
      <c r="B8713" s="223" t="s">
        <v>200</v>
      </c>
      <c r="C8713" s="223"/>
      <c r="K8713" s="319"/>
      <c r="L8713" s="218"/>
    </row>
    <row r="8714">
      <c r="B8714" s="223" t="s">
        <v>200</v>
      </c>
      <c r="C8714" s="223"/>
      <c r="K8714" s="319"/>
      <c r="L8714" s="218"/>
    </row>
    <row r="8715">
      <c r="B8715" s="223" t="s">
        <v>200</v>
      </c>
      <c r="C8715" s="223"/>
      <c r="K8715" s="319"/>
      <c r="L8715" s="218"/>
    </row>
    <row r="8716">
      <c r="B8716" s="223" t="s">
        <v>200</v>
      </c>
      <c r="C8716" s="223"/>
      <c r="K8716" s="319"/>
      <c r="L8716" s="218"/>
    </row>
    <row r="8717">
      <c r="B8717" s="223" t="s">
        <v>200</v>
      </c>
      <c r="C8717" s="223"/>
      <c r="K8717" s="319"/>
      <c r="L8717" s="218"/>
    </row>
    <row r="8718">
      <c r="B8718" s="223" t="s">
        <v>200</v>
      </c>
      <c r="C8718" s="223"/>
      <c r="K8718" s="319"/>
      <c r="L8718" s="218"/>
    </row>
    <row r="8719">
      <c r="B8719" s="223" t="s">
        <v>200</v>
      </c>
      <c r="C8719" s="223"/>
      <c r="K8719" s="319"/>
      <c r="L8719" s="218"/>
    </row>
    <row r="8720">
      <c r="B8720" s="223" t="s">
        <v>200</v>
      </c>
      <c r="C8720" s="223"/>
      <c r="K8720" s="319"/>
      <c r="L8720" s="218"/>
    </row>
    <row r="8721">
      <c r="B8721" s="223" t="s">
        <v>200</v>
      </c>
      <c r="C8721" s="223"/>
      <c r="K8721" s="319"/>
      <c r="L8721" s="218"/>
    </row>
    <row r="8722">
      <c r="B8722" s="223" t="s">
        <v>200</v>
      </c>
      <c r="C8722" s="223"/>
      <c r="K8722" s="319"/>
      <c r="L8722" s="218"/>
    </row>
    <row r="8723">
      <c r="B8723" s="223" t="s">
        <v>200</v>
      </c>
      <c r="C8723" s="223"/>
      <c r="K8723" s="319"/>
      <c r="L8723" s="218"/>
    </row>
    <row r="8724">
      <c r="B8724" s="223" t="s">
        <v>200</v>
      </c>
      <c r="C8724" s="223"/>
      <c r="K8724" s="319"/>
      <c r="L8724" s="218"/>
    </row>
    <row r="8725">
      <c r="B8725" s="223" t="s">
        <v>200</v>
      </c>
      <c r="C8725" s="223"/>
      <c r="K8725" s="319"/>
      <c r="L8725" s="218"/>
    </row>
    <row r="8726">
      <c r="B8726" s="223" t="s">
        <v>200</v>
      </c>
      <c r="C8726" s="223"/>
      <c r="K8726" s="319"/>
      <c r="L8726" s="218"/>
    </row>
    <row r="8727">
      <c r="B8727" s="223" t="s">
        <v>200</v>
      </c>
      <c r="C8727" s="223"/>
      <c r="K8727" s="319"/>
      <c r="L8727" s="218"/>
    </row>
    <row r="8728">
      <c r="B8728" s="223" t="s">
        <v>200</v>
      </c>
      <c r="C8728" s="223"/>
      <c r="K8728" s="319"/>
      <c r="L8728" s="218"/>
    </row>
    <row r="8729">
      <c r="B8729" s="223" t="s">
        <v>200</v>
      </c>
      <c r="C8729" s="223"/>
      <c r="K8729" s="319"/>
      <c r="L8729" s="218"/>
    </row>
    <row r="8730">
      <c r="B8730" s="223" t="s">
        <v>200</v>
      </c>
      <c r="C8730" s="223"/>
      <c r="K8730" s="319"/>
      <c r="L8730" s="218"/>
    </row>
    <row r="8731">
      <c r="B8731" s="223" t="s">
        <v>200</v>
      </c>
      <c r="C8731" s="223"/>
      <c r="K8731" s="319"/>
      <c r="L8731" s="218"/>
    </row>
    <row r="8732">
      <c r="B8732" s="223" t="s">
        <v>200</v>
      </c>
      <c r="C8732" s="223"/>
      <c r="K8732" s="319"/>
      <c r="L8732" s="218"/>
    </row>
    <row r="8733">
      <c r="B8733" s="223" t="s">
        <v>200</v>
      </c>
      <c r="C8733" s="223"/>
      <c r="K8733" s="319"/>
      <c r="L8733" s="218"/>
    </row>
    <row r="8734">
      <c r="B8734" s="223" t="s">
        <v>200</v>
      </c>
      <c r="C8734" s="223"/>
      <c r="K8734" s="319"/>
      <c r="L8734" s="218"/>
    </row>
    <row r="8735">
      <c r="B8735" s="223" t="s">
        <v>200</v>
      </c>
      <c r="C8735" s="223"/>
      <c r="K8735" s="319"/>
      <c r="L8735" s="218"/>
    </row>
    <row r="8736">
      <c r="B8736" s="223" t="s">
        <v>200</v>
      </c>
      <c r="C8736" s="223"/>
      <c r="K8736" s="319"/>
      <c r="L8736" s="218"/>
    </row>
    <row r="8737">
      <c r="B8737" s="223" t="s">
        <v>200</v>
      </c>
      <c r="C8737" s="223"/>
      <c r="K8737" s="319"/>
      <c r="L8737" s="218"/>
    </row>
    <row r="8738">
      <c r="B8738" s="223" t="s">
        <v>200</v>
      </c>
      <c r="C8738" s="223"/>
      <c r="K8738" s="319"/>
      <c r="L8738" s="218"/>
    </row>
    <row r="8739">
      <c r="B8739" s="223" t="s">
        <v>200</v>
      </c>
      <c r="C8739" s="223"/>
      <c r="K8739" s="319"/>
      <c r="L8739" s="218"/>
    </row>
    <row r="8740">
      <c r="B8740" s="223" t="s">
        <v>200</v>
      </c>
      <c r="C8740" s="223"/>
      <c r="K8740" s="319"/>
      <c r="L8740" s="218"/>
    </row>
    <row r="8741">
      <c r="B8741" s="223" t="s">
        <v>200</v>
      </c>
      <c r="C8741" s="223"/>
      <c r="K8741" s="319"/>
      <c r="L8741" s="218"/>
    </row>
    <row r="8742">
      <c r="B8742" s="223" t="s">
        <v>200</v>
      </c>
      <c r="C8742" s="223"/>
      <c r="K8742" s="319"/>
      <c r="L8742" s="218"/>
    </row>
    <row r="8743">
      <c r="B8743" s="223" t="s">
        <v>200</v>
      </c>
      <c r="C8743" s="223"/>
      <c r="K8743" s="319"/>
      <c r="L8743" s="218"/>
    </row>
    <row r="8744">
      <c r="B8744" s="223" t="s">
        <v>200</v>
      </c>
      <c r="C8744" s="223"/>
      <c r="K8744" s="319"/>
      <c r="L8744" s="218"/>
    </row>
    <row r="8745">
      <c r="B8745" s="223" t="s">
        <v>200</v>
      </c>
      <c r="C8745" s="223"/>
      <c r="K8745" s="319"/>
      <c r="L8745" s="218"/>
    </row>
    <row r="8746">
      <c r="B8746" s="223" t="s">
        <v>200</v>
      </c>
      <c r="C8746" s="223"/>
      <c r="K8746" s="319"/>
      <c r="L8746" s="218"/>
    </row>
    <row r="8747">
      <c r="B8747" s="223" t="s">
        <v>200</v>
      </c>
      <c r="C8747" s="223"/>
      <c r="K8747" s="319"/>
      <c r="L8747" s="218"/>
    </row>
    <row r="8748">
      <c r="B8748" s="223" t="s">
        <v>200</v>
      </c>
      <c r="C8748" s="223"/>
      <c r="K8748" s="319"/>
      <c r="L8748" s="218"/>
    </row>
    <row r="8749">
      <c r="B8749" s="223" t="s">
        <v>200</v>
      </c>
      <c r="C8749" s="223"/>
      <c r="K8749" s="319"/>
      <c r="L8749" s="218"/>
    </row>
    <row r="8750">
      <c r="B8750" s="223" t="s">
        <v>200</v>
      </c>
      <c r="C8750" s="223"/>
      <c r="K8750" s="319"/>
      <c r="L8750" s="218"/>
    </row>
    <row r="8751">
      <c r="B8751" s="223" t="s">
        <v>200</v>
      </c>
      <c r="C8751" s="223"/>
      <c r="K8751" s="319"/>
      <c r="L8751" s="218"/>
    </row>
    <row r="8752">
      <c r="B8752" s="223" t="s">
        <v>200</v>
      </c>
      <c r="C8752" s="223"/>
      <c r="K8752" s="319"/>
      <c r="L8752" s="218"/>
    </row>
    <row r="8753">
      <c r="B8753" s="223" t="s">
        <v>200</v>
      </c>
      <c r="C8753" s="223"/>
      <c r="K8753" s="319"/>
      <c r="L8753" s="218"/>
    </row>
    <row r="8754">
      <c r="B8754" s="223" t="s">
        <v>200</v>
      </c>
      <c r="C8754" s="223"/>
      <c r="K8754" s="319"/>
      <c r="L8754" s="218"/>
    </row>
    <row r="8755">
      <c r="B8755" s="223" t="s">
        <v>200</v>
      </c>
      <c r="C8755" s="223"/>
      <c r="K8755" s="319"/>
      <c r="L8755" s="218"/>
    </row>
    <row r="8756">
      <c r="B8756" s="223" t="s">
        <v>200</v>
      </c>
      <c r="C8756" s="223"/>
      <c r="K8756" s="319"/>
      <c r="L8756" s="218"/>
    </row>
    <row r="8757">
      <c r="B8757" s="223" t="s">
        <v>200</v>
      </c>
      <c r="C8757" s="223"/>
      <c r="K8757" s="319"/>
      <c r="L8757" s="218"/>
    </row>
    <row r="8758">
      <c r="B8758" s="223" t="s">
        <v>200</v>
      </c>
      <c r="C8758" s="223"/>
      <c r="K8758" s="319"/>
      <c r="L8758" s="218"/>
    </row>
    <row r="8759">
      <c r="B8759" s="223" t="s">
        <v>200</v>
      </c>
      <c r="C8759" s="223"/>
      <c r="K8759" s="319"/>
      <c r="L8759" s="218"/>
    </row>
    <row r="8760">
      <c r="B8760" s="223" t="s">
        <v>200</v>
      </c>
      <c r="C8760" s="223"/>
      <c r="K8760" s="319"/>
      <c r="L8760" s="218"/>
    </row>
    <row r="8761">
      <c r="B8761" s="223" t="s">
        <v>200</v>
      </c>
      <c r="C8761" s="223"/>
      <c r="K8761" s="319"/>
      <c r="L8761" s="218"/>
    </row>
    <row r="8762">
      <c r="B8762" s="223" t="s">
        <v>200</v>
      </c>
      <c r="C8762" s="223"/>
      <c r="K8762" s="319"/>
      <c r="L8762" s="218"/>
    </row>
    <row r="8763">
      <c r="B8763" s="223" t="s">
        <v>200</v>
      </c>
      <c r="C8763" s="223"/>
      <c r="K8763" s="319"/>
      <c r="L8763" s="218"/>
    </row>
    <row r="8764">
      <c r="B8764" s="223" t="s">
        <v>200</v>
      </c>
      <c r="C8764" s="223"/>
      <c r="K8764" s="319"/>
      <c r="L8764" s="218"/>
    </row>
    <row r="8765">
      <c r="B8765" s="223" t="s">
        <v>200</v>
      </c>
      <c r="C8765" s="223"/>
      <c r="K8765" s="319"/>
      <c r="L8765" s="218"/>
    </row>
    <row r="8766">
      <c r="B8766" s="223" t="s">
        <v>200</v>
      </c>
      <c r="C8766" s="223"/>
      <c r="K8766" s="319"/>
      <c r="L8766" s="218"/>
    </row>
    <row r="8767">
      <c r="B8767" s="223" t="s">
        <v>200</v>
      </c>
      <c r="C8767" s="223"/>
      <c r="K8767" s="319"/>
      <c r="L8767" s="218"/>
    </row>
    <row r="8768">
      <c r="B8768" s="223" t="s">
        <v>200</v>
      </c>
      <c r="C8768" s="223"/>
      <c r="K8768" s="319"/>
      <c r="L8768" s="218"/>
    </row>
    <row r="8769">
      <c r="B8769" s="223" t="s">
        <v>200</v>
      </c>
      <c r="C8769" s="223"/>
      <c r="K8769" s="319"/>
      <c r="L8769" s="218"/>
    </row>
    <row r="8770">
      <c r="B8770" s="223" t="s">
        <v>200</v>
      </c>
      <c r="C8770" s="223"/>
      <c r="K8770" s="319"/>
      <c r="L8770" s="218"/>
    </row>
    <row r="8771">
      <c r="B8771" s="223" t="s">
        <v>200</v>
      </c>
      <c r="C8771" s="223"/>
      <c r="K8771" s="319"/>
      <c r="L8771" s="218"/>
    </row>
    <row r="8772">
      <c r="B8772" s="223" t="s">
        <v>200</v>
      </c>
      <c r="C8772" s="223"/>
      <c r="K8772" s="319"/>
      <c r="L8772" s="218"/>
    </row>
    <row r="8773">
      <c r="B8773" s="223" t="s">
        <v>200</v>
      </c>
      <c r="C8773" s="223"/>
      <c r="K8773" s="319"/>
      <c r="L8773" s="218"/>
    </row>
    <row r="8774">
      <c r="B8774" s="223" t="s">
        <v>200</v>
      </c>
      <c r="C8774" s="223"/>
      <c r="K8774" s="319"/>
      <c r="L8774" s="218"/>
    </row>
    <row r="8775">
      <c r="B8775" s="223" t="s">
        <v>200</v>
      </c>
      <c r="C8775" s="223"/>
      <c r="K8775" s="319"/>
      <c r="L8775" s="218"/>
    </row>
    <row r="8776">
      <c r="B8776" s="223" t="s">
        <v>200</v>
      </c>
      <c r="C8776" s="223"/>
      <c r="K8776" s="319"/>
      <c r="L8776" s="218"/>
    </row>
    <row r="8777">
      <c r="B8777" s="223" t="s">
        <v>200</v>
      </c>
      <c r="C8777" s="223"/>
      <c r="K8777" s="319"/>
      <c r="L8777" s="218"/>
    </row>
    <row r="8778">
      <c r="B8778" s="223" t="s">
        <v>200</v>
      </c>
      <c r="C8778" s="223"/>
      <c r="K8778" s="319"/>
      <c r="L8778" s="218"/>
    </row>
    <row r="8779">
      <c r="B8779" s="223" t="s">
        <v>200</v>
      </c>
      <c r="C8779" s="223"/>
      <c r="K8779" s="319"/>
      <c r="L8779" s="218"/>
    </row>
    <row r="8780">
      <c r="B8780" s="223" t="s">
        <v>200</v>
      </c>
      <c r="C8780" s="223"/>
      <c r="K8780" s="319"/>
      <c r="L8780" s="218"/>
    </row>
    <row r="8781">
      <c r="B8781" s="223" t="s">
        <v>200</v>
      </c>
      <c r="C8781" s="223"/>
      <c r="K8781" s="319"/>
      <c r="L8781" s="218"/>
    </row>
    <row r="8782">
      <c r="B8782" s="223" t="s">
        <v>200</v>
      </c>
      <c r="C8782" s="223"/>
      <c r="K8782" s="319"/>
      <c r="L8782" s="218"/>
    </row>
    <row r="8783">
      <c r="B8783" s="223" t="s">
        <v>200</v>
      </c>
      <c r="C8783" s="223"/>
      <c r="K8783" s="319"/>
      <c r="L8783" s="218"/>
    </row>
    <row r="8784">
      <c r="B8784" s="223" t="s">
        <v>200</v>
      </c>
      <c r="C8784" s="223"/>
      <c r="K8784" s="319"/>
      <c r="L8784" s="218"/>
    </row>
    <row r="8785">
      <c r="B8785" s="223" t="s">
        <v>200</v>
      </c>
      <c r="C8785" s="223"/>
      <c r="K8785" s="319"/>
      <c r="L8785" s="218"/>
    </row>
    <row r="8786">
      <c r="B8786" s="223" t="s">
        <v>200</v>
      </c>
      <c r="C8786" s="223"/>
      <c r="K8786" s="319"/>
      <c r="L8786" s="218"/>
    </row>
    <row r="8787">
      <c r="B8787" s="223" t="s">
        <v>200</v>
      </c>
      <c r="C8787" s="223"/>
      <c r="K8787" s="319"/>
      <c r="L8787" s="218"/>
    </row>
    <row r="8788">
      <c r="B8788" s="223" t="s">
        <v>200</v>
      </c>
      <c r="C8788" s="223"/>
      <c r="K8788" s="319"/>
      <c r="L8788" s="218"/>
    </row>
    <row r="8789">
      <c r="B8789" s="223" t="s">
        <v>200</v>
      </c>
      <c r="C8789" s="223"/>
      <c r="K8789" s="319"/>
      <c r="L8789" s="218"/>
    </row>
    <row r="8790">
      <c r="B8790" s="223" t="s">
        <v>200</v>
      </c>
      <c r="C8790" s="223"/>
      <c r="K8790" s="319"/>
      <c r="L8790" s="218"/>
    </row>
    <row r="8791">
      <c r="B8791" s="223" t="s">
        <v>200</v>
      </c>
      <c r="C8791" s="223"/>
      <c r="K8791" s="319"/>
      <c r="L8791" s="218"/>
    </row>
    <row r="8792">
      <c r="B8792" s="223" t="s">
        <v>200</v>
      </c>
      <c r="C8792" s="223"/>
      <c r="K8792" s="319"/>
      <c r="L8792" s="218"/>
    </row>
    <row r="8793">
      <c r="B8793" s="223" t="s">
        <v>200</v>
      </c>
      <c r="C8793" s="223"/>
      <c r="K8793" s="319"/>
      <c r="L8793" s="218"/>
    </row>
    <row r="8794">
      <c r="B8794" s="223" t="s">
        <v>200</v>
      </c>
      <c r="C8794" s="223"/>
      <c r="K8794" s="319"/>
      <c r="L8794" s="218"/>
    </row>
    <row r="8795">
      <c r="B8795" s="223" t="s">
        <v>200</v>
      </c>
      <c r="C8795" s="223"/>
      <c r="K8795" s="319"/>
      <c r="L8795" s="218"/>
    </row>
    <row r="8796">
      <c r="B8796" s="223" t="s">
        <v>200</v>
      </c>
      <c r="C8796" s="223"/>
      <c r="K8796" s="319"/>
      <c r="L8796" s="218"/>
    </row>
    <row r="8797">
      <c r="B8797" s="223" t="s">
        <v>200</v>
      </c>
      <c r="C8797" s="223"/>
      <c r="K8797" s="319"/>
      <c r="L8797" s="218"/>
    </row>
    <row r="8798">
      <c r="B8798" s="223" t="s">
        <v>200</v>
      </c>
      <c r="C8798" s="223"/>
      <c r="K8798" s="319"/>
      <c r="L8798" s="218"/>
    </row>
    <row r="8799">
      <c r="B8799" s="223" t="s">
        <v>200</v>
      </c>
      <c r="C8799" s="223"/>
      <c r="K8799" s="319"/>
      <c r="L8799" s="218"/>
    </row>
    <row r="8800">
      <c r="B8800" s="223" t="s">
        <v>200</v>
      </c>
      <c r="C8800" s="223"/>
      <c r="K8800" s="319"/>
      <c r="L8800" s="218"/>
    </row>
    <row r="8801">
      <c r="B8801" s="223" t="s">
        <v>200</v>
      </c>
      <c r="C8801" s="223"/>
      <c r="K8801" s="319"/>
      <c r="L8801" s="218"/>
    </row>
    <row r="8802">
      <c r="B8802" s="223" t="s">
        <v>200</v>
      </c>
      <c r="C8802" s="223"/>
      <c r="K8802" s="319"/>
      <c r="L8802" s="218"/>
    </row>
    <row r="8803">
      <c r="B8803" s="223" t="s">
        <v>200</v>
      </c>
      <c r="C8803" s="223"/>
      <c r="K8803" s="319"/>
      <c r="L8803" s="218"/>
    </row>
    <row r="8804">
      <c r="B8804" s="223" t="s">
        <v>200</v>
      </c>
      <c r="C8804" s="223"/>
      <c r="K8804" s="319"/>
      <c r="L8804" s="218"/>
    </row>
    <row r="8805">
      <c r="B8805" s="223" t="s">
        <v>200</v>
      </c>
      <c r="C8805" s="223"/>
      <c r="K8805" s="319"/>
      <c r="L8805" s="218"/>
    </row>
    <row r="8806">
      <c r="B8806" s="223" t="s">
        <v>200</v>
      </c>
      <c r="C8806" s="223"/>
      <c r="K8806" s="319"/>
      <c r="L8806" s="218"/>
    </row>
    <row r="8807">
      <c r="B8807" s="223" t="s">
        <v>200</v>
      </c>
      <c r="C8807" s="223"/>
      <c r="K8807" s="319"/>
      <c r="L8807" s="218"/>
    </row>
    <row r="8808">
      <c r="B8808" s="223" t="s">
        <v>200</v>
      </c>
      <c r="C8808" s="223"/>
      <c r="K8808" s="319"/>
      <c r="L8808" s="218"/>
    </row>
    <row r="8809">
      <c r="B8809" s="223" t="s">
        <v>200</v>
      </c>
      <c r="C8809" s="223"/>
      <c r="K8809" s="319"/>
      <c r="L8809" s="218"/>
    </row>
    <row r="8810">
      <c r="B8810" s="223" t="s">
        <v>200</v>
      </c>
      <c r="C8810" s="223"/>
      <c r="K8810" s="319"/>
      <c r="L8810" s="218"/>
    </row>
    <row r="8811">
      <c r="B8811" s="223" t="s">
        <v>200</v>
      </c>
      <c r="C8811" s="223"/>
      <c r="K8811" s="319"/>
      <c r="L8811" s="218"/>
    </row>
    <row r="8812">
      <c r="B8812" s="223" t="s">
        <v>200</v>
      </c>
      <c r="C8812" s="223"/>
      <c r="K8812" s="319"/>
      <c r="L8812" s="218"/>
    </row>
    <row r="8813">
      <c r="B8813" s="223" t="s">
        <v>200</v>
      </c>
      <c r="C8813" s="223"/>
      <c r="K8813" s="319"/>
      <c r="L8813" s="218"/>
    </row>
    <row r="8814">
      <c r="B8814" s="223" t="s">
        <v>200</v>
      </c>
      <c r="C8814" s="223"/>
      <c r="K8814" s="319"/>
      <c r="L8814" s="218"/>
    </row>
    <row r="8815">
      <c r="B8815" s="223" t="s">
        <v>200</v>
      </c>
      <c r="C8815" s="223"/>
      <c r="K8815" s="319"/>
      <c r="L8815" s="218"/>
    </row>
    <row r="8816">
      <c r="B8816" s="223" t="s">
        <v>200</v>
      </c>
      <c r="C8816" s="223"/>
      <c r="K8816" s="319"/>
      <c r="L8816" s="218"/>
    </row>
    <row r="8817">
      <c r="B8817" s="223" t="s">
        <v>200</v>
      </c>
      <c r="C8817" s="223"/>
      <c r="K8817" s="319"/>
      <c r="L8817" s="218"/>
    </row>
    <row r="8818">
      <c r="B8818" s="223" t="s">
        <v>200</v>
      </c>
      <c r="C8818" s="223"/>
      <c r="K8818" s="319"/>
      <c r="L8818" s="218"/>
    </row>
    <row r="8819">
      <c r="B8819" s="223" t="s">
        <v>200</v>
      </c>
      <c r="C8819" s="223"/>
      <c r="K8819" s="319"/>
      <c r="L8819" s="218"/>
    </row>
    <row r="8820">
      <c r="B8820" s="223" t="s">
        <v>200</v>
      </c>
      <c r="C8820" s="223"/>
      <c r="K8820" s="319"/>
      <c r="L8820" s="218"/>
    </row>
    <row r="8821">
      <c r="B8821" s="223" t="s">
        <v>200</v>
      </c>
      <c r="C8821" s="223"/>
      <c r="K8821" s="319"/>
      <c r="L8821" s="218"/>
    </row>
    <row r="8822">
      <c r="B8822" s="223" t="s">
        <v>200</v>
      </c>
      <c r="C8822" s="223"/>
      <c r="K8822" s="319"/>
      <c r="L8822" s="218"/>
    </row>
    <row r="8823">
      <c r="B8823" s="223" t="s">
        <v>200</v>
      </c>
      <c r="C8823" s="223"/>
      <c r="K8823" s="319"/>
      <c r="L8823" s="218"/>
    </row>
    <row r="8824">
      <c r="B8824" s="223" t="s">
        <v>200</v>
      </c>
      <c r="C8824" s="223"/>
      <c r="K8824" s="319"/>
      <c r="L8824" s="218"/>
    </row>
    <row r="8825">
      <c r="B8825" s="223" t="s">
        <v>200</v>
      </c>
      <c r="C8825" s="223"/>
      <c r="K8825" s="319"/>
      <c r="L8825" s="218"/>
    </row>
    <row r="8826">
      <c r="B8826" s="223" t="s">
        <v>200</v>
      </c>
      <c r="C8826" s="223"/>
      <c r="K8826" s="319"/>
      <c r="L8826" s="218"/>
    </row>
    <row r="8827">
      <c r="B8827" s="223" t="s">
        <v>200</v>
      </c>
      <c r="C8827" s="223"/>
      <c r="K8827" s="319"/>
      <c r="L8827" s="218"/>
    </row>
    <row r="8828">
      <c r="B8828" s="223" t="s">
        <v>200</v>
      </c>
      <c r="C8828" s="223"/>
      <c r="K8828" s="319"/>
      <c r="L8828" s="218"/>
    </row>
    <row r="8829">
      <c r="B8829" s="223" t="s">
        <v>200</v>
      </c>
      <c r="C8829" s="223"/>
      <c r="K8829" s="319"/>
      <c r="L8829" s="218"/>
    </row>
    <row r="8830">
      <c r="B8830" s="223" t="s">
        <v>200</v>
      </c>
      <c r="C8830" s="223"/>
      <c r="K8830" s="319"/>
      <c r="L8830" s="218"/>
    </row>
    <row r="8831">
      <c r="B8831" s="223" t="s">
        <v>200</v>
      </c>
      <c r="C8831" s="223"/>
      <c r="K8831" s="319"/>
      <c r="L8831" s="218"/>
    </row>
    <row r="8832">
      <c r="B8832" s="223" t="s">
        <v>200</v>
      </c>
      <c r="C8832" s="223"/>
      <c r="K8832" s="319"/>
      <c r="L8832" s="218"/>
    </row>
    <row r="8833">
      <c r="B8833" s="223" t="s">
        <v>200</v>
      </c>
      <c r="C8833" s="223"/>
      <c r="K8833" s="319"/>
      <c r="L8833" s="218"/>
    </row>
    <row r="8834">
      <c r="B8834" s="223" t="s">
        <v>200</v>
      </c>
      <c r="C8834" s="223"/>
      <c r="K8834" s="319"/>
      <c r="L8834" s="218"/>
    </row>
    <row r="8835">
      <c r="B8835" s="223" t="s">
        <v>200</v>
      </c>
      <c r="C8835" s="223"/>
      <c r="K8835" s="319"/>
      <c r="L8835" s="218"/>
    </row>
    <row r="8836">
      <c r="B8836" s="223" t="s">
        <v>200</v>
      </c>
      <c r="C8836" s="223"/>
      <c r="K8836" s="319"/>
      <c r="L8836" s="218"/>
    </row>
    <row r="8837">
      <c r="B8837" s="223" t="s">
        <v>200</v>
      </c>
      <c r="C8837" s="223"/>
      <c r="K8837" s="319"/>
      <c r="L8837" s="218"/>
    </row>
    <row r="8838">
      <c r="B8838" s="223" t="s">
        <v>200</v>
      </c>
      <c r="C8838" s="223"/>
      <c r="K8838" s="319"/>
      <c r="L8838" s="218"/>
    </row>
    <row r="8839">
      <c r="B8839" s="223" t="s">
        <v>200</v>
      </c>
      <c r="C8839" s="223"/>
      <c r="K8839" s="319"/>
      <c r="L8839" s="218"/>
    </row>
    <row r="8840">
      <c r="B8840" s="223" t="s">
        <v>200</v>
      </c>
      <c r="C8840" s="223"/>
      <c r="K8840" s="319"/>
      <c r="L8840" s="218"/>
    </row>
    <row r="8841">
      <c r="B8841" s="223" t="s">
        <v>200</v>
      </c>
      <c r="C8841" s="223"/>
      <c r="K8841" s="319"/>
      <c r="L8841" s="218"/>
    </row>
    <row r="8842">
      <c r="B8842" s="223" t="s">
        <v>200</v>
      </c>
      <c r="C8842" s="223"/>
      <c r="K8842" s="319"/>
      <c r="L8842" s="218"/>
    </row>
    <row r="8843">
      <c r="B8843" s="223" t="s">
        <v>200</v>
      </c>
      <c r="C8843" s="223"/>
      <c r="K8843" s="319"/>
      <c r="L8843" s="218"/>
    </row>
    <row r="8844">
      <c r="B8844" s="223" t="s">
        <v>200</v>
      </c>
      <c r="C8844" s="223"/>
      <c r="K8844" s="319"/>
      <c r="L8844" s="218"/>
    </row>
    <row r="8845">
      <c r="B8845" s="223" t="s">
        <v>200</v>
      </c>
      <c r="C8845" s="223"/>
      <c r="K8845" s="319"/>
      <c r="L8845" s="218"/>
    </row>
    <row r="8846">
      <c r="B8846" s="223" t="s">
        <v>200</v>
      </c>
      <c r="C8846" s="223"/>
      <c r="K8846" s="319"/>
      <c r="L8846" s="218"/>
    </row>
    <row r="8847">
      <c r="B8847" s="223" t="s">
        <v>200</v>
      </c>
      <c r="C8847" s="223"/>
      <c r="K8847" s="319"/>
      <c r="L8847" s="218"/>
    </row>
    <row r="8848">
      <c r="B8848" s="223" t="s">
        <v>200</v>
      </c>
      <c r="C8848" s="223"/>
      <c r="K8848" s="319"/>
      <c r="L8848" s="218"/>
    </row>
    <row r="8849">
      <c r="B8849" s="223" t="s">
        <v>200</v>
      </c>
      <c r="C8849" s="223"/>
      <c r="K8849" s="319"/>
      <c r="L8849" s="218"/>
    </row>
    <row r="8850">
      <c r="B8850" s="223" t="s">
        <v>200</v>
      </c>
      <c r="C8850" s="223"/>
      <c r="K8850" s="319"/>
      <c r="L8850" s="218"/>
    </row>
    <row r="8851">
      <c r="B8851" s="223" t="s">
        <v>200</v>
      </c>
      <c r="C8851" s="223"/>
      <c r="K8851" s="319"/>
      <c r="L8851" s="218"/>
    </row>
    <row r="8852">
      <c r="B8852" s="223" t="s">
        <v>200</v>
      </c>
      <c r="C8852" s="223"/>
      <c r="K8852" s="319"/>
      <c r="L8852" s="218"/>
    </row>
    <row r="8853">
      <c r="B8853" s="223" t="s">
        <v>200</v>
      </c>
      <c r="C8853" s="223"/>
      <c r="K8853" s="319"/>
      <c r="L8853" s="218"/>
    </row>
    <row r="8854">
      <c r="B8854" s="223" t="s">
        <v>200</v>
      </c>
      <c r="C8854" s="223"/>
      <c r="K8854" s="319"/>
      <c r="L8854" s="218"/>
    </row>
    <row r="8855">
      <c r="B8855" s="223" t="s">
        <v>200</v>
      </c>
      <c r="C8855" s="223"/>
      <c r="K8855" s="319"/>
      <c r="L8855" s="218"/>
    </row>
    <row r="8856">
      <c r="B8856" s="223" t="s">
        <v>200</v>
      </c>
      <c r="C8856" s="223"/>
      <c r="K8856" s="319"/>
      <c r="L8856" s="218"/>
    </row>
    <row r="8857">
      <c r="B8857" s="223" t="s">
        <v>200</v>
      </c>
      <c r="C8857" s="223"/>
      <c r="K8857" s="319"/>
      <c r="L8857" s="218"/>
    </row>
    <row r="8858">
      <c r="B8858" s="223" t="s">
        <v>200</v>
      </c>
      <c r="C8858" s="223"/>
      <c r="K8858" s="319"/>
      <c r="L8858" s="218"/>
    </row>
    <row r="8859">
      <c r="B8859" s="223" t="s">
        <v>200</v>
      </c>
      <c r="C8859" s="223"/>
      <c r="K8859" s="319"/>
      <c r="L8859" s="218"/>
    </row>
    <row r="8860">
      <c r="B8860" s="223" t="s">
        <v>200</v>
      </c>
      <c r="C8860" s="223"/>
      <c r="K8860" s="319"/>
      <c r="L8860" s="218"/>
    </row>
    <row r="8861">
      <c r="B8861" s="223" t="s">
        <v>200</v>
      </c>
      <c r="C8861" s="223"/>
      <c r="K8861" s="319"/>
      <c r="L8861" s="218"/>
    </row>
    <row r="8862">
      <c r="B8862" s="223" t="s">
        <v>200</v>
      </c>
      <c r="C8862" s="223"/>
      <c r="K8862" s="319"/>
      <c r="L8862" s="218"/>
    </row>
    <row r="8863">
      <c r="B8863" s="223" t="s">
        <v>200</v>
      </c>
      <c r="C8863" s="223"/>
      <c r="K8863" s="319"/>
      <c r="L8863" s="218"/>
    </row>
    <row r="8864">
      <c r="B8864" s="223" t="s">
        <v>200</v>
      </c>
      <c r="C8864" s="223"/>
      <c r="K8864" s="319"/>
      <c r="L8864" s="218"/>
    </row>
    <row r="8865">
      <c r="B8865" s="223" t="s">
        <v>200</v>
      </c>
      <c r="C8865" s="223"/>
      <c r="K8865" s="319"/>
      <c r="L8865" s="218"/>
    </row>
    <row r="8866">
      <c r="B8866" s="223" t="s">
        <v>200</v>
      </c>
      <c r="C8866" s="223"/>
      <c r="K8866" s="319"/>
      <c r="L8866" s="218"/>
    </row>
    <row r="8867">
      <c r="B8867" s="223" t="s">
        <v>200</v>
      </c>
      <c r="C8867" s="223"/>
      <c r="K8867" s="319"/>
      <c r="L8867" s="218"/>
    </row>
    <row r="8868">
      <c r="B8868" s="223" t="s">
        <v>200</v>
      </c>
      <c r="C8868" s="223"/>
      <c r="K8868" s="319"/>
      <c r="L8868" s="218"/>
    </row>
    <row r="8869">
      <c r="B8869" s="223" t="s">
        <v>200</v>
      </c>
      <c r="C8869" s="223"/>
      <c r="K8869" s="319"/>
      <c r="L8869" s="218"/>
    </row>
    <row r="8870">
      <c r="B8870" s="223" t="s">
        <v>200</v>
      </c>
      <c r="C8870" s="223"/>
      <c r="K8870" s="319"/>
      <c r="L8870" s="218"/>
    </row>
    <row r="8871">
      <c r="B8871" s="223" t="s">
        <v>200</v>
      </c>
      <c r="C8871" s="223"/>
      <c r="K8871" s="319"/>
      <c r="L8871" s="218"/>
    </row>
    <row r="8872">
      <c r="B8872" s="223" t="s">
        <v>200</v>
      </c>
      <c r="C8872" s="223"/>
      <c r="K8872" s="319"/>
      <c r="L8872" s="218"/>
    </row>
    <row r="8873">
      <c r="B8873" s="223" t="s">
        <v>200</v>
      </c>
      <c r="C8873" s="223"/>
      <c r="K8873" s="319"/>
      <c r="L8873" s="218"/>
    </row>
    <row r="8874">
      <c r="B8874" s="223" t="s">
        <v>200</v>
      </c>
      <c r="C8874" s="223"/>
      <c r="K8874" s="319"/>
      <c r="L8874" s="218"/>
    </row>
    <row r="8875">
      <c r="B8875" s="223" t="s">
        <v>200</v>
      </c>
      <c r="C8875" s="223"/>
      <c r="K8875" s="319"/>
      <c r="L8875" s="218"/>
    </row>
    <row r="8876">
      <c r="B8876" s="223" t="s">
        <v>200</v>
      </c>
      <c r="C8876" s="223"/>
      <c r="K8876" s="319"/>
      <c r="L8876" s="218"/>
    </row>
    <row r="8877">
      <c r="B8877" s="223" t="s">
        <v>200</v>
      </c>
      <c r="C8877" s="223"/>
      <c r="K8877" s="319"/>
      <c r="L8877" s="218"/>
    </row>
    <row r="8878">
      <c r="B8878" s="223" t="s">
        <v>200</v>
      </c>
      <c r="C8878" s="223"/>
      <c r="K8878" s="319"/>
      <c r="L8878" s="218"/>
    </row>
    <row r="8879">
      <c r="B8879" s="223" t="s">
        <v>200</v>
      </c>
      <c r="C8879" s="223"/>
      <c r="K8879" s="319"/>
      <c r="L8879" s="218"/>
    </row>
    <row r="8880">
      <c r="B8880" s="223" t="s">
        <v>200</v>
      </c>
      <c r="C8880" s="223"/>
      <c r="K8880" s="319"/>
      <c r="L8880" s="218"/>
    </row>
    <row r="8881">
      <c r="B8881" s="223" t="s">
        <v>200</v>
      </c>
      <c r="C8881" s="223"/>
      <c r="K8881" s="319"/>
      <c r="L8881" s="218"/>
    </row>
    <row r="8882">
      <c r="B8882" s="223" t="s">
        <v>200</v>
      </c>
      <c r="C8882" s="223"/>
      <c r="K8882" s="319"/>
      <c r="L8882" s="218"/>
    </row>
    <row r="8883">
      <c r="B8883" s="223" t="s">
        <v>200</v>
      </c>
      <c r="C8883" s="223"/>
      <c r="K8883" s="319"/>
      <c r="L8883" s="218"/>
    </row>
    <row r="8884">
      <c r="B8884" s="223" t="s">
        <v>200</v>
      </c>
      <c r="C8884" s="223"/>
      <c r="K8884" s="319"/>
      <c r="L8884" s="218"/>
    </row>
    <row r="8885">
      <c r="B8885" s="223" t="s">
        <v>200</v>
      </c>
      <c r="C8885" s="223"/>
      <c r="K8885" s="319"/>
      <c r="L8885" s="218"/>
    </row>
    <row r="8886">
      <c r="B8886" s="223" t="s">
        <v>200</v>
      </c>
      <c r="C8886" s="223"/>
      <c r="K8886" s="319"/>
      <c r="L8886" s="218"/>
    </row>
    <row r="8887">
      <c r="B8887" s="223" t="s">
        <v>200</v>
      </c>
      <c r="C8887" s="223"/>
      <c r="K8887" s="319"/>
      <c r="L8887" s="218"/>
    </row>
    <row r="8888">
      <c r="B8888" s="223" t="s">
        <v>200</v>
      </c>
      <c r="C8888" s="223"/>
      <c r="K8888" s="319"/>
      <c r="L8888" s="218"/>
    </row>
    <row r="8889">
      <c r="B8889" s="223" t="s">
        <v>200</v>
      </c>
      <c r="C8889" s="223"/>
      <c r="K8889" s="319"/>
      <c r="L8889" s="218"/>
    </row>
    <row r="8890">
      <c r="B8890" s="223" t="s">
        <v>200</v>
      </c>
      <c r="C8890" s="223"/>
      <c r="K8890" s="319"/>
      <c r="L8890" s="218"/>
    </row>
    <row r="8891">
      <c r="B8891" s="223" t="s">
        <v>200</v>
      </c>
      <c r="C8891" s="223"/>
      <c r="K8891" s="319"/>
      <c r="L8891" s="218"/>
    </row>
    <row r="8892">
      <c r="B8892" s="223" t="s">
        <v>200</v>
      </c>
      <c r="C8892" s="223"/>
      <c r="K8892" s="319"/>
      <c r="L8892" s="218"/>
    </row>
    <row r="8893">
      <c r="B8893" s="223" t="s">
        <v>200</v>
      </c>
      <c r="C8893" s="223"/>
      <c r="K8893" s="319"/>
      <c r="L8893" s="218"/>
    </row>
    <row r="8894">
      <c r="B8894" s="223" t="s">
        <v>200</v>
      </c>
      <c r="C8894" s="223"/>
      <c r="K8894" s="319"/>
      <c r="L8894" s="218"/>
    </row>
    <row r="8895">
      <c r="B8895" s="223" t="s">
        <v>200</v>
      </c>
      <c r="C8895" s="223"/>
      <c r="K8895" s="319"/>
      <c r="L8895" s="218"/>
    </row>
    <row r="8896">
      <c r="B8896" s="223" t="s">
        <v>200</v>
      </c>
      <c r="C8896" s="223"/>
      <c r="K8896" s="319"/>
      <c r="L8896" s="218"/>
    </row>
    <row r="8897">
      <c r="B8897" s="223" t="s">
        <v>200</v>
      </c>
      <c r="C8897" s="223"/>
      <c r="K8897" s="319"/>
      <c r="L8897" s="218"/>
    </row>
    <row r="8898">
      <c r="B8898" s="223" t="s">
        <v>200</v>
      </c>
      <c r="C8898" s="223"/>
      <c r="K8898" s="319"/>
      <c r="L8898" s="218"/>
    </row>
    <row r="8899">
      <c r="B8899" s="223" t="s">
        <v>200</v>
      </c>
      <c r="C8899" s="223"/>
      <c r="K8899" s="319"/>
      <c r="L8899" s="218"/>
    </row>
    <row r="8900">
      <c r="B8900" s="223" t="s">
        <v>200</v>
      </c>
      <c r="C8900" s="223"/>
      <c r="K8900" s="319"/>
      <c r="L8900" s="218"/>
    </row>
    <row r="8901">
      <c r="B8901" s="223" t="s">
        <v>200</v>
      </c>
      <c r="C8901" s="223"/>
      <c r="K8901" s="319"/>
      <c r="L8901" s="218"/>
    </row>
    <row r="8902">
      <c r="B8902" s="223" t="s">
        <v>200</v>
      </c>
      <c r="C8902" s="223"/>
      <c r="K8902" s="319"/>
      <c r="L8902" s="218"/>
    </row>
    <row r="8903">
      <c r="B8903" s="223" t="s">
        <v>200</v>
      </c>
      <c r="C8903" s="223"/>
      <c r="K8903" s="319"/>
      <c r="L8903" s="218"/>
    </row>
    <row r="8904">
      <c r="B8904" s="223" t="s">
        <v>200</v>
      </c>
      <c r="C8904" s="223"/>
      <c r="K8904" s="319"/>
      <c r="L8904" s="218"/>
    </row>
    <row r="8905">
      <c r="B8905" s="223" t="s">
        <v>200</v>
      </c>
      <c r="C8905" s="223"/>
      <c r="K8905" s="319"/>
      <c r="L8905" s="218"/>
    </row>
    <row r="8906">
      <c r="B8906" s="223" t="s">
        <v>200</v>
      </c>
      <c r="C8906" s="223"/>
      <c r="K8906" s="319"/>
      <c r="L8906" s="218"/>
    </row>
    <row r="8907">
      <c r="B8907" s="223" t="s">
        <v>200</v>
      </c>
      <c r="C8907" s="223"/>
      <c r="K8907" s="319"/>
      <c r="L8907" s="218"/>
    </row>
    <row r="8908">
      <c r="B8908" s="223" t="s">
        <v>200</v>
      </c>
      <c r="C8908" s="223"/>
      <c r="K8908" s="319"/>
      <c r="L8908" s="218"/>
    </row>
    <row r="8909">
      <c r="B8909" s="223" t="s">
        <v>200</v>
      </c>
      <c r="C8909" s="223"/>
      <c r="K8909" s="319"/>
      <c r="L8909" s="218"/>
    </row>
    <row r="8910">
      <c r="B8910" s="223" t="s">
        <v>200</v>
      </c>
      <c r="C8910" s="223"/>
      <c r="K8910" s="319"/>
      <c r="L8910" s="218"/>
    </row>
    <row r="8911">
      <c r="B8911" s="223" t="s">
        <v>200</v>
      </c>
      <c r="C8911" s="223"/>
      <c r="K8911" s="319"/>
      <c r="L8911" s="218"/>
    </row>
    <row r="8912">
      <c r="B8912" s="223" t="s">
        <v>200</v>
      </c>
      <c r="C8912" s="223"/>
      <c r="K8912" s="319"/>
      <c r="L8912" s="218"/>
    </row>
    <row r="8913">
      <c r="B8913" s="223" t="s">
        <v>200</v>
      </c>
      <c r="C8913" s="223"/>
      <c r="K8913" s="319"/>
      <c r="L8913" s="218"/>
    </row>
    <row r="8914">
      <c r="B8914" s="223" t="s">
        <v>200</v>
      </c>
      <c r="C8914" s="223"/>
      <c r="K8914" s="319"/>
      <c r="L8914" s="218"/>
    </row>
    <row r="8915">
      <c r="B8915" s="223" t="s">
        <v>200</v>
      </c>
      <c r="C8915" s="223"/>
      <c r="K8915" s="319"/>
      <c r="L8915" s="218"/>
    </row>
    <row r="8916">
      <c r="B8916" s="223" t="s">
        <v>200</v>
      </c>
      <c r="C8916" s="223"/>
      <c r="K8916" s="319"/>
      <c r="L8916" s="218"/>
    </row>
    <row r="8917">
      <c r="B8917" s="223" t="s">
        <v>200</v>
      </c>
      <c r="C8917" s="223"/>
      <c r="K8917" s="319"/>
      <c r="L8917" s="218"/>
    </row>
    <row r="8918">
      <c r="B8918" s="223" t="s">
        <v>200</v>
      </c>
      <c r="C8918" s="223"/>
      <c r="K8918" s="319"/>
      <c r="L8918" s="218"/>
    </row>
    <row r="8919">
      <c r="B8919" s="223" t="s">
        <v>200</v>
      </c>
      <c r="C8919" s="223"/>
      <c r="K8919" s="319"/>
      <c r="L8919" s="218"/>
    </row>
    <row r="8920">
      <c r="B8920" s="223" t="s">
        <v>200</v>
      </c>
      <c r="C8920" s="223"/>
      <c r="K8920" s="319"/>
      <c r="L8920" s="218"/>
    </row>
    <row r="8921">
      <c r="B8921" s="223" t="s">
        <v>200</v>
      </c>
      <c r="C8921" s="223"/>
      <c r="K8921" s="319"/>
      <c r="L8921" s="218"/>
    </row>
    <row r="8922">
      <c r="B8922" s="223" t="s">
        <v>200</v>
      </c>
      <c r="C8922" s="223"/>
      <c r="K8922" s="319"/>
      <c r="L8922" s="218"/>
    </row>
    <row r="8923">
      <c r="B8923" s="223" t="s">
        <v>200</v>
      </c>
      <c r="C8923" s="223"/>
      <c r="K8923" s="319"/>
      <c r="L8923" s="218"/>
    </row>
    <row r="8924">
      <c r="B8924" s="223" t="s">
        <v>200</v>
      </c>
      <c r="C8924" s="223"/>
      <c r="K8924" s="319"/>
      <c r="L8924" s="218"/>
    </row>
    <row r="8925">
      <c r="B8925" s="223" t="s">
        <v>200</v>
      </c>
      <c r="C8925" s="223"/>
      <c r="K8925" s="319"/>
      <c r="L8925" s="218"/>
    </row>
    <row r="8926">
      <c r="B8926" s="223" t="s">
        <v>200</v>
      </c>
      <c r="C8926" s="223"/>
      <c r="K8926" s="319"/>
      <c r="L8926" s="218"/>
    </row>
    <row r="8927">
      <c r="B8927" s="223" t="s">
        <v>200</v>
      </c>
      <c r="C8927" s="223"/>
      <c r="K8927" s="319"/>
      <c r="L8927" s="218"/>
    </row>
    <row r="8928">
      <c r="B8928" s="223" t="s">
        <v>200</v>
      </c>
      <c r="C8928" s="223"/>
      <c r="K8928" s="319"/>
      <c r="L8928" s="218"/>
    </row>
    <row r="8929">
      <c r="B8929" s="223" t="s">
        <v>200</v>
      </c>
      <c r="C8929" s="223"/>
      <c r="K8929" s="319"/>
      <c r="L8929" s="218"/>
    </row>
    <row r="8930">
      <c r="B8930" s="223" t="s">
        <v>200</v>
      </c>
      <c r="C8930" s="223"/>
      <c r="K8930" s="319"/>
      <c r="L8930" s="218"/>
    </row>
    <row r="8931">
      <c r="B8931" s="223" t="s">
        <v>200</v>
      </c>
      <c r="C8931" s="223"/>
      <c r="K8931" s="319"/>
      <c r="L8931" s="218"/>
    </row>
    <row r="8932">
      <c r="B8932" s="223" t="s">
        <v>200</v>
      </c>
      <c r="C8932" s="223"/>
      <c r="K8932" s="319"/>
      <c r="L8932" s="218"/>
    </row>
    <row r="8933">
      <c r="B8933" s="223" t="s">
        <v>200</v>
      </c>
      <c r="C8933" s="223"/>
      <c r="K8933" s="319"/>
      <c r="L8933" s="218"/>
    </row>
    <row r="8934">
      <c r="B8934" s="223" t="s">
        <v>200</v>
      </c>
      <c r="C8934" s="223"/>
      <c r="K8934" s="319"/>
      <c r="L8934" s="218"/>
    </row>
    <row r="8935">
      <c r="B8935" s="223" t="s">
        <v>200</v>
      </c>
      <c r="C8935" s="223"/>
      <c r="K8935" s="319"/>
      <c r="L8935" s="218"/>
    </row>
    <row r="8936">
      <c r="B8936" s="223" t="s">
        <v>200</v>
      </c>
      <c r="C8936" s="223"/>
      <c r="K8936" s="319"/>
      <c r="L8936" s="218"/>
    </row>
    <row r="8937">
      <c r="B8937" s="223" t="s">
        <v>200</v>
      </c>
      <c r="C8937" s="223"/>
      <c r="K8937" s="319"/>
      <c r="L8937" s="218"/>
    </row>
    <row r="8938">
      <c r="B8938" s="223" t="s">
        <v>200</v>
      </c>
      <c r="C8938" s="223"/>
      <c r="K8938" s="319"/>
      <c r="L8938" s="218"/>
    </row>
    <row r="8939">
      <c r="B8939" s="223" t="s">
        <v>200</v>
      </c>
      <c r="C8939" s="223"/>
      <c r="K8939" s="319"/>
      <c r="L8939" s="218"/>
    </row>
    <row r="8940">
      <c r="B8940" s="223" t="s">
        <v>200</v>
      </c>
      <c r="C8940" s="223"/>
      <c r="K8940" s="319"/>
      <c r="L8940" s="218"/>
    </row>
    <row r="8941">
      <c r="B8941" s="223" t="s">
        <v>200</v>
      </c>
      <c r="C8941" s="223"/>
      <c r="K8941" s="319"/>
      <c r="L8941" s="218"/>
    </row>
    <row r="8942">
      <c r="B8942" s="223" t="s">
        <v>200</v>
      </c>
      <c r="C8942" s="223"/>
      <c r="K8942" s="319"/>
      <c r="L8942" s="218"/>
    </row>
    <row r="8943">
      <c r="B8943" s="223" t="s">
        <v>200</v>
      </c>
      <c r="C8943" s="223"/>
      <c r="K8943" s="319"/>
      <c r="L8943" s="218"/>
    </row>
    <row r="8944">
      <c r="B8944" s="223" t="s">
        <v>200</v>
      </c>
      <c r="C8944" s="223"/>
      <c r="K8944" s="319"/>
      <c r="L8944" s="218"/>
    </row>
    <row r="8945">
      <c r="B8945" s="223" t="s">
        <v>200</v>
      </c>
      <c r="C8945" s="223"/>
      <c r="K8945" s="319"/>
      <c r="L8945" s="218"/>
    </row>
    <row r="8946">
      <c r="B8946" s="223" t="s">
        <v>200</v>
      </c>
      <c r="C8946" s="223"/>
      <c r="K8946" s="319"/>
      <c r="L8946" s="218"/>
    </row>
    <row r="8947">
      <c r="B8947" s="223" t="s">
        <v>200</v>
      </c>
      <c r="C8947" s="223"/>
      <c r="K8947" s="319"/>
      <c r="L8947" s="218"/>
    </row>
    <row r="8948">
      <c r="B8948" s="223" t="s">
        <v>200</v>
      </c>
      <c r="C8948" s="223"/>
      <c r="K8948" s="319"/>
      <c r="L8948" s="218"/>
    </row>
    <row r="8949">
      <c r="B8949" s="223" t="s">
        <v>200</v>
      </c>
      <c r="C8949" s="223"/>
      <c r="K8949" s="319"/>
      <c r="L8949" s="218"/>
    </row>
    <row r="8950">
      <c r="B8950" s="223" t="s">
        <v>200</v>
      </c>
      <c r="C8950" s="223"/>
      <c r="K8950" s="319"/>
      <c r="L8950" s="218"/>
    </row>
    <row r="8951">
      <c r="B8951" s="223" t="s">
        <v>200</v>
      </c>
      <c r="C8951" s="223"/>
      <c r="K8951" s="319"/>
      <c r="L8951" s="218"/>
    </row>
    <row r="8952">
      <c r="B8952" s="223" t="s">
        <v>200</v>
      </c>
      <c r="C8952" s="223"/>
      <c r="K8952" s="319"/>
      <c r="L8952" s="218"/>
    </row>
    <row r="8953">
      <c r="B8953" s="223" t="s">
        <v>200</v>
      </c>
      <c r="C8953" s="223"/>
      <c r="K8953" s="319"/>
      <c r="L8953" s="218"/>
    </row>
    <row r="8954">
      <c r="B8954" s="223" t="s">
        <v>200</v>
      </c>
      <c r="C8954" s="223"/>
      <c r="K8954" s="319"/>
      <c r="L8954" s="218"/>
    </row>
    <row r="8955">
      <c r="B8955" s="223" t="s">
        <v>200</v>
      </c>
      <c r="C8955" s="223"/>
      <c r="K8955" s="319"/>
      <c r="L8955" s="218"/>
    </row>
    <row r="8956">
      <c r="B8956" s="223" t="s">
        <v>200</v>
      </c>
      <c r="C8956" s="223"/>
      <c r="K8956" s="319"/>
      <c r="L8956" s="218"/>
    </row>
    <row r="8957">
      <c r="B8957" s="223" t="s">
        <v>200</v>
      </c>
      <c r="C8957" s="223"/>
      <c r="K8957" s="319"/>
      <c r="L8957" s="218"/>
    </row>
    <row r="8958">
      <c r="B8958" s="223" t="s">
        <v>200</v>
      </c>
      <c r="C8958" s="223"/>
      <c r="K8958" s="319"/>
      <c r="L8958" s="218"/>
    </row>
    <row r="8959">
      <c r="B8959" s="223" t="s">
        <v>200</v>
      </c>
      <c r="C8959" s="223"/>
      <c r="K8959" s="319"/>
      <c r="L8959" s="218"/>
    </row>
    <row r="8960">
      <c r="B8960" s="223" t="s">
        <v>200</v>
      </c>
      <c r="C8960" s="223"/>
      <c r="K8960" s="319"/>
      <c r="L8960" s="218"/>
    </row>
    <row r="8961">
      <c r="B8961" s="223" t="s">
        <v>200</v>
      </c>
      <c r="C8961" s="223"/>
      <c r="K8961" s="319"/>
      <c r="L8961" s="218"/>
    </row>
    <row r="8962">
      <c r="B8962" s="223" t="s">
        <v>200</v>
      </c>
      <c r="C8962" s="223"/>
      <c r="K8962" s="319"/>
      <c r="L8962" s="218"/>
    </row>
    <row r="8963">
      <c r="B8963" s="223" t="s">
        <v>200</v>
      </c>
      <c r="C8963" s="223"/>
      <c r="K8963" s="319"/>
      <c r="L8963" s="218"/>
    </row>
    <row r="8964">
      <c r="B8964" s="223" t="s">
        <v>200</v>
      </c>
      <c r="C8964" s="223"/>
      <c r="K8964" s="319"/>
      <c r="L8964" s="218"/>
    </row>
    <row r="8965">
      <c r="B8965" s="223" t="s">
        <v>200</v>
      </c>
      <c r="C8965" s="223"/>
      <c r="K8965" s="319"/>
      <c r="L8965" s="218"/>
    </row>
    <row r="8966">
      <c r="B8966" s="223" t="s">
        <v>200</v>
      </c>
      <c r="C8966" s="223"/>
      <c r="K8966" s="319"/>
      <c r="L8966" s="218"/>
    </row>
    <row r="8967">
      <c r="B8967" s="223" t="s">
        <v>200</v>
      </c>
      <c r="C8967" s="223"/>
      <c r="K8967" s="319"/>
      <c r="L8967" s="218"/>
    </row>
    <row r="8968">
      <c r="B8968" s="223" t="s">
        <v>200</v>
      </c>
      <c r="C8968" s="223"/>
      <c r="K8968" s="319"/>
      <c r="L8968" s="218"/>
    </row>
    <row r="8969">
      <c r="B8969" s="223" t="s">
        <v>200</v>
      </c>
      <c r="C8969" s="223"/>
      <c r="K8969" s="319"/>
      <c r="L8969" s="218"/>
    </row>
    <row r="8970">
      <c r="B8970" s="223" t="s">
        <v>200</v>
      </c>
      <c r="C8970" s="223"/>
      <c r="K8970" s="319"/>
      <c r="L8970" s="218"/>
    </row>
    <row r="8971">
      <c r="B8971" s="223" t="s">
        <v>200</v>
      </c>
      <c r="C8971" s="223"/>
      <c r="K8971" s="319"/>
      <c r="L8971" s="218"/>
    </row>
    <row r="8972">
      <c r="B8972" s="223" t="s">
        <v>200</v>
      </c>
      <c r="C8972" s="223"/>
      <c r="K8972" s="319"/>
      <c r="L8972" s="218"/>
    </row>
    <row r="8973">
      <c r="B8973" s="223" t="s">
        <v>200</v>
      </c>
      <c r="C8973" s="223"/>
      <c r="K8973" s="319"/>
      <c r="L8973" s="218"/>
    </row>
    <row r="8974">
      <c r="B8974" s="223" t="s">
        <v>200</v>
      </c>
      <c r="C8974" s="223"/>
      <c r="K8974" s="319"/>
      <c r="L8974" s="218"/>
    </row>
    <row r="8975">
      <c r="B8975" s="223" t="s">
        <v>200</v>
      </c>
      <c r="C8975" s="223"/>
      <c r="K8975" s="319"/>
      <c r="L8975" s="218"/>
    </row>
    <row r="8976">
      <c r="B8976" s="223" t="s">
        <v>200</v>
      </c>
      <c r="C8976" s="223"/>
      <c r="K8976" s="319"/>
      <c r="L8976" s="218"/>
    </row>
    <row r="8977">
      <c r="B8977" s="223" t="s">
        <v>200</v>
      </c>
      <c r="C8977" s="223"/>
      <c r="K8977" s="319"/>
      <c r="L8977" s="218"/>
    </row>
    <row r="8978">
      <c r="B8978" s="223" t="s">
        <v>200</v>
      </c>
      <c r="C8978" s="223"/>
      <c r="K8978" s="319"/>
      <c r="L8978" s="218"/>
    </row>
    <row r="8979">
      <c r="B8979" s="223" t="s">
        <v>200</v>
      </c>
      <c r="C8979" s="223"/>
      <c r="K8979" s="319"/>
      <c r="L8979" s="218"/>
    </row>
    <row r="8980">
      <c r="B8980" s="223" t="s">
        <v>200</v>
      </c>
      <c r="C8980" s="223"/>
      <c r="K8980" s="319"/>
      <c r="L8980" s="218"/>
    </row>
    <row r="8981">
      <c r="B8981" s="223" t="s">
        <v>200</v>
      </c>
      <c r="C8981" s="223"/>
      <c r="K8981" s="319"/>
      <c r="L8981" s="218"/>
    </row>
    <row r="8982">
      <c r="B8982" s="223" t="s">
        <v>200</v>
      </c>
      <c r="C8982" s="223"/>
      <c r="K8982" s="319"/>
      <c r="L8982" s="218"/>
    </row>
    <row r="8983">
      <c r="B8983" s="223" t="s">
        <v>200</v>
      </c>
      <c r="C8983" s="223"/>
      <c r="K8983" s="319"/>
      <c r="L8983" s="218"/>
    </row>
    <row r="8984">
      <c r="B8984" s="223" t="s">
        <v>200</v>
      </c>
      <c r="C8984" s="223"/>
      <c r="K8984" s="319"/>
      <c r="L8984" s="218"/>
    </row>
    <row r="8985">
      <c r="B8985" s="223" t="s">
        <v>200</v>
      </c>
      <c r="C8985" s="223"/>
      <c r="K8985" s="319"/>
      <c r="L8985" s="218"/>
    </row>
    <row r="8986">
      <c r="B8986" s="223" t="s">
        <v>200</v>
      </c>
      <c r="C8986" s="223"/>
      <c r="K8986" s="319"/>
      <c r="L8986" s="218"/>
    </row>
    <row r="8987">
      <c r="B8987" s="223" t="s">
        <v>200</v>
      </c>
      <c r="C8987" s="223"/>
      <c r="K8987" s="319"/>
      <c r="L8987" s="218"/>
    </row>
    <row r="8988">
      <c r="B8988" s="223" t="s">
        <v>200</v>
      </c>
      <c r="C8988" s="223"/>
      <c r="K8988" s="319"/>
      <c r="L8988" s="218"/>
    </row>
    <row r="8989">
      <c r="B8989" s="223" t="s">
        <v>200</v>
      </c>
      <c r="C8989" s="223"/>
      <c r="K8989" s="319"/>
      <c r="L8989" s="218"/>
    </row>
    <row r="8990">
      <c r="B8990" s="223" t="s">
        <v>200</v>
      </c>
      <c r="C8990" s="223"/>
      <c r="K8990" s="319"/>
      <c r="L8990" s="218"/>
    </row>
    <row r="8991">
      <c r="B8991" s="223" t="s">
        <v>200</v>
      </c>
      <c r="C8991" s="223"/>
      <c r="K8991" s="319"/>
      <c r="L8991" s="218"/>
    </row>
    <row r="8992">
      <c r="B8992" s="223" t="s">
        <v>200</v>
      </c>
      <c r="C8992" s="223"/>
      <c r="K8992" s="319"/>
      <c r="L8992" s="218"/>
    </row>
    <row r="8993">
      <c r="B8993" s="223" t="s">
        <v>200</v>
      </c>
      <c r="C8993" s="223"/>
      <c r="K8993" s="319"/>
      <c r="L8993" s="218"/>
    </row>
    <row r="8994">
      <c r="B8994" s="223" t="s">
        <v>200</v>
      </c>
      <c r="C8994" s="223"/>
      <c r="K8994" s="319"/>
      <c r="L8994" s="218"/>
    </row>
    <row r="8995">
      <c r="B8995" s="223" t="s">
        <v>200</v>
      </c>
      <c r="C8995" s="223"/>
      <c r="K8995" s="319"/>
      <c r="L8995" s="218"/>
    </row>
    <row r="8996">
      <c r="B8996" s="223" t="s">
        <v>200</v>
      </c>
      <c r="C8996" s="223"/>
      <c r="K8996" s="319"/>
      <c r="L8996" s="218"/>
    </row>
    <row r="8997">
      <c r="B8997" s="223" t="s">
        <v>200</v>
      </c>
      <c r="C8997" s="223"/>
      <c r="K8997" s="319"/>
      <c r="L8997" s="218"/>
    </row>
    <row r="8998">
      <c r="B8998" s="223" t="s">
        <v>200</v>
      </c>
      <c r="C8998" s="223"/>
      <c r="K8998" s="319"/>
      <c r="L8998" s="218"/>
    </row>
    <row r="8999">
      <c r="B8999" s="223" t="s">
        <v>200</v>
      </c>
      <c r="C8999" s="223"/>
      <c r="K8999" s="319"/>
      <c r="L8999" s="218"/>
    </row>
    <row r="9000">
      <c r="B9000" s="223" t="s">
        <v>200</v>
      </c>
      <c r="C9000" s="223"/>
      <c r="K9000" s="319"/>
      <c r="L9000" s="218"/>
    </row>
    <row r="9001">
      <c r="B9001" s="223" t="s">
        <v>200</v>
      </c>
      <c r="C9001" s="223"/>
      <c r="K9001" s="319"/>
      <c r="L9001" s="218"/>
    </row>
    <row r="9002">
      <c r="B9002" s="223" t="s">
        <v>200</v>
      </c>
      <c r="C9002" s="223"/>
      <c r="K9002" s="319"/>
      <c r="L9002" s="218"/>
    </row>
    <row r="9003">
      <c r="B9003" s="223" t="s">
        <v>200</v>
      </c>
      <c r="C9003" s="223"/>
      <c r="K9003" s="319"/>
      <c r="L9003" s="218"/>
    </row>
    <row r="9004">
      <c r="B9004" s="223" t="s">
        <v>200</v>
      </c>
      <c r="C9004" s="223"/>
      <c r="K9004" s="319"/>
      <c r="L9004" s="218"/>
    </row>
    <row r="9005">
      <c r="B9005" s="223" t="s">
        <v>200</v>
      </c>
      <c r="C9005" s="223"/>
      <c r="K9005" s="319"/>
      <c r="L9005" s="218"/>
    </row>
    <row r="9006">
      <c r="B9006" s="223" t="s">
        <v>200</v>
      </c>
      <c r="C9006" s="223"/>
      <c r="K9006" s="319"/>
      <c r="L9006" s="218"/>
    </row>
    <row r="9007">
      <c r="B9007" s="223" t="s">
        <v>200</v>
      </c>
      <c r="C9007" s="223"/>
      <c r="K9007" s="319"/>
      <c r="L9007" s="218"/>
    </row>
    <row r="9008">
      <c r="B9008" s="223" t="s">
        <v>200</v>
      </c>
      <c r="C9008" s="223"/>
      <c r="K9008" s="319"/>
      <c r="L9008" s="218"/>
    </row>
    <row r="9009">
      <c r="B9009" s="223" t="s">
        <v>200</v>
      </c>
      <c r="C9009" s="223"/>
      <c r="K9009" s="319"/>
      <c r="L9009" s="218"/>
    </row>
    <row r="9010">
      <c r="B9010" s="223" t="s">
        <v>200</v>
      </c>
      <c r="C9010" s="223"/>
      <c r="K9010" s="319"/>
      <c r="L9010" s="218"/>
    </row>
    <row r="9011">
      <c r="B9011" s="223" t="s">
        <v>200</v>
      </c>
      <c r="C9011" s="223"/>
      <c r="K9011" s="319"/>
      <c r="L9011" s="218"/>
    </row>
    <row r="9012">
      <c r="B9012" s="223" t="s">
        <v>200</v>
      </c>
      <c r="C9012" s="223"/>
      <c r="K9012" s="319"/>
      <c r="L9012" s="218"/>
    </row>
    <row r="9013">
      <c r="B9013" s="223" t="s">
        <v>200</v>
      </c>
      <c r="C9013" s="223"/>
      <c r="K9013" s="319"/>
      <c r="L9013" s="218"/>
    </row>
    <row r="9014">
      <c r="B9014" s="223" t="s">
        <v>200</v>
      </c>
      <c r="C9014" s="223"/>
      <c r="K9014" s="319"/>
      <c r="L9014" s="218"/>
    </row>
    <row r="9015">
      <c r="B9015" s="223" t="s">
        <v>200</v>
      </c>
      <c r="C9015" s="223"/>
      <c r="K9015" s="319"/>
      <c r="L9015" s="218"/>
    </row>
    <row r="9016">
      <c r="B9016" s="223" t="s">
        <v>200</v>
      </c>
      <c r="C9016" s="223"/>
      <c r="K9016" s="319"/>
      <c r="L9016" s="218"/>
    </row>
    <row r="9017">
      <c r="B9017" s="223" t="s">
        <v>200</v>
      </c>
      <c r="C9017" s="223"/>
      <c r="K9017" s="319"/>
      <c r="L9017" s="218"/>
    </row>
    <row r="9018">
      <c r="B9018" s="223" t="s">
        <v>200</v>
      </c>
      <c r="C9018" s="223"/>
      <c r="K9018" s="319"/>
      <c r="L9018" s="218"/>
    </row>
    <row r="9019">
      <c r="B9019" s="223" t="s">
        <v>200</v>
      </c>
      <c r="C9019" s="223"/>
      <c r="K9019" s="319"/>
      <c r="L9019" s="218"/>
    </row>
    <row r="9020">
      <c r="B9020" s="223" t="s">
        <v>200</v>
      </c>
      <c r="C9020" s="223"/>
      <c r="K9020" s="319"/>
      <c r="L9020" s="218"/>
    </row>
    <row r="9021">
      <c r="B9021" s="223" t="s">
        <v>200</v>
      </c>
      <c r="C9021" s="223"/>
      <c r="K9021" s="319"/>
      <c r="L9021" s="218"/>
    </row>
    <row r="9022">
      <c r="B9022" s="223" t="s">
        <v>200</v>
      </c>
      <c r="C9022" s="223"/>
      <c r="K9022" s="319"/>
      <c r="L9022" s="218"/>
    </row>
    <row r="9023">
      <c r="B9023" s="223" t="s">
        <v>200</v>
      </c>
      <c r="C9023" s="223"/>
      <c r="K9023" s="319"/>
      <c r="L9023" s="218"/>
    </row>
    <row r="9024">
      <c r="B9024" s="223" t="s">
        <v>200</v>
      </c>
      <c r="C9024" s="223"/>
      <c r="K9024" s="319"/>
      <c r="L9024" s="218"/>
    </row>
    <row r="9025">
      <c r="B9025" s="223" t="s">
        <v>200</v>
      </c>
      <c r="C9025" s="223"/>
      <c r="K9025" s="319"/>
      <c r="L9025" s="218"/>
    </row>
    <row r="9026">
      <c r="B9026" s="223" t="s">
        <v>200</v>
      </c>
      <c r="C9026" s="223"/>
      <c r="K9026" s="319"/>
      <c r="L9026" s="218"/>
    </row>
    <row r="9027">
      <c r="B9027" s="223" t="s">
        <v>200</v>
      </c>
      <c r="C9027" s="223"/>
      <c r="K9027" s="319"/>
      <c r="L9027" s="218"/>
    </row>
    <row r="9028">
      <c r="B9028" s="223" t="s">
        <v>200</v>
      </c>
      <c r="C9028" s="223"/>
      <c r="K9028" s="319"/>
      <c r="L9028" s="218"/>
    </row>
    <row r="9029">
      <c r="B9029" s="223" t="s">
        <v>200</v>
      </c>
      <c r="C9029" s="223"/>
      <c r="K9029" s="319"/>
      <c r="L9029" s="218"/>
    </row>
    <row r="9030">
      <c r="B9030" s="223" t="s">
        <v>200</v>
      </c>
      <c r="C9030" s="223"/>
      <c r="K9030" s="319"/>
      <c r="L9030" s="218"/>
    </row>
    <row r="9031">
      <c r="B9031" s="223" t="s">
        <v>200</v>
      </c>
      <c r="C9031" s="223"/>
      <c r="K9031" s="319"/>
      <c r="L9031" s="218"/>
    </row>
    <row r="9032">
      <c r="B9032" s="223" t="s">
        <v>200</v>
      </c>
      <c r="C9032" s="223"/>
      <c r="K9032" s="319"/>
      <c r="L9032" s="218"/>
    </row>
    <row r="9033">
      <c r="B9033" s="223" t="s">
        <v>200</v>
      </c>
      <c r="C9033" s="223"/>
      <c r="K9033" s="319"/>
      <c r="L9033" s="218"/>
    </row>
    <row r="9034">
      <c r="B9034" s="223" t="s">
        <v>200</v>
      </c>
      <c r="C9034" s="223"/>
      <c r="K9034" s="319"/>
      <c r="L9034" s="218"/>
    </row>
    <row r="9035">
      <c r="B9035" s="223" t="s">
        <v>200</v>
      </c>
      <c r="C9035" s="223"/>
      <c r="K9035" s="319"/>
      <c r="L9035" s="218"/>
    </row>
    <row r="9036">
      <c r="B9036" s="223" t="s">
        <v>200</v>
      </c>
      <c r="C9036" s="223"/>
      <c r="K9036" s="319"/>
      <c r="L9036" s="218"/>
    </row>
    <row r="9037">
      <c r="B9037" s="223" t="s">
        <v>200</v>
      </c>
      <c r="C9037" s="223"/>
      <c r="K9037" s="319"/>
      <c r="L9037" s="218"/>
    </row>
    <row r="9038">
      <c r="B9038" s="223" t="s">
        <v>200</v>
      </c>
      <c r="C9038" s="223"/>
      <c r="K9038" s="319"/>
      <c r="L9038" s="218"/>
    </row>
    <row r="9039">
      <c r="B9039" s="223" t="s">
        <v>200</v>
      </c>
      <c r="C9039" s="223"/>
      <c r="K9039" s="319"/>
      <c r="L9039" s="218"/>
    </row>
    <row r="9040">
      <c r="B9040" s="223" t="s">
        <v>200</v>
      </c>
      <c r="C9040" s="223"/>
      <c r="K9040" s="319"/>
      <c r="L9040" s="218"/>
    </row>
    <row r="9041">
      <c r="B9041" s="223" t="s">
        <v>200</v>
      </c>
      <c r="C9041" s="223"/>
      <c r="K9041" s="319"/>
      <c r="L9041" s="218"/>
    </row>
    <row r="9042">
      <c r="B9042" s="223" t="s">
        <v>200</v>
      </c>
      <c r="C9042" s="223"/>
      <c r="K9042" s="319"/>
      <c r="L9042" s="218"/>
    </row>
    <row r="9043">
      <c r="B9043" s="223" t="s">
        <v>200</v>
      </c>
      <c r="C9043" s="223"/>
      <c r="K9043" s="319"/>
      <c r="L9043" s="218"/>
    </row>
    <row r="9044">
      <c r="B9044" s="223" t="s">
        <v>200</v>
      </c>
      <c r="C9044" s="223"/>
      <c r="K9044" s="319"/>
      <c r="L9044" s="218"/>
    </row>
    <row r="9045">
      <c r="B9045" s="223" t="s">
        <v>200</v>
      </c>
      <c r="C9045" s="223"/>
      <c r="K9045" s="319"/>
      <c r="L9045" s="218"/>
    </row>
    <row r="9046">
      <c r="B9046" s="223" t="s">
        <v>200</v>
      </c>
      <c r="C9046" s="223"/>
      <c r="K9046" s="319"/>
      <c r="L9046" s="218"/>
    </row>
    <row r="9047">
      <c r="B9047" s="223" t="s">
        <v>200</v>
      </c>
      <c r="C9047" s="223"/>
      <c r="K9047" s="319"/>
      <c r="L9047" s="218"/>
    </row>
    <row r="9048">
      <c r="B9048" s="223" t="s">
        <v>200</v>
      </c>
      <c r="C9048" s="223"/>
      <c r="K9048" s="319"/>
      <c r="L9048" s="218"/>
    </row>
    <row r="9049">
      <c r="B9049" s="223" t="s">
        <v>200</v>
      </c>
      <c r="C9049" s="223"/>
      <c r="K9049" s="319"/>
      <c r="L9049" s="218"/>
    </row>
    <row r="9050">
      <c r="B9050" s="223" t="s">
        <v>200</v>
      </c>
      <c r="C9050" s="223"/>
      <c r="K9050" s="319"/>
      <c r="L9050" s="218"/>
    </row>
    <row r="9051">
      <c r="B9051" s="223" t="s">
        <v>200</v>
      </c>
      <c r="C9051" s="223"/>
      <c r="K9051" s="319"/>
      <c r="L9051" s="218"/>
    </row>
    <row r="9052">
      <c r="B9052" s="223" t="s">
        <v>200</v>
      </c>
      <c r="C9052" s="223"/>
      <c r="K9052" s="319"/>
      <c r="L9052" s="218"/>
    </row>
    <row r="9053">
      <c r="B9053" s="223" t="s">
        <v>200</v>
      </c>
      <c r="C9053" s="223"/>
      <c r="K9053" s="319"/>
      <c r="L9053" s="218"/>
    </row>
    <row r="9054">
      <c r="B9054" s="223" t="s">
        <v>200</v>
      </c>
      <c r="C9054" s="223"/>
      <c r="K9054" s="319"/>
      <c r="L9054" s="218"/>
    </row>
    <row r="9055">
      <c r="B9055" s="223" t="s">
        <v>200</v>
      </c>
      <c r="C9055" s="223"/>
      <c r="K9055" s="319"/>
      <c r="L9055" s="218"/>
    </row>
    <row r="9056">
      <c r="B9056" s="223" t="s">
        <v>200</v>
      </c>
      <c r="C9056" s="223"/>
      <c r="K9056" s="319"/>
      <c r="L9056" s="218"/>
    </row>
    <row r="9057">
      <c r="B9057" s="223" t="s">
        <v>200</v>
      </c>
      <c r="C9057" s="223"/>
      <c r="K9057" s="319"/>
      <c r="L9057" s="218"/>
    </row>
    <row r="9058">
      <c r="B9058" s="223" t="s">
        <v>200</v>
      </c>
      <c r="C9058" s="223"/>
      <c r="K9058" s="319"/>
      <c r="L9058" s="218"/>
    </row>
    <row r="9059">
      <c r="B9059" s="223" t="s">
        <v>200</v>
      </c>
      <c r="C9059" s="223"/>
      <c r="K9059" s="319"/>
      <c r="L9059" s="218"/>
    </row>
    <row r="9060">
      <c r="B9060" s="223" t="s">
        <v>200</v>
      </c>
      <c r="C9060" s="223"/>
      <c r="K9060" s="319"/>
      <c r="L9060" s="218"/>
    </row>
    <row r="9061">
      <c r="B9061" s="223" t="s">
        <v>200</v>
      </c>
      <c r="C9061" s="223"/>
      <c r="K9061" s="319"/>
      <c r="L9061" s="218"/>
    </row>
    <row r="9062">
      <c r="B9062" s="223" t="s">
        <v>200</v>
      </c>
      <c r="C9062" s="223"/>
      <c r="K9062" s="319"/>
      <c r="L9062" s="218"/>
    </row>
    <row r="9063">
      <c r="B9063" s="223" t="s">
        <v>200</v>
      </c>
      <c r="C9063" s="223"/>
      <c r="K9063" s="319"/>
      <c r="L9063" s="218"/>
    </row>
    <row r="9064">
      <c r="B9064" s="223" t="s">
        <v>200</v>
      </c>
      <c r="C9064" s="223"/>
      <c r="K9064" s="319"/>
      <c r="L9064" s="218"/>
    </row>
    <row r="9065">
      <c r="B9065" s="223" t="s">
        <v>200</v>
      </c>
      <c r="C9065" s="223"/>
      <c r="K9065" s="319"/>
      <c r="L9065" s="218"/>
    </row>
    <row r="9066">
      <c r="B9066" s="223" t="s">
        <v>200</v>
      </c>
      <c r="C9066" s="223"/>
      <c r="K9066" s="319"/>
      <c r="L9066" s="218"/>
    </row>
    <row r="9067">
      <c r="B9067" s="223" t="s">
        <v>200</v>
      </c>
      <c r="C9067" s="223"/>
      <c r="K9067" s="319"/>
      <c r="L9067" s="218"/>
    </row>
    <row r="9068">
      <c r="B9068" s="223" t="s">
        <v>200</v>
      </c>
      <c r="C9068" s="223"/>
      <c r="K9068" s="319"/>
      <c r="L9068" s="218"/>
    </row>
    <row r="9069">
      <c r="B9069" s="223" t="s">
        <v>200</v>
      </c>
      <c r="C9069" s="223"/>
      <c r="K9069" s="319"/>
      <c r="L9069" s="218"/>
    </row>
    <row r="9070">
      <c r="B9070" s="223" t="s">
        <v>200</v>
      </c>
      <c r="C9070" s="223"/>
      <c r="K9070" s="319"/>
      <c r="L9070" s="218"/>
    </row>
    <row r="9071">
      <c r="B9071" s="223" t="s">
        <v>200</v>
      </c>
      <c r="C9071" s="223"/>
      <c r="K9071" s="319"/>
      <c r="L9071" s="218"/>
    </row>
    <row r="9072">
      <c r="B9072" s="223" t="s">
        <v>200</v>
      </c>
      <c r="C9072" s="223"/>
      <c r="K9072" s="319"/>
      <c r="L9072" s="218"/>
    </row>
    <row r="9073">
      <c r="B9073" s="223" t="s">
        <v>200</v>
      </c>
      <c r="C9073" s="223"/>
      <c r="K9073" s="319"/>
      <c r="L9073" s="218"/>
    </row>
    <row r="9074">
      <c r="B9074" s="223" t="s">
        <v>200</v>
      </c>
      <c r="C9074" s="223"/>
      <c r="K9074" s="319"/>
      <c r="L9074" s="218"/>
    </row>
    <row r="9075">
      <c r="B9075" s="223" t="s">
        <v>200</v>
      </c>
      <c r="C9075" s="223"/>
      <c r="K9075" s="319"/>
      <c r="L9075" s="218"/>
    </row>
    <row r="9076">
      <c r="B9076" s="223" t="s">
        <v>200</v>
      </c>
      <c r="C9076" s="223"/>
      <c r="K9076" s="319"/>
      <c r="L9076" s="218"/>
    </row>
    <row r="9077">
      <c r="B9077" s="223" t="s">
        <v>200</v>
      </c>
      <c r="C9077" s="223"/>
      <c r="K9077" s="319"/>
      <c r="L9077" s="218"/>
    </row>
    <row r="9078">
      <c r="B9078" s="223" t="s">
        <v>200</v>
      </c>
      <c r="C9078" s="223"/>
      <c r="K9078" s="319"/>
      <c r="L9078" s="218"/>
    </row>
    <row r="9079">
      <c r="B9079" s="223" t="s">
        <v>200</v>
      </c>
      <c r="C9079" s="223"/>
      <c r="K9079" s="319"/>
      <c r="L9079" s="218"/>
    </row>
    <row r="9080">
      <c r="B9080" s="223" t="s">
        <v>200</v>
      </c>
      <c r="C9080" s="223"/>
      <c r="K9080" s="319"/>
      <c r="L9080" s="218"/>
    </row>
    <row r="9081">
      <c r="B9081" s="223" t="s">
        <v>200</v>
      </c>
      <c r="C9081" s="223"/>
      <c r="K9081" s="319"/>
      <c r="L9081" s="218"/>
    </row>
    <row r="9082">
      <c r="B9082" s="223" t="s">
        <v>200</v>
      </c>
      <c r="C9082" s="223"/>
      <c r="K9082" s="319"/>
      <c r="L9082" s="218"/>
    </row>
    <row r="9083">
      <c r="B9083" s="223" t="s">
        <v>200</v>
      </c>
      <c r="C9083" s="223"/>
      <c r="K9083" s="319"/>
      <c r="L9083" s="218"/>
    </row>
    <row r="9084">
      <c r="B9084" s="223" t="s">
        <v>200</v>
      </c>
      <c r="C9084" s="223"/>
      <c r="K9084" s="319"/>
      <c r="L9084" s="218"/>
    </row>
    <row r="9085">
      <c r="B9085" s="223" t="s">
        <v>200</v>
      </c>
      <c r="C9085" s="223"/>
      <c r="K9085" s="319"/>
      <c r="L9085" s="218"/>
    </row>
    <row r="9086">
      <c r="B9086" s="223" t="s">
        <v>200</v>
      </c>
      <c r="C9086" s="223"/>
      <c r="K9086" s="319"/>
      <c r="L9086" s="218"/>
    </row>
    <row r="9087">
      <c r="B9087" s="223" t="s">
        <v>200</v>
      </c>
      <c r="C9087" s="223"/>
      <c r="K9087" s="319"/>
      <c r="L9087" s="218"/>
    </row>
    <row r="9088">
      <c r="B9088" s="223" t="s">
        <v>200</v>
      </c>
      <c r="C9088" s="223"/>
      <c r="K9088" s="319"/>
      <c r="L9088" s="218"/>
    </row>
    <row r="9089">
      <c r="B9089" s="223" t="s">
        <v>200</v>
      </c>
      <c r="C9089" s="223"/>
      <c r="K9089" s="319"/>
      <c r="L9089" s="218"/>
    </row>
    <row r="9090">
      <c r="B9090" s="223" t="s">
        <v>200</v>
      </c>
      <c r="C9090" s="223"/>
      <c r="K9090" s="319"/>
      <c r="L9090" s="218"/>
    </row>
    <row r="9091">
      <c r="B9091" s="223" t="s">
        <v>200</v>
      </c>
      <c r="C9091" s="223"/>
      <c r="K9091" s="319"/>
      <c r="L9091" s="218"/>
    </row>
    <row r="9092">
      <c r="B9092" s="223" t="s">
        <v>200</v>
      </c>
      <c r="C9092" s="223"/>
      <c r="K9092" s="319"/>
      <c r="L9092" s="218"/>
    </row>
    <row r="9093">
      <c r="B9093" s="223" t="s">
        <v>200</v>
      </c>
      <c r="C9093" s="223"/>
      <c r="K9093" s="319"/>
      <c r="L9093" s="218"/>
    </row>
    <row r="9094">
      <c r="B9094" s="223" t="s">
        <v>200</v>
      </c>
      <c r="C9094" s="223"/>
      <c r="K9094" s="319"/>
      <c r="L9094" s="218"/>
    </row>
    <row r="9095">
      <c r="B9095" s="223" t="s">
        <v>200</v>
      </c>
      <c r="C9095" s="223"/>
      <c r="K9095" s="319"/>
      <c r="L9095" s="218"/>
    </row>
    <row r="9096">
      <c r="B9096" s="223" t="s">
        <v>200</v>
      </c>
      <c r="C9096" s="223"/>
      <c r="K9096" s="319"/>
      <c r="L9096" s="218"/>
    </row>
    <row r="9097">
      <c r="B9097" s="223" t="s">
        <v>200</v>
      </c>
      <c r="C9097" s="223"/>
      <c r="K9097" s="319"/>
      <c r="L9097" s="218"/>
    </row>
    <row r="9098">
      <c r="B9098" s="223" t="s">
        <v>200</v>
      </c>
      <c r="C9098" s="223"/>
      <c r="K9098" s="319"/>
      <c r="L9098" s="218"/>
    </row>
    <row r="9099">
      <c r="B9099" s="223" t="s">
        <v>200</v>
      </c>
      <c r="C9099" s="223"/>
      <c r="K9099" s="319"/>
      <c r="L9099" s="218"/>
    </row>
    <row r="9100">
      <c r="B9100" s="223" t="s">
        <v>200</v>
      </c>
      <c r="C9100" s="223"/>
      <c r="K9100" s="319"/>
      <c r="L9100" s="218"/>
    </row>
    <row r="9101">
      <c r="B9101" s="223" t="s">
        <v>200</v>
      </c>
      <c r="C9101" s="223"/>
      <c r="K9101" s="319"/>
      <c r="L9101" s="218"/>
    </row>
    <row r="9102">
      <c r="B9102" s="223" t="s">
        <v>200</v>
      </c>
      <c r="C9102" s="223"/>
      <c r="K9102" s="319"/>
      <c r="L9102" s="218"/>
    </row>
    <row r="9103">
      <c r="B9103" s="223" t="s">
        <v>200</v>
      </c>
      <c r="C9103" s="223"/>
      <c r="K9103" s="319"/>
      <c r="L9103" s="218"/>
    </row>
    <row r="9104">
      <c r="B9104" s="223" t="s">
        <v>200</v>
      </c>
      <c r="C9104" s="223"/>
      <c r="K9104" s="319"/>
      <c r="L9104" s="218"/>
    </row>
    <row r="9105">
      <c r="B9105" s="223" t="s">
        <v>200</v>
      </c>
      <c r="C9105" s="223"/>
      <c r="K9105" s="319"/>
      <c r="L9105" s="218"/>
    </row>
    <row r="9106">
      <c r="B9106" s="223" t="s">
        <v>200</v>
      </c>
      <c r="C9106" s="223"/>
      <c r="K9106" s="319"/>
      <c r="L9106" s="218"/>
    </row>
    <row r="9107">
      <c r="B9107" s="223" t="s">
        <v>200</v>
      </c>
      <c r="C9107" s="223"/>
      <c r="K9107" s="319"/>
      <c r="L9107" s="218"/>
    </row>
    <row r="9108">
      <c r="B9108" s="223" t="s">
        <v>200</v>
      </c>
      <c r="C9108" s="223"/>
      <c r="K9108" s="319"/>
      <c r="L9108" s="218"/>
    </row>
    <row r="9109">
      <c r="B9109" s="223" t="s">
        <v>200</v>
      </c>
      <c r="C9109" s="223"/>
      <c r="K9109" s="319"/>
      <c r="L9109" s="218"/>
    </row>
    <row r="9110">
      <c r="B9110" s="223" t="s">
        <v>200</v>
      </c>
      <c r="C9110" s="223"/>
      <c r="K9110" s="319"/>
      <c r="L9110" s="218"/>
    </row>
    <row r="9111">
      <c r="B9111" s="223" t="s">
        <v>200</v>
      </c>
      <c r="C9111" s="223"/>
      <c r="K9111" s="319"/>
      <c r="L9111" s="218"/>
    </row>
    <row r="9112">
      <c r="B9112" s="223" t="s">
        <v>200</v>
      </c>
      <c r="C9112" s="223"/>
      <c r="K9112" s="319"/>
      <c r="L9112" s="218"/>
    </row>
    <row r="9113">
      <c r="B9113" s="223" t="s">
        <v>200</v>
      </c>
      <c r="C9113" s="223"/>
      <c r="K9113" s="319"/>
      <c r="L9113" s="218"/>
    </row>
    <row r="9114">
      <c r="B9114" s="223" t="s">
        <v>200</v>
      </c>
      <c r="C9114" s="223"/>
      <c r="K9114" s="319"/>
      <c r="L9114" s="218"/>
    </row>
    <row r="9115">
      <c r="B9115" s="223" t="s">
        <v>200</v>
      </c>
      <c r="C9115" s="223"/>
      <c r="K9115" s="319"/>
      <c r="L9115" s="218"/>
    </row>
    <row r="9116">
      <c r="B9116" s="223" t="s">
        <v>200</v>
      </c>
      <c r="C9116" s="223"/>
      <c r="K9116" s="319"/>
      <c r="L9116" s="218"/>
    </row>
    <row r="9117">
      <c r="B9117" s="223" t="s">
        <v>200</v>
      </c>
      <c r="C9117" s="223"/>
      <c r="K9117" s="319"/>
      <c r="L9117" s="218"/>
    </row>
    <row r="9118">
      <c r="B9118" s="223" t="s">
        <v>200</v>
      </c>
      <c r="C9118" s="223"/>
      <c r="K9118" s="319"/>
      <c r="L9118" s="218"/>
    </row>
    <row r="9119">
      <c r="B9119" s="223" t="s">
        <v>200</v>
      </c>
      <c r="C9119" s="223"/>
      <c r="K9119" s="319"/>
      <c r="L9119" s="218"/>
    </row>
    <row r="9120">
      <c r="B9120" s="223" t="s">
        <v>200</v>
      </c>
      <c r="C9120" s="223"/>
      <c r="K9120" s="319"/>
      <c r="L9120" s="218"/>
    </row>
    <row r="9121">
      <c r="B9121" s="223" t="s">
        <v>200</v>
      </c>
      <c r="C9121" s="223"/>
      <c r="K9121" s="319"/>
      <c r="L9121" s="218"/>
    </row>
    <row r="9122">
      <c r="B9122" s="223" t="s">
        <v>200</v>
      </c>
      <c r="C9122" s="223"/>
      <c r="K9122" s="319"/>
      <c r="L9122" s="218"/>
    </row>
    <row r="9123">
      <c r="B9123" s="223" t="s">
        <v>200</v>
      </c>
      <c r="C9123" s="223"/>
      <c r="K9123" s="319"/>
      <c r="L9123" s="218"/>
    </row>
    <row r="9124">
      <c r="B9124" s="223" t="s">
        <v>200</v>
      </c>
      <c r="C9124" s="223"/>
      <c r="K9124" s="319"/>
      <c r="L9124" s="218"/>
    </row>
    <row r="9125">
      <c r="B9125" s="223" t="s">
        <v>200</v>
      </c>
      <c r="C9125" s="223"/>
      <c r="K9125" s="319"/>
      <c r="L9125" s="218"/>
    </row>
    <row r="9126">
      <c r="B9126" s="223" t="s">
        <v>200</v>
      </c>
      <c r="C9126" s="223"/>
      <c r="K9126" s="319"/>
      <c r="L9126" s="218"/>
    </row>
    <row r="9127">
      <c r="B9127" s="223" t="s">
        <v>200</v>
      </c>
      <c r="C9127" s="223"/>
      <c r="K9127" s="319"/>
      <c r="L9127" s="218"/>
    </row>
    <row r="9128">
      <c r="B9128" s="223" t="s">
        <v>200</v>
      </c>
      <c r="C9128" s="223"/>
      <c r="K9128" s="319"/>
      <c r="L9128" s="218"/>
    </row>
    <row r="9129">
      <c r="B9129" s="223" t="s">
        <v>200</v>
      </c>
      <c r="C9129" s="223"/>
      <c r="K9129" s="319"/>
      <c r="L9129" s="218"/>
    </row>
    <row r="9130">
      <c r="B9130" s="223" t="s">
        <v>200</v>
      </c>
      <c r="C9130" s="223"/>
      <c r="K9130" s="319"/>
      <c r="L9130" s="218"/>
    </row>
    <row r="9131">
      <c r="B9131" s="223" t="s">
        <v>200</v>
      </c>
      <c r="C9131" s="223"/>
      <c r="K9131" s="319"/>
      <c r="L9131" s="218"/>
    </row>
    <row r="9132">
      <c r="B9132" s="223" t="s">
        <v>200</v>
      </c>
      <c r="C9132" s="223"/>
      <c r="K9132" s="319"/>
      <c r="L9132" s="218"/>
    </row>
    <row r="9133">
      <c r="B9133" s="223" t="s">
        <v>200</v>
      </c>
      <c r="C9133" s="223"/>
      <c r="K9133" s="319"/>
      <c r="L9133" s="218"/>
    </row>
    <row r="9134">
      <c r="B9134" s="223" t="s">
        <v>200</v>
      </c>
      <c r="C9134" s="223"/>
      <c r="K9134" s="319"/>
      <c r="L9134" s="218"/>
    </row>
    <row r="9135">
      <c r="B9135" s="223" t="s">
        <v>200</v>
      </c>
      <c r="C9135" s="223"/>
      <c r="K9135" s="319"/>
      <c r="L9135" s="218"/>
    </row>
    <row r="9136">
      <c r="B9136" s="223" t="s">
        <v>200</v>
      </c>
      <c r="C9136" s="223"/>
      <c r="K9136" s="319"/>
      <c r="L9136" s="218"/>
    </row>
    <row r="9137">
      <c r="B9137" s="223" t="s">
        <v>200</v>
      </c>
      <c r="C9137" s="223"/>
      <c r="K9137" s="319"/>
      <c r="L9137" s="218"/>
    </row>
    <row r="9138">
      <c r="B9138" s="223" t="s">
        <v>200</v>
      </c>
      <c r="C9138" s="223"/>
      <c r="K9138" s="319"/>
      <c r="L9138" s="218"/>
    </row>
    <row r="9139">
      <c r="B9139" s="223" t="s">
        <v>200</v>
      </c>
      <c r="C9139" s="223"/>
      <c r="K9139" s="319"/>
      <c r="L9139" s="218"/>
    </row>
    <row r="9140">
      <c r="B9140" s="223" t="s">
        <v>200</v>
      </c>
      <c r="C9140" s="223"/>
      <c r="K9140" s="319"/>
      <c r="L9140" s="218"/>
    </row>
    <row r="9141">
      <c r="B9141" s="223" t="s">
        <v>200</v>
      </c>
      <c r="C9141" s="223"/>
      <c r="K9141" s="319"/>
      <c r="L9141" s="218"/>
    </row>
    <row r="9142">
      <c r="B9142" s="223" t="s">
        <v>200</v>
      </c>
      <c r="C9142" s="223"/>
      <c r="K9142" s="319"/>
      <c r="L9142" s="218"/>
    </row>
    <row r="9143">
      <c r="B9143" s="223" t="s">
        <v>200</v>
      </c>
      <c r="C9143" s="223"/>
      <c r="K9143" s="319"/>
      <c r="L9143" s="218"/>
    </row>
    <row r="9144">
      <c r="B9144" s="223" t="s">
        <v>200</v>
      </c>
      <c r="C9144" s="223"/>
      <c r="K9144" s="319"/>
      <c r="L9144" s="218"/>
    </row>
    <row r="9145">
      <c r="B9145" s="223" t="s">
        <v>200</v>
      </c>
      <c r="C9145" s="223"/>
      <c r="K9145" s="319"/>
      <c r="L9145" s="218"/>
    </row>
    <row r="9146">
      <c r="B9146" s="223" t="s">
        <v>200</v>
      </c>
      <c r="C9146" s="223"/>
      <c r="K9146" s="319"/>
      <c r="L9146" s="218"/>
    </row>
    <row r="9147">
      <c r="B9147" s="223" t="s">
        <v>200</v>
      </c>
      <c r="C9147" s="223"/>
      <c r="K9147" s="319"/>
      <c r="L9147" s="218"/>
    </row>
    <row r="9148">
      <c r="B9148" s="223" t="s">
        <v>200</v>
      </c>
      <c r="C9148" s="223"/>
      <c r="K9148" s="319"/>
      <c r="L9148" s="218"/>
    </row>
    <row r="9149">
      <c r="B9149" s="223" t="s">
        <v>200</v>
      </c>
      <c r="C9149" s="223"/>
      <c r="K9149" s="319"/>
      <c r="L9149" s="218"/>
    </row>
    <row r="9150">
      <c r="B9150" s="223" t="s">
        <v>200</v>
      </c>
      <c r="C9150" s="223"/>
      <c r="K9150" s="319"/>
      <c r="L9150" s="218"/>
    </row>
    <row r="9151">
      <c r="B9151" s="223" t="s">
        <v>200</v>
      </c>
      <c r="C9151" s="223"/>
      <c r="K9151" s="319"/>
      <c r="L9151" s="218"/>
    </row>
    <row r="9152">
      <c r="B9152" s="223" t="s">
        <v>200</v>
      </c>
      <c r="C9152" s="223"/>
      <c r="K9152" s="319"/>
      <c r="L9152" s="218"/>
    </row>
    <row r="9153">
      <c r="B9153" s="223" t="s">
        <v>200</v>
      </c>
      <c r="C9153" s="223"/>
      <c r="K9153" s="319"/>
      <c r="L9153" s="218"/>
    </row>
    <row r="9154">
      <c r="B9154" s="223" t="s">
        <v>200</v>
      </c>
      <c r="C9154" s="223"/>
      <c r="K9154" s="319"/>
      <c r="L9154" s="218"/>
    </row>
    <row r="9155">
      <c r="B9155" s="223" t="s">
        <v>200</v>
      </c>
      <c r="C9155" s="223"/>
      <c r="K9155" s="319"/>
      <c r="L9155" s="218"/>
    </row>
    <row r="9156">
      <c r="B9156" s="223" t="s">
        <v>200</v>
      </c>
      <c r="C9156" s="223"/>
      <c r="K9156" s="319"/>
      <c r="L9156" s="218"/>
    </row>
    <row r="9157">
      <c r="B9157" s="223" t="s">
        <v>200</v>
      </c>
      <c r="C9157" s="223"/>
      <c r="K9157" s="319"/>
      <c r="L9157" s="218"/>
    </row>
    <row r="9158">
      <c r="B9158" s="223" t="s">
        <v>200</v>
      </c>
      <c r="C9158" s="223"/>
      <c r="K9158" s="319"/>
      <c r="L9158" s="218"/>
    </row>
    <row r="9159">
      <c r="B9159" s="223" t="s">
        <v>200</v>
      </c>
      <c r="C9159" s="223"/>
      <c r="K9159" s="319"/>
      <c r="L9159" s="218"/>
    </row>
    <row r="9160">
      <c r="B9160" s="223" t="s">
        <v>200</v>
      </c>
      <c r="C9160" s="223"/>
      <c r="K9160" s="319"/>
      <c r="L9160" s="218"/>
    </row>
    <row r="9161">
      <c r="B9161" s="223" t="s">
        <v>200</v>
      </c>
      <c r="C9161" s="223"/>
      <c r="K9161" s="319"/>
      <c r="L9161" s="218"/>
    </row>
    <row r="9162">
      <c r="B9162" s="223" t="s">
        <v>200</v>
      </c>
      <c r="C9162" s="223"/>
      <c r="K9162" s="319"/>
      <c r="L9162" s="218"/>
    </row>
    <row r="9163">
      <c r="B9163" s="223" t="s">
        <v>200</v>
      </c>
      <c r="C9163" s="223"/>
      <c r="K9163" s="319"/>
      <c r="L9163" s="218"/>
    </row>
    <row r="9164">
      <c r="B9164" s="223" t="s">
        <v>200</v>
      </c>
      <c r="C9164" s="223"/>
      <c r="K9164" s="319"/>
      <c r="L9164" s="218"/>
    </row>
    <row r="9165">
      <c r="B9165" s="223" t="s">
        <v>200</v>
      </c>
      <c r="C9165" s="223"/>
      <c r="K9165" s="319"/>
      <c r="L9165" s="218"/>
    </row>
    <row r="9166">
      <c r="B9166" s="223" t="s">
        <v>200</v>
      </c>
      <c r="C9166" s="223"/>
      <c r="K9166" s="319"/>
      <c r="L9166" s="218"/>
    </row>
    <row r="9167">
      <c r="B9167" s="223" t="s">
        <v>200</v>
      </c>
      <c r="C9167" s="223"/>
      <c r="K9167" s="319"/>
      <c r="L9167" s="218"/>
    </row>
    <row r="9168">
      <c r="B9168" s="223" t="s">
        <v>200</v>
      </c>
      <c r="C9168" s="223"/>
      <c r="K9168" s="319"/>
      <c r="L9168" s="218"/>
    </row>
    <row r="9169">
      <c r="B9169" s="223" t="s">
        <v>200</v>
      </c>
      <c r="C9169" s="223"/>
      <c r="K9169" s="319"/>
      <c r="L9169" s="218"/>
    </row>
    <row r="9170">
      <c r="B9170" s="223" t="s">
        <v>200</v>
      </c>
      <c r="C9170" s="223"/>
      <c r="K9170" s="319"/>
      <c r="L9170" s="218"/>
    </row>
    <row r="9171">
      <c r="B9171" s="223" t="s">
        <v>200</v>
      </c>
      <c r="C9171" s="223"/>
      <c r="K9171" s="319"/>
      <c r="L9171" s="218"/>
    </row>
    <row r="9172">
      <c r="B9172" s="223" t="s">
        <v>200</v>
      </c>
      <c r="C9172" s="223"/>
      <c r="K9172" s="319"/>
      <c r="L9172" s="218"/>
    </row>
    <row r="9173">
      <c r="B9173" s="223" t="s">
        <v>200</v>
      </c>
      <c r="C9173" s="223"/>
      <c r="K9173" s="319"/>
      <c r="L9173" s="218"/>
    </row>
    <row r="9174">
      <c r="B9174" s="223" t="s">
        <v>200</v>
      </c>
      <c r="C9174" s="223"/>
      <c r="K9174" s="319"/>
      <c r="L9174" s="218"/>
    </row>
    <row r="9175">
      <c r="B9175" s="223" t="s">
        <v>200</v>
      </c>
      <c r="C9175" s="223"/>
      <c r="K9175" s="319"/>
      <c r="L9175" s="218"/>
    </row>
    <row r="9176">
      <c r="B9176" s="223" t="s">
        <v>200</v>
      </c>
      <c r="C9176" s="223"/>
      <c r="K9176" s="319"/>
      <c r="L9176" s="218"/>
    </row>
    <row r="9177">
      <c r="B9177" s="223" t="s">
        <v>200</v>
      </c>
      <c r="C9177" s="223"/>
      <c r="K9177" s="319"/>
      <c r="L9177" s="218"/>
    </row>
    <row r="9178">
      <c r="B9178" s="223" t="s">
        <v>200</v>
      </c>
      <c r="C9178" s="223"/>
      <c r="K9178" s="319"/>
      <c r="L9178" s="218"/>
    </row>
    <row r="9179">
      <c r="B9179" s="223" t="s">
        <v>200</v>
      </c>
      <c r="C9179" s="223"/>
      <c r="K9179" s="319"/>
      <c r="L9179" s="218"/>
    </row>
    <row r="9180">
      <c r="B9180" s="223" t="s">
        <v>200</v>
      </c>
      <c r="C9180" s="223"/>
      <c r="K9180" s="319"/>
      <c r="L9180" s="218"/>
    </row>
    <row r="9181">
      <c r="B9181" s="223" t="s">
        <v>200</v>
      </c>
      <c r="C9181" s="223"/>
      <c r="K9181" s="319"/>
      <c r="L9181" s="218"/>
    </row>
    <row r="9182">
      <c r="B9182" s="223" t="s">
        <v>200</v>
      </c>
      <c r="C9182" s="223"/>
      <c r="K9182" s="319"/>
      <c r="L9182" s="218"/>
    </row>
    <row r="9183">
      <c r="B9183" s="223" t="s">
        <v>200</v>
      </c>
      <c r="C9183" s="223"/>
      <c r="K9183" s="319"/>
      <c r="L9183" s="218"/>
    </row>
    <row r="9184">
      <c r="B9184" s="223" t="s">
        <v>200</v>
      </c>
      <c r="C9184" s="223"/>
      <c r="K9184" s="319"/>
      <c r="L9184" s="218"/>
    </row>
    <row r="9185">
      <c r="B9185" s="223" t="s">
        <v>200</v>
      </c>
      <c r="C9185" s="223"/>
      <c r="K9185" s="319"/>
      <c r="L9185" s="218"/>
    </row>
    <row r="9186">
      <c r="B9186" s="223" t="s">
        <v>200</v>
      </c>
      <c r="C9186" s="223"/>
      <c r="K9186" s="319"/>
      <c r="L9186" s="218"/>
    </row>
    <row r="9187">
      <c r="B9187" s="223" t="s">
        <v>200</v>
      </c>
      <c r="C9187" s="223"/>
      <c r="K9187" s="319"/>
      <c r="L9187" s="218"/>
    </row>
    <row r="9188">
      <c r="B9188" s="223" t="s">
        <v>200</v>
      </c>
      <c r="C9188" s="223"/>
      <c r="K9188" s="319"/>
      <c r="L9188" s="218"/>
    </row>
    <row r="9189">
      <c r="B9189" s="223" t="s">
        <v>200</v>
      </c>
      <c r="C9189" s="223"/>
      <c r="K9189" s="319"/>
      <c r="L9189" s="218"/>
    </row>
    <row r="9190">
      <c r="B9190" s="223" t="s">
        <v>200</v>
      </c>
      <c r="C9190" s="223"/>
      <c r="K9190" s="319"/>
      <c r="L9190" s="218"/>
    </row>
    <row r="9191">
      <c r="B9191" s="223" t="s">
        <v>200</v>
      </c>
      <c r="C9191" s="223"/>
      <c r="K9191" s="319"/>
      <c r="L9191" s="218"/>
    </row>
    <row r="9192">
      <c r="B9192" s="223" t="s">
        <v>200</v>
      </c>
      <c r="C9192" s="223"/>
      <c r="K9192" s="319"/>
      <c r="L9192" s="218"/>
    </row>
    <row r="9193">
      <c r="B9193" s="223" t="s">
        <v>200</v>
      </c>
      <c r="C9193" s="223"/>
      <c r="K9193" s="319"/>
      <c r="L9193" s="218"/>
    </row>
    <row r="9194">
      <c r="B9194" s="223" t="s">
        <v>200</v>
      </c>
      <c r="C9194" s="223"/>
      <c r="K9194" s="319"/>
      <c r="L9194" s="218"/>
    </row>
    <row r="9195">
      <c r="B9195" s="223" t="s">
        <v>200</v>
      </c>
      <c r="C9195" s="223"/>
      <c r="K9195" s="319"/>
      <c r="L9195" s="218"/>
    </row>
    <row r="9196">
      <c r="B9196" s="223" t="s">
        <v>200</v>
      </c>
      <c r="C9196" s="223"/>
      <c r="K9196" s="319"/>
      <c r="L9196" s="218"/>
    </row>
    <row r="9197">
      <c r="B9197" s="223" t="s">
        <v>200</v>
      </c>
      <c r="C9197" s="223"/>
      <c r="K9197" s="319"/>
      <c r="L9197" s="218"/>
    </row>
    <row r="9198">
      <c r="B9198" s="223" t="s">
        <v>200</v>
      </c>
      <c r="C9198" s="223"/>
      <c r="K9198" s="319"/>
      <c r="L9198" s="218"/>
    </row>
    <row r="9199">
      <c r="B9199" s="223" t="s">
        <v>200</v>
      </c>
      <c r="C9199" s="223"/>
      <c r="K9199" s="319"/>
      <c r="L9199" s="218"/>
    </row>
    <row r="9200">
      <c r="B9200" s="223" t="s">
        <v>200</v>
      </c>
      <c r="C9200" s="223"/>
      <c r="K9200" s="319"/>
      <c r="L9200" s="218"/>
    </row>
    <row r="9201">
      <c r="B9201" s="223" t="s">
        <v>200</v>
      </c>
      <c r="C9201" s="223"/>
      <c r="K9201" s="319"/>
      <c r="L9201" s="218"/>
    </row>
    <row r="9202">
      <c r="B9202" s="223" t="s">
        <v>200</v>
      </c>
      <c r="C9202" s="223"/>
      <c r="K9202" s="319"/>
      <c r="L9202" s="218"/>
    </row>
    <row r="9203">
      <c r="B9203" s="223" t="s">
        <v>200</v>
      </c>
      <c r="C9203" s="223"/>
      <c r="K9203" s="319"/>
      <c r="L9203" s="218"/>
    </row>
    <row r="9204">
      <c r="B9204" s="223" t="s">
        <v>200</v>
      </c>
      <c r="C9204" s="223"/>
      <c r="K9204" s="319"/>
      <c r="L9204" s="218"/>
    </row>
    <row r="9205">
      <c r="B9205" s="223" t="s">
        <v>200</v>
      </c>
      <c r="C9205" s="223"/>
      <c r="K9205" s="319"/>
      <c r="L9205" s="218"/>
    </row>
    <row r="9206">
      <c r="B9206" s="223" t="s">
        <v>200</v>
      </c>
      <c r="C9206" s="223"/>
      <c r="K9206" s="319"/>
      <c r="L9206" s="218"/>
    </row>
    <row r="9207">
      <c r="B9207" s="223" t="s">
        <v>200</v>
      </c>
      <c r="C9207" s="223"/>
      <c r="K9207" s="319"/>
      <c r="L9207" s="218"/>
    </row>
    <row r="9208">
      <c r="B9208" s="223" t="s">
        <v>200</v>
      </c>
      <c r="C9208" s="223"/>
      <c r="K9208" s="319"/>
      <c r="L9208" s="218"/>
    </row>
    <row r="9209">
      <c r="B9209" s="223" t="s">
        <v>200</v>
      </c>
      <c r="C9209" s="223"/>
      <c r="K9209" s="319"/>
      <c r="L9209" s="218"/>
    </row>
    <row r="9210">
      <c r="B9210" s="223" t="s">
        <v>200</v>
      </c>
      <c r="C9210" s="223"/>
      <c r="K9210" s="319"/>
      <c r="L9210" s="218"/>
    </row>
    <row r="9211">
      <c r="B9211" s="223" t="s">
        <v>200</v>
      </c>
      <c r="C9211" s="223"/>
      <c r="K9211" s="319"/>
      <c r="L9211" s="218"/>
    </row>
    <row r="9212">
      <c r="B9212" s="223" t="s">
        <v>200</v>
      </c>
      <c r="C9212" s="223"/>
      <c r="K9212" s="319"/>
      <c r="L9212" s="218"/>
    </row>
    <row r="9213">
      <c r="B9213" s="223" t="s">
        <v>200</v>
      </c>
      <c r="C9213" s="223"/>
      <c r="K9213" s="319"/>
      <c r="L9213" s="218"/>
    </row>
    <row r="9214">
      <c r="B9214" s="223" t="s">
        <v>200</v>
      </c>
      <c r="C9214" s="223"/>
      <c r="K9214" s="319"/>
      <c r="L9214" s="218"/>
    </row>
    <row r="9215">
      <c r="B9215" s="223" t="s">
        <v>200</v>
      </c>
      <c r="C9215" s="223"/>
      <c r="K9215" s="319"/>
      <c r="L9215" s="218"/>
    </row>
    <row r="9216">
      <c r="B9216" s="223" t="s">
        <v>200</v>
      </c>
      <c r="C9216" s="223"/>
      <c r="K9216" s="319"/>
      <c r="L9216" s="218"/>
    </row>
    <row r="9217">
      <c r="B9217" s="223" t="s">
        <v>200</v>
      </c>
      <c r="C9217" s="223"/>
      <c r="K9217" s="319"/>
      <c r="L9217" s="218"/>
    </row>
    <row r="9218">
      <c r="B9218" s="223" t="s">
        <v>200</v>
      </c>
      <c r="C9218" s="223"/>
      <c r="K9218" s="319"/>
      <c r="L9218" s="218"/>
    </row>
    <row r="9219">
      <c r="B9219" s="223" t="s">
        <v>200</v>
      </c>
      <c r="C9219" s="223"/>
      <c r="K9219" s="319"/>
      <c r="L9219" s="218"/>
    </row>
    <row r="9220">
      <c r="B9220" s="223" t="s">
        <v>200</v>
      </c>
      <c r="C9220" s="223"/>
      <c r="K9220" s="319"/>
      <c r="L9220" s="218"/>
    </row>
    <row r="9221">
      <c r="B9221" s="223" t="s">
        <v>200</v>
      </c>
      <c r="C9221" s="223"/>
      <c r="K9221" s="319"/>
      <c r="L9221" s="218"/>
    </row>
    <row r="9222">
      <c r="B9222" s="223" t="s">
        <v>200</v>
      </c>
      <c r="C9222" s="223"/>
      <c r="K9222" s="319"/>
      <c r="L9222" s="218"/>
    </row>
    <row r="9223">
      <c r="B9223" s="223" t="s">
        <v>200</v>
      </c>
      <c r="C9223" s="223"/>
      <c r="K9223" s="319"/>
      <c r="L9223" s="218"/>
    </row>
    <row r="9224">
      <c r="B9224" s="223" t="s">
        <v>200</v>
      </c>
      <c r="C9224" s="223"/>
      <c r="K9224" s="319"/>
      <c r="L9224" s="218"/>
    </row>
    <row r="9225">
      <c r="B9225" s="223" t="s">
        <v>200</v>
      </c>
      <c r="C9225" s="223"/>
      <c r="K9225" s="319"/>
      <c r="L9225" s="218"/>
    </row>
    <row r="9226">
      <c r="B9226" s="223" t="s">
        <v>200</v>
      </c>
      <c r="C9226" s="223"/>
      <c r="K9226" s="319"/>
      <c r="L9226" s="218"/>
    </row>
    <row r="9227">
      <c r="B9227" s="223" t="s">
        <v>200</v>
      </c>
      <c r="C9227" s="223"/>
      <c r="K9227" s="319"/>
      <c r="L9227" s="218"/>
    </row>
    <row r="9228">
      <c r="B9228" s="223" t="s">
        <v>200</v>
      </c>
      <c r="C9228" s="223"/>
      <c r="K9228" s="319"/>
      <c r="L9228" s="218"/>
    </row>
    <row r="9229">
      <c r="B9229" s="223" t="s">
        <v>200</v>
      </c>
      <c r="C9229" s="223"/>
      <c r="K9229" s="319"/>
      <c r="L9229" s="218"/>
    </row>
    <row r="9230">
      <c r="B9230" s="223" t="s">
        <v>200</v>
      </c>
      <c r="C9230" s="223"/>
      <c r="K9230" s="319"/>
      <c r="L9230" s="218"/>
    </row>
    <row r="9231">
      <c r="B9231" s="223" t="s">
        <v>200</v>
      </c>
      <c r="C9231" s="223"/>
      <c r="K9231" s="319"/>
      <c r="L9231" s="218"/>
    </row>
    <row r="9232">
      <c r="B9232" s="223" t="s">
        <v>200</v>
      </c>
      <c r="C9232" s="223"/>
      <c r="K9232" s="319"/>
      <c r="L9232" s="218"/>
    </row>
    <row r="9233">
      <c r="B9233" s="223" t="s">
        <v>200</v>
      </c>
      <c r="C9233" s="223"/>
      <c r="K9233" s="319"/>
      <c r="L9233" s="218"/>
    </row>
    <row r="9234">
      <c r="B9234" s="223" t="s">
        <v>200</v>
      </c>
      <c r="C9234" s="223"/>
      <c r="K9234" s="319"/>
      <c r="L9234" s="218"/>
    </row>
    <row r="9235">
      <c r="B9235" s="223" t="s">
        <v>200</v>
      </c>
      <c r="C9235" s="223"/>
      <c r="K9235" s="319"/>
      <c r="L9235" s="218"/>
    </row>
    <row r="9236">
      <c r="B9236" s="223" t="s">
        <v>200</v>
      </c>
      <c r="C9236" s="223"/>
      <c r="K9236" s="319"/>
      <c r="L9236" s="218"/>
    </row>
    <row r="9237">
      <c r="B9237" s="223" t="s">
        <v>200</v>
      </c>
      <c r="C9237" s="223"/>
      <c r="K9237" s="319"/>
      <c r="L9237" s="218"/>
    </row>
    <row r="9238">
      <c r="B9238" s="223" t="s">
        <v>200</v>
      </c>
      <c r="C9238" s="223"/>
      <c r="K9238" s="319"/>
      <c r="L9238" s="218"/>
    </row>
    <row r="9239">
      <c r="B9239" s="223" t="s">
        <v>200</v>
      </c>
      <c r="C9239" s="223"/>
      <c r="K9239" s="319"/>
      <c r="L9239" s="218"/>
    </row>
    <row r="9240">
      <c r="B9240" s="223" t="s">
        <v>200</v>
      </c>
      <c r="C9240" s="223"/>
      <c r="K9240" s="319"/>
      <c r="L9240" s="218"/>
    </row>
    <row r="9241">
      <c r="B9241" s="223" t="s">
        <v>200</v>
      </c>
      <c r="C9241" s="223"/>
      <c r="K9241" s="319"/>
      <c r="L9241" s="218"/>
    </row>
    <row r="9242">
      <c r="B9242" s="223" t="s">
        <v>200</v>
      </c>
      <c r="C9242" s="223"/>
      <c r="K9242" s="319"/>
      <c r="L9242" s="218"/>
    </row>
    <row r="9243">
      <c r="B9243" s="223" t="s">
        <v>200</v>
      </c>
      <c r="C9243" s="223"/>
      <c r="K9243" s="319"/>
      <c r="L9243" s="218"/>
    </row>
    <row r="9244">
      <c r="B9244" s="223" t="s">
        <v>200</v>
      </c>
      <c r="C9244" s="223"/>
      <c r="K9244" s="319"/>
      <c r="L9244" s="218"/>
    </row>
    <row r="9245">
      <c r="B9245" s="223" t="s">
        <v>200</v>
      </c>
      <c r="C9245" s="223"/>
      <c r="K9245" s="319"/>
      <c r="L9245" s="218"/>
    </row>
    <row r="9246">
      <c r="B9246" s="223" t="s">
        <v>200</v>
      </c>
      <c r="C9246" s="223"/>
      <c r="K9246" s="319"/>
      <c r="L9246" s="218"/>
    </row>
    <row r="9247">
      <c r="B9247" s="223" t="s">
        <v>200</v>
      </c>
      <c r="C9247" s="223"/>
      <c r="K9247" s="319"/>
      <c r="L9247" s="218"/>
    </row>
    <row r="9248">
      <c r="B9248" s="223" t="s">
        <v>200</v>
      </c>
      <c r="C9248" s="223"/>
      <c r="K9248" s="319"/>
      <c r="L9248" s="218"/>
    </row>
    <row r="9249">
      <c r="B9249" s="223" t="s">
        <v>200</v>
      </c>
      <c r="C9249" s="223"/>
      <c r="K9249" s="319"/>
      <c r="L9249" s="218"/>
    </row>
    <row r="9250">
      <c r="B9250" s="223" t="s">
        <v>200</v>
      </c>
      <c r="C9250" s="223"/>
      <c r="K9250" s="319"/>
      <c r="L9250" s="218"/>
    </row>
    <row r="9251">
      <c r="B9251" s="223" t="s">
        <v>200</v>
      </c>
      <c r="C9251" s="223"/>
      <c r="K9251" s="319"/>
      <c r="L9251" s="218"/>
    </row>
    <row r="9252">
      <c r="B9252" s="223" t="s">
        <v>200</v>
      </c>
      <c r="C9252" s="223"/>
      <c r="K9252" s="319"/>
      <c r="L9252" s="218"/>
    </row>
    <row r="9253">
      <c r="B9253" s="223" t="s">
        <v>200</v>
      </c>
      <c r="C9253" s="223"/>
      <c r="K9253" s="319"/>
      <c r="L9253" s="218"/>
    </row>
    <row r="9254">
      <c r="B9254" s="223" t="s">
        <v>200</v>
      </c>
      <c r="C9254" s="223"/>
      <c r="K9254" s="319"/>
      <c r="L9254" s="218"/>
    </row>
    <row r="9255">
      <c r="B9255" s="223" t="s">
        <v>200</v>
      </c>
      <c r="C9255" s="223"/>
      <c r="K9255" s="319"/>
      <c r="L9255" s="218"/>
    </row>
    <row r="9256">
      <c r="B9256" s="223" t="s">
        <v>200</v>
      </c>
      <c r="C9256" s="223"/>
      <c r="K9256" s="319"/>
      <c r="L9256" s="218"/>
    </row>
    <row r="9257">
      <c r="B9257" s="223" t="s">
        <v>200</v>
      </c>
      <c r="C9257" s="223"/>
      <c r="K9257" s="319"/>
      <c r="L9257" s="218"/>
    </row>
    <row r="9258">
      <c r="B9258" s="223" t="s">
        <v>200</v>
      </c>
      <c r="C9258" s="223"/>
      <c r="K9258" s="319"/>
      <c r="L9258" s="218"/>
    </row>
    <row r="9259">
      <c r="B9259" s="223" t="s">
        <v>200</v>
      </c>
      <c r="C9259" s="223"/>
      <c r="K9259" s="319"/>
      <c r="L9259" s="218"/>
    </row>
    <row r="9260">
      <c r="B9260" s="223" t="s">
        <v>200</v>
      </c>
      <c r="C9260" s="223"/>
      <c r="K9260" s="319"/>
      <c r="L9260" s="218"/>
    </row>
    <row r="9261">
      <c r="B9261" s="223" t="s">
        <v>200</v>
      </c>
      <c r="C9261" s="223"/>
      <c r="K9261" s="319"/>
      <c r="L9261" s="218"/>
    </row>
    <row r="9262">
      <c r="B9262" s="223" t="s">
        <v>200</v>
      </c>
      <c r="C9262" s="223"/>
      <c r="K9262" s="319"/>
      <c r="L9262" s="218"/>
    </row>
    <row r="9263">
      <c r="B9263" s="223" t="s">
        <v>200</v>
      </c>
      <c r="C9263" s="223"/>
      <c r="K9263" s="319"/>
      <c r="L9263" s="218"/>
    </row>
    <row r="9264">
      <c r="B9264" s="223" t="s">
        <v>200</v>
      </c>
      <c r="C9264" s="223"/>
      <c r="K9264" s="319"/>
      <c r="L9264" s="218"/>
    </row>
    <row r="9265">
      <c r="B9265" s="223" t="s">
        <v>200</v>
      </c>
      <c r="C9265" s="223"/>
      <c r="K9265" s="319"/>
      <c r="L9265" s="218"/>
    </row>
    <row r="9266">
      <c r="B9266" s="223" t="s">
        <v>200</v>
      </c>
      <c r="C9266" s="223"/>
      <c r="K9266" s="319"/>
      <c r="L9266" s="218"/>
    </row>
    <row r="9267">
      <c r="B9267" s="223" t="s">
        <v>200</v>
      </c>
      <c r="C9267" s="223"/>
      <c r="K9267" s="319"/>
      <c r="L9267" s="218"/>
    </row>
    <row r="9268">
      <c r="B9268" s="223" t="s">
        <v>200</v>
      </c>
      <c r="C9268" s="223"/>
      <c r="K9268" s="319"/>
      <c r="L9268" s="218"/>
    </row>
    <row r="9269">
      <c r="B9269" s="223" t="s">
        <v>200</v>
      </c>
      <c r="C9269" s="223"/>
      <c r="K9269" s="319"/>
      <c r="L9269" s="218"/>
    </row>
    <row r="9270">
      <c r="B9270" s="223" t="s">
        <v>200</v>
      </c>
      <c r="C9270" s="223"/>
      <c r="K9270" s="319"/>
      <c r="L9270" s="218"/>
    </row>
    <row r="9271">
      <c r="B9271" s="223" t="s">
        <v>200</v>
      </c>
      <c r="C9271" s="223"/>
      <c r="K9271" s="319"/>
      <c r="L9271" s="218"/>
    </row>
    <row r="9272">
      <c r="B9272" s="223" t="s">
        <v>200</v>
      </c>
      <c r="C9272" s="223"/>
      <c r="K9272" s="319"/>
      <c r="L9272" s="218"/>
    </row>
    <row r="9273">
      <c r="B9273" s="223" t="s">
        <v>200</v>
      </c>
      <c r="C9273" s="223"/>
      <c r="K9273" s="319"/>
      <c r="L9273" s="218"/>
    </row>
    <row r="9274">
      <c r="B9274" s="223" t="s">
        <v>200</v>
      </c>
      <c r="C9274" s="223"/>
      <c r="K9274" s="319"/>
      <c r="L9274" s="218"/>
    </row>
    <row r="9275">
      <c r="B9275" s="223" t="s">
        <v>200</v>
      </c>
      <c r="C9275" s="223"/>
      <c r="K9275" s="319"/>
      <c r="L9275" s="218"/>
    </row>
    <row r="9276">
      <c r="B9276" s="223" t="s">
        <v>200</v>
      </c>
      <c r="C9276" s="223"/>
      <c r="K9276" s="319"/>
      <c r="L9276" s="218"/>
    </row>
    <row r="9277">
      <c r="B9277" s="223" t="s">
        <v>200</v>
      </c>
      <c r="C9277" s="223"/>
      <c r="K9277" s="319"/>
      <c r="L9277" s="218"/>
    </row>
    <row r="9278">
      <c r="B9278" s="223" t="s">
        <v>200</v>
      </c>
      <c r="C9278" s="223"/>
      <c r="K9278" s="319"/>
      <c r="L9278" s="218"/>
    </row>
    <row r="9279">
      <c r="B9279" s="223" t="s">
        <v>200</v>
      </c>
      <c r="C9279" s="223"/>
      <c r="K9279" s="319"/>
      <c r="L9279" s="218"/>
    </row>
    <row r="9280">
      <c r="B9280" s="223" t="s">
        <v>200</v>
      </c>
      <c r="C9280" s="223"/>
      <c r="K9280" s="319"/>
      <c r="L9280" s="218"/>
    </row>
    <row r="9281">
      <c r="B9281" s="223" t="s">
        <v>200</v>
      </c>
      <c r="C9281" s="223"/>
      <c r="K9281" s="319"/>
      <c r="L9281" s="218"/>
    </row>
    <row r="9282">
      <c r="B9282" s="223" t="s">
        <v>200</v>
      </c>
      <c r="C9282" s="223"/>
      <c r="K9282" s="319"/>
      <c r="L9282" s="218"/>
    </row>
    <row r="9283">
      <c r="B9283" s="223" t="s">
        <v>200</v>
      </c>
      <c r="C9283" s="223"/>
      <c r="K9283" s="319"/>
      <c r="L9283" s="218"/>
    </row>
    <row r="9284">
      <c r="B9284" s="223" t="s">
        <v>200</v>
      </c>
      <c r="C9284" s="223"/>
      <c r="K9284" s="319"/>
      <c r="L9284" s="218"/>
    </row>
    <row r="9285">
      <c r="B9285" s="223" t="s">
        <v>200</v>
      </c>
      <c r="C9285" s="223"/>
      <c r="K9285" s="319"/>
      <c r="L9285" s="218"/>
    </row>
    <row r="9286">
      <c r="B9286" s="223" t="s">
        <v>200</v>
      </c>
      <c r="C9286" s="223"/>
      <c r="K9286" s="319"/>
      <c r="L9286" s="218"/>
    </row>
    <row r="9287">
      <c r="B9287" s="223" t="s">
        <v>200</v>
      </c>
      <c r="C9287" s="223"/>
      <c r="K9287" s="319"/>
      <c r="L9287" s="218"/>
    </row>
    <row r="9288">
      <c r="B9288" s="223" t="s">
        <v>200</v>
      </c>
      <c r="C9288" s="223"/>
      <c r="K9288" s="319"/>
      <c r="L9288" s="218"/>
    </row>
    <row r="9289">
      <c r="B9289" s="223" t="s">
        <v>200</v>
      </c>
      <c r="C9289" s="223"/>
      <c r="K9289" s="319"/>
      <c r="L9289" s="218"/>
    </row>
    <row r="9290">
      <c r="B9290" s="223" t="s">
        <v>200</v>
      </c>
      <c r="C9290" s="223"/>
      <c r="K9290" s="319"/>
      <c r="L9290" s="218"/>
    </row>
    <row r="9291">
      <c r="B9291" s="223" t="s">
        <v>200</v>
      </c>
      <c r="C9291" s="223"/>
      <c r="K9291" s="319"/>
      <c r="L9291" s="218"/>
    </row>
    <row r="9292">
      <c r="B9292" s="223" t="s">
        <v>200</v>
      </c>
      <c r="C9292" s="223"/>
      <c r="K9292" s="319"/>
      <c r="L9292" s="218"/>
    </row>
    <row r="9293">
      <c r="B9293" s="223" t="s">
        <v>200</v>
      </c>
      <c r="C9293" s="223"/>
      <c r="K9293" s="319"/>
      <c r="L9293" s="218"/>
    </row>
    <row r="9294">
      <c r="B9294" s="223" t="s">
        <v>200</v>
      </c>
      <c r="C9294" s="223"/>
      <c r="K9294" s="319"/>
      <c r="L9294" s="218"/>
    </row>
    <row r="9295">
      <c r="B9295" s="223" t="s">
        <v>200</v>
      </c>
      <c r="C9295" s="223"/>
      <c r="K9295" s="319"/>
      <c r="L9295" s="218"/>
    </row>
    <row r="9296">
      <c r="B9296" s="223" t="s">
        <v>200</v>
      </c>
      <c r="C9296" s="223"/>
      <c r="K9296" s="319"/>
      <c r="L9296" s="218"/>
    </row>
    <row r="9297">
      <c r="B9297" s="223" t="s">
        <v>200</v>
      </c>
      <c r="C9297" s="223"/>
      <c r="K9297" s="319"/>
      <c r="L9297" s="218"/>
    </row>
    <row r="9298">
      <c r="B9298" s="223" t="s">
        <v>200</v>
      </c>
      <c r="C9298" s="223"/>
      <c r="K9298" s="319"/>
      <c r="L9298" s="218"/>
    </row>
    <row r="9299">
      <c r="B9299" s="223" t="s">
        <v>200</v>
      </c>
      <c r="C9299" s="223"/>
      <c r="K9299" s="319"/>
      <c r="L9299" s="218"/>
    </row>
    <row r="9300">
      <c r="B9300" s="223" t="s">
        <v>200</v>
      </c>
      <c r="C9300" s="223"/>
      <c r="K9300" s="319"/>
      <c r="L9300" s="218"/>
    </row>
    <row r="9301">
      <c r="B9301" s="223" t="s">
        <v>200</v>
      </c>
      <c r="C9301" s="223"/>
      <c r="K9301" s="319"/>
      <c r="L9301" s="218"/>
    </row>
    <row r="9302">
      <c r="B9302" s="223" t="s">
        <v>200</v>
      </c>
      <c r="C9302" s="223"/>
      <c r="K9302" s="319"/>
      <c r="L9302" s="218"/>
    </row>
    <row r="9303">
      <c r="B9303" s="223" t="s">
        <v>200</v>
      </c>
      <c r="C9303" s="223"/>
      <c r="K9303" s="319"/>
      <c r="L9303" s="218"/>
    </row>
    <row r="9304">
      <c r="B9304" s="223" t="s">
        <v>200</v>
      </c>
      <c r="C9304" s="223"/>
      <c r="K9304" s="319"/>
      <c r="L9304" s="218"/>
    </row>
    <row r="9305">
      <c r="B9305" s="223" t="s">
        <v>200</v>
      </c>
      <c r="C9305" s="223"/>
      <c r="K9305" s="319"/>
      <c r="L9305" s="218"/>
    </row>
    <row r="9306">
      <c r="B9306" s="223" t="s">
        <v>200</v>
      </c>
      <c r="C9306" s="223"/>
      <c r="K9306" s="319"/>
      <c r="L9306" s="218"/>
    </row>
    <row r="9307">
      <c r="B9307" s="223" t="s">
        <v>200</v>
      </c>
      <c r="C9307" s="223"/>
      <c r="K9307" s="319"/>
      <c r="L9307" s="218"/>
    </row>
    <row r="9308">
      <c r="B9308" s="223" t="s">
        <v>200</v>
      </c>
      <c r="C9308" s="223"/>
      <c r="K9308" s="319"/>
      <c r="L9308" s="218"/>
    </row>
    <row r="9309">
      <c r="B9309" s="223" t="s">
        <v>200</v>
      </c>
      <c r="C9309" s="223"/>
      <c r="K9309" s="319"/>
      <c r="L9309" s="218"/>
    </row>
    <row r="9310">
      <c r="B9310" s="223" t="s">
        <v>200</v>
      </c>
      <c r="C9310" s="223"/>
      <c r="K9310" s="319"/>
      <c r="L9310" s="218"/>
    </row>
    <row r="9311">
      <c r="B9311" s="223" t="s">
        <v>200</v>
      </c>
      <c r="C9311" s="223"/>
      <c r="K9311" s="319"/>
      <c r="L9311" s="218"/>
    </row>
    <row r="9312">
      <c r="B9312" s="223" t="s">
        <v>200</v>
      </c>
      <c r="C9312" s="223"/>
      <c r="K9312" s="319"/>
      <c r="L9312" s="218"/>
    </row>
    <row r="9313">
      <c r="B9313" s="223" t="s">
        <v>200</v>
      </c>
      <c r="C9313" s="223"/>
      <c r="K9313" s="319"/>
      <c r="L9313" s="218"/>
    </row>
    <row r="9314">
      <c r="B9314" s="223" t="s">
        <v>200</v>
      </c>
      <c r="C9314" s="223"/>
      <c r="K9314" s="319"/>
      <c r="L9314" s="218"/>
    </row>
    <row r="9315">
      <c r="B9315" s="223" t="s">
        <v>200</v>
      </c>
      <c r="C9315" s="223"/>
      <c r="K9315" s="319"/>
      <c r="L9315" s="218"/>
    </row>
    <row r="9316">
      <c r="B9316" s="223" t="s">
        <v>200</v>
      </c>
      <c r="C9316" s="223"/>
      <c r="K9316" s="319"/>
      <c r="L9316" s="218"/>
    </row>
    <row r="9317">
      <c r="B9317" s="223" t="s">
        <v>200</v>
      </c>
      <c r="C9317" s="223"/>
      <c r="K9317" s="319"/>
      <c r="L9317" s="218"/>
    </row>
    <row r="9318">
      <c r="B9318" s="223" t="s">
        <v>200</v>
      </c>
      <c r="C9318" s="223"/>
      <c r="K9318" s="319"/>
      <c r="L9318" s="218"/>
    </row>
    <row r="9319">
      <c r="B9319" s="223" t="s">
        <v>200</v>
      </c>
      <c r="C9319" s="223"/>
      <c r="K9319" s="319"/>
      <c r="L9319" s="218"/>
    </row>
    <row r="9320">
      <c r="B9320" s="223" t="s">
        <v>200</v>
      </c>
      <c r="C9320" s="223"/>
      <c r="K9320" s="319"/>
      <c r="L9320" s="218"/>
    </row>
    <row r="9321">
      <c r="B9321" s="223" t="s">
        <v>200</v>
      </c>
      <c r="C9321" s="223"/>
      <c r="K9321" s="319"/>
      <c r="L9321" s="218"/>
    </row>
    <row r="9322">
      <c r="B9322" s="223" t="s">
        <v>200</v>
      </c>
      <c r="C9322" s="223"/>
      <c r="K9322" s="319"/>
      <c r="L9322" s="218"/>
    </row>
    <row r="9323">
      <c r="B9323" s="223" t="s">
        <v>200</v>
      </c>
      <c r="C9323" s="223"/>
      <c r="K9323" s="319"/>
      <c r="L9323" s="218"/>
    </row>
    <row r="9324">
      <c r="B9324" s="223" t="s">
        <v>200</v>
      </c>
      <c r="C9324" s="223"/>
      <c r="K9324" s="319"/>
      <c r="L9324" s="218"/>
    </row>
    <row r="9325">
      <c r="B9325" s="223" t="s">
        <v>200</v>
      </c>
      <c r="C9325" s="223"/>
      <c r="K9325" s="319"/>
      <c r="L9325" s="218"/>
    </row>
    <row r="9326">
      <c r="B9326" s="223" t="s">
        <v>200</v>
      </c>
      <c r="C9326" s="223"/>
      <c r="K9326" s="319"/>
      <c r="L9326" s="218"/>
    </row>
    <row r="9327">
      <c r="B9327" s="223" t="s">
        <v>200</v>
      </c>
      <c r="C9327" s="223"/>
      <c r="K9327" s="319"/>
      <c r="L9327" s="218"/>
    </row>
    <row r="9328">
      <c r="B9328" s="223" t="s">
        <v>200</v>
      </c>
      <c r="C9328" s="223"/>
      <c r="K9328" s="319"/>
      <c r="L9328" s="218"/>
    </row>
    <row r="9329">
      <c r="B9329" s="223" t="s">
        <v>200</v>
      </c>
      <c r="C9329" s="223"/>
      <c r="K9329" s="319"/>
      <c r="L9329" s="218"/>
    </row>
    <row r="9330">
      <c r="B9330" s="223" t="s">
        <v>200</v>
      </c>
      <c r="C9330" s="223"/>
      <c r="K9330" s="319"/>
      <c r="L9330" s="218"/>
    </row>
    <row r="9331">
      <c r="B9331" s="223" t="s">
        <v>200</v>
      </c>
      <c r="C9331" s="223"/>
      <c r="K9331" s="319"/>
      <c r="L9331" s="218"/>
    </row>
    <row r="9332">
      <c r="B9332" s="223" t="s">
        <v>200</v>
      </c>
      <c r="C9332" s="223"/>
      <c r="K9332" s="319"/>
      <c r="L9332" s="218"/>
    </row>
    <row r="9333">
      <c r="B9333" s="223" t="s">
        <v>200</v>
      </c>
      <c r="C9333" s="223"/>
      <c r="K9333" s="319"/>
      <c r="L9333" s="218"/>
    </row>
    <row r="9334">
      <c r="B9334" s="223" t="s">
        <v>200</v>
      </c>
      <c r="C9334" s="223"/>
      <c r="K9334" s="319"/>
      <c r="L9334" s="218"/>
    </row>
    <row r="9335">
      <c r="B9335" s="223" t="s">
        <v>200</v>
      </c>
      <c r="C9335" s="223"/>
      <c r="K9335" s="319"/>
      <c r="L9335" s="218"/>
    </row>
    <row r="9336">
      <c r="B9336" s="223" t="s">
        <v>200</v>
      </c>
      <c r="C9336" s="223"/>
      <c r="K9336" s="319"/>
      <c r="L9336" s="218"/>
    </row>
    <row r="9337">
      <c r="B9337" s="223" t="s">
        <v>200</v>
      </c>
      <c r="C9337" s="223"/>
      <c r="K9337" s="319"/>
      <c r="L9337" s="218"/>
    </row>
    <row r="9338">
      <c r="B9338" s="223" t="s">
        <v>200</v>
      </c>
      <c r="C9338" s="223"/>
      <c r="K9338" s="319"/>
      <c r="L9338" s="218"/>
    </row>
    <row r="9339">
      <c r="B9339" s="223" t="s">
        <v>200</v>
      </c>
      <c r="C9339" s="223"/>
      <c r="K9339" s="319"/>
      <c r="L9339" s="218"/>
    </row>
    <row r="9340">
      <c r="B9340" s="223" t="s">
        <v>200</v>
      </c>
      <c r="C9340" s="223"/>
      <c r="K9340" s="319"/>
      <c r="L9340" s="218"/>
    </row>
    <row r="9341">
      <c r="B9341" s="223" t="s">
        <v>200</v>
      </c>
      <c r="C9341" s="223"/>
      <c r="K9341" s="319"/>
      <c r="L9341" s="218"/>
    </row>
    <row r="9342">
      <c r="B9342" s="223" t="s">
        <v>200</v>
      </c>
      <c r="C9342" s="223"/>
      <c r="K9342" s="319"/>
      <c r="L9342" s="218"/>
    </row>
    <row r="9343">
      <c r="B9343" s="223" t="s">
        <v>200</v>
      </c>
      <c r="C9343" s="223"/>
      <c r="K9343" s="319"/>
      <c r="L9343" s="218"/>
    </row>
    <row r="9344">
      <c r="B9344" s="223" t="s">
        <v>200</v>
      </c>
      <c r="C9344" s="223"/>
      <c r="K9344" s="319"/>
      <c r="L9344" s="218"/>
    </row>
    <row r="9345">
      <c r="B9345" s="223" t="s">
        <v>200</v>
      </c>
      <c r="C9345" s="223"/>
      <c r="K9345" s="319"/>
      <c r="L9345" s="218"/>
    </row>
    <row r="9346">
      <c r="B9346" s="223" t="s">
        <v>200</v>
      </c>
      <c r="C9346" s="223"/>
      <c r="K9346" s="319"/>
      <c r="L9346" s="218"/>
    </row>
    <row r="9347">
      <c r="B9347" s="223" t="s">
        <v>200</v>
      </c>
      <c r="C9347" s="223"/>
      <c r="K9347" s="319"/>
      <c r="L9347" s="218"/>
    </row>
    <row r="9348">
      <c r="B9348" s="223" t="s">
        <v>200</v>
      </c>
      <c r="C9348" s="223"/>
      <c r="K9348" s="319"/>
      <c r="L9348" s="218"/>
    </row>
    <row r="9349">
      <c r="B9349" s="223" t="s">
        <v>200</v>
      </c>
      <c r="C9349" s="223"/>
      <c r="K9349" s="319"/>
      <c r="L9349" s="218"/>
    </row>
    <row r="9350">
      <c r="B9350" s="223" t="s">
        <v>200</v>
      </c>
      <c r="C9350" s="223"/>
      <c r="K9350" s="319"/>
      <c r="L9350" s="218"/>
    </row>
    <row r="9351">
      <c r="B9351" s="223" t="s">
        <v>200</v>
      </c>
      <c r="C9351" s="223"/>
      <c r="K9351" s="319"/>
      <c r="L9351" s="218"/>
    </row>
    <row r="9352">
      <c r="B9352" s="223" t="s">
        <v>200</v>
      </c>
      <c r="C9352" s="223"/>
      <c r="K9352" s="319"/>
      <c r="L9352" s="218"/>
    </row>
    <row r="9353">
      <c r="B9353" s="223" t="s">
        <v>200</v>
      </c>
      <c r="C9353" s="223"/>
      <c r="K9353" s="319"/>
      <c r="L9353" s="218"/>
    </row>
    <row r="9354">
      <c r="B9354" s="223" t="s">
        <v>200</v>
      </c>
      <c r="C9354" s="223"/>
      <c r="K9354" s="319"/>
      <c r="L9354" s="218"/>
    </row>
    <row r="9355">
      <c r="B9355" s="223" t="s">
        <v>200</v>
      </c>
      <c r="C9355" s="223"/>
      <c r="K9355" s="319"/>
      <c r="L9355" s="218"/>
    </row>
    <row r="9356">
      <c r="B9356" s="223" t="s">
        <v>200</v>
      </c>
      <c r="C9356" s="223"/>
      <c r="K9356" s="319"/>
      <c r="L9356" s="218"/>
    </row>
    <row r="9357">
      <c r="B9357" s="223" t="s">
        <v>200</v>
      </c>
      <c r="C9357" s="223"/>
      <c r="K9357" s="319"/>
      <c r="L9357" s="218"/>
    </row>
    <row r="9358">
      <c r="B9358" s="223" t="s">
        <v>200</v>
      </c>
      <c r="C9358" s="223"/>
      <c r="K9358" s="319"/>
      <c r="L9358" s="218"/>
    </row>
    <row r="9359">
      <c r="B9359" s="223" t="s">
        <v>200</v>
      </c>
      <c r="C9359" s="223"/>
      <c r="K9359" s="319"/>
      <c r="L9359" s="218"/>
    </row>
    <row r="9360">
      <c r="B9360" s="223" t="s">
        <v>200</v>
      </c>
      <c r="C9360" s="223"/>
      <c r="K9360" s="319"/>
      <c r="L9360" s="218"/>
    </row>
    <row r="9361">
      <c r="B9361" s="223" t="s">
        <v>200</v>
      </c>
      <c r="C9361" s="223"/>
      <c r="K9361" s="319"/>
      <c r="L9361" s="218"/>
    </row>
    <row r="9362">
      <c r="B9362" s="223" t="s">
        <v>200</v>
      </c>
      <c r="C9362" s="223"/>
      <c r="K9362" s="319"/>
      <c r="L9362" s="218"/>
    </row>
    <row r="9363">
      <c r="B9363" s="223" t="s">
        <v>200</v>
      </c>
      <c r="C9363" s="223"/>
      <c r="K9363" s="319"/>
      <c r="L9363" s="218"/>
    </row>
    <row r="9364">
      <c r="B9364" s="223" t="s">
        <v>200</v>
      </c>
      <c r="C9364" s="223"/>
      <c r="K9364" s="319"/>
      <c r="L9364" s="218"/>
    </row>
    <row r="9365">
      <c r="B9365" s="223" t="s">
        <v>200</v>
      </c>
      <c r="C9365" s="223"/>
      <c r="K9365" s="319"/>
      <c r="L9365" s="218"/>
    </row>
    <row r="9366">
      <c r="B9366" s="223" t="s">
        <v>200</v>
      </c>
      <c r="C9366" s="223"/>
      <c r="K9366" s="319"/>
      <c r="L9366" s="218"/>
    </row>
    <row r="9367">
      <c r="B9367" s="223" t="s">
        <v>200</v>
      </c>
      <c r="C9367" s="223"/>
      <c r="K9367" s="319"/>
      <c r="L9367" s="218"/>
    </row>
    <row r="9368">
      <c r="B9368" s="223" t="s">
        <v>200</v>
      </c>
      <c r="C9368" s="223"/>
      <c r="K9368" s="319"/>
      <c r="L9368" s="218"/>
    </row>
    <row r="9369">
      <c r="B9369" s="223" t="s">
        <v>200</v>
      </c>
      <c r="C9369" s="223"/>
      <c r="K9369" s="319"/>
      <c r="L9369" s="218"/>
    </row>
    <row r="9370">
      <c r="B9370" s="223" t="s">
        <v>200</v>
      </c>
      <c r="C9370" s="223"/>
      <c r="K9370" s="319"/>
      <c r="L9370" s="218"/>
    </row>
    <row r="9371">
      <c r="B9371" s="223" t="s">
        <v>200</v>
      </c>
      <c r="C9371" s="223"/>
      <c r="K9371" s="319"/>
      <c r="L9371" s="218"/>
    </row>
    <row r="9372">
      <c r="B9372" s="223" t="s">
        <v>200</v>
      </c>
      <c r="C9372" s="223"/>
      <c r="K9372" s="319"/>
      <c r="L9372" s="218"/>
    </row>
    <row r="9373">
      <c r="B9373" s="223" t="s">
        <v>200</v>
      </c>
      <c r="C9373" s="223"/>
      <c r="K9373" s="319"/>
      <c r="L9373" s="218"/>
    </row>
    <row r="9374">
      <c r="B9374" s="223" t="s">
        <v>200</v>
      </c>
      <c r="C9374" s="223"/>
      <c r="K9374" s="319"/>
      <c r="L9374" s="218"/>
    </row>
    <row r="9375">
      <c r="B9375" s="223" t="s">
        <v>200</v>
      </c>
      <c r="C9375" s="223"/>
      <c r="K9375" s="319"/>
      <c r="L9375" s="218"/>
    </row>
    <row r="9376">
      <c r="B9376" s="223" t="s">
        <v>200</v>
      </c>
      <c r="C9376" s="223"/>
      <c r="K9376" s="319"/>
      <c r="L9376" s="218"/>
    </row>
    <row r="9377">
      <c r="B9377" s="223" t="s">
        <v>200</v>
      </c>
      <c r="C9377" s="223"/>
      <c r="K9377" s="319"/>
      <c r="L9377" s="218"/>
    </row>
    <row r="9378">
      <c r="B9378" s="223" t="s">
        <v>200</v>
      </c>
      <c r="C9378" s="223"/>
      <c r="K9378" s="319"/>
      <c r="L9378" s="218"/>
    </row>
    <row r="9379">
      <c r="B9379" s="223" t="s">
        <v>200</v>
      </c>
      <c r="C9379" s="223"/>
      <c r="K9379" s="319"/>
      <c r="L9379" s="218"/>
    </row>
    <row r="9380">
      <c r="B9380" s="223" t="s">
        <v>200</v>
      </c>
      <c r="C9380" s="223"/>
      <c r="K9380" s="319"/>
      <c r="L9380" s="218"/>
    </row>
    <row r="9381">
      <c r="B9381" s="223" t="s">
        <v>200</v>
      </c>
      <c r="C9381" s="223"/>
      <c r="K9381" s="319"/>
      <c r="L9381" s="218"/>
    </row>
    <row r="9382">
      <c r="B9382" s="223" t="s">
        <v>200</v>
      </c>
      <c r="C9382" s="223"/>
      <c r="K9382" s="319"/>
      <c r="L9382" s="218"/>
    </row>
    <row r="9383">
      <c r="B9383" s="223" t="s">
        <v>200</v>
      </c>
      <c r="C9383" s="223"/>
      <c r="K9383" s="319"/>
      <c r="L9383" s="218"/>
    </row>
    <row r="9384">
      <c r="B9384" s="223" t="s">
        <v>200</v>
      </c>
      <c r="C9384" s="223"/>
      <c r="K9384" s="319"/>
      <c r="L9384" s="218"/>
    </row>
    <row r="9385">
      <c r="B9385" s="223" t="s">
        <v>200</v>
      </c>
      <c r="C9385" s="223"/>
      <c r="K9385" s="319"/>
      <c r="L9385" s="218"/>
    </row>
    <row r="9386">
      <c r="B9386" s="223" t="s">
        <v>200</v>
      </c>
      <c r="C9386" s="223"/>
      <c r="K9386" s="319"/>
      <c r="L9386" s="218"/>
    </row>
    <row r="9387">
      <c r="B9387" s="223" t="s">
        <v>200</v>
      </c>
      <c r="C9387" s="223"/>
      <c r="K9387" s="319"/>
      <c r="L9387" s="218"/>
    </row>
    <row r="9388">
      <c r="B9388" s="223" t="s">
        <v>200</v>
      </c>
      <c r="C9388" s="223"/>
      <c r="K9388" s="319"/>
      <c r="L9388" s="218"/>
    </row>
    <row r="9389">
      <c r="B9389" s="223" t="s">
        <v>200</v>
      </c>
      <c r="C9389" s="223"/>
      <c r="K9389" s="319"/>
      <c r="L9389" s="218"/>
    </row>
    <row r="9390">
      <c r="B9390" s="223" t="s">
        <v>200</v>
      </c>
      <c r="C9390" s="223"/>
      <c r="K9390" s="319"/>
      <c r="L9390" s="218"/>
    </row>
    <row r="9391">
      <c r="B9391" s="223" t="s">
        <v>200</v>
      </c>
      <c r="C9391" s="223"/>
      <c r="K9391" s="319"/>
      <c r="L9391" s="218"/>
    </row>
    <row r="9392">
      <c r="B9392" s="223" t="s">
        <v>200</v>
      </c>
      <c r="C9392" s="223"/>
      <c r="K9392" s="319"/>
      <c r="L9392" s="218"/>
    </row>
    <row r="9393">
      <c r="B9393" s="223" t="s">
        <v>200</v>
      </c>
      <c r="C9393" s="223"/>
      <c r="K9393" s="319"/>
      <c r="L9393" s="218"/>
    </row>
    <row r="9394">
      <c r="B9394" s="223" t="s">
        <v>200</v>
      </c>
      <c r="C9394" s="223"/>
      <c r="K9394" s="319"/>
      <c r="L9394" s="218"/>
    </row>
    <row r="9395">
      <c r="B9395" s="223" t="s">
        <v>200</v>
      </c>
      <c r="C9395" s="223"/>
      <c r="K9395" s="319"/>
      <c r="L9395" s="218"/>
    </row>
    <row r="9396">
      <c r="B9396" s="223" t="s">
        <v>200</v>
      </c>
      <c r="C9396" s="223"/>
      <c r="K9396" s="319"/>
      <c r="L9396" s="218"/>
    </row>
    <row r="9397">
      <c r="B9397" s="223" t="s">
        <v>200</v>
      </c>
      <c r="C9397" s="223"/>
      <c r="K9397" s="319"/>
      <c r="L9397" s="218"/>
    </row>
    <row r="9398">
      <c r="B9398" s="223" t="s">
        <v>200</v>
      </c>
      <c r="C9398" s="223"/>
      <c r="K9398" s="319"/>
      <c r="L9398" s="218"/>
    </row>
    <row r="9399">
      <c r="B9399" s="223" t="s">
        <v>200</v>
      </c>
      <c r="C9399" s="223"/>
      <c r="K9399" s="319"/>
      <c r="L9399" s="218"/>
    </row>
    <row r="9400">
      <c r="B9400" s="223" t="s">
        <v>200</v>
      </c>
      <c r="C9400" s="223"/>
      <c r="K9400" s="319"/>
      <c r="L9400" s="218"/>
    </row>
    <row r="9401">
      <c r="B9401" s="223" t="s">
        <v>200</v>
      </c>
      <c r="C9401" s="223"/>
      <c r="K9401" s="319"/>
      <c r="L9401" s="218"/>
    </row>
    <row r="9402">
      <c r="B9402" s="223" t="s">
        <v>200</v>
      </c>
      <c r="C9402" s="223"/>
      <c r="K9402" s="319"/>
      <c r="L9402" s="218"/>
    </row>
    <row r="9403">
      <c r="B9403" s="223" t="s">
        <v>200</v>
      </c>
      <c r="C9403" s="223"/>
      <c r="K9403" s="319"/>
      <c r="L9403" s="218"/>
    </row>
    <row r="9404">
      <c r="B9404" s="223" t="s">
        <v>200</v>
      </c>
      <c r="C9404" s="223"/>
      <c r="K9404" s="319"/>
      <c r="L9404" s="218"/>
    </row>
    <row r="9405">
      <c r="B9405" s="223" t="s">
        <v>200</v>
      </c>
      <c r="C9405" s="223"/>
      <c r="K9405" s="319"/>
      <c r="L9405" s="218"/>
    </row>
    <row r="9406">
      <c r="B9406" s="223" t="s">
        <v>200</v>
      </c>
      <c r="C9406" s="223"/>
      <c r="K9406" s="319"/>
      <c r="L9406" s="218"/>
    </row>
    <row r="9407">
      <c r="B9407" s="223" t="s">
        <v>200</v>
      </c>
      <c r="C9407" s="223"/>
      <c r="K9407" s="319"/>
      <c r="L9407" s="218"/>
    </row>
    <row r="9408">
      <c r="B9408" s="223" t="s">
        <v>200</v>
      </c>
      <c r="C9408" s="223"/>
      <c r="K9408" s="319"/>
      <c r="L9408" s="218"/>
    </row>
    <row r="9409">
      <c r="B9409" s="223" t="s">
        <v>200</v>
      </c>
      <c r="C9409" s="223"/>
      <c r="K9409" s="319"/>
      <c r="L9409" s="218"/>
    </row>
    <row r="9410">
      <c r="B9410" s="223" t="s">
        <v>200</v>
      </c>
      <c r="C9410" s="223"/>
      <c r="K9410" s="319"/>
      <c r="L9410" s="218"/>
    </row>
    <row r="9411">
      <c r="B9411" s="223" t="s">
        <v>200</v>
      </c>
      <c r="C9411" s="223"/>
      <c r="K9411" s="319"/>
      <c r="L9411" s="218"/>
    </row>
    <row r="9412">
      <c r="B9412" s="223" t="s">
        <v>200</v>
      </c>
      <c r="C9412" s="223"/>
      <c r="K9412" s="319"/>
      <c r="L9412" s="218"/>
    </row>
    <row r="9413">
      <c r="B9413" s="223" t="s">
        <v>200</v>
      </c>
      <c r="C9413" s="223"/>
      <c r="K9413" s="319"/>
      <c r="L9413" s="218"/>
    </row>
    <row r="9414">
      <c r="B9414" s="223" t="s">
        <v>200</v>
      </c>
      <c r="C9414" s="223"/>
      <c r="K9414" s="319"/>
      <c r="L9414" s="218"/>
    </row>
    <row r="9415">
      <c r="B9415" s="223" t="s">
        <v>200</v>
      </c>
      <c r="C9415" s="223"/>
      <c r="K9415" s="319"/>
      <c r="L9415" s="218"/>
    </row>
    <row r="9416">
      <c r="B9416" s="223" t="s">
        <v>200</v>
      </c>
      <c r="C9416" s="223"/>
      <c r="K9416" s="319"/>
      <c r="L9416" s="218"/>
    </row>
    <row r="9417">
      <c r="B9417" s="223" t="s">
        <v>200</v>
      </c>
      <c r="C9417" s="223"/>
      <c r="K9417" s="319"/>
      <c r="L9417" s="218"/>
    </row>
    <row r="9418">
      <c r="B9418" s="223" t="s">
        <v>200</v>
      </c>
      <c r="C9418" s="223"/>
      <c r="K9418" s="319"/>
      <c r="L9418" s="218"/>
    </row>
    <row r="9419">
      <c r="B9419" s="223" t="s">
        <v>200</v>
      </c>
      <c r="C9419" s="223"/>
      <c r="K9419" s="319"/>
      <c r="L9419" s="218"/>
    </row>
    <row r="9420">
      <c r="B9420" s="223" t="s">
        <v>200</v>
      </c>
      <c r="C9420" s="223"/>
      <c r="K9420" s="319"/>
      <c r="L9420" s="218"/>
    </row>
    <row r="9421">
      <c r="B9421" s="223" t="s">
        <v>200</v>
      </c>
      <c r="C9421" s="223"/>
      <c r="K9421" s="319"/>
      <c r="L9421" s="218"/>
    </row>
    <row r="9422">
      <c r="B9422" s="223" t="s">
        <v>200</v>
      </c>
      <c r="C9422" s="223"/>
      <c r="K9422" s="319"/>
      <c r="L9422" s="218"/>
    </row>
    <row r="9423">
      <c r="B9423" s="223" t="s">
        <v>200</v>
      </c>
      <c r="C9423" s="223"/>
      <c r="K9423" s="319"/>
      <c r="L9423" s="218"/>
    </row>
    <row r="9424">
      <c r="B9424" s="223" t="s">
        <v>200</v>
      </c>
      <c r="C9424" s="223"/>
      <c r="K9424" s="319"/>
      <c r="L9424" s="218"/>
    </row>
    <row r="9425">
      <c r="B9425" s="223" t="s">
        <v>200</v>
      </c>
      <c r="C9425" s="223"/>
      <c r="K9425" s="319"/>
      <c r="L9425" s="218"/>
    </row>
    <row r="9426">
      <c r="B9426" s="223" t="s">
        <v>200</v>
      </c>
      <c r="C9426" s="223"/>
      <c r="K9426" s="319"/>
      <c r="L9426" s="218"/>
    </row>
    <row r="9427">
      <c r="B9427" s="223" t="s">
        <v>200</v>
      </c>
      <c r="C9427" s="223"/>
      <c r="K9427" s="319"/>
      <c r="L9427" s="218"/>
    </row>
    <row r="9428">
      <c r="B9428" s="223" t="s">
        <v>200</v>
      </c>
      <c r="C9428" s="223"/>
      <c r="K9428" s="319"/>
      <c r="L9428" s="218"/>
    </row>
    <row r="9429">
      <c r="B9429" s="223" t="s">
        <v>200</v>
      </c>
      <c r="C9429" s="223"/>
      <c r="K9429" s="319"/>
      <c r="L9429" s="218"/>
    </row>
    <row r="9430">
      <c r="B9430" s="223" t="s">
        <v>200</v>
      </c>
      <c r="C9430" s="223"/>
      <c r="K9430" s="319"/>
      <c r="L9430" s="218"/>
    </row>
    <row r="9431">
      <c r="B9431" s="223" t="s">
        <v>200</v>
      </c>
      <c r="C9431" s="223"/>
      <c r="K9431" s="319"/>
      <c r="L9431" s="218"/>
    </row>
    <row r="9432">
      <c r="B9432" s="223" t="s">
        <v>200</v>
      </c>
      <c r="C9432" s="223"/>
      <c r="K9432" s="319"/>
      <c r="L9432" s="218"/>
    </row>
    <row r="9433">
      <c r="B9433" s="223" t="s">
        <v>200</v>
      </c>
      <c r="C9433" s="223"/>
      <c r="K9433" s="319"/>
      <c r="L9433" s="218"/>
    </row>
    <row r="9434">
      <c r="B9434" s="223" t="s">
        <v>200</v>
      </c>
      <c r="C9434" s="223"/>
      <c r="K9434" s="319"/>
      <c r="L9434" s="218"/>
    </row>
    <row r="9435">
      <c r="B9435" s="223" t="s">
        <v>200</v>
      </c>
      <c r="C9435" s="223"/>
      <c r="K9435" s="319"/>
      <c r="L9435" s="218"/>
    </row>
    <row r="9436">
      <c r="B9436" s="223" t="s">
        <v>200</v>
      </c>
      <c r="C9436" s="223"/>
      <c r="K9436" s="319"/>
      <c r="L9436" s="218"/>
    </row>
    <row r="9437">
      <c r="B9437" s="223" t="s">
        <v>200</v>
      </c>
      <c r="C9437" s="223"/>
      <c r="K9437" s="319"/>
      <c r="L9437" s="218"/>
    </row>
    <row r="9438">
      <c r="B9438" s="223" t="s">
        <v>200</v>
      </c>
      <c r="C9438" s="223"/>
      <c r="K9438" s="319"/>
      <c r="L9438" s="218"/>
    </row>
    <row r="9439">
      <c r="B9439" s="223" t="s">
        <v>200</v>
      </c>
      <c r="C9439" s="223"/>
      <c r="K9439" s="319"/>
      <c r="L9439" s="218"/>
    </row>
    <row r="9440">
      <c r="B9440" s="223" t="s">
        <v>200</v>
      </c>
      <c r="C9440" s="223"/>
      <c r="K9440" s="319"/>
      <c r="L9440" s="218"/>
    </row>
    <row r="9441">
      <c r="B9441" s="223" t="s">
        <v>200</v>
      </c>
      <c r="C9441" s="223"/>
      <c r="K9441" s="319"/>
      <c r="L9441" s="218"/>
    </row>
    <row r="9442">
      <c r="B9442" s="223" t="s">
        <v>200</v>
      </c>
      <c r="C9442" s="223"/>
      <c r="K9442" s="319"/>
      <c r="L9442" s="218"/>
    </row>
    <row r="9443">
      <c r="B9443" s="223" t="s">
        <v>200</v>
      </c>
      <c r="C9443" s="223"/>
      <c r="K9443" s="319"/>
      <c r="L9443" s="218"/>
    </row>
    <row r="9444">
      <c r="B9444" s="223" t="s">
        <v>200</v>
      </c>
      <c r="C9444" s="223"/>
      <c r="K9444" s="319"/>
      <c r="L9444" s="218"/>
    </row>
    <row r="9445">
      <c r="B9445" s="223" t="s">
        <v>200</v>
      </c>
      <c r="C9445" s="223"/>
      <c r="K9445" s="319"/>
      <c r="L9445" s="218"/>
    </row>
    <row r="9446">
      <c r="B9446" s="223" t="s">
        <v>200</v>
      </c>
      <c r="C9446" s="223"/>
      <c r="K9446" s="319"/>
      <c r="L9446" s="218"/>
    </row>
    <row r="9447">
      <c r="B9447" s="223" t="s">
        <v>200</v>
      </c>
      <c r="C9447" s="223"/>
      <c r="K9447" s="319"/>
      <c r="L9447" s="218"/>
    </row>
    <row r="9448">
      <c r="B9448" s="223" t="s">
        <v>200</v>
      </c>
      <c r="C9448" s="223"/>
      <c r="K9448" s="319"/>
      <c r="L9448" s="218"/>
    </row>
    <row r="9449">
      <c r="B9449" s="223" t="s">
        <v>200</v>
      </c>
      <c r="C9449" s="223"/>
      <c r="K9449" s="319"/>
      <c r="L9449" s="218"/>
    </row>
    <row r="9450">
      <c r="B9450" s="223" t="s">
        <v>200</v>
      </c>
      <c r="C9450" s="223"/>
      <c r="K9450" s="319"/>
      <c r="L9450" s="218"/>
    </row>
    <row r="9451">
      <c r="B9451" s="223" t="s">
        <v>200</v>
      </c>
      <c r="C9451" s="223"/>
      <c r="K9451" s="319"/>
      <c r="L9451" s="218"/>
    </row>
    <row r="9452">
      <c r="B9452" s="223" t="s">
        <v>200</v>
      </c>
      <c r="C9452" s="223"/>
      <c r="K9452" s="319"/>
      <c r="L9452" s="218"/>
    </row>
    <row r="9453">
      <c r="B9453" s="223" t="s">
        <v>200</v>
      </c>
      <c r="C9453" s="223"/>
      <c r="K9453" s="319"/>
      <c r="L9453" s="218"/>
    </row>
    <row r="9454">
      <c r="B9454" s="223" t="s">
        <v>200</v>
      </c>
      <c r="C9454" s="223"/>
      <c r="K9454" s="319"/>
      <c r="L9454" s="218"/>
    </row>
    <row r="9455">
      <c r="B9455" s="223" t="s">
        <v>200</v>
      </c>
      <c r="C9455" s="223"/>
      <c r="K9455" s="319"/>
      <c r="L9455" s="218"/>
    </row>
    <row r="9456">
      <c r="B9456" s="223" t="s">
        <v>200</v>
      </c>
      <c r="C9456" s="223"/>
      <c r="K9456" s="319"/>
      <c r="L9456" s="218"/>
    </row>
    <row r="9457">
      <c r="B9457" s="223" t="s">
        <v>200</v>
      </c>
      <c r="C9457" s="223"/>
      <c r="K9457" s="319"/>
      <c r="L9457" s="218"/>
    </row>
    <row r="9458">
      <c r="B9458" s="223" t="s">
        <v>200</v>
      </c>
      <c r="C9458" s="223"/>
      <c r="K9458" s="319"/>
      <c r="L9458" s="218"/>
    </row>
    <row r="9459">
      <c r="B9459" s="223" t="s">
        <v>200</v>
      </c>
      <c r="C9459" s="223"/>
      <c r="K9459" s="319"/>
      <c r="L9459" s="218"/>
    </row>
    <row r="9460">
      <c r="B9460" s="223" t="s">
        <v>200</v>
      </c>
      <c r="C9460" s="223"/>
      <c r="K9460" s="319"/>
      <c r="L9460" s="218"/>
    </row>
    <row r="9461">
      <c r="B9461" s="223" t="s">
        <v>200</v>
      </c>
      <c r="C9461" s="223"/>
      <c r="K9461" s="319"/>
      <c r="L9461" s="218"/>
    </row>
    <row r="9462">
      <c r="B9462" s="223" t="s">
        <v>200</v>
      </c>
      <c r="C9462" s="223"/>
      <c r="K9462" s="319"/>
      <c r="L9462" s="218"/>
    </row>
    <row r="9463">
      <c r="B9463" s="223" t="s">
        <v>200</v>
      </c>
      <c r="C9463" s="223"/>
      <c r="K9463" s="319"/>
      <c r="L9463" s="218"/>
    </row>
    <row r="9464">
      <c r="B9464" s="223" t="s">
        <v>200</v>
      </c>
      <c r="C9464" s="223"/>
      <c r="K9464" s="319"/>
      <c r="L9464" s="218"/>
    </row>
    <row r="9465">
      <c r="B9465" s="223" t="s">
        <v>200</v>
      </c>
      <c r="C9465" s="223"/>
      <c r="K9465" s="319"/>
      <c r="L9465" s="218"/>
    </row>
    <row r="9466">
      <c r="B9466" s="223" t="s">
        <v>200</v>
      </c>
      <c r="C9466" s="223"/>
      <c r="K9466" s="319"/>
      <c r="L9466" s="218"/>
    </row>
    <row r="9467">
      <c r="B9467" s="223" t="s">
        <v>200</v>
      </c>
      <c r="C9467" s="223"/>
      <c r="K9467" s="319"/>
      <c r="L9467" s="218"/>
    </row>
    <row r="9468">
      <c r="B9468" s="223" t="s">
        <v>200</v>
      </c>
      <c r="C9468" s="223"/>
      <c r="K9468" s="319"/>
      <c r="L9468" s="218"/>
    </row>
    <row r="9469">
      <c r="B9469" s="223" t="s">
        <v>200</v>
      </c>
      <c r="C9469" s="223"/>
      <c r="K9469" s="319"/>
      <c r="L9469" s="218"/>
    </row>
    <row r="9470">
      <c r="B9470" s="223" t="s">
        <v>200</v>
      </c>
      <c r="C9470" s="223"/>
      <c r="K9470" s="319"/>
      <c r="L9470" s="218"/>
    </row>
    <row r="9471">
      <c r="B9471" s="223" t="s">
        <v>200</v>
      </c>
      <c r="C9471" s="223"/>
      <c r="K9471" s="319"/>
      <c r="L9471" s="218"/>
    </row>
    <row r="9472">
      <c r="B9472" s="223" t="s">
        <v>200</v>
      </c>
      <c r="C9472" s="223"/>
      <c r="K9472" s="319"/>
      <c r="L9472" s="218"/>
    </row>
    <row r="9473">
      <c r="B9473" s="223" t="s">
        <v>200</v>
      </c>
      <c r="C9473" s="223"/>
      <c r="K9473" s="319"/>
      <c r="L9473" s="218"/>
    </row>
    <row r="9474">
      <c r="B9474" s="223" t="s">
        <v>200</v>
      </c>
      <c r="C9474" s="223"/>
      <c r="K9474" s="319"/>
      <c r="L9474" s="218"/>
    </row>
    <row r="9475">
      <c r="B9475" s="223" t="s">
        <v>200</v>
      </c>
      <c r="C9475" s="223"/>
      <c r="K9475" s="319"/>
      <c r="L9475" s="218"/>
    </row>
    <row r="9476">
      <c r="B9476" s="223" t="s">
        <v>200</v>
      </c>
      <c r="C9476" s="223"/>
      <c r="K9476" s="319"/>
      <c r="L9476" s="218"/>
    </row>
    <row r="9477">
      <c r="B9477" s="223" t="s">
        <v>200</v>
      </c>
      <c r="C9477" s="223"/>
      <c r="K9477" s="319"/>
      <c r="L9477" s="218"/>
    </row>
    <row r="9478">
      <c r="B9478" s="223" t="s">
        <v>200</v>
      </c>
      <c r="C9478" s="223"/>
      <c r="K9478" s="319"/>
      <c r="L9478" s="218"/>
    </row>
    <row r="9479">
      <c r="B9479" s="223" t="s">
        <v>200</v>
      </c>
      <c r="C9479" s="223"/>
      <c r="K9479" s="319"/>
      <c r="L9479" s="218"/>
    </row>
    <row r="9480">
      <c r="B9480" s="223" t="s">
        <v>200</v>
      </c>
      <c r="C9480" s="223"/>
      <c r="K9480" s="319"/>
      <c r="L9480" s="218"/>
    </row>
    <row r="9481">
      <c r="B9481" s="223" t="s">
        <v>200</v>
      </c>
      <c r="C9481" s="223"/>
      <c r="K9481" s="319"/>
      <c r="L9481" s="218"/>
    </row>
    <row r="9482">
      <c r="B9482" s="223" t="s">
        <v>200</v>
      </c>
      <c r="C9482" s="223"/>
      <c r="K9482" s="319"/>
      <c r="L9482" s="218"/>
    </row>
    <row r="9483">
      <c r="B9483" s="223" t="s">
        <v>200</v>
      </c>
      <c r="C9483" s="223"/>
      <c r="K9483" s="319"/>
      <c r="L9483" s="218"/>
    </row>
    <row r="9484">
      <c r="B9484" s="223" t="s">
        <v>200</v>
      </c>
      <c r="C9484" s="223"/>
      <c r="K9484" s="319"/>
      <c r="L9484" s="218"/>
    </row>
    <row r="9485">
      <c r="B9485" s="223" t="s">
        <v>200</v>
      </c>
      <c r="C9485" s="223"/>
      <c r="K9485" s="319"/>
      <c r="L9485" s="218"/>
    </row>
    <row r="9486">
      <c r="B9486" s="223" t="s">
        <v>200</v>
      </c>
      <c r="C9486" s="223"/>
      <c r="K9486" s="319"/>
      <c r="L9486" s="218"/>
    </row>
    <row r="9487">
      <c r="B9487" s="223" t="s">
        <v>200</v>
      </c>
      <c r="C9487" s="223"/>
      <c r="K9487" s="319"/>
      <c r="L9487" s="218"/>
    </row>
    <row r="9488">
      <c r="B9488" s="223" t="s">
        <v>200</v>
      </c>
      <c r="C9488" s="223"/>
      <c r="K9488" s="319"/>
      <c r="L9488" s="218"/>
    </row>
    <row r="9489">
      <c r="B9489" s="223" t="s">
        <v>200</v>
      </c>
      <c r="C9489" s="223"/>
      <c r="K9489" s="319"/>
      <c r="L9489" s="218"/>
    </row>
    <row r="9490">
      <c r="B9490" s="223" t="s">
        <v>200</v>
      </c>
      <c r="C9490" s="223"/>
      <c r="K9490" s="319"/>
      <c r="L9490" s="218"/>
    </row>
    <row r="9491">
      <c r="B9491" s="223" t="s">
        <v>200</v>
      </c>
      <c r="C9491" s="223"/>
      <c r="K9491" s="319"/>
      <c r="L9491" s="218"/>
    </row>
    <row r="9492">
      <c r="B9492" s="223" t="s">
        <v>200</v>
      </c>
      <c r="C9492" s="223"/>
      <c r="K9492" s="319"/>
      <c r="L9492" s="218"/>
    </row>
    <row r="9493">
      <c r="B9493" s="223" t="s">
        <v>200</v>
      </c>
      <c r="C9493" s="223"/>
      <c r="K9493" s="319"/>
      <c r="L9493" s="218"/>
    </row>
    <row r="9494">
      <c r="B9494" s="223" t="s">
        <v>200</v>
      </c>
      <c r="C9494" s="223"/>
      <c r="K9494" s="319"/>
      <c r="L9494" s="218"/>
    </row>
    <row r="9495">
      <c r="B9495" s="223" t="s">
        <v>200</v>
      </c>
      <c r="C9495" s="223"/>
      <c r="K9495" s="319"/>
      <c r="L9495" s="218"/>
    </row>
    <row r="9496">
      <c r="B9496" s="223" t="s">
        <v>200</v>
      </c>
      <c r="C9496" s="223"/>
      <c r="K9496" s="319"/>
      <c r="L9496" s="218"/>
    </row>
    <row r="9497">
      <c r="B9497" s="223" t="s">
        <v>200</v>
      </c>
      <c r="C9497" s="223"/>
      <c r="K9497" s="319"/>
      <c r="L9497" s="218"/>
    </row>
    <row r="9498">
      <c r="B9498" s="223" t="s">
        <v>200</v>
      </c>
      <c r="C9498" s="223"/>
      <c r="K9498" s="319"/>
      <c r="L9498" s="218"/>
    </row>
    <row r="9499">
      <c r="B9499" s="223" t="s">
        <v>200</v>
      </c>
      <c r="C9499" s="223"/>
      <c r="K9499" s="319"/>
      <c r="L9499" s="218"/>
    </row>
    <row r="9500">
      <c r="B9500" s="223" t="s">
        <v>200</v>
      </c>
      <c r="C9500" s="223"/>
      <c r="K9500" s="319"/>
      <c r="L9500" s="218"/>
    </row>
    <row r="9501">
      <c r="B9501" s="223" t="s">
        <v>200</v>
      </c>
      <c r="C9501" s="223"/>
      <c r="K9501" s="319"/>
      <c r="L9501" s="218"/>
    </row>
    <row r="9502">
      <c r="B9502" s="223" t="s">
        <v>200</v>
      </c>
      <c r="C9502" s="223"/>
      <c r="K9502" s="319"/>
      <c r="L9502" s="218"/>
    </row>
    <row r="9503">
      <c r="B9503" s="223" t="s">
        <v>200</v>
      </c>
      <c r="C9503" s="223"/>
      <c r="K9503" s="319"/>
      <c r="L9503" s="218"/>
    </row>
    <row r="9504">
      <c r="B9504" s="223" t="s">
        <v>200</v>
      </c>
      <c r="C9504" s="223"/>
      <c r="K9504" s="319"/>
      <c r="L9504" s="218"/>
    </row>
    <row r="9505">
      <c r="B9505" s="223" t="s">
        <v>200</v>
      </c>
      <c r="C9505" s="223"/>
      <c r="K9505" s="319"/>
      <c r="L9505" s="218"/>
    </row>
    <row r="9506">
      <c r="B9506" s="223" t="s">
        <v>200</v>
      </c>
      <c r="C9506" s="223"/>
      <c r="K9506" s="319"/>
      <c r="L9506" s="218"/>
    </row>
    <row r="9507">
      <c r="B9507" s="223" t="s">
        <v>200</v>
      </c>
      <c r="C9507" s="223"/>
      <c r="K9507" s="319"/>
      <c r="L9507" s="218"/>
    </row>
    <row r="9508">
      <c r="B9508" s="223" t="s">
        <v>200</v>
      </c>
      <c r="C9508" s="223"/>
      <c r="K9508" s="319"/>
      <c r="L9508" s="218"/>
    </row>
    <row r="9509">
      <c r="B9509" s="223" t="s">
        <v>200</v>
      </c>
      <c r="C9509" s="223"/>
      <c r="K9509" s="319"/>
      <c r="L9509" s="218"/>
    </row>
    <row r="9510">
      <c r="B9510" s="223" t="s">
        <v>200</v>
      </c>
      <c r="C9510" s="223"/>
      <c r="K9510" s="319"/>
      <c r="L9510" s="218"/>
    </row>
    <row r="9511">
      <c r="B9511" s="223" t="s">
        <v>200</v>
      </c>
      <c r="C9511" s="223"/>
      <c r="K9511" s="319"/>
      <c r="L9511" s="218"/>
    </row>
    <row r="9512">
      <c r="B9512" s="223" t="s">
        <v>200</v>
      </c>
      <c r="C9512" s="223"/>
      <c r="K9512" s="319"/>
      <c r="L9512" s="218"/>
    </row>
    <row r="9513">
      <c r="B9513" s="223" t="s">
        <v>200</v>
      </c>
      <c r="C9513" s="223"/>
      <c r="K9513" s="319"/>
      <c r="L9513" s="218"/>
    </row>
    <row r="9514">
      <c r="B9514" s="223" t="s">
        <v>200</v>
      </c>
      <c r="C9514" s="223"/>
      <c r="K9514" s="319"/>
      <c r="L9514" s="218"/>
    </row>
    <row r="9515">
      <c r="B9515" s="223" t="s">
        <v>200</v>
      </c>
      <c r="C9515" s="223"/>
      <c r="K9515" s="319"/>
      <c r="L9515" s="218"/>
    </row>
    <row r="9516">
      <c r="B9516" s="223" t="s">
        <v>200</v>
      </c>
      <c r="C9516" s="223"/>
      <c r="K9516" s="319"/>
      <c r="L9516" s="218"/>
    </row>
    <row r="9517">
      <c r="B9517" s="223" t="s">
        <v>200</v>
      </c>
      <c r="C9517" s="223"/>
      <c r="K9517" s="319"/>
      <c r="L9517" s="218"/>
    </row>
    <row r="9518">
      <c r="B9518" s="223" t="s">
        <v>200</v>
      </c>
      <c r="C9518" s="223"/>
      <c r="K9518" s="319"/>
      <c r="L9518" s="218"/>
    </row>
    <row r="9519">
      <c r="B9519" s="223" t="s">
        <v>200</v>
      </c>
      <c r="C9519" s="223"/>
      <c r="K9519" s="319"/>
      <c r="L9519" s="218"/>
    </row>
    <row r="9520">
      <c r="B9520" s="223" t="s">
        <v>200</v>
      </c>
      <c r="C9520" s="223"/>
      <c r="K9520" s="319"/>
      <c r="L9520" s="218"/>
    </row>
    <row r="9521">
      <c r="B9521" s="223" t="s">
        <v>200</v>
      </c>
      <c r="C9521" s="223"/>
      <c r="K9521" s="319"/>
      <c r="L9521" s="218"/>
    </row>
    <row r="9522">
      <c r="B9522" s="223" t="s">
        <v>200</v>
      </c>
      <c r="C9522" s="223"/>
      <c r="K9522" s="319"/>
      <c r="L9522" s="218"/>
    </row>
    <row r="9523">
      <c r="B9523" s="223" t="s">
        <v>200</v>
      </c>
      <c r="C9523" s="223"/>
      <c r="K9523" s="319"/>
      <c r="L9523" s="218"/>
    </row>
    <row r="9524">
      <c r="B9524" s="223" t="s">
        <v>200</v>
      </c>
      <c r="C9524" s="223"/>
      <c r="K9524" s="319"/>
      <c r="L9524" s="218"/>
    </row>
    <row r="9525">
      <c r="B9525" s="223" t="s">
        <v>200</v>
      </c>
      <c r="C9525" s="223"/>
      <c r="K9525" s="319"/>
      <c r="L9525" s="218"/>
    </row>
    <row r="9526">
      <c r="B9526" s="223" t="s">
        <v>200</v>
      </c>
      <c r="C9526" s="223"/>
      <c r="K9526" s="319"/>
      <c r="L9526" s="218"/>
    </row>
    <row r="9527">
      <c r="B9527" s="223" t="s">
        <v>200</v>
      </c>
      <c r="C9527" s="223"/>
      <c r="K9527" s="319"/>
      <c r="L9527" s="218"/>
    </row>
    <row r="9528">
      <c r="B9528" s="223" t="s">
        <v>200</v>
      </c>
      <c r="C9528" s="223"/>
      <c r="K9528" s="319"/>
      <c r="L9528" s="218"/>
    </row>
    <row r="9529">
      <c r="B9529" s="223" t="s">
        <v>200</v>
      </c>
      <c r="C9529" s="223"/>
      <c r="K9529" s="319"/>
      <c r="L9529" s="218"/>
    </row>
    <row r="9530">
      <c r="B9530" s="223" t="s">
        <v>200</v>
      </c>
      <c r="C9530" s="223"/>
      <c r="K9530" s="319"/>
      <c r="L9530" s="218"/>
    </row>
    <row r="9531">
      <c r="B9531" s="223" t="s">
        <v>200</v>
      </c>
      <c r="C9531" s="223"/>
      <c r="K9531" s="319"/>
      <c r="L9531" s="218"/>
    </row>
    <row r="9532">
      <c r="B9532" s="223" t="s">
        <v>200</v>
      </c>
      <c r="C9532" s="223"/>
      <c r="K9532" s="319"/>
      <c r="L9532" s="218"/>
    </row>
    <row r="9533">
      <c r="B9533" s="223" t="s">
        <v>200</v>
      </c>
      <c r="C9533" s="223"/>
      <c r="K9533" s="319"/>
      <c r="L9533" s="218"/>
    </row>
    <row r="9534">
      <c r="B9534" s="223" t="s">
        <v>200</v>
      </c>
      <c r="C9534" s="223"/>
      <c r="K9534" s="319"/>
      <c r="L9534" s="218"/>
    </row>
    <row r="9535">
      <c r="B9535" s="223" t="s">
        <v>200</v>
      </c>
      <c r="C9535" s="223"/>
      <c r="K9535" s="319"/>
      <c r="L9535" s="218"/>
    </row>
    <row r="9536">
      <c r="B9536" s="223" t="s">
        <v>200</v>
      </c>
      <c r="C9536" s="223"/>
      <c r="K9536" s="319"/>
      <c r="L9536" s="218"/>
    </row>
    <row r="9537">
      <c r="B9537" s="223" t="s">
        <v>200</v>
      </c>
      <c r="C9537" s="223"/>
      <c r="K9537" s="319"/>
      <c r="L9537" s="218"/>
    </row>
    <row r="9538">
      <c r="B9538" s="223" t="s">
        <v>200</v>
      </c>
      <c r="C9538" s="223"/>
      <c r="K9538" s="319"/>
      <c r="L9538" s="218"/>
    </row>
    <row r="9539">
      <c r="B9539" s="223" t="s">
        <v>200</v>
      </c>
      <c r="C9539" s="223"/>
      <c r="K9539" s="319"/>
      <c r="L9539" s="218"/>
    </row>
    <row r="9540">
      <c r="B9540" s="223" t="s">
        <v>200</v>
      </c>
      <c r="C9540" s="223"/>
      <c r="K9540" s="319"/>
      <c r="L9540" s="218"/>
    </row>
    <row r="9541">
      <c r="B9541" s="223" t="s">
        <v>200</v>
      </c>
      <c r="C9541" s="223"/>
      <c r="K9541" s="319"/>
      <c r="L9541" s="218"/>
    </row>
    <row r="9542">
      <c r="B9542" s="223" t="s">
        <v>200</v>
      </c>
      <c r="C9542" s="223"/>
      <c r="K9542" s="319"/>
      <c r="L9542" s="218"/>
    </row>
    <row r="9543">
      <c r="B9543" s="223" t="s">
        <v>200</v>
      </c>
      <c r="C9543" s="223"/>
      <c r="K9543" s="319"/>
      <c r="L9543" s="218"/>
    </row>
    <row r="9544">
      <c r="B9544" s="223" t="s">
        <v>200</v>
      </c>
      <c r="C9544" s="223"/>
      <c r="K9544" s="319"/>
      <c r="L9544" s="218"/>
    </row>
    <row r="9545">
      <c r="B9545" s="223" t="s">
        <v>200</v>
      </c>
      <c r="C9545" s="223"/>
      <c r="K9545" s="319"/>
      <c r="L9545" s="218"/>
    </row>
    <row r="9546">
      <c r="B9546" s="223" t="s">
        <v>200</v>
      </c>
      <c r="C9546" s="223"/>
      <c r="K9546" s="319"/>
      <c r="L9546" s="218"/>
    </row>
    <row r="9547">
      <c r="B9547" s="223" t="s">
        <v>200</v>
      </c>
      <c r="C9547" s="223"/>
      <c r="K9547" s="319"/>
      <c r="L9547" s="218"/>
    </row>
    <row r="9548">
      <c r="B9548" s="223" t="s">
        <v>200</v>
      </c>
      <c r="C9548" s="223"/>
      <c r="K9548" s="319"/>
      <c r="L9548" s="218"/>
    </row>
    <row r="9549">
      <c r="B9549" s="223" t="s">
        <v>200</v>
      </c>
      <c r="C9549" s="223"/>
      <c r="K9549" s="319"/>
      <c r="L9549" s="218"/>
    </row>
    <row r="9550">
      <c r="B9550" s="223" t="s">
        <v>200</v>
      </c>
      <c r="C9550" s="223"/>
      <c r="K9550" s="319"/>
      <c r="L9550" s="218"/>
    </row>
    <row r="9551">
      <c r="B9551" s="223" t="s">
        <v>200</v>
      </c>
      <c r="C9551" s="223"/>
      <c r="K9551" s="319"/>
      <c r="L9551" s="218"/>
    </row>
    <row r="9552">
      <c r="B9552" s="223" t="s">
        <v>200</v>
      </c>
      <c r="C9552" s="223"/>
      <c r="K9552" s="319"/>
      <c r="L9552" s="218"/>
    </row>
    <row r="9553">
      <c r="B9553" s="223" t="s">
        <v>200</v>
      </c>
      <c r="C9553" s="223"/>
      <c r="K9553" s="319"/>
      <c r="L9553" s="218"/>
    </row>
    <row r="9554">
      <c r="B9554" s="223" t="s">
        <v>200</v>
      </c>
      <c r="C9554" s="223"/>
      <c r="K9554" s="319"/>
      <c r="L9554" s="218"/>
    </row>
    <row r="9555">
      <c r="B9555" s="223" t="s">
        <v>200</v>
      </c>
      <c r="C9555" s="223"/>
      <c r="K9555" s="319"/>
      <c r="L9555" s="218"/>
    </row>
    <row r="9556">
      <c r="B9556" s="223" t="s">
        <v>200</v>
      </c>
      <c r="C9556" s="223"/>
      <c r="K9556" s="319"/>
      <c r="L9556" s="218"/>
    </row>
    <row r="9557">
      <c r="B9557" s="223" t="s">
        <v>200</v>
      </c>
      <c r="C9557" s="223"/>
      <c r="K9557" s="319"/>
      <c r="L9557" s="218"/>
    </row>
    <row r="9558">
      <c r="B9558" s="223" t="s">
        <v>200</v>
      </c>
      <c r="C9558" s="223"/>
      <c r="K9558" s="319"/>
      <c r="L9558" s="218"/>
    </row>
    <row r="9559">
      <c r="B9559" s="223" t="s">
        <v>200</v>
      </c>
      <c r="C9559" s="223"/>
      <c r="K9559" s="319"/>
      <c r="L9559" s="218"/>
    </row>
    <row r="9560">
      <c r="B9560" s="223" t="s">
        <v>200</v>
      </c>
      <c r="C9560" s="223"/>
      <c r="K9560" s="319"/>
      <c r="L9560" s="218"/>
    </row>
    <row r="9561">
      <c r="B9561" s="223" t="s">
        <v>200</v>
      </c>
      <c r="C9561" s="223"/>
      <c r="K9561" s="319"/>
      <c r="L9561" s="218"/>
    </row>
    <row r="9562">
      <c r="B9562" s="223" t="s">
        <v>200</v>
      </c>
      <c r="C9562" s="223"/>
      <c r="K9562" s="319"/>
      <c r="L9562" s="218"/>
    </row>
    <row r="9563">
      <c r="B9563" s="223" t="s">
        <v>200</v>
      </c>
      <c r="C9563" s="223"/>
      <c r="K9563" s="319"/>
      <c r="L9563" s="218"/>
    </row>
    <row r="9564">
      <c r="B9564" s="223" t="s">
        <v>200</v>
      </c>
      <c r="C9564" s="223"/>
      <c r="K9564" s="319"/>
      <c r="L9564" s="218"/>
    </row>
    <row r="9565">
      <c r="B9565" s="223" t="s">
        <v>200</v>
      </c>
      <c r="C9565" s="223"/>
      <c r="K9565" s="319"/>
      <c r="L9565" s="218"/>
    </row>
    <row r="9566">
      <c r="B9566" s="223" t="s">
        <v>200</v>
      </c>
      <c r="C9566" s="223"/>
      <c r="K9566" s="319"/>
      <c r="L9566" s="218"/>
    </row>
    <row r="9567">
      <c r="B9567" s="223" t="s">
        <v>200</v>
      </c>
      <c r="C9567" s="223"/>
      <c r="K9567" s="319"/>
      <c r="L9567" s="218"/>
    </row>
    <row r="9568">
      <c r="B9568" s="223" t="s">
        <v>200</v>
      </c>
      <c r="C9568" s="223"/>
      <c r="K9568" s="319"/>
      <c r="L9568" s="218"/>
    </row>
    <row r="9569">
      <c r="B9569" s="223" t="s">
        <v>200</v>
      </c>
      <c r="C9569" s="223"/>
      <c r="K9569" s="319"/>
      <c r="L9569" s="218"/>
    </row>
    <row r="9570">
      <c r="B9570" s="223" t="s">
        <v>200</v>
      </c>
      <c r="C9570" s="223"/>
      <c r="K9570" s="319"/>
      <c r="L9570" s="218"/>
    </row>
    <row r="9571">
      <c r="B9571" s="223" t="s">
        <v>200</v>
      </c>
      <c r="C9571" s="223"/>
      <c r="K9571" s="319"/>
      <c r="L9571" s="218"/>
    </row>
    <row r="9572">
      <c r="B9572" s="223" t="s">
        <v>200</v>
      </c>
      <c r="C9572" s="223"/>
      <c r="K9572" s="319"/>
      <c r="L9572" s="218"/>
    </row>
    <row r="9573">
      <c r="B9573" s="223" t="s">
        <v>200</v>
      </c>
      <c r="C9573" s="223"/>
      <c r="K9573" s="319"/>
      <c r="L9573" s="218"/>
    </row>
    <row r="9574">
      <c r="B9574" s="223" t="s">
        <v>200</v>
      </c>
      <c r="C9574" s="223"/>
      <c r="K9574" s="319"/>
      <c r="L9574" s="218"/>
    </row>
    <row r="9575">
      <c r="B9575" s="223" t="s">
        <v>200</v>
      </c>
      <c r="C9575" s="223"/>
      <c r="K9575" s="319"/>
      <c r="L9575" s="218"/>
    </row>
    <row r="9576">
      <c r="B9576" s="223" t="s">
        <v>200</v>
      </c>
      <c r="C9576" s="223"/>
      <c r="K9576" s="319"/>
      <c r="L9576" s="218"/>
    </row>
    <row r="9577">
      <c r="B9577" s="223" t="s">
        <v>200</v>
      </c>
      <c r="C9577" s="223"/>
      <c r="K9577" s="319"/>
      <c r="L9577" s="218"/>
    </row>
    <row r="9578">
      <c r="B9578" s="223" t="s">
        <v>200</v>
      </c>
      <c r="C9578" s="223"/>
      <c r="K9578" s="319"/>
      <c r="L9578" s="218"/>
    </row>
    <row r="9579">
      <c r="B9579" s="223" t="s">
        <v>200</v>
      </c>
      <c r="C9579" s="223"/>
      <c r="K9579" s="319"/>
      <c r="L9579" s="218"/>
    </row>
    <row r="9580">
      <c r="B9580" s="223" t="s">
        <v>200</v>
      </c>
      <c r="C9580" s="223"/>
      <c r="K9580" s="319"/>
      <c r="L9580" s="218"/>
    </row>
    <row r="9581">
      <c r="B9581" s="223" t="s">
        <v>200</v>
      </c>
      <c r="C9581" s="223"/>
      <c r="K9581" s="319"/>
      <c r="L9581" s="218"/>
    </row>
    <row r="9582">
      <c r="B9582" s="223" t="s">
        <v>200</v>
      </c>
      <c r="C9582" s="223"/>
      <c r="K9582" s="319"/>
      <c r="L9582" s="218"/>
    </row>
    <row r="9583">
      <c r="B9583" s="223" t="s">
        <v>200</v>
      </c>
      <c r="C9583" s="223"/>
      <c r="K9583" s="319"/>
      <c r="L9583" s="218"/>
    </row>
    <row r="9584">
      <c r="B9584" s="223" t="s">
        <v>200</v>
      </c>
      <c r="C9584" s="223"/>
      <c r="K9584" s="319"/>
      <c r="L9584" s="218"/>
    </row>
    <row r="9585">
      <c r="B9585" s="223" t="s">
        <v>200</v>
      </c>
      <c r="C9585" s="223"/>
      <c r="K9585" s="319"/>
      <c r="L9585" s="218"/>
    </row>
    <row r="9586">
      <c r="B9586" s="223" t="s">
        <v>200</v>
      </c>
      <c r="C9586" s="223"/>
      <c r="K9586" s="319"/>
      <c r="L9586" s="218"/>
    </row>
    <row r="9587">
      <c r="B9587" s="223" t="s">
        <v>200</v>
      </c>
      <c r="C9587" s="223"/>
      <c r="K9587" s="319"/>
      <c r="L9587" s="218"/>
    </row>
    <row r="9588">
      <c r="B9588" s="223" t="s">
        <v>200</v>
      </c>
      <c r="C9588" s="223"/>
      <c r="K9588" s="319"/>
      <c r="L9588" s="218"/>
    </row>
    <row r="9589">
      <c r="B9589" s="223" t="s">
        <v>200</v>
      </c>
      <c r="C9589" s="223"/>
      <c r="K9589" s="319"/>
      <c r="L9589" s="218"/>
    </row>
    <row r="9590">
      <c r="B9590" s="223" t="s">
        <v>200</v>
      </c>
      <c r="C9590" s="223"/>
      <c r="K9590" s="319"/>
      <c r="L9590" s="218"/>
    </row>
    <row r="9591">
      <c r="B9591" s="223" t="s">
        <v>200</v>
      </c>
      <c r="C9591" s="223"/>
      <c r="K9591" s="319"/>
      <c r="L9591" s="218"/>
    </row>
    <row r="9592">
      <c r="B9592" s="223" t="s">
        <v>200</v>
      </c>
      <c r="C9592" s="223"/>
      <c r="K9592" s="319"/>
      <c r="L9592" s="218"/>
    </row>
    <row r="9593">
      <c r="B9593" s="223" t="s">
        <v>200</v>
      </c>
      <c r="C9593" s="223"/>
      <c r="K9593" s="319"/>
      <c r="L9593" s="218"/>
    </row>
    <row r="9594">
      <c r="B9594" s="223" t="s">
        <v>200</v>
      </c>
      <c r="C9594" s="223"/>
      <c r="K9594" s="319"/>
      <c r="L9594" s="218"/>
    </row>
    <row r="9595">
      <c r="B9595" s="223" t="s">
        <v>200</v>
      </c>
      <c r="C9595" s="223"/>
      <c r="K9595" s="319"/>
      <c r="L9595" s="218"/>
    </row>
    <row r="9596">
      <c r="B9596" s="223" t="s">
        <v>200</v>
      </c>
      <c r="C9596" s="223"/>
      <c r="K9596" s="319"/>
      <c r="L9596" s="218"/>
    </row>
    <row r="9597">
      <c r="B9597" s="223" t="s">
        <v>200</v>
      </c>
      <c r="C9597" s="223"/>
      <c r="K9597" s="319"/>
      <c r="L9597" s="218"/>
    </row>
    <row r="9598">
      <c r="B9598" s="223" t="s">
        <v>200</v>
      </c>
      <c r="C9598" s="223"/>
      <c r="K9598" s="319"/>
      <c r="L9598" s="218"/>
    </row>
    <row r="9599">
      <c r="B9599" s="223" t="s">
        <v>200</v>
      </c>
      <c r="C9599" s="223"/>
      <c r="K9599" s="319"/>
      <c r="L9599" s="218"/>
    </row>
    <row r="9600">
      <c r="B9600" s="223" t="s">
        <v>200</v>
      </c>
      <c r="C9600" s="223"/>
      <c r="K9600" s="319"/>
      <c r="L9600" s="218"/>
    </row>
    <row r="9601">
      <c r="B9601" s="223" t="s">
        <v>200</v>
      </c>
      <c r="C9601" s="223"/>
      <c r="K9601" s="319"/>
      <c r="L9601" s="218"/>
    </row>
    <row r="9602">
      <c r="B9602" s="223" t="s">
        <v>200</v>
      </c>
      <c r="C9602" s="223"/>
      <c r="K9602" s="319"/>
      <c r="L9602" s="218"/>
    </row>
    <row r="9603">
      <c r="B9603" s="223" t="s">
        <v>200</v>
      </c>
      <c r="C9603" s="223"/>
      <c r="K9603" s="319"/>
      <c r="L9603" s="218"/>
    </row>
    <row r="9604">
      <c r="B9604" s="223" t="s">
        <v>200</v>
      </c>
      <c r="C9604" s="223"/>
      <c r="K9604" s="319"/>
      <c r="L9604" s="218"/>
    </row>
    <row r="9605">
      <c r="B9605" s="223" t="s">
        <v>200</v>
      </c>
      <c r="C9605" s="223"/>
      <c r="K9605" s="319"/>
      <c r="L9605" s="218"/>
    </row>
    <row r="9606">
      <c r="B9606" s="223" t="s">
        <v>200</v>
      </c>
      <c r="C9606" s="223"/>
      <c r="K9606" s="319"/>
      <c r="L9606" s="218"/>
    </row>
    <row r="9607">
      <c r="B9607" s="223" t="s">
        <v>200</v>
      </c>
      <c r="C9607" s="223"/>
      <c r="K9607" s="319"/>
      <c r="L9607" s="218"/>
    </row>
    <row r="9608">
      <c r="B9608" s="223" t="s">
        <v>200</v>
      </c>
      <c r="C9608" s="223"/>
      <c r="K9608" s="319"/>
      <c r="L9608" s="218"/>
    </row>
    <row r="9609">
      <c r="B9609" s="223" t="s">
        <v>200</v>
      </c>
      <c r="C9609" s="223"/>
      <c r="K9609" s="319"/>
      <c r="L9609" s="218"/>
    </row>
    <row r="9610">
      <c r="B9610" s="223" t="s">
        <v>200</v>
      </c>
      <c r="C9610" s="223"/>
      <c r="K9610" s="319"/>
      <c r="L9610" s="218"/>
    </row>
    <row r="9611">
      <c r="B9611" s="223" t="s">
        <v>200</v>
      </c>
      <c r="C9611" s="223"/>
      <c r="K9611" s="319"/>
      <c r="L9611" s="218"/>
    </row>
    <row r="9612">
      <c r="B9612" s="223" t="s">
        <v>200</v>
      </c>
      <c r="C9612" s="223"/>
      <c r="K9612" s="319"/>
      <c r="L9612" s="218"/>
    </row>
    <row r="9613">
      <c r="B9613" s="223" t="s">
        <v>200</v>
      </c>
      <c r="C9613" s="223"/>
      <c r="K9613" s="319"/>
      <c r="L9613" s="218"/>
    </row>
    <row r="9614">
      <c r="B9614" s="223" t="s">
        <v>200</v>
      </c>
      <c r="C9614" s="223"/>
      <c r="K9614" s="319"/>
      <c r="L9614" s="218"/>
    </row>
    <row r="9615">
      <c r="B9615" s="223" t="s">
        <v>200</v>
      </c>
      <c r="C9615" s="223"/>
      <c r="K9615" s="319"/>
      <c r="L9615" s="218"/>
    </row>
    <row r="9616">
      <c r="B9616" s="223" t="s">
        <v>200</v>
      </c>
      <c r="C9616" s="223"/>
      <c r="K9616" s="319"/>
      <c r="L9616" s="218"/>
    </row>
    <row r="9617">
      <c r="B9617" s="223" t="s">
        <v>200</v>
      </c>
      <c r="C9617" s="223"/>
      <c r="K9617" s="319"/>
      <c r="L9617" s="218"/>
    </row>
    <row r="9618">
      <c r="B9618" s="223" t="s">
        <v>200</v>
      </c>
      <c r="C9618" s="223"/>
      <c r="K9618" s="319"/>
      <c r="L9618" s="218"/>
    </row>
    <row r="9619">
      <c r="B9619" s="223" t="s">
        <v>200</v>
      </c>
      <c r="C9619" s="223"/>
      <c r="K9619" s="319"/>
      <c r="L9619" s="218"/>
    </row>
    <row r="9620">
      <c r="B9620" s="223" t="s">
        <v>200</v>
      </c>
      <c r="C9620" s="223"/>
      <c r="K9620" s="319"/>
      <c r="L9620" s="218"/>
    </row>
    <row r="9621">
      <c r="B9621" s="223" t="s">
        <v>200</v>
      </c>
      <c r="C9621" s="223"/>
      <c r="K9621" s="319"/>
      <c r="L9621" s="218"/>
    </row>
    <row r="9622">
      <c r="B9622" s="223" t="s">
        <v>200</v>
      </c>
      <c r="C9622" s="223"/>
      <c r="K9622" s="319"/>
      <c r="L9622" s="218"/>
    </row>
    <row r="9623">
      <c r="B9623" s="223" t="s">
        <v>200</v>
      </c>
      <c r="C9623" s="223"/>
      <c r="K9623" s="319"/>
      <c r="L9623" s="218"/>
    </row>
    <row r="9624">
      <c r="B9624" s="223" t="s">
        <v>200</v>
      </c>
      <c r="C9624" s="223"/>
      <c r="K9624" s="319"/>
      <c r="L9624" s="218"/>
    </row>
    <row r="9625">
      <c r="B9625" s="223" t="s">
        <v>200</v>
      </c>
      <c r="C9625" s="223"/>
      <c r="K9625" s="319"/>
      <c r="L9625" s="218"/>
    </row>
    <row r="9626">
      <c r="B9626" s="223" t="s">
        <v>200</v>
      </c>
      <c r="C9626" s="223"/>
      <c r="K9626" s="319"/>
      <c r="L9626" s="218"/>
    </row>
    <row r="9627">
      <c r="B9627" s="223" t="s">
        <v>200</v>
      </c>
      <c r="C9627" s="223"/>
      <c r="K9627" s="319"/>
      <c r="L9627" s="218"/>
    </row>
    <row r="9628">
      <c r="B9628" s="223" t="s">
        <v>200</v>
      </c>
      <c r="C9628" s="223"/>
      <c r="K9628" s="319"/>
      <c r="L9628" s="218"/>
    </row>
    <row r="9629">
      <c r="B9629" s="223" t="s">
        <v>200</v>
      </c>
      <c r="C9629" s="223"/>
      <c r="K9629" s="319"/>
      <c r="L9629" s="218"/>
    </row>
    <row r="9630">
      <c r="B9630" s="223" t="s">
        <v>200</v>
      </c>
      <c r="C9630" s="223"/>
      <c r="K9630" s="319"/>
      <c r="L9630" s="218"/>
    </row>
    <row r="9631">
      <c r="B9631" s="223" t="s">
        <v>200</v>
      </c>
      <c r="C9631" s="223"/>
      <c r="K9631" s="319"/>
      <c r="L9631" s="218"/>
    </row>
    <row r="9632">
      <c r="B9632" s="223" t="s">
        <v>200</v>
      </c>
      <c r="C9632" s="223"/>
      <c r="K9632" s="319"/>
      <c r="L9632" s="218"/>
    </row>
    <row r="9633">
      <c r="B9633" s="223" t="s">
        <v>200</v>
      </c>
      <c r="C9633" s="223"/>
      <c r="K9633" s="319"/>
      <c r="L9633" s="218"/>
    </row>
    <row r="9634">
      <c r="B9634" s="223" t="s">
        <v>200</v>
      </c>
      <c r="C9634" s="223"/>
      <c r="K9634" s="319"/>
      <c r="L9634" s="218"/>
    </row>
    <row r="9635">
      <c r="B9635" s="223" t="s">
        <v>200</v>
      </c>
      <c r="C9635" s="223"/>
      <c r="K9635" s="319"/>
      <c r="L9635" s="218"/>
    </row>
    <row r="9636">
      <c r="B9636" s="223" t="s">
        <v>200</v>
      </c>
      <c r="C9636" s="223"/>
      <c r="K9636" s="319"/>
      <c r="L9636" s="218"/>
    </row>
    <row r="9637">
      <c r="B9637" s="223" t="s">
        <v>200</v>
      </c>
      <c r="C9637" s="223"/>
      <c r="K9637" s="319"/>
      <c r="L9637" s="218"/>
    </row>
    <row r="9638">
      <c r="B9638" s="223" t="s">
        <v>200</v>
      </c>
      <c r="C9638" s="223"/>
      <c r="K9638" s="319"/>
      <c r="L9638" s="218"/>
    </row>
    <row r="9639">
      <c r="B9639" s="223" t="s">
        <v>200</v>
      </c>
      <c r="C9639" s="223"/>
      <c r="K9639" s="319"/>
      <c r="L9639" s="218"/>
    </row>
    <row r="9640">
      <c r="B9640" s="223" t="s">
        <v>200</v>
      </c>
      <c r="C9640" s="223"/>
      <c r="K9640" s="319"/>
      <c r="L9640" s="218"/>
    </row>
    <row r="9641">
      <c r="B9641" s="223" t="s">
        <v>200</v>
      </c>
      <c r="C9641" s="223"/>
      <c r="K9641" s="319"/>
      <c r="L9641" s="218"/>
    </row>
    <row r="9642">
      <c r="B9642" s="223" t="s">
        <v>200</v>
      </c>
      <c r="C9642" s="223"/>
      <c r="K9642" s="319"/>
      <c r="L9642" s="218"/>
    </row>
    <row r="9643">
      <c r="B9643" s="223" t="s">
        <v>200</v>
      </c>
      <c r="C9643" s="223"/>
      <c r="K9643" s="319"/>
      <c r="L9643" s="218"/>
    </row>
    <row r="9644">
      <c r="B9644" s="223" t="s">
        <v>200</v>
      </c>
      <c r="C9644" s="223"/>
      <c r="K9644" s="319"/>
      <c r="L9644" s="218"/>
    </row>
    <row r="9645">
      <c r="B9645" s="223" t="s">
        <v>200</v>
      </c>
      <c r="C9645" s="223"/>
      <c r="K9645" s="319"/>
      <c r="L9645" s="218"/>
    </row>
    <row r="9646">
      <c r="B9646" s="223" t="s">
        <v>200</v>
      </c>
      <c r="C9646" s="223"/>
      <c r="K9646" s="319"/>
      <c r="L9646" s="218"/>
    </row>
    <row r="9647">
      <c r="B9647" s="223" t="s">
        <v>200</v>
      </c>
      <c r="C9647" s="223"/>
      <c r="K9647" s="319"/>
      <c r="L9647" s="218"/>
    </row>
    <row r="9648">
      <c r="B9648" s="223" t="s">
        <v>200</v>
      </c>
      <c r="C9648" s="223"/>
      <c r="K9648" s="319"/>
      <c r="L9648" s="218"/>
    </row>
    <row r="9649">
      <c r="B9649" s="223" t="s">
        <v>200</v>
      </c>
      <c r="C9649" s="223"/>
      <c r="K9649" s="319"/>
      <c r="L9649" s="218"/>
    </row>
    <row r="9650">
      <c r="B9650" s="223" t="s">
        <v>200</v>
      </c>
      <c r="C9650" s="223"/>
      <c r="K9650" s="319"/>
      <c r="L9650" s="218"/>
    </row>
    <row r="9651">
      <c r="B9651" s="223" t="s">
        <v>200</v>
      </c>
      <c r="C9651" s="223"/>
      <c r="K9651" s="319"/>
      <c r="L9651" s="218"/>
    </row>
    <row r="9652">
      <c r="B9652" s="223" t="s">
        <v>200</v>
      </c>
      <c r="C9652" s="223"/>
      <c r="K9652" s="319"/>
      <c r="L9652" s="218"/>
    </row>
    <row r="9653">
      <c r="B9653" s="223" t="s">
        <v>200</v>
      </c>
      <c r="C9653" s="223"/>
      <c r="K9653" s="319"/>
      <c r="L9653" s="218"/>
    </row>
    <row r="9654">
      <c r="B9654" s="223" t="s">
        <v>200</v>
      </c>
      <c r="C9654" s="223"/>
      <c r="K9654" s="319"/>
      <c r="L9654" s="218"/>
    </row>
    <row r="9655">
      <c r="B9655" s="223" t="s">
        <v>200</v>
      </c>
      <c r="C9655" s="223"/>
      <c r="K9655" s="319"/>
      <c r="L9655" s="218"/>
    </row>
    <row r="9656">
      <c r="B9656" s="223" t="s">
        <v>200</v>
      </c>
      <c r="C9656" s="223"/>
      <c r="K9656" s="319"/>
      <c r="L9656" s="218"/>
    </row>
    <row r="9657">
      <c r="B9657" s="223" t="s">
        <v>200</v>
      </c>
      <c r="C9657" s="223"/>
      <c r="K9657" s="319"/>
      <c r="L9657" s="218"/>
    </row>
    <row r="9658">
      <c r="B9658" s="223" t="s">
        <v>200</v>
      </c>
      <c r="C9658" s="223"/>
      <c r="K9658" s="319"/>
      <c r="L9658" s="218"/>
    </row>
    <row r="9659">
      <c r="B9659" s="223" t="s">
        <v>200</v>
      </c>
      <c r="C9659" s="223"/>
      <c r="K9659" s="319"/>
      <c r="L9659" s="218"/>
    </row>
    <row r="9660">
      <c r="B9660" s="223" t="s">
        <v>200</v>
      </c>
      <c r="C9660" s="223"/>
      <c r="K9660" s="319"/>
      <c r="L9660" s="218"/>
    </row>
    <row r="9661">
      <c r="B9661" s="223" t="s">
        <v>200</v>
      </c>
      <c r="C9661" s="223"/>
      <c r="K9661" s="319"/>
      <c r="L9661" s="218"/>
    </row>
    <row r="9662">
      <c r="B9662" s="223" t="s">
        <v>200</v>
      </c>
      <c r="C9662" s="223"/>
      <c r="K9662" s="319"/>
      <c r="L9662" s="218"/>
    </row>
    <row r="9663">
      <c r="B9663" s="223" t="s">
        <v>200</v>
      </c>
      <c r="C9663" s="223"/>
      <c r="K9663" s="319"/>
      <c r="L9663" s="218"/>
    </row>
    <row r="9664">
      <c r="B9664" s="223" t="s">
        <v>200</v>
      </c>
      <c r="C9664" s="223"/>
      <c r="K9664" s="319"/>
      <c r="L9664" s="218"/>
    </row>
    <row r="9665">
      <c r="B9665" s="223" t="s">
        <v>200</v>
      </c>
      <c r="C9665" s="223"/>
      <c r="K9665" s="319"/>
      <c r="L9665" s="218"/>
    </row>
    <row r="9666">
      <c r="B9666" s="223" t="s">
        <v>200</v>
      </c>
      <c r="C9666" s="223"/>
      <c r="K9666" s="319"/>
      <c r="L9666" s="218"/>
    </row>
    <row r="9667">
      <c r="B9667" s="223" t="s">
        <v>200</v>
      </c>
      <c r="C9667" s="223"/>
      <c r="K9667" s="319"/>
      <c r="L9667" s="218"/>
    </row>
    <row r="9668">
      <c r="B9668" s="223" t="s">
        <v>200</v>
      </c>
      <c r="C9668" s="223"/>
      <c r="K9668" s="319"/>
      <c r="L9668" s="218"/>
    </row>
    <row r="9669">
      <c r="B9669" s="223" t="s">
        <v>200</v>
      </c>
      <c r="C9669" s="223"/>
      <c r="K9669" s="319"/>
      <c r="L9669" s="218"/>
    </row>
    <row r="9670">
      <c r="B9670" s="223" t="s">
        <v>200</v>
      </c>
      <c r="C9670" s="223"/>
      <c r="K9670" s="319"/>
      <c r="L9670" s="218"/>
    </row>
    <row r="9671">
      <c r="B9671" s="223" t="s">
        <v>200</v>
      </c>
      <c r="C9671" s="223"/>
      <c r="K9671" s="319"/>
      <c r="L9671" s="218"/>
    </row>
    <row r="9672">
      <c r="B9672" s="223" t="s">
        <v>200</v>
      </c>
      <c r="C9672" s="223"/>
      <c r="K9672" s="319"/>
      <c r="L9672" s="218"/>
    </row>
    <row r="9673">
      <c r="B9673" s="223" t="s">
        <v>200</v>
      </c>
      <c r="C9673" s="223"/>
      <c r="K9673" s="319"/>
      <c r="L9673" s="218"/>
    </row>
    <row r="9674">
      <c r="B9674" s="223" t="s">
        <v>200</v>
      </c>
      <c r="C9674" s="223"/>
      <c r="K9674" s="319"/>
      <c r="L9674" s="218"/>
    </row>
    <row r="9675">
      <c r="B9675" s="223" t="s">
        <v>200</v>
      </c>
      <c r="C9675" s="223"/>
      <c r="K9675" s="319"/>
      <c r="L9675" s="218"/>
    </row>
    <row r="9676">
      <c r="B9676" s="223" t="s">
        <v>200</v>
      </c>
      <c r="C9676" s="223"/>
      <c r="K9676" s="319"/>
      <c r="L9676" s="218"/>
    </row>
    <row r="9677">
      <c r="B9677" s="223" t="s">
        <v>200</v>
      </c>
      <c r="C9677" s="223"/>
      <c r="K9677" s="319"/>
      <c r="L9677" s="218"/>
    </row>
    <row r="9678">
      <c r="B9678" s="223" t="s">
        <v>200</v>
      </c>
      <c r="C9678" s="223"/>
      <c r="K9678" s="319"/>
      <c r="L9678" s="218"/>
    </row>
    <row r="9679">
      <c r="B9679" s="223" t="s">
        <v>200</v>
      </c>
      <c r="C9679" s="223"/>
      <c r="K9679" s="319"/>
      <c r="L9679" s="218"/>
    </row>
    <row r="9680">
      <c r="B9680" s="223" t="s">
        <v>200</v>
      </c>
      <c r="C9680" s="223"/>
      <c r="K9680" s="319"/>
      <c r="L9680" s="218"/>
    </row>
    <row r="9681">
      <c r="B9681" s="223" t="s">
        <v>200</v>
      </c>
      <c r="C9681" s="223"/>
      <c r="K9681" s="319"/>
      <c r="L9681" s="218"/>
    </row>
    <row r="9682">
      <c r="B9682" s="223" t="s">
        <v>200</v>
      </c>
      <c r="C9682" s="223"/>
      <c r="K9682" s="319"/>
      <c r="L9682" s="218"/>
    </row>
    <row r="9683">
      <c r="B9683" s="223" t="s">
        <v>200</v>
      </c>
      <c r="C9683" s="223"/>
      <c r="K9683" s="319"/>
      <c r="L9683" s="218"/>
    </row>
    <row r="9684">
      <c r="B9684" s="223" t="s">
        <v>200</v>
      </c>
      <c r="C9684" s="223"/>
      <c r="K9684" s="319"/>
      <c r="L9684" s="218"/>
    </row>
    <row r="9685">
      <c r="B9685" s="223" t="s">
        <v>200</v>
      </c>
      <c r="C9685" s="223"/>
      <c r="K9685" s="319"/>
      <c r="L9685" s="218"/>
    </row>
    <row r="9686">
      <c r="B9686" s="223" t="s">
        <v>200</v>
      </c>
      <c r="C9686" s="223"/>
      <c r="K9686" s="319"/>
      <c r="L9686" s="218"/>
    </row>
    <row r="9687">
      <c r="B9687" s="223" t="s">
        <v>200</v>
      </c>
      <c r="C9687" s="223"/>
      <c r="K9687" s="319"/>
      <c r="L9687" s="218"/>
    </row>
    <row r="9688">
      <c r="B9688" s="223" t="s">
        <v>200</v>
      </c>
      <c r="C9688" s="223"/>
      <c r="K9688" s="319"/>
      <c r="L9688" s="218"/>
    </row>
    <row r="9689">
      <c r="B9689" s="223" t="s">
        <v>200</v>
      </c>
      <c r="C9689" s="223"/>
      <c r="K9689" s="319"/>
      <c r="L9689" s="218"/>
    </row>
    <row r="9690">
      <c r="B9690" s="223" t="s">
        <v>200</v>
      </c>
      <c r="C9690" s="223"/>
      <c r="K9690" s="319"/>
      <c r="L9690" s="218"/>
    </row>
    <row r="9691">
      <c r="B9691" s="223" t="s">
        <v>200</v>
      </c>
      <c r="C9691" s="223"/>
      <c r="K9691" s="319"/>
      <c r="L9691" s="218"/>
    </row>
    <row r="9692">
      <c r="B9692" s="223" t="s">
        <v>200</v>
      </c>
      <c r="C9692" s="223"/>
      <c r="K9692" s="319"/>
      <c r="L9692" s="218"/>
    </row>
    <row r="9693">
      <c r="B9693" s="223" t="s">
        <v>200</v>
      </c>
      <c r="C9693" s="223"/>
      <c r="K9693" s="319"/>
      <c r="L9693" s="218"/>
    </row>
    <row r="9694">
      <c r="B9694" s="223" t="s">
        <v>200</v>
      </c>
      <c r="C9694" s="223"/>
      <c r="K9694" s="319"/>
      <c r="L9694" s="218"/>
    </row>
    <row r="9695">
      <c r="B9695" s="223" t="s">
        <v>200</v>
      </c>
      <c r="C9695" s="223"/>
      <c r="K9695" s="319"/>
      <c r="L9695" s="218"/>
    </row>
    <row r="9696">
      <c r="B9696" s="223" t="s">
        <v>200</v>
      </c>
      <c r="C9696" s="223"/>
      <c r="K9696" s="319"/>
      <c r="L9696" s="218"/>
    </row>
    <row r="9697">
      <c r="B9697" s="223" t="s">
        <v>200</v>
      </c>
      <c r="C9697" s="223"/>
      <c r="K9697" s="319"/>
      <c r="L9697" s="218"/>
    </row>
    <row r="9698">
      <c r="B9698" s="223" t="s">
        <v>200</v>
      </c>
      <c r="C9698" s="223"/>
      <c r="K9698" s="319"/>
      <c r="L9698" s="218"/>
    </row>
    <row r="9699">
      <c r="B9699" s="223" t="s">
        <v>200</v>
      </c>
      <c r="C9699" s="223"/>
      <c r="K9699" s="319"/>
      <c r="L9699" s="218"/>
    </row>
    <row r="9700">
      <c r="B9700" s="223" t="s">
        <v>200</v>
      </c>
      <c r="C9700" s="223"/>
      <c r="K9700" s="319"/>
      <c r="L9700" s="218"/>
    </row>
    <row r="9701">
      <c r="B9701" s="223" t="s">
        <v>200</v>
      </c>
      <c r="C9701" s="223"/>
      <c r="K9701" s="319"/>
      <c r="L9701" s="218"/>
    </row>
    <row r="9702">
      <c r="B9702" s="223" t="s">
        <v>200</v>
      </c>
      <c r="C9702" s="223"/>
      <c r="K9702" s="319"/>
      <c r="L9702" s="218"/>
    </row>
    <row r="9703">
      <c r="B9703" s="223" t="s">
        <v>200</v>
      </c>
      <c r="C9703" s="223"/>
      <c r="K9703" s="319"/>
      <c r="L9703" s="218"/>
    </row>
    <row r="9704">
      <c r="B9704" s="223" t="s">
        <v>200</v>
      </c>
      <c r="C9704" s="223"/>
      <c r="K9704" s="319"/>
      <c r="L9704" s="218"/>
    </row>
    <row r="9705">
      <c r="B9705" s="223" t="s">
        <v>200</v>
      </c>
      <c r="C9705" s="223"/>
      <c r="K9705" s="319"/>
      <c r="L9705" s="218"/>
    </row>
    <row r="9706">
      <c r="B9706" s="223" t="s">
        <v>200</v>
      </c>
      <c r="C9706" s="223"/>
      <c r="K9706" s="319"/>
      <c r="L9706" s="218"/>
    </row>
    <row r="9707">
      <c r="B9707" s="223" t="s">
        <v>200</v>
      </c>
      <c r="C9707" s="223"/>
      <c r="K9707" s="319"/>
      <c r="L9707" s="218"/>
    </row>
    <row r="9708">
      <c r="B9708" s="223" t="s">
        <v>200</v>
      </c>
      <c r="C9708" s="223"/>
      <c r="K9708" s="319"/>
      <c r="L9708" s="218"/>
    </row>
    <row r="9709">
      <c r="B9709" s="223" t="s">
        <v>200</v>
      </c>
      <c r="C9709" s="223"/>
      <c r="K9709" s="319"/>
      <c r="L9709" s="218"/>
    </row>
    <row r="9710">
      <c r="B9710" s="223" t="s">
        <v>200</v>
      </c>
      <c r="C9710" s="223"/>
      <c r="K9710" s="319"/>
      <c r="L9710" s="218"/>
    </row>
    <row r="9711">
      <c r="B9711" s="223" t="s">
        <v>200</v>
      </c>
      <c r="C9711" s="223"/>
      <c r="K9711" s="319"/>
      <c r="L9711" s="218"/>
    </row>
    <row r="9712">
      <c r="B9712" s="223" t="s">
        <v>200</v>
      </c>
      <c r="C9712" s="223"/>
      <c r="K9712" s="319"/>
      <c r="L9712" s="218"/>
    </row>
    <row r="9713">
      <c r="B9713" s="223" t="s">
        <v>200</v>
      </c>
      <c r="C9713" s="223"/>
      <c r="K9713" s="319"/>
      <c r="L9713" s="218"/>
    </row>
    <row r="9714">
      <c r="B9714" s="223" t="s">
        <v>200</v>
      </c>
      <c r="C9714" s="223"/>
      <c r="K9714" s="319"/>
      <c r="L9714" s="218"/>
    </row>
    <row r="9715">
      <c r="B9715" s="223" t="s">
        <v>200</v>
      </c>
      <c r="C9715" s="223"/>
      <c r="K9715" s="319"/>
      <c r="L9715" s="218"/>
    </row>
    <row r="9716">
      <c r="B9716" s="223" t="s">
        <v>200</v>
      </c>
      <c r="C9716" s="223"/>
      <c r="K9716" s="319"/>
      <c r="L9716" s="218"/>
    </row>
    <row r="9717">
      <c r="B9717" s="223" t="s">
        <v>200</v>
      </c>
      <c r="C9717" s="223"/>
      <c r="K9717" s="319"/>
      <c r="L9717" s="218"/>
    </row>
    <row r="9718">
      <c r="B9718" s="223" t="s">
        <v>200</v>
      </c>
      <c r="C9718" s="223"/>
      <c r="K9718" s="319"/>
      <c r="L9718" s="218"/>
    </row>
    <row r="9719">
      <c r="B9719" s="223" t="s">
        <v>200</v>
      </c>
      <c r="C9719" s="223"/>
      <c r="K9719" s="319"/>
      <c r="L9719" s="218"/>
    </row>
    <row r="9720">
      <c r="B9720" s="223" t="s">
        <v>200</v>
      </c>
      <c r="C9720" s="223"/>
      <c r="K9720" s="319"/>
      <c r="L9720" s="218"/>
    </row>
    <row r="9721">
      <c r="B9721" s="223" t="s">
        <v>200</v>
      </c>
      <c r="C9721" s="223"/>
      <c r="K9721" s="319"/>
      <c r="L9721" s="218"/>
    </row>
    <row r="9722">
      <c r="B9722" s="223" t="s">
        <v>200</v>
      </c>
      <c r="C9722" s="223"/>
      <c r="K9722" s="319"/>
      <c r="L9722" s="218"/>
    </row>
    <row r="9723">
      <c r="B9723" s="223" t="s">
        <v>200</v>
      </c>
      <c r="C9723" s="223"/>
      <c r="K9723" s="319"/>
      <c r="L9723" s="218"/>
    </row>
    <row r="9724">
      <c r="B9724" s="223" t="s">
        <v>200</v>
      </c>
      <c r="C9724" s="223"/>
      <c r="K9724" s="319"/>
      <c r="L9724" s="218"/>
    </row>
    <row r="9725">
      <c r="B9725" s="223" t="s">
        <v>200</v>
      </c>
      <c r="C9725" s="223"/>
      <c r="K9725" s="319"/>
      <c r="L9725" s="218"/>
    </row>
    <row r="9726">
      <c r="B9726" s="223" t="s">
        <v>200</v>
      </c>
      <c r="C9726" s="223"/>
      <c r="K9726" s="319"/>
      <c r="L9726" s="218"/>
    </row>
    <row r="9727">
      <c r="B9727" s="223" t="s">
        <v>200</v>
      </c>
      <c r="C9727" s="223"/>
      <c r="K9727" s="319"/>
      <c r="L9727" s="218"/>
    </row>
    <row r="9728">
      <c r="B9728" s="223" t="s">
        <v>200</v>
      </c>
      <c r="C9728" s="223"/>
      <c r="K9728" s="319"/>
      <c r="L9728" s="218"/>
    </row>
    <row r="9729">
      <c r="B9729" s="223" t="s">
        <v>200</v>
      </c>
      <c r="C9729" s="223"/>
      <c r="K9729" s="319"/>
      <c r="L9729" s="218"/>
    </row>
    <row r="9730">
      <c r="B9730" s="223" t="s">
        <v>200</v>
      </c>
      <c r="C9730" s="223"/>
      <c r="K9730" s="319"/>
      <c r="L9730" s="218"/>
    </row>
    <row r="9731">
      <c r="B9731" s="223" t="s">
        <v>200</v>
      </c>
      <c r="C9731" s="223"/>
      <c r="K9731" s="319"/>
      <c r="L9731" s="218"/>
    </row>
    <row r="9732">
      <c r="B9732" s="223" t="s">
        <v>200</v>
      </c>
      <c r="C9732" s="223"/>
      <c r="K9732" s="319"/>
      <c r="L9732" s="218"/>
    </row>
    <row r="9733">
      <c r="B9733" s="223" t="s">
        <v>200</v>
      </c>
      <c r="C9733" s="223"/>
      <c r="K9733" s="319"/>
      <c r="L9733" s="218"/>
    </row>
    <row r="9734">
      <c r="B9734" s="223" t="s">
        <v>200</v>
      </c>
      <c r="C9734" s="223"/>
      <c r="K9734" s="319"/>
      <c r="L9734" s="218"/>
    </row>
    <row r="9735">
      <c r="B9735" s="223" t="s">
        <v>200</v>
      </c>
      <c r="C9735" s="223"/>
      <c r="K9735" s="319"/>
      <c r="L9735" s="218"/>
    </row>
    <row r="9736">
      <c r="B9736" s="223" t="s">
        <v>200</v>
      </c>
      <c r="C9736" s="223"/>
      <c r="K9736" s="319"/>
      <c r="L9736" s="218"/>
    </row>
    <row r="9737">
      <c r="B9737" s="223" t="s">
        <v>200</v>
      </c>
      <c r="C9737" s="223"/>
      <c r="K9737" s="319"/>
      <c r="L9737" s="218"/>
    </row>
    <row r="9738">
      <c r="B9738" s="223" t="s">
        <v>200</v>
      </c>
      <c r="C9738" s="223"/>
      <c r="K9738" s="319"/>
      <c r="L9738" s="218"/>
    </row>
    <row r="9739">
      <c r="B9739" s="223" t="s">
        <v>200</v>
      </c>
      <c r="C9739" s="223"/>
      <c r="K9739" s="319"/>
      <c r="L9739" s="218"/>
    </row>
    <row r="9740">
      <c r="B9740" s="223" t="s">
        <v>200</v>
      </c>
      <c r="C9740" s="223"/>
      <c r="K9740" s="319"/>
      <c r="L9740" s="218"/>
    </row>
    <row r="9741">
      <c r="B9741" s="223" t="s">
        <v>200</v>
      </c>
      <c r="C9741" s="223"/>
      <c r="K9741" s="319"/>
      <c r="L9741" s="218"/>
    </row>
    <row r="9742">
      <c r="B9742" s="223" t="s">
        <v>200</v>
      </c>
      <c r="C9742" s="223"/>
      <c r="K9742" s="319"/>
      <c r="L9742" s="218"/>
    </row>
    <row r="9743">
      <c r="B9743" s="223" t="s">
        <v>200</v>
      </c>
      <c r="C9743" s="223"/>
      <c r="K9743" s="319"/>
      <c r="L9743" s="218"/>
    </row>
    <row r="9744">
      <c r="B9744" s="223" t="s">
        <v>200</v>
      </c>
      <c r="C9744" s="223"/>
      <c r="K9744" s="319"/>
      <c r="L9744" s="218"/>
    </row>
    <row r="9745">
      <c r="B9745" s="223" t="s">
        <v>200</v>
      </c>
      <c r="C9745" s="223"/>
      <c r="K9745" s="319"/>
      <c r="L9745" s="218"/>
    </row>
    <row r="9746">
      <c r="B9746" s="223" t="s">
        <v>200</v>
      </c>
      <c r="C9746" s="223"/>
      <c r="K9746" s="319"/>
      <c r="L9746" s="218"/>
    </row>
    <row r="9747">
      <c r="B9747" s="223" t="s">
        <v>200</v>
      </c>
      <c r="C9747" s="223"/>
      <c r="K9747" s="319"/>
      <c r="L9747" s="218"/>
    </row>
    <row r="9748">
      <c r="B9748" s="223" t="s">
        <v>200</v>
      </c>
      <c r="C9748" s="223"/>
      <c r="K9748" s="319"/>
      <c r="L9748" s="218"/>
    </row>
    <row r="9749">
      <c r="B9749" s="223" t="s">
        <v>200</v>
      </c>
      <c r="C9749" s="223"/>
      <c r="K9749" s="319"/>
      <c r="L9749" s="218"/>
    </row>
    <row r="9750">
      <c r="B9750" s="223" t="s">
        <v>200</v>
      </c>
      <c r="C9750" s="223"/>
      <c r="K9750" s="319"/>
      <c r="L9750" s="218"/>
    </row>
    <row r="9751">
      <c r="B9751" s="223" t="s">
        <v>200</v>
      </c>
      <c r="C9751" s="223"/>
      <c r="K9751" s="319"/>
      <c r="L9751" s="218"/>
    </row>
    <row r="9752">
      <c r="B9752" s="223" t="s">
        <v>200</v>
      </c>
      <c r="C9752" s="223"/>
      <c r="K9752" s="319"/>
      <c r="L9752" s="218"/>
    </row>
    <row r="9753">
      <c r="B9753" s="223" t="s">
        <v>200</v>
      </c>
      <c r="C9753" s="223"/>
      <c r="K9753" s="319"/>
      <c r="L9753" s="218"/>
    </row>
    <row r="9754">
      <c r="B9754" s="223" t="s">
        <v>200</v>
      </c>
      <c r="C9754" s="223"/>
      <c r="K9754" s="319"/>
      <c r="L9754" s="218"/>
    </row>
    <row r="9755">
      <c r="B9755" s="223" t="s">
        <v>200</v>
      </c>
      <c r="C9755" s="223"/>
      <c r="K9755" s="319"/>
      <c r="L9755" s="218"/>
    </row>
    <row r="9756">
      <c r="B9756" s="223" t="s">
        <v>200</v>
      </c>
      <c r="C9756" s="223"/>
      <c r="K9756" s="319"/>
      <c r="L9756" s="218"/>
    </row>
    <row r="9757">
      <c r="B9757" s="223" t="s">
        <v>200</v>
      </c>
      <c r="C9757" s="223"/>
      <c r="K9757" s="319"/>
      <c r="L9757" s="218"/>
    </row>
    <row r="9758">
      <c r="B9758" s="223" t="s">
        <v>200</v>
      </c>
      <c r="C9758" s="223"/>
      <c r="K9758" s="319"/>
      <c r="L9758" s="218"/>
    </row>
    <row r="9759">
      <c r="B9759" s="223" t="s">
        <v>200</v>
      </c>
      <c r="C9759" s="223"/>
      <c r="K9759" s="319"/>
      <c r="L9759" s="218"/>
    </row>
    <row r="9760">
      <c r="B9760" s="223" t="s">
        <v>200</v>
      </c>
      <c r="C9760" s="223"/>
      <c r="K9760" s="319"/>
      <c r="L9760" s="218"/>
    </row>
    <row r="9761">
      <c r="B9761" s="223" t="s">
        <v>200</v>
      </c>
      <c r="C9761" s="223"/>
      <c r="K9761" s="319"/>
      <c r="L9761" s="218"/>
    </row>
    <row r="9762">
      <c r="B9762" s="223" t="s">
        <v>200</v>
      </c>
      <c r="C9762" s="223"/>
      <c r="K9762" s="319"/>
      <c r="L9762" s="218"/>
    </row>
    <row r="9763">
      <c r="B9763" s="223" t="s">
        <v>200</v>
      </c>
      <c r="C9763" s="223"/>
      <c r="K9763" s="319"/>
      <c r="L9763" s="218"/>
    </row>
    <row r="9764">
      <c r="B9764" s="223" t="s">
        <v>200</v>
      </c>
      <c r="C9764" s="223"/>
      <c r="K9764" s="319"/>
      <c r="L9764" s="218"/>
    </row>
    <row r="9765">
      <c r="B9765" s="223" t="s">
        <v>200</v>
      </c>
      <c r="C9765" s="223"/>
      <c r="K9765" s="319"/>
      <c r="L9765" s="218"/>
    </row>
    <row r="9766">
      <c r="B9766" s="223" t="s">
        <v>200</v>
      </c>
      <c r="C9766" s="223"/>
      <c r="K9766" s="319"/>
      <c r="L9766" s="218"/>
    </row>
    <row r="9767">
      <c r="B9767" s="223" t="s">
        <v>200</v>
      </c>
      <c r="C9767" s="223"/>
      <c r="K9767" s="319"/>
      <c r="L9767" s="218"/>
    </row>
    <row r="9768">
      <c r="B9768" s="223" t="s">
        <v>200</v>
      </c>
      <c r="C9768" s="223"/>
      <c r="K9768" s="319"/>
      <c r="L9768" s="218"/>
    </row>
    <row r="9769">
      <c r="B9769" s="223" t="s">
        <v>200</v>
      </c>
      <c r="C9769" s="223"/>
      <c r="K9769" s="319"/>
      <c r="L9769" s="218"/>
    </row>
    <row r="9770">
      <c r="B9770" s="223" t="s">
        <v>200</v>
      </c>
      <c r="C9770" s="223"/>
      <c r="K9770" s="319"/>
      <c r="L9770" s="218"/>
    </row>
    <row r="9771">
      <c r="B9771" s="223" t="s">
        <v>200</v>
      </c>
      <c r="C9771" s="223"/>
      <c r="K9771" s="319"/>
      <c r="L9771" s="218"/>
    </row>
    <row r="9772">
      <c r="B9772" s="223" t="s">
        <v>200</v>
      </c>
      <c r="C9772" s="223"/>
      <c r="K9772" s="319"/>
      <c r="L9772" s="218"/>
    </row>
    <row r="9773">
      <c r="B9773" s="223" t="s">
        <v>200</v>
      </c>
      <c r="C9773" s="223"/>
      <c r="K9773" s="319"/>
      <c r="L9773" s="218"/>
    </row>
    <row r="9774">
      <c r="B9774" s="223" t="s">
        <v>200</v>
      </c>
      <c r="C9774" s="223"/>
      <c r="K9774" s="319"/>
      <c r="L9774" s="218"/>
    </row>
    <row r="9775">
      <c r="B9775" s="223" t="s">
        <v>200</v>
      </c>
      <c r="C9775" s="223"/>
      <c r="K9775" s="319"/>
      <c r="L9775" s="218"/>
    </row>
    <row r="9776">
      <c r="B9776" s="223" t="s">
        <v>200</v>
      </c>
      <c r="C9776" s="223"/>
      <c r="K9776" s="319"/>
      <c r="L9776" s="218"/>
    </row>
    <row r="9777">
      <c r="B9777" s="223" t="s">
        <v>200</v>
      </c>
      <c r="C9777" s="223"/>
      <c r="K9777" s="319"/>
      <c r="L9777" s="218"/>
    </row>
    <row r="9778">
      <c r="B9778" s="223" t="s">
        <v>200</v>
      </c>
      <c r="C9778" s="223"/>
      <c r="K9778" s="319"/>
      <c r="L9778" s="218"/>
    </row>
    <row r="9779">
      <c r="B9779" s="223" t="s">
        <v>200</v>
      </c>
      <c r="C9779" s="223"/>
      <c r="K9779" s="319"/>
      <c r="L9779" s="218"/>
    </row>
    <row r="9780">
      <c r="B9780" s="223" t="s">
        <v>200</v>
      </c>
      <c r="C9780" s="223"/>
      <c r="K9780" s="319"/>
      <c r="L9780" s="218"/>
    </row>
    <row r="9781">
      <c r="B9781" s="223" t="s">
        <v>200</v>
      </c>
      <c r="C9781" s="223"/>
      <c r="K9781" s="319"/>
      <c r="L9781" s="218"/>
    </row>
    <row r="9782">
      <c r="B9782" s="223" t="s">
        <v>200</v>
      </c>
      <c r="C9782" s="223"/>
      <c r="K9782" s="319"/>
      <c r="L9782" s="218"/>
    </row>
    <row r="9783">
      <c r="B9783" s="223" t="s">
        <v>200</v>
      </c>
      <c r="C9783" s="223"/>
      <c r="K9783" s="319"/>
      <c r="L9783" s="218"/>
    </row>
    <row r="9784">
      <c r="B9784" s="223" t="s">
        <v>200</v>
      </c>
      <c r="C9784" s="223"/>
      <c r="K9784" s="319"/>
      <c r="L9784" s="218"/>
    </row>
    <row r="9785">
      <c r="B9785" s="223" t="s">
        <v>200</v>
      </c>
      <c r="C9785" s="223"/>
      <c r="K9785" s="319"/>
      <c r="L9785" s="218"/>
    </row>
    <row r="9786">
      <c r="B9786" s="223" t="s">
        <v>200</v>
      </c>
      <c r="C9786" s="223"/>
      <c r="K9786" s="319"/>
      <c r="L9786" s="218"/>
    </row>
    <row r="9787">
      <c r="B9787" s="223" t="s">
        <v>200</v>
      </c>
      <c r="C9787" s="223"/>
      <c r="K9787" s="319"/>
      <c r="L9787" s="218"/>
    </row>
    <row r="9788">
      <c r="B9788" s="223" t="s">
        <v>200</v>
      </c>
      <c r="C9788" s="223"/>
      <c r="K9788" s="319"/>
      <c r="L9788" s="218"/>
    </row>
    <row r="9789">
      <c r="B9789" s="223" t="s">
        <v>200</v>
      </c>
      <c r="C9789" s="223"/>
      <c r="K9789" s="319"/>
      <c r="L9789" s="218"/>
    </row>
    <row r="9790">
      <c r="B9790" s="223" t="s">
        <v>200</v>
      </c>
      <c r="C9790" s="223"/>
      <c r="K9790" s="319"/>
      <c r="L9790" s="218"/>
    </row>
    <row r="9791">
      <c r="B9791" s="223" t="s">
        <v>200</v>
      </c>
      <c r="C9791" s="223"/>
      <c r="K9791" s="319"/>
      <c r="L9791" s="218"/>
    </row>
    <row r="9792">
      <c r="B9792" s="223" t="s">
        <v>200</v>
      </c>
      <c r="C9792" s="223"/>
      <c r="K9792" s="319"/>
      <c r="L9792" s="218"/>
    </row>
    <row r="9793">
      <c r="B9793" s="223" t="s">
        <v>200</v>
      </c>
      <c r="C9793" s="223"/>
      <c r="K9793" s="319"/>
      <c r="L9793" s="218"/>
    </row>
    <row r="9794">
      <c r="B9794" s="223" t="s">
        <v>200</v>
      </c>
      <c r="C9794" s="223"/>
      <c r="K9794" s="319"/>
      <c r="L9794" s="218"/>
    </row>
    <row r="9795">
      <c r="B9795" s="223" t="s">
        <v>200</v>
      </c>
      <c r="C9795" s="223"/>
      <c r="K9795" s="319"/>
      <c r="L9795" s="218"/>
    </row>
    <row r="9796">
      <c r="B9796" s="223" t="s">
        <v>200</v>
      </c>
      <c r="C9796" s="223"/>
      <c r="K9796" s="319"/>
      <c r="L9796" s="218"/>
    </row>
    <row r="9797">
      <c r="B9797" s="223" t="s">
        <v>200</v>
      </c>
      <c r="C9797" s="223"/>
      <c r="K9797" s="319"/>
      <c r="L9797" s="218"/>
    </row>
    <row r="9798">
      <c r="B9798" s="223" t="s">
        <v>200</v>
      </c>
      <c r="C9798" s="223"/>
      <c r="K9798" s="319"/>
      <c r="L9798" s="218"/>
    </row>
    <row r="9799">
      <c r="B9799" s="223" t="s">
        <v>200</v>
      </c>
      <c r="C9799" s="223"/>
      <c r="K9799" s="319"/>
      <c r="L9799" s="218"/>
    </row>
    <row r="9800">
      <c r="B9800" s="223" t="s">
        <v>200</v>
      </c>
      <c r="C9800" s="223"/>
      <c r="K9800" s="319"/>
      <c r="L9800" s="218"/>
    </row>
    <row r="9801">
      <c r="B9801" s="223" t="s">
        <v>200</v>
      </c>
      <c r="C9801" s="223"/>
      <c r="K9801" s="319"/>
      <c r="L9801" s="218"/>
    </row>
    <row r="9802">
      <c r="B9802" s="223" t="s">
        <v>200</v>
      </c>
      <c r="C9802" s="223"/>
      <c r="K9802" s="319"/>
      <c r="L9802" s="218"/>
    </row>
    <row r="9803">
      <c r="B9803" s="223" t="s">
        <v>200</v>
      </c>
      <c r="C9803" s="223"/>
      <c r="K9803" s="319"/>
      <c r="L9803" s="218"/>
    </row>
    <row r="9804">
      <c r="B9804" s="223" t="s">
        <v>200</v>
      </c>
      <c r="C9804" s="223"/>
      <c r="K9804" s="319"/>
      <c r="L9804" s="218"/>
    </row>
    <row r="9805">
      <c r="B9805" s="223" t="s">
        <v>200</v>
      </c>
      <c r="C9805" s="223"/>
      <c r="K9805" s="319"/>
      <c r="L9805" s="218"/>
    </row>
    <row r="9806">
      <c r="B9806" s="223" t="s">
        <v>200</v>
      </c>
      <c r="C9806" s="223"/>
      <c r="K9806" s="319"/>
      <c r="L9806" s="218"/>
    </row>
    <row r="9807">
      <c r="B9807" s="223" t="s">
        <v>200</v>
      </c>
      <c r="C9807" s="223"/>
      <c r="K9807" s="319"/>
      <c r="L9807" s="218"/>
    </row>
    <row r="9808">
      <c r="B9808" s="223" t="s">
        <v>200</v>
      </c>
      <c r="C9808" s="223"/>
      <c r="K9808" s="319"/>
      <c r="L9808" s="218"/>
    </row>
    <row r="9809">
      <c r="B9809" s="223" t="s">
        <v>200</v>
      </c>
      <c r="C9809" s="223"/>
      <c r="K9809" s="319"/>
      <c r="L9809" s="218"/>
    </row>
    <row r="9810">
      <c r="B9810" s="223" t="s">
        <v>200</v>
      </c>
      <c r="C9810" s="223"/>
      <c r="K9810" s="319"/>
      <c r="L9810" s="218"/>
    </row>
    <row r="9811">
      <c r="B9811" s="223" t="s">
        <v>200</v>
      </c>
      <c r="C9811" s="223"/>
      <c r="K9811" s="319"/>
      <c r="L9811" s="218"/>
    </row>
    <row r="9812">
      <c r="B9812" s="223" t="s">
        <v>200</v>
      </c>
      <c r="C9812" s="223"/>
      <c r="K9812" s="319"/>
      <c r="L9812" s="218"/>
    </row>
    <row r="9813">
      <c r="B9813" s="223" t="s">
        <v>200</v>
      </c>
      <c r="C9813" s="223"/>
      <c r="K9813" s="319"/>
      <c r="L9813" s="218"/>
    </row>
    <row r="9814">
      <c r="B9814" s="223" t="s">
        <v>200</v>
      </c>
      <c r="C9814" s="223"/>
      <c r="K9814" s="319"/>
      <c r="L9814" s="218"/>
    </row>
    <row r="9815">
      <c r="B9815" s="223" t="s">
        <v>200</v>
      </c>
      <c r="C9815" s="223"/>
      <c r="K9815" s="319"/>
      <c r="L9815" s="218"/>
    </row>
    <row r="9816">
      <c r="B9816" s="223" t="s">
        <v>200</v>
      </c>
      <c r="C9816" s="223"/>
      <c r="K9816" s="319"/>
      <c r="L9816" s="218"/>
    </row>
    <row r="9817">
      <c r="B9817" s="223" t="s">
        <v>200</v>
      </c>
      <c r="C9817" s="223"/>
      <c r="K9817" s="319"/>
      <c r="L9817" s="218"/>
    </row>
    <row r="9818">
      <c r="B9818" s="223" t="s">
        <v>200</v>
      </c>
      <c r="C9818" s="223"/>
      <c r="K9818" s="319"/>
      <c r="L9818" s="218"/>
    </row>
    <row r="9819">
      <c r="B9819" s="223" t="s">
        <v>200</v>
      </c>
      <c r="C9819" s="223"/>
      <c r="K9819" s="319"/>
      <c r="L9819" s="218"/>
    </row>
    <row r="9820">
      <c r="B9820" s="223" t="s">
        <v>200</v>
      </c>
      <c r="C9820" s="223"/>
      <c r="K9820" s="319"/>
      <c r="L9820" s="218"/>
    </row>
    <row r="9821">
      <c r="B9821" s="223" t="s">
        <v>200</v>
      </c>
      <c r="C9821" s="223"/>
      <c r="K9821" s="319"/>
      <c r="L9821" s="218"/>
    </row>
    <row r="9822">
      <c r="B9822" s="223" t="s">
        <v>200</v>
      </c>
      <c r="C9822" s="223"/>
      <c r="K9822" s="319"/>
      <c r="L9822" s="218"/>
    </row>
    <row r="9823">
      <c r="B9823" s="223" t="s">
        <v>200</v>
      </c>
      <c r="C9823" s="223"/>
      <c r="K9823" s="319"/>
      <c r="L9823" s="218"/>
    </row>
    <row r="9824">
      <c r="B9824" s="223" t="s">
        <v>200</v>
      </c>
      <c r="C9824" s="223"/>
      <c r="K9824" s="319"/>
      <c r="L9824" s="218"/>
    </row>
    <row r="9825">
      <c r="B9825" s="223" t="s">
        <v>200</v>
      </c>
      <c r="C9825" s="223"/>
      <c r="K9825" s="319"/>
      <c r="L9825" s="218"/>
    </row>
    <row r="9826">
      <c r="B9826" s="223" t="s">
        <v>200</v>
      </c>
      <c r="C9826" s="223"/>
      <c r="K9826" s="319"/>
      <c r="L9826" s="218"/>
    </row>
    <row r="9827">
      <c r="B9827" s="223" t="s">
        <v>200</v>
      </c>
      <c r="C9827" s="223"/>
      <c r="K9827" s="319"/>
      <c r="L9827" s="218"/>
    </row>
    <row r="9828">
      <c r="B9828" s="223" t="s">
        <v>200</v>
      </c>
      <c r="C9828" s="223"/>
      <c r="K9828" s="319"/>
      <c r="L9828" s="218"/>
    </row>
    <row r="9829">
      <c r="B9829" s="223" t="s">
        <v>200</v>
      </c>
      <c r="C9829" s="223"/>
      <c r="K9829" s="319"/>
      <c r="L9829" s="218"/>
    </row>
    <row r="9830">
      <c r="B9830" s="223" t="s">
        <v>200</v>
      </c>
      <c r="C9830" s="223"/>
      <c r="K9830" s="319"/>
      <c r="L9830" s="218"/>
    </row>
    <row r="9831">
      <c r="B9831" s="223" t="s">
        <v>200</v>
      </c>
      <c r="C9831" s="223"/>
      <c r="K9831" s="319"/>
      <c r="L9831" s="218"/>
    </row>
    <row r="9832">
      <c r="B9832" s="223" t="s">
        <v>200</v>
      </c>
      <c r="C9832" s="223"/>
      <c r="K9832" s="319"/>
      <c r="L9832" s="218"/>
    </row>
    <row r="9833">
      <c r="B9833" s="223" t="s">
        <v>200</v>
      </c>
      <c r="C9833" s="223"/>
      <c r="K9833" s="319"/>
      <c r="L9833" s="218"/>
    </row>
    <row r="9834">
      <c r="B9834" s="223" t="s">
        <v>200</v>
      </c>
      <c r="C9834" s="223"/>
      <c r="K9834" s="319"/>
      <c r="L9834" s="218"/>
    </row>
    <row r="9835">
      <c r="B9835" s="223" t="s">
        <v>200</v>
      </c>
      <c r="C9835" s="223"/>
      <c r="K9835" s="319"/>
      <c r="L9835" s="218"/>
    </row>
    <row r="9836">
      <c r="B9836" s="223" t="s">
        <v>200</v>
      </c>
      <c r="C9836" s="223"/>
      <c r="K9836" s="319"/>
      <c r="L9836" s="218"/>
    </row>
    <row r="9837">
      <c r="B9837" s="223" t="s">
        <v>200</v>
      </c>
      <c r="C9837" s="223"/>
      <c r="K9837" s="319"/>
      <c r="L9837" s="218"/>
    </row>
    <row r="9838">
      <c r="B9838" s="223" t="s">
        <v>200</v>
      </c>
      <c r="C9838" s="223"/>
      <c r="K9838" s="319"/>
      <c r="L9838" s="218"/>
    </row>
    <row r="9839">
      <c r="B9839" s="223" t="s">
        <v>200</v>
      </c>
      <c r="C9839" s="223"/>
      <c r="K9839" s="319"/>
      <c r="L9839" s="218"/>
    </row>
    <row r="9840">
      <c r="B9840" s="223" t="s">
        <v>200</v>
      </c>
      <c r="C9840" s="223"/>
      <c r="K9840" s="319"/>
      <c r="L9840" s="218"/>
    </row>
    <row r="9841">
      <c r="B9841" s="223" t="s">
        <v>200</v>
      </c>
      <c r="C9841" s="223"/>
      <c r="K9841" s="319"/>
      <c r="L9841" s="218"/>
    </row>
    <row r="9842">
      <c r="B9842" s="223" t="s">
        <v>200</v>
      </c>
      <c r="C9842" s="223"/>
      <c r="K9842" s="319"/>
      <c r="L9842" s="218"/>
    </row>
    <row r="9843">
      <c r="B9843" s="223" t="s">
        <v>200</v>
      </c>
      <c r="C9843" s="223"/>
      <c r="K9843" s="319"/>
      <c r="L9843" s="218"/>
    </row>
    <row r="9844">
      <c r="B9844" s="223" t="s">
        <v>200</v>
      </c>
      <c r="C9844" s="223"/>
      <c r="K9844" s="319"/>
      <c r="L9844" s="218"/>
    </row>
    <row r="9845">
      <c r="B9845" s="223" t="s">
        <v>200</v>
      </c>
      <c r="C9845" s="223"/>
      <c r="K9845" s="319"/>
      <c r="L9845" s="218"/>
    </row>
    <row r="9846">
      <c r="B9846" s="223" t="s">
        <v>200</v>
      </c>
      <c r="C9846" s="223"/>
      <c r="K9846" s="319"/>
      <c r="L9846" s="218"/>
    </row>
    <row r="9847">
      <c r="B9847" s="223" t="s">
        <v>200</v>
      </c>
      <c r="C9847" s="223"/>
      <c r="K9847" s="319"/>
      <c r="L9847" s="218"/>
    </row>
    <row r="9848">
      <c r="B9848" s="223" t="s">
        <v>200</v>
      </c>
      <c r="C9848" s="223"/>
      <c r="K9848" s="319"/>
      <c r="L9848" s="218"/>
    </row>
    <row r="9849">
      <c r="B9849" s="223" t="s">
        <v>200</v>
      </c>
      <c r="C9849" s="223"/>
      <c r="K9849" s="319"/>
      <c r="L9849" s="218"/>
    </row>
    <row r="9850">
      <c r="B9850" s="223" t="s">
        <v>200</v>
      </c>
      <c r="C9850" s="223"/>
      <c r="K9850" s="319"/>
      <c r="L9850" s="218"/>
    </row>
    <row r="9851">
      <c r="B9851" s="223" t="s">
        <v>200</v>
      </c>
      <c r="C9851" s="223"/>
      <c r="K9851" s="319"/>
      <c r="L9851" s="218"/>
    </row>
    <row r="9852">
      <c r="B9852" s="223" t="s">
        <v>200</v>
      </c>
      <c r="C9852" s="223"/>
      <c r="K9852" s="319"/>
      <c r="L9852" s="218"/>
    </row>
    <row r="9853">
      <c r="B9853" s="223" t="s">
        <v>200</v>
      </c>
      <c r="C9853" s="223"/>
      <c r="K9853" s="319"/>
      <c r="L9853" s="218"/>
    </row>
    <row r="9854">
      <c r="B9854" s="223" t="s">
        <v>200</v>
      </c>
      <c r="C9854" s="223"/>
      <c r="K9854" s="319"/>
      <c r="L9854" s="218"/>
    </row>
    <row r="9855">
      <c r="B9855" s="223" t="s">
        <v>200</v>
      </c>
      <c r="C9855" s="223"/>
      <c r="K9855" s="319"/>
      <c r="L9855" s="218"/>
    </row>
    <row r="9856">
      <c r="B9856" s="223" t="s">
        <v>200</v>
      </c>
      <c r="C9856" s="223"/>
      <c r="K9856" s="319"/>
      <c r="L9856" s="218"/>
    </row>
    <row r="9857">
      <c r="B9857" s="223" t="s">
        <v>200</v>
      </c>
      <c r="C9857" s="223"/>
      <c r="K9857" s="319"/>
      <c r="L9857" s="218"/>
    </row>
    <row r="9858">
      <c r="B9858" s="223" t="s">
        <v>200</v>
      </c>
      <c r="C9858" s="223"/>
      <c r="K9858" s="319"/>
      <c r="L9858" s="218"/>
    </row>
    <row r="9859">
      <c r="B9859" s="223" t="s">
        <v>200</v>
      </c>
      <c r="C9859" s="223"/>
      <c r="K9859" s="319"/>
      <c r="L9859" s="218"/>
    </row>
    <row r="9860">
      <c r="B9860" s="223" t="s">
        <v>200</v>
      </c>
      <c r="C9860" s="223"/>
      <c r="K9860" s="319"/>
      <c r="L9860" s="218"/>
    </row>
    <row r="9861">
      <c r="B9861" s="223" t="s">
        <v>200</v>
      </c>
      <c r="C9861" s="223"/>
      <c r="K9861" s="319"/>
      <c r="L9861" s="218"/>
    </row>
    <row r="9862">
      <c r="B9862" s="223" t="s">
        <v>200</v>
      </c>
      <c r="C9862" s="223"/>
      <c r="K9862" s="319"/>
      <c r="L9862" s="218"/>
    </row>
    <row r="9863">
      <c r="B9863" s="223" t="s">
        <v>200</v>
      </c>
      <c r="C9863" s="223"/>
      <c r="K9863" s="319"/>
      <c r="L9863" s="218"/>
    </row>
    <row r="9864">
      <c r="B9864" s="223" t="s">
        <v>200</v>
      </c>
      <c r="C9864" s="223"/>
      <c r="K9864" s="319"/>
      <c r="L9864" s="218"/>
    </row>
    <row r="9865">
      <c r="B9865" s="223" t="s">
        <v>200</v>
      </c>
      <c r="C9865" s="223"/>
      <c r="K9865" s="319"/>
      <c r="L9865" s="218"/>
    </row>
    <row r="9866">
      <c r="B9866" s="223" t="s">
        <v>200</v>
      </c>
      <c r="C9866" s="223"/>
      <c r="K9866" s="319"/>
      <c r="L9866" s="218"/>
    </row>
    <row r="9867">
      <c r="B9867" s="223" t="s">
        <v>200</v>
      </c>
      <c r="C9867" s="223"/>
      <c r="K9867" s="319"/>
      <c r="L9867" s="218"/>
    </row>
    <row r="9868">
      <c r="B9868" s="223" t="s">
        <v>200</v>
      </c>
      <c r="C9868" s="223"/>
      <c r="K9868" s="319"/>
      <c r="L9868" s="218"/>
    </row>
    <row r="9869">
      <c r="B9869" s="223" t="s">
        <v>200</v>
      </c>
      <c r="C9869" s="223"/>
      <c r="K9869" s="319"/>
      <c r="L9869" s="218"/>
    </row>
    <row r="9870">
      <c r="B9870" s="223" t="s">
        <v>200</v>
      </c>
      <c r="C9870" s="223"/>
      <c r="K9870" s="319"/>
      <c r="L9870" s="218"/>
    </row>
    <row r="9871">
      <c r="B9871" s="223" t="s">
        <v>200</v>
      </c>
      <c r="C9871" s="223"/>
      <c r="K9871" s="319"/>
      <c r="L9871" s="218"/>
    </row>
    <row r="9872">
      <c r="B9872" s="223" t="s">
        <v>200</v>
      </c>
      <c r="C9872" s="223"/>
      <c r="K9872" s="319"/>
      <c r="L9872" s="218"/>
    </row>
    <row r="9873">
      <c r="B9873" s="223" t="s">
        <v>200</v>
      </c>
      <c r="C9873" s="223"/>
      <c r="K9873" s="319"/>
      <c r="L9873" s="218"/>
    </row>
    <row r="9874">
      <c r="B9874" s="223" t="s">
        <v>200</v>
      </c>
      <c r="C9874" s="223"/>
      <c r="K9874" s="319"/>
      <c r="L9874" s="218"/>
    </row>
    <row r="9875">
      <c r="B9875" s="223" t="s">
        <v>200</v>
      </c>
      <c r="C9875" s="223"/>
      <c r="K9875" s="319"/>
      <c r="L9875" s="218"/>
    </row>
    <row r="9876">
      <c r="B9876" s="223" t="s">
        <v>200</v>
      </c>
      <c r="C9876" s="223"/>
      <c r="K9876" s="319"/>
      <c r="L9876" s="218"/>
    </row>
    <row r="9877">
      <c r="B9877" s="223" t="s">
        <v>200</v>
      </c>
      <c r="C9877" s="223"/>
      <c r="K9877" s="319"/>
      <c r="L9877" s="218"/>
    </row>
    <row r="9878">
      <c r="B9878" s="223" t="s">
        <v>200</v>
      </c>
      <c r="C9878" s="223"/>
      <c r="K9878" s="319"/>
      <c r="L9878" s="218"/>
    </row>
    <row r="9879">
      <c r="B9879" s="223" t="s">
        <v>200</v>
      </c>
      <c r="C9879" s="223"/>
      <c r="K9879" s="319"/>
      <c r="L9879" s="218"/>
    </row>
    <row r="9880">
      <c r="B9880" s="223" t="s">
        <v>200</v>
      </c>
      <c r="C9880" s="223"/>
      <c r="K9880" s="319"/>
      <c r="L9880" s="218"/>
    </row>
    <row r="9881">
      <c r="B9881" s="223" t="s">
        <v>200</v>
      </c>
      <c r="C9881" s="223"/>
      <c r="K9881" s="319"/>
      <c r="L9881" s="218"/>
    </row>
    <row r="9882">
      <c r="B9882" s="223" t="s">
        <v>200</v>
      </c>
      <c r="C9882" s="223"/>
      <c r="K9882" s="319"/>
      <c r="L9882" s="218"/>
    </row>
    <row r="9883">
      <c r="B9883" s="223" t="s">
        <v>200</v>
      </c>
      <c r="C9883" s="223"/>
      <c r="K9883" s="319"/>
      <c r="L9883" s="218"/>
    </row>
    <row r="9884">
      <c r="B9884" s="223" t="s">
        <v>200</v>
      </c>
      <c r="C9884" s="223"/>
      <c r="K9884" s="319"/>
      <c r="L9884" s="218"/>
    </row>
    <row r="9885">
      <c r="B9885" s="223" t="s">
        <v>200</v>
      </c>
      <c r="C9885" s="223"/>
      <c r="K9885" s="319"/>
      <c r="L9885" s="218"/>
    </row>
    <row r="9886">
      <c r="B9886" s="223" t="s">
        <v>200</v>
      </c>
      <c r="C9886" s="223"/>
      <c r="K9886" s="319"/>
      <c r="L9886" s="218"/>
    </row>
    <row r="9887">
      <c r="B9887" s="223" t="s">
        <v>200</v>
      </c>
      <c r="C9887" s="223"/>
      <c r="K9887" s="319"/>
      <c r="L9887" s="218"/>
    </row>
    <row r="9888">
      <c r="B9888" s="223" t="s">
        <v>200</v>
      </c>
      <c r="C9888" s="223"/>
      <c r="K9888" s="319"/>
      <c r="L9888" s="218"/>
    </row>
    <row r="9889">
      <c r="B9889" s="223" t="s">
        <v>200</v>
      </c>
      <c r="C9889" s="223"/>
      <c r="K9889" s="319"/>
      <c r="L9889" s="218"/>
    </row>
    <row r="9890">
      <c r="B9890" s="223" t="s">
        <v>200</v>
      </c>
      <c r="C9890" s="223"/>
      <c r="K9890" s="319"/>
      <c r="L9890" s="218"/>
    </row>
    <row r="9891">
      <c r="B9891" s="223" t="s">
        <v>200</v>
      </c>
      <c r="C9891" s="223"/>
      <c r="K9891" s="319"/>
      <c r="L9891" s="218"/>
    </row>
    <row r="9892">
      <c r="B9892" s="223" t="s">
        <v>200</v>
      </c>
      <c r="C9892" s="223"/>
      <c r="K9892" s="319"/>
      <c r="L9892" s="218"/>
    </row>
    <row r="9893">
      <c r="B9893" s="223" t="s">
        <v>200</v>
      </c>
      <c r="C9893" s="223"/>
      <c r="K9893" s="319"/>
      <c r="L9893" s="218"/>
    </row>
    <row r="9894">
      <c r="B9894" s="223" t="s">
        <v>200</v>
      </c>
      <c r="C9894" s="223"/>
      <c r="K9894" s="319"/>
      <c r="L9894" s="218"/>
    </row>
    <row r="9895">
      <c r="B9895" s="223" t="s">
        <v>200</v>
      </c>
      <c r="C9895" s="223"/>
      <c r="K9895" s="319"/>
      <c r="L9895" s="218"/>
    </row>
    <row r="9896">
      <c r="B9896" s="223" t="s">
        <v>200</v>
      </c>
      <c r="C9896" s="223"/>
      <c r="K9896" s="319"/>
      <c r="L9896" s="218"/>
    </row>
    <row r="9897">
      <c r="B9897" s="223" t="s">
        <v>200</v>
      </c>
      <c r="C9897" s="223"/>
      <c r="K9897" s="319"/>
      <c r="L9897" s="218"/>
    </row>
    <row r="9898">
      <c r="B9898" s="223" t="s">
        <v>200</v>
      </c>
      <c r="C9898" s="223"/>
      <c r="K9898" s="319"/>
      <c r="L9898" s="218"/>
    </row>
    <row r="9899">
      <c r="B9899" s="223" t="s">
        <v>200</v>
      </c>
      <c r="C9899" s="223"/>
      <c r="K9899" s="319"/>
      <c r="L9899" s="218"/>
    </row>
    <row r="9900">
      <c r="B9900" s="223" t="s">
        <v>200</v>
      </c>
      <c r="C9900" s="223"/>
      <c r="K9900" s="319"/>
      <c r="L9900" s="218"/>
    </row>
    <row r="9901">
      <c r="B9901" s="223" t="s">
        <v>200</v>
      </c>
      <c r="C9901" s="223"/>
      <c r="K9901" s="319"/>
      <c r="L9901" s="218"/>
    </row>
    <row r="9902">
      <c r="B9902" s="223" t="s">
        <v>200</v>
      </c>
      <c r="C9902" s="223"/>
      <c r="K9902" s="319"/>
      <c r="L9902" s="218"/>
    </row>
    <row r="9903">
      <c r="B9903" s="223" t="s">
        <v>200</v>
      </c>
      <c r="C9903" s="223"/>
      <c r="K9903" s="319"/>
      <c r="L9903" s="218"/>
    </row>
    <row r="9904">
      <c r="B9904" s="223" t="s">
        <v>200</v>
      </c>
      <c r="C9904" s="223"/>
      <c r="K9904" s="319"/>
      <c r="L9904" s="218"/>
    </row>
    <row r="9905">
      <c r="B9905" s="223" t="s">
        <v>200</v>
      </c>
      <c r="C9905" s="223"/>
      <c r="K9905" s="319"/>
      <c r="L9905" s="218"/>
    </row>
    <row r="9906">
      <c r="B9906" s="223" t="s">
        <v>200</v>
      </c>
      <c r="C9906" s="223"/>
      <c r="K9906" s="319"/>
      <c r="L9906" s="218"/>
    </row>
    <row r="9907">
      <c r="B9907" s="223" t="s">
        <v>200</v>
      </c>
      <c r="C9907" s="223"/>
      <c r="K9907" s="319"/>
      <c r="L9907" s="218"/>
    </row>
    <row r="9908">
      <c r="B9908" s="223" t="s">
        <v>200</v>
      </c>
      <c r="C9908" s="223"/>
      <c r="K9908" s="319"/>
      <c r="L9908" s="218"/>
    </row>
    <row r="9909">
      <c r="B9909" s="223" t="s">
        <v>200</v>
      </c>
      <c r="C9909" s="223"/>
      <c r="K9909" s="319"/>
      <c r="L9909" s="218"/>
    </row>
    <row r="9910">
      <c r="B9910" s="223" t="s">
        <v>200</v>
      </c>
      <c r="C9910" s="223"/>
      <c r="K9910" s="319"/>
      <c r="L9910" s="218"/>
    </row>
    <row r="9911">
      <c r="B9911" s="223" t="s">
        <v>200</v>
      </c>
      <c r="C9911" s="223"/>
      <c r="K9911" s="319"/>
      <c r="L9911" s="218"/>
    </row>
    <row r="9912">
      <c r="B9912" s="223" t="s">
        <v>200</v>
      </c>
      <c r="C9912" s="223"/>
      <c r="K9912" s="319"/>
      <c r="L9912" s="218"/>
    </row>
    <row r="9913">
      <c r="B9913" s="223" t="s">
        <v>200</v>
      </c>
      <c r="C9913" s="223"/>
      <c r="K9913" s="319"/>
      <c r="L9913" s="218"/>
    </row>
    <row r="9914">
      <c r="B9914" s="223" t="s">
        <v>200</v>
      </c>
      <c r="C9914" s="223"/>
      <c r="K9914" s="319"/>
      <c r="L9914" s="218"/>
    </row>
    <row r="9915">
      <c r="B9915" s="223" t="s">
        <v>200</v>
      </c>
      <c r="C9915" s="223"/>
      <c r="K9915" s="319"/>
      <c r="L9915" s="218"/>
    </row>
    <row r="9916">
      <c r="B9916" s="223" t="s">
        <v>200</v>
      </c>
      <c r="C9916" s="223"/>
      <c r="K9916" s="319"/>
      <c r="L9916" s="218"/>
    </row>
    <row r="9917">
      <c r="B9917" s="223" t="s">
        <v>200</v>
      </c>
      <c r="C9917" s="223"/>
      <c r="K9917" s="319"/>
      <c r="L9917" s="218"/>
    </row>
    <row r="9918">
      <c r="B9918" s="223" t="s">
        <v>200</v>
      </c>
      <c r="C9918" s="223"/>
      <c r="K9918" s="319"/>
      <c r="L9918" s="218"/>
    </row>
    <row r="9919">
      <c r="B9919" s="223" t="s">
        <v>200</v>
      </c>
      <c r="C9919" s="223"/>
      <c r="K9919" s="319"/>
      <c r="L9919" s="218"/>
    </row>
    <row r="9920">
      <c r="B9920" s="223" t="s">
        <v>200</v>
      </c>
      <c r="C9920" s="223"/>
      <c r="K9920" s="319"/>
      <c r="L9920" s="218"/>
    </row>
    <row r="9921">
      <c r="B9921" s="223" t="s">
        <v>200</v>
      </c>
      <c r="C9921" s="223"/>
      <c r="K9921" s="319"/>
      <c r="L9921" s="218"/>
    </row>
    <row r="9922">
      <c r="B9922" s="223" t="s">
        <v>200</v>
      </c>
      <c r="C9922" s="223"/>
      <c r="K9922" s="319"/>
      <c r="L9922" s="218"/>
    </row>
    <row r="9923">
      <c r="B9923" s="223" t="s">
        <v>200</v>
      </c>
      <c r="C9923" s="223"/>
      <c r="K9923" s="319"/>
      <c r="L9923" s="218"/>
    </row>
    <row r="9924">
      <c r="B9924" s="223" t="s">
        <v>200</v>
      </c>
      <c r="C9924" s="223"/>
      <c r="K9924" s="319"/>
      <c r="L9924" s="218"/>
    </row>
    <row r="9925">
      <c r="B9925" s="223" t="s">
        <v>200</v>
      </c>
      <c r="C9925" s="223"/>
      <c r="K9925" s="319"/>
      <c r="L9925" s="218"/>
    </row>
    <row r="9926">
      <c r="B9926" s="223" t="s">
        <v>200</v>
      </c>
      <c r="C9926" s="223"/>
      <c r="K9926" s="319"/>
      <c r="L9926" s="218"/>
    </row>
    <row r="9927">
      <c r="B9927" s="223" t="s">
        <v>200</v>
      </c>
      <c r="C9927" s="223"/>
      <c r="K9927" s="319"/>
      <c r="L9927" s="218"/>
    </row>
    <row r="9928">
      <c r="B9928" s="223" t="s">
        <v>200</v>
      </c>
      <c r="C9928" s="223"/>
      <c r="K9928" s="319"/>
      <c r="L9928" s="218"/>
    </row>
    <row r="9929">
      <c r="B9929" s="223" t="s">
        <v>200</v>
      </c>
      <c r="C9929" s="223"/>
      <c r="K9929" s="319"/>
      <c r="L9929" s="218"/>
    </row>
    <row r="9930">
      <c r="B9930" s="223" t="s">
        <v>200</v>
      </c>
      <c r="C9930" s="223"/>
      <c r="K9930" s="319"/>
      <c r="L9930" s="218"/>
    </row>
    <row r="9931">
      <c r="B9931" s="223" t="s">
        <v>200</v>
      </c>
      <c r="C9931" s="223"/>
      <c r="K9931" s="319"/>
      <c r="L9931" s="218"/>
    </row>
    <row r="9932">
      <c r="B9932" s="223" t="s">
        <v>200</v>
      </c>
      <c r="C9932" s="223"/>
      <c r="K9932" s="319"/>
      <c r="L9932" s="218"/>
    </row>
    <row r="9933">
      <c r="B9933" s="223" t="s">
        <v>200</v>
      </c>
      <c r="C9933" s="223"/>
      <c r="K9933" s="319"/>
      <c r="L9933" s="218"/>
    </row>
    <row r="9934">
      <c r="B9934" s="223" t="s">
        <v>200</v>
      </c>
      <c r="C9934" s="223"/>
      <c r="K9934" s="319"/>
      <c r="L9934" s="218"/>
    </row>
    <row r="9935">
      <c r="B9935" s="223" t="s">
        <v>200</v>
      </c>
      <c r="C9935" s="223"/>
      <c r="K9935" s="319"/>
      <c r="L9935" s="218"/>
    </row>
    <row r="9936">
      <c r="B9936" s="223" t="s">
        <v>200</v>
      </c>
      <c r="C9936" s="223"/>
      <c r="K9936" s="319"/>
      <c r="L9936" s="218"/>
    </row>
    <row r="9937">
      <c r="B9937" s="223" t="s">
        <v>200</v>
      </c>
      <c r="C9937" s="223"/>
      <c r="K9937" s="319"/>
      <c r="L9937" s="218"/>
    </row>
    <row r="9938">
      <c r="B9938" s="223" t="s">
        <v>200</v>
      </c>
      <c r="C9938" s="223"/>
      <c r="K9938" s="319"/>
      <c r="L9938" s="218"/>
    </row>
    <row r="9939">
      <c r="B9939" s="223" t="s">
        <v>200</v>
      </c>
      <c r="C9939" s="223"/>
      <c r="K9939" s="319"/>
      <c r="L9939" s="218"/>
    </row>
    <row r="9940">
      <c r="B9940" s="223" t="s">
        <v>200</v>
      </c>
      <c r="C9940" s="223"/>
      <c r="K9940" s="319"/>
      <c r="L9940" s="218"/>
    </row>
    <row r="9941">
      <c r="B9941" s="223" t="s">
        <v>200</v>
      </c>
      <c r="C9941" s="223"/>
      <c r="K9941" s="319"/>
      <c r="L9941" s="218"/>
    </row>
    <row r="9942">
      <c r="B9942" s="223" t="s">
        <v>200</v>
      </c>
      <c r="C9942" s="223"/>
      <c r="K9942" s="319"/>
      <c r="L9942" s="218"/>
    </row>
    <row r="9943">
      <c r="B9943" s="223" t="s">
        <v>200</v>
      </c>
      <c r="C9943" s="223"/>
      <c r="K9943" s="319"/>
      <c r="L9943" s="218"/>
    </row>
    <row r="9944">
      <c r="B9944" s="223" t="s">
        <v>200</v>
      </c>
      <c r="C9944" s="223"/>
      <c r="K9944" s="319"/>
      <c r="L9944" s="218"/>
    </row>
    <row r="9945">
      <c r="B9945" s="223" t="s">
        <v>200</v>
      </c>
      <c r="C9945" s="223"/>
      <c r="K9945" s="319"/>
      <c r="L9945" s="218"/>
    </row>
    <row r="9946">
      <c r="B9946" s="223" t="s">
        <v>200</v>
      </c>
      <c r="C9946" s="223"/>
      <c r="K9946" s="319"/>
      <c r="L9946" s="218"/>
    </row>
    <row r="9947">
      <c r="B9947" s="223" t="s">
        <v>200</v>
      </c>
      <c r="C9947" s="223"/>
      <c r="K9947" s="319"/>
      <c r="L9947" s="218"/>
    </row>
    <row r="9948">
      <c r="B9948" s="223" t="s">
        <v>200</v>
      </c>
      <c r="C9948" s="223"/>
      <c r="K9948" s="319"/>
      <c r="L9948" s="218"/>
    </row>
    <row r="9949">
      <c r="B9949" s="223" t="s">
        <v>200</v>
      </c>
      <c r="C9949" s="223"/>
      <c r="K9949" s="319"/>
      <c r="L9949" s="218"/>
    </row>
    <row r="9950">
      <c r="B9950" s="223" t="s">
        <v>200</v>
      </c>
      <c r="C9950" s="223"/>
      <c r="K9950" s="319"/>
      <c r="L9950" s="218"/>
    </row>
    <row r="9951">
      <c r="B9951" s="223" t="s">
        <v>200</v>
      </c>
      <c r="C9951" s="223"/>
      <c r="K9951" s="319"/>
      <c r="L9951" s="218"/>
    </row>
    <row r="9952">
      <c r="B9952" s="223" t="s">
        <v>200</v>
      </c>
      <c r="C9952" s="223"/>
      <c r="K9952" s="319"/>
      <c r="L9952" s="218"/>
    </row>
    <row r="9953">
      <c r="B9953" s="223" t="s">
        <v>200</v>
      </c>
      <c r="C9953" s="223"/>
      <c r="K9953" s="319"/>
      <c r="L9953" s="218"/>
    </row>
    <row r="9954">
      <c r="B9954" s="223" t="s">
        <v>200</v>
      </c>
      <c r="C9954" s="223"/>
      <c r="K9954" s="319"/>
      <c r="L9954" s="218"/>
    </row>
    <row r="9955">
      <c r="B9955" s="223" t="s">
        <v>200</v>
      </c>
      <c r="C9955" s="223"/>
      <c r="K9955" s="319"/>
      <c r="L9955" s="218"/>
    </row>
    <row r="9956">
      <c r="B9956" s="223" t="s">
        <v>200</v>
      </c>
      <c r="C9956" s="223"/>
      <c r="K9956" s="319"/>
      <c r="L9956" s="218"/>
    </row>
    <row r="9957">
      <c r="B9957" s="223" t="s">
        <v>200</v>
      </c>
      <c r="C9957" s="223"/>
      <c r="K9957" s="319"/>
      <c r="L9957" s="218"/>
    </row>
    <row r="9958">
      <c r="B9958" s="223" t="s">
        <v>200</v>
      </c>
      <c r="C9958" s="223"/>
      <c r="K9958" s="319"/>
      <c r="L9958" s="218"/>
    </row>
    <row r="9959">
      <c r="B9959" s="223" t="s">
        <v>200</v>
      </c>
      <c r="C9959" s="223"/>
      <c r="K9959" s="319"/>
      <c r="L9959" s="218"/>
    </row>
    <row r="9960">
      <c r="B9960" s="223" t="s">
        <v>200</v>
      </c>
      <c r="C9960" s="223"/>
      <c r="K9960" s="319"/>
      <c r="L9960" s="218"/>
    </row>
    <row r="9961">
      <c r="B9961" s="223" t="s">
        <v>200</v>
      </c>
      <c r="C9961" s="223"/>
      <c r="K9961" s="319"/>
      <c r="L9961" s="218"/>
    </row>
    <row r="9962">
      <c r="B9962" s="223" t="s">
        <v>200</v>
      </c>
      <c r="C9962" s="223"/>
      <c r="K9962" s="319"/>
      <c r="L9962" s="218"/>
    </row>
    <row r="9963">
      <c r="B9963" s="223" t="s">
        <v>200</v>
      </c>
      <c r="C9963" s="223"/>
      <c r="K9963" s="319"/>
      <c r="L9963" s="218"/>
    </row>
    <row r="9964">
      <c r="B9964" s="223" t="s">
        <v>200</v>
      </c>
      <c r="C9964" s="223"/>
      <c r="K9964" s="319"/>
      <c r="L9964" s="218"/>
    </row>
    <row r="9965">
      <c r="B9965" s="223" t="s">
        <v>200</v>
      </c>
      <c r="C9965" s="223"/>
      <c r="K9965" s="319"/>
      <c r="L9965" s="218"/>
    </row>
    <row r="9966">
      <c r="B9966" s="223" t="s">
        <v>200</v>
      </c>
      <c r="C9966" s="223"/>
      <c r="K9966" s="319"/>
      <c r="L9966" s="218"/>
    </row>
    <row r="9967">
      <c r="B9967" s="223" t="s">
        <v>200</v>
      </c>
      <c r="C9967" s="223"/>
      <c r="K9967" s="319"/>
      <c r="L9967" s="218"/>
    </row>
    <row r="9968">
      <c r="B9968" s="223" t="s">
        <v>200</v>
      </c>
      <c r="C9968" s="223"/>
      <c r="K9968" s="319"/>
      <c r="L9968" s="218"/>
    </row>
    <row r="9969">
      <c r="B9969" s="223" t="s">
        <v>200</v>
      </c>
      <c r="C9969" s="223"/>
      <c r="K9969" s="319"/>
      <c r="L9969" s="218"/>
    </row>
    <row r="9970">
      <c r="B9970" s="223" t="s">
        <v>200</v>
      </c>
      <c r="C9970" s="223"/>
      <c r="K9970" s="319"/>
      <c r="L9970" s="218"/>
    </row>
    <row r="9971">
      <c r="B9971" s="223" t="s">
        <v>200</v>
      </c>
      <c r="C9971" s="223"/>
      <c r="K9971" s="319"/>
      <c r="L9971" s="218"/>
    </row>
    <row r="9972">
      <c r="B9972" s="223" t="s">
        <v>200</v>
      </c>
      <c r="C9972" s="223"/>
      <c r="K9972" s="319"/>
      <c r="L9972" s="218"/>
    </row>
    <row r="9973">
      <c r="B9973" s="223" t="s">
        <v>200</v>
      </c>
      <c r="C9973" s="223"/>
      <c r="K9973" s="319"/>
      <c r="L9973" s="218"/>
    </row>
    <row r="9974">
      <c r="B9974" s="223" t="s">
        <v>200</v>
      </c>
      <c r="C9974" s="223"/>
      <c r="K9974" s="319"/>
      <c r="L9974" s="218"/>
    </row>
    <row r="9975">
      <c r="B9975" s="223" t="s">
        <v>200</v>
      </c>
      <c r="C9975" s="223"/>
      <c r="K9975" s="319"/>
      <c r="L9975" s="218"/>
    </row>
    <row r="9976">
      <c r="B9976" s="223" t="s">
        <v>200</v>
      </c>
      <c r="C9976" s="223"/>
      <c r="K9976" s="319"/>
      <c r="L9976" s="218"/>
    </row>
    <row r="9977">
      <c r="B9977" s="223" t="s">
        <v>200</v>
      </c>
      <c r="C9977" s="223"/>
      <c r="K9977" s="319"/>
      <c r="L9977" s="218"/>
    </row>
    <row r="9978">
      <c r="B9978" s="223" t="s">
        <v>200</v>
      </c>
      <c r="C9978" s="223"/>
      <c r="K9978" s="319"/>
      <c r="L9978" s="218"/>
    </row>
    <row r="9979">
      <c r="B9979" s="223" t="s">
        <v>200</v>
      </c>
      <c r="C9979" s="223"/>
      <c r="K9979" s="319"/>
      <c r="L9979" s="218"/>
    </row>
    <row r="9980">
      <c r="B9980" s="223" t="s">
        <v>200</v>
      </c>
      <c r="C9980" s="223"/>
      <c r="K9980" s="319"/>
      <c r="L9980" s="218"/>
    </row>
    <row r="9981">
      <c r="B9981" s="223" t="s">
        <v>200</v>
      </c>
      <c r="C9981" s="223"/>
      <c r="K9981" s="319"/>
      <c r="L9981" s="218"/>
    </row>
    <row r="9982">
      <c r="B9982" s="223" t="s">
        <v>200</v>
      </c>
      <c r="C9982" s="223"/>
      <c r="K9982" s="319"/>
      <c r="L9982" s="218"/>
    </row>
    <row r="9983">
      <c r="B9983" s="223" t="s">
        <v>200</v>
      </c>
      <c r="C9983" s="223"/>
      <c r="K9983" s="319"/>
      <c r="L9983" s="218"/>
    </row>
    <row r="9984">
      <c r="B9984" s="223" t="s">
        <v>200</v>
      </c>
      <c r="C9984" s="223"/>
      <c r="K9984" s="319"/>
      <c r="L9984" s="218"/>
    </row>
    <row r="9985">
      <c r="B9985" s="223" t="s">
        <v>200</v>
      </c>
      <c r="C9985" s="223"/>
      <c r="K9985" s="319"/>
      <c r="L9985" s="218"/>
    </row>
    <row r="9986">
      <c r="B9986" s="223" t="s">
        <v>200</v>
      </c>
      <c r="C9986" s="223"/>
      <c r="K9986" s="319"/>
      <c r="L9986" s="218"/>
    </row>
    <row r="9987">
      <c r="B9987" s="223" t="s">
        <v>200</v>
      </c>
      <c r="C9987" s="223"/>
      <c r="K9987" s="319"/>
      <c r="L9987" s="218"/>
    </row>
    <row r="9988">
      <c r="B9988" s="223" t="s">
        <v>200</v>
      </c>
      <c r="C9988" s="223"/>
      <c r="K9988" s="319"/>
      <c r="L9988" s="218"/>
    </row>
    <row r="9989">
      <c r="B9989" s="223" t="s">
        <v>200</v>
      </c>
      <c r="C9989" s="223"/>
      <c r="K9989" s="319"/>
      <c r="L9989" s="218"/>
    </row>
    <row r="9990">
      <c r="B9990" s="223" t="s">
        <v>200</v>
      </c>
      <c r="C9990" s="223"/>
      <c r="K9990" s="319"/>
      <c r="L9990" s="218"/>
    </row>
    <row r="9991">
      <c r="B9991" s="223" t="s">
        <v>200</v>
      </c>
      <c r="C9991" s="223"/>
      <c r="K9991" s="319"/>
      <c r="L9991" s="218"/>
    </row>
    <row r="9992">
      <c r="B9992" s="223" t="s">
        <v>200</v>
      </c>
      <c r="C9992" s="223"/>
      <c r="K9992" s="319"/>
      <c r="L9992" s="218"/>
    </row>
    <row r="9993">
      <c r="B9993" s="223" t="s">
        <v>200</v>
      </c>
      <c r="C9993" s="223"/>
      <c r="K9993" s="319"/>
      <c r="L9993" s="218"/>
    </row>
    <row r="9994">
      <c r="B9994" s="223" t="s">
        <v>200</v>
      </c>
      <c r="C9994" s="223"/>
      <c r="K9994" s="319"/>
      <c r="L9994" s="218"/>
    </row>
    <row r="9995">
      <c r="B9995" s="223" t="s">
        <v>200</v>
      </c>
      <c r="C9995" s="223"/>
      <c r="K9995" s="319"/>
      <c r="L9995" s="218"/>
    </row>
    <row r="9996">
      <c r="B9996" s="223" t="s">
        <v>200</v>
      </c>
      <c r="C9996" s="223"/>
      <c r="K9996" s="319"/>
      <c r="L9996" s="218"/>
    </row>
    <row r="9997">
      <c r="B9997" s="223" t="s">
        <v>200</v>
      </c>
      <c r="C9997" s="223"/>
      <c r="K9997" s="319"/>
      <c r="L9997" s="218"/>
    </row>
    <row r="9998">
      <c r="B9998" s="223" t="s">
        <v>200</v>
      </c>
      <c r="C9998" s="223"/>
      <c r="K9998" s="319"/>
      <c r="L9998" s="218"/>
    </row>
    <row r="9999">
      <c r="B9999" s="223" t="s">
        <v>200</v>
      </c>
      <c r="C9999" s="223"/>
      <c r="K9999" s="319"/>
      <c r="L9999" s="218"/>
    </row>
    <row r="10000">
      <c r="B10000" s="223" t="s">
        <v>200</v>
      </c>
      <c r="C10000" s="223"/>
      <c r="K10000" s="319"/>
      <c r="L10000" s="218"/>
    </row>
  </sheetData>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hidden="1" min="14" max="26" width="12.63"/>
  </cols>
  <sheetData>
    <row r="1">
      <c r="A1" s="223" t="str">
        <f>IFERROR(__xludf.DUMMYFUNCTION("query({Std_Rev!A:Z;Std_Exp!A:Z},""Select * where Col1 is not null "")"),"Project ID")</f>
        <v>Project ID</v>
      </c>
      <c r="B1" s="223" t="str">
        <f>IFERROR(__xludf.DUMMYFUNCTION("""COMPUTED_VALUE"""),"Client")</f>
        <v>Client</v>
      </c>
      <c r="C1" s="223" t="str">
        <f>IFERROR(__xludf.DUMMYFUNCTION("""COMPUTED_VALUE"""),"Project")</f>
        <v>Project</v>
      </c>
      <c r="D1" s="223" t="str">
        <f>IFERROR(__xludf.DUMMYFUNCTION("""COMPUTED_VALUE"""),"Transaction Date")</f>
        <v>Transaction Date</v>
      </c>
      <c r="E1" s="223" t="str">
        <f>IFERROR(__xludf.DUMMYFUNCTION("""COMPUTED_VALUE"""),"Revenue")</f>
        <v>Revenue</v>
      </c>
      <c r="F1" s="223" t="str">
        <f>IFERROR(__xludf.DUMMYFUNCTION("""COMPUTED_VALUE"""),"Transaction Fee")</f>
        <v>Transaction Fee</v>
      </c>
      <c r="G1" s="223" t="str">
        <f>IFERROR(__xludf.DUMMYFUNCTION("""COMPUTED_VALUE"""),"Commission")</f>
        <v>Commission</v>
      </c>
      <c r="H1" s="223" t="str">
        <f>IFERROR(__xludf.DUMMYFUNCTION("""COMPUTED_VALUE"""),"Net Revenue")</f>
        <v>Net Revenue</v>
      </c>
      <c r="I1" s="223" t="str">
        <f>IFERROR(__xludf.DUMMYFUNCTION("""COMPUTED_VALUE"""),"Expense")</f>
        <v>Expense</v>
      </c>
      <c r="J1" s="223" t="str">
        <f>IFERROR(__xludf.DUMMYFUNCTION("""COMPUTED_VALUE"""),"Type")</f>
        <v>Type</v>
      </c>
      <c r="K1" s="317" t="str">
        <f>IFERROR(__xludf.DUMMYFUNCTION("""COMPUTED_VALUE"""),"Relevant Period")</f>
        <v>Relevant Period</v>
      </c>
      <c r="L1" s="223" t="str">
        <f>IFERROR(__xludf.DUMMYFUNCTION("""COMPUTED_VALUE"""),"Ad Spend")</f>
        <v>Ad Spend</v>
      </c>
      <c r="M1" s="223" t="str">
        <f>IFERROR(__xludf.DUMMYFUNCTION("""COMPUTED_VALUE"""),"")</f>
        <v/>
      </c>
      <c r="N1" s="223" t="str">
        <f>IFERROR(__xludf.DUMMYFUNCTION("""COMPUTED_VALUE"""),"")</f>
        <v/>
      </c>
      <c r="O1" s="223" t="str">
        <f>IFERROR(__xludf.DUMMYFUNCTION("""COMPUTED_VALUE"""),"")</f>
        <v/>
      </c>
      <c r="P1" s="223" t="str">
        <f>IFERROR(__xludf.DUMMYFUNCTION("""COMPUTED_VALUE"""),"")</f>
        <v/>
      </c>
      <c r="Q1" s="223" t="str">
        <f>IFERROR(__xludf.DUMMYFUNCTION("""COMPUTED_VALUE"""),"")</f>
        <v/>
      </c>
      <c r="R1" s="223" t="str">
        <f>IFERROR(__xludf.DUMMYFUNCTION("""COMPUTED_VALUE"""),"")</f>
        <v/>
      </c>
      <c r="S1" s="223" t="str">
        <f>IFERROR(__xludf.DUMMYFUNCTION("""COMPUTED_VALUE"""),"")</f>
        <v/>
      </c>
      <c r="T1" s="223" t="str">
        <f>IFERROR(__xludf.DUMMYFUNCTION("""COMPUTED_VALUE"""),"")</f>
        <v/>
      </c>
      <c r="U1" s="223" t="str">
        <f>IFERROR(__xludf.DUMMYFUNCTION("""COMPUTED_VALUE"""),"")</f>
        <v/>
      </c>
      <c r="V1" s="223" t="str">
        <f>IFERROR(__xludf.DUMMYFUNCTION("""COMPUTED_VALUE"""),"")</f>
        <v/>
      </c>
      <c r="W1" s="223" t="str">
        <f>IFERROR(__xludf.DUMMYFUNCTION("""COMPUTED_VALUE"""),"")</f>
        <v/>
      </c>
      <c r="X1" s="223" t="str">
        <f>IFERROR(__xludf.DUMMYFUNCTION("""COMPUTED_VALUE"""),"")</f>
        <v/>
      </c>
      <c r="Y1" s="223" t="str">
        <f>IFERROR(__xludf.DUMMYFUNCTION("""COMPUTED_VALUE"""),"")</f>
        <v/>
      </c>
      <c r="Z1" s="223" t="str">
        <f>IFERROR(__xludf.DUMMYFUNCTION("""COMPUTED_VALUE"""),"")</f>
        <v/>
      </c>
    </row>
    <row r="2">
      <c r="A2" s="223" t="str">
        <f>IFERROR(__xludf.DUMMYFUNCTION("""COMPUTED_VALUE"""),"VRX : Grant Program")</f>
        <v>VRX : Grant Program</v>
      </c>
      <c r="B2" s="223" t="str">
        <f>IFERROR(__xludf.DUMMYFUNCTION("""COMPUTED_VALUE"""),"VRX")</f>
        <v>VRX</v>
      </c>
      <c r="C2" s="223" t="str">
        <f>IFERROR(__xludf.DUMMYFUNCTION("""COMPUTED_VALUE"""),"Grant Program")</f>
        <v>Grant Program</v>
      </c>
      <c r="D2" s="316">
        <f>IFERROR(__xludf.DUMMYFUNCTION("""COMPUTED_VALUE"""),44317.0)</f>
        <v>44317</v>
      </c>
      <c r="E2" s="298">
        <f>IFERROR(__xludf.DUMMYFUNCTION("""COMPUTED_VALUE"""),10000.0)</f>
        <v>10000</v>
      </c>
      <c r="F2" s="298">
        <f>IFERROR(__xludf.DUMMYFUNCTION("""COMPUTED_VALUE"""),0.0)</f>
        <v>0</v>
      </c>
      <c r="G2" s="298">
        <f>IFERROR(__xludf.DUMMYFUNCTION("""COMPUTED_VALUE"""),0.0)</f>
        <v>0</v>
      </c>
      <c r="H2" s="223">
        <f>IFERROR(__xludf.DUMMYFUNCTION("""COMPUTED_VALUE"""),10000.0)</f>
        <v>10000</v>
      </c>
      <c r="I2" s="298"/>
      <c r="J2" s="223" t="str">
        <f>IFERROR(__xludf.DUMMYFUNCTION("""COMPUTED_VALUE"""),"50% Deposit Prepaid
50% Final")</f>
        <v>50% Deposit Prepaid
50% Final</v>
      </c>
      <c r="K2" s="317">
        <f>IFERROR(__xludf.DUMMYFUNCTION("""COMPUTED_VALUE"""),2021.0)</f>
        <v>2021</v>
      </c>
      <c r="L2" s="298"/>
      <c r="M2" s="223"/>
      <c r="N2" s="223"/>
      <c r="O2" s="223"/>
      <c r="P2" s="223"/>
      <c r="Q2" s="223"/>
      <c r="R2" s="223"/>
      <c r="S2" s="223"/>
      <c r="T2" s="223"/>
      <c r="U2" s="223"/>
      <c r="V2" s="223"/>
      <c r="W2" s="223"/>
      <c r="X2" s="223"/>
      <c r="Y2" s="223"/>
      <c r="Z2" s="223"/>
    </row>
    <row r="3">
      <c r="A3" s="223" t="str">
        <f>IFERROR(__xludf.DUMMYFUNCTION("""COMPUTED_VALUE"""),"Rama Meditation Society : Website")</f>
        <v>Rama Meditation Society : Website</v>
      </c>
      <c r="B3" s="223" t="str">
        <f>IFERROR(__xludf.DUMMYFUNCTION("""COMPUTED_VALUE"""),"Rama Meditation Society")</f>
        <v>Rama Meditation Society</v>
      </c>
      <c r="C3" s="223" t="str">
        <f>IFERROR(__xludf.DUMMYFUNCTION("""COMPUTED_VALUE"""),"Website")</f>
        <v>Website</v>
      </c>
      <c r="D3" s="316">
        <f>IFERROR(__xludf.DUMMYFUNCTION("""COMPUTED_VALUE"""),44317.0)</f>
        <v>44317</v>
      </c>
      <c r="E3" s="298">
        <f>IFERROR(__xludf.DUMMYFUNCTION("""COMPUTED_VALUE"""),1173.0)</f>
        <v>1173</v>
      </c>
      <c r="F3" s="298">
        <f>IFERROR(__xludf.DUMMYFUNCTION("""COMPUTED_VALUE"""),43.87)</f>
        <v>43.87</v>
      </c>
      <c r="G3" s="298">
        <f>IFERROR(__xludf.DUMMYFUNCTION("""COMPUTED_VALUE"""),0.0)</f>
        <v>0</v>
      </c>
      <c r="H3" s="223">
        <f>IFERROR(__xludf.DUMMYFUNCTION("""COMPUTED_VALUE"""),1129.13)</f>
        <v>1129.13</v>
      </c>
      <c r="I3" s="298"/>
      <c r="J3" s="223" t="str">
        <f>IFERROR(__xludf.DUMMYFUNCTION("""COMPUTED_VALUE"""),"1000 Dollar Deposit")</f>
        <v>1000 Dollar Deposit</v>
      </c>
      <c r="K3" s="317">
        <f>IFERROR(__xludf.DUMMYFUNCTION("""COMPUTED_VALUE"""),2021.0)</f>
        <v>2021</v>
      </c>
      <c r="L3" s="298"/>
      <c r="M3" s="223"/>
      <c r="N3" s="223"/>
      <c r="O3" s="223"/>
      <c r="P3" s="223"/>
      <c r="Q3" s="223"/>
      <c r="R3" s="223"/>
      <c r="S3" s="223"/>
      <c r="T3" s="223"/>
      <c r="U3" s="223"/>
      <c r="V3" s="223"/>
      <c r="W3" s="223"/>
      <c r="X3" s="223"/>
      <c r="Y3" s="223"/>
      <c r="Z3" s="223"/>
    </row>
    <row r="4">
      <c r="A4" s="223" t="str">
        <f>IFERROR(__xludf.DUMMYFUNCTION("""COMPUTED_VALUE"""),"Crisp Media : Grant Program")</f>
        <v>Crisp Media : Grant Program</v>
      </c>
      <c r="B4" s="223" t="str">
        <f>IFERROR(__xludf.DUMMYFUNCTION("""COMPUTED_VALUE"""),"Crisp Media")</f>
        <v>Crisp Media</v>
      </c>
      <c r="C4" s="223" t="str">
        <f>IFERROR(__xludf.DUMMYFUNCTION("""COMPUTED_VALUE"""),"Grant Program")</f>
        <v>Grant Program</v>
      </c>
      <c r="D4" s="316">
        <f>IFERROR(__xludf.DUMMYFUNCTION("""COMPUTED_VALUE"""),44348.0)</f>
        <v>44348</v>
      </c>
      <c r="E4" s="298">
        <f>IFERROR(__xludf.DUMMYFUNCTION("""COMPUTED_VALUE"""),650.0)</f>
        <v>650</v>
      </c>
      <c r="F4" s="298">
        <f>IFERROR(__xludf.DUMMYFUNCTION("""COMPUTED_VALUE"""),12.44)</f>
        <v>12.44</v>
      </c>
      <c r="G4" s="298">
        <f>IFERROR(__xludf.DUMMYFUNCTION("""COMPUTED_VALUE"""),0.0)</f>
        <v>0</v>
      </c>
      <c r="H4" s="223">
        <f>IFERROR(__xludf.DUMMYFUNCTION("""COMPUTED_VALUE"""),637.56)</f>
        <v>637.56</v>
      </c>
      <c r="I4" s="298"/>
      <c r="J4" s="223" t="str">
        <f>IFERROR(__xludf.DUMMYFUNCTION("""COMPUTED_VALUE"""),"50% Deposit on SEO")</f>
        <v>50% Deposit on SEO</v>
      </c>
      <c r="K4" s="317">
        <f>IFERROR(__xludf.DUMMYFUNCTION("""COMPUTED_VALUE"""),2021.06)</f>
        <v>2021.06</v>
      </c>
      <c r="L4" s="298"/>
      <c r="M4" s="223"/>
      <c r="N4" s="223"/>
      <c r="O4" s="223"/>
      <c r="P4" s="223"/>
      <c r="Q4" s="223"/>
      <c r="R4" s="223"/>
      <c r="S4" s="223"/>
      <c r="T4" s="223"/>
      <c r="U4" s="223"/>
      <c r="V4" s="223"/>
      <c r="W4" s="223"/>
      <c r="X4" s="223"/>
      <c r="Y4" s="223"/>
      <c r="Z4" s="223"/>
    </row>
    <row r="5">
      <c r="A5" s="223" t="str">
        <f>IFERROR(__xludf.DUMMYFUNCTION("""COMPUTED_VALUE"""),"Food Love Club : SEO Audit")</f>
        <v>Food Love Club : SEO Audit</v>
      </c>
      <c r="B5" s="223" t="str">
        <f>IFERROR(__xludf.DUMMYFUNCTION("""COMPUTED_VALUE"""),"Food Love Club")</f>
        <v>Food Love Club</v>
      </c>
      <c r="C5" s="223" t="str">
        <f>IFERROR(__xludf.DUMMYFUNCTION("""COMPUTED_VALUE"""),"SEO Audit")</f>
        <v>SEO Audit</v>
      </c>
      <c r="D5" s="316">
        <f>IFERROR(__xludf.DUMMYFUNCTION("""COMPUTED_VALUE"""),44409.0)</f>
        <v>44409</v>
      </c>
      <c r="E5" s="298">
        <f>IFERROR(__xludf.DUMMYFUNCTION("""COMPUTED_VALUE"""),300.0)</f>
        <v>300</v>
      </c>
      <c r="F5" s="298">
        <f>IFERROR(__xludf.DUMMYFUNCTION("""COMPUTED_VALUE"""),9.33)</f>
        <v>9.33</v>
      </c>
      <c r="G5" s="298">
        <f>IFERROR(__xludf.DUMMYFUNCTION("""COMPUTED_VALUE"""),0.0)</f>
        <v>0</v>
      </c>
      <c r="H5" s="223">
        <f>IFERROR(__xludf.DUMMYFUNCTION("""COMPUTED_VALUE"""),290.67)</f>
        <v>290.67</v>
      </c>
      <c r="I5" s="298"/>
      <c r="J5" s="223" t="str">
        <f>IFERROR(__xludf.DUMMYFUNCTION("""COMPUTED_VALUE"""),"50% Deposit")</f>
        <v>50% Deposit</v>
      </c>
      <c r="K5" s="317">
        <f>IFERROR(__xludf.DUMMYFUNCTION("""COMPUTED_VALUE"""),2021.0)</f>
        <v>2021</v>
      </c>
      <c r="L5" s="298"/>
      <c r="M5" s="223"/>
      <c r="N5" s="223"/>
      <c r="O5" s="223"/>
      <c r="P5" s="223"/>
      <c r="Q5" s="223"/>
      <c r="R5" s="223"/>
      <c r="S5" s="223"/>
      <c r="T5" s="223"/>
      <c r="U5" s="223"/>
      <c r="V5" s="223"/>
      <c r="W5" s="223"/>
      <c r="X5" s="223"/>
      <c r="Y5" s="223"/>
      <c r="Z5" s="223"/>
    </row>
    <row r="6">
      <c r="A6" s="223" t="str">
        <f>IFERROR(__xludf.DUMMYFUNCTION("""COMPUTED_VALUE"""),"The Academy : Website")</f>
        <v>The Academy : Website</v>
      </c>
      <c r="B6" s="223" t="str">
        <f>IFERROR(__xludf.DUMMYFUNCTION("""COMPUTED_VALUE"""),"The Academy")</f>
        <v>The Academy</v>
      </c>
      <c r="C6" s="223" t="str">
        <f>IFERROR(__xludf.DUMMYFUNCTION("""COMPUTED_VALUE"""),"Website")</f>
        <v>Website</v>
      </c>
      <c r="D6" s="316">
        <f>IFERROR(__xludf.DUMMYFUNCTION("""COMPUTED_VALUE"""),44378.0)</f>
        <v>44378</v>
      </c>
      <c r="E6" s="298">
        <f>IFERROR(__xludf.DUMMYFUNCTION("""COMPUTED_VALUE"""),3911.63)</f>
        <v>3911.63</v>
      </c>
      <c r="F6" s="298">
        <f>IFERROR(__xludf.DUMMYFUNCTION("""COMPUTED_VALUE"""),145.09)</f>
        <v>145.09</v>
      </c>
      <c r="G6" s="298">
        <f>IFERROR(__xludf.DUMMYFUNCTION("""COMPUTED_VALUE"""),0.0)</f>
        <v>0</v>
      </c>
      <c r="H6" s="223">
        <f>IFERROR(__xludf.DUMMYFUNCTION("""COMPUTED_VALUE"""),3766.54)</f>
        <v>3766.54</v>
      </c>
      <c r="I6" s="298"/>
      <c r="J6" s="223" t="str">
        <f>IFERROR(__xludf.DUMMYFUNCTION("""COMPUTED_VALUE"""),"1/3 Deposit")</f>
        <v>1/3 Deposit</v>
      </c>
      <c r="K6" s="317">
        <f>IFERROR(__xludf.DUMMYFUNCTION("""COMPUTED_VALUE"""),2021.0)</f>
        <v>2021</v>
      </c>
      <c r="L6" s="298"/>
      <c r="M6" s="223"/>
      <c r="N6" s="223"/>
      <c r="O6" s="223"/>
      <c r="P6" s="223"/>
      <c r="Q6" s="223"/>
      <c r="R6" s="223"/>
      <c r="S6" s="223"/>
      <c r="T6" s="223"/>
      <c r="U6" s="223"/>
      <c r="V6" s="223"/>
      <c r="W6" s="223"/>
      <c r="X6" s="223"/>
      <c r="Y6" s="223"/>
      <c r="Z6" s="223"/>
    </row>
    <row r="7">
      <c r="A7" s="223" t="str">
        <f>IFERROR(__xludf.DUMMYFUNCTION("""COMPUTED_VALUE"""),"Joel Kohm : Website")</f>
        <v>Joel Kohm : Website</v>
      </c>
      <c r="B7" s="223" t="str">
        <f>IFERROR(__xludf.DUMMYFUNCTION("""COMPUTED_VALUE"""),"Joel Kohm")</f>
        <v>Joel Kohm</v>
      </c>
      <c r="C7" s="223" t="str">
        <f>IFERROR(__xludf.DUMMYFUNCTION("""COMPUTED_VALUE"""),"Website")</f>
        <v>Website</v>
      </c>
      <c r="D7" s="316">
        <f>IFERROR(__xludf.DUMMYFUNCTION("""COMPUTED_VALUE"""),44470.0)</f>
        <v>44470</v>
      </c>
      <c r="E7" s="298">
        <f>IFERROR(__xludf.DUMMYFUNCTION("""COMPUTED_VALUE"""),2300.0)</f>
        <v>2300</v>
      </c>
      <c r="F7" s="298">
        <f>IFERROR(__xludf.DUMMYFUNCTION("""COMPUTED_VALUE"""),0.0)</f>
        <v>0</v>
      </c>
      <c r="G7" s="298">
        <f>IFERROR(__xludf.DUMMYFUNCTION("""COMPUTED_VALUE"""),0.0)</f>
        <v>0</v>
      </c>
      <c r="H7" s="223">
        <f>IFERROR(__xludf.DUMMYFUNCTION("""COMPUTED_VALUE"""),2300.0)</f>
        <v>2300</v>
      </c>
      <c r="I7" s="298"/>
      <c r="J7" s="223" t="str">
        <f>IFERROR(__xludf.DUMMYFUNCTION("""COMPUTED_VALUE"""),"50% Deposit")</f>
        <v>50% Deposit</v>
      </c>
      <c r="K7" s="317">
        <f>IFERROR(__xludf.DUMMYFUNCTION("""COMPUTED_VALUE"""),2021.0)</f>
        <v>2021</v>
      </c>
      <c r="L7" s="298"/>
      <c r="M7" s="223"/>
      <c r="N7" s="223"/>
      <c r="O7" s="223"/>
      <c r="P7" s="223"/>
      <c r="Q7" s="223"/>
      <c r="R7" s="223"/>
      <c r="S7" s="223"/>
      <c r="T7" s="223"/>
      <c r="U7" s="223"/>
      <c r="V7" s="223"/>
      <c r="W7" s="223"/>
      <c r="X7" s="223"/>
      <c r="Y7" s="223"/>
      <c r="Z7" s="223"/>
    </row>
    <row r="8">
      <c r="A8" s="223" t="str">
        <f>IFERROR(__xludf.DUMMYFUNCTION("""COMPUTED_VALUE"""),"Allsalt : SEO Review")</f>
        <v>Allsalt : SEO Review</v>
      </c>
      <c r="B8" s="223" t="str">
        <f>IFERROR(__xludf.DUMMYFUNCTION("""COMPUTED_VALUE"""),"Allsalt")</f>
        <v>Allsalt</v>
      </c>
      <c r="C8" s="223" t="str">
        <f>IFERROR(__xludf.DUMMYFUNCTION("""COMPUTED_VALUE"""),"SEO Review")</f>
        <v>SEO Review</v>
      </c>
      <c r="D8" s="316">
        <f>IFERROR(__xludf.DUMMYFUNCTION("""COMPUTED_VALUE"""),44470.0)</f>
        <v>44470</v>
      </c>
      <c r="E8" s="298">
        <f>IFERROR(__xludf.DUMMYFUNCTION("""COMPUTED_VALUE"""),900.0)</f>
        <v>900</v>
      </c>
      <c r="F8" s="298">
        <f>IFERROR(__xludf.DUMMYFUNCTION("""COMPUTED_VALUE"""),0.0)</f>
        <v>0</v>
      </c>
      <c r="G8" s="298">
        <f>IFERROR(__xludf.DUMMYFUNCTION("""COMPUTED_VALUE"""),0.0)</f>
        <v>0</v>
      </c>
      <c r="H8" s="223">
        <f>IFERROR(__xludf.DUMMYFUNCTION("""COMPUTED_VALUE"""),900.0)</f>
        <v>900</v>
      </c>
      <c r="I8" s="298"/>
      <c r="J8" s="223" t="str">
        <f>IFERROR(__xludf.DUMMYFUNCTION("""COMPUTED_VALUE"""),"50% Deposit")</f>
        <v>50% Deposit</v>
      </c>
      <c r="K8" s="317">
        <f>IFERROR(__xludf.DUMMYFUNCTION("""COMPUTED_VALUE"""),2021.0)</f>
        <v>2021</v>
      </c>
      <c r="L8" s="298"/>
      <c r="M8" s="223"/>
      <c r="N8" s="223"/>
      <c r="O8" s="223"/>
      <c r="P8" s="223"/>
      <c r="Q8" s="223"/>
      <c r="R8" s="223"/>
      <c r="S8" s="223"/>
      <c r="T8" s="223"/>
      <c r="U8" s="223"/>
      <c r="V8" s="223"/>
      <c r="W8" s="223"/>
      <c r="X8" s="223"/>
      <c r="Y8" s="223"/>
      <c r="Z8" s="223"/>
    </row>
    <row r="9">
      <c r="A9" s="223" t="str">
        <f>IFERROR(__xludf.DUMMYFUNCTION("""COMPUTED_VALUE"""),"Loco BC : Survey")</f>
        <v>Loco BC : Survey</v>
      </c>
      <c r="B9" s="223" t="str">
        <f>IFERROR(__xludf.DUMMYFUNCTION("""COMPUTED_VALUE"""),"Loco BC")</f>
        <v>Loco BC</v>
      </c>
      <c r="C9" s="223" t="str">
        <f>IFERROR(__xludf.DUMMYFUNCTION("""COMPUTED_VALUE"""),"Survey")</f>
        <v>Survey</v>
      </c>
      <c r="D9" s="316">
        <f>IFERROR(__xludf.DUMMYFUNCTION("""COMPUTED_VALUE"""),44440.0)</f>
        <v>44440</v>
      </c>
      <c r="E9" s="298">
        <f>IFERROR(__xludf.DUMMYFUNCTION("""COMPUTED_VALUE"""),1150.0)</f>
        <v>1150</v>
      </c>
      <c r="F9" s="298">
        <f>IFERROR(__xludf.DUMMYFUNCTION("""COMPUTED_VALUE"""),35.78)</f>
        <v>35.78</v>
      </c>
      <c r="G9" s="298">
        <f>IFERROR(__xludf.DUMMYFUNCTION("""COMPUTED_VALUE"""),0.0)</f>
        <v>0</v>
      </c>
      <c r="H9" s="223">
        <f>IFERROR(__xludf.DUMMYFUNCTION("""COMPUTED_VALUE"""),1114.22)</f>
        <v>1114.22</v>
      </c>
      <c r="I9" s="298"/>
      <c r="J9" s="223" t="str">
        <f>IFERROR(__xludf.DUMMYFUNCTION("""COMPUTED_VALUE"""),"50% Deposit")</f>
        <v>50% Deposit</v>
      </c>
      <c r="K9" s="317">
        <f>IFERROR(__xludf.DUMMYFUNCTION("""COMPUTED_VALUE"""),2021.0)</f>
        <v>2021</v>
      </c>
      <c r="L9" s="298"/>
      <c r="M9" s="223"/>
      <c r="N9" s="223"/>
      <c r="O9" s="223"/>
      <c r="P9" s="223"/>
      <c r="Q9" s="223"/>
      <c r="R9" s="223"/>
      <c r="S9" s="223"/>
      <c r="T9" s="223"/>
      <c r="U9" s="223"/>
      <c r="V9" s="223"/>
      <c r="W9" s="223"/>
      <c r="X9" s="223"/>
      <c r="Y9" s="223"/>
      <c r="Z9" s="223"/>
    </row>
    <row r="10">
      <c r="A10" s="223" t="str">
        <f>IFERROR(__xludf.DUMMYFUNCTION("""COMPUTED_VALUE"""),"Hastings House : Monthly Services")</f>
        <v>Hastings House : Monthly Services</v>
      </c>
      <c r="B10" s="223" t="str">
        <f>IFERROR(__xludf.DUMMYFUNCTION("""COMPUTED_VALUE"""),"Hastings House")</f>
        <v>Hastings House</v>
      </c>
      <c r="C10" s="223" t="str">
        <f>IFERROR(__xludf.DUMMYFUNCTION("""COMPUTED_VALUE"""),"Monthly Services")</f>
        <v>Monthly Services</v>
      </c>
      <c r="D10" s="316">
        <f>IFERROR(__xludf.DUMMYFUNCTION("""COMPUTED_VALUE"""),44348.0)</f>
        <v>44348</v>
      </c>
      <c r="E10" s="298">
        <f>IFERROR(__xludf.DUMMYFUNCTION("""COMPUTED_VALUE"""),1500.0)</f>
        <v>1500</v>
      </c>
      <c r="F10" s="298">
        <f>IFERROR(__xludf.DUMMYFUNCTION("""COMPUTED_VALUE"""),46.67)</f>
        <v>46.67</v>
      </c>
      <c r="G10" s="298">
        <f>IFERROR(__xludf.DUMMYFUNCTION("""COMPUTED_VALUE"""),217.99949999999998)</f>
        <v>217.9995</v>
      </c>
      <c r="H10" s="223">
        <f>IFERROR(__xludf.DUMMYFUNCTION("""COMPUTED_VALUE"""),1235.3305)</f>
        <v>1235.3305</v>
      </c>
      <c r="I10" s="298"/>
      <c r="J10" s="223"/>
      <c r="K10" s="317">
        <f>IFERROR(__xludf.DUMMYFUNCTION("""COMPUTED_VALUE"""),2021.0)</f>
        <v>2021</v>
      </c>
      <c r="L10" s="298"/>
      <c r="M10" s="223"/>
      <c r="N10" s="223"/>
      <c r="O10" s="223"/>
      <c r="P10" s="223"/>
      <c r="Q10" s="223"/>
      <c r="R10" s="223"/>
      <c r="S10" s="223"/>
      <c r="T10" s="223"/>
      <c r="U10" s="223"/>
      <c r="V10" s="223"/>
      <c r="W10" s="223"/>
      <c r="X10" s="223"/>
      <c r="Y10" s="223"/>
      <c r="Z10" s="223"/>
    </row>
    <row r="11">
      <c r="A11" s="223" t="str">
        <f>IFERROR(__xludf.DUMMYFUNCTION("""COMPUTED_VALUE"""),"VRX : Grant Program")</f>
        <v>VRX : Grant Program</v>
      </c>
      <c r="B11" s="223" t="str">
        <f>IFERROR(__xludf.DUMMYFUNCTION("""COMPUTED_VALUE"""),"VRX")</f>
        <v>VRX</v>
      </c>
      <c r="C11" s="223" t="str">
        <f>IFERROR(__xludf.DUMMYFUNCTION("""COMPUTED_VALUE"""),"Grant Program")</f>
        <v>Grant Program</v>
      </c>
      <c r="D11" s="316">
        <f>IFERROR(__xludf.DUMMYFUNCTION("""COMPUTED_VALUE"""),44409.0)</f>
        <v>44409</v>
      </c>
      <c r="E11" s="298">
        <f>IFERROR(__xludf.DUMMYFUNCTION("""COMPUTED_VALUE"""),5000.0)</f>
        <v>5000</v>
      </c>
      <c r="F11" s="298">
        <f>IFERROR(__xludf.DUMMYFUNCTION("""COMPUTED_VALUE"""),0.0)</f>
        <v>0</v>
      </c>
      <c r="G11" s="298">
        <f>IFERROR(__xludf.DUMMYFUNCTION("""COMPUTED_VALUE"""),0.0)</f>
        <v>0</v>
      </c>
      <c r="H11" s="223">
        <f>IFERROR(__xludf.DUMMYFUNCTION("""COMPUTED_VALUE"""),5000.0)</f>
        <v>5000</v>
      </c>
      <c r="I11" s="298"/>
      <c r="J11" s="223" t="str">
        <f>IFERROR(__xludf.DUMMYFUNCTION("""COMPUTED_VALUE"""),"50% Final Payment")</f>
        <v>50% Final Payment</v>
      </c>
      <c r="K11" s="317">
        <f>IFERROR(__xludf.DUMMYFUNCTION("""COMPUTED_VALUE"""),2021.0)</f>
        <v>2021</v>
      </c>
      <c r="L11" s="298"/>
      <c r="M11" s="223"/>
      <c r="N11" s="223"/>
      <c r="O11" s="223"/>
      <c r="P11" s="223"/>
      <c r="Q11" s="223"/>
      <c r="R11" s="223"/>
      <c r="S11" s="223"/>
      <c r="T11" s="223"/>
      <c r="U11" s="223"/>
      <c r="V11" s="223"/>
      <c r="W11" s="223"/>
      <c r="X11" s="223"/>
      <c r="Y11" s="223"/>
      <c r="Z11" s="223"/>
    </row>
    <row r="12">
      <c r="A12" s="223" t="str">
        <f>IFERROR(__xludf.DUMMYFUNCTION("""COMPUTED_VALUE"""),"Arazy Group : SEO Audit")</f>
        <v>Arazy Group : SEO Audit</v>
      </c>
      <c r="B12" s="223" t="str">
        <f>IFERROR(__xludf.DUMMYFUNCTION("""COMPUTED_VALUE"""),"Arazy Group")</f>
        <v>Arazy Group</v>
      </c>
      <c r="C12" s="223" t="str">
        <f>IFERROR(__xludf.DUMMYFUNCTION("""COMPUTED_VALUE"""),"SEO Audit")</f>
        <v>SEO Audit</v>
      </c>
      <c r="D12" s="316">
        <f>IFERROR(__xludf.DUMMYFUNCTION("""COMPUTED_VALUE"""),44470.0)</f>
        <v>44470</v>
      </c>
      <c r="E12" s="298">
        <f>IFERROR(__xludf.DUMMYFUNCTION("""COMPUTED_VALUE"""),900.0)</f>
        <v>900</v>
      </c>
      <c r="F12" s="298">
        <f>IFERROR(__xludf.DUMMYFUNCTION("""COMPUTED_VALUE"""),0.0)</f>
        <v>0</v>
      </c>
      <c r="G12" s="298">
        <f>IFERROR(__xludf.DUMMYFUNCTION("""COMPUTED_VALUE"""),0.0)</f>
        <v>0</v>
      </c>
      <c r="H12" s="223">
        <f>IFERROR(__xludf.DUMMYFUNCTION("""COMPUTED_VALUE"""),900.0)</f>
        <v>900</v>
      </c>
      <c r="I12" s="298"/>
      <c r="J12" s="223" t="str">
        <f>IFERROR(__xludf.DUMMYFUNCTION("""COMPUTED_VALUE"""),"Full Amount")</f>
        <v>Full Amount</v>
      </c>
      <c r="K12" s="317">
        <f>IFERROR(__xludf.DUMMYFUNCTION("""COMPUTED_VALUE"""),2021.1)</f>
        <v>2021.1</v>
      </c>
      <c r="L12" s="298"/>
      <c r="M12" s="223"/>
      <c r="N12" s="223"/>
      <c r="O12" s="223"/>
      <c r="P12" s="223"/>
      <c r="Q12" s="223"/>
      <c r="R12" s="223"/>
      <c r="S12" s="223"/>
      <c r="T12" s="223"/>
      <c r="U12" s="223"/>
      <c r="V12" s="223"/>
      <c r="W12" s="223"/>
      <c r="X12" s="223"/>
      <c r="Y12" s="223"/>
      <c r="Z12" s="223"/>
    </row>
    <row r="13">
      <c r="A13" s="223" t="str">
        <f>IFERROR(__xludf.DUMMYFUNCTION("""COMPUTED_VALUE"""),"Food Love Club : SEO Audit")</f>
        <v>Food Love Club : SEO Audit</v>
      </c>
      <c r="B13" s="223" t="str">
        <f>IFERROR(__xludf.DUMMYFUNCTION("""COMPUTED_VALUE"""),"Food Love Club")</f>
        <v>Food Love Club</v>
      </c>
      <c r="C13" s="223" t="str">
        <f>IFERROR(__xludf.DUMMYFUNCTION("""COMPUTED_VALUE"""),"SEO Audit")</f>
        <v>SEO Audit</v>
      </c>
      <c r="D13" s="316">
        <f>IFERROR(__xludf.DUMMYFUNCTION("""COMPUTED_VALUE"""),44440.0)</f>
        <v>44440</v>
      </c>
      <c r="E13" s="298">
        <f>IFERROR(__xludf.DUMMYFUNCTION("""COMPUTED_VALUE"""),300.0)</f>
        <v>300</v>
      </c>
      <c r="F13" s="298">
        <f>IFERROR(__xludf.DUMMYFUNCTION("""COMPUTED_VALUE"""),9.33)</f>
        <v>9.33</v>
      </c>
      <c r="G13" s="298">
        <f>IFERROR(__xludf.DUMMYFUNCTION("""COMPUTED_VALUE"""),0.0)</f>
        <v>0</v>
      </c>
      <c r="H13" s="223">
        <f>IFERROR(__xludf.DUMMYFUNCTION("""COMPUTED_VALUE"""),290.67)</f>
        <v>290.67</v>
      </c>
      <c r="I13" s="298"/>
      <c r="J13" s="223" t="str">
        <f>IFERROR(__xludf.DUMMYFUNCTION("""COMPUTED_VALUE"""),"50% Final Payment")</f>
        <v>50% Final Payment</v>
      </c>
      <c r="K13" s="317">
        <f>IFERROR(__xludf.DUMMYFUNCTION("""COMPUTED_VALUE"""),2021.0)</f>
        <v>2021</v>
      </c>
      <c r="L13" s="298"/>
      <c r="M13" s="223"/>
      <c r="N13" s="223"/>
      <c r="O13" s="223"/>
      <c r="P13" s="223"/>
      <c r="Q13" s="223"/>
      <c r="R13" s="223"/>
      <c r="S13" s="223"/>
      <c r="T13" s="223"/>
      <c r="U13" s="223"/>
      <c r="V13" s="223"/>
      <c r="W13" s="223"/>
      <c r="X13" s="223"/>
      <c r="Y13" s="223"/>
      <c r="Z13" s="223"/>
    </row>
    <row r="14">
      <c r="A14" s="223" t="str">
        <f>IFERROR(__xludf.DUMMYFUNCTION("""COMPUTED_VALUE"""),"PMDI : Monthly Services")</f>
        <v>PMDI : Monthly Services</v>
      </c>
      <c r="B14" s="223" t="str">
        <f>IFERROR(__xludf.DUMMYFUNCTION("""COMPUTED_VALUE"""),"PMDI")</f>
        <v>PMDI</v>
      </c>
      <c r="C14" s="223" t="str">
        <f>IFERROR(__xludf.DUMMYFUNCTION("""COMPUTED_VALUE"""),"Monthly Services")</f>
        <v>Monthly Services</v>
      </c>
      <c r="D14" s="316">
        <f>IFERROR(__xludf.DUMMYFUNCTION("""COMPUTED_VALUE"""),44440.0)</f>
        <v>44440</v>
      </c>
      <c r="E14" s="298">
        <f>IFERROR(__xludf.DUMMYFUNCTION("""COMPUTED_VALUE"""),375.0)</f>
        <v>375</v>
      </c>
      <c r="F14" s="298">
        <f>IFERROR(__xludf.DUMMYFUNCTION("""COMPUTED_VALUE"""),0.0)</f>
        <v>0</v>
      </c>
      <c r="G14" s="298">
        <f>IFERROR(__xludf.DUMMYFUNCTION("""COMPUTED_VALUE"""),0.0)</f>
        <v>0</v>
      </c>
      <c r="H14" s="223">
        <f>IFERROR(__xludf.DUMMYFUNCTION("""COMPUTED_VALUE"""),375.0)</f>
        <v>375</v>
      </c>
      <c r="I14" s="298"/>
      <c r="J14" s="223" t="str">
        <f>IFERROR(__xludf.DUMMYFUNCTION("""COMPUTED_VALUE"""),"Monthly")</f>
        <v>Monthly</v>
      </c>
      <c r="K14" s="317">
        <f>IFERROR(__xludf.DUMMYFUNCTION("""COMPUTED_VALUE"""),2021.09)</f>
        <v>2021.09</v>
      </c>
      <c r="L14" s="298"/>
      <c r="M14" s="223"/>
      <c r="N14" s="223"/>
      <c r="O14" s="223"/>
      <c r="P14" s="223"/>
      <c r="Q14" s="223"/>
      <c r="R14" s="223"/>
      <c r="S14" s="223"/>
      <c r="T14" s="223"/>
      <c r="U14" s="223"/>
      <c r="V14" s="223"/>
      <c r="W14" s="223"/>
      <c r="X14" s="223"/>
      <c r="Y14" s="223"/>
      <c r="Z14" s="223"/>
    </row>
    <row r="15">
      <c r="A15" s="223" t="str">
        <f>IFERROR(__xludf.DUMMYFUNCTION("""COMPUTED_VALUE"""),"Availed Technologies : Monthly Services")</f>
        <v>Availed Technologies : Monthly Services</v>
      </c>
      <c r="B15" s="223" t="str">
        <f>IFERROR(__xludf.DUMMYFUNCTION("""COMPUTED_VALUE"""),"Availed Technologies")</f>
        <v>Availed Technologies</v>
      </c>
      <c r="C15" s="223" t="str">
        <f>IFERROR(__xludf.DUMMYFUNCTION("""COMPUTED_VALUE"""),"Monthly Services")</f>
        <v>Monthly Services</v>
      </c>
      <c r="D15" s="316">
        <f>IFERROR(__xludf.DUMMYFUNCTION("""COMPUTED_VALUE"""),44440.0)</f>
        <v>44440</v>
      </c>
      <c r="E15" s="298">
        <f>IFERROR(__xludf.DUMMYFUNCTION("""COMPUTED_VALUE"""),750.0)</f>
        <v>750</v>
      </c>
      <c r="F15" s="298">
        <f>IFERROR(__xludf.DUMMYFUNCTION("""COMPUTED_VALUE"""),23.33)</f>
        <v>23.33</v>
      </c>
      <c r="G15" s="298">
        <f>IFERROR(__xludf.DUMMYFUNCTION("""COMPUTED_VALUE"""),0.0)</f>
        <v>0</v>
      </c>
      <c r="H15" s="223">
        <f>IFERROR(__xludf.DUMMYFUNCTION("""COMPUTED_VALUE"""),726.67)</f>
        <v>726.67</v>
      </c>
      <c r="I15" s="298"/>
      <c r="J15" s="223" t="str">
        <f>IFERROR(__xludf.DUMMYFUNCTION("""COMPUTED_VALUE"""),"Monthly")</f>
        <v>Monthly</v>
      </c>
      <c r="K15" s="317">
        <f>IFERROR(__xludf.DUMMYFUNCTION("""COMPUTED_VALUE"""),2021.09)</f>
        <v>2021.09</v>
      </c>
      <c r="L15" s="298"/>
      <c r="M15" s="223"/>
      <c r="N15" s="223"/>
      <c r="O15" s="223"/>
      <c r="P15" s="223"/>
      <c r="Q15" s="223"/>
      <c r="R15" s="223"/>
      <c r="S15" s="223"/>
      <c r="T15" s="223"/>
      <c r="U15" s="223"/>
      <c r="V15" s="223"/>
      <c r="W15" s="223"/>
      <c r="X15" s="223"/>
      <c r="Y15" s="223"/>
      <c r="Z15" s="223"/>
    </row>
    <row r="16">
      <c r="A16" s="223" t="str">
        <f>IFERROR(__xludf.DUMMYFUNCTION("""COMPUTED_VALUE"""),"Crisp Media : Grant Program")</f>
        <v>Crisp Media : Grant Program</v>
      </c>
      <c r="B16" s="223" t="str">
        <f>IFERROR(__xludf.DUMMYFUNCTION("""COMPUTED_VALUE"""),"Crisp Media")</f>
        <v>Crisp Media</v>
      </c>
      <c r="C16" s="223" t="str">
        <f>IFERROR(__xludf.DUMMYFUNCTION("""COMPUTED_VALUE"""),"Grant Program")</f>
        <v>Grant Program</v>
      </c>
      <c r="D16" s="316">
        <f>IFERROR(__xludf.DUMMYFUNCTION("""COMPUTED_VALUE"""),44409.0)</f>
        <v>44409</v>
      </c>
      <c r="E16" s="298">
        <f>IFERROR(__xludf.DUMMYFUNCTION("""COMPUTED_VALUE"""),2245.0)</f>
        <v>2245</v>
      </c>
      <c r="F16" s="298">
        <f>IFERROR(__xludf.DUMMYFUNCTION("""COMPUTED_VALUE"""),0.0)</f>
        <v>0</v>
      </c>
      <c r="G16" s="298">
        <f>IFERROR(__xludf.DUMMYFUNCTION("""COMPUTED_VALUE"""),0.0)</f>
        <v>0</v>
      </c>
      <c r="H16" s="223">
        <f>IFERROR(__xludf.DUMMYFUNCTION("""COMPUTED_VALUE"""),2245.0)</f>
        <v>2245</v>
      </c>
      <c r="I16" s="298"/>
      <c r="J16" s="223" t="str">
        <f>IFERROR(__xludf.DUMMYFUNCTION("""COMPUTED_VALUE"""),"50% Final Payment")</f>
        <v>50% Final Payment</v>
      </c>
      <c r="K16" s="317">
        <f>IFERROR(__xludf.DUMMYFUNCTION("""COMPUTED_VALUE"""),2021.08)</f>
        <v>2021.08</v>
      </c>
      <c r="L16" s="298"/>
      <c r="M16" s="223"/>
      <c r="N16" s="223"/>
      <c r="O16" s="223"/>
      <c r="P16" s="223"/>
      <c r="Q16" s="223"/>
      <c r="R16" s="223"/>
      <c r="S16" s="223"/>
      <c r="T16" s="223"/>
      <c r="U16" s="223"/>
      <c r="V16" s="223"/>
      <c r="W16" s="223"/>
      <c r="X16" s="223"/>
      <c r="Y16" s="223"/>
      <c r="Z16" s="223"/>
    </row>
    <row r="17">
      <c r="A17" s="223" t="str">
        <f>IFERROR(__xludf.DUMMYFUNCTION("""COMPUTED_VALUE"""),"Bratopia : Monthly Services")</f>
        <v>Bratopia : Monthly Services</v>
      </c>
      <c r="B17" s="223" t="str">
        <f>IFERROR(__xludf.DUMMYFUNCTION("""COMPUTED_VALUE"""),"Bratopia")</f>
        <v>Bratopia</v>
      </c>
      <c r="C17" s="223" t="str">
        <f>IFERROR(__xludf.DUMMYFUNCTION("""COMPUTED_VALUE"""),"Monthly Services")</f>
        <v>Monthly Services</v>
      </c>
      <c r="D17" s="316">
        <f>IFERROR(__xludf.DUMMYFUNCTION("""COMPUTED_VALUE"""),44440.0)</f>
        <v>44440</v>
      </c>
      <c r="E17" s="298">
        <f>IFERROR(__xludf.DUMMYFUNCTION("""COMPUTED_VALUE"""),1550.0)</f>
        <v>1550</v>
      </c>
      <c r="F17" s="298">
        <f>IFERROR(__xludf.DUMMYFUNCTION("""COMPUTED_VALUE"""),48.22)</f>
        <v>48.22</v>
      </c>
      <c r="G17" s="298">
        <f>IFERROR(__xludf.DUMMYFUNCTION("""COMPUTED_VALUE"""),0.0)</f>
        <v>0</v>
      </c>
      <c r="H17" s="223">
        <f>IFERROR(__xludf.DUMMYFUNCTION("""COMPUTED_VALUE"""),1501.78)</f>
        <v>1501.78</v>
      </c>
      <c r="I17" s="298"/>
      <c r="J17" s="223" t="str">
        <f>IFERROR(__xludf.DUMMYFUNCTION("""COMPUTED_VALUE"""),"Monthly")</f>
        <v>Monthly</v>
      </c>
      <c r="K17" s="317">
        <f>IFERROR(__xludf.DUMMYFUNCTION("""COMPUTED_VALUE"""),2021.09)</f>
        <v>2021.09</v>
      </c>
      <c r="L17" s="298"/>
      <c r="M17" s="223"/>
      <c r="N17" s="223"/>
      <c r="O17" s="223"/>
      <c r="P17" s="223"/>
      <c r="Q17" s="223"/>
      <c r="R17" s="223"/>
      <c r="S17" s="223"/>
      <c r="T17" s="223"/>
      <c r="U17" s="223"/>
      <c r="V17" s="223"/>
      <c r="W17" s="223"/>
      <c r="X17" s="223"/>
      <c r="Y17" s="223"/>
      <c r="Z17" s="223"/>
    </row>
    <row r="18">
      <c r="A18" s="223" t="str">
        <f>IFERROR(__xludf.DUMMYFUNCTION("""COMPUTED_VALUE"""),"Athlone Golf &amp; Sports : Website")</f>
        <v>Athlone Golf &amp; Sports : Website</v>
      </c>
      <c r="B18" s="223" t="str">
        <f>IFERROR(__xludf.DUMMYFUNCTION("""COMPUTED_VALUE"""),"Athlone Golf &amp; Sports")</f>
        <v>Athlone Golf &amp; Sports</v>
      </c>
      <c r="C18" s="223" t="str">
        <f>IFERROR(__xludf.DUMMYFUNCTION("""COMPUTED_VALUE"""),"Website")</f>
        <v>Website</v>
      </c>
      <c r="D18" s="316">
        <f>IFERROR(__xludf.DUMMYFUNCTION("""COMPUTED_VALUE"""),44470.0)</f>
        <v>44470</v>
      </c>
      <c r="E18" s="298">
        <f>IFERROR(__xludf.DUMMYFUNCTION("""COMPUTED_VALUE"""),2650.0)</f>
        <v>2650</v>
      </c>
      <c r="F18" s="298">
        <f>IFERROR(__xludf.DUMMYFUNCTION("""COMPUTED_VALUE"""),82.45)</f>
        <v>82.45</v>
      </c>
      <c r="G18" s="298">
        <f>IFERROR(__xludf.DUMMYFUNCTION("""COMPUTED_VALUE"""),0.0)</f>
        <v>0</v>
      </c>
      <c r="H18" s="223">
        <f>IFERROR(__xludf.DUMMYFUNCTION("""COMPUTED_VALUE"""),2567.55)</f>
        <v>2567.55</v>
      </c>
      <c r="I18" s="298"/>
      <c r="J18" s="223" t="str">
        <f>IFERROR(__xludf.DUMMYFUNCTION("""COMPUTED_VALUE"""),"50% Deposit")</f>
        <v>50% Deposit</v>
      </c>
      <c r="K18" s="317">
        <f>IFERROR(__xludf.DUMMYFUNCTION("""COMPUTED_VALUE"""),2021.0)</f>
        <v>2021</v>
      </c>
      <c r="L18" s="298"/>
      <c r="M18" s="223"/>
      <c r="N18" s="223"/>
      <c r="O18" s="223"/>
      <c r="P18" s="223"/>
      <c r="Q18" s="223"/>
      <c r="R18" s="223"/>
      <c r="S18" s="223"/>
      <c r="T18" s="223"/>
      <c r="U18" s="223"/>
      <c r="V18" s="223"/>
      <c r="W18" s="223"/>
      <c r="X18" s="223"/>
      <c r="Y18" s="223"/>
      <c r="Z18" s="223"/>
    </row>
    <row r="19">
      <c r="A19" s="223" t="str">
        <f>IFERROR(__xludf.DUMMYFUNCTION("""COMPUTED_VALUE"""),"Tofino Resort + Marina : Monthly Services")</f>
        <v>Tofino Resort + Marina : Monthly Services</v>
      </c>
      <c r="B19" s="223" t="str">
        <f>IFERROR(__xludf.DUMMYFUNCTION("""COMPUTED_VALUE"""),"Tofino Resort + Marina")</f>
        <v>Tofino Resort + Marina</v>
      </c>
      <c r="C19" s="223" t="str">
        <f>IFERROR(__xludf.DUMMYFUNCTION("""COMPUTED_VALUE"""),"Monthly Services")</f>
        <v>Monthly Services</v>
      </c>
      <c r="D19" s="316">
        <f>IFERROR(__xludf.DUMMYFUNCTION("""COMPUTED_VALUE"""),44470.0)</f>
        <v>44470</v>
      </c>
      <c r="E19" s="298">
        <f>IFERROR(__xludf.DUMMYFUNCTION("""COMPUTED_VALUE"""),2000.0)</f>
        <v>2000</v>
      </c>
      <c r="F19" s="298">
        <f>IFERROR(__xludf.DUMMYFUNCTION("""COMPUTED_VALUE"""),0.0)</f>
        <v>0</v>
      </c>
      <c r="G19" s="298">
        <f>IFERROR(__xludf.DUMMYFUNCTION("""COMPUTED_VALUE"""),0.0)</f>
        <v>0</v>
      </c>
      <c r="H19" s="223">
        <f>IFERROR(__xludf.DUMMYFUNCTION("""COMPUTED_VALUE"""),2000.0)</f>
        <v>2000</v>
      </c>
      <c r="I19" s="298"/>
      <c r="J19" s="223" t="str">
        <f>IFERROR(__xludf.DUMMYFUNCTION("""COMPUTED_VALUE"""),"Monthly")</f>
        <v>Monthly</v>
      </c>
      <c r="K19" s="317">
        <f>IFERROR(__xludf.DUMMYFUNCTION("""COMPUTED_VALUE"""),2021.1)</f>
        <v>2021.1</v>
      </c>
      <c r="L19" s="298"/>
      <c r="M19" s="223"/>
      <c r="N19" s="223"/>
      <c r="O19" s="223"/>
      <c r="P19" s="223"/>
      <c r="Q19" s="223"/>
      <c r="R19" s="223"/>
      <c r="S19" s="223"/>
      <c r="T19" s="223"/>
      <c r="U19" s="223"/>
      <c r="V19" s="223"/>
      <c r="W19" s="223"/>
      <c r="X19" s="223"/>
      <c r="Y19" s="223"/>
      <c r="Z19" s="223"/>
    </row>
    <row r="20">
      <c r="A20" s="223" t="str">
        <f>IFERROR(__xludf.DUMMYFUNCTION("""COMPUTED_VALUE"""),"Life UNPacked : Monthly Services")</f>
        <v>Life UNPacked : Monthly Services</v>
      </c>
      <c r="B20" s="223" t="str">
        <f>IFERROR(__xludf.DUMMYFUNCTION("""COMPUTED_VALUE"""),"Life UNPacked")</f>
        <v>Life UNPacked</v>
      </c>
      <c r="C20" s="223" t="str">
        <f>IFERROR(__xludf.DUMMYFUNCTION("""COMPUTED_VALUE"""),"Monthly Services")</f>
        <v>Monthly Services</v>
      </c>
      <c r="D20" s="316">
        <f>IFERROR(__xludf.DUMMYFUNCTION("""COMPUTED_VALUE"""),44470.0)</f>
        <v>44470</v>
      </c>
      <c r="E20" s="298">
        <f>IFERROR(__xludf.DUMMYFUNCTION("""COMPUTED_VALUE"""),500.0)</f>
        <v>500</v>
      </c>
      <c r="F20" s="298">
        <f>IFERROR(__xludf.DUMMYFUNCTION("""COMPUTED_VALUE"""),0.0)</f>
        <v>0</v>
      </c>
      <c r="G20" s="298">
        <f>IFERROR(__xludf.DUMMYFUNCTION("""COMPUTED_VALUE"""),0.0)</f>
        <v>0</v>
      </c>
      <c r="H20" s="223">
        <f>IFERROR(__xludf.DUMMYFUNCTION("""COMPUTED_VALUE"""),500.0)</f>
        <v>500</v>
      </c>
      <c r="I20" s="298"/>
      <c r="J20" s="223" t="str">
        <f>IFERROR(__xludf.DUMMYFUNCTION("""COMPUTED_VALUE"""),"Monthly")</f>
        <v>Monthly</v>
      </c>
      <c r="K20" s="317">
        <f>IFERROR(__xludf.DUMMYFUNCTION("""COMPUTED_VALUE"""),2021.1)</f>
        <v>2021.1</v>
      </c>
      <c r="L20" s="298"/>
      <c r="M20" s="223"/>
      <c r="N20" s="223"/>
      <c r="O20" s="223"/>
      <c r="P20" s="223"/>
      <c r="Q20" s="223"/>
      <c r="R20" s="223"/>
      <c r="S20" s="223"/>
      <c r="T20" s="223"/>
      <c r="U20" s="223"/>
      <c r="V20" s="223"/>
      <c r="W20" s="223"/>
      <c r="X20" s="223"/>
      <c r="Y20" s="223"/>
      <c r="Z20" s="223"/>
    </row>
    <row r="21">
      <c r="A21" s="223" t="str">
        <f>IFERROR(__xludf.DUMMYFUNCTION("""COMPUTED_VALUE"""),"Viridian : Monthly Services")</f>
        <v>Viridian : Monthly Services</v>
      </c>
      <c r="B21" s="223" t="str">
        <f>IFERROR(__xludf.DUMMYFUNCTION("""COMPUTED_VALUE"""),"Viridian")</f>
        <v>Viridian</v>
      </c>
      <c r="C21" s="223" t="str">
        <f>IFERROR(__xludf.DUMMYFUNCTION("""COMPUTED_VALUE"""),"Monthly Services")</f>
        <v>Monthly Services</v>
      </c>
      <c r="D21" s="316">
        <f>IFERROR(__xludf.DUMMYFUNCTION("""COMPUTED_VALUE"""),44470.0)</f>
        <v>44470</v>
      </c>
      <c r="E21" s="298">
        <f>IFERROR(__xludf.DUMMYFUNCTION("""COMPUTED_VALUE"""),700.0)</f>
        <v>700</v>
      </c>
      <c r="F21" s="298">
        <f>IFERROR(__xludf.DUMMYFUNCTION("""COMPUTED_VALUE"""),0.0)</f>
        <v>0</v>
      </c>
      <c r="G21" s="298">
        <f>IFERROR(__xludf.DUMMYFUNCTION("""COMPUTED_VALUE"""),0.0)</f>
        <v>0</v>
      </c>
      <c r="H21" s="223">
        <f>IFERROR(__xludf.DUMMYFUNCTION("""COMPUTED_VALUE"""),700.0)</f>
        <v>700</v>
      </c>
      <c r="I21" s="298"/>
      <c r="J21" s="223" t="str">
        <f>IFERROR(__xludf.DUMMYFUNCTION("""COMPUTED_VALUE"""),"Monthly")</f>
        <v>Monthly</v>
      </c>
      <c r="K21" s="317">
        <f>IFERROR(__xludf.DUMMYFUNCTION("""COMPUTED_VALUE"""),2021.1)</f>
        <v>2021.1</v>
      </c>
      <c r="L21" s="298"/>
      <c r="M21" s="223"/>
      <c r="N21" s="223"/>
      <c r="O21" s="223"/>
      <c r="P21" s="223"/>
      <c r="Q21" s="223"/>
      <c r="R21" s="223"/>
      <c r="S21" s="223"/>
      <c r="T21" s="223"/>
      <c r="U21" s="223"/>
      <c r="V21" s="223"/>
      <c r="W21" s="223"/>
      <c r="X21" s="223"/>
      <c r="Y21" s="223"/>
      <c r="Z21" s="223"/>
    </row>
    <row r="22">
      <c r="A22" s="223" t="str">
        <f>IFERROR(__xludf.DUMMYFUNCTION("""COMPUTED_VALUE"""),"Arazy Group : Monthly Services")</f>
        <v>Arazy Group : Monthly Services</v>
      </c>
      <c r="B22" s="223" t="str">
        <f>IFERROR(__xludf.DUMMYFUNCTION("""COMPUTED_VALUE"""),"Arazy Group")</f>
        <v>Arazy Group</v>
      </c>
      <c r="C22" s="223" t="str">
        <f>IFERROR(__xludf.DUMMYFUNCTION("""COMPUTED_VALUE"""),"Monthly Services")</f>
        <v>Monthly Services</v>
      </c>
      <c r="D22" s="316">
        <f>IFERROR(__xludf.DUMMYFUNCTION("""COMPUTED_VALUE"""),44470.0)</f>
        <v>44470</v>
      </c>
      <c r="E22" s="298">
        <f>IFERROR(__xludf.DUMMYFUNCTION("""COMPUTED_VALUE"""),650.0)</f>
        <v>650</v>
      </c>
      <c r="F22" s="298">
        <f>IFERROR(__xludf.DUMMYFUNCTION("""COMPUTED_VALUE"""),0.0)</f>
        <v>0</v>
      </c>
      <c r="G22" s="298">
        <f>IFERROR(__xludf.DUMMYFUNCTION("""COMPUTED_VALUE"""),0.0)</f>
        <v>0</v>
      </c>
      <c r="H22" s="223">
        <f>IFERROR(__xludf.DUMMYFUNCTION("""COMPUTED_VALUE"""),650.0)</f>
        <v>650</v>
      </c>
      <c r="I22" s="298"/>
      <c r="J22" s="223" t="str">
        <f>IFERROR(__xludf.DUMMYFUNCTION("""COMPUTED_VALUE"""),"Monthly")</f>
        <v>Monthly</v>
      </c>
      <c r="K22" s="317">
        <f>IFERROR(__xludf.DUMMYFUNCTION("""COMPUTED_VALUE"""),2021.1)</f>
        <v>2021.1</v>
      </c>
      <c r="L22" s="298"/>
      <c r="M22" s="223"/>
      <c r="N22" s="223"/>
      <c r="O22" s="223"/>
      <c r="P22" s="223"/>
      <c r="Q22" s="223"/>
      <c r="R22" s="223"/>
      <c r="S22" s="223"/>
      <c r="T22" s="223"/>
      <c r="U22" s="223"/>
      <c r="V22" s="223"/>
      <c r="W22" s="223"/>
      <c r="X22" s="223"/>
      <c r="Y22" s="223"/>
      <c r="Z22" s="223"/>
    </row>
    <row r="23">
      <c r="A23" s="223" t="str">
        <f>IFERROR(__xludf.DUMMYFUNCTION("""COMPUTED_VALUE"""),"Loco BC : Survey")</f>
        <v>Loco BC : Survey</v>
      </c>
      <c r="B23" s="223" t="str">
        <f>IFERROR(__xludf.DUMMYFUNCTION("""COMPUTED_VALUE"""),"Loco BC")</f>
        <v>Loco BC</v>
      </c>
      <c r="C23" s="223" t="str">
        <f>IFERROR(__xludf.DUMMYFUNCTION("""COMPUTED_VALUE"""),"Survey")</f>
        <v>Survey</v>
      </c>
      <c r="D23" s="316">
        <f>IFERROR(__xludf.DUMMYFUNCTION("""COMPUTED_VALUE"""),44470.0)</f>
        <v>44470</v>
      </c>
      <c r="E23" s="298">
        <f>IFERROR(__xludf.DUMMYFUNCTION("""COMPUTED_VALUE"""),1450.0)</f>
        <v>1450</v>
      </c>
      <c r="F23" s="298">
        <f>IFERROR(__xludf.DUMMYFUNCTION("""COMPUTED_VALUE"""),46.0)</f>
        <v>46</v>
      </c>
      <c r="G23" s="298">
        <f>IFERROR(__xludf.DUMMYFUNCTION("""COMPUTED_VALUE"""),0.0)</f>
        <v>0</v>
      </c>
      <c r="H23" s="223">
        <f>IFERROR(__xludf.DUMMYFUNCTION("""COMPUTED_VALUE"""),1404.0)</f>
        <v>1404</v>
      </c>
      <c r="I23" s="298"/>
      <c r="J23" s="223" t="str">
        <f>IFERROR(__xludf.DUMMYFUNCTION("""COMPUTED_VALUE"""),"50% Final Payment")</f>
        <v>50% Final Payment</v>
      </c>
      <c r="K23" s="317">
        <f>IFERROR(__xludf.DUMMYFUNCTION("""COMPUTED_VALUE"""),2021.0)</f>
        <v>2021</v>
      </c>
      <c r="L23" s="298"/>
      <c r="M23" s="223"/>
      <c r="N23" s="223"/>
      <c r="O23" s="223"/>
      <c r="P23" s="223"/>
      <c r="Q23" s="223"/>
      <c r="R23" s="223"/>
      <c r="S23" s="223"/>
      <c r="T23" s="223"/>
      <c r="U23" s="223"/>
      <c r="V23" s="223"/>
      <c r="W23" s="223"/>
      <c r="X23" s="223"/>
      <c r="Y23" s="223"/>
      <c r="Z23" s="223"/>
    </row>
    <row r="24">
      <c r="A24" s="223" t="str">
        <f>IFERROR(__xludf.DUMMYFUNCTION("""COMPUTED_VALUE"""),"Ideon : Website")</f>
        <v>Ideon : Website</v>
      </c>
      <c r="B24" s="223" t="str">
        <f>IFERROR(__xludf.DUMMYFUNCTION("""COMPUTED_VALUE"""),"Ideon")</f>
        <v>Ideon</v>
      </c>
      <c r="C24" s="223" t="str">
        <f>IFERROR(__xludf.DUMMYFUNCTION("""COMPUTED_VALUE"""),"Website")</f>
        <v>Website</v>
      </c>
      <c r="D24" s="316">
        <f>IFERROR(__xludf.DUMMYFUNCTION("""COMPUTED_VALUE"""),44470.0)</f>
        <v>44470</v>
      </c>
      <c r="E24" s="298">
        <f>IFERROR(__xludf.DUMMYFUNCTION("""COMPUTED_VALUE"""),2150.0)</f>
        <v>2150</v>
      </c>
      <c r="F24" s="298">
        <f>IFERROR(__xludf.DUMMYFUNCTION("""COMPUTED_VALUE"""),66.89)</f>
        <v>66.89</v>
      </c>
      <c r="G24" s="298">
        <f>IFERROR(__xludf.DUMMYFUNCTION("""COMPUTED_VALUE"""),0.0)</f>
        <v>0</v>
      </c>
      <c r="H24" s="223">
        <f>IFERROR(__xludf.DUMMYFUNCTION("""COMPUTED_VALUE"""),2083.11)</f>
        <v>2083.11</v>
      </c>
      <c r="I24" s="298"/>
      <c r="J24" s="223" t="str">
        <f>IFERROR(__xludf.DUMMYFUNCTION("""COMPUTED_VALUE"""),"50% Final Payment")</f>
        <v>50% Final Payment</v>
      </c>
      <c r="K24" s="317">
        <f>IFERROR(__xludf.DUMMYFUNCTION("""COMPUTED_VALUE"""),2021.0)</f>
        <v>2021</v>
      </c>
      <c r="L24" s="298"/>
      <c r="M24" s="223"/>
      <c r="N24" s="223"/>
      <c r="O24" s="223"/>
      <c r="P24" s="223"/>
      <c r="Q24" s="223"/>
      <c r="R24" s="223"/>
      <c r="S24" s="223"/>
      <c r="T24" s="223"/>
      <c r="U24" s="223"/>
      <c r="V24" s="223"/>
      <c r="W24" s="223"/>
      <c r="X24" s="223"/>
      <c r="Y24" s="223"/>
      <c r="Z24" s="223"/>
    </row>
    <row r="25">
      <c r="A25" s="223" t="str">
        <f>IFERROR(__xludf.DUMMYFUNCTION("""COMPUTED_VALUE"""),"McAllister Marketing : FTS Support Section")</f>
        <v>McAllister Marketing : FTS Support Section</v>
      </c>
      <c r="B25" s="223" t="str">
        <f>IFERROR(__xludf.DUMMYFUNCTION("""COMPUTED_VALUE"""),"McAllister Marketing")</f>
        <v>McAllister Marketing</v>
      </c>
      <c r="C25" s="223" t="str">
        <f>IFERROR(__xludf.DUMMYFUNCTION("""COMPUTED_VALUE"""),"FTS Support Section")</f>
        <v>FTS Support Section</v>
      </c>
      <c r="D25" s="316">
        <f>IFERROR(__xludf.DUMMYFUNCTION("""COMPUTED_VALUE"""),44499.0)</f>
        <v>44499</v>
      </c>
      <c r="E25" s="298">
        <f>IFERROR(__xludf.DUMMYFUNCTION("""COMPUTED_VALUE"""),1000.0)</f>
        <v>1000</v>
      </c>
      <c r="F25" s="298">
        <f>IFERROR(__xludf.DUMMYFUNCTION("""COMPUTED_VALUE"""),0.0)</f>
        <v>0</v>
      </c>
      <c r="G25" s="298">
        <f>IFERROR(__xludf.DUMMYFUNCTION("""COMPUTED_VALUE"""),0.0)</f>
        <v>0</v>
      </c>
      <c r="H25" s="223">
        <f>IFERROR(__xludf.DUMMYFUNCTION("""COMPUTED_VALUE"""),1000.0)</f>
        <v>1000</v>
      </c>
      <c r="I25" s="298"/>
      <c r="J25" s="223" t="str">
        <f>IFERROR(__xludf.DUMMYFUNCTION("""COMPUTED_VALUE"""),"Full Amount")</f>
        <v>Full Amount</v>
      </c>
      <c r="K25" s="317">
        <f>IFERROR(__xludf.DUMMYFUNCTION("""COMPUTED_VALUE"""),2021.0)</f>
        <v>2021</v>
      </c>
      <c r="L25" s="298"/>
      <c r="M25" s="223"/>
      <c r="N25" s="223"/>
      <c r="O25" s="223"/>
      <c r="P25" s="223"/>
      <c r="Q25" s="223"/>
      <c r="R25" s="223"/>
      <c r="S25" s="223"/>
      <c r="T25" s="223"/>
      <c r="U25" s="223"/>
      <c r="V25" s="223"/>
      <c r="W25" s="223"/>
      <c r="X25" s="223"/>
      <c r="Y25" s="223"/>
      <c r="Z25" s="223"/>
    </row>
    <row r="26">
      <c r="A26" s="223" t="str">
        <f>IFERROR(__xludf.DUMMYFUNCTION("""COMPUTED_VALUE"""),"Wallack's Art Supplies : Monthly Services")</f>
        <v>Wallack's Art Supplies : Monthly Services</v>
      </c>
      <c r="B26" s="223" t="str">
        <f>IFERROR(__xludf.DUMMYFUNCTION("""COMPUTED_VALUE"""),"Wallack's Art Supplies")</f>
        <v>Wallack's Art Supplies</v>
      </c>
      <c r="C26" s="223" t="str">
        <f>IFERROR(__xludf.DUMMYFUNCTION("""COMPUTED_VALUE"""),"Monthly Services")</f>
        <v>Monthly Services</v>
      </c>
      <c r="D26" s="316">
        <f>IFERROR(__xludf.DUMMYFUNCTION("""COMPUTED_VALUE"""),44498.0)</f>
        <v>44498</v>
      </c>
      <c r="E26" s="298">
        <f>IFERROR(__xludf.DUMMYFUNCTION("""COMPUTED_VALUE"""),700.0)</f>
        <v>700</v>
      </c>
      <c r="F26" s="298">
        <f>IFERROR(__xludf.DUMMYFUNCTION("""COMPUTED_VALUE"""),0.0)</f>
        <v>0</v>
      </c>
      <c r="G26" s="298">
        <f>IFERROR(__xludf.DUMMYFUNCTION("""COMPUTED_VALUE"""),0.0)</f>
        <v>0</v>
      </c>
      <c r="H26" s="223">
        <f>IFERROR(__xludf.DUMMYFUNCTION("""COMPUTED_VALUE"""),700.0)</f>
        <v>700</v>
      </c>
      <c r="I26" s="298"/>
      <c r="J26" s="223" t="str">
        <f>IFERROR(__xludf.DUMMYFUNCTION("""COMPUTED_VALUE"""),"Monthly")</f>
        <v>Monthly</v>
      </c>
      <c r="K26" s="317">
        <f>IFERROR(__xludf.DUMMYFUNCTION("""COMPUTED_VALUE"""),2021.1)</f>
        <v>2021.1</v>
      </c>
      <c r="L26" s="298"/>
      <c r="M26" s="223"/>
      <c r="N26" s="223"/>
      <c r="O26" s="223"/>
      <c r="P26" s="223"/>
      <c r="Q26" s="223"/>
      <c r="R26" s="223"/>
      <c r="S26" s="223"/>
      <c r="T26" s="223"/>
      <c r="U26" s="223"/>
      <c r="V26" s="223"/>
      <c r="W26" s="223"/>
      <c r="X26" s="223"/>
      <c r="Y26" s="223"/>
      <c r="Z26" s="223"/>
    </row>
    <row r="27">
      <c r="A27" s="223" t="str">
        <f>IFERROR(__xludf.DUMMYFUNCTION("""COMPUTED_VALUE"""),"Prime Engineering : Monthly Services")</f>
        <v>Prime Engineering : Monthly Services</v>
      </c>
      <c r="B27" s="223" t="str">
        <f>IFERROR(__xludf.DUMMYFUNCTION("""COMPUTED_VALUE"""),"Prime Engineering")</f>
        <v>Prime Engineering</v>
      </c>
      <c r="C27" s="223" t="str">
        <f>IFERROR(__xludf.DUMMYFUNCTION("""COMPUTED_VALUE"""),"Monthly Services")</f>
        <v>Monthly Services</v>
      </c>
      <c r="D27" s="316">
        <f>IFERROR(__xludf.DUMMYFUNCTION("""COMPUTED_VALUE"""),44470.0)</f>
        <v>44470</v>
      </c>
      <c r="E27" s="298">
        <f>IFERROR(__xludf.DUMMYFUNCTION("""COMPUTED_VALUE"""),500.0)</f>
        <v>500</v>
      </c>
      <c r="F27" s="298">
        <f>IFERROR(__xludf.DUMMYFUNCTION("""COMPUTED_VALUE"""),0.0)</f>
        <v>0</v>
      </c>
      <c r="G27" s="298">
        <f>IFERROR(__xludf.DUMMYFUNCTION("""COMPUTED_VALUE"""),0.0)</f>
        <v>0</v>
      </c>
      <c r="H27" s="223">
        <f>IFERROR(__xludf.DUMMYFUNCTION("""COMPUTED_VALUE"""),500.0)</f>
        <v>500</v>
      </c>
      <c r="I27" s="298"/>
      <c r="J27" s="223" t="str">
        <f>IFERROR(__xludf.DUMMYFUNCTION("""COMPUTED_VALUE"""),"Monthly")</f>
        <v>Monthly</v>
      </c>
      <c r="K27" s="317">
        <f>IFERROR(__xludf.DUMMYFUNCTION("""COMPUTED_VALUE"""),2021.1)</f>
        <v>2021.1</v>
      </c>
      <c r="L27" s="298"/>
      <c r="M27" s="223"/>
      <c r="N27" s="223"/>
      <c r="O27" s="223"/>
      <c r="P27" s="223"/>
      <c r="Q27" s="223"/>
      <c r="R27" s="223"/>
      <c r="S27" s="223"/>
      <c r="T27" s="223"/>
      <c r="U27" s="223"/>
      <c r="V27" s="223"/>
      <c r="W27" s="223"/>
      <c r="X27" s="223"/>
      <c r="Y27" s="223"/>
      <c r="Z27" s="223"/>
    </row>
    <row r="28">
      <c r="A28" s="223" t="str">
        <f>IFERROR(__xludf.DUMMYFUNCTION("""COMPUTED_VALUE"""),"AbodeZero : Monthly Services")</f>
        <v>AbodeZero : Monthly Services</v>
      </c>
      <c r="B28" s="223" t="str">
        <f>IFERROR(__xludf.DUMMYFUNCTION("""COMPUTED_VALUE"""),"AbodeZero")</f>
        <v>AbodeZero</v>
      </c>
      <c r="C28" s="223" t="str">
        <f>IFERROR(__xludf.DUMMYFUNCTION("""COMPUTED_VALUE"""),"Monthly Services")</f>
        <v>Monthly Services</v>
      </c>
      <c r="D28" s="316">
        <f>IFERROR(__xludf.DUMMYFUNCTION("""COMPUTED_VALUE"""),44470.0)</f>
        <v>44470</v>
      </c>
      <c r="E28" s="298">
        <f>IFERROR(__xludf.DUMMYFUNCTION("""COMPUTED_VALUE"""),495.0)</f>
        <v>495</v>
      </c>
      <c r="F28" s="298">
        <f>IFERROR(__xludf.DUMMYFUNCTION("""COMPUTED_VALUE"""),0.0)</f>
        <v>0</v>
      </c>
      <c r="G28" s="298">
        <f>IFERROR(__xludf.DUMMYFUNCTION("""COMPUTED_VALUE"""),0.0)</f>
        <v>0</v>
      </c>
      <c r="H28" s="223">
        <f>IFERROR(__xludf.DUMMYFUNCTION("""COMPUTED_VALUE"""),495.0)</f>
        <v>495</v>
      </c>
      <c r="I28" s="298"/>
      <c r="J28" s="223" t="str">
        <f>IFERROR(__xludf.DUMMYFUNCTION("""COMPUTED_VALUE"""),"Monthly")</f>
        <v>Monthly</v>
      </c>
      <c r="K28" s="317">
        <f>IFERROR(__xludf.DUMMYFUNCTION("""COMPUTED_VALUE"""),2021.1)</f>
        <v>2021.1</v>
      </c>
      <c r="L28" s="298"/>
      <c r="M28" s="223"/>
      <c r="N28" s="223"/>
      <c r="O28" s="223"/>
      <c r="P28" s="223"/>
      <c r="Q28" s="223"/>
      <c r="R28" s="223"/>
      <c r="S28" s="223"/>
      <c r="T28" s="223"/>
      <c r="U28" s="223"/>
      <c r="V28" s="223"/>
      <c r="W28" s="223"/>
      <c r="X28" s="223"/>
      <c r="Y28" s="223"/>
      <c r="Z28" s="223"/>
    </row>
    <row r="29">
      <c r="A29" s="223" t="str">
        <f>IFERROR(__xludf.DUMMYFUNCTION("""COMPUTED_VALUE"""),"Hey Blinds : Monthly Services")</f>
        <v>Hey Blinds : Monthly Services</v>
      </c>
      <c r="B29" s="223" t="str">
        <f>IFERROR(__xludf.DUMMYFUNCTION("""COMPUTED_VALUE"""),"Hey Blinds")</f>
        <v>Hey Blinds</v>
      </c>
      <c r="C29" s="223" t="str">
        <f>IFERROR(__xludf.DUMMYFUNCTION("""COMPUTED_VALUE"""),"Monthly Services")</f>
        <v>Monthly Services</v>
      </c>
      <c r="D29" s="316">
        <f>IFERROR(__xludf.DUMMYFUNCTION("""COMPUTED_VALUE"""),44470.0)</f>
        <v>44470</v>
      </c>
      <c r="E29" s="298">
        <f>IFERROR(__xludf.DUMMYFUNCTION("""COMPUTED_VALUE"""),1200.0)</f>
        <v>1200</v>
      </c>
      <c r="F29" s="298">
        <f>IFERROR(__xludf.DUMMYFUNCTION("""COMPUTED_VALUE"""),37.33)</f>
        <v>37.33</v>
      </c>
      <c r="G29" s="298">
        <f>IFERROR(__xludf.DUMMYFUNCTION("""COMPUTED_VALUE"""),0.0)</f>
        <v>0</v>
      </c>
      <c r="H29" s="223">
        <f>IFERROR(__xludf.DUMMYFUNCTION("""COMPUTED_VALUE"""),1162.67)</f>
        <v>1162.67</v>
      </c>
      <c r="I29" s="298"/>
      <c r="J29" s="223" t="str">
        <f>IFERROR(__xludf.DUMMYFUNCTION("""COMPUTED_VALUE"""),"Monthly")</f>
        <v>Monthly</v>
      </c>
      <c r="K29" s="317">
        <f>IFERROR(__xludf.DUMMYFUNCTION("""COMPUTED_VALUE"""),2021.1)</f>
        <v>2021.1</v>
      </c>
      <c r="L29" s="298"/>
      <c r="M29" s="223"/>
      <c r="N29" s="223"/>
      <c r="O29" s="223"/>
      <c r="P29" s="223"/>
      <c r="Q29" s="223"/>
      <c r="R29" s="223"/>
      <c r="S29" s="223"/>
      <c r="T29" s="223"/>
      <c r="U29" s="223"/>
      <c r="V29" s="223"/>
      <c r="W29" s="223"/>
      <c r="X29" s="223"/>
      <c r="Y29" s="223"/>
      <c r="Z29" s="223"/>
    </row>
    <row r="30">
      <c r="A30" s="223" t="str">
        <f>IFERROR(__xludf.DUMMYFUNCTION("""COMPUTED_VALUE"""),"PMDI : Monthly Services")</f>
        <v>PMDI : Monthly Services</v>
      </c>
      <c r="B30" s="223" t="str">
        <f>IFERROR(__xludf.DUMMYFUNCTION("""COMPUTED_VALUE"""),"PMDI")</f>
        <v>PMDI</v>
      </c>
      <c r="C30" s="223" t="str">
        <f>IFERROR(__xludf.DUMMYFUNCTION("""COMPUTED_VALUE"""),"Monthly Services")</f>
        <v>Monthly Services</v>
      </c>
      <c r="D30" s="316">
        <f>IFERROR(__xludf.DUMMYFUNCTION("""COMPUTED_VALUE"""),44470.0)</f>
        <v>44470</v>
      </c>
      <c r="E30" s="298">
        <f>IFERROR(__xludf.DUMMYFUNCTION("""COMPUTED_VALUE"""),375.0)</f>
        <v>375</v>
      </c>
      <c r="F30" s="298">
        <f>IFERROR(__xludf.DUMMYFUNCTION("""COMPUTED_VALUE"""),0.0)</f>
        <v>0</v>
      </c>
      <c r="G30" s="298">
        <f>IFERROR(__xludf.DUMMYFUNCTION("""COMPUTED_VALUE"""),0.0)</f>
        <v>0</v>
      </c>
      <c r="H30" s="223">
        <f>IFERROR(__xludf.DUMMYFUNCTION("""COMPUTED_VALUE"""),375.0)</f>
        <v>375</v>
      </c>
      <c r="I30" s="298"/>
      <c r="J30" s="223" t="str">
        <f>IFERROR(__xludf.DUMMYFUNCTION("""COMPUTED_VALUE"""),"Monthly")</f>
        <v>Monthly</v>
      </c>
      <c r="K30" s="317">
        <f>IFERROR(__xludf.DUMMYFUNCTION("""COMPUTED_VALUE"""),2021.1)</f>
        <v>2021.1</v>
      </c>
      <c r="L30" s="298"/>
      <c r="M30" s="223"/>
      <c r="N30" s="223"/>
      <c r="O30" s="223"/>
      <c r="P30" s="223"/>
      <c r="Q30" s="223"/>
      <c r="R30" s="223"/>
      <c r="S30" s="223"/>
      <c r="T30" s="223"/>
      <c r="U30" s="223"/>
      <c r="V30" s="223"/>
      <c r="W30" s="223"/>
      <c r="X30" s="223"/>
      <c r="Y30" s="223"/>
      <c r="Z30" s="223"/>
    </row>
    <row r="31">
      <c r="A31" s="223" t="str">
        <f>IFERROR(__xludf.DUMMYFUNCTION("""COMPUTED_VALUE"""),"Availed Technologies : Monthly Services")</f>
        <v>Availed Technologies : Monthly Services</v>
      </c>
      <c r="B31" s="223" t="str">
        <f>IFERROR(__xludf.DUMMYFUNCTION("""COMPUTED_VALUE"""),"Availed Technologies")</f>
        <v>Availed Technologies</v>
      </c>
      <c r="C31" s="223" t="str">
        <f>IFERROR(__xludf.DUMMYFUNCTION("""COMPUTED_VALUE"""),"Monthly Services")</f>
        <v>Monthly Services</v>
      </c>
      <c r="D31" s="316">
        <f>IFERROR(__xludf.DUMMYFUNCTION("""COMPUTED_VALUE"""),44470.0)</f>
        <v>44470</v>
      </c>
      <c r="E31" s="298">
        <f>IFERROR(__xludf.DUMMYFUNCTION("""COMPUTED_VALUE"""),750.0)</f>
        <v>750</v>
      </c>
      <c r="F31" s="298">
        <f>IFERROR(__xludf.DUMMYFUNCTION("""COMPUTED_VALUE"""),23.33)</f>
        <v>23.33</v>
      </c>
      <c r="G31" s="298">
        <f>IFERROR(__xludf.DUMMYFUNCTION("""COMPUTED_VALUE"""),0.0)</f>
        <v>0</v>
      </c>
      <c r="H31" s="223">
        <f>IFERROR(__xludf.DUMMYFUNCTION("""COMPUTED_VALUE"""),726.67)</f>
        <v>726.67</v>
      </c>
      <c r="I31" s="298"/>
      <c r="J31" s="223" t="str">
        <f>IFERROR(__xludf.DUMMYFUNCTION("""COMPUTED_VALUE"""),"Monthly")</f>
        <v>Monthly</v>
      </c>
      <c r="K31" s="317">
        <f>IFERROR(__xludf.DUMMYFUNCTION("""COMPUTED_VALUE"""),2021.1)</f>
        <v>2021.1</v>
      </c>
      <c r="L31" s="298"/>
      <c r="M31" s="223"/>
      <c r="N31" s="223"/>
      <c r="O31" s="223"/>
      <c r="P31" s="223"/>
      <c r="Q31" s="223"/>
      <c r="R31" s="223"/>
      <c r="S31" s="223"/>
      <c r="T31" s="223"/>
      <c r="U31" s="223"/>
      <c r="V31" s="223"/>
      <c r="W31" s="223"/>
      <c r="X31" s="223"/>
      <c r="Y31" s="223"/>
      <c r="Z31" s="223"/>
    </row>
    <row r="32">
      <c r="A32" s="223" t="str">
        <f>IFERROR(__xludf.DUMMYFUNCTION("""COMPUTED_VALUE"""),"Monk : Monthly Services")</f>
        <v>Monk : Monthly Services</v>
      </c>
      <c r="B32" s="223" t="str">
        <f>IFERROR(__xludf.DUMMYFUNCTION("""COMPUTED_VALUE"""),"Monk")</f>
        <v>Monk</v>
      </c>
      <c r="C32" s="223" t="str">
        <f>IFERROR(__xludf.DUMMYFUNCTION("""COMPUTED_VALUE"""),"Monthly Services")</f>
        <v>Monthly Services</v>
      </c>
      <c r="D32" s="316">
        <f>IFERROR(__xludf.DUMMYFUNCTION("""COMPUTED_VALUE"""),44470.0)</f>
        <v>44470</v>
      </c>
      <c r="E32" s="298">
        <f>IFERROR(__xludf.DUMMYFUNCTION("""COMPUTED_VALUE"""),1200.0)</f>
        <v>1200</v>
      </c>
      <c r="F32" s="298">
        <f>IFERROR(__xludf.DUMMYFUNCTION("""COMPUTED_VALUE"""),0.0)</f>
        <v>0</v>
      </c>
      <c r="G32" s="298">
        <f>IFERROR(__xludf.DUMMYFUNCTION("""COMPUTED_VALUE"""),0.0)</f>
        <v>0</v>
      </c>
      <c r="H32" s="223">
        <f>IFERROR(__xludf.DUMMYFUNCTION("""COMPUTED_VALUE"""),1200.0)</f>
        <v>1200</v>
      </c>
      <c r="I32" s="298"/>
      <c r="J32" s="223" t="str">
        <f>IFERROR(__xludf.DUMMYFUNCTION("""COMPUTED_VALUE"""),"Monthly")</f>
        <v>Monthly</v>
      </c>
      <c r="K32" s="317">
        <f>IFERROR(__xludf.DUMMYFUNCTION("""COMPUTED_VALUE"""),2021.1)</f>
        <v>2021.1</v>
      </c>
      <c r="L32" s="298"/>
      <c r="M32" s="223"/>
      <c r="N32" s="223"/>
      <c r="O32" s="223"/>
      <c r="P32" s="223"/>
      <c r="Q32" s="223"/>
      <c r="R32" s="223"/>
      <c r="S32" s="223"/>
      <c r="T32" s="223"/>
      <c r="U32" s="223"/>
      <c r="V32" s="223"/>
      <c r="W32" s="223"/>
      <c r="X32" s="223"/>
      <c r="Y32" s="223"/>
      <c r="Z32" s="223"/>
    </row>
    <row r="33">
      <c r="A33" s="223" t="str">
        <f>IFERROR(__xludf.DUMMYFUNCTION("""COMPUTED_VALUE"""),"Hastings House : Monthly Services")</f>
        <v>Hastings House : Monthly Services</v>
      </c>
      <c r="B33" s="223" t="str">
        <f>IFERROR(__xludf.DUMMYFUNCTION("""COMPUTED_VALUE"""),"Hastings House")</f>
        <v>Hastings House</v>
      </c>
      <c r="C33" s="223" t="str">
        <f>IFERROR(__xludf.DUMMYFUNCTION("""COMPUTED_VALUE"""),"Monthly Services")</f>
        <v>Monthly Services</v>
      </c>
      <c r="D33" s="316">
        <f>IFERROR(__xludf.DUMMYFUNCTION("""COMPUTED_VALUE"""),44470.0)</f>
        <v>44470</v>
      </c>
      <c r="E33" s="298">
        <f>IFERROR(__xludf.DUMMYFUNCTION("""COMPUTED_VALUE"""),1500.0)</f>
        <v>1500</v>
      </c>
      <c r="F33" s="298">
        <f>IFERROR(__xludf.DUMMYFUNCTION("""COMPUTED_VALUE"""),0.0)</f>
        <v>0</v>
      </c>
      <c r="G33" s="298">
        <f>IFERROR(__xludf.DUMMYFUNCTION("""COMPUTED_VALUE"""),225.0)</f>
        <v>225</v>
      </c>
      <c r="H33" s="223">
        <f>IFERROR(__xludf.DUMMYFUNCTION("""COMPUTED_VALUE"""),1275.0)</f>
        <v>1275</v>
      </c>
      <c r="I33" s="298"/>
      <c r="J33" s="223" t="str">
        <f>IFERROR(__xludf.DUMMYFUNCTION("""COMPUTED_VALUE"""),"Monthly")</f>
        <v>Monthly</v>
      </c>
      <c r="K33" s="317">
        <f>IFERROR(__xludf.DUMMYFUNCTION("""COMPUTED_VALUE"""),2021.1)</f>
        <v>2021.1</v>
      </c>
      <c r="L33" s="298"/>
      <c r="M33" s="223"/>
      <c r="N33" s="223"/>
      <c r="O33" s="223"/>
      <c r="P33" s="223"/>
      <c r="Q33" s="223"/>
      <c r="R33" s="223"/>
      <c r="S33" s="223"/>
      <c r="T33" s="223"/>
      <c r="U33" s="223"/>
      <c r="V33" s="223"/>
      <c r="W33" s="223"/>
      <c r="X33" s="223"/>
      <c r="Y33" s="223"/>
      <c r="Z33" s="223"/>
    </row>
    <row r="34">
      <c r="A34" s="223" t="str">
        <f>IFERROR(__xludf.DUMMYFUNCTION("""COMPUTED_VALUE"""),"Bratopia : Monthly Services")</f>
        <v>Bratopia : Monthly Services</v>
      </c>
      <c r="B34" s="223" t="str">
        <f>IFERROR(__xludf.DUMMYFUNCTION("""COMPUTED_VALUE"""),"Bratopia")</f>
        <v>Bratopia</v>
      </c>
      <c r="C34" s="223" t="str">
        <f>IFERROR(__xludf.DUMMYFUNCTION("""COMPUTED_VALUE"""),"Monthly Services")</f>
        <v>Monthly Services</v>
      </c>
      <c r="D34" s="316">
        <f>IFERROR(__xludf.DUMMYFUNCTION("""COMPUTED_VALUE"""),44470.0)</f>
        <v>44470</v>
      </c>
      <c r="E34" s="298">
        <f>IFERROR(__xludf.DUMMYFUNCTION("""COMPUTED_VALUE"""),1550.0)</f>
        <v>1550</v>
      </c>
      <c r="F34" s="298">
        <f>IFERROR(__xludf.DUMMYFUNCTION("""COMPUTED_VALUE"""),48.22)</f>
        <v>48.22</v>
      </c>
      <c r="G34" s="298">
        <f>IFERROR(__xludf.DUMMYFUNCTION("""COMPUTED_VALUE"""),0.0)</f>
        <v>0</v>
      </c>
      <c r="H34" s="223">
        <f>IFERROR(__xludf.DUMMYFUNCTION("""COMPUTED_VALUE"""),1501.78)</f>
        <v>1501.78</v>
      </c>
      <c r="I34" s="298"/>
      <c r="J34" s="223" t="str">
        <f>IFERROR(__xludf.DUMMYFUNCTION("""COMPUTED_VALUE"""),"Monthly")</f>
        <v>Monthly</v>
      </c>
      <c r="K34" s="317">
        <f>IFERROR(__xludf.DUMMYFUNCTION("""COMPUTED_VALUE"""),2021.1)</f>
        <v>2021.1</v>
      </c>
      <c r="L34" s="298"/>
      <c r="M34" s="223"/>
      <c r="N34" s="223"/>
      <c r="O34" s="223"/>
      <c r="P34" s="223"/>
      <c r="Q34" s="223"/>
      <c r="R34" s="223"/>
      <c r="S34" s="223"/>
      <c r="T34" s="223"/>
      <c r="U34" s="223"/>
      <c r="V34" s="223"/>
      <c r="W34" s="223"/>
      <c r="X34" s="223"/>
      <c r="Y34" s="223"/>
      <c r="Z34" s="223"/>
    </row>
    <row r="35">
      <c r="A35" s="223" t="str">
        <f>IFERROR(__xludf.DUMMYFUNCTION("""COMPUTED_VALUE"""),"HSJ Lawyers : Monthly Services")</f>
        <v>HSJ Lawyers : Monthly Services</v>
      </c>
      <c r="B35" s="223" t="str">
        <f>IFERROR(__xludf.DUMMYFUNCTION("""COMPUTED_VALUE"""),"HSJ Lawyers")</f>
        <v>HSJ Lawyers</v>
      </c>
      <c r="C35" s="223" t="str">
        <f>IFERROR(__xludf.DUMMYFUNCTION("""COMPUTED_VALUE"""),"Monthly Services")</f>
        <v>Monthly Services</v>
      </c>
      <c r="D35" s="316">
        <f>IFERROR(__xludf.DUMMYFUNCTION("""COMPUTED_VALUE"""),44470.0)</f>
        <v>44470</v>
      </c>
      <c r="E35" s="298">
        <f>IFERROR(__xludf.DUMMYFUNCTION("""COMPUTED_VALUE"""),800.0)</f>
        <v>800</v>
      </c>
      <c r="F35" s="298">
        <f>IFERROR(__xludf.DUMMYFUNCTION("""COMPUTED_VALUE"""),0.0)</f>
        <v>0</v>
      </c>
      <c r="G35" s="298">
        <f>IFERROR(__xludf.DUMMYFUNCTION("""COMPUTED_VALUE"""),0.0)</f>
        <v>0</v>
      </c>
      <c r="H35" s="223">
        <f>IFERROR(__xludf.DUMMYFUNCTION("""COMPUTED_VALUE"""),800.0)</f>
        <v>800</v>
      </c>
      <c r="I35" s="298"/>
      <c r="J35" s="223" t="str">
        <f>IFERROR(__xludf.DUMMYFUNCTION("""COMPUTED_VALUE"""),"Monthly")</f>
        <v>Monthly</v>
      </c>
      <c r="K35" s="317">
        <f>IFERROR(__xludf.DUMMYFUNCTION("""COMPUTED_VALUE"""),2021.1)</f>
        <v>2021.1</v>
      </c>
      <c r="L35" s="298"/>
      <c r="M35" s="223"/>
      <c r="N35" s="223"/>
      <c r="O35" s="223"/>
      <c r="P35" s="223"/>
      <c r="Q35" s="223"/>
      <c r="R35" s="223"/>
      <c r="S35" s="223"/>
      <c r="T35" s="223"/>
      <c r="U35" s="223"/>
      <c r="V35" s="223"/>
      <c r="W35" s="223"/>
      <c r="X35" s="223"/>
      <c r="Y35" s="223"/>
      <c r="Z35" s="223"/>
    </row>
    <row r="36">
      <c r="A36" s="223" t="str">
        <f>IFERROR(__xludf.DUMMYFUNCTION("""COMPUTED_VALUE"""),"Diversified Health : Monthly Services")</f>
        <v>Diversified Health : Monthly Services</v>
      </c>
      <c r="B36" s="223" t="str">
        <f>IFERROR(__xludf.DUMMYFUNCTION("""COMPUTED_VALUE"""),"Diversified Health")</f>
        <v>Diversified Health</v>
      </c>
      <c r="C36" s="223" t="str">
        <f>IFERROR(__xludf.DUMMYFUNCTION("""COMPUTED_VALUE"""),"Monthly Services")</f>
        <v>Monthly Services</v>
      </c>
      <c r="D36" s="316">
        <f>IFERROR(__xludf.DUMMYFUNCTION("""COMPUTED_VALUE"""),44500.0)</f>
        <v>44500</v>
      </c>
      <c r="E36" s="298">
        <f>IFERROR(__xludf.DUMMYFUNCTION("""COMPUTED_VALUE"""),1000.0)</f>
        <v>1000</v>
      </c>
      <c r="F36" s="298">
        <f>IFERROR(__xludf.DUMMYFUNCTION("""COMPUTED_VALUE"""),0.0)</f>
        <v>0</v>
      </c>
      <c r="G36" s="298">
        <f>IFERROR(__xludf.DUMMYFUNCTION("""COMPUTED_VALUE"""),0.0)</f>
        <v>0</v>
      </c>
      <c r="H36" s="223">
        <f>IFERROR(__xludf.DUMMYFUNCTION("""COMPUTED_VALUE"""),1000.0)</f>
        <v>1000</v>
      </c>
      <c r="I36" s="298"/>
      <c r="J36" s="223" t="str">
        <f>IFERROR(__xludf.DUMMYFUNCTION("""COMPUTED_VALUE"""),"Monthly")</f>
        <v>Monthly</v>
      </c>
      <c r="K36" s="317">
        <f>IFERROR(__xludf.DUMMYFUNCTION("""COMPUTED_VALUE"""),2021.1)</f>
        <v>2021.1</v>
      </c>
      <c r="L36" s="298"/>
      <c r="M36" s="223"/>
      <c r="N36" s="223"/>
      <c r="O36" s="223"/>
      <c r="P36" s="223"/>
      <c r="Q36" s="223"/>
      <c r="R36" s="223"/>
      <c r="S36" s="223"/>
      <c r="T36" s="223"/>
      <c r="U36" s="223"/>
      <c r="V36" s="223"/>
      <c r="W36" s="223"/>
      <c r="X36" s="223"/>
      <c r="Y36" s="223"/>
      <c r="Z36" s="223"/>
    </row>
    <row r="37">
      <c r="A37" s="223" t="str">
        <f>IFERROR(__xludf.DUMMYFUNCTION("""COMPUTED_VALUE"""),"Giga Tires : Monthly Services")</f>
        <v>Giga Tires : Monthly Services</v>
      </c>
      <c r="B37" s="223" t="str">
        <f>IFERROR(__xludf.DUMMYFUNCTION("""COMPUTED_VALUE"""),"Giga Tires")</f>
        <v>Giga Tires</v>
      </c>
      <c r="C37" s="223" t="str">
        <f>IFERROR(__xludf.DUMMYFUNCTION("""COMPUTED_VALUE"""),"Monthly Services")</f>
        <v>Monthly Services</v>
      </c>
      <c r="D37" s="316">
        <f>IFERROR(__xludf.DUMMYFUNCTION("""COMPUTED_VALUE"""),44470.0)</f>
        <v>44470</v>
      </c>
      <c r="E37" s="298">
        <f>IFERROR(__xludf.DUMMYFUNCTION("""COMPUTED_VALUE"""),550.0)</f>
        <v>550</v>
      </c>
      <c r="F37" s="298">
        <f>IFERROR(__xludf.DUMMYFUNCTION("""COMPUTED_VALUE"""),0.0)</f>
        <v>0</v>
      </c>
      <c r="G37" s="298">
        <f>IFERROR(__xludf.DUMMYFUNCTION("""COMPUTED_VALUE"""),0.0)</f>
        <v>0</v>
      </c>
      <c r="H37" s="223">
        <f>IFERROR(__xludf.DUMMYFUNCTION("""COMPUTED_VALUE"""),550.0)</f>
        <v>550</v>
      </c>
      <c r="I37" s="298"/>
      <c r="J37" s="223" t="str">
        <f>IFERROR(__xludf.DUMMYFUNCTION("""COMPUTED_VALUE"""),"Monthly")</f>
        <v>Monthly</v>
      </c>
      <c r="K37" s="317">
        <f>IFERROR(__xludf.DUMMYFUNCTION("""COMPUTED_VALUE"""),2021.1)</f>
        <v>2021.1</v>
      </c>
      <c r="L37" s="298"/>
      <c r="M37" s="223"/>
      <c r="N37" s="223"/>
      <c r="O37" s="223"/>
      <c r="P37" s="223"/>
      <c r="Q37" s="223"/>
      <c r="R37" s="223"/>
      <c r="S37" s="223"/>
      <c r="T37" s="223"/>
      <c r="U37" s="223"/>
      <c r="V37" s="223"/>
      <c r="W37" s="223"/>
      <c r="X37" s="223"/>
      <c r="Y37" s="223"/>
      <c r="Z37" s="223"/>
    </row>
    <row r="38">
      <c r="A38" s="223" t="str">
        <f>IFERROR(__xludf.DUMMYFUNCTION("""COMPUTED_VALUE"""),"MortgagePal : Monthly Services")</f>
        <v>MortgagePal : Monthly Services</v>
      </c>
      <c r="B38" s="223" t="str">
        <f>IFERROR(__xludf.DUMMYFUNCTION("""COMPUTED_VALUE"""),"MortgagePal")</f>
        <v>MortgagePal</v>
      </c>
      <c r="C38" s="223" t="str">
        <f>IFERROR(__xludf.DUMMYFUNCTION("""COMPUTED_VALUE"""),"Monthly Services")</f>
        <v>Monthly Services</v>
      </c>
      <c r="D38" s="316">
        <f>IFERROR(__xludf.DUMMYFUNCTION("""COMPUTED_VALUE"""),44470.0)</f>
        <v>44470</v>
      </c>
      <c r="E38" s="298">
        <f>IFERROR(__xludf.DUMMYFUNCTION("""COMPUTED_VALUE"""),500.0)</f>
        <v>500</v>
      </c>
      <c r="F38" s="298">
        <f>IFERROR(__xludf.DUMMYFUNCTION("""COMPUTED_VALUE"""),0.0)</f>
        <v>0</v>
      </c>
      <c r="G38" s="298">
        <f>IFERROR(__xludf.DUMMYFUNCTION("""COMPUTED_VALUE"""),0.0)</f>
        <v>0</v>
      </c>
      <c r="H38" s="223">
        <f>IFERROR(__xludf.DUMMYFUNCTION("""COMPUTED_VALUE"""),500.0)</f>
        <v>500</v>
      </c>
      <c r="I38" s="298"/>
      <c r="J38" s="223" t="str">
        <f>IFERROR(__xludf.DUMMYFUNCTION("""COMPUTED_VALUE"""),"Monthly")</f>
        <v>Monthly</v>
      </c>
      <c r="K38" s="317">
        <f>IFERROR(__xludf.DUMMYFUNCTION("""COMPUTED_VALUE"""),2021.1)</f>
        <v>2021.1</v>
      </c>
      <c r="L38" s="298"/>
      <c r="M38" s="223"/>
      <c r="N38" s="223"/>
      <c r="O38" s="223"/>
      <c r="P38" s="223"/>
      <c r="Q38" s="223"/>
      <c r="R38" s="223"/>
      <c r="S38" s="223"/>
      <c r="T38" s="223"/>
      <c r="U38" s="223"/>
      <c r="V38" s="223"/>
      <c r="W38" s="223"/>
      <c r="X38" s="223"/>
      <c r="Y38" s="223"/>
      <c r="Z38" s="223"/>
    </row>
    <row r="39">
      <c r="A39" s="223" t="str">
        <f>IFERROR(__xludf.DUMMYFUNCTION("""COMPUTED_VALUE"""),"Red Seal : Monthly Services")</f>
        <v>Red Seal : Monthly Services</v>
      </c>
      <c r="B39" s="223" t="str">
        <f>IFERROR(__xludf.DUMMYFUNCTION("""COMPUTED_VALUE"""),"Red Seal")</f>
        <v>Red Seal</v>
      </c>
      <c r="C39" s="223" t="str">
        <f>IFERROR(__xludf.DUMMYFUNCTION("""COMPUTED_VALUE"""),"Monthly Services")</f>
        <v>Monthly Services</v>
      </c>
      <c r="D39" s="316">
        <f>IFERROR(__xludf.DUMMYFUNCTION("""COMPUTED_VALUE"""),44470.0)</f>
        <v>44470</v>
      </c>
      <c r="E39" s="298">
        <f>IFERROR(__xludf.DUMMYFUNCTION("""COMPUTED_VALUE"""),250.0)</f>
        <v>250</v>
      </c>
      <c r="F39" s="298">
        <f>IFERROR(__xludf.DUMMYFUNCTION("""COMPUTED_VALUE"""),7.78)</f>
        <v>7.78</v>
      </c>
      <c r="G39" s="298">
        <f>IFERROR(__xludf.DUMMYFUNCTION("""COMPUTED_VALUE"""),0.0)</f>
        <v>0</v>
      </c>
      <c r="H39" s="223">
        <f>IFERROR(__xludf.DUMMYFUNCTION("""COMPUTED_VALUE"""),242.22)</f>
        <v>242.22</v>
      </c>
      <c r="I39" s="298"/>
      <c r="J39" s="223" t="str">
        <f>IFERROR(__xludf.DUMMYFUNCTION("""COMPUTED_VALUE"""),"Monthly")</f>
        <v>Monthly</v>
      </c>
      <c r="K39" s="317">
        <f>IFERROR(__xludf.DUMMYFUNCTION("""COMPUTED_VALUE"""),2021.1)</f>
        <v>2021.1</v>
      </c>
      <c r="L39" s="298"/>
      <c r="M39" s="223"/>
      <c r="N39" s="223"/>
      <c r="O39" s="223"/>
      <c r="P39" s="223"/>
      <c r="Q39" s="223"/>
      <c r="R39" s="223"/>
      <c r="S39" s="223"/>
      <c r="T39" s="223"/>
      <c r="U39" s="223"/>
      <c r="V39" s="223"/>
      <c r="W39" s="223"/>
      <c r="X39" s="223"/>
      <c r="Y39" s="223"/>
      <c r="Z39" s="223"/>
    </row>
    <row r="40">
      <c r="A40" s="223" t="str">
        <f>IFERROR(__xludf.DUMMYFUNCTION("""COMPUTED_VALUE"""),"Spraggs : Monthly Services")</f>
        <v>Spraggs : Monthly Services</v>
      </c>
      <c r="B40" s="223" t="str">
        <f>IFERROR(__xludf.DUMMYFUNCTION("""COMPUTED_VALUE"""),"Spraggs")</f>
        <v>Spraggs</v>
      </c>
      <c r="C40" s="223" t="str">
        <f>IFERROR(__xludf.DUMMYFUNCTION("""COMPUTED_VALUE"""),"Monthly Services")</f>
        <v>Monthly Services</v>
      </c>
      <c r="D40" s="316">
        <f>IFERROR(__xludf.DUMMYFUNCTION("""COMPUTED_VALUE"""),44470.0)</f>
        <v>44470</v>
      </c>
      <c r="E40" s="298">
        <f>IFERROR(__xludf.DUMMYFUNCTION("""COMPUTED_VALUE"""),2900.0)</f>
        <v>2900</v>
      </c>
      <c r="F40" s="298">
        <f>IFERROR(__xludf.DUMMYFUNCTION("""COMPUTED_VALUE"""),0.0)</f>
        <v>0</v>
      </c>
      <c r="G40" s="298">
        <f>IFERROR(__xludf.DUMMYFUNCTION("""COMPUTED_VALUE"""),0.0)</f>
        <v>0</v>
      </c>
      <c r="H40" s="223">
        <f>IFERROR(__xludf.DUMMYFUNCTION("""COMPUTED_VALUE"""),2900.0)</f>
        <v>2900</v>
      </c>
      <c r="I40" s="298"/>
      <c r="J40" s="223" t="str">
        <f>IFERROR(__xludf.DUMMYFUNCTION("""COMPUTED_VALUE"""),"Monthly")</f>
        <v>Monthly</v>
      </c>
      <c r="K40" s="317">
        <f>IFERROR(__xludf.DUMMYFUNCTION("""COMPUTED_VALUE"""),2021.1)</f>
        <v>2021.1</v>
      </c>
      <c r="L40" s="298"/>
      <c r="M40" s="223"/>
      <c r="N40" s="223"/>
      <c r="O40" s="223"/>
      <c r="P40" s="223"/>
      <c r="Q40" s="223"/>
      <c r="R40" s="223"/>
      <c r="S40" s="223"/>
      <c r="T40" s="223"/>
      <c r="U40" s="223"/>
      <c r="V40" s="223"/>
      <c r="W40" s="223"/>
      <c r="X40" s="223"/>
      <c r="Y40" s="223"/>
      <c r="Z40" s="223"/>
    </row>
    <row r="41">
      <c r="A41" s="223" t="str">
        <f>IFERROR(__xludf.DUMMYFUNCTION("""COMPUTED_VALUE"""),"BookKing : Monthly Services")</f>
        <v>BookKing : Monthly Services</v>
      </c>
      <c r="B41" s="223" t="str">
        <f>IFERROR(__xludf.DUMMYFUNCTION("""COMPUTED_VALUE"""),"BookKing")</f>
        <v>BookKing</v>
      </c>
      <c r="C41" s="223" t="str">
        <f>IFERROR(__xludf.DUMMYFUNCTION("""COMPUTED_VALUE"""),"Monthly Services")</f>
        <v>Monthly Services</v>
      </c>
      <c r="D41" s="316">
        <f>IFERROR(__xludf.DUMMYFUNCTION("""COMPUTED_VALUE"""),44470.0)</f>
        <v>44470</v>
      </c>
      <c r="E41" s="298">
        <f>IFERROR(__xludf.DUMMYFUNCTION("""COMPUTED_VALUE"""),900.0)</f>
        <v>900</v>
      </c>
      <c r="F41" s="298">
        <f>IFERROR(__xludf.DUMMYFUNCTION("""COMPUTED_VALUE"""),28.0)</f>
        <v>28</v>
      </c>
      <c r="G41" s="298">
        <f>IFERROR(__xludf.DUMMYFUNCTION("""COMPUTED_VALUE"""),0.0)</f>
        <v>0</v>
      </c>
      <c r="H41" s="223">
        <f>IFERROR(__xludf.DUMMYFUNCTION("""COMPUTED_VALUE"""),872.0)</f>
        <v>872</v>
      </c>
      <c r="I41" s="298"/>
      <c r="J41" s="223" t="str">
        <f>IFERROR(__xludf.DUMMYFUNCTION("""COMPUTED_VALUE"""),"Monthly")</f>
        <v>Monthly</v>
      </c>
      <c r="K41" s="317">
        <f>IFERROR(__xludf.DUMMYFUNCTION("""COMPUTED_VALUE"""),2021.1)</f>
        <v>2021.1</v>
      </c>
      <c r="L41" s="298"/>
      <c r="M41" s="223"/>
      <c r="N41" s="223"/>
      <c r="O41" s="223"/>
      <c r="P41" s="223"/>
      <c r="Q41" s="223"/>
      <c r="R41" s="223"/>
      <c r="S41" s="223"/>
      <c r="T41" s="223"/>
      <c r="U41" s="223"/>
      <c r="V41" s="223"/>
      <c r="W41" s="223"/>
      <c r="X41" s="223"/>
      <c r="Y41" s="223"/>
      <c r="Z41" s="223"/>
    </row>
    <row r="42">
      <c r="A42" s="223" t="str">
        <f>IFERROR(__xludf.DUMMYFUNCTION("""COMPUTED_VALUE"""),"Aware360 : Monthly Services")</f>
        <v>Aware360 : Monthly Services</v>
      </c>
      <c r="B42" s="223" t="str">
        <f>IFERROR(__xludf.DUMMYFUNCTION("""COMPUTED_VALUE"""),"Aware360")</f>
        <v>Aware360</v>
      </c>
      <c r="C42" s="223" t="str">
        <f>IFERROR(__xludf.DUMMYFUNCTION("""COMPUTED_VALUE"""),"Monthly Services")</f>
        <v>Monthly Services</v>
      </c>
      <c r="D42" s="316">
        <f>IFERROR(__xludf.DUMMYFUNCTION("""COMPUTED_VALUE"""),44470.0)</f>
        <v>44470</v>
      </c>
      <c r="E42" s="298">
        <f>IFERROR(__xludf.DUMMYFUNCTION("""COMPUTED_VALUE"""),550.0)</f>
        <v>550</v>
      </c>
      <c r="F42" s="298">
        <f>IFERROR(__xludf.DUMMYFUNCTION("""COMPUTED_VALUE"""),0.0)</f>
        <v>0</v>
      </c>
      <c r="G42" s="298">
        <f>IFERROR(__xludf.DUMMYFUNCTION("""COMPUTED_VALUE"""),0.0)</f>
        <v>0</v>
      </c>
      <c r="H42" s="223">
        <f>IFERROR(__xludf.DUMMYFUNCTION("""COMPUTED_VALUE"""),550.0)</f>
        <v>550</v>
      </c>
      <c r="I42" s="298"/>
      <c r="J42" s="223" t="str">
        <f>IFERROR(__xludf.DUMMYFUNCTION("""COMPUTED_VALUE"""),"Monthly")</f>
        <v>Monthly</v>
      </c>
      <c r="K42" s="317">
        <f>IFERROR(__xludf.DUMMYFUNCTION("""COMPUTED_VALUE"""),2021.1)</f>
        <v>2021.1</v>
      </c>
      <c r="L42" s="298"/>
      <c r="M42" s="223"/>
      <c r="N42" s="223"/>
      <c r="O42" s="223"/>
      <c r="P42" s="223"/>
      <c r="Q42" s="223"/>
      <c r="R42" s="223"/>
      <c r="S42" s="223"/>
      <c r="T42" s="223"/>
      <c r="U42" s="223"/>
      <c r="V42" s="223"/>
      <c r="W42" s="223"/>
      <c r="X42" s="223"/>
      <c r="Y42" s="223"/>
      <c r="Z42" s="223"/>
    </row>
    <row r="43">
      <c r="A43" s="223" t="str">
        <f>IFERROR(__xludf.DUMMYFUNCTION("""COMPUTED_VALUE"""),"Service First : Monthly Services")</f>
        <v>Service First : Monthly Services</v>
      </c>
      <c r="B43" s="223" t="str">
        <f>IFERROR(__xludf.DUMMYFUNCTION("""COMPUTED_VALUE"""),"Service First")</f>
        <v>Service First</v>
      </c>
      <c r="C43" s="223" t="str">
        <f>IFERROR(__xludf.DUMMYFUNCTION("""COMPUTED_VALUE"""),"Monthly Services")</f>
        <v>Monthly Services</v>
      </c>
      <c r="D43" s="316">
        <f>IFERROR(__xludf.DUMMYFUNCTION("""COMPUTED_VALUE"""),44470.0)</f>
        <v>44470</v>
      </c>
      <c r="E43" s="298">
        <f>IFERROR(__xludf.DUMMYFUNCTION("""COMPUTED_VALUE"""),300.0)</f>
        <v>300</v>
      </c>
      <c r="F43" s="298">
        <f>IFERROR(__xludf.DUMMYFUNCTION("""COMPUTED_VALUE"""),0.0)</f>
        <v>0</v>
      </c>
      <c r="G43" s="298">
        <f>IFERROR(__xludf.DUMMYFUNCTION("""COMPUTED_VALUE"""),0.0)</f>
        <v>0</v>
      </c>
      <c r="H43" s="223">
        <f>IFERROR(__xludf.DUMMYFUNCTION("""COMPUTED_VALUE"""),300.0)</f>
        <v>300</v>
      </c>
      <c r="I43" s="298"/>
      <c r="J43" s="223" t="str">
        <f>IFERROR(__xludf.DUMMYFUNCTION("""COMPUTED_VALUE"""),"Monthly")</f>
        <v>Monthly</v>
      </c>
      <c r="K43" s="317">
        <f>IFERROR(__xludf.DUMMYFUNCTION("""COMPUTED_VALUE"""),2021.1)</f>
        <v>2021.1</v>
      </c>
      <c r="L43" s="298"/>
      <c r="M43" s="223"/>
      <c r="N43" s="223"/>
      <c r="O43" s="223"/>
      <c r="P43" s="223"/>
      <c r="Q43" s="223"/>
      <c r="R43" s="223"/>
      <c r="S43" s="223"/>
      <c r="T43" s="223"/>
      <c r="U43" s="223"/>
      <c r="V43" s="223"/>
      <c r="W43" s="223"/>
      <c r="X43" s="223"/>
      <c r="Y43" s="223"/>
      <c r="Z43" s="223"/>
    </row>
    <row r="44">
      <c r="A44" s="223" t="str">
        <f>IFERROR(__xludf.DUMMYFUNCTION("""COMPUTED_VALUE"""),"Booginhead : Monthly Services")</f>
        <v>Booginhead : Monthly Services</v>
      </c>
      <c r="B44" s="223" t="str">
        <f>IFERROR(__xludf.DUMMYFUNCTION("""COMPUTED_VALUE"""),"Booginhead")</f>
        <v>Booginhead</v>
      </c>
      <c r="C44" s="223" t="str">
        <f>IFERROR(__xludf.DUMMYFUNCTION("""COMPUTED_VALUE"""),"Monthly Services")</f>
        <v>Monthly Services</v>
      </c>
      <c r="D44" s="316">
        <f>IFERROR(__xludf.DUMMYFUNCTION("""COMPUTED_VALUE"""),44470.0)</f>
        <v>44470</v>
      </c>
      <c r="E44" s="298">
        <f>IFERROR(__xludf.DUMMYFUNCTION("""COMPUTED_VALUE"""),1557.84)</f>
        <v>1557.84</v>
      </c>
      <c r="F44" s="298">
        <f>IFERROR(__xludf.DUMMYFUNCTION("""COMPUTED_VALUE"""),0.0)</f>
        <v>0</v>
      </c>
      <c r="G44" s="298">
        <f>IFERROR(__xludf.DUMMYFUNCTION("""COMPUTED_VALUE"""),311.568)</f>
        <v>311.568</v>
      </c>
      <c r="H44" s="223">
        <f>IFERROR(__xludf.DUMMYFUNCTION("""COMPUTED_VALUE"""),1246.272)</f>
        <v>1246.272</v>
      </c>
      <c r="I44" s="298"/>
      <c r="J44" s="223" t="str">
        <f>IFERROR(__xludf.DUMMYFUNCTION("""COMPUTED_VALUE"""),"Monthly")</f>
        <v>Monthly</v>
      </c>
      <c r="K44" s="317">
        <f>IFERROR(__xludf.DUMMYFUNCTION("""COMPUTED_VALUE"""),2021.1)</f>
        <v>2021.1</v>
      </c>
      <c r="L44" s="298"/>
      <c r="M44" s="223"/>
      <c r="N44" s="223"/>
      <c r="O44" s="223"/>
      <c r="P44" s="223"/>
      <c r="Q44" s="223"/>
      <c r="R44" s="223"/>
      <c r="S44" s="223"/>
      <c r="T44" s="223"/>
      <c r="U44" s="223"/>
      <c r="V44" s="223"/>
      <c r="W44" s="223"/>
      <c r="X44" s="223"/>
      <c r="Y44" s="223"/>
      <c r="Z44" s="223"/>
    </row>
    <row r="45">
      <c r="A45" s="223" t="str">
        <f>IFERROR(__xludf.DUMMYFUNCTION("""COMPUTED_VALUE"""),"OA Region 6 : Monthly Services")</f>
        <v>OA Region 6 : Monthly Services</v>
      </c>
      <c r="B45" s="223" t="str">
        <f>IFERROR(__xludf.DUMMYFUNCTION("""COMPUTED_VALUE"""),"OA Region 6")</f>
        <v>OA Region 6</v>
      </c>
      <c r="C45" s="223" t="str">
        <f>IFERROR(__xludf.DUMMYFUNCTION("""COMPUTED_VALUE"""),"Monthly Services")</f>
        <v>Monthly Services</v>
      </c>
      <c r="D45" s="316">
        <f>IFERROR(__xludf.DUMMYFUNCTION("""COMPUTED_VALUE"""),44470.0)</f>
        <v>44470</v>
      </c>
      <c r="E45" s="298">
        <f>IFERROR(__xludf.DUMMYFUNCTION("""COMPUTED_VALUE"""),598.98)</f>
        <v>598.98</v>
      </c>
      <c r="F45" s="298">
        <f>IFERROR(__xludf.DUMMYFUNCTION("""COMPUTED_VALUE"""),0.0)</f>
        <v>0</v>
      </c>
      <c r="G45" s="298">
        <f>IFERROR(__xludf.DUMMYFUNCTION("""COMPUTED_VALUE"""),0.0)</f>
        <v>0</v>
      </c>
      <c r="H45" s="223">
        <f>IFERROR(__xludf.DUMMYFUNCTION("""COMPUTED_VALUE"""),598.98)</f>
        <v>598.98</v>
      </c>
      <c r="I45" s="298"/>
      <c r="J45" s="223" t="str">
        <f>IFERROR(__xludf.DUMMYFUNCTION("""COMPUTED_VALUE"""),"Monthly")</f>
        <v>Monthly</v>
      </c>
      <c r="K45" s="317">
        <f>IFERROR(__xludf.DUMMYFUNCTION("""COMPUTED_VALUE"""),2021.1)</f>
        <v>2021.1</v>
      </c>
      <c r="L45" s="298"/>
      <c r="M45" s="223"/>
      <c r="N45" s="223"/>
      <c r="O45" s="223"/>
      <c r="P45" s="223"/>
      <c r="Q45" s="223"/>
      <c r="R45" s="223"/>
      <c r="S45" s="223"/>
      <c r="T45" s="223"/>
      <c r="U45" s="223"/>
      <c r="V45" s="223"/>
      <c r="W45" s="223"/>
      <c r="X45" s="223"/>
      <c r="Y45" s="223"/>
      <c r="Z45" s="223"/>
    </row>
    <row r="46">
      <c r="A46" s="223" t="str">
        <f>IFERROR(__xludf.DUMMYFUNCTION("""COMPUTED_VALUE"""),"Rama Meditation Society : Premium Hosting + Support")</f>
        <v>Rama Meditation Society : Premium Hosting + Support</v>
      </c>
      <c r="B46" s="223" t="str">
        <f>IFERROR(__xludf.DUMMYFUNCTION("""COMPUTED_VALUE"""),"Rama Meditation Society")</f>
        <v>Rama Meditation Society</v>
      </c>
      <c r="C46" s="223" t="str">
        <f>IFERROR(__xludf.DUMMYFUNCTION("""COMPUTED_VALUE"""),"Premium Hosting + Support")</f>
        <v>Premium Hosting + Support</v>
      </c>
      <c r="D46" s="316">
        <f>IFERROR(__xludf.DUMMYFUNCTION("""COMPUTED_VALUE"""),44470.0)</f>
        <v>44470</v>
      </c>
      <c r="E46" s="298">
        <f>IFERROR(__xludf.DUMMYFUNCTION("""COMPUTED_VALUE"""),3768.96)</f>
        <v>3768.96</v>
      </c>
      <c r="F46" s="298">
        <f>IFERROR(__xludf.DUMMYFUNCTION("""COMPUTED_VALUE"""),139.81)</f>
        <v>139.81</v>
      </c>
      <c r="G46" s="298">
        <f>IFERROR(__xludf.DUMMYFUNCTION("""COMPUTED_VALUE"""),0.0)</f>
        <v>0</v>
      </c>
      <c r="H46" s="223">
        <f>IFERROR(__xludf.DUMMYFUNCTION("""COMPUTED_VALUE"""),3629.15)</f>
        <v>3629.15</v>
      </c>
      <c r="I46" s="298"/>
      <c r="J46" s="223" t="str">
        <f>IFERROR(__xludf.DUMMYFUNCTION("""COMPUTED_VALUE"""),"50% Remaining Final Payment")</f>
        <v>50% Remaining Final Payment</v>
      </c>
      <c r="K46" s="317">
        <f>IFERROR(__xludf.DUMMYFUNCTION("""COMPUTED_VALUE"""),2021.0)</f>
        <v>2021</v>
      </c>
      <c r="L46" s="298"/>
      <c r="M46" s="223"/>
      <c r="N46" s="223"/>
      <c r="O46" s="223"/>
      <c r="P46" s="223"/>
      <c r="Q46" s="223"/>
      <c r="R46" s="223"/>
      <c r="S46" s="223"/>
      <c r="T46" s="223"/>
      <c r="U46" s="223"/>
      <c r="V46" s="223"/>
      <c r="W46" s="223"/>
      <c r="X46" s="223"/>
      <c r="Y46" s="223"/>
      <c r="Z46" s="223"/>
    </row>
    <row r="47">
      <c r="A47" s="223" t="str">
        <f>IFERROR(__xludf.DUMMYFUNCTION("""COMPUTED_VALUE"""),"Shopify : Partner Payment")</f>
        <v>Shopify : Partner Payment</v>
      </c>
      <c r="B47" s="223" t="str">
        <f>IFERROR(__xludf.DUMMYFUNCTION("""COMPUTED_VALUE"""),"Shopify")</f>
        <v>Shopify</v>
      </c>
      <c r="C47" s="223" t="str">
        <f>IFERROR(__xludf.DUMMYFUNCTION("""COMPUTED_VALUE"""),"Partner Payment")</f>
        <v>Partner Payment</v>
      </c>
      <c r="D47" s="316">
        <f>IFERROR(__xludf.DUMMYFUNCTION("""COMPUTED_VALUE"""),44470.0)</f>
        <v>44470</v>
      </c>
      <c r="E47" s="298">
        <f>IFERROR(__xludf.DUMMYFUNCTION("""COMPUTED_VALUE"""),37.67)</f>
        <v>37.67</v>
      </c>
      <c r="F47" s="298">
        <f>IFERROR(__xludf.DUMMYFUNCTION("""COMPUTED_VALUE"""),0.0)</f>
        <v>0</v>
      </c>
      <c r="G47" s="298">
        <f>IFERROR(__xludf.DUMMYFUNCTION("""COMPUTED_VALUE"""),0.0)</f>
        <v>0</v>
      </c>
      <c r="H47" s="223">
        <f>IFERROR(__xludf.DUMMYFUNCTION("""COMPUTED_VALUE"""),37.67)</f>
        <v>37.67</v>
      </c>
      <c r="I47" s="298"/>
      <c r="J47" s="223" t="str">
        <f>IFERROR(__xludf.DUMMYFUNCTION("""COMPUTED_VALUE"""),"As Needed")</f>
        <v>As Needed</v>
      </c>
      <c r="K47" s="317">
        <f>IFERROR(__xludf.DUMMYFUNCTION("""COMPUTED_VALUE"""),2021.0)</f>
        <v>2021</v>
      </c>
      <c r="L47" s="298"/>
      <c r="M47" s="223"/>
      <c r="N47" s="223"/>
      <c r="O47" s="223"/>
      <c r="P47" s="223"/>
      <c r="Q47" s="223"/>
      <c r="R47" s="223"/>
      <c r="S47" s="223"/>
      <c r="T47" s="223"/>
      <c r="U47" s="223"/>
      <c r="V47" s="223"/>
      <c r="W47" s="223"/>
      <c r="X47" s="223"/>
      <c r="Y47" s="223"/>
      <c r="Z47" s="223"/>
    </row>
    <row r="48">
      <c r="A48" s="223" t="str">
        <f>IFERROR(__xludf.DUMMYFUNCTION("""COMPUTED_VALUE"""),"Tires Easy : Monthly Services for Tires-Easy.com")</f>
        <v>Tires Easy : Monthly Services for Tires-Easy.com</v>
      </c>
      <c r="B48" s="223" t="str">
        <f>IFERROR(__xludf.DUMMYFUNCTION("""COMPUTED_VALUE"""),"Tires Easy")</f>
        <v>Tires Easy</v>
      </c>
      <c r="C48" s="223" t="str">
        <f>IFERROR(__xludf.DUMMYFUNCTION("""COMPUTED_VALUE"""),"Monthly Services for Tires-Easy.com")</f>
        <v>Monthly Services for Tires-Easy.com</v>
      </c>
      <c r="D48" s="316">
        <f>IFERROR(__xludf.DUMMYFUNCTION("""COMPUTED_VALUE"""),44470.0)</f>
        <v>44470</v>
      </c>
      <c r="E48" s="298">
        <f>IFERROR(__xludf.DUMMYFUNCTION("""COMPUTED_VALUE"""),837.0)</f>
        <v>837</v>
      </c>
      <c r="F48" s="298">
        <f>IFERROR(__xludf.DUMMYFUNCTION("""COMPUTED_VALUE"""),0.0)</f>
        <v>0</v>
      </c>
      <c r="G48" s="298">
        <f>IFERROR(__xludf.DUMMYFUNCTION("""COMPUTED_VALUE"""),0.0)</f>
        <v>0</v>
      </c>
      <c r="H48" s="223">
        <f>IFERROR(__xludf.DUMMYFUNCTION("""COMPUTED_VALUE"""),837.0)</f>
        <v>837</v>
      </c>
      <c r="I48" s="298"/>
      <c r="J48" s="223" t="str">
        <f>IFERROR(__xludf.DUMMYFUNCTION("""COMPUTED_VALUE"""),"Monthly")</f>
        <v>Monthly</v>
      </c>
      <c r="K48" s="317">
        <f>IFERROR(__xludf.DUMMYFUNCTION("""COMPUTED_VALUE"""),2021.1)</f>
        <v>2021.1</v>
      </c>
      <c r="L48" s="298"/>
      <c r="M48" s="223"/>
      <c r="N48" s="223"/>
      <c r="O48" s="223"/>
      <c r="P48" s="223"/>
      <c r="Q48" s="223"/>
      <c r="R48" s="223"/>
      <c r="S48" s="223"/>
      <c r="T48" s="223"/>
      <c r="U48" s="223"/>
      <c r="V48" s="223"/>
      <c r="W48" s="223"/>
      <c r="X48" s="223"/>
      <c r="Y48" s="223"/>
      <c r="Z48" s="223"/>
    </row>
    <row r="49">
      <c r="A49" s="223" t="str">
        <f>IFERROR(__xludf.DUMMYFUNCTION("""COMPUTED_VALUE"""),"Tuscany : Monthly Services")</f>
        <v>Tuscany : Monthly Services</v>
      </c>
      <c r="B49" s="223" t="str">
        <f>IFERROR(__xludf.DUMMYFUNCTION("""COMPUTED_VALUE"""),"Tuscany")</f>
        <v>Tuscany</v>
      </c>
      <c r="C49" s="223" t="str">
        <f>IFERROR(__xludf.DUMMYFUNCTION("""COMPUTED_VALUE"""),"Monthly Services")</f>
        <v>Monthly Services</v>
      </c>
      <c r="D49" s="316">
        <f>IFERROR(__xludf.DUMMYFUNCTION("""COMPUTED_VALUE"""),44470.0)</f>
        <v>44470</v>
      </c>
      <c r="E49" s="298">
        <f>IFERROR(__xludf.DUMMYFUNCTION("""COMPUTED_VALUE"""),2449.03)</f>
        <v>2449.03</v>
      </c>
      <c r="F49" s="298">
        <f>IFERROR(__xludf.DUMMYFUNCTION("""COMPUTED_VALUE"""),0.0)</f>
        <v>0</v>
      </c>
      <c r="G49" s="298">
        <f>IFERROR(__xludf.DUMMYFUNCTION("""COMPUTED_VALUE"""),0.0)</f>
        <v>0</v>
      </c>
      <c r="H49" s="223">
        <f>IFERROR(__xludf.DUMMYFUNCTION("""COMPUTED_VALUE"""),2449.03)</f>
        <v>2449.03</v>
      </c>
      <c r="I49" s="298"/>
      <c r="J49" s="223" t="str">
        <f>IFERROR(__xludf.DUMMYFUNCTION("""COMPUTED_VALUE"""),"Monthly")</f>
        <v>Monthly</v>
      </c>
      <c r="K49" s="317">
        <f>IFERROR(__xludf.DUMMYFUNCTION("""COMPUTED_VALUE"""),2021.1)</f>
        <v>2021.1</v>
      </c>
      <c r="L49" s="298"/>
      <c r="M49" s="223"/>
      <c r="N49" s="223"/>
      <c r="O49" s="223"/>
      <c r="P49" s="223"/>
      <c r="Q49" s="223"/>
      <c r="R49" s="223"/>
      <c r="S49" s="223"/>
      <c r="T49" s="223"/>
      <c r="U49" s="223"/>
      <c r="V49" s="223"/>
      <c r="W49" s="223"/>
      <c r="X49" s="223"/>
      <c r="Y49" s="223"/>
      <c r="Z49" s="223"/>
    </row>
    <row r="50">
      <c r="A50" s="223" t="str">
        <f>IFERROR(__xludf.DUMMYFUNCTION("""COMPUTED_VALUE"""),"Venetian : Monthly Services")</f>
        <v>Venetian : Monthly Services</v>
      </c>
      <c r="B50" s="223" t="str">
        <f>IFERROR(__xludf.DUMMYFUNCTION("""COMPUTED_VALUE"""),"Venetian")</f>
        <v>Venetian</v>
      </c>
      <c r="C50" s="223" t="str">
        <f>IFERROR(__xludf.DUMMYFUNCTION("""COMPUTED_VALUE"""),"Monthly Services")</f>
        <v>Monthly Services</v>
      </c>
      <c r="D50" s="316">
        <f>IFERROR(__xludf.DUMMYFUNCTION("""COMPUTED_VALUE"""),44470.0)</f>
        <v>44470</v>
      </c>
      <c r="E50" s="298">
        <f>IFERROR(__xludf.DUMMYFUNCTION("""COMPUTED_VALUE"""),2449.03)</f>
        <v>2449.03</v>
      </c>
      <c r="F50" s="298">
        <f>IFERROR(__xludf.DUMMYFUNCTION("""COMPUTED_VALUE"""),0.0)</f>
        <v>0</v>
      </c>
      <c r="G50" s="298">
        <f>IFERROR(__xludf.DUMMYFUNCTION("""COMPUTED_VALUE"""),0.0)</f>
        <v>0</v>
      </c>
      <c r="H50" s="223">
        <f>IFERROR(__xludf.DUMMYFUNCTION("""COMPUTED_VALUE"""),2449.03)</f>
        <v>2449.03</v>
      </c>
      <c r="I50" s="298"/>
      <c r="J50" s="223" t="str">
        <f>IFERROR(__xludf.DUMMYFUNCTION("""COMPUTED_VALUE"""),"Monthly")</f>
        <v>Monthly</v>
      </c>
      <c r="K50" s="317">
        <f>IFERROR(__xludf.DUMMYFUNCTION("""COMPUTED_VALUE"""),2021.1)</f>
        <v>2021.1</v>
      </c>
      <c r="L50" s="298"/>
      <c r="M50" s="223"/>
      <c r="N50" s="223"/>
      <c r="O50" s="223"/>
      <c r="P50" s="223"/>
      <c r="Q50" s="223"/>
      <c r="R50" s="223"/>
      <c r="S50" s="223"/>
      <c r="T50" s="223"/>
      <c r="U50" s="223"/>
      <c r="V50" s="223"/>
      <c r="W50" s="223"/>
      <c r="X50" s="223"/>
      <c r="Y50" s="223"/>
      <c r="Z50" s="223"/>
    </row>
    <row r="51">
      <c r="A51" s="223" t="str">
        <f>IFERROR(__xludf.DUMMYFUNCTION("""COMPUTED_VALUE"""),"Community Financials : Monthly Services")</f>
        <v>Community Financials : Monthly Services</v>
      </c>
      <c r="B51" s="223" t="str">
        <f>IFERROR(__xludf.DUMMYFUNCTION("""COMPUTED_VALUE"""),"Community Financials")</f>
        <v>Community Financials</v>
      </c>
      <c r="C51" s="223" t="str">
        <f>IFERROR(__xludf.DUMMYFUNCTION("""COMPUTED_VALUE"""),"Monthly Services")</f>
        <v>Monthly Services</v>
      </c>
      <c r="D51" s="316">
        <f>IFERROR(__xludf.DUMMYFUNCTION("""COMPUTED_VALUE"""),44470.0)</f>
        <v>44470</v>
      </c>
      <c r="E51" s="298">
        <f>IFERROR(__xludf.DUMMYFUNCTION("""COMPUTED_VALUE"""),1858.76)</f>
        <v>1858.76</v>
      </c>
      <c r="F51" s="298">
        <f>IFERROR(__xludf.DUMMYFUNCTION("""COMPUTED_VALUE"""),69.15)</f>
        <v>69.15</v>
      </c>
      <c r="G51" s="298">
        <f>IFERROR(__xludf.DUMMYFUNCTION("""COMPUTED_VALUE"""),357.922)</f>
        <v>357.922</v>
      </c>
      <c r="H51" s="223">
        <f>IFERROR(__xludf.DUMMYFUNCTION("""COMPUTED_VALUE"""),1431.6879999999999)</f>
        <v>1431.688</v>
      </c>
      <c r="I51" s="298"/>
      <c r="J51" s="223" t="str">
        <f>IFERROR(__xludf.DUMMYFUNCTION("""COMPUTED_VALUE"""),"Monthly")</f>
        <v>Monthly</v>
      </c>
      <c r="K51" s="317">
        <f>IFERROR(__xludf.DUMMYFUNCTION("""COMPUTED_VALUE"""),2021.1)</f>
        <v>2021.1</v>
      </c>
      <c r="L51" s="298"/>
      <c r="M51" s="223"/>
      <c r="N51" s="223"/>
      <c r="O51" s="223"/>
      <c r="P51" s="223"/>
      <c r="Q51" s="223"/>
      <c r="R51" s="223"/>
      <c r="S51" s="223"/>
      <c r="T51" s="223"/>
      <c r="U51" s="223"/>
      <c r="V51" s="223"/>
      <c r="W51" s="223"/>
      <c r="X51" s="223"/>
      <c r="Y51" s="223"/>
      <c r="Z51" s="223"/>
    </row>
    <row r="52">
      <c r="A52" s="223" t="str">
        <f>IFERROR(__xludf.DUMMYFUNCTION("""COMPUTED_VALUE"""),"TisBest : Monthly Services")</f>
        <v>TisBest : Monthly Services</v>
      </c>
      <c r="B52" s="223" t="str">
        <f>IFERROR(__xludf.DUMMYFUNCTION("""COMPUTED_VALUE"""),"TisBest")</f>
        <v>TisBest</v>
      </c>
      <c r="C52" s="223" t="str">
        <f>IFERROR(__xludf.DUMMYFUNCTION("""COMPUTED_VALUE"""),"Monthly Services")</f>
        <v>Monthly Services</v>
      </c>
      <c r="D52" s="316">
        <f>IFERROR(__xludf.DUMMYFUNCTION("""COMPUTED_VALUE"""),44470.0)</f>
        <v>44470</v>
      </c>
      <c r="E52" s="298">
        <f>IFERROR(__xludf.DUMMYFUNCTION("""COMPUTED_VALUE"""),6764.25)</f>
        <v>6764.25</v>
      </c>
      <c r="F52" s="298">
        <f>IFERROR(__xludf.DUMMYFUNCTION("""COMPUTED_VALUE"""),250.65)</f>
        <v>250.65</v>
      </c>
      <c r="G52" s="298">
        <f>IFERROR(__xludf.DUMMYFUNCTION("""COMPUTED_VALUE"""),1302.7200000000003)</f>
        <v>1302.72</v>
      </c>
      <c r="H52" s="223">
        <f>IFERROR(__xludf.DUMMYFUNCTION("""COMPUTED_VALUE"""),5210.88)</f>
        <v>5210.88</v>
      </c>
      <c r="I52" s="298"/>
      <c r="J52" s="223" t="str">
        <f>IFERROR(__xludf.DUMMYFUNCTION("""COMPUTED_VALUE"""),"Monthly")</f>
        <v>Monthly</v>
      </c>
      <c r="K52" s="317">
        <f>IFERROR(__xludf.DUMMYFUNCTION("""COMPUTED_VALUE"""),2021.0)</f>
        <v>2021</v>
      </c>
      <c r="L52" s="298"/>
      <c r="M52" s="223"/>
      <c r="N52" s="223"/>
      <c r="O52" s="223"/>
      <c r="P52" s="223"/>
      <c r="Q52" s="223"/>
      <c r="R52" s="223"/>
      <c r="S52" s="223"/>
      <c r="T52" s="223"/>
      <c r="U52" s="223"/>
      <c r="V52" s="223"/>
      <c r="W52" s="223"/>
      <c r="X52" s="223"/>
      <c r="Y52" s="223"/>
      <c r="Z52" s="223"/>
    </row>
    <row r="53">
      <c r="A53" s="223" t="str">
        <f>IFERROR(__xludf.DUMMYFUNCTION("""COMPUTED_VALUE"""),"The Academy : Website")</f>
        <v>The Academy : Website</v>
      </c>
      <c r="B53" s="223" t="str">
        <f>IFERROR(__xludf.DUMMYFUNCTION("""COMPUTED_VALUE"""),"The Academy")</f>
        <v>The Academy</v>
      </c>
      <c r="C53" s="223" t="str">
        <f>IFERROR(__xludf.DUMMYFUNCTION("""COMPUTED_VALUE"""),"Website")</f>
        <v>Website</v>
      </c>
      <c r="D53" s="316">
        <f>IFERROR(__xludf.DUMMYFUNCTION("""COMPUTED_VALUE"""),44470.0)</f>
        <v>44470</v>
      </c>
      <c r="E53" s="298">
        <f>IFERROR(__xludf.DUMMYFUNCTION("""COMPUTED_VALUE"""),3882.15)</f>
        <v>3882.15</v>
      </c>
      <c r="F53" s="298">
        <f>IFERROR(__xludf.DUMMYFUNCTION("""COMPUTED_VALUE"""),0.0)</f>
        <v>0</v>
      </c>
      <c r="G53" s="298">
        <f>IFERROR(__xludf.DUMMYFUNCTION("""COMPUTED_VALUE"""),0.0)</f>
        <v>0</v>
      </c>
      <c r="H53" s="223">
        <f>IFERROR(__xludf.DUMMYFUNCTION("""COMPUTED_VALUE"""),3882.15)</f>
        <v>3882.15</v>
      </c>
      <c r="I53" s="298"/>
      <c r="J53" s="223" t="str">
        <f>IFERROR(__xludf.DUMMYFUNCTION("""COMPUTED_VALUE"""),"1/3 Second Payment
")</f>
        <v>1/3 Second Payment
</v>
      </c>
      <c r="K53" s="317">
        <f>IFERROR(__xludf.DUMMYFUNCTION("""COMPUTED_VALUE"""),2021.0)</f>
        <v>2021</v>
      </c>
      <c r="L53" s="298"/>
      <c r="M53" s="223"/>
      <c r="N53" s="223"/>
      <c r="O53" s="223"/>
      <c r="P53" s="223"/>
      <c r="Q53" s="223"/>
      <c r="R53" s="223"/>
      <c r="S53" s="223"/>
      <c r="T53" s="223"/>
      <c r="U53" s="223"/>
      <c r="V53" s="223"/>
      <c r="W53" s="223"/>
      <c r="X53" s="223"/>
      <c r="Y53" s="223"/>
      <c r="Z53" s="223"/>
    </row>
    <row r="54">
      <c r="A54" s="223" t="str">
        <f>IFERROR(__xludf.DUMMYFUNCTION("""COMPUTED_VALUE"""),"Advisicon : Maintance &amp; Speed Optimization")</f>
        <v>Advisicon : Maintance &amp; Speed Optimization</v>
      </c>
      <c r="B54" s="223" t="str">
        <f>IFERROR(__xludf.DUMMYFUNCTION("""COMPUTED_VALUE"""),"Advisicon")</f>
        <v>Advisicon</v>
      </c>
      <c r="C54" s="223" t="str">
        <f>IFERROR(__xludf.DUMMYFUNCTION("""COMPUTED_VALUE"""),"Maintance &amp; Speed Optimization")</f>
        <v>Maintance &amp; Speed Optimization</v>
      </c>
      <c r="D54" s="316">
        <f>IFERROR(__xludf.DUMMYFUNCTION("""COMPUTED_VALUE"""),44470.0)</f>
        <v>44470</v>
      </c>
      <c r="E54" s="298">
        <f>IFERROR(__xludf.DUMMYFUNCTION("""COMPUTED_VALUE"""),801.37)</f>
        <v>801.37</v>
      </c>
      <c r="F54" s="298">
        <f>IFERROR(__xludf.DUMMYFUNCTION("""COMPUTED_VALUE"""),30.02)</f>
        <v>30.02</v>
      </c>
      <c r="G54" s="298">
        <f>IFERROR(__xludf.DUMMYFUNCTION("""COMPUTED_VALUE"""),0.0)</f>
        <v>0</v>
      </c>
      <c r="H54" s="223">
        <f>IFERROR(__xludf.DUMMYFUNCTION("""COMPUTED_VALUE"""),771.35)</f>
        <v>771.35</v>
      </c>
      <c r="I54" s="298"/>
      <c r="J54" s="223" t="str">
        <f>IFERROR(__xludf.DUMMYFUNCTION("""COMPUTED_VALUE"""),"Full Amount")</f>
        <v>Full Amount</v>
      </c>
      <c r="K54" s="317">
        <f>IFERROR(__xludf.DUMMYFUNCTION("""COMPUTED_VALUE"""),2021.0)</f>
        <v>2021</v>
      </c>
      <c r="L54" s="298"/>
      <c r="M54" s="223"/>
      <c r="N54" s="223"/>
      <c r="O54" s="223"/>
      <c r="P54" s="223"/>
      <c r="Q54" s="223"/>
      <c r="R54" s="223"/>
      <c r="S54" s="223"/>
      <c r="T54" s="223"/>
      <c r="U54" s="223"/>
      <c r="V54" s="223"/>
      <c r="W54" s="223"/>
      <c r="X54" s="223"/>
      <c r="Y54" s="223"/>
      <c r="Z54" s="223"/>
    </row>
    <row r="55">
      <c r="A55" s="223" t="str">
        <f>IFERROR(__xludf.DUMMYFUNCTION("""COMPUTED_VALUE"""),"Ideon : Website")</f>
        <v>Ideon : Website</v>
      </c>
      <c r="B55" s="223" t="str">
        <f>IFERROR(__xludf.DUMMYFUNCTION("""COMPUTED_VALUE"""),"Ideon")</f>
        <v>Ideon</v>
      </c>
      <c r="C55" s="223" t="str">
        <f>IFERROR(__xludf.DUMMYFUNCTION("""COMPUTED_VALUE"""),"Website")</f>
        <v>Website</v>
      </c>
      <c r="D55" s="316">
        <f>IFERROR(__xludf.DUMMYFUNCTION("""COMPUTED_VALUE"""),44409.0)</f>
        <v>44409</v>
      </c>
      <c r="E55" s="298">
        <f>IFERROR(__xludf.DUMMYFUNCTION("""COMPUTED_VALUE"""),2150.0)</f>
        <v>2150</v>
      </c>
      <c r="F55" s="298">
        <f>IFERROR(__xludf.DUMMYFUNCTION("""COMPUTED_VALUE"""),66.89)</f>
        <v>66.89</v>
      </c>
      <c r="G55" s="298">
        <f>IFERROR(__xludf.DUMMYFUNCTION("""COMPUTED_VALUE"""),0.0)</f>
        <v>0</v>
      </c>
      <c r="H55" s="223">
        <f>IFERROR(__xludf.DUMMYFUNCTION("""COMPUTED_VALUE"""),2083.11)</f>
        <v>2083.11</v>
      </c>
      <c r="I55" s="298"/>
      <c r="J55" s="223" t="str">
        <f>IFERROR(__xludf.DUMMYFUNCTION("""COMPUTED_VALUE"""),"50% Deposit")</f>
        <v>50% Deposit</v>
      </c>
      <c r="K55" s="317">
        <f>IFERROR(__xludf.DUMMYFUNCTION("""COMPUTED_VALUE"""),2021.0)</f>
        <v>2021</v>
      </c>
      <c r="L55" s="298"/>
      <c r="M55" s="223"/>
      <c r="N55" s="223"/>
      <c r="O55" s="223"/>
      <c r="P55" s="223"/>
      <c r="Q55" s="223"/>
      <c r="R55" s="223"/>
      <c r="S55" s="223"/>
      <c r="T55" s="223"/>
      <c r="U55" s="223"/>
      <c r="V55" s="223"/>
      <c r="W55" s="223"/>
      <c r="X55" s="223"/>
      <c r="Y55" s="223"/>
      <c r="Z55" s="223"/>
    </row>
    <row r="56">
      <c r="A56" s="223" t="str">
        <f>IFERROR(__xludf.DUMMYFUNCTION("""COMPUTED_VALUE"""),"Rama Meditation Society : Website")</f>
        <v>Rama Meditation Society : Website</v>
      </c>
      <c r="B56" s="223" t="str">
        <f>IFERROR(__xludf.DUMMYFUNCTION("""COMPUTED_VALUE"""),"Rama Meditation Society")</f>
        <v>Rama Meditation Society</v>
      </c>
      <c r="C56" s="223" t="str">
        <f>IFERROR(__xludf.DUMMYFUNCTION("""COMPUTED_VALUE"""),"Website")</f>
        <v>Website</v>
      </c>
      <c r="D56" s="316">
        <f>IFERROR(__xludf.DUMMYFUNCTION("""COMPUTED_VALUE"""),44317.0)</f>
        <v>44317</v>
      </c>
      <c r="E56" s="298">
        <f>IFERROR(__xludf.DUMMYFUNCTION("""COMPUTED_VALUE"""),3833.12)</f>
        <v>3833.12</v>
      </c>
      <c r="F56" s="298">
        <f>IFERROR(__xludf.DUMMYFUNCTION("""COMPUTED_VALUE"""),142.19)</f>
        <v>142.19</v>
      </c>
      <c r="G56" s="298">
        <f>IFERROR(__xludf.DUMMYFUNCTION("""COMPUTED_VALUE"""),0.0)</f>
        <v>0</v>
      </c>
      <c r="H56" s="223">
        <f>IFERROR(__xludf.DUMMYFUNCTION("""COMPUTED_VALUE"""),3690.93)</f>
        <v>3690.93</v>
      </c>
      <c r="I56" s="298"/>
      <c r="J56" s="223" t="str">
        <f>IFERROR(__xludf.DUMMYFUNCTION("""COMPUTED_VALUE"""),"50% Remaining Second Payment")</f>
        <v>50% Remaining Second Payment</v>
      </c>
      <c r="K56" s="317">
        <f>IFERROR(__xludf.DUMMYFUNCTION("""COMPUTED_VALUE"""),2021.0)</f>
        <v>2021</v>
      </c>
      <c r="L56" s="298"/>
      <c r="M56" s="223"/>
      <c r="N56" s="223"/>
      <c r="O56" s="223"/>
      <c r="P56" s="223"/>
      <c r="Q56" s="223"/>
      <c r="R56" s="223"/>
      <c r="S56" s="223"/>
      <c r="T56" s="223"/>
      <c r="U56" s="223"/>
      <c r="V56" s="223"/>
      <c r="W56" s="223"/>
      <c r="X56" s="223"/>
      <c r="Y56" s="223"/>
      <c r="Z56" s="223"/>
    </row>
    <row r="57">
      <c r="A57" s="223" t="str">
        <f>IFERROR(__xludf.DUMMYFUNCTION("""COMPUTED_VALUE"""),"Allsalt : SEO Review")</f>
        <v>Allsalt : SEO Review</v>
      </c>
      <c r="B57" s="223" t="str">
        <f>IFERROR(__xludf.DUMMYFUNCTION("""COMPUTED_VALUE"""),"Allsalt")</f>
        <v>Allsalt</v>
      </c>
      <c r="C57" s="223" t="str">
        <f>IFERROR(__xludf.DUMMYFUNCTION("""COMPUTED_VALUE"""),"SEO Review")</f>
        <v>SEO Review</v>
      </c>
      <c r="D57" s="316">
        <f>IFERROR(__xludf.DUMMYFUNCTION("""COMPUTED_VALUE"""),44501.0)</f>
        <v>44501</v>
      </c>
      <c r="E57" s="298">
        <f>IFERROR(__xludf.DUMMYFUNCTION("""COMPUTED_VALUE"""),900.0)</f>
        <v>900</v>
      </c>
      <c r="F57" s="298">
        <f>IFERROR(__xludf.DUMMYFUNCTION("""COMPUTED_VALUE"""),0.0)</f>
        <v>0</v>
      </c>
      <c r="G57" s="298">
        <f>IFERROR(__xludf.DUMMYFUNCTION("""COMPUTED_VALUE"""),0.0)</f>
        <v>0</v>
      </c>
      <c r="H57" s="223">
        <f>IFERROR(__xludf.DUMMYFUNCTION("""COMPUTED_VALUE"""),900.0)</f>
        <v>900</v>
      </c>
      <c r="I57" s="298"/>
      <c r="J57" s="223" t="str">
        <f>IFERROR(__xludf.DUMMYFUNCTION("""COMPUTED_VALUE"""),"50% Final Payment")</f>
        <v>50% Final Payment</v>
      </c>
      <c r="K57" s="317">
        <f>IFERROR(__xludf.DUMMYFUNCTION("""COMPUTED_VALUE"""),2021.0)</f>
        <v>2021</v>
      </c>
      <c r="L57" s="298"/>
      <c r="M57" s="223"/>
      <c r="N57" s="223"/>
      <c r="O57" s="223"/>
      <c r="P57" s="223"/>
      <c r="Q57" s="223"/>
      <c r="R57" s="223"/>
      <c r="S57" s="223"/>
      <c r="T57" s="223"/>
      <c r="U57" s="223"/>
      <c r="V57" s="223"/>
      <c r="W57" s="223"/>
      <c r="X57" s="223"/>
      <c r="Y57" s="223"/>
      <c r="Z57" s="223"/>
    </row>
    <row r="58">
      <c r="A58" s="223" t="str">
        <f>IFERROR(__xludf.DUMMYFUNCTION("""COMPUTED_VALUE"""),"VADARTS : Website")</f>
        <v>VADARTS : Website</v>
      </c>
      <c r="B58" s="223" t="str">
        <f>IFERROR(__xludf.DUMMYFUNCTION("""COMPUTED_VALUE"""),"VADARTS")</f>
        <v>VADARTS</v>
      </c>
      <c r="C58" s="223" t="str">
        <f>IFERROR(__xludf.DUMMYFUNCTION("""COMPUTED_VALUE"""),"Website")</f>
        <v>Website</v>
      </c>
      <c r="D58" s="316">
        <f>IFERROR(__xludf.DUMMYFUNCTION("""COMPUTED_VALUE"""),44530.0)</f>
        <v>44530</v>
      </c>
      <c r="E58" s="298">
        <f>IFERROR(__xludf.DUMMYFUNCTION("""COMPUTED_VALUE"""),2800.0)</f>
        <v>2800</v>
      </c>
      <c r="F58" s="298">
        <f>IFERROR(__xludf.DUMMYFUNCTION("""COMPUTED_VALUE"""),0.0)</f>
        <v>0</v>
      </c>
      <c r="G58" s="298">
        <f>IFERROR(__xludf.DUMMYFUNCTION("""COMPUTED_VALUE"""),0.0)</f>
        <v>0</v>
      </c>
      <c r="H58" s="223">
        <f>IFERROR(__xludf.DUMMYFUNCTION("""COMPUTED_VALUE"""),2800.0)</f>
        <v>2800</v>
      </c>
      <c r="I58" s="298"/>
      <c r="J58" s="223" t="str">
        <f>IFERROR(__xludf.DUMMYFUNCTION("""COMPUTED_VALUE"""),"50% Deposit")</f>
        <v>50% Deposit</v>
      </c>
      <c r="K58" s="317">
        <f>IFERROR(__xludf.DUMMYFUNCTION("""COMPUTED_VALUE"""),2021.0)</f>
        <v>2021</v>
      </c>
      <c r="L58" s="298"/>
      <c r="M58" s="223"/>
      <c r="N58" s="223"/>
      <c r="O58" s="223"/>
      <c r="P58" s="223"/>
      <c r="Q58" s="223"/>
      <c r="R58" s="223"/>
      <c r="S58" s="223"/>
      <c r="T58" s="223"/>
      <c r="U58" s="223"/>
      <c r="V58" s="223"/>
      <c r="W58" s="223"/>
      <c r="X58" s="223"/>
      <c r="Y58" s="223"/>
      <c r="Z58" s="223"/>
    </row>
    <row r="59">
      <c r="A59" s="223" t="str">
        <f>IFERROR(__xludf.DUMMYFUNCTION("""COMPUTED_VALUE"""),"UnityWest Capital : Scryb 3 Month PPC")</f>
        <v>UnityWest Capital : Scryb 3 Month PPC</v>
      </c>
      <c r="B59" s="223" t="str">
        <f>IFERROR(__xludf.DUMMYFUNCTION("""COMPUTED_VALUE"""),"UnityWest Capital")</f>
        <v>UnityWest Capital</v>
      </c>
      <c r="C59" s="223" t="str">
        <f>IFERROR(__xludf.DUMMYFUNCTION("""COMPUTED_VALUE"""),"Scryb 3 Month PPC")</f>
        <v>Scryb 3 Month PPC</v>
      </c>
      <c r="D59" s="316">
        <f>IFERROR(__xludf.DUMMYFUNCTION("""COMPUTED_VALUE"""),44501.0)</f>
        <v>44501</v>
      </c>
      <c r="E59" s="298">
        <f>IFERROR(__xludf.DUMMYFUNCTION("""COMPUTED_VALUE"""),3000.0)</f>
        <v>3000</v>
      </c>
      <c r="F59" s="298">
        <f>IFERROR(__xludf.DUMMYFUNCTION("""COMPUTED_VALUE"""),0.0)</f>
        <v>0</v>
      </c>
      <c r="G59" s="298">
        <f>IFERROR(__xludf.DUMMYFUNCTION("""COMPUTED_VALUE"""),0.0)</f>
        <v>0</v>
      </c>
      <c r="H59" s="223">
        <f>IFERROR(__xludf.DUMMYFUNCTION("""COMPUTED_VALUE"""),3000.0)</f>
        <v>3000</v>
      </c>
      <c r="I59" s="298"/>
      <c r="J59" s="223" t="str">
        <f>IFERROR(__xludf.DUMMYFUNCTION("""COMPUTED_VALUE"""),"50% Deposit")</f>
        <v>50% Deposit</v>
      </c>
      <c r="K59" s="317">
        <f>IFERROR(__xludf.DUMMYFUNCTION("""COMPUTED_VALUE"""),2021.0)</f>
        <v>2021</v>
      </c>
      <c r="L59" s="298"/>
      <c r="M59" s="223"/>
      <c r="N59" s="223"/>
      <c r="O59" s="223"/>
      <c r="P59" s="223"/>
      <c r="Q59" s="223"/>
      <c r="R59" s="223"/>
      <c r="S59" s="223"/>
      <c r="T59" s="223"/>
      <c r="U59" s="223"/>
      <c r="V59" s="223"/>
      <c r="W59" s="223"/>
      <c r="X59" s="223"/>
      <c r="Y59" s="223"/>
      <c r="Z59" s="223"/>
    </row>
    <row r="60">
      <c r="A60" s="223" t="str">
        <f>IFERROR(__xludf.DUMMYFUNCTION("""COMPUTED_VALUE"""),"Tofino Resort + Marina : Monthly Services")</f>
        <v>Tofino Resort + Marina : Monthly Services</v>
      </c>
      <c r="B60" s="223" t="str">
        <f>IFERROR(__xludf.DUMMYFUNCTION("""COMPUTED_VALUE"""),"Tofino Resort + Marina")</f>
        <v>Tofino Resort + Marina</v>
      </c>
      <c r="C60" s="223" t="str">
        <f>IFERROR(__xludf.DUMMYFUNCTION("""COMPUTED_VALUE"""),"Monthly Services")</f>
        <v>Monthly Services</v>
      </c>
      <c r="D60" s="316">
        <f>IFERROR(__xludf.DUMMYFUNCTION("""COMPUTED_VALUE"""),44501.0)</f>
        <v>44501</v>
      </c>
      <c r="E60" s="298">
        <f>IFERROR(__xludf.DUMMYFUNCTION("""COMPUTED_VALUE"""),1600.0)</f>
        <v>1600</v>
      </c>
      <c r="F60" s="298">
        <f>IFERROR(__xludf.DUMMYFUNCTION("""COMPUTED_VALUE"""),49.78)</f>
        <v>49.78</v>
      </c>
      <c r="G60" s="298">
        <f>IFERROR(__xludf.DUMMYFUNCTION("""COMPUTED_VALUE"""),0.0)</f>
        <v>0</v>
      </c>
      <c r="H60" s="223">
        <f>IFERROR(__xludf.DUMMYFUNCTION("""COMPUTED_VALUE"""),1550.22)</f>
        <v>1550.22</v>
      </c>
      <c r="I60" s="298"/>
      <c r="J60" s="223" t="str">
        <f>IFERROR(__xludf.DUMMYFUNCTION("""COMPUTED_VALUE"""),"Monthly")</f>
        <v>Monthly</v>
      </c>
      <c r="K60" s="317">
        <f>IFERROR(__xludf.DUMMYFUNCTION("""COMPUTED_VALUE"""),2021.11)</f>
        <v>2021.11</v>
      </c>
      <c r="L60" s="298"/>
      <c r="M60" s="223"/>
      <c r="N60" s="223"/>
      <c r="O60" s="223"/>
      <c r="P60" s="223"/>
      <c r="Q60" s="223"/>
      <c r="R60" s="223"/>
      <c r="S60" s="223"/>
      <c r="T60" s="223"/>
      <c r="U60" s="223"/>
      <c r="V60" s="223"/>
      <c r="W60" s="223"/>
      <c r="X60" s="223"/>
      <c r="Y60" s="223"/>
      <c r="Z60" s="223"/>
    </row>
    <row r="61">
      <c r="A61" s="223" t="str">
        <f>IFERROR(__xludf.DUMMYFUNCTION("""COMPUTED_VALUE"""),"Arazy Group : Monthly Services")</f>
        <v>Arazy Group : Monthly Services</v>
      </c>
      <c r="B61" s="223" t="str">
        <f>IFERROR(__xludf.DUMMYFUNCTION("""COMPUTED_VALUE"""),"Arazy Group")</f>
        <v>Arazy Group</v>
      </c>
      <c r="C61" s="223" t="str">
        <f>IFERROR(__xludf.DUMMYFUNCTION("""COMPUTED_VALUE"""),"Monthly Services")</f>
        <v>Monthly Services</v>
      </c>
      <c r="D61" s="316">
        <f>IFERROR(__xludf.DUMMYFUNCTION("""COMPUTED_VALUE"""),44501.0)</f>
        <v>44501</v>
      </c>
      <c r="E61" s="298">
        <f>IFERROR(__xludf.DUMMYFUNCTION("""COMPUTED_VALUE"""),650.0)</f>
        <v>650</v>
      </c>
      <c r="F61" s="298">
        <f>IFERROR(__xludf.DUMMYFUNCTION("""COMPUTED_VALUE"""),20.09)</f>
        <v>20.09</v>
      </c>
      <c r="G61" s="298">
        <f>IFERROR(__xludf.DUMMYFUNCTION("""COMPUTED_VALUE"""),0.0)</f>
        <v>0</v>
      </c>
      <c r="H61" s="223">
        <f>IFERROR(__xludf.DUMMYFUNCTION("""COMPUTED_VALUE"""),629.91)</f>
        <v>629.91</v>
      </c>
      <c r="I61" s="298"/>
      <c r="J61" s="223" t="str">
        <f>IFERROR(__xludf.DUMMYFUNCTION("""COMPUTED_VALUE"""),"Monthly")</f>
        <v>Monthly</v>
      </c>
      <c r="K61" s="317">
        <f>IFERROR(__xludf.DUMMYFUNCTION("""COMPUTED_VALUE"""),2021.11)</f>
        <v>2021.11</v>
      </c>
      <c r="L61" s="298"/>
      <c r="M61" s="223"/>
      <c r="N61" s="223"/>
      <c r="O61" s="223"/>
      <c r="P61" s="223"/>
      <c r="Q61" s="223"/>
      <c r="R61" s="223"/>
      <c r="S61" s="223"/>
      <c r="T61" s="223"/>
      <c r="U61" s="223"/>
      <c r="V61" s="223"/>
      <c r="W61" s="223"/>
      <c r="X61" s="223"/>
      <c r="Y61" s="223"/>
      <c r="Z61" s="223"/>
    </row>
    <row r="62">
      <c r="A62" s="223" t="str">
        <f>IFERROR(__xludf.DUMMYFUNCTION("""COMPUTED_VALUE"""),"Life UNPacked : Monthly Services")</f>
        <v>Life UNPacked : Monthly Services</v>
      </c>
      <c r="B62" s="223" t="str">
        <f>IFERROR(__xludf.DUMMYFUNCTION("""COMPUTED_VALUE"""),"Life UNPacked")</f>
        <v>Life UNPacked</v>
      </c>
      <c r="C62" s="223" t="str">
        <f>IFERROR(__xludf.DUMMYFUNCTION("""COMPUTED_VALUE"""),"Monthly Services")</f>
        <v>Monthly Services</v>
      </c>
      <c r="D62" s="316">
        <f>IFERROR(__xludf.DUMMYFUNCTION("""COMPUTED_VALUE"""),44501.0)</f>
        <v>44501</v>
      </c>
      <c r="E62" s="298">
        <f>IFERROR(__xludf.DUMMYFUNCTION("""COMPUTED_VALUE"""),500.0)</f>
        <v>500</v>
      </c>
      <c r="F62" s="298">
        <f>IFERROR(__xludf.DUMMYFUNCTION("""COMPUTED_VALUE"""),15.56)</f>
        <v>15.56</v>
      </c>
      <c r="G62" s="298">
        <f>IFERROR(__xludf.DUMMYFUNCTION("""COMPUTED_VALUE"""),0.0)</f>
        <v>0</v>
      </c>
      <c r="H62" s="223">
        <f>IFERROR(__xludf.DUMMYFUNCTION("""COMPUTED_VALUE"""),484.44)</f>
        <v>484.44</v>
      </c>
      <c r="I62" s="298"/>
      <c r="J62" s="223" t="str">
        <f>IFERROR(__xludf.DUMMYFUNCTION("""COMPUTED_VALUE"""),"Monthly")</f>
        <v>Monthly</v>
      </c>
      <c r="K62" s="317">
        <f>IFERROR(__xludf.DUMMYFUNCTION("""COMPUTED_VALUE"""),2021.11)</f>
        <v>2021.11</v>
      </c>
      <c r="L62" s="298"/>
      <c r="M62" s="223"/>
      <c r="N62" s="223"/>
      <c r="O62" s="223"/>
      <c r="P62" s="223"/>
      <c r="Q62" s="223"/>
      <c r="R62" s="223"/>
      <c r="S62" s="223"/>
      <c r="T62" s="223"/>
      <c r="U62" s="223"/>
      <c r="V62" s="223"/>
      <c r="W62" s="223"/>
      <c r="X62" s="223"/>
      <c r="Y62" s="223"/>
      <c r="Z62" s="223"/>
    </row>
    <row r="63">
      <c r="A63" s="223" t="str">
        <f>IFERROR(__xludf.DUMMYFUNCTION("""COMPUTED_VALUE"""),"Joel Kohm : Website")</f>
        <v>Joel Kohm : Website</v>
      </c>
      <c r="B63" s="223" t="str">
        <f>IFERROR(__xludf.DUMMYFUNCTION("""COMPUTED_VALUE"""),"Joel Kohm")</f>
        <v>Joel Kohm</v>
      </c>
      <c r="C63" s="223" t="str">
        <f>IFERROR(__xludf.DUMMYFUNCTION("""COMPUTED_VALUE"""),"Website")</f>
        <v>Website</v>
      </c>
      <c r="D63" s="316">
        <f>IFERROR(__xludf.DUMMYFUNCTION("""COMPUTED_VALUE"""),44530.0)</f>
        <v>44530</v>
      </c>
      <c r="E63" s="298">
        <f>IFERROR(__xludf.DUMMYFUNCTION("""COMPUTED_VALUE"""),2300.0)</f>
        <v>2300</v>
      </c>
      <c r="F63" s="298">
        <f>IFERROR(__xludf.DUMMYFUNCTION("""COMPUTED_VALUE"""),0.0)</f>
        <v>0</v>
      </c>
      <c r="G63" s="298">
        <f>IFERROR(__xludf.DUMMYFUNCTION("""COMPUTED_VALUE"""),0.0)</f>
        <v>0</v>
      </c>
      <c r="H63" s="223">
        <f>IFERROR(__xludf.DUMMYFUNCTION("""COMPUTED_VALUE"""),2300.0)</f>
        <v>2300</v>
      </c>
      <c r="I63" s="298"/>
      <c r="J63" s="223" t="str">
        <f>IFERROR(__xludf.DUMMYFUNCTION("""COMPUTED_VALUE"""),"50% Final Payment")</f>
        <v>50% Final Payment</v>
      </c>
      <c r="K63" s="317">
        <f>IFERROR(__xludf.DUMMYFUNCTION("""COMPUTED_VALUE"""),2021.0)</f>
        <v>2021</v>
      </c>
      <c r="L63" s="298"/>
      <c r="M63" s="223"/>
      <c r="N63" s="223"/>
      <c r="O63" s="223"/>
      <c r="P63" s="223"/>
      <c r="Q63" s="223"/>
      <c r="R63" s="223"/>
      <c r="S63" s="223"/>
      <c r="T63" s="223"/>
      <c r="U63" s="223"/>
      <c r="V63" s="223"/>
      <c r="W63" s="223"/>
      <c r="X63" s="223"/>
      <c r="Y63" s="223"/>
      <c r="Z63" s="223"/>
    </row>
    <row r="64">
      <c r="A64" s="223" t="str">
        <f>IFERROR(__xludf.DUMMYFUNCTION("""COMPUTED_VALUE"""),"Starfish Medical : 5 Hour Support Block")</f>
        <v>Starfish Medical : 5 Hour Support Block</v>
      </c>
      <c r="B64" s="223" t="str">
        <f>IFERROR(__xludf.DUMMYFUNCTION("""COMPUTED_VALUE"""),"Starfish Medical")</f>
        <v>Starfish Medical</v>
      </c>
      <c r="C64" s="223" t="str">
        <f>IFERROR(__xludf.DUMMYFUNCTION("""COMPUTED_VALUE"""),"5 Hour Support Block")</f>
        <v>5 Hour Support Block</v>
      </c>
      <c r="D64" s="316">
        <f>IFERROR(__xludf.DUMMYFUNCTION("""COMPUTED_VALUE"""),44501.0)</f>
        <v>44501</v>
      </c>
      <c r="E64" s="298">
        <f>IFERROR(__xludf.DUMMYFUNCTION("""COMPUTED_VALUE"""),600.0)</f>
        <v>600</v>
      </c>
      <c r="F64" s="298">
        <f>IFERROR(__xludf.DUMMYFUNCTION("""COMPUTED_VALUE"""),0.0)</f>
        <v>0</v>
      </c>
      <c r="G64" s="298">
        <f>IFERROR(__xludf.DUMMYFUNCTION("""COMPUTED_VALUE"""),0.0)</f>
        <v>0</v>
      </c>
      <c r="H64" s="223">
        <f>IFERROR(__xludf.DUMMYFUNCTION("""COMPUTED_VALUE"""),600.0)</f>
        <v>600</v>
      </c>
      <c r="I64" s="298"/>
      <c r="J64" s="223" t="str">
        <f>IFERROR(__xludf.DUMMYFUNCTION("""COMPUTED_VALUE"""),"Prepaid")</f>
        <v>Prepaid</v>
      </c>
      <c r="K64" s="317">
        <f>IFERROR(__xludf.DUMMYFUNCTION("""COMPUTED_VALUE"""),2021.0)</f>
        <v>2021</v>
      </c>
      <c r="L64" s="298"/>
      <c r="M64" s="223"/>
      <c r="N64" s="223"/>
      <c r="O64" s="223"/>
      <c r="P64" s="223"/>
      <c r="Q64" s="223"/>
      <c r="R64" s="223"/>
      <c r="S64" s="223"/>
      <c r="T64" s="223"/>
      <c r="U64" s="223"/>
      <c r="V64" s="223"/>
      <c r="W64" s="223"/>
      <c r="X64" s="223"/>
      <c r="Y64" s="223"/>
      <c r="Z64" s="223"/>
    </row>
    <row r="65">
      <c r="A65" s="223" t="str">
        <f>IFERROR(__xludf.DUMMYFUNCTION("""COMPUTED_VALUE"""),"Allsalt : Monthly Services")</f>
        <v>Allsalt : Monthly Services</v>
      </c>
      <c r="B65" s="223" t="str">
        <f>IFERROR(__xludf.DUMMYFUNCTION("""COMPUTED_VALUE"""),"Allsalt")</f>
        <v>Allsalt</v>
      </c>
      <c r="C65" s="223" t="str">
        <f>IFERROR(__xludf.DUMMYFUNCTION("""COMPUTED_VALUE"""),"Monthly Services")</f>
        <v>Monthly Services</v>
      </c>
      <c r="D65" s="316">
        <f>IFERROR(__xludf.DUMMYFUNCTION("""COMPUTED_VALUE"""),44501.0)</f>
        <v>44501</v>
      </c>
      <c r="E65" s="298">
        <f>IFERROR(__xludf.DUMMYFUNCTION("""COMPUTED_VALUE"""),905.0)</f>
        <v>905</v>
      </c>
      <c r="F65" s="298">
        <f>IFERROR(__xludf.DUMMYFUNCTION("""COMPUTED_VALUE"""),0.0)</f>
        <v>0</v>
      </c>
      <c r="G65" s="298">
        <f>IFERROR(__xludf.DUMMYFUNCTION("""COMPUTED_VALUE"""),0.0)</f>
        <v>0</v>
      </c>
      <c r="H65" s="223">
        <f>IFERROR(__xludf.DUMMYFUNCTION("""COMPUTED_VALUE"""),905.0)</f>
        <v>905</v>
      </c>
      <c r="I65" s="298"/>
      <c r="J65" s="223" t="str">
        <f>IFERROR(__xludf.DUMMYFUNCTION("""COMPUTED_VALUE"""),"Monthly")</f>
        <v>Monthly</v>
      </c>
      <c r="K65" s="317">
        <f>IFERROR(__xludf.DUMMYFUNCTION("""COMPUTED_VALUE"""),2021.11)</f>
        <v>2021.11</v>
      </c>
      <c r="L65" s="298"/>
      <c r="M65" s="223"/>
      <c r="N65" s="223"/>
      <c r="O65" s="223"/>
      <c r="P65" s="223"/>
      <c r="Q65" s="223"/>
      <c r="R65" s="223"/>
      <c r="S65" s="223"/>
      <c r="T65" s="223"/>
      <c r="U65" s="223"/>
      <c r="V65" s="223"/>
      <c r="W65" s="223"/>
      <c r="X65" s="223"/>
      <c r="Y65" s="223"/>
      <c r="Z65" s="223"/>
    </row>
    <row r="66">
      <c r="A66" s="223" t="str">
        <f>IFERROR(__xludf.DUMMYFUNCTION("""COMPUTED_VALUE"""),"Wallack's Art Supplies : Monthly Services")</f>
        <v>Wallack's Art Supplies : Monthly Services</v>
      </c>
      <c r="B66" s="223" t="str">
        <f>IFERROR(__xludf.DUMMYFUNCTION("""COMPUTED_VALUE"""),"Wallack's Art Supplies")</f>
        <v>Wallack's Art Supplies</v>
      </c>
      <c r="C66" s="223" t="str">
        <f>IFERROR(__xludf.DUMMYFUNCTION("""COMPUTED_VALUE"""),"Monthly Services")</f>
        <v>Monthly Services</v>
      </c>
      <c r="D66" s="316">
        <f>IFERROR(__xludf.DUMMYFUNCTION("""COMPUTED_VALUE"""),44530.0)</f>
        <v>44530</v>
      </c>
      <c r="E66" s="298">
        <f>IFERROR(__xludf.DUMMYFUNCTION("""COMPUTED_VALUE"""),700.0)</f>
        <v>700</v>
      </c>
      <c r="F66" s="298">
        <f>IFERROR(__xludf.DUMMYFUNCTION("""COMPUTED_VALUE"""),0.0)</f>
        <v>0</v>
      </c>
      <c r="G66" s="298">
        <f>IFERROR(__xludf.DUMMYFUNCTION("""COMPUTED_VALUE"""),0.0)</f>
        <v>0</v>
      </c>
      <c r="H66" s="223">
        <f>IFERROR(__xludf.DUMMYFUNCTION("""COMPUTED_VALUE"""),700.0)</f>
        <v>700</v>
      </c>
      <c r="I66" s="298"/>
      <c r="J66" s="223" t="str">
        <f>IFERROR(__xludf.DUMMYFUNCTION("""COMPUTED_VALUE"""),"Monthly")</f>
        <v>Monthly</v>
      </c>
      <c r="K66" s="317">
        <f>IFERROR(__xludf.DUMMYFUNCTION("""COMPUTED_VALUE"""),2021.11)</f>
        <v>2021.11</v>
      </c>
      <c r="L66" s="298"/>
      <c r="M66" s="223"/>
      <c r="N66" s="223"/>
      <c r="O66" s="223"/>
      <c r="P66" s="223"/>
      <c r="Q66" s="223"/>
      <c r="R66" s="223"/>
      <c r="S66" s="223"/>
      <c r="T66" s="223"/>
      <c r="U66" s="223"/>
      <c r="V66" s="223"/>
      <c r="W66" s="223"/>
      <c r="X66" s="223"/>
      <c r="Y66" s="223"/>
      <c r="Z66" s="223"/>
    </row>
    <row r="67">
      <c r="A67" s="223" t="str">
        <f>IFERROR(__xludf.DUMMYFUNCTION("""COMPUTED_VALUE"""),"Prime Engineering : Monthly Services")</f>
        <v>Prime Engineering : Monthly Services</v>
      </c>
      <c r="B67" s="223" t="str">
        <f>IFERROR(__xludf.DUMMYFUNCTION("""COMPUTED_VALUE"""),"Prime Engineering")</f>
        <v>Prime Engineering</v>
      </c>
      <c r="C67" s="223" t="str">
        <f>IFERROR(__xludf.DUMMYFUNCTION("""COMPUTED_VALUE"""),"Monthly Services")</f>
        <v>Monthly Services</v>
      </c>
      <c r="D67" s="316">
        <f>IFERROR(__xludf.DUMMYFUNCTION("""COMPUTED_VALUE"""),44501.0)</f>
        <v>44501</v>
      </c>
      <c r="E67" s="298">
        <f>IFERROR(__xludf.DUMMYFUNCTION("""COMPUTED_VALUE"""),500.0)</f>
        <v>500</v>
      </c>
      <c r="F67" s="298">
        <f>IFERROR(__xludf.DUMMYFUNCTION("""COMPUTED_VALUE"""),0.0)</f>
        <v>0</v>
      </c>
      <c r="G67" s="298">
        <f>IFERROR(__xludf.DUMMYFUNCTION("""COMPUTED_VALUE"""),0.0)</f>
        <v>0</v>
      </c>
      <c r="H67" s="223">
        <f>IFERROR(__xludf.DUMMYFUNCTION("""COMPUTED_VALUE"""),500.0)</f>
        <v>500</v>
      </c>
      <c r="I67" s="298"/>
      <c r="J67" s="223" t="str">
        <f>IFERROR(__xludf.DUMMYFUNCTION("""COMPUTED_VALUE"""),"Monthly")</f>
        <v>Monthly</v>
      </c>
      <c r="K67" s="317">
        <f>IFERROR(__xludf.DUMMYFUNCTION("""COMPUTED_VALUE"""),2021.11)</f>
        <v>2021.11</v>
      </c>
      <c r="L67" s="298"/>
      <c r="M67" s="223"/>
      <c r="N67" s="223"/>
      <c r="O67" s="223"/>
      <c r="P67" s="223"/>
      <c r="Q67" s="223"/>
      <c r="R67" s="223"/>
      <c r="S67" s="223"/>
      <c r="T67" s="223"/>
      <c r="U67" s="223"/>
      <c r="V67" s="223"/>
      <c r="W67" s="223"/>
      <c r="X67" s="223"/>
      <c r="Y67" s="223"/>
      <c r="Z67" s="223"/>
    </row>
    <row r="68">
      <c r="A68" s="223" t="str">
        <f>IFERROR(__xludf.DUMMYFUNCTION("""COMPUTED_VALUE"""),"AbodeZero : Monthly Services")</f>
        <v>AbodeZero : Monthly Services</v>
      </c>
      <c r="B68" s="223" t="str">
        <f>IFERROR(__xludf.DUMMYFUNCTION("""COMPUTED_VALUE"""),"AbodeZero")</f>
        <v>AbodeZero</v>
      </c>
      <c r="C68" s="223" t="str">
        <f>IFERROR(__xludf.DUMMYFUNCTION("""COMPUTED_VALUE"""),"Monthly Services")</f>
        <v>Monthly Services</v>
      </c>
      <c r="D68" s="316">
        <f>IFERROR(__xludf.DUMMYFUNCTION("""COMPUTED_VALUE"""),44501.0)</f>
        <v>44501</v>
      </c>
      <c r="E68" s="298">
        <f>IFERROR(__xludf.DUMMYFUNCTION("""COMPUTED_VALUE"""),495.0)</f>
        <v>495</v>
      </c>
      <c r="F68" s="298">
        <f>IFERROR(__xludf.DUMMYFUNCTION("""COMPUTED_VALUE"""),15.4)</f>
        <v>15.4</v>
      </c>
      <c r="G68" s="298">
        <f>IFERROR(__xludf.DUMMYFUNCTION("""COMPUTED_VALUE"""),0.0)</f>
        <v>0</v>
      </c>
      <c r="H68" s="223">
        <f>IFERROR(__xludf.DUMMYFUNCTION("""COMPUTED_VALUE"""),479.6)</f>
        <v>479.6</v>
      </c>
      <c r="I68" s="298"/>
      <c r="J68" s="223" t="str">
        <f>IFERROR(__xludf.DUMMYFUNCTION("""COMPUTED_VALUE"""),"Monthly")</f>
        <v>Monthly</v>
      </c>
      <c r="K68" s="317">
        <f>IFERROR(__xludf.DUMMYFUNCTION("""COMPUTED_VALUE"""),2021.11)</f>
        <v>2021.11</v>
      </c>
      <c r="L68" s="298"/>
      <c r="M68" s="223"/>
      <c r="N68" s="223"/>
      <c r="O68" s="223"/>
      <c r="P68" s="223"/>
      <c r="Q68" s="223"/>
      <c r="R68" s="223"/>
      <c r="S68" s="223"/>
      <c r="T68" s="223"/>
      <c r="U68" s="223"/>
      <c r="V68" s="223"/>
      <c r="W68" s="223"/>
      <c r="X68" s="223"/>
      <c r="Y68" s="223"/>
      <c r="Z68" s="223"/>
    </row>
    <row r="69">
      <c r="A69" s="223" t="str">
        <f>IFERROR(__xludf.DUMMYFUNCTION("""COMPUTED_VALUE"""),"Hey Blinds : Monthly Services")</f>
        <v>Hey Blinds : Monthly Services</v>
      </c>
      <c r="B69" s="223" t="str">
        <f>IFERROR(__xludf.DUMMYFUNCTION("""COMPUTED_VALUE"""),"Hey Blinds")</f>
        <v>Hey Blinds</v>
      </c>
      <c r="C69" s="223" t="str">
        <f>IFERROR(__xludf.DUMMYFUNCTION("""COMPUTED_VALUE"""),"Monthly Services")</f>
        <v>Monthly Services</v>
      </c>
      <c r="D69" s="316">
        <f>IFERROR(__xludf.DUMMYFUNCTION("""COMPUTED_VALUE"""),44501.0)</f>
        <v>44501</v>
      </c>
      <c r="E69" s="298">
        <f>IFERROR(__xludf.DUMMYFUNCTION("""COMPUTED_VALUE"""),1200.0)</f>
        <v>1200</v>
      </c>
      <c r="F69" s="298">
        <f>IFERROR(__xludf.DUMMYFUNCTION("""COMPUTED_VALUE"""),37.33)</f>
        <v>37.33</v>
      </c>
      <c r="G69" s="298">
        <f>IFERROR(__xludf.DUMMYFUNCTION("""COMPUTED_VALUE"""),0.0)</f>
        <v>0</v>
      </c>
      <c r="H69" s="223">
        <f>IFERROR(__xludf.DUMMYFUNCTION("""COMPUTED_VALUE"""),1162.67)</f>
        <v>1162.67</v>
      </c>
      <c r="I69" s="298"/>
      <c r="J69" s="223" t="str">
        <f>IFERROR(__xludf.DUMMYFUNCTION("""COMPUTED_VALUE"""),"Monthly")</f>
        <v>Monthly</v>
      </c>
      <c r="K69" s="317">
        <f>IFERROR(__xludf.DUMMYFUNCTION("""COMPUTED_VALUE"""),2021.11)</f>
        <v>2021.11</v>
      </c>
      <c r="L69" s="298"/>
      <c r="M69" s="223"/>
      <c r="N69" s="223"/>
      <c r="O69" s="223"/>
      <c r="P69" s="223"/>
      <c r="Q69" s="223"/>
      <c r="R69" s="223"/>
      <c r="S69" s="223"/>
      <c r="T69" s="223"/>
      <c r="U69" s="223"/>
      <c r="V69" s="223"/>
      <c r="W69" s="223"/>
      <c r="X69" s="223"/>
      <c r="Y69" s="223"/>
      <c r="Z69" s="223"/>
    </row>
    <row r="70">
      <c r="A70" s="223" t="str">
        <f>IFERROR(__xludf.DUMMYFUNCTION("""COMPUTED_VALUE"""),"PMDI : Monthly Services")</f>
        <v>PMDI : Monthly Services</v>
      </c>
      <c r="B70" s="223" t="str">
        <f>IFERROR(__xludf.DUMMYFUNCTION("""COMPUTED_VALUE"""),"PMDI")</f>
        <v>PMDI</v>
      </c>
      <c r="C70" s="223" t="str">
        <f>IFERROR(__xludf.DUMMYFUNCTION("""COMPUTED_VALUE"""),"Monthly Services")</f>
        <v>Monthly Services</v>
      </c>
      <c r="D70" s="316">
        <f>IFERROR(__xludf.DUMMYFUNCTION("""COMPUTED_VALUE"""),44501.0)</f>
        <v>44501</v>
      </c>
      <c r="E70" s="298">
        <f>IFERROR(__xludf.DUMMYFUNCTION("""COMPUTED_VALUE"""),375.0)</f>
        <v>375</v>
      </c>
      <c r="F70" s="298">
        <f>IFERROR(__xludf.DUMMYFUNCTION("""COMPUTED_VALUE"""),0.0)</f>
        <v>0</v>
      </c>
      <c r="G70" s="298">
        <f>IFERROR(__xludf.DUMMYFUNCTION("""COMPUTED_VALUE"""),0.0)</f>
        <v>0</v>
      </c>
      <c r="H70" s="223">
        <f>IFERROR(__xludf.DUMMYFUNCTION("""COMPUTED_VALUE"""),375.0)</f>
        <v>375</v>
      </c>
      <c r="I70" s="298"/>
      <c r="J70" s="223" t="str">
        <f>IFERROR(__xludf.DUMMYFUNCTION("""COMPUTED_VALUE"""),"Monthly")</f>
        <v>Monthly</v>
      </c>
      <c r="K70" s="317">
        <f>IFERROR(__xludf.DUMMYFUNCTION("""COMPUTED_VALUE"""),2021.11)</f>
        <v>2021.11</v>
      </c>
      <c r="L70" s="298"/>
      <c r="M70" s="223"/>
      <c r="N70" s="223"/>
      <c r="O70" s="223"/>
      <c r="P70" s="223"/>
      <c r="Q70" s="223"/>
      <c r="R70" s="223"/>
      <c r="S70" s="223"/>
      <c r="T70" s="223"/>
      <c r="U70" s="223"/>
      <c r="V70" s="223"/>
      <c r="W70" s="223"/>
      <c r="X70" s="223"/>
      <c r="Y70" s="223"/>
      <c r="Z70" s="223"/>
    </row>
    <row r="71">
      <c r="A71" s="223" t="str">
        <f>IFERROR(__xludf.DUMMYFUNCTION("""COMPUTED_VALUE"""),"Availed Technologies : Monthly Services")</f>
        <v>Availed Technologies : Monthly Services</v>
      </c>
      <c r="B71" s="223" t="str">
        <f>IFERROR(__xludf.DUMMYFUNCTION("""COMPUTED_VALUE"""),"Availed Technologies")</f>
        <v>Availed Technologies</v>
      </c>
      <c r="C71" s="223" t="str">
        <f>IFERROR(__xludf.DUMMYFUNCTION("""COMPUTED_VALUE"""),"Monthly Services")</f>
        <v>Monthly Services</v>
      </c>
      <c r="D71" s="316">
        <f>IFERROR(__xludf.DUMMYFUNCTION("""COMPUTED_VALUE"""),44501.0)</f>
        <v>44501</v>
      </c>
      <c r="E71" s="298">
        <f>IFERROR(__xludf.DUMMYFUNCTION("""COMPUTED_VALUE"""),750.0)</f>
        <v>750</v>
      </c>
      <c r="F71" s="298">
        <f>IFERROR(__xludf.DUMMYFUNCTION("""COMPUTED_VALUE"""),23.33)</f>
        <v>23.33</v>
      </c>
      <c r="G71" s="298">
        <f>IFERROR(__xludf.DUMMYFUNCTION("""COMPUTED_VALUE"""),0.0)</f>
        <v>0</v>
      </c>
      <c r="H71" s="223">
        <f>IFERROR(__xludf.DUMMYFUNCTION("""COMPUTED_VALUE"""),726.67)</f>
        <v>726.67</v>
      </c>
      <c r="I71" s="298"/>
      <c r="J71" s="223" t="str">
        <f>IFERROR(__xludf.DUMMYFUNCTION("""COMPUTED_VALUE"""),"Monthly")</f>
        <v>Monthly</v>
      </c>
      <c r="K71" s="317">
        <f>IFERROR(__xludf.DUMMYFUNCTION("""COMPUTED_VALUE"""),2021.11)</f>
        <v>2021.11</v>
      </c>
      <c r="L71" s="298"/>
      <c r="M71" s="223"/>
      <c r="N71" s="223"/>
      <c r="O71" s="223"/>
      <c r="P71" s="223"/>
      <c r="Q71" s="223"/>
      <c r="R71" s="223"/>
      <c r="S71" s="223"/>
      <c r="T71" s="223"/>
      <c r="U71" s="223"/>
      <c r="V71" s="223"/>
      <c r="W71" s="223"/>
      <c r="X71" s="223"/>
      <c r="Y71" s="223"/>
      <c r="Z71" s="223"/>
    </row>
    <row r="72">
      <c r="A72" s="223" t="str">
        <f>IFERROR(__xludf.DUMMYFUNCTION("""COMPUTED_VALUE"""),"Monk : Monthly Services")</f>
        <v>Monk : Monthly Services</v>
      </c>
      <c r="B72" s="223" t="str">
        <f>IFERROR(__xludf.DUMMYFUNCTION("""COMPUTED_VALUE"""),"Monk")</f>
        <v>Monk</v>
      </c>
      <c r="C72" s="223" t="str">
        <f>IFERROR(__xludf.DUMMYFUNCTION("""COMPUTED_VALUE"""),"Monthly Services")</f>
        <v>Monthly Services</v>
      </c>
      <c r="D72" s="316">
        <f>IFERROR(__xludf.DUMMYFUNCTION("""COMPUTED_VALUE"""),44501.0)</f>
        <v>44501</v>
      </c>
      <c r="E72" s="298">
        <f>IFERROR(__xludf.DUMMYFUNCTION("""COMPUTED_VALUE"""),1200.0)</f>
        <v>1200</v>
      </c>
      <c r="F72" s="298">
        <f>IFERROR(__xludf.DUMMYFUNCTION("""COMPUTED_VALUE"""),0.0)</f>
        <v>0</v>
      </c>
      <c r="G72" s="298">
        <f>IFERROR(__xludf.DUMMYFUNCTION("""COMPUTED_VALUE"""),0.0)</f>
        <v>0</v>
      </c>
      <c r="H72" s="223">
        <f>IFERROR(__xludf.DUMMYFUNCTION("""COMPUTED_VALUE"""),1200.0)</f>
        <v>1200</v>
      </c>
      <c r="I72" s="298"/>
      <c r="J72" s="223" t="str">
        <f>IFERROR(__xludf.DUMMYFUNCTION("""COMPUTED_VALUE"""),"Monthly")</f>
        <v>Monthly</v>
      </c>
      <c r="K72" s="317">
        <f>IFERROR(__xludf.DUMMYFUNCTION("""COMPUTED_VALUE"""),2021.11)</f>
        <v>2021.11</v>
      </c>
      <c r="L72" s="298"/>
      <c r="M72" s="223"/>
      <c r="N72" s="223"/>
      <c r="O72" s="223"/>
      <c r="P72" s="223"/>
      <c r="Q72" s="223"/>
      <c r="R72" s="223"/>
      <c r="S72" s="223"/>
      <c r="T72" s="223"/>
      <c r="U72" s="223"/>
      <c r="V72" s="223"/>
      <c r="W72" s="223"/>
      <c r="X72" s="223"/>
      <c r="Y72" s="223"/>
      <c r="Z72" s="223"/>
    </row>
    <row r="73">
      <c r="A73" s="223" t="str">
        <f>IFERROR(__xludf.DUMMYFUNCTION("""COMPUTED_VALUE"""),"Hastings House : Monthly Services")</f>
        <v>Hastings House : Monthly Services</v>
      </c>
      <c r="B73" s="223" t="str">
        <f>IFERROR(__xludf.DUMMYFUNCTION("""COMPUTED_VALUE"""),"Hastings House")</f>
        <v>Hastings House</v>
      </c>
      <c r="C73" s="223" t="str">
        <f>IFERROR(__xludf.DUMMYFUNCTION("""COMPUTED_VALUE"""),"Monthly Services")</f>
        <v>Monthly Services</v>
      </c>
      <c r="D73" s="316">
        <f>IFERROR(__xludf.DUMMYFUNCTION("""COMPUTED_VALUE"""),44501.0)</f>
        <v>44501</v>
      </c>
      <c r="E73" s="298">
        <f>IFERROR(__xludf.DUMMYFUNCTION("""COMPUTED_VALUE"""),1500.0)</f>
        <v>1500</v>
      </c>
      <c r="F73" s="298">
        <f>IFERROR(__xludf.DUMMYFUNCTION("""COMPUTED_VALUE"""),46.67)</f>
        <v>46.67</v>
      </c>
      <c r="G73" s="298">
        <f>IFERROR(__xludf.DUMMYFUNCTION("""COMPUTED_VALUE"""),217.99949999999998)</f>
        <v>217.9995</v>
      </c>
      <c r="H73" s="223">
        <f>IFERROR(__xludf.DUMMYFUNCTION("""COMPUTED_VALUE"""),1235.3305)</f>
        <v>1235.3305</v>
      </c>
      <c r="I73" s="298"/>
      <c r="J73" s="223" t="str">
        <f>IFERROR(__xludf.DUMMYFUNCTION("""COMPUTED_VALUE"""),"Monthly")</f>
        <v>Monthly</v>
      </c>
      <c r="K73" s="317">
        <f>IFERROR(__xludf.DUMMYFUNCTION("""COMPUTED_VALUE"""),2021.11)</f>
        <v>2021.11</v>
      </c>
      <c r="L73" s="298"/>
      <c r="M73" s="223"/>
      <c r="N73" s="223"/>
      <c r="O73" s="223"/>
      <c r="P73" s="223"/>
      <c r="Q73" s="223"/>
      <c r="R73" s="223"/>
      <c r="S73" s="223"/>
      <c r="T73" s="223"/>
      <c r="U73" s="223"/>
      <c r="V73" s="223"/>
      <c r="W73" s="223"/>
      <c r="X73" s="223"/>
      <c r="Y73" s="223"/>
      <c r="Z73" s="223"/>
    </row>
    <row r="74">
      <c r="A74" s="223" t="str">
        <f>IFERROR(__xludf.DUMMYFUNCTION("""COMPUTED_VALUE"""),"Bratopia : Monthly Services")</f>
        <v>Bratopia : Monthly Services</v>
      </c>
      <c r="B74" s="223" t="str">
        <f>IFERROR(__xludf.DUMMYFUNCTION("""COMPUTED_VALUE"""),"Bratopia")</f>
        <v>Bratopia</v>
      </c>
      <c r="C74" s="223" t="str">
        <f>IFERROR(__xludf.DUMMYFUNCTION("""COMPUTED_VALUE"""),"Monthly Services")</f>
        <v>Monthly Services</v>
      </c>
      <c r="D74" s="316">
        <f>IFERROR(__xludf.DUMMYFUNCTION("""COMPUTED_VALUE"""),44501.0)</f>
        <v>44501</v>
      </c>
      <c r="E74" s="298">
        <f>IFERROR(__xludf.DUMMYFUNCTION("""COMPUTED_VALUE"""),2350.0)</f>
        <v>2350</v>
      </c>
      <c r="F74" s="298">
        <f>IFERROR(__xludf.DUMMYFUNCTION("""COMPUTED_VALUE"""),73.11)</f>
        <v>73.11</v>
      </c>
      <c r="G74" s="298">
        <f>IFERROR(__xludf.DUMMYFUNCTION("""COMPUTED_VALUE"""),0.0)</f>
        <v>0</v>
      </c>
      <c r="H74" s="223">
        <f>IFERROR(__xludf.DUMMYFUNCTION("""COMPUTED_VALUE"""),2276.89)</f>
        <v>2276.89</v>
      </c>
      <c r="I74" s="298"/>
      <c r="J74" s="223" t="str">
        <f>IFERROR(__xludf.DUMMYFUNCTION("""COMPUTED_VALUE"""),"Monthly")</f>
        <v>Monthly</v>
      </c>
      <c r="K74" s="317">
        <f>IFERROR(__xludf.DUMMYFUNCTION("""COMPUTED_VALUE"""),2021.11)</f>
        <v>2021.11</v>
      </c>
      <c r="L74" s="298"/>
      <c r="M74" s="223"/>
      <c r="N74" s="223"/>
      <c r="O74" s="223"/>
      <c r="P74" s="223"/>
      <c r="Q74" s="223"/>
      <c r="R74" s="223"/>
      <c r="S74" s="223"/>
      <c r="T74" s="223"/>
      <c r="U74" s="223"/>
      <c r="V74" s="223"/>
      <c r="W74" s="223"/>
      <c r="X74" s="223"/>
      <c r="Y74" s="223"/>
      <c r="Z74" s="223"/>
    </row>
    <row r="75">
      <c r="A75" s="223" t="str">
        <f>IFERROR(__xludf.DUMMYFUNCTION("""COMPUTED_VALUE"""),"HSJ Lawyers : Monthly Services")</f>
        <v>HSJ Lawyers : Monthly Services</v>
      </c>
      <c r="B75" s="223" t="str">
        <f>IFERROR(__xludf.DUMMYFUNCTION("""COMPUTED_VALUE"""),"HSJ Lawyers")</f>
        <v>HSJ Lawyers</v>
      </c>
      <c r="C75" s="223" t="str">
        <f>IFERROR(__xludf.DUMMYFUNCTION("""COMPUTED_VALUE"""),"Monthly Services")</f>
        <v>Monthly Services</v>
      </c>
      <c r="D75" s="316">
        <f>IFERROR(__xludf.DUMMYFUNCTION("""COMPUTED_VALUE"""),44501.0)</f>
        <v>44501</v>
      </c>
      <c r="E75" s="298">
        <f>IFERROR(__xludf.DUMMYFUNCTION("""COMPUTED_VALUE"""),800.0)</f>
        <v>800</v>
      </c>
      <c r="F75" s="298">
        <f>IFERROR(__xludf.DUMMYFUNCTION("""COMPUTED_VALUE"""),0.0)</f>
        <v>0</v>
      </c>
      <c r="G75" s="298">
        <f>IFERROR(__xludf.DUMMYFUNCTION("""COMPUTED_VALUE"""),0.0)</f>
        <v>0</v>
      </c>
      <c r="H75" s="223">
        <f>IFERROR(__xludf.DUMMYFUNCTION("""COMPUTED_VALUE"""),800.0)</f>
        <v>800</v>
      </c>
      <c r="I75" s="298"/>
      <c r="J75" s="223" t="str">
        <f>IFERROR(__xludf.DUMMYFUNCTION("""COMPUTED_VALUE"""),"Monthly")</f>
        <v>Monthly</v>
      </c>
      <c r="K75" s="317">
        <f>IFERROR(__xludf.DUMMYFUNCTION("""COMPUTED_VALUE"""),2021.11)</f>
        <v>2021.11</v>
      </c>
      <c r="L75" s="298"/>
      <c r="M75" s="223"/>
      <c r="N75" s="223"/>
      <c r="O75" s="223"/>
      <c r="P75" s="223"/>
      <c r="Q75" s="223"/>
      <c r="R75" s="223"/>
      <c r="S75" s="223"/>
      <c r="T75" s="223"/>
      <c r="U75" s="223"/>
      <c r="V75" s="223"/>
      <c r="W75" s="223"/>
      <c r="X75" s="223"/>
      <c r="Y75" s="223"/>
      <c r="Z75" s="223"/>
    </row>
    <row r="76">
      <c r="A76" s="223" t="str">
        <f>IFERROR(__xludf.DUMMYFUNCTION("""COMPUTED_VALUE"""),"Diversified Health : Monthly Services")</f>
        <v>Diversified Health : Monthly Services</v>
      </c>
      <c r="B76" s="223" t="str">
        <f>IFERROR(__xludf.DUMMYFUNCTION("""COMPUTED_VALUE"""),"Diversified Health")</f>
        <v>Diversified Health</v>
      </c>
      <c r="C76" s="223" t="str">
        <f>IFERROR(__xludf.DUMMYFUNCTION("""COMPUTED_VALUE"""),"Monthly Services")</f>
        <v>Monthly Services</v>
      </c>
      <c r="D76" s="316">
        <f>IFERROR(__xludf.DUMMYFUNCTION("""COMPUTED_VALUE"""),44501.0)</f>
        <v>44501</v>
      </c>
      <c r="E76" s="298">
        <f>IFERROR(__xludf.DUMMYFUNCTION("""COMPUTED_VALUE"""),1000.0)</f>
        <v>1000</v>
      </c>
      <c r="F76" s="298">
        <f>IFERROR(__xludf.DUMMYFUNCTION("""COMPUTED_VALUE"""),0.0)</f>
        <v>0</v>
      </c>
      <c r="G76" s="298">
        <f>IFERROR(__xludf.DUMMYFUNCTION("""COMPUTED_VALUE"""),0.0)</f>
        <v>0</v>
      </c>
      <c r="H76" s="223">
        <f>IFERROR(__xludf.DUMMYFUNCTION("""COMPUTED_VALUE"""),1000.0)</f>
        <v>1000</v>
      </c>
      <c r="I76" s="298"/>
      <c r="J76" s="223" t="str">
        <f>IFERROR(__xludf.DUMMYFUNCTION("""COMPUTED_VALUE"""),"Monthly")</f>
        <v>Monthly</v>
      </c>
      <c r="K76" s="317">
        <f>IFERROR(__xludf.DUMMYFUNCTION("""COMPUTED_VALUE"""),2021.11)</f>
        <v>2021.11</v>
      </c>
      <c r="L76" s="298"/>
      <c r="M76" s="223"/>
      <c r="N76" s="223"/>
      <c r="O76" s="223"/>
      <c r="P76" s="223"/>
      <c r="Q76" s="223"/>
      <c r="R76" s="223"/>
      <c r="S76" s="223"/>
      <c r="T76" s="223"/>
      <c r="U76" s="223"/>
      <c r="V76" s="223"/>
      <c r="W76" s="223"/>
      <c r="X76" s="223"/>
      <c r="Y76" s="223"/>
      <c r="Z76" s="223"/>
    </row>
    <row r="77">
      <c r="A77" s="223" t="str">
        <f>IFERROR(__xludf.DUMMYFUNCTION("""COMPUTED_VALUE"""),"Giga Tires : Monthly Services")</f>
        <v>Giga Tires : Monthly Services</v>
      </c>
      <c r="B77" s="223" t="str">
        <f>IFERROR(__xludf.DUMMYFUNCTION("""COMPUTED_VALUE"""),"Giga Tires")</f>
        <v>Giga Tires</v>
      </c>
      <c r="C77" s="223" t="str">
        <f>IFERROR(__xludf.DUMMYFUNCTION("""COMPUTED_VALUE"""),"Monthly Services")</f>
        <v>Monthly Services</v>
      </c>
      <c r="D77" s="316">
        <f>IFERROR(__xludf.DUMMYFUNCTION("""COMPUTED_VALUE"""),44501.0)</f>
        <v>44501</v>
      </c>
      <c r="E77" s="298">
        <f>IFERROR(__xludf.DUMMYFUNCTION("""COMPUTED_VALUE"""),550.0)</f>
        <v>550</v>
      </c>
      <c r="F77" s="298">
        <f>IFERROR(__xludf.DUMMYFUNCTION("""COMPUTED_VALUE"""),21.67)</f>
        <v>21.67</v>
      </c>
      <c r="G77" s="298">
        <f>IFERROR(__xludf.DUMMYFUNCTION("""COMPUTED_VALUE"""),0.0)</f>
        <v>0</v>
      </c>
      <c r="H77" s="223">
        <f>IFERROR(__xludf.DUMMYFUNCTION("""COMPUTED_VALUE"""),528.33)</f>
        <v>528.33</v>
      </c>
      <c r="I77" s="298"/>
      <c r="J77" s="223" t="str">
        <f>IFERROR(__xludf.DUMMYFUNCTION("""COMPUTED_VALUE"""),"Monthly")</f>
        <v>Monthly</v>
      </c>
      <c r="K77" s="317">
        <f>IFERROR(__xludf.DUMMYFUNCTION("""COMPUTED_VALUE"""),2021.11)</f>
        <v>2021.11</v>
      </c>
      <c r="L77" s="298"/>
      <c r="M77" s="223"/>
      <c r="N77" s="223"/>
      <c r="O77" s="223"/>
      <c r="P77" s="223"/>
      <c r="Q77" s="223"/>
      <c r="R77" s="223"/>
      <c r="S77" s="223"/>
      <c r="T77" s="223"/>
      <c r="U77" s="223"/>
      <c r="V77" s="223"/>
      <c r="W77" s="223"/>
      <c r="X77" s="223"/>
      <c r="Y77" s="223"/>
      <c r="Z77" s="223"/>
    </row>
    <row r="78">
      <c r="A78" s="223" t="str">
        <f>IFERROR(__xludf.DUMMYFUNCTION("""COMPUTED_VALUE"""),"MortgagePal : Monthly Services")</f>
        <v>MortgagePal : Monthly Services</v>
      </c>
      <c r="B78" s="223" t="str">
        <f>IFERROR(__xludf.DUMMYFUNCTION("""COMPUTED_VALUE"""),"MortgagePal")</f>
        <v>MortgagePal</v>
      </c>
      <c r="C78" s="223" t="str">
        <f>IFERROR(__xludf.DUMMYFUNCTION("""COMPUTED_VALUE"""),"Monthly Services")</f>
        <v>Monthly Services</v>
      </c>
      <c r="D78" s="316">
        <f>IFERROR(__xludf.DUMMYFUNCTION("""COMPUTED_VALUE"""),44501.0)</f>
        <v>44501</v>
      </c>
      <c r="E78" s="298">
        <f>IFERROR(__xludf.DUMMYFUNCTION("""COMPUTED_VALUE"""),500.0)</f>
        <v>500</v>
      </c>
      <c r="F78" s="298">
        <f>IFERROR(__xludf.DUMMYFUNCTION("""COMPUTED_VALUE"""),15.53)</f>
        <v>15.53</v>
      </c>
      <c r="G78" s="298">
        <f>IFERROR(__xludf.DUMMYFUNCTION("""COMPUTED_VALUE"""),0.0)</f>
        <v>0</v>
      </c>
      <c r="H78" s="223">
        <f>IFERROR(__xludf.DUMMYFUNCTION("""COMPUTED_VALUE"""),484.47)</f>
        <v>484.47</v>
      </c>
      <c r="I78" s="298"/>
      <c r="J78" s="223" t="str">
        <f>IFERROR(__xludf.DUMMYFUNCTION("""COMPUTED_VALUE"""),"Monthly")</f>
        <v>Monthly</v>
      </c>
      <c r="K78" s="317">
        <f>IFERROR(__xludf.DUMMYFUNCTION("""COMPUTED_VALUE"""),2021.11)</f>
        <v>2021.11</v>
      </c>
      <c r="L78" s="298"/>
      <c r="M78" s="223"/>
      <c r="N78" s="223"/>
      <c r="O78" s="223"/>
      <c r="P78" s="223"/>
      <c r="Q78" s="223"/>
      <c r="R78" s="223"/>
      <c r="S78" s="223"/>
      <c r="T78" s="223"/>
      <c r="U78" s="223"/>
      <c r="V78" s="223"/>
      <c r="W78" s="223"/>
      <c r="X78" s="223"/>
      <c r="Y78" s="223"/>
      <c r="Z78" s="223"/>
    </row>
    <row r="79">
      <c r="A79" s="223" t="str">
        <f>IFERROR(__xludf.DUMMYFUNCTION("""COMPUTED_VALUE"""),"Red Seal : Monthly Services")</f>
        <v>Red Seal : Monthly Services</v>
      </c>
      <c r="B79" s="223" t="str">
        <f>IFERROR(__xludf.DUMMYFUNCTION("""COMPUTED_VALUE"""),"Red Seal")</f>
        <v>Red Seal</v>
      </c>
      <c r="C79" s="223" t="str">
        <f>IFERROR(__xludf.DUMMYFUNCTION("""COMPUTED_VALUE"""),"Monthly Services")</f>
        <v>Monthly Services</v>
      </c>
      <c r="D79" s="316">
        <f>IFERROR(__xludf.DUMMYFUNCTION("""COMPUTED_VALUE"""),44501.0)</f>
        <v>44501</v>
      </c>
      <c r="E79" s="298">
        <f>IFERROR(__xludf.DUMMYFUNCTION("""COMPUTED_VALUE"""),250.0)</f>
        <v>250</v>
      </c>
      <c r="F79" s="298">
        <f>IFERROR(__xludf.DUMMYFUNCTION("""COMPUTED_VALUE"""),7.78)</f>
        <v>7.78</v>
      </c>
      <c r="G79" s="298">
        <f>IFERROR(__xludf.DUMMYFUNCTION("""COMPUTED_VALUE"""),0.0)</f>
        <v>0</v>
      </c>
      <c r="H79" s="223">
        <f>IFERROR(__xludf.DUMMYFUNCTION("""COMPUTED_VALUE"""),242.22)</f>
        <v>242.22</v>
      </c>
      <c r="I79" s="298"/>
      <c r="J79" s="223" t="str">
        <f>IFERROR(__xludf.DUMMYFUNCTION("""COMPUTED_VALUE"""),"Monthly")</f>
        <v>Monthly</v>
      </c>
      <c r="K79" s="317">
        <f>IFERROR(__xludf.DUMMYFUNCTION("""COMPUTED_VALUE"""),2021.11)</f>
        <v>2021.11</v>
      </c>
      <c r="L79" s="298"/>
      <c r="M79" s="223"/>
      <c r="N79" s="223"/>
      <c r="O79" s="223"/>
      <c r="P79" s="223"/>
      <c r="Q79" s="223"/>
      <c r="R79" s="223"/>
      <c r="S79" s="223"/>
      <c r="T79" s="223"/>
      <c r="U79" s="223"/>
      <c r="V79" s="223"/>
      <c r="W79" s="223"/>
      <c r="X79" s="223"/>
      <c r="Y79" s="223"/>
      <c r="Z79" s="223"/>
    </row>
    <row r="80">
      <c r="A80" s="223" t="str">
        <f>IFERROR(__xludf.DUMMYFUNCTION("""COMPUTED_VALUE"""),"Spraggs : Monthly Services")</f>
        <v>Spraggs : Monthly Services</v>
      </c>
      <c r="B80" s="223" t="str">
        <f>IFERROR(__xludf.DUMMYFUNCTION("""COMPUTED_VALUE"""),"Spraggs")</f>
        <v>Spraggs</v>
      </c>
      <c r="C80" s="223" t="str">
        <f>IFERROR(__xludf.DUMMYFUNCTION("""COMPUTED_VALUE"""),"Monthly Services")</f>
        <v>Monthly Services</v>
      </c>
      <c r="D80" s="316">
        <f>IFERROR(__xludf.DUMMYFUNCTION("""COMPUTED_VALUE"""),44501.0)</f>
        <v>44501</v>
      </c>
      <c r="E80" s="298">
        <f>IFERROR(__xludf.DUMMYFUNCTION("""COMPUTED_VALUE"""),2500.0)</f>
        <v>2500</v>
      </c>
      <c r="F80" s="298">
        <f>IFERROR(__xludf.DUMMYFUNCTION("""COMPUTED_VALUE"""),77.78)</f>
        <v>77.78</v>
      </c>
      <c r="G80" s="298">
        <f>IFERROR(__xludf.DUMMYFUNCTION("""COMPUTED_VALUE"""),0.0)</f>
        <v>0</v>
      </c>
      <c r="H80" s="223">
        <f>IFERROR(__xludf.DUMMYFUNCTION("""COMPUTED_VALUE"""),2422.22)</f>
        <v>2422.22</v>
      </c>
      <c r="I80" s="298"/>
      <c r="J80" s="223" t="str">
        <f>IFERROR(__xludf.DUMMYFUNCTION("""COMPUTED_VALUE"""),"Monthly")</f>
        <v>Monthly</v>
      </c>
      <c r="K80" s="317">
        <f>IFERROR(__xludf.DUMMYFUNCTION("""COMPUTED_VALUE"""),2021.11)</f>
        <v>2021.11</v>
      </c>
      <c r="L80" s="298"/>
      <c r="M80" s="223"/>
      <c r="N80" s="223"/>
      <c r="O80" s="223"/>
      <c r="P80" s="223"/>
      <c r="Q80" s="223"/>
      <c r="R80" s="223"/>
      <c r="S80" s="223"/>
      <c r="T80" s="223"/>
      <c r="U80" s="223"/>
      <c r="V80" s="223"/>
      <c r="W80" s="223"/>
      <c r="X80" s="223"/>
      <c r="Y80" s="223"/>
      <c r="Z80" s="223"/>
    </row>
    <row r="81">
      <c r="A81" s="223" t="str">
        <f>IFERROR(__xludf.DUMMYFUNCTION("""COMPUTED_VALUE"""),"BookKing (Pacific Tier) : Monthly Services")</f>
        <v>BookKing (Pacific Tier) : Monthly Services</v>
      </c>
      <c r="B81" s="223" t="str">
        <f>IFERROR(__xludf.DUMMYFUNCTION("""COMPUTED_VALUE"""),"BookKing (Pacific Tier)")</f>
        <v>BookKing (Pacific Tier)</v>
      </c>
      <c r="C81" s="223" t="str">
        <f>IFERROR(__xludf.DUMMYFUNCTION("""COMPUTED_VALUE"""),"Monthly Services")</f>
        <v>Monthly Services</v>
      </c>
      <c r="D81" s="316">
        <f>IFERROR(__xludf.DUMMYFUNCTION("""COMPUTED_VALUE"""),44501.0)</f>
        <v>44501</v>
      </c>
      <c r="E81" s="298">
        <f>IFERROR(__xludf.DUMMYFUNCTION("""COMPUTED_VALUE"""),900.0)</f>
        <v>900</v>
      </c>
      <c r="F81" s="298">
        <f>IFERROR(__xludf.DUMMYFUNCTION("""COMPUTED_VALUE"""),28.0)</f>
        <v>28</v>
      </c>
      <c r="G81" s="298">
        <f>IFERROR(__xludf.DUMMYFUNCTION("""COMPUTED_VALUE"""),0.0)</f>
        <v>0</v>
      </c>
      <c r="H81" s="223">
        <f>IFERROR(__xludf.DUMMYFUNCTION("""COMPUTED_VALUE"""),872.0)</f>
        <v>872</v>
      </c>
      <c r="I81" s="298"/>
      <c r="J81" s="223" t="str">
        <f>IFERROR(__xludf.DUMMYFUNCTION("""COMPUTED_VALUE"""),"Monthly")</f>
        <v>Monthly</v>
      </c>
      <c r="K81" s="317">
        <f>IFERROR(__xludf.DUMMYFUNCTION("""COMPUTED_VALUE"""),2021.11)</f>
        <v>2021.11</v>
      </c>
      <c r="L81" s="298"/>
      <c r="M81" s="223"/>
      <c r="N81" s="223"/>
      <c r="O81" s="223"/>
      <c r="P81" s="223"/>
      <c r="Q81" s="223"/>
      <c r="R81" s="223"/>
      <c r="S81" s="223"/>
      <c r="T81" s="223"/>
      <c r="U81" s="223"/>
      <c r="V81" s="223"/>
      <c r="W81" s="223"/>
      <c r="X81" s="223"/>
      <c r="Y81" s="223"/>
      <c r="Z81" s="223"/>
    </row>
    <row r="82">
      <c r="A82" s="223" t="str">
        <f>IFERROR(__xludf.DUMMYFUNCTION("""COMPUTED_VALUE"""),"Service First : Monthly Services")</f>
        <v>Service First : Monthly Services</v>
      </c>
      <c r="B82" s="223" t="str">
        <f>IFERROR(__xludf.DUMMYFUNCTION("""COMPUTED_VALUE"""),"Service First")</f>
        <v>Service First</v>
      </c>
      <c r="C82" s="223" t="str">
        <f>IFERROR(__xludf.DUMMYFUNCTION("""COMPUTED_VALUE"""),"Monthly Services")</f>
        <v>Monthly Services</v>
      </c>
      <c r="D82" s="316">
        <f>IFERROR(__xludf.DUMMYFUNCTION("""COMPUTED_VALUE"""),44501.0)</f>
        <v>44501</v>
      </c>
      <c r="E82" s="298">
        <f>IFERROR(__xludf.DUMMYFUNCTION("""COMPUTED_VALUE"""),300.0)</f>
        <v>300</v>
      </c>
      <c r="F82" s="298">
        <f>IFERROR(__xludf.DUMMYFUNCTION("""COMPUTED_VALUE"""),9.33)</f>
        <v>9.33</v>
      </c>
      <c r="G82" s="298">
        <f>IFERROR(__xludf.DUMMYFUNCTION("""COMPUTED_VALUE"""),0.0)</f>
        <v>0</v>
      </c>
      <c r="H82" s="223">
        <f>IFERROR(__xludf.DUMMYFUNCTION("""COMPUTED_VALUE"""),290.67)</f>
        <v>290.67</v>
      </c>
      <c r="I82" s="298"/>
      <c r="J82" s="223" t="str">
        <f>IFERROR(__xludf.DUMMYFUNCTION("""COMPUTED_VALUE"""),"Monthly")</f>
        <v>Monthly</v>
      </c>
      <c r="K82" s="317">
        <f>IFERROR(__xludf.DUMMYFUNCTION("""COMPUTED_VALUE"""),2021.11)</f>
        <v>2021.11</v>
      </c>
      <c r="L82" s="298"/>
      <c r="M82" s="223"/>
      <c r="N82" s="223"/>
      <c r="O82" s="223"/>
      <c r="P82" s="223"/>
      <c r="Q82" s="223"/>
      <c r="R82" s="223"/>
      <c r="S82" s="223"/>
      <c r="T82" s="223"/>
      <c r="U82" s="223"/>
      <c r="V82" s="223"/>
      <c r="W82" s="223"/>
      <c r="X82" s="223"/>
      <c r="Y82" s="223"/>
      <c r="Z82" s="223"/>
    </row>
    <row r="83">
      <c r="A83" s="223" t="str">
        <f>IFERROR(__xludf.DUMMYFUNCTION("""COMPUTED_VALUE"""),"Athlone Golf &amp; Sports : Website")</f>
        <v>Athlone Golf &amp; Sports : Website</v>
      </c>
      <c r="B83" s="223" t="str">
        <f>IFERROR(__xludf.DUMMYFUNCTION("""COMPUTED_VALUE"""),"Athlone Golf &amp; Sports")</f>
        <v>Athlone Golf &amp; Sports</v>
      </c>
      <c r="C83" s="223" t="str">
        <f>IFERROR(__xludf.DUMMYFUNCTION("""COMPUTED_VALUE"""),"Website")</f>
        <v>Website</v>
      </c>
      <c r="D83" s="316">
        <f>IFERROR(__xludf.DUMMYFUNCTION("""COMPUTED_VALUE"""),44531.0)</f>
        <v>44531</v>
      </c>
      <c r="E83" s="298">
        <f>IFERROR(__xludf.DUMMYFUNCTION("""COMPUTED_VALUE"""),2650.0)</f>
        <v>2650</v>
      </c>
      <c r="F83" s="298">
        <f>IFERROR(__xludf.DUMMYFUNCTION("""COMPUTED_VALUE"""),82.44)</f>
        <v>82.44</v>
      </c>
      <c r="G83" s="298">
        <f>IFERROR(__xludf.DUMMYFUNCTION("""COMPUTED_VALUE"""),0.0)</f>
        <v>0</v>
      </c>
      <c r="H83" s="223">
        <f>IFERROR(__xludf.DUMMYFUNCTION("""COMPUTED_VALUE"""),2567.56)</f>
        <v>2567.56</v>
      </c>
      <c r="I83" s="298"/>
      <c r="J83" s="223" t="str">
        <f>IFERROR(__xludf.DUMMYFUNCTION("""COMPUTED_VALUE"""),"50% Final Payment")</f>
        <v>50% Final Payment</v>
      </c>
      <c r="K83" s="317">
        <f>IFERROR(__xludf.DUMMYFUNCTION("""COMPUTED_VALUE"""),2021.0)</f>
        <v>2021</v>
      </c>
      <c r="L83" s="298"/>
      <c r="M83" s="223"/>
      <c r="N83" s="223"/>
      <c r="O83" s="223"/>
      <c r="P83" s="223"/>
      <c r="Q83" s="223"/>
      <c r="R83" s="223"/>
      <c r="S83" s="223"/>
      <c r="T83" s="223"/>
      <c r="U83" s="223"/>
      <c r="V83" s="223"/>
      <c r="W83" s="223"/>
      <c r="X83" s="223"/>
      <c r="Y83" s="223"/>
      <c r="Z83" s="223"/>
    </row>
    <row r="84">
      <c r="A84" s="223" t="str">
        <f>IFERROR(__xludf.DUMMYFUNCTION("""COMPUTED_VALUE"""),"Ideon : 5 Hour Support Block")</f>
        <v>Ideon : 5 Hour Support Block</v>
      </c>
      <c r="B84" s="223" t="str">
        <f>IFERROR(__xludf.DUMMYFUNCTION("""COMPUTED_VALUE"""),"Ideon")</f>
        <v>Ideon</v>
      </c>
      <c r="C84" s="223" t="str">
        <f>IFERROR(__xludf.DUMMYFUNCTION("""COMPUTED_VALUE"""),"5 Hour Support Block")</f>
        <v>5 Hour Support Block</v>
      </c>
      <c r="D84" s="316">
        <f>IFERROR(__xludf.DUMMYFUNCTION("""COMPUTED_VALUE"""),44531.0)</f>
        <v>44531</v>
      </c>
      <c r="E84" s="298">
        <f>IFERROR(__xludf.DUMMYFUNCTION("""COMPUTED_VALUE"""),599.0)</f>
        <v>599</v>
      </c>
      <c r="F84" s="298">
        <f>IFERROR(__xludf.DUMMYFUNCTION("""COMPUTED_VALUE"""),18.67)</f>
        <v>18.67</v>
      </c>
      <c r="G84" s="298">
        <f>IFERROR(__xludf.DUMMYFUNCTION("""COMPUTED_VALUE"""),0.0)</f>
        <v>0</v>
      </c>
      <c r="H84" s="223">
        <f>IFERROR(__xludf.DUMMYFUNCTION("""COMPUTED_VALUE"""),580.33)</f>
        <v>580.33</v>
      </c>
      <c r="I84" s="298"/>
      <c r="J84" s="223" t="str">
        <f>IFERROR(__xludf.DUMMYFUNCTION("""COMPUTED_VALUE"""),"Prepaid")</f>
        <v>Prepaid</v>
      </c>
      <c r="K84" s="317">
        <f>IFERROR(__xludf.DUMMYFUNCTION("""COMPUTED_VALUE"""),2021.0)</f>
        <v>2021</v>
      </c>
      <c r="L84" s="298"/>
      <c r="M84" s="223"/>
      <c r="N84" s="223"/>
      <c r="O84" s="223"/>
      <c r="P84" s="223"/>
      <c r="Q84" s="223"/>
      <c r="R84" s="223"/>
      <c r="S84" s="223"/>
      <c r="T84" s="223"/>
      <c r="U84" s="223"/>
      <c r="V84" s="223"/>
      <c r="W84" s="223"/>
      <c r="X84" s="223"/>
      <c r="Y84" s="223"/>
      <c r="Z84" s="223"/>
    </row>
    <row r="85">
      <c r="A85" s="223" t="str">
        <f>IFERROR(__xludf.DUMMYFUNCTION("""COMPUTED_VALUE"""),"Beacon Law : 5 Hour Support Block")</f>
        <v>Beacon Law : 5 Hour Support Block</v>
      </c>
      <c r="B85" s="223" t="str">
        <f>IFERROR(__xludf.DUMMYFUNCTION("""COMPUTED_VALUE"""),"Beacon Law")</f>
        <v>Beacon Law</v>
      </c>
      <c r="C85" s="223" t="str">
        <f>IFERROR(__xludf.DUMMYFUNCTION("""COMPUTED_VALUE"""),"5 Hour Support Block")</f>
        <v>5 Hour Support Block</v>
      </c>
      <c r="D85" s="316">
        <f>IFERROR(__xludf.DUMMYFUNCTION("""COMPUTED_VALUE"""),44531.0)</f>
        <v>44531</v>
      </c>
      <c r="E85" s="298">
        <f>IFERROR(__xludf.DUMMYFUNCTION("""COMPUTED_VALUE"""),600.0)</f>
        <v>600</v>
      </c>
      <c r="F85" s="298">
        <f>IFERROR(__xludf.DUMMYFUNCTION("""COMPUTED_VALUE"""),18.67)</f>
        <v>18.67</v>
      </c>
      <c r="G85" s="298">
        <f>IFERROR(__xludf.DUMMYFUNCTION("""COMPUTED_VALUE"""),0.0)</f>
        <v>0</v>
      </c>
      <c r="H85" s="223">
        <f>IFERROR(__xludf.DUMMYFUNCTION("""COMPUTED_VALUE"""),581.33)</f>
        <v>581.33</v>
      </c>
      <c r="I85" s="298"/>
      <c r="J85" s="223" t="str">
        <f>IFERROR(__xludf.DUMMYFUNCTION("""COMPUTED_VALUE"""),"Prepaid")</f>
        <v>Prepaid</v>
      </c>
      <c r="K85" s="317">
        <f>IFERROR(__xludf.DUMMYFUNCTION("""COMPUTED_VALUE"""),2021.0)</f>
        <v>2021</v>
      </c>
      <c r="L85" s="298"/>
      <c r="M85" s="223"/>
      <c r="N85" s="223"/>
      <c r="O85" s="223"/>
      <c r="P85" s="223"/>
      <c r="Q85" s="223"/>
      <c r="R85" s="223"/>
      <c r="S85" s="223"/>
      <c r="T85" s="223"/>
      <c r="U85" s="223"/>
      <c r="V85" s="223"/>
      <c r="W85" s="223"/>
      <c r="X85" s="223"/>
      <c r="Y85" s="223"/>
      <c r="Z85" s="223"/>
    </row>
    <row r="86">
      <c r="A86" s="223" t="str">
        <f>IFERROR(__xludf.DUMMYFUNCTION("""COMPUTED_VALUE"""),"Tofino Resort + Marina : Monthly Services")</f>
        <v>Tofino Resort + Marina : Monthly Services</v>
      </c>
      <c r="B86" s="223" t="str">
        <f>IFERROR(__xludf.DUMMYFUNCTION("""COMPUTED_VALUE"""),"Tofino Resort + Marina")</f>
        <v>Tofino Resort + Marina</v>
      </c>
      <c r="C86" s="223" t="str">
        <f>IFERROR(__xludf.DUMMYFUNCTION("""COMPUTED_VALUE"""),"Monthly Services")</f>
        <v>Monthly Services</v>
      </c>
      <c r="D86" s="316">
        <f>IFERROR(__xludf.DUMMYFUNCTION("""COMPUTED_VALUE"""),44545.0)</f>
        <v>44545</v>
      </c>
      <c r="E86" s="298">
        <f>IFERROR(__xludf.DUMMYFUNCTION("""COMPUTED_VALUE"""),1600.0)</f>
        <v>1600</v>
      </c>
      <c r="F86" s="298">
        <f>IFERROR(__xludf.DUMMYFUNCTION("""COMPUTED_VALUE"""),49.78)</f>
        <v>49.78</v>
      </c>
      <c r="G86" s="298">
        <f>IFERROR(__xludf.DUMMYFUNCTION("""COMPUTED_VALUE"""),0.0)</f>
        <v>0</v>
      </c>
      <c r="H86" s="223">
        <f>IFERROR(__xludf.DUMMYFUNCTION("""COMPUTED_VALUE"""),1550.22)</f>
        <v>1550.22</v>
      </c>
      <c r="I86" s="298"/>
      <c r="J86" s="223" t="str">
        <f>IFERROR(__xludf.DUMMYFUNCTION("""COMPUTED_VALUE"""),"Monthly")</f>
        <v>Monthly</v>
      </c>
      <c r="K86" s="317">
        <f>IFERROR(__xludf.DUMMYFUNCTION("""COMPUTED_VALUE"""),2021.12)</f>
        <v>2021.12</v>
      </c>
      <c r="L86" s="298"/>
      <c r="M86" s="223"/>
      <c r="N86" s="223"/>
      <c r="O86" s="223"/>
      <c r="P86" s="223"/>
      <c r="Q86" s="223"/>
      <c r="R86" s="223"/>
      <c r="S86" s="223"/>
      <c r="T86" s="223"/>
      <c r="U86" s="223"/>
      <c r="V86" s="223"/>
      <c r="W86" s="223"/>
      <c r="X86" s="223"/>
      <c r="Y86" s="223"/>
      <c r="Z86" s="223"/>
    </row>
    <row r="87">
      <c r="A87" s="223" t="str">
        <f>IFERROR(__xludf.DUMMYFUNCTION("""COMPUTED_VALUE"""),"Arazy Group : Monthly Services")</f>
        <v>Arazy Group : Monthly Services</v>
      </c>
      <c r="B87" s="223" t="str">
        <f>IFERROR(__xludf.DUMMYFUNCTION("""COMPUTED_VALUE"""),"Arazy Group")</f>
        <v>Arazy Group</v>
      </c>
      <c r="C87" s="223" t="str">
        <f>IFERROR(__xludf.DUMMYFUNCTION("""COMPUTED_VALUE"""),"Monthly Services")</f>
        <v>Monthly Services</v>
      </c>
      <c r="D87" s="316">
        <f>IFERROR(__xludf.DUMMYFUNCTION("""COMPUTED_VALUE"""),44545.0)</f>
        <v>44545</v>
      </c>
      <c r="E87" s="298">
        <f>IFERROR(__xludf.DUMMYFUNCTION("""COMPUTED_VALUE"""),650.0)</f>
        <v>650</v>
      </c>
      <c r="F87" s="298">
        <f>IFERROR(__xludf.DUMMYFUNCTION("""COMPUTED_VALUE"""),20.09)</f>
        <v>20.09</v>
      </c>
      <c r="G87" s="298">
        <f>IFERROR(__xludf.DUMMYFUNCTION("""COMPUTED_VALUE"""),0.0)</f>
        <v>0</v>
      </c>
      <c r="H87" s="223">
        <f>IFERROR(__xludf.DUMMYFUNCTION("""COMPUTED_VALUE"""),629.91)</f>
        <v>629.91</v>
      </c>
      <c r="I87" s="298"/>
      <c r="J87" s="223" t="str">
        <f>IFERROR(__xludf.DUMMYFUNCTION("""COMPUTED_VALUE"""),"Monthly")</f>
        <v>Monthly</v>
      </c>
      <c r="K87" s="317">
        <f>IFERROR(__xludf.DUMMYFUNCTION("""COMPUTED_VALUE"""),2021.12)</f>
        <v>2021.12</v>
      </c>
      <c r="L87" s="298"/>
      <c r="M87" s="223"/>
      <c r="N87" s="223"/>
      <c r="O87" s="223"/>
      <c r="P87" s="223"/>
      <c r="Q87" s="223"/>
      <c r="R87" s="223"/>
      <c r="S87" s="223"/>
      <c r="T87" s="223"/>
      <c r="U87" s="223"/>
      <c r="V87" s="223"/>
      <c r="W87" s="223"/>
      <c r="X87" s="223"/>
      <c r="Y87" s="223"/>
      <c r="Z87" s="223"/>
    </row>
    <row r="88">
      <c r="A88" s="223" t="str">
        <f>IFERROR(__xludf.DUMMYFUNCTION("""COMPUTED_VALUE"""),"Life UNPacked : Monthly Services")</f>
        <v>Life UNPacked : Monthly Services</v>
      </c>
      <c r="B88" s="223" t="str">
        <f>IFERROR(__xludf.DUMMYFUNCTION("""COMPUTED_VALUE"""),"Life UNPacked")</f>
        <v>Life UNPacked</v>
      </c>
      <c r="C88" s="223" t="str">
        <f>IFERROR(__xludf.DUMMYFUNCTION("""COMPUTED_VALUE"""),"Monthly Services")</f>
        <v>Monthly Services</v>
      </c>
      <c r="D88" s="316">
        <f>IFERROR(__xludf.DUMMYFUNCTION("""COMPUTED_VALUE"""),44531.0)</f>
        <v>44531</v>
      </c>
      <c r="E88" s="298">
        <f>IFERROR(__xludf.DUMMYFUNCTION("""COMPUTED_VALUE"""),500.0)</f>
        <v>500</v>
      </c>
      <c r="F88" s="298"/>
      <c r="G88" s="298">
        <f>IFERROR(__xludf.DUMMYFUNCTION("""COMPUTED_VALUE"""),0.0)</f>
        <v>0</v>
      </c>
      <c r="H88" s="223">
        <f>IFERROR(__xludf.DUMMYFUNCTION("""COMPUTED_VALUE"""),500.0)</f>
        <v>500</v>
      </c>
      <c r="I88" s="298"/>
      <c r="J88" s="223" t="str">
        <f>IFERROR(__xludf.DUMMYFUNCTION("""COMPUTED_VALUE"""),"Monthly")</f>
        <v>Monthly</v>
      </c>
      <c r="K88" s="317">
        <f>IFERROR(__xludf.DUMMYFUNCTION("""COMPUTED_VALUE"""),2021.12)</f>
        <v>2021.12</v>
      </c>
      <c r="L88" s="298"/>
      <c r="M88" s="223"/>
      <c r="N88" s="223"/>
      <c r="O88" s="223"/>
      <c r="P88" s="223"/>
      <c r="Q88" s="223"/>
      <c r="R88" s="223"/>
      <c r="S88" s="223"/>
      <c r="T88" s="223"/>
      <c r="U88" s="223"/>
      <c r="V88" s="223"/>
      <c r="W88" s="223"/>
      <c r="X88" s="223"/>
      <c r="Y88" s="223"/>
      <c r="Z88" s="223"/>
    </row>
    <row r="89">
      <c r="A89" s="223" t="str">
        <f>IFERROR(__xludf.DUMMYFUNCTION("""COMPUTED_VALUE"""),"Olivia Shoppe : Monthly Services")</f>
        <v>Olivia Shoppe : Monthly Services</v>
      </c>
      <c r="B89" s="223" t="str">
        <f>IFERROR(__xludf.DUMMYFUNCTION("""COMPUTED_VALUE"""),"Olivia Shoppe")</f>
        <v>Olivia Shoppe</v>
      </c>
      <c r="C89" s="223" t="str">
        <f>IFERROR(__xludf.DUMMYFUNCTION("""COMPUTED_VALUE"""),"Monthly Services")</f>
        <v>Monthly Services</v>
      </c>
      <c r="D89" s="316">
        <f>IFERROR(__xludf.DUMMYFUNCTION("""COMPUTED_VALUE"""),44470.0)</f>
        <v>44470</v>
      </c>
      <c r="E89" s="298">
        <f>IFERROR(__xludf.DUMMYFUNCTION("""COMPUTED_VALUE"""),798.5912999999999)</f>
        <v>798.5913</v>
      </c>
      <c r="F89" s="298">
        <f>IFERROR(__xludf.DUMMYFUNCTION("""COMPUTED_VALUE"""),29.9164587)</f>
        <v>29.9164587</v>
      </c>
      <c r="G89" s="298">
        <f>IFERROR(__xludf.DUMMYFUNCTION("""COMPUTED_VALUE"""),0.0)</f>
        <v>0</v>
      </c>
      <c r="H89" s="223">
        <f>IFERROR(__xludf.DUMMYFUNCTION("""COMPUTED_VALUE"""),768.6748412999999)</f>
        <v>768.6748413</v>
      </c>
      <c r="I89" s="298"/>
      <c r="J89" s="223" t="str">
        <f>IFERROR(__xludf.DUMMYFUNCTION("""COMPUTED_VALUE"""),"Monthly")</f>
        <v>Monthly</v>
      </c>
      <c r="K89" s="317">
        <f>IFERROR(__xludf.DUMMYFUNCTION("""COMPUTED_VALUE"""),2021.1)</f>
        <v>2021.1</v>
      </c>
      <c r="L89" s="298"/>
      <c r="M89" s="223"/>
      <c r="N89" s="223"/>
      <c r="O89" s="223"/>
      <c r="P89" s="223"/>
      <c r="Q89" s="223"/>
      <c r="R89" s="223"/>
      <c r="S89" s="223"/>
      <c r="T89" s="223"/>
      <c r="U89" s="223"/>
      <c r="V89" s="223"/>
      <c r="W89" s="223"/>
      <c r="X89" s="223"/>
      <c r="Y89" s="223"/>
      <c r="Z89" s="223"/>
    </row>
    <row r="90">
      <c r="A90" s="223" t="str">
        <f>IFERROR(__xludf.DUMMYFUNCTION("""COMPUTED_VALUE"""),"Rama Meditation Society : Premium Hosting + Support")</f>
        <v>Rama Meditation Society : Premium Hosting + Support</v>
      </c>
      <c r="B90" s="223" t="str">
        <f>IFERROR(__xludf.DUMMYFUNCTION("""COMPUTED_VALUE"""),"Rama Meditation Society")</f>
        <v>Rama Meditation Society</v>
      </c>
      <c r="C90" s="223" t="str">
        <f>IFERROR(__xludf.DUMMYFUNCTION("""COMPUTED_VALUE"""),"Premium Hosting + Support")</f>
        <v>Premium Hosting + Support</v>
      </c>
      <c r="D90" s="316">
        <f>IFERROR(__xludf.DUMMYFUNCTION("""COMPUTED_VALUE"""),44501.0)</f>
        <v>44501</v>
      </c>
      <c r="E90" s="298">
        <f>IFERROR(__xludf.DUMMYFUNCTION("""COMPUTED_VALUE"""),360.37)</f>
        <v>360.37</v>
      </c>
      <c r="F90" s="298">
        <f>IFERROR(__xludf.DUMMYFUNCTION("""COMPUTED_VALUE"""),13.69)</f>
        <v>13.69</v>
      </c>
      <c r="G90" s="298">
        <f>IFERROR(__xludf.DUMMYFUNCTION("""COMPUTED_VALUE"""),0.0)</f>
        <v>0</v>
      </c>
      <c r="H90" s="223">
        <f>IFERROR(__xludf.DUMMYFUNCTION("""COMPUTED_VALUE"""),346.68)</f>
        <v>346.68</v>
      </c>
      <c r="I90" s="298"/>
      <c r="J90" s="223" t="str">
        <f>IFERROR(__xludf.DUMMYFUNCTION("""COMPUTED_VALUE"""),"Prepaid")</f>
        <v>Prepaid</v>
      </c>
      <c r="K90" s="317">
        <f>IFERROR(__xludf.DUMMYFUNCTION("""COMPUTED_VALUE"""),2021.0)</f>
        <v>2021</v>
      </c>
      <c r="L90" s="298"/>
      <c r="M90" s="223"/>
      <c r="N90" s="223"/>
      <c r="O90" s="223"/>
      <c r="P90" s="223"/>
      <c r="Q90" s="223"/>
      <c r="R90" s="223"/>
      <c r="S90" s="223"/>
      <c r="T90" s="223"/>
      <c r="U90" s="223"/>
      <c r="V90" s="223"/>
      <c r="W90" s="223"/>
      <c r="X90" s="223"/>
      <c r="Y90" s="223"/>
      <c r="Z90" s="223"/>
    </row>
    <row r="91">
      <c r="A91" s="223" t="str">
        <f>IFERROR(__xludf.DUMMYFUNCTION("""COMPUTED_VALUE"""),"Technology Rivers : Monthly Services")</f>
        <v>Technology Rivers : Monthly Services</v>
      </c>
      <c r="B91" s="223" t="str">
        <f>IFERROR(__xludf.DUMMYFUNCTION("""COMPUTED_VALUE"""),"Technology Rivers")</f>
        <v>Technology Rivers</v>
      </c>
      <c r="C91" s="223" t="str">
        <f>IFERROR(__xludf.DUMMYFUNCTION("""COMPUTED_VALUE"""),"Monthly Services")</f>
        <v>Monthly Services</v>
      </c>
      <c r="D91" s="316">
        <f>IFERROR(__xludf.DUMMYFUNCTION("""COMPUTED_VALUE"""),44501.0)</f>
        <v>44501</v>
      </c>
      <c r="E91" s="298">
        <f>IFERROR(__xludf.DUMMYFUNCTION("""COMPUTED_VALUE"""),544.24)</f>
        <v>544.24</v>
      </c>
      <c r="F91" s="298">
        <f>IFERROR(__xludf.DUMMYFUNCTION("""COMPUTED_VALUE"""),20.5)</f>
        <v>20.5</v>
      </c>
      <c r="G91" s="298">
        <f>IFERROR(__xludf.DUMMYFUNCTION("""COMPUTED_VALUE"""),104.748)</f>
        <v>104.748</v>
      </c>
      <c r="H91" s="223">
        <f>IFERROR(__xludf.DUMMYFUNCTION("""COMPUTED_VALUE"""),418.992)</f>
        <v>418.992</v>
      </c>
      <c r="I91" s="298"/>
      <c r="J91" s="223" t="str">
        <f>IFERROR(__xludf.DUMMYFUNCTION("""COMPUTED_VALUE"""),"Monthly")</f>
        <v>Monthly</v>
      </c>
      <c r="K91" s="317">
        <f>IFERROR(__xludf.DUMMYFUNCTION("""COMPUTED_VALUE"""),2021.11)</f>
        <v>2021.11</v>
      </c>
      <c r="L91" s="298"/>
      <c r="M91" s="223"/>
      <c r="N91" s="223"/>
      <c r="O91" s="223"/>
      <c r="P91" s="223"/>
      <c r="Q91" s="223"/>
      <c r="R91" s="223"/>
      <c r="S91" s="223"/>
      <c r="T91" s="223"/>
      <c r="U91" s="223"/>
      <c r="V91" s="223"/>
      <c r="W91" s="223"/>
      <c r="X91" s="223"/>
      <c r="Y91" s="223"/>
      <c r="Z91" s="223"/>
    </row>
    <row r="92">
      <c r="A92" s="223" t="str">
        <f>IFERROR(__xludf.DUMMYFUNCTION("""COMPUTED_VALUE"""),"C360 : C360 Site Review")</f>
        <v>C360 : C360 Site Review</v>
      </c>
      <c r="B92" s="223" t="str">
        <f>IFERROR(__xludf.DUMMYFUNCTION("""COMPUTED_VALUE"""),"C360")</f>
        <v>C360</v>
      </c>
      <c r="C92" s="223" t="str">
        <f>IFERROR(__xludf.DUMMYFUNCTION("""COMPUTED_VALUE"""),"C360 Site Review")</f>
        <v>C360 Site Review</v>
      </c>
      <c r="D92" s="316">
        <f>IFERROR(__xludf.DUMMYFUNCTION("""COMPUTED_VALUE"""),44501.0)</f>
        <v>44501</v>
      </c>
      <c r="E92" s="298">
        <f>IFERROR(__xludf.DUMMYFUNCTION("""COMPUTED_VALUE"""),1177.62)</f>
        <v>1177.62</v>
      </c>
      <c r="F92" s="298">
        <f>IFERROR(__xludf.DUMMYFUNCTION("""COMPUTED_VALUE"""),0.0)</f>
        <v>0</v>
      </c>
      <c r="G92" s="298">
        <f>IFERROR(__xludf.DUMMYFUNCTION("""COMPUTED_VALUE"""),0.0)</f>
        <v>0</v>
      </c>
      <c r="H92" s="223">
        <f>IFERROR(__xludf.DUMMYFUNCTION("""COMPUTED_VALUE"""),1177.62)</f>
        <v>1177.62</v>
      </c>
      <c r="I92" s="298"/>
      <c r="J92" s="223" t="str">
        <f>IFERROR(__xludf.DUMMYFUNCTION("""COMPUTED_VALUE"""),"50% Deposit")</f>
        <v>50% Deposit</v>
      </c>
      <c r="K92" s="317">
        <f>IFERROR(__xludf.DUMMYFUNCTION("""COMPUTED_VALUE"""),2021.0)</f>
        <v>2021</v>
      </c>
      <c r="L92" s="298"/>
      <c r="M92" s="223"/>
      <c r="N92" s="223"/>
      <c r="O92" s="223"/>
      <c r="P92" s="223"/>
      <c r="Q92" s="223"/>
      <c r="R92" s="223"/>
      <c r="S92" s="223"/>
      <c r="T92" s="223"/>
      <c r="U92" s="223"/>
      <c r="V92" s="223"/>
      <c r="W92" s="223"/>
      <c r="X92" s="223"/>
      <c r="Y92" s="223"/>
      <c r="Z92" s="223"/>
    </row>
    <row r="93">
      <c r="A93" s="223" t="str">
        <f>IFERROR(__xludf.DUMMYFUNCTION("""COMPUTED_VALUE"""),"C360 : Grasshopper Farms Site Review")</f>
        <v>C360 : Grasshopper Farms Site Review</v>
      </c>
      <c r="B93" s="223" t="str">
        <f>IFERROR(__xludf.DUMMYFUNCTION("""COMPUTED_VALUE"""),"C360")</f>
        <v>C360</v>
      </c>
      <c r="C93" s="223" t="str">
        <f>IFERROR(__xludf.DUMMYFUNCTION("""COMPUTED_VALUE"""),"Grasshopper Farms Site Review")</f>
        <v>Grasshopper Farms Site Review</v>
      </c>
      <c r="D93" s="316">
        <f>IFERROR(__xludf.DUMMYFUNCTION("""COMPUTED_VALUE"""),44501.0)</f>
        <v>44501</v>
      </c>
      <c r="E93" s="298">
        <f>IFERROR(__xludf.DUMMYFUNCTION("""COMPUTED_VALUE"""),1177.62)</f>
        <v>1177.62</v>
      </c>
      <c r="F93" s="298">
        <f>IFERROR(__xludf.DUMMYFUNCTION("""COMPUTED_VALUE"""),0.0)</f>
        <v>0</v>
      </c>
      <c r="G93" s="298">
        <f>IFERROR(__xludf.DUMMYFUNCTION("""COMPUTED_VALUE"""),0.0)</f>
        <v>0</v>
      </c>
      <c r="H93" s="223">
        <f>IFERROR(__xludf.DUMMYFUNCTION("""COMPUTED_VALUE"""),1177.62)</f>
        <v>1177.62</v>
      </c>
      <c r="I93" s="298"/>
      <c r="J93" s="223" t="str">
        <f>IFERROR(__xludf.DUMMYFUNCTION("""COMPUTED_VALUE"""),"50% Deposit")</f>
        <v>50% Deposit</v>
      </c>
      <c r="K93" s="317">
        <f>IFERROR(__xludf.DUMMYFUNCTION("""COMPUTED_VALUE"""),2021.0)</f>
        <v>2021</v>
      </c>
      <c r="L93" s="298"/>
      <c r="M93" s="223"/>
      <c r="N93" s="223"/>
      <c r="O93" s="223"/>
      <c r="P93" s="223"/>
      <c r="Q93" s="223"/>
      <c r="R93" s="223"/>
      <c r="S93" s="223"/>
      <c r="T93" s="223"/>
      <c r="U93" s="223"/>
      <c r="V93" s="223"/>
      <c r="W93" s="223"/>
      <c r="X93" s="223"/>
      <c r="Y93" s="223"/>
      <c r="Z93" s="223"/>
    </row>
    <row r="94">
      <c r="A94" s="223" t="str">
        <f>IFERROR(__xludf.DUMMYFUNCTION("""COMPUTED_VALUE"""),"OA Region 6 : Monthly Services")</f>
        <v>OA Region 6 : Monthly Services</v>
      </c>
      <c r="B94" s="223" t="str">
        <f>IFERROR(__xludf.DUMMYFUNCTION("""COMPUTED_VALUE"""),"OA Region 6")</f>
        <v>OA Region 6</v>
      </c>
      <c r="C94" s="223" t="str">
        <f>IFERROR(__xludf.DUMMYFUNCTION("""COMPUTED_VALUE"""),"Monthly Services")</f>
        <v>Monthly Services</v>
      </c>
      <c r="D94" s="316">
        <f>IFERROR(__xludf.DUMMYFUNCTION("""COMPUTED_VALUE"""),44501.0)</f>
        <v>44501</v>
      </c>
      <c r="E94" s="298">
        <f>IFERROR(__xludf.DUMMYFUNCTION("""COMPUTED_VALUE"""),620.0)</f>
        <v>620</v>
      </c>
      <c r="F94" s="298">
        <f>IFERROR(__xludf.DUMMYFUNCTION("""COMPUTED_VALUE"""),23.3)</f>
        <v>23.3</v>
      </c>
      <c r="G94" s="298">
        <f>IFERROR(__xludf.DUMMYFUNCTION("""COMPUTED_VALUE"""),0.0)</f>
        <v>0</v>
      </c>
      <c r="H94" s="223">
        <f>IFERROR(__xludf.DUMMYFUNCTION("""COMPUTED_VALUE"""),596.7)</f>
        <v>596.7</v>
      </c>
      <c r="I94" s="298"/>
      <c r="J94" s="223" t="str">
        <f>IFERROR(__xludf.DUMMYFUNCTION("""COMPUTED_VALUE"""),"Monthly")</f>
        <v>Monthly</v>
      </c>
      <c r="K94" s="317">
        <f>IFERROR(__xludf.DUMMYFUNCTION("""COMPUTED_VALUE"""),2021.11)</f>
        <v>2021.11</v>
      </c>
      <c r="L94" s="298"/>
      <c r="M94" s="223"/>
      <c r="N94" s="223"/>
      <c r="O94" s="223"/>
      <c r="P94" s="223"/>
      <c r="Q94" s="223"/>
      <c r="R94" s="223"/>
      <c r="S94" s="223"/>
      <c r="T94" s="223"/>
      <c r="U94" s="223"/>
      <c r="V94" s="223"/>
      <c r="W94" s="223"/>
      <c r="X94" s="223"/>
      <c r="Y94" s="223"/>
      <c r="Z94" s="223"/>
    </row>
    <row r="95">
      <c r="A95" s="223" t="str">
        <f>IFERROR(__xludf.DUMMYFUNCTION("""COMPUTED_VALUE"""),"Booginhead : Monthly Services")</f>
        <v>Booginhead : Monthly Services</v>
      </c>
      <c r="B95" s="223" t="str">
        <f>IFERROR(__xludf.DUMMYFUNCTION("""COMPUTED_VALUE"""),"Booginhead")</f>
        <v>Booginhead</v>
      </c>
      <c r="C95" s="223" t="str">
        <f>IFERROR(__xludf.DUMMYFUNCTION("""COMPUTED_VALUE"""),"Monthly Services")</f>
        <v>Monthly Services</v>
      </c>
      <c r="D95" s="316">
        <f>IFERROR(__xludf.DUMMYFUNCTION("""COMPUTED_VALUE"""),44501.0)</f>
        <v>44501</v>
      </c>
      <c r="E95" s="298">
        <f>IFERROR(__xludf.DUMMYFUNCTION("""COMPUTED_VALUE"""),1581.0)</f>
        <v>1581</v>
      </c>
      <c r="F95" s="298">
        <f>IFERROR(__xludf.DUMMYFUNCTION("""COMPUTED_VALUE"""),58.86)</f>
        <v>58.86</v>
      </c>
      <c r="G95" s="298">
        <f>IFERROR(__xludf.DUMMYFUNCTION("""COMPUTED_VALUE"""),304.42800000000005)</f>
        <v>304.428</v>
      </c>
      <c r="H95" s="223">
        <f>IFERROR(__xludf.DUMMYFUNCTION("""COMPUTED_VALUE"""),1217.712)</f>
        <v>1217.712</v>
      </c>
      <c r="I95" s="298"/>
      <c r="J95" s="223" t="str">
        <f>IFERROR(__xludf.DUMMYFUNCTION("""COMPUTED_VALUE"""),"Monthly")</f>
        <v>Monthly</v>
      </c>
      <c r="K95" s="317">
        <f>IFERROR(__xludf.DUMMYFUNCTION("""COMPUTED_VALUE"""),2021.11)</f>
        <v>2021.11</v>
      </c>
      <c r="L95" s="298"/>
      <c r="M95" s="223"/>
      <c r="N95" s="223"/>
      <c r="O95" s="223"/>
      <c r="P95" s="223"/>
      <c r="Q95" s="223"/>
      <c r="R95" s="223"/>
      <c r="S95" s="223"/>
      <c r="T95" s="223"/>
      <c r="U95" s="223"/>
      <c r="V95" s="223"/>
      <c r="W95" s="223"/>
      <c r="X95" s="223"/>
      <c r="Y95" s="223"/>
      <c r="Z95" s="223"/>
    </row>
    <row r="96">
      <c r="A96" s="223" t="str">
        <f>IFERROR(__xludf.DUMMYFUNCTION("""COMPUTED_VALUE"""),"OA Region 6 : Website")</f>
        <v>OA Region 6 : Website</v>
      </c>
      <c r="B96" s="223" t="str">
        <f>IFERROR(__xludf.DUMMYFUNCTION("""COMPUTED_VALUE"""),"OA Region 6")</f>
        <v>OA Region 6</v>
      </c>
      <c r="C96" s="223" t="str">
        <f>IFERROR(__xludf.DUMMYFUNCTION("""COMPUTED_VALUE"""),"Website")</f>
        <v>Website</v>
      </c>
      <c r="D96" s="316">
        <f>IFERROR(__xludf.DUMMYFUNCTION("""COMPUTED_VALUE"""),44501.0)</f>
        <v>44501</v>
      </c>
      <c r="E96" s="298">
        <f>IFERROR(__xludf.DUMMYFUNCTION("""COMPUTED_VALUE"""),1226.0)</f>
        <v>1226</v>
      </c>
      <c r="F96" s="298">
        <f>IFERROR(__xludf.DUMMYFUNCTION("""COMPUTED_VALUE"""),45.75)</f>
        <v>45.75</v>
      </c>
      <c r="G96" s="298">
        <f>IFERROR(__xludf.DUMMYFUNCTION("""COMPUTED_VALUE"""),0.0)</f>
        <v>0</v>
      </c>
      <c r="H96" s="223">
        <f>IFERROR(__xludf.DUMMYFUNCTION("""COMPUTED_VALUE"""),1180.25)</f>
        <v>1180.25</v>
      </c>
      <c r="I96" s="298"/>
      <c r="J96" s="223" t="str">
        <f>IFERROR(__xludf.DUMMYFUNCTION("""COMPUTED_VALUE"""),"50% Deposit")</f>
        <v>50% Deposit</v>
      </c>
      <c r="K96" s="317">
        <f>IFERROR(__xludf.DUMMYFUNCTION("""COMPUTED_VALUE"""),2021.0)</f>
        <v>2021</v>
      </c>
      <c r="L96" s="298"/>
      <c r="M96" s="223"/>
      <c r="N96" s="223"/>
      <c r="O96" s="223"/>
      <c r="P96" s="223"/>
      <c r="Q96" s="223"/>
      <c r="R96" s="223"/>
      <c r="S96" s="223"/>
      <c r="T96" s="223"/>
      <c r="U96" s="223"/>
      <c r="V96" s="223"/>
      <c r="W96" s="223"/>
      <c r="X96" s="223"/>
      <c r="Y96" s="223"/>
      <c r="Z96" s="223"/>
    </row>
    <row r="97">
      <c r="A97" s="223" t="str">
        <f>IFERROR(__xludf.DUMMYFUNCTION("""COMPUTED_VALUE"""),"Tires Easy : Monthly Services for Tires-Easy.com")</f>
        <v>Tires Easy : Monthly Services for Tires-Easy.com</v>
      </c>
      <c r="B97" s="223" t="str">
        <f>IFERROR(__xludf.DUMMYFUNCTION("""COMPUTED_VALUE"""),"Tires Easy")</f>
        <v>Tires Easy</v>
      </c>
      <c r="C97" s="223" t="str">
        <f>IFERROR(__xludf.DUMMYFUNCTION("""COMPUTED_VALUE"""),"Monthly Services for Tires-Easy.com")</f>
        <v>Monthly Services for Tires-Easy.com</v>
      </c>
      <c r="D97" s="316">
        <f>IFERROR(__xludf.DUMMYFUNCTION("""COMPUTED_VALUE"""),44501.0)</f>
        <v>44501</v>
      </c>
      <c r="E97" s="298">
        <f>IFERROR(__xludf.DUMMYFUNCTION("""COMPUTED_VALUE"""),864.0)</f>
        <v>864</v>
      </c>
      <c r="F97" s="298">
        <f>IFERROR(__xludf.DUMMYFUNCTION("""COMPUTED_VALUE"""),32.34)</f>
        <v>32.34</v>
      </c>
      <c r="G97" s="298">
        <f>IFERROR(__xludf.DUMMYFUNCTION("""COMPUTED_VALUE"""),0.0)</f>
        <v>0</v>
      </c>
      <c r="H97" s="223">
        <f>IFERROR(__xludf.DUMMYFUNCTION("""COMPUTED_VALUE"""),831.66)</f>
        <v>831.66</v>
      </c>
      <c r="I97" s="298"/>
      <c r="J97" s="223" t="str">
        <f>IFERROR(__xludf.DUMMYFUNCTION("""COMPUTED_VALUE"""),"Monthly")</f>
        <v>Monthly</v>
      </c>
      <c r="K97" s="317">
        <f>IFERROR(__xludf.DUMMYFUNCTION("""COMPUTED_VALUE"""),2021.11)</f>
        <v>2021.11</v>
      </c>
      <c r="L97" s="298"/>
      <c r="M97" s="223"/>
      <c r="N97" s="223"/>
      <c r="O97" s="223"/>
      <c r="P97" s="223"/>
      <c r="Q97" s="223"/>
      <c r="R97" s="223"/>
      <c r="S97" s="223"/>
      <c r="T97" s="223"/>
      <c r="U97" s="223"/>
      <c r="V97" s="223"/>
      <c r="W97" s="223"/>
      <c r="X97" s="223"/>
      <c r="Y97" s="223"/>
      <c r="Z97" s="223"/>
    </row>
    <row r="98">
      <c r="A98" s="223" t="str">
        <f>IFERROR(__xludf.DUMMYFUNCTION("""COMPUTED_VALUE"""),"Tuscany : Monthly Services")</f>
        <v>Tuscany : Monthly Services</v>
      </c>
      <c r="B98" s="223" t="str">
        <f>IFERROR(__xludf.DUMMYFUNCTION("""COMPUTED_VALUE"""),"Tuscany")</f>
        <v>Tuscany</v>
      </c>
      <c r="C98" s="223" t="str">
        <f>IFERROR(__xludf.DUMMYFUNCTION("""COMPUTED_VALUE"""),"Monthly Services")</f>
        <v>Monthly Services</v>
      </c>
      <c r="D98" s="316">
        <f>IFERROR(__xludf.DUMMYFUNCTION("""COMPUTED_VALUE"""),44501.0)</f>
        <v>44501</v>
      </c>
      <c r="E98" s="298">
        <f>IFERROR(__xludf.DUMMYFUNCTION("""COMPUTED_VALUE"""),2451.025)</f>
        <v>2451.025</v>
      </c>
      <c r="F98" s="298">
        <f>IFERROR(__xludf.DUMMYFUNCTION("""COMPUTED_VALUE"""),0.0)</f>
        <v>0</v>
      </c>
      <c r="G98" s="298">
        <f>IFERROR(__xludf.DUMMYFUNCTION("""COMPUTED_VALUE"""),0.0)</f>
        <v>0</v>
      </c>
      <c r="H98" s="223">
        <f>IFERROR(__xludf.DUMMYFUNCTION("""COMPUTED_VALUE"""),2451.025)</f>
        <v>2451.025</v>
      </c>
      <c r="I98" s="298"/>
      <c r="J98" s="223" t="str">
        <f>IFERROR(__xludf.DUMMYFUNCTION("""COMPUTED_VALUE"""),"Monthly")</f>
        <v>Monthly</v>
      </c>
      <c r="K98" s="317">
        <f>IFERROR(__xludf.DUMMYFUNCTION("""COMPUTED_VALUE"""),2021.11)</f>
        <v>2021.11</v>
      </c>
      <c r="L98" s="298"/>
      <c r="M98" s="223"/>
      <c r="N98" s="223"/>
      <c r="O98" s="223"/>
      <c r="P98" s="223"/>
      <c r="Q98" s="223"/>
      <c r="R98" s="223"/>
      <c r="S98" s="223"/>
      <c r="T98" s="223"/>
      <c r="U98" s="223"/>
      <c r="V98" s="223"/>
      <c r="W98" s="223"/>
      <c r="X98" s="223"/>
      <c r="Y98" s="223"/>
      <c r="Z98" s="223"/>
    </row>
    <row r="99">
      <c r="A99" s="223" t="str">
        <f>IFERROR(__xludf.DUMMYFUNCTION("""COMPUTED_VALUE"""),"Venetian : Monthly Services")</f>
        <v>Venetian : Monthly Services</v>
      </c>
      <c r="B99" s="223" t="str">
        <f>IFERROR(__xludf.DUMMYFUNCTION("""COMPUTED_VALUE"""),"Venetian")</f>
        <v>Venetian</v>
      </c>
      <c r="C99" s="223" t="str">
        <f>IFERROR(__xludf.DUMMYFUNCTION("""COMPUTED_VALUE"""),"Monthly Services")</f>
        <v>Monthly Services</v>
      </c>
      <c r="D99" s="316">
        <f>IFERROR(__xludf.DUMMYFUNCTION("""COMPUTED_VALUE"""),44501.0)</f>
        <v>44501</v>
      </c>
      <c r="E99" s="298">
        <f>IFERROR(__xludf.DUMMYFUNCTION("""COMPUTED_VALUE"""),2451.025)</f>
        <v>2451.025</v>
      </c>
      <c r="F99" s="298">
        <f>IFERROR(__xludf.DUMMYFUNCTION("""COMPUTED_VALUE"""),0.0)</f>
        <v>0</v>
      </c>
      <c r="G99" s="298">
        <f>IFERROR(__xludf.DUMMYFUNCTION("""COMPUTED_VALUE"""),0.0)</f>
        <v>0</v>
      </c>
      <c r="H99" s="223">
        <f>IFERROR(__xludf.DUMMYFUNCTION("""COMPUTED_VALUE"""),2451.025)</f>
        <v>2451.025</v>
      </c>
      <c r="I99" s="298"/>
      <c r="J99" s="223" t="str">
        <f>IFERROR(__xludf.DUMMYFUNCTION("""COMPUTED_VALUE"""),"Monthly")</f>
        <v>Monthly</v>
      </c>
      <c r="K99" s="317">
        <f>IFERROR(__xludf.DUMMYFUNCTION("""COMPUTED_VALUE"""),2021.11)</f>
        <v>2021.11</v>
      </c>
      <c r="L99" s="298"/>
      <c r="M99" s="223"/>
      <c r="N99" s="223"/>
      <c r="O99" s="223"/>
      <c r="P99" s="223"/>
      <c r="Q99" s="223"/>
      <c r="R99" s="223"/>
      <c r="S99" s="223"/>
      <c r="T99" s="223"/>
      <c r="U99" s="223"/>
      <c r="V99" s="223"/>
      <c r="W99" s="223"/>
      <c r="X99" s="223"/>
      <c r="Y99" s="223"/>
      <c r="Z99" s="223"/>
    </row>
    <row r="100">
      <c r="A100" s="223" t="str">
        <f>IFERROR(__xludf.DUMMYFUNCTION("""COMPUTED_VALUE"""),"Olivia Shoppe : Monthly Services")</f>
        <v>Olivia Shoppe : Monthly Services</v>
      </c>
      <c r="B100" s="223" t="str">
        <f>IFERROR(__xludf.DUMMYFUNCTION("""COMPUTED_VALUE"""),"Olivia Shoppe")</f>
        <v>Olivia Shoppe</v>
      </c>
      <c r="C100" s="223" t="str">
        <f>IFERROR(__xludf.DUMMYFUNCTION("""COMPUTED_VALUE"""),"Monthly Services")</f>
        <v>Monthly Services</v>
      </c>
      <c r="D100" s="316">
        <f>IFERROR(__xludf.DUMMYFUNCTION("""COMPUTED_VALUE"""),44501.0)</f>
        <v>44501</v>
      </c>
      <c r="E100" s="298">
        <f>IFERROR(__xludf.DUMMYFUNCTION("""COMPUTED_VALUE"""),798.5912999999999)</f>
        <v>798.5913</v>
      </c>
      <c r="F100" s="298">
        <f>IFERROR(__xludf.DUMMYFUNCTION("""COMPUTED_VALUE"""),29.9164587)</f>
        <v>29.9164587</v>
      </c>
      <c r="G100" s="298">
        <f>IFERROR(__xludf.DUMMYFUNCTION("""COMPUTED_VALUE"""),0.0)</f>
        <v>0</v>
      </c>
      <c r="H100" s="223">
        <f>IFERROR(__xludf.DUMMYFUNCTION("""COMPUTED_VALUE"""),768.6748412999999)</f>
        <v>768.6748413</v>
      </c>
      <c r="I100" s="298"/>
      <c r="J100" s="223" t="str">
        <f>IFERROR(__xludf.DUMMYFUNCTION("""COMPUTED_VALUE"""),"Monthly")</f>
        <v>Monthly</v>
      </c>
      <c r="K100" s="317">
        <f>IFERROR(__xludf.DUMMYFUNCTION("""COMPUTED_VALUE"""),2021.11)</f>
        <v>2021.11</v>
      </c>
      <c r="L100" s="298"/>
      <c r="M100" s="223"/>
      <c r="N100" s="223"/>
      <c r="O100" s="223"/>
      <c r="P100" s="223"/>
      <c r="Q100" s="223"/>
      <c r="R100" s="223"/>
      <c r="S100" s="223"/>
      <c r="T100" s="223"/>
      <c r="U100" s="223"/>
      <c r="V100" s="223"/>
      <c r="W100" s="223"/>
      <c r="X100" s="223"/>
      <c r="Y100" s="223"/>
      <c r="Z100" s="223"/>
    </row>
    <row r="101">
      <c r="A101" s="223" t="str">
        <f>IFERROR(__xludf.DUMMYFUNCTION("""COMPUTED_VALUE"""),"Community Financials : Monthly Services")</f>
        <v>Community Financials : Monthly Services</v>
      </c>
      <c r="B101" s="223" t="str">
        <f>IFERROR(__xludf.DUMMYFUNCTION("""COMPUTED_VALUE"""),"Community Financials")</f>
        <v>Community Financials</v>
      </c>
      <c r="C101" s="223" t="str">
        <f>IFERROR(__xludf.DUMMYFUNCTION("""COMPUTED_VALUE"""),"Monthly Services")</f>
        <v>Monthly Services</v>
      </c>
      <c r="D101" s="316">
        <f>IFERROR(__xludf.DUMMYFUNCTION("""COMPUTED_VALUE"""),44501.0)</f>
        <v>44501</v>
      </c>
      <c r="E101" s="298">
        <f>IFERROR(__xludf.DUMMYFUNCTION("""COMPUTED_VALUE"""),1817.586)</f>
        <v>1817.586</v>
      </c>
      <c r="F101" s="298">
        <f>IFERROR(__xludf.DUMMYFUNCTION("""COMPUTED_VALUE"""),67.6141992)</f>
        <v>67.6141992</v>
      </c>
      <c r="G101" s="298">
        <f>IFERROR(__xludf.DUMMYFUNCTION("""COMPUTED_VALUE"""),349.99436016000004)</f>
        <v>349.9943602</v>
      </c>
      <c r="H101" s="223">
        <f>IFERROR(__xludf.DUMMYFUNCTION("""COMPUTED_VALUE"""),1399.97744064)</f>
        <v>1399.977441</v>
      </c>
      <c r="I101" s="298"/>
      <c r="J101" s="223" t="str">
        <f>IFERROR(__xludf.DUMMYFUNCTION("""COMPUTED_VALUE"""),"Monthly")</f>
        <v>Monthly</v>
      </c>
      <c r="K101" s="317">
        <f>IFERROR(__xludf.DUMMYFUNCTION("""COMPUTED_VALUE"""),2021.11)</f>
        <v>2021.11</v>
      </c>
      <c r="L101" s="298"/>
      <c r="M101" s="223"/>
      <c r="N101" s="223"/>
      <c r="O101" s="223"/>
      <c r="P101" s="223"/>
      <c r="Q101" s="223"/>
      <c r="R101" s="223"/>
      <c r="S101" s="223"/>
      <c r="T101" s="223"/>
      <c r="U101" s="223"/>
      <c r="V101" s="223"/>
      <c r="W101" s="223"/>
      <c r="X101" s="223"/>
      <c r="Y101" s="223"/>
      <c r="Z101" s="223"/>
    </row>
    <row r="102">
      <c r="A102" s="223" t="str">
        <f>IFERROR(__xludf.DUMMYFUNCTION("""COMPUTED_VALUE"""),"TisBest : Monthly Services")</f>
        <v>TisBest : Monthly Services</v>
      </c>
      <c r="B102" s="223" t="str">
        <f>IFERROR(__xludf.DUMMYFUNCTION("""COMPUTED_VALUE"""),"TisBest")</f>
        <v>TisBest</v>
      </c>
      <c r="C102" s="223" t="str">
        <f>IFERROR(__xludf.DUMMYFUNCTION("""COMPUTED_VALUE"""),"Monthly Services")</f>
        <v>Monthly Services</v>
      </c>
      <c r="D102" s="316">
        <f>IFERROR(__xludf.DUMMYFUNCTION("""COMPUTED_VALUE"""),44501.0)</f>
        <v>44501</v>
      </c>
      <c r="E102" s="298">
        <f>IFERROR(__xludf.DUMMYFUNCTION("""COMPUTED_VALUE"""),6764.25)</f>
        <v>6764.25</v>
      </c>
      <c r="F102" s="298">
        <f>IFERROR(__xludf.DUMMYFUNCTION("""COMPUTED_VALUE"""),250.65)</f>
        <v>250.65</v>
      </c>
      <c r="G102" s="298">
        <f>IFERROR(__xludf.DUMMYFUNCTION("""COMPUTED_VALUE"""),1302.7200000000003)</f>
        <v>1302.72</v>
      </c>
      <c r="H102" s="223">
        <f>IFERROR(__xludf.DUMMYFUNCTION("""COMPUTED_VALUE"""),5210.88)</f>
        <v>5210.88</v>
      </c>
      <c r="I102" s="298"/>
      <c r="J102" s="223" t="str">
        <f>IFERROR(__xludf.DUMMYFUNCTION("""COMPUTED_VALUE"""),"Monthly")</f>
        <v>Monthly</v>
      </c>
      <c r="K102" s="317">
        <f>IFERROR(__xludf.DUMMYFUNCTION("""COMPUTED_VALUE"""),2021.11)</f>
        <v>2021.11</v>
      </c>
      <c r="L102" s="298"/>
      <c r="M102" s="223"/>
      <c r="N102" s="223"/>
      <c r="O102" s="223"/>
      <c r="P102" s="223"/>
      <c r="Q102" s="223"/>
      <c r="R102" s="223"/>
      <c r="S102" s="223"/>
      <c r="T102" s="223"/>
      <c r="U102" s="223"/>
      <c r="V102" s="223"/>
      <c r="W102" s="223"/>
      <c r="X102" s="223"/>
      <c r="Y102" s="223"/>
      <c r="Z102" s="223"/>
    </row>
    <row r="103">
      <c r="A103" s="223" t="str">
        <f>IFERROR(__xludf.DUMMYFUNCTION("""COMPUTED_VALUE"""),"Rama Meditation Society : Premium Hosting + Support")</f>
        <v>Rama Meditation Society : Premium Hosting + Support</v>
      </c>
      <c r="B103" s="223" t="str">
        <f>IFERROR(__xludf.DUMMYFUNCTION("""COMPUTED_VALUE"""),"Rama Meditation Society")</f>
        <v>Rama Meditation Society</v>
      </c>
      <c r="C103" s="223" t="str">
        <f>IFERROR(__xludf.DUMMYFUNCTION("""COMPUTED_VALUE"""),"Premium Hosting + Support")</f>
        <v>Premium Hosting + Support</v>
      </c>
      <c r="D103" s="316">
        <f>IFERROR(__xludf.DUMMYFUNCTION("""COMPUTED_VALUE"""),44501.0)</f>
        <v>44501</v>
      </c>
      <c r="E103" s="298">
        <f>IFERROR(__xludf.DUMMYFUNCTION("""COMPUTED_VALUE"""),370.06)</f>
        <v>370.06</v>
      </c>
      <c r="F103" s="298">
        <f>IFERROR(__xludf.DUMMYFUNCTION("""COMPUTED_VALUE"""),14.06)</f>
        <v>14.06</v>
      </c>
      <c r="G103" s="298">
        <f>IFERROR(__xludf.DUMMYFUNCTION("""COMPUTED_VALUE"""),0.0)</f>
        <v>0</v>
      </c>
      <c r="H103" s="223">
        <f>IFERROR(__xludf.DUMMYFUNCTION("""COMPUTED_VALUE"""),356.0)</f>
        <v>356</v>
      </c>
      <c r="I103" s="298"/>
      <c r="J103" s="223" t="str">
        <f>IFERROR(__xludf.DUMMYFUNCTION("""COMPUTED_VALUE"""),"Prepaid")</f>
        <v>Prepaid</v>
      </c>
      <c r="K103" s="317">
        <f>IFERROR(__xludf.DUMMYFUNCTION("""COMPUTED_VALUE"""),2021.0)</f>
        <v>2021</v>
      </c>
      <c r="L103" s="298"/>
      <c r="M103" s="223"/>
      <c r="N103" s="223"/>
      <c r="O103" s="223"/>
      <c r="P103" s="223"/>
      <c r="Q103" s="223"/>
      <c r="R103" s="223"/>
      <c r="S103" s="223"/>
      <c r="T103" s="223"/>
      <c r="U103" s="223"/>
      <c r="V103" s="223"/>
      <c r="W103" s="223"/>
      <c r="X103" s="223"/>
      <c r="Y103" s="223"/>
      <c r="Z103" s="223"/>
    </row>
    <row r="104">
      <c r="A104" s="223" t="str">
        <f>IFERROR(__xludf.DUMMYFUNCTION("""COMPUTED_VALUE"""),"Frank &amp; Ellis : Online Presence Review + PPC Setup")</f>
        <v>Frank &amp; Ellis : Online Presence Review + PPC Setup</v>
      </c>
      <c r="B104" s="223" t="str">
        <f>IFERROR(__xludf.DUMMYFUNCTION("""COMPUTED_VALUE"""),"Frank &amp; Ellis")</f>
        <v>Frank &amp; Ellis</v>
      </c>
      <c r="C104" s="223" t="str">
        <f>IFERROR(__xludf.DUMMYFUNCTION("""COMPUTED_VALUE"""),"Online Presence Review + PPC Setup")</f>
        <v>Online Presence Review + PPC Setup</v>
      </c>
      <c r="D104" s="316">
        <f>IFERROR(__xludf.DUMMYFUNCTION("""COMPUTED_VALUE"""),44531.0)</f>
        <v>44531</v>
      </c>
      <c r="E104" s="298">
        <f>IFERROR(__xludf.DUMMYFUNCTION("""COMPUTED_VALUE"""),1284.0)</f>
        <v>1284</v>
      </c>
      <c r="F104" s="298">
        <f>IFERROR(__xludf.DUMMYFUNCTION("""COMPUTED_VALUE"""),47.87)</f>
        <v>47.87</v>
      </c>
      <c r="G104" s="298">
        <f>IFERROR(__xludf.DUMMYFUNCTION("""COMPUTED_VALUE"""),0.0)</f>
        <v>0</v>
      </c>
      <c r="H104" s="223">
        <f>IFERROR(__xludf.DUMMYFUNCTION("""COMPUTED_VALUE"""),1236.13)</f>
        <v>1236.13</v>
      </c>
      <c r="I104" s="298"/>
      <c r="J104" s="223" t="str">
        <f>IFERROR(__xludf.DUMMYFUNCTION("""COMPUTED_VALUE"""),"50% Deposit")</f>
        <v>50% Deposit</v>
      </c>
      <c r="K104" s="317">
        <f>IFERROR(__xludf.DUMMYFUNCTION("""COMPUTED_VALUE"""),2021.0)</f>
        <v>2021</v>
      </c>
      <c r="L104" s="298"/>
      <c r="M104" s="223"/>
      <c r="N104" s="223"/>
      <c r="O104" s="223"/>
      <c r="P104" s="223"/>
      <c r="Q104" s="223"/>
      <c r="R104" s="223"/>
      <c r="S104" s="223"/>
      <c r="T104" s="223"/>
      <c r="U104" s="223"/>
      <c r="V104" s="223"/>
      <c r="W104" s="223"/>
      <c r="X104" s="223"/>
      <c r="Y104" s="223"/>
      <c r="Z104" s="223"/>
    </row>
    <row r="105">
      <c r="A105" s="223" t="str">
        <f>IFERROR(__xludf.DUMMYFUNCTION("""COMPUTED_VALUE"""),"Advisicon : Premium Hosting")</f>
        <v>Advisicon : Premium Hosting</v>
      </c>
      <c r="B105" s="223" t="str">
        <f>IFERROR(__xludf.DUMMYFUNCTION("""COMPUTED_VALUE"""),"Advisicon")</f>
        <v>Advisicon</v>
      </c>
      <c r="C105" s="223" t="str">
        <f>IFERROR(__xludf.DUMMYFUNCTION("""COMPUTED_VALUE"""),"Premium Hosting")</f>
        <v>Premium Hosting</v>
      </c>
      <c r="D105" s="316">
        <f>IFERROR(__xludf.DUMMYFUNCTION("""COMPUTED_VALUE"""),44545.0)</f>
        <v>44545</v>
      </c>
      <c r="E105" s="298">
        <f>IFERROR(__xludf.DUMMYFUNCTION("""COMPUTED_VALUE"""),147.43224)</f>
        <v>147.43224</v>
      </c>
      <c r="F105" s="298">
        <f>IFERROR(__xludf.DUMMYFUNCTION("""COMPUTED_VALUE"""),5.82357348)</f>
        <v>5.82357348</v>
      </c>
      <c r="G105" s="298">
        <f>IFERROR(__xludf.DUMMYFUNCTION("""COMPUTED_VALUE"""),0.0)</f>
        <v>0</v>
      </c>
      <c r="H105" s="223">
        <f>IFERROR(__xludf.DUMMYFUNCTION("""COMPUTED_VALUE"""),141.60866652)</f>
        <v>141.6086665</v>
      </c>
      <c r="I105" s="298"/>
      <c r="J105" s="223" t="str">
        <f>IFERROR(__xludf.DUMMYFUNCTION("""COMPUTED_VALUE"""),"Yearly (Advance)")</f>
        <v>Yearly (Advance)</v>
      </c>
      <c r="K105" s="317">
        <f>IFERROR(__xludf.DUMMYFUNCTION("""COMPUTED_VALUE"""),2021.0)</f>
        <v>2021</v>
      </c>
      <c r="L105" s="298"/>
      <c r="M105" s="223"/>
      <c r="N105" s="223"/>
      <c r="O105" s="223"/>
      <c r="P105" s="223"/>
      <c r="Q105" s="223"/>
      <c r="R105" s="223"/>
      <c r="S105" s="223"/>
      <c r="T105" s="223"/>
      <c r="U105" s="223"/>
      <c r="V105" s="223"/>
      <c r="W105" s="223"/>
      <c r="X105" s="223"/>
      <c r="Y105" s="223"/>
      <c r="Z105" s="223"/>
    </row>
    <row r="106">
      <c r="A106" s="223" t="str">
        <f>IFERROR(__xludf.DUMMYFUNCTION("""COMPUTED_VALUE"""),"Technology Rivers : Monthly Services")</f>
        <v>Technology Rivers : Monthly Services</v>
      </c>
      <c r="B106" s="223" t="str">
        <f>IFERROR(__xludf.DUMMYFUNCTION("""COMPUTED_VALUE"""),"Technology Rivers")</f>
        <v>Technology Rivers</v>
      </c>
      <c r="C106" s="223" t="str">
        <f>IFERROR(__xludf.DUMMYFUNCTION("""COMPUTED_VALUE"""),"Monthly Services")</f>
        <v>Monthly Services</v>
      </c>
      <c r="D106" s="316">
        <f>IFERROR(__xludf.DUMMYFUNCTION("""COMPUTED_VALUE"""),44531.0)</f>
        <v>44531</v>
      </c>
      <c r="E106" s="298">
        <f>IFERROR(__xludf.DUMMYFUNCTION("""COMPUTED_VALUE"""),612.6034999999999)</f>
        <v>612.6035</v>
      </c>
      <c r="F106" s="298">
        <f>IFERROR(__xludf.DUMMYFUNCTION("""COMPUTED_VALUE"""),23.0338916)</f>
        <v>23.0338916</v>
      </c>
      <c r="G106" s="298">
        <f>IFERROR(__xludf.DUMMYFUNCTION("""COMPUTED_VALUE"""),117.91392168)</f>
        <v>117.9139217</v>
      </c>
      <c r="H106" s="223">
        <f>IFERROR(__xludf.DUMMYFUNCTION("""COMPUTED_VALUE"""),471.65568672)</f>
        <v>471.6556867</v>
      </c>
      <c r="I106" s="298"/>
      <c r="J106" s="223" t="str">
        <f>IFERROR(__xludf.DUMMYFUNCTION("""COMPUTED_VALUE"""),"Monthly")</f>
        <v>Monthly</v>
      </c>
      <c r="K106" s="317">
        <f>IFERROR(__xludf.DUMMYFUNCTION("""COMPUTED_VALUE"""),2021.12)</f>
        <v>2021.12</v>
      </c>
      <c r="L106" s="298"/>
      <c r="M106" s="223"/>
      <c r="N106" s="223"/>
      <c r="O106" s="223"/>
      <c r="P106" s="223"/>
      <c r="Q106" s="223"/>
      <c r="R106" s="223"/>
      <c r="S106" s="223"/>
      <c r="T106" s="223"/>
      <c r="U106" s="223"/>
      <c r="V106" s="223"/>
      <c r="W106" s="223"/>
      <c r="X106" s="223"/>
      <c r="Y106" s="223"/>
      <c r="Z106" s="223"/>
    </row>
    <row r="107">
      <c r="A107" s="223" t="str">
        <f>IFERROR(__xludf.DUMMYFUNCTION("""COMPUTED_VALUE"""),"C360 : C360 Site Review")</f>
        <v>C360 : C360 Site Review</v>
      </c>
      <c r="B107" s="223" t="str">
        <f>IFERROR(__xludf.DUMMYFUNCTION("""COMPUTED_VALUE"""),"C360")</f>
        <v>C360</v>
      </c>
      <c r="C107" s="223" t="str">
        <f>IFERROR(__xludf.DUMMYFUNCTION("""COMPUTED_VALUE"""),"C360 Site Review")</f>
        <v>C360 Site Review</v>
      </c>
      <c r="D107" s="316">
        <f>IFERROR(__xludf.DUMMYFUNCTION("""COMPUTED_VALUE"""),44531.0)</f>
        <v>44531</v>
      </c>
      <c r="E107" s="298">
        <f>IFERROR(__xludf.DUMMYFUNCTION("""COMPUTED_VALUE"""),1155.865)</f>
        <v>1155.865</v>
      </c>
      <c r="F107" s="298">
        <f>IFERROR(__xludf.DUMMYFUNCTION("""COMPUTED_VALUE"""),0.0)</f>
        <v>0</v>
      </c>
      <c r="G107" s="298">
        <f>IFERROR(__xludf.DUMMYFUNCTION("""COMPUTED_VALUE"""),0.0)</f>
        <v>0</v>
      </c>
      <c r="H107" s="223">
        <f>IFERROR(__xludf.DUMMYFUNCTION("""COMPUTED_VALUE"""),1155.865)</f>
        <v>1155.865</v>
      </c>
      <c r="I107" s="298"/>
      <c r="J107" s="223" t="str">
        <f>IFERROR(__xludf.DUMMYFUNCTION("""COMPUTED_VALUE"""),"50% Final Payment")</f>
        <v>50% Final Payment</v>
      </c>
      <c r="K107" s="317">
        <f>IFERROR(__xludf.DUMMYFUNCTION("""COMPUTED_VALUE"""),2021.0)</f>
        <v>2021</v>
      </c>
      <c r="L107" s="298"/>
      <c r="M107" s="223"/>
      <c r="N107" s="223"/>
      <c r="O107" s="223"/>
      <c r="P107" s="223"/>
      <c r="Q107" s="223"/>
      <c r="R107" s="223"/>
      <c r="S107" s="223"/>
      <c r="T107" s="223"/>
      <c r="U107" s="223"/>
      <c r="V107" s="223"/>
      <c r="W107" s="223"/>
      <c r="X107" s="223"/>
      <c r="Y107" s="223"/>
      <c r="Z107" s="223"/>
    </row>
    <row r="108">
      <c r="A108" s="223" t="str">
        <f>IFERROR(__xludf.DUMMYFUNCTION("""COMPUTED_VALUE"""),"C360 : Grasshopper Farms Site Review")</f>
        <v>C360 : Grasshopper Farms Site Review</v>
      </c>
      <c r="B108" s="223" t="str">
        <f>IFERROR(__xludf.DUMMYFUNCTION("""COMPUTED_VALUE"""),"C360")</f>
        <v>C360</v>
      </c>
      <c r="C108" s="223" t="str">
        <f>IFERROR(__xludf.DUMMYFUNCTION("""COMPUTED_VALUE"""),"Grasshopper Farms Site Review")</f>
        <v>Grasshopper Farms Site Review</v>
      </c>
      <c r="D108" s="316">
        <f>IFERROR(__xludf.DUMMYFUNCTION("""COMPUTED_VALUE"""),44531.0)</f>
        <v>44531</v>
      </c>
      <c r="E108" s="298">
        <f>IFERROR(__xludf.DUMMYFUNCTION("""COMPUTED_VALUE"""),1155.865)</f>
        <v>1155.865</v>
      </c>
      <c r="F108" s="298">
        <f>IFERROR(__xludf.DUMMYFUNCTION("""COMPUTED_VALUE"""),0.0)</f>
        <v>0</v>
      </c>
      <c r="G108" s="298">
        <f>IFERROR(__xludf.DUMMYFUNCTION("""COMPUTED_VALUE"""),0.0)</f>
        <v>0</v>
      </c>
      <c r="H108" s="223">
        <f>IFERROR(__xludf.DUMMYFUNCTION("""COMPUTED_VALUE"""),1155.865)</f>
        <v>1155.865</v>
      </c>
      <c r="I108" s="298"/>
      <c r="J108" s="223" t="str">
        <f>IFERROR(__xludf.DUMMYFUNCTION("""COMPUTED_VALUE"""),"50% Final Payment")</f>
        <v>50% Final Payment</v>
      </c>
      <c r="K108" s="317">
        <f>IFERROR(__xludf.DUMMYFUNCTION("""COMPUTED_VALUE"""),2021.0)</f>
        <v>2021</v>
      </c>
      <c r="L108" s="298"/>
      <c r="M108" s="223"/>
      <c r="N108" s="223"/>
      <c r="O108" s="223"/>
      <c r="P108" s="223"/>
      <c r="Q108" s="223"/>
      <c r="R108" s="223"/>
      <c r="S108" s="223"/>
      <c r="T108" s="223"/>
      <c r="U108" s="223"/>
      <c r="V108" s="223"/>
      <c r="W108" s="223"/>
      <c r="X108" s="223"/>
      <c r="Y108" s="223"/>
      <c r="Z108" s="223"/>
    </row>
    <row r="109">
      <c r="A109" s="223" t="str">
        <f>IFERROR(__xludf.DUMMYFUNCTION("""COMPUTED_VALUE"""),"OA Region 6 : Monthly Services")</f>
        <v>OA Region 6 : Monthly Services</v>
      </c>
      <c r="B109" s="223" t="str">
        <f>IFERROR(__xludf.DUMMYFUNCTION("""COMPUTED_VALUE"""),"OA Region 6")</f>
        <v>OA Region 6</v>
      </c>
      <c r="C109" s="223" t="str">
        <f>IFERROR(__xludf.DUMMYFUNCTION("""COMPUTED_VALUE"""),"Monthly Services")</f>
        <v>Monthly Services</v>
      </c>
      <c r="D109" s="316">
        <f>IFERROR(__xludf.DUMMYFUNCTION("""COMPUTED_VALUE"""),44531.0)</f>
        <v>44531</v>
      </c>
      <c r="E109" s="298">
        <f>IFERROR(__xludf.DUMMYFUNCTION("""COMPUTED_VALUE"""),615.5135)</f>
        <v>615.5135</v>
      </c>
      <c r="F109" s="298">
        <f>IFERROR(__xludf.DUMMYFUNCTION("""COMPUTED_VALUE"""),23.007894630000003)</f>
        <v>23.00789463</v>
      </c>
      <c r="G109" s="298">
        <f>IFERROR(__xludf.DUMMYFUNCTION("""COMPUTED_VALUE"""),0.0)</f>
        <v>0</v>
      </c>
      <c r="H109" s="223">
        <f>IFERROR(__xludf.DUMMYFUNCTION("""COMPUTED_VALUE"""),592.50560537)</f>
        <v>592.5056054</v>
      </c>
      <c r="I109" s="298"/>
      <c r="J109" s="223" t="str">
        <f>IFERROR(__xludf.DUMMYFUNCTION("""COMPUTED_VALUE"""),"Monthly")</f>
        <v>Monthly</v>
      </c>
      <c r="K109" s="317">
        <f>IFERROR(__xludf.DUMMYFUNCTION("""COMPUTED_VALUE"""),2021.12)</f>
        <v>2021.12</v>
      </c>
      <c r="L109" s="298"/>
      <c r="M109" s="223"/>
      <c r="N109" s="223"/>
      <c r="O109" s="223"/>
      <c r="P109" s="223"/>
      <c r="Q109" s="223"/>
      <c r="R109" s="223"/>
      <c r="S109" s="223"/>
      <c r="T109" s="223"/>
      <c r="U109" s="223"/>
      <c r="V109" s="223"/>
      <c r="W109" s="223"/>
      <c r="X109" s="223"/>
      <c r="Y109" s="223"/>
      <c r="Z109" s="223"/>
    </row>
    <row r="110">
      <c r="A110" s="223" t="str">
        <f>IFERROR(__xludf.DUMMYFUNCTION("""COMPUTED_VALUE"""),"Booginhead : Monthly Services")</f>
        <v>Booginhead : Monthly Services</v>
      </c>
      <c r="B110" s="223" t="str">
        <f>IFERROR(__xludf.DUMMYFUNCTION("""COMPUTED_VALUE"""),"Booginhead")</f>
        <v>Booginhead</v>
      </c>
      <c r="C110" s="223" t="str">
        <f>IFERROR(__xludf.DUMMYFUNCTION("""COMPUTED_VALUE"""),"Monthly Services")</f>
        <v>Monthly Services</v>
      </c>
      <c r="D110" s="316">
        <f>IFERROR(__xludf.DUMMYFUNCTION("""COMPUTED_VALUE"""),44531.0)</f>
        <v>44531</v>
      </c>
      <c r="E110" s="298">
        <f>IFERROR(__xludf.DUMMYFUNCTION("""COMPUTED_VALUE"""),1609.0)</f>
        <v>1609</v>
      </c>
      <c r="F110" s="298">
        <f>IFERROR(__xludf.DUMMYFUNCTION("""COMPUTED_VALUE"""),59.31)</f>
        <v>59.31</v>
      </c>
      <c r="G110" s="298">
        <f>IFERROR(__xludf.DUMMYFUNCTION("""COMPUTED_VALUE"""),309.93800000000005)</f>
        <v>309.938</v>
      </c>
      <c r="H110" s="223">
        <f>IFERROR(__xludf.DUMMYFUNCTION("""COMPUTED_VALUE"""),1239.752)</f>
        <v>1239.752</v>
      </c>
      <c r="I110" s="298"/>
      <c r="J110" s="223" t="str">
        <f>IFERROR(__xludf.DUMMYFUNCTION("""COMPUTED_VALUE"""),"Monthly")</f>
        <v>Monthly</v>
      </c>
      <c r="K110" s="317">
        <f>IFERROR(__xludf.DUMMYFUNCTION("""COMPUTED_VALUE"""),2021.12)</f>
        <v>2021.12</v>
      </c>
      <c r="L110" s="298"/>
      <c r="M110" s="223"/>
      <c r="N110" s="223"/>
      <c r="O110" s="223"/>
      <c r="P110" s="223"/>
      <c r="Q110" s="223"/>
      <c r="R110" s="223"/>
      <c r="S110" s="223"/>
      <c r="T110" s="223"/>
      <c r="U110" s="223"/>
      <c r="V110" s="223"/>
      <c r="W110" s="223"/>
      <c r="X110" s="223"/>
      <c r="Y110" s="223"/>
      <c r="Z110" s="223"/>
    </row>
    <row r="111">
      <c r="A111" s="223" t="str">
        <f>IFERROR(__xludf.DUMMYFUNCTION("""COMPUTED_VALUE"""),"Advisicon : Case Study Project")</f>
        <v>Advisicon : Case Study Project</v>
      </c>
      <c r="B111" s="223" t="str">
        <f>IFERROR(__xludf.DUMMYFUNCTION("""COMPUTED_VALUE"""),"Advisicon")</f>
        <v>Advisicon</v>
      </c>
      <c r="C111" s="223" t="str">
        <f>IFERROR(__xludf.DUMMYFUNCTION("""COMPUTED_VALUE"""),"Case Study Project")</f>
        <v>Case Study Project</v>
      </c>
      <c r="D111" s="316">
        <f>IFERROR(__xludf.DUMMYFUNCTION("""COMPUTED_VALUE"""),44547.0)</f>
        <v>44547</v>
      </c>
      <c r="E111" s="298">
        <f>IFERROR(__xludf.DUMMYFUNCTION("""COMPUTED_VALUE"""),1235.95848)</f>
        <v>1235.95848</v>
      </c>
      <c r="F111" s="298">
        <f>IFERROR(__xludf.DUMMYFUNCTION("""COMPUTED_VALUE"""),46.09398096)</f>
        <v>46.09398096</v>
      </c>
      <c r="G111" s="298">
        <f>IFERROR(__xludf.DUMMYFUNCTION("""COMPUTED_VALUE"""),0.0)</f>
        <v>0</v>
      </c>
      <c r="H111" s="223">
        <f>IFERROR(__xludf.DUMMYFUNCTION("""COMPUTED_VALUE"""),1189.86449904)</f>
        <v>1189.864499</v>
      </c>
      <c r="I111" s="298"/>
      <c r="J111" s="223" t="str">
        <f>IFERROR(__xludf.DUMMYFUNCTION("""COMPUTED_VALUE"""),"Full Amount")</f>
        <v>Full Amount</v>
      </c>
      <c r="K111" s="317">
        <f>IFERROR(__xludf.DUMMYFUNCTION("""COMPUTED_VALUE"""),2021.0)</f>
        <v>2021</v>
      </c>
      <c r="L111" s="298"/>
      <c r="M111" s="223"/>
      <c r="N111" s="223"/>
      <c r="O111" s="223"/>
      <c r="P111" s="223"/>
      <c r="Q111" s="223"/>
      <c r="R111" s="223"/>
      <c r="S111" s="223"/>
      <c r="T111" s="223"/>
      <c r="U111" s="223"/>
      <c r="V111" s="223"/>
      <c r="W111" s="223"/>
      <c r="X111" s="223"/>
      <c r="Y111" s="223"/>
      <c r="Z111" s="223"/>
    </row>
    <row r="112">
      <c r="A112" s="223" t="str">
        <f>IFERROR(__xludf.DUMMYFUNCTION("""COMPUTED_VALUE"""),"Shopify : Partner Payment")</f>
        <v>Shopify : Partner Payment</v>
      </c>
      <c r="B112" s="223" t="str">
        <f>IFERROR(__xludf.DUMMYFUNCTION("""COMPUTED_VALUE"""),"Shopify")</f>
        <v>Shopify</v>
      </c>
      <c r="C112" s="223" t="str">
        <f>IFERROR(__xludf.DUMMYFUNCTION("""COMPUTED_VALUE"""),"Partner Payment")</f>
        <v>Partner Payment</v>
      </c>
      <c r="D112" s="316">
        <f>IFERROR(__xludf.DUMMYFUNCTION("""COMPUTED_VALUE"""),44552.0)</f>
        <v>44552</v>
      </c>
      <c r="E112" s="298">
        <f>IFERROR(__xludf.DUMMYFUNCTION("""COMPUTED_VALUE"""),39.571732000000004)</f>
        <v>39.571732</v>
      </c>
      <c r="F112" s="298">
        <f>IFERROR(__xludf.DUMMYFUNCTION("""COMPUTED_VALUE"""),0.0)</f>
        <v>0</v>
      </c>
      <c r="G112" s="298">
        <f>IFERROR(__xludf.DUMMYFUNCTION("""COMPUTED_VALUE"""),0.0)</f>
        <v>0</v>
      </c>
      <c r="H112" s="223">
        <f>IFERROR(__xludf.DUMMYFUNCTION("""COMPUTED_VALUE"""),39.571732000000004)</f>
        <v>39.571732</v>
      </c>
      <c r="I112" s="298"/>
      <c r="J112" s="223" t="str">
        <f>IFERROR(__xludf.DUMMYFUNCTION("""COMPUTED_VALUE"""),"Monthly")</f>
        <v>Monthly</v>
      </c>
      <c r="K112" s="317">
        <f>IFERROR(__xludf.DUMMYFUNCTION("""COMPUTED_VALUE"""),2021.12)</f>
        <v>2021.12</v>
      </c>
      <c r="L112" s="298"/>
      <c r="M112" s="223"/>
      <c r="N112" s="223"/>
      <c r="O112" s="223"/>
      <c r="P112" s="223"/>
      <c r="Q112" s="223"/>
      <c r="R112" s="223"/>
      <c r="S112" s="223"/>
      <c r="T112" s="223"/>
      <c r="U112" s="223"/>
      <c r="V112" s="223"/>
      <c r="W112" s="223"/>
      <c r="X112" s="223"/>
      <c r="Y112" s="223"/>
      <c r="Z112" s="223"/>
    </row>
    <row r="113">
      <c r="A113" s="223" t="str">
        <f>IFERROR(__xludf.DUMMYFUNCTION("""COMPUTED_VALUE"""),"OA Region 6 : Website")</f>
        <v>OA Region 6 : Website</v>
      </c>
      <c r="B113" s="223" t="str">
        <f>IFERROR(__xludf.DUMMYFUNCTION("""COMPUTED_VALUE"""),"OA Region 6")</f>
        <v>OA Region 6</v>
      </c>
      <c r="C113" s="223" t="str">
        <f>IFERROR(__xludf.DUMMYFUNCTION("""COMPUTED_VALUE"""),"Website")</f>
        <v>Website</v>
      </c>
      <c r="D113" s="316">
        <f>IFERROR(__xludf.DUMMYFUNCTION("""COMPUTED_VALUE"""),44561.0)</f>
        <v>44561</v>
      </c>
      <c r="E113" s="298">
        <f>IFERROR(__xludf.DUMMYFUNCTION("""COMPUTED_VALUE"""),1227.632)</f>
        <v>1227.632</v>
      </c>
      <c r="F113" s="298">
        <f>IFERROR(__xludf.DUMMYFUNCTION("""COMPUTED_VALUE"""),45.7906736)</f>
        <v>45.7906736</v>
      </c>
      <c r="G113" s="298">
        <f>IFERROR(__xludf.DUMMYFUNCTION("""COMPUTED_VALUE"""),0.0)</f>
        <v>0</v>
      </c>
      <c r="H113" s="223">
        <f>IFERROR(__xludf.DUMMYFUNCTION("""COMPUTED_VALUE"""),1181.8413264)</f>
        <v>1181.841326</v>
      </c>
      <c r="I113" s="298"/>
      <c r="J113" s="223" t="str">
        <f>IFERROR(__xludf.DUMMYFUNCTION("""COMPUTED_VALUE"""),"50% Final Payment")</f>
        <v>50% Final Payment</v>
      </c>
      <c r="K113" s="317">
        <f>IFERROR(__xludf.DUMMYFUNCTION("""COMPUTED_VALUE"""),2021.12)</f>
        <v>2021.12</v>
      </c>
      <c r="L113" s="298"/>
      <c r="M113" s="223"/>
      <c r="N113" s="223"/>
      <c r="O113" s="223"/>
      <c r="P113" s="223"/>
      <c r="Q113" s="223"/>
      <c r="R113" s="223"/>
      <c r="S113" s="223"/>
      <c r="T113" s="223"/>
      <c r="U113" s="223"/>
      <c r="V113" s="223"/>
      <c r="W113" s="223"/>
      <c r="X113" s="223"/>
      <c r="Y113" s="223"/>
      <c r="Z113" s="223"/>
    </row>
    <row r="114">
      <c r="A114" s="223" t="str">
        <f>IFERROR(__xludf.DUMMYFUNCTION("""COMPUTED_VALUE"""),"Frank &amp; Ellis : Online Presence Review + PPC Setup")</f>
        <v>Frank &amp; Ellis : Online Presence Review + PPC Setup</v>
      </c>
      <c r="B114" s="223" t="str">
        <f>IFERROR(__xludf.DUMMYFUNCTION("""COMPUTED_VALUE"""),"Frank &amp; Ellis")</f>
        <v>Frank &amp; Ellis</v>
      </c>
      <c r="C114" s="223" t="str">
        <f>IFERROR(__xludf.DUMMYFUNCTION("""COMPUTED_VALUE"""),"Online Presence Review + PPC Setup")</f>
        <v>Online Presence Review + PPC Setup</v>
      </c>
      <c r="D114" s="316">
        <f>IFERROR(__xludf.DUMMYFUNCTION("""COMPUTED_VALUE"""),44635.0)</f>
        <v>44635</v>
      </c>
      <c r="E114" s="298">
        <f>IFERROR(__xludf.DUMMYFUNCTION("""COMPUTED_VALUE"""),1296.603753)</f>
        <v>1296.603753</v>
      </c>
      <c r="F114" s="298">
        <f>IFERROR(__xludf.DUMMYFUNCTION("""COMPUTED_VALUE"""),48.37186494)</f>
        <v>48.37186494</v>
      </c>
      <c r="G114" s="298">
        <f>IFERROR(__xludf.DUMMYFUNCTION("""COMPUTED_VALUE"""),0.0)</f>
        <v>0</v>
      </c>
      <c r="H114" s="223">
        <f>IFERROR(__xludf.DUMMYFUNCTION("""COMPUTED_VALUE"""),1248.23188806)</f>
        <v>1248.231888</v>
      </c>
      <c r="I114" s="298"/>
      <c r="J114" s="223" t="str">
        <f>IFERROR(__xludf.DUMMYFUNCTION("""COMPUTED_VALUE"""),"50% Deposit
50% Final Payment")</f>
        <v>50% Deposit
50% Final Payment</v>
      </c>
      <c r="K114" s="317">
        <f>IFERROR(__xludf.DUMMYFUNCTION("""COMPUTED_VALUE"""),2022.0)</f>
        <v>2022</v>
      </c>
      <c r="L114" s="298"/>
      <c r="M114" s="223"/>
      <c r="N114" s="223"/>
      <c r="O114" s="223"/>
      <c r="P114" s="223"/>
      <c r="Q114" s="223"/>
      <c r="R114" s="223"/>
      <c r="S114" s="223"/>
      <c r="T114" s="223"/>
      <c r="U114" s="223"/>
      <c r="V114" s="223"/>
      <c r="W114" s="223"/>
      <c r="X114" s="223"/>
      <c r="Y114" s="223"/>
      <c r="Z114" s="223"/>
    </row>
    <row r="115">
      <c r="A115" s="223" t="str">
        <f>IFERROR(__xludf.DUMMYFUNCTION("""COMPUTED_VALUE"""),"VADARTS : Website")</f>
        <v>VADARTS : Website</v>
      </c>
      <c r="B115" s="223" t="str">
        <f>IFERROR(__xludf.DUMMYFUNCTION("""COMPUTED_VALUE"""),"VADARTS")</f>
        <v>VADARTS</v>
      </c>
      <c r="C115" s="223" t="str">
        <f>IFERROR(__xludf.DUMMYFUNCTION("""COMPUTED_VALUE"""),"Website")</f>
        <v>Website</v>
      </c>
      <c r="D115" s="316">
        <f>IFERROR(__xludf.DUMMYFUNCTION("""COMPUTED_VALUE"""),44575.0)</f>
        <v>44575</v>
      </c>
      <c r="E115" s="298">
        <f>IFERROR(__xludf.DUMMYFUNCTION("""COMPUTED_VALUE"""),1900.0)</f>
        <v>1900</v>
      </c>
      <c r="F115" s="298">
        <f>IFERROR(__xludf.DUMMYFUNCTION("""COMPUTED_VALUE"""),0.0)</f>
        <v>0</v>
      </c>
      <c r="G115" s="298">
        <f>IFERROR(__xludf.DUMMYFUNCTION("""COMPUTED_VALUE"""),0.0)</f>
        <v>0</v>
      </c>
      <c r="H115" s="223">
        <f>IFERROR(__xludf.DUMMYFUNCTION("""COMPUTED_VALUE"""),1900.0)</f>
        <v>1900</v>
      </c>
      <c r="I115" s="298"/>
      <c r="J115" s="223" t="str">
        <f>IFERROR(__xludf.DUMMYFUNCTION("""COMPUTED_VALUE"""),"50% Final Payment")</f>
        <v>50% Final Payment</v>
      </c>
      <c r="K115" s="317">
        <f>IFERROR(__xludf.DUMMYFUNCTION("""COMPUTED_VALUE"""),2022.0)</f>
        <v>2022</v>
      </c>
      <c r="L115" s="298"/>
      <c r="M115" s="223"/>
      <c r="N115" s="223"/>
      <c r="O115" s="223"/>
      <c r="P115" s="223"/>
      <c r="Q115" s="223"/>
      <c r="R115" s="223"/>
      <c r="S115" s="223"/>
      <c r="T115" s="223"/>
      <c r="U115" s="223"/>
      <c r="V115" s="223"/>
      <c r="W115" s="223"/>
      <c r="X115" s="223"/>
      <c r="Y115" s="223"/>
      <c r="Z115" s="223"/>
    </row>
    <row r="116">
      <c r="A116" s="223" t="str">
        <f>IFERROR(__xludf.DUMMYFUNCTION("""COMPUTED_VALUE"""),"Joel Kohm : Website")</f>
        <v>Joel Kohm : Website</v>
      </c>
      <c r="B116" s="223" t="str">
        <f>IFERROR(__xludf.DUMMYFUNCTION("""COMPUTED_VALUE"""),"Joel Kohm")</f>
        <v>Joel Kohm</v>
      </c>
      <c r="C116" s="223" t="str">
        <f>IFERROR(__xludf.DUMMYFUNCTION("""COMPUTED_VALUE"""),"Website")</f>
        <v>Website</v>
      </c>
      <c r="D116" s="316"/>
      <c r="E116" s="298">
        <f>IFERROR(__xludf.DUMMYFUNCTION("""COMPUTED_VALUE"""),750.0)</f>
        <v>750</v>
      </c>
      <c r="F116" s="298"/>
      <c r="G116" s="298">
        <f>IFERROR(__xludf.DUMMYFUNCTION("""COMPUTED_VALUE"""),0.0)</f>
        <v>0</v>
      </c>
      <c r="H116" s="223">
        <f>IFERROR(__xludf.DUMMYFUNCTION("""COMPUTED_VALUE"""),750.0)</f>
        <v>750</v>
      </c>
      <c r="I116" s="298"/>
      <c r="J116" s="223" t="str">
        <f>IFERROR(__xludf.DUMMYFUNCTION("""COMPUTED_VALUE"""),"Extra")</f>
        <v>Extra</v>
      </c>
      <c r="K116" s="317">
        <f>IFERROR(__xludf.DUMMYFUNCTION("""COMPUTED_VALUE"""),1899.0)</f>
        <v>1899</v>
      </c>
      <c r="L116" s="298"/>
      <c r="M116" s="223"/>
      <c r="N116" s="223"/>
      <c r="O116" s="223"/>
      <c r="P116" s="223"/>
      <c r="Q116" s="223"/>
      <c r="R116" s="223"/>
      <c r="S116" s="223"/>
      <c r="T116" s="223"/>
      <c r="U116" s="223"/>
      <c r="V116" s="223"/>
      <c r="W116" s="223"/>
      <c r="X116" s="223"/>
      <c r="Y116" s="223"/>
      <c r="Z116" s="223"/>
    </row>
    <row r="117">
      <c r="A117" s="223" t="str">
        <f>IFERROR(__xludf.DUMMYFUNCTION("""COMPUTED_VALUE"""),"The Academy : Website")</f>
        <v>The Academy : Website</v>
      </c>
      <c r="B117" s="223" t="str">
        <f>IFERROR(__xludf.DUMMYFUNCTION("""COMPUTED_VALUE"""),"The Academy")</f>
        <v>The Academy</v>
      </c>
      <c r="C117" s="223" t="str">
        <f>IFERROR(__xludf.DUMMYFUNCTION("""COMPUTED_VALUE"""),"Website")</f>
        <v>Website</v>
      </c>
      <c r="D117" s="316">
        <f>IFERROR(__xludf.DUMMYFUNCTION("""COMPUTED_VALUE"""),44561.0)</f>
        <v>44561</v>
      </c>
      <c r="E117" s="298">
        <f>IFERROR(__xludf.DUMMYFUNCTION("""COMPUTED_VALUE"""),3904.4294170200005)</f>
        <v>3904.429417</v>
      </c>
      <c r="F117" s="298">
        <f>IFERROR(__xludf.DUMMYFUNCTION("""COMPUTED_VALUE"""),144.82183129000003)</f>
        <v>144.8218313</v>
      </c>
      <c r="G117" s="298">
        <f>IFERROR(__xludf.DUMMYFUNCTION("""COMPUTED_VALUE"""),0.0)</f>
        <v>0</v>
      </c>
      <c r="H117" s="223">
        <f>IFERROR(__xludf.DUMMYFUNCTION("""COMPUTED_VALUE"""),3759.6075857300007)</f>
        <v>3759.607586</v>
      </c>
      <c r="I117" s="298"/>
      <c r="J117" s="223" t="str">
        <f>IFERROR(__xludf.DUMMYFUNCTION("""COMPUTED_VALUE"""),"1/3 Final Payment")</f>
        <v>1/3 Final Payment</v>
      </c>
      <c r="K117" s="317">
        <f>IFERROR(__xludf.DUMMYFUNCTION("""COMPUTED_VALUE"""),2021.0)</f>
        <v>2021</v>
      </c>
      <c r="L117" s="298"/>
      <c r="M117" s="223"/>
      <c r="N117" s="223"/>
      <c r="O117" s="223"/>
      <c r="P117" s="223"/>
      <c r="Q117" s="223"/>
      <c r="R117" s="223"/>
      <c r="S117" s="223"/>
      <c r="T117" s="223"/>
      <c r="U117" s="223"/>
      <c r="V117" s="223"/>
      <c r="W117" s="223"/>
      <c r="X117" s="223"/>
      <c r="Y117" s="223"/>
      <c r="Z117" s="223"/>
    </row>
    <row r="118">
      <c r="A118" s="223" t="str">
        <f>IFERROR(__xludf.DUMMYFUNCTION("""COMPUTED_VALUE"""),"C360 : SEO Implementation")</f>
        <v>C360 : SEO Implementation</v>
      </c>
      <c r="B118" s="223" t="str">
        <f>IFERROR(__xludf.DUMMYFUNCTION("""COMPUTED_VALUE"""),"C360")</f>
        <v>C360</v>
      </c>
      <c r="C118" s="223" t="str">
        <f>IFERROR(__xludf.DUMMYFUNCTION("""COMPUTED_VALUE"""),"SEO Implementation")</f>
        <v>SEO Implementation</v>
      </c>
      <c r="D118" s="316">
        <f>IFERROR(__xludf.DUMMYFUNCTION("""COMPUTED_VALUE"""),44561.0)</f>
        <v>44561</v>
      </c>
      <c r="E118" s="298">
        <f>IFERROR(__xludf.DUMMYFUNCTION("""COMPUTED_VALUE"""),1538.6250000000002)</f>
        <v>1538.625</v>
      </c>
      <c r="F118" s="298">
        <f>IFERROR(__xludf.DUMMYFUNCTION("""COMPUTED_VALUE"""),0.0)</f>
        <v>0</v>
      </c>
      <c r="G118" s="298">
        <f>IFERROR(__xludf.DUMMYFUNCTION("""COMPUTED_VALUE"""),0.0)</f>
        <v>0</v>
      </c>
      <c r="H118" s="223">
        <f>IFERROR(__xludf.DUMMYFUNCTION("""COMPUTED_VALUE"""),1538.6250000000002)</f>
        <v>1538.625</v>
      </c>
      <c r="I118" s="298"/>
      <c r="J118" s="223" t="str">
        <f>IFERROR(__xludf.DUMMYFUNCTION("""COMPUTED_VALUE"""),"50% Deposit")</f>
        <v>50% Deposit</v>
      </c>
      <c r="K118" s="317">
        <f>IFERROR(__xludf.DUMMYFUNCTION("""COMPUTED_VALUE"""),2021.0)</f>
        <v>2021</v>
      </c>
      <c r="L118" s="298"/>
      <c r="M118" s="223"/>
      <c r="N118" s="223"/>
      <c r="O118" s="223"/>
      <c r="P118" s="223"/>
      <c r="Q118" s="223"/>
      <c r="R118" s="223"/>
      <c r="S118" s="223"/>
      <c r="T118" s="223"/>
      <c r="U118" s="223"/>
      <c r="V118" s="223"/>
      <c r="W118" s="223"/>
      <c r="X118" s="223"/>
      <c r="Y118" s="223"/>
      <c r="Z118" s="223"/>
    </row>
    <row r="119">
      <c r="A119" s="223" t="str">
        <f>IFERROR(__xludf.DUMMYFUNCTION("""COMPUTED_VALUE"""),"C360 : SEO Implementation")</f>
        <v>C360 : SEO Implementation</v>
      </c>
      <c r="B119" s="223" t="str">
        <f>IFERROR(__xludf.DUMMYFUNCTION("""COMPUTED_VALUE"""),"C360")</f>
        <v>C360</v>
      </c>
      <c r="C119" s="223" t="str">
        <f>IFERROR(__xludf.DUMMYFUNCTION("""COMPUTED_VALUE"""),"SEO Implementation")</f>
        <v>SEO Implementation</v>
      </c>
      <c r="D119" s="316">
        <f>IFERROR(__xludf.DUMMYFUNCTION("""COMPUTED_VALUE"""),44635.0)</f>
        <v>44635</v>
      </c>
      <c r="E119" s="298">
        <f>IFERROR(__xludf.DUMMYFUNCTION("""COMPUTED_VALUE"""),1556.1249999999998)</f>
        <v>1556.125</v>
      </c>
      <c r="F119" s="298">
        <f>IFERROR(__xludf.DUMMYFUNCTION("""COMPUTED_VALUE"""),0.0)</f>
        <v>0</v>
      </c>
      <c r="G119" s="298">
        <f>IFERROR(__xludf.DUMMYFUNCTION("""COMPUTED_VALUE"""),0.0)</f>
        <v>0</v>
      </c>
      <c r="H119" s="223">
        <f>IFERROR(__xludf.DUMMYFUNCTION("""COMPUTED_VALUE"""),1556.1249999999998)</f>
        <v>1556.125</v>
      </c>
      <c r="I119" s="298"/>
      <c r="J119" s="223" t="str">
        <f>IFERROR(__xludf.DUMMYFUNCTION("""COMPUTED_VALUE"""),"50% Final Payment")</f>
        <v>50% Final Payment</v>
      </c>
      <c r="K119" s="317">
        <f>IFERROR(__xludf.DUMMYFUNCTION("""COMPUTED_VALUE"""),2022.0)</f>
        <v>2022</v>
      </c>
      <c r="L119" s="298"/>
      <c r="M119" s="223"/>
      <c r="N119" s="223"/>
      <c r="O119" s="223"/>
      <c r="P119" s="223"/>
      <c r="Q119" s="223"/>
      <c r="R119" s="223"/>
      <c r="S119" s="223"/>
      <c r="T119" s="223"/>
      <c r="U119" s="223"/>
      <c r="V119" s="223"/>
      <c r="W119" s="223"/>
      <c r="X119" s="223"/>
      <c r="Y119" s="223"/>
      <c r="Z119" s="223"/>
    </row>
    <row r="120">
      <c r="A120" s="223" t="str">
        <f>IFERROR(__xludf.DUMMYFUNCTION("""COMPUTED_VALUE"""),"Bateman Foundation : 5 Hour Support Block")</f>
        <v>Bateman Foundation : 5 Hour Support Block</v>
      </c>
      <c r="B120" s="223" t="str">
        <f>IFERROR(__xludf.DUMMYFUNCTION("""COMPUTED_VALUE"""),"Bateman Foundation")</f>
        <v>Bateman Foundation</v>
      </c>
      <c r="C120" s="223" t="str">
        <f>IFERROR(__xludf.DUMMYFUNCTION("""COMPUTED_VALUE"""),"5 Hour Support Block")</f>
        <v>5 Hour Support Block</v>
      </c>
      <c r="D120" s="316">
        <f>IFERROR(__xludf.DUMMYFUNCTION("""COMPUTED_VALUE"""),44561.0)</f>
        <v>44561</v>
      </c>
      <c r="E120" s="298">
        <f>IFERROR(__xludf.DUMMYFUNCTION("""COMPUTED_VALUE"""),600.0)</f>
        <v>600</v>
      </c>
      <c r="F120" s="298">
        <f>IFERROR(__xludf.DUMMYFUNCTION("""COMPUTED_VALUE"""),0.0)</f>
        <v>0</v>
      </c>
      <c r="G120" s="298">
        <f>IFERROR(__xludf.DUMMYFUNCTION("""COMPUTED_VALUE"""),0.0)</f>
        <v>0</v>
      </c>
      <c r="H120" s="223">
        <f>IFERROR(__xludf.DUMMYFUNCTION("""COMPUTED_VALUE"""),600.0)</f>
        <v>600</v>
      </c>
      <c r="I120" s="298"/>
      <c r="J120" s="223" t="str">
        <f>IFERROR(__xludf.DUMMYFUNCTION("""COMPUTED_VALUE"""),"One-Time (Advance)")</f>
        <v>One-Time (Advance)</v>
      </c>
      <c r="K120" s="317">
        <f>IFERROR(__xludf.DUMMYFUNCTION("""COMPUTED_VALUE"""),2021.0)</f>
        <v>2021</v>
      </c>
      <c r="L120" s="298"/>
      <c r="M120" s="223"/>
      <c r="N120" s="223"/>
      <c r="O120" s="223"/>
      <c r="P120" s="223"/>
      <c r="Q120" s="223"/>
      <c r="R120" s="223"/>
      <c r="S120" s="223"/>
      <c r="T120" s="223"/>
      <c r="U120" s="223"/>
      <c r="V120" s="223"/>
      <c r="W120" s="223"/>
      <c r="X120" s="223"/>
      <c r="Y120" s="223"/>
      <c r="Z120" s="223"/>
    </row>
    <row r="121">
      <c r="A121" s="223" t="str">
        <f>IFERROR(__xludf.DUMMYFUNCTION("""COMPUTED_VALUE"""),"Availed Technologies : Monthly Services")</f>
        <v>Availed Technologies : Monthly Services</v>
      </c>
      <c r="B121" s="223" t="str">
        <f>IFERROR(__xludf.DUMMYFUNCTION("""COMPUTED_VALUE"""),"Availed Technologies")</f>
        <v>Availed Technologies</v>
      </c>
      <c r="C121" s="223" t="str">
        <f>IFERROR(__xludf.DUMMYFUNCTION("""COMPUTED_VALUE"""),"Monthly Services")</f>
        <v>Monthly Services</v>
      </c>
      <c r="D121" s="316">
        <f>IFERROR(__xludf.DUMMYFUNCTION("""COMPUTED_VALUE"""),44561.0)</f>
        <v>44561</v>
      </c>
      <c r="E121" s="298">
        <f>IFERROR(__xludf.DUMMYFUNCTION("""COMPUTED_VALUE"""),750.0)</f>
        <v>750</v>
      </c>
      <c r="F121" s="298">
        <f>IFERROR(__xludf.DUMMYFUNCTION("""COMPUTED_VALUE"""),23.33)</f>
        <v>23.33</v>
      </c>
      <c r="G121" s="298">
        <f>IFERROR(__xludf.DUMMYFUNCTION("""COMPUTED_VALUE"""),0.0)</f>
        <v>0</v>
      </c>
      <c r="H121" s="223">
        <f>IFERROR(__xludf.DUMMYFUNCTION("""COMPUTED_VALUE"""),726.67)</f>
        <v>726.67</v>
      </c>
      <c r="I121" s="298"/>
      <c r="J121" s="223" t="str">
        <f>IFERROR(__xludf.DUMMYFUNCTION("""COMPUTED_VALUE"""),"Monthly")</f>
        <v>Monthly</v>
      </c>
      <c r="K121" s="317">
        <f>IFERROR(__xludf.DUMMYFUNCTION("""COMPUTED_VALUE"""),2021.12)</f>
        <v>2021.12</v>
      </c>
      <c r="L121" s="298"/>
      <c r="M121" s="223"/>
      <c r="N121" s="223"/>
      <c r="O121" s="223"/>
      <c r="P121" s="223"/>
      <c r="Q121" s="223"/>
      <c r="R121" s="223"/>
      <c r="S121" s="223"/>
      <c r="T121" s="223"/>
      <c r="U121" s="223"/>
      <c r="V121" s="223"/>
      <c r="W121" s="223"/>
      <c r="X121" s="223"/>
      <c r="Y121" s="223"/>
      <c r="Z121" s="223"/>
    </row>
    <row r="122">
      <c r="A122" s="223" t="str">
        <f>IFERROR(__xludf.DUMMYFUNCTION("""COMPUTED_VALUE"""),"BookKing (Pacific Tier) : Monthly Services")</f>
        <v>BookKing (Pacific Tier) : Monthly Services</v>
      </c>
      <c r="B122" s="223" t="str">
        <f>IFERROR(__xludf.DUMMYFUNCTION("""COMPUTED_VALUE"""),"BookKing (Pacific Tier)")</f>
        <v>BookKing (Pacific Tier)</v>
      </c>
      <c r="C122" s="223" t="str">
        <f>IFERROR(__xludf.DUMMYFUNCTION("""COMPUTED_VALUE"""),"Monthly Services")</f>
        <v>Monthly Services</v>
      </c>
      <c r="D122" s="316">
        <f>IFERROR(__xludf.DUMMYFUNCTION("""COMPUTED_VALUE"""),44561.0)</f>
        <v>44561</v>
      </c>
      <c r="E122" s="298">
        <f>IFERROR(__xludf.DUMMYFUNCTION("""COMPUTED_VALUE"""),900.0)</f>
        <v>900</v>
      </c>
      <c r="F122" s="298">
        <f>IFERROR(__xludf.DUMMYFUNCTION("""COMPUTED_VALUE"""),28.0)</f>
        <v>28</v>
      </c>
      <c r="G122" s="298">
        <f>IFERROR(__xludf.DUMMYFUNCTION("""COMPUTED_VALUE"""),0.0)</f>
        <v>0</v>
      </c>
      <c r="H122" s="223">
        <f>IFERROR(__xludf.DUMMYFUNCTION("""COMPUTED_VALUE"""),872.0)</f>
        <v>872</v>
      </c>
      <c r="I122" s="298"/>
      <c r="J122" s="223" t="str">
        <f>IFERROR(__xludf.DUMMYFUNCTION("""COMPUTED_VALUE"""),"Monthly")</f>
        <v>Monthly</v>
      </c>
      <c r="K122" s="317">
        <f>IFERROR(__xludf.DUMMYFUNCTION("""COMPUTED_VALUE"""),2021.12)</f>
        <v>2021.12</v>
      </c>
      <c r="L122" s="298"/>
      <c r="M122" s="223"/>
      <c r="N122" s="223"/>
      <c r="O122" s="223"/>
      <c r="P122" s="223"/>
      <c r="Q122" s="223"/>
      <c r="R122" s="223"/>
      <c r="S122" s="223"/>
      <c r="T122" s="223"/>
      <c r="U122" s="223"/>
      <c r="V122" s="223"/>
      <c r="W122" s="223"/>
      <c r="X122" s="223"/>
      <c r="Y122" s="223"/>
      <c r="Z122" s="223"/>
    </row>
    <row r="123">
      <c r="A123" s="223" t="str">
        <f>IFERROR(__xludf.DUMMYFUNCTION("""COMPUTED_VALUE"""),"Bratopia : Monthly Services")</f>
        <v>Bratopia : Monthly Services</v>
      </c>
      <c r="B123" s="223" t="str">
        <f>IFERROR(__xludf.DUMMYFUNCTION("""COMPUTED_VALUE"""),"Bratopia")</f>
        <v>Bratopia</v>
      </c>
      <c r="C123" s="223" t="str">
        <f>IFERROR(__xludf.DUMMYFUNCTION("""COMPUTED_VALUE"""),"Monthly Services")</f>
        <v>Monthly Services</v>
      </c>
      <c r="D123" s="316">
        <f>IFERROR(__xludf.DUMMYFUNCTION("""COMPUTED_VALUE"""),44561.0)</f>
        <v>44561</v>
      </c>
      <c r="E123" s="298">
        <f>IFERROR(__xludf.DUMMYFUNCTION("""COMPUTED_VALUE"""),1550.0)</f>
        <v>1550</v>
      </c>
      <c r="F123" s="298">
        <f>IFERROR(__xludf.DUMMYFUNCTION("""COMPUTED_VALUE"""),48.22)</f>
        <v>48.22</v>
      </c>
      <c r="G123" s="298">
        <f>IFERROR(__xludf.DUMMYFUNCTION("""COMPUTED_VALUE"""),0.0)</f>
        <v>0</v>
      </c>
      <c r="H123" s="223">
        <f>IFERROR(__xludf.DUMMYFUNCTION("""COMPUTED_VALUE"""),1501.78)</f>
        <v>1501.78</v>
      </c>
      <c r="I123" s="298"/>
      <c r="J123" s="223" t="str">
        <f>IFERROR(__xludf.DUMMYFUNCTION("""COMPUTED_VALUE"""),"Monthly")</f>
        <v>Monthly</v>
      </c>
      <c r="K123" s="317">
        <f>IFERROR(__xludf.DUMMYFUNCTION("""COMPUTED_VALUE"""),2021.12)</f>
        <v>2021.12</v>
      </c>
      <c r="L123" s="298"/>
      <c r="M123" s="223"/>
      <c r="N123" s="223"/>
      <c r="O123" s="223"/>
      <c r="P123" s="223"/>
      <c r="Q123" s="223"/>
      <c r="R123" s="223"/>
      <c r="S123" s="223"/>
      <c r="T123" s="223"/>
      <c r="U123" s="223"/>
      <c r="V123" s="223"/>
      <c r="W123" s="223"/>
      <c r="X123" s="223"/>
      <c r="Y123" s="223"/>
      <c r="Z123" s="223"/>
    </row>
    <row r="124">
      <c r="A124" s="223" t="str">
        <f>IFERROR(__xludf.DUMMYFUNCTION("""COMPUTED_VALUE"""),"Community Financials : Monthly Services")</f>
        <v>Community Financials : Monthly Services</v>
      </c>
      <c r="B124" s="223" t="str">
        <f>IFERROR(__xludf.DUMMYFUNCTION("""COMPUTED_VALUE"""),"Community Financials")</f>
        <v>Community Financials</v>
      </c>
      <c r="C124" s="223" t="str">
        <f>IFERROR(__xludf.DUMMYFUNCTION("""COMPUTED_VALUE"""),"Monthly Services")</f>
        <v>Monthly Services</v>
      </c>
      <c r="D124" s="316">
        <f>IFERROR(__xludf.DUMMYFUNCTION("""COMPUTED_VALUE"""),44561.0)</f>
        <v>44561</v>
      </c>
      <c r="E124" s="298">
        <f>IFERROR(__xludf.DUMMYFUNCTION("""COMPUTED_VALUE"""),1844.9399999999998)</f>
        <v>1844.94</v>
      </c>
      <c r="F124" s="298">
        <f>IFERROR(__xludf.DUMMYFUNCTION("""COMPUTED_VALUE"""),68.631768)</f>
        <v>68.631768</v>
      </c>
      <c r="G124" s="298">
        <f>IFERROR(__xludf.DUMMYFUNCTION("""COMPUTED_VALUE"""),355.2616464)</f>
        <v>355.2616464</v>
      </c>
      <c r="H124" s="223">
        <f>IFERROR(__xludf.DUMMYFUNCTION("""COMPUTED_VALUE"""),1421.0465855999998)</f>
        <v>1421.046586</v>
      </c>
      <c r="I124" s="298"/>
      <c r="J124" s="223" t="str">
        <f>IFERROR(__xludf.DUMMYFUNCTION("""COMPUTED_VALUE"""),"Monthly")</f>
        <v>Monthly</v>
      </c>
      <c r="K124" s="317">
        <f>IFERROR(__xludf.DUMMYFUNCTION("""COMPUTED_VALUE"""),2021.12)</f>
        <v>2021.12</v>
      </c>
      <c r="L124" s="298"/>
      <c r="M124" s="223"/>
      <c r="N124" s="223"/>
      <c r="O124" s="223"/>
      <c r="P124" s="223"/>
      <c r="Q124" s="223"/>
      <c r="R124" s="223"/>
      <c r="S124" s="223"/>
      <c r="T124" s="223"/>
      <c r="U124" s="223"/>
      <c r="V124" s="223"/>
      <c r="W124" s="223"/>
      <c r="X124" s="223"/>
      <c r="Y124" s="223"/>
      <c r="Z124" s="223"/>
    </row>
    <row r="125">
      <c r="A125" s="223" t="str">
        <f>IFERROR(__xludf.DUMMYFUNCTION("""COMPUTED_VALUE"""),"Diversified Health : Monthly Services")</f>
        <v>Diversified Health : Monthly Services</v>
      </c>
      <c r="B125" s="223" t="str">
        <f>IFERROR(__xludf.DUMMYFUNCTION("""COMPUTED_VALUE"""),"Diversified Health")</f>
        <v>Diversified Health</v>
      </c>
      <c r="C125" s="223" t="str">
        <f>IFERROR(__xludf.DUMMYFUNCTION("""COMPUTED_VALUE"""),"Monthly Services")</f>
        <v>Monthly Services</v>
      </c>
      <c r="D125" s="316">
        <f>IFERROR(__xludf.DUMMYFUNCTION("""COMPUTED_VALUE"""),44561.0)</f>
        <v>44561</v>
      </c>
      <c r="E125" s="298">
        <f>IFERROR(__xludf.DUMMYFUNCTION("""COMPUTED_VALUE"""),1000.0)</f>
        <v>1000</v>
      </c>
      <c r="F125" s="298">
        <f>IFERROR(__xludf.DUMMYFUNCTION("""COMPUTED_VALUE"""),0.0)</f>
        <v>0</v>
      </c>
      <c r="G125" s="298">
        <f>IFERROR(__xludf.DUMMYFUNCTION("""COMPUTED_VALUE"""),0.0)</f>
        <v>0</v>
      </c>
      <c r="H125" s="223">
        <f>IFERROR(__xludf.DUMMYFUNCTION("""COMPUTED_VALUE"""),1000.0)</f>
        <v>1000</v>
      </c>
      <c r="I125" s="298"/>
      <c r="J125" s="223" t="str">
        <f>IFERROR(__xludf.DUMMYFUNCTION("""COMPUTED_VALUE"""),"Monthly")</f>
        <v>Monthly</v>
      </c>
      <c r="K125" s="317">
        <f>IFERROR(__xludf.DUMMYFUNCTION("""COMPUTED_VALUE"""),2021.12)</f>
        <v>2021.12</v>
      </c>
      <c r="L125" s="298"/>
      <c r="M125" s="223"/>
      <c r="N125" s="223"/>
      <c r="O125" s="223"/>
      <c r="P125" s="223"/>
      <c r="Q125" s="223"/>
      <c r="R125" s="223"/>
      <c r="S125" s="223"/>
      <c r="T125" s="223"/>
      <c r="U125" s="223"/>
      <c r="V125" s="223"/>
      <c r="W125" s="223"/>
      <c r="X125" s="223"/>
      <c r="Y125" s="223"/>
      <c r="Z125" s="223"/>
    </row>
    <row r="126">
      <c r="A126" s="223" t="str">
        <f>IFERROR(__xludf.DUMMYFUNCTION("""COMPUTED_VALUE"""),"Giga Tires : Monthly Services")</f>
        <v>Giga Tires : Monthly Services</v>
      </c>
      <c r="B126" s="223" t="str">
        <f>IFERROR(__xludf.DUMMYFUNCTION("""COMPUTED_VALUE"""),"Giga Tires")</f>
        <v>Giga Tires</v>
      </c>
      <c r="C126" s="223" t="str">
        <f>IFERROR(__xludf.DUMMYFUNCTION("""COMPUTED_VALUE"""),"Monthly Services")</f>
        <v>Monthly Services</v>
      </c>
      <c r="D126" s="316">
        <f>IFERROR(__xludf.DUMMYFUNCTION("""COMPUTED_VALUE"""),44561.0)</f>
        <v>44561</v>
      </c>
      <c r="E126" s="298">
        <f>IFERROR(__xludf.DUMMYFUNCTION("""COMPUTED_VALUE"""),550.0)</f>
        <v>550</v>
      </c>
      <c r="F126" s="298">
        <f>IFERROR(__xludf.DUMMYFUNCTION("""COMPUTED_VALUE"""),21.67)</f>
        <v>21.67</v>
      </c>
      <c r="G126" s="298">
        <f>IFERROR(__xludf.DUMMYFUNCTION("""COMPUTED_VALUE"""),0.0)</f>
        <v>0</v>
      </c>
      <c r="H126" s="223">
        <f>IFERROR(__xludf.DUMMYFUNCTION("""COMPUTED_VALUE"""),528.33)</f>
        <v>528.33</v>
      </c>
      <c r="I126" s="298"/>
      <c r="J126" s="223" t="str">
        <f>IFERROR(__xludf.DUMMYFUNCTION("""COMPUTED_VALUE"""),"Monthly")</f>
        <v>Monthly</v>
      </c>
      <c r="K126" s="317">
        <f>IFERROR(__xludf.DUMMYFUNCTION("""COMPUTED_VALUE"""),2021.12)</f>
        <v>2021.12</v>
      </c>
      <c r="L126" s="298"/>
      <c r="M126" s="223"/>
      <c r="N126" s="223"/>
      <c r="O126" s="223"/>
      <c r="P126" s="223"/>
      <c r="Q126" s="223"/>
      <c r="R126" s="223"/>
      <c r="S126" s="223"/>
      <c r="T126" s="223"/>
      <c r="U126" s="223"/>
      <c r="V126" s="223"/>
      <c r="W126" s="223"/>
      <c r="X126" s="223"/>
      <c r="Y126" s="223"/>
      <c r="Z126" s="223"/>
    </row>
    <row r="127">
      <c r="A127" s="223" t="str">
        <f>IFERROR(__xludf.DUMMYFUNCTION("""COMPUTED_VALUE"""),"Hastings House : Monthly Services")</f>
        <v>Hastings House : Monthly Services</v>
      </c>
      <c r="B127" s="223" t="str">
        <f>IFERROR(__xludf.DUMMYFUNCTION("""COMPUTED_VALUE"""),"Hastings House")</f>
        <v>Hastings House</v>
      </c>
      <c r="C127" s="223" t="str">
        <f>IFERROR(__xludf.DUMMYFUNCTION("""COMPUTED_VALUE"""),"Monthly Services")</f>
        <v>Monthly Services</v>
      </c>
      <c r="D127" s="316">
        <f>IFERROR(__xludf.DUMMYFUNCTION("""COMPUTED_VALUE"""),44561.0)</f>
        <v>44561</v>
      </c>
      <c r="E127" s="298">
        <f>IFERROR(__xludf.DUMMYFUNCTION("""COMPUTED_VALUE"""),1500.0)</f>
        <v>1500</v>
      </c>
      <c r="F127" s="298">
        <f>IFERROR(__xludf.DUMMYFUNCTION("""COMPUTED_VALUE"""),46.67)</f>
        <v>46.67</v>
      </c>
      <c r="G127" s="298">
        <f>IFERROR(__xludf.DUMMYFUNCTION("""COMPUTED_VALUE"""),217.99949999999998)</f>
        <v>217.9995</v>
      </c>
      <c r="H127" s="223">
        <f>IFERROR(__xludf.DUMMYFUNCTION("""COMPUTED_VALUE"""),1235.3305)</f>
        <v>1235.3305</v>
      </c>
      <c r="I127" s="298"/>
      <c r="J127" s="223" t="str">
        <f>IFERROR(__xludf.DUMMYFUNCTION("""COMPUTED_VALUE"""),"Monthly")</f>
        <v>Monthly</v>
      </c>
      <c r="K127" s="317">
        <f>IFERROR(__xludf.DUMMYFUNCTION("""COMPUTED_VALUE"""),2021.12)</f>
        <v>2021.12</v>
      </c>
      <c r="L127" s="298"/>
      <c r="M127" s="223"/>
      <c r="N127" s="223"/>
      <c r="O127" s="223"/>
      <c r="P127" s="223"/>
      <c r="Q127" s="223"/>
      <c r="R127" s="223"/>
      <c r="S127" s="223"/>
      <c r="T127" s="223"/>
      <c r="U127" s="223"/>
      <c r="V127" s="223"/>
      <c r="W127" s="223"/>
      <c r="X127" s="223"/>
      <c r="Y127" s="223"/>
      <c r="Z127" s="223"/>
    </row>
    <row r="128">
      <c r="A128" s="223" t="str">
        <f>IFERROR(__xludf.DUMMYFUNCTION("""COMPUTED_VALUE"""),"Hey Blinds : Monthly Services")</f>
        <v>Hey Blinds : Monthly Services</v>
      </c>
      <c r="B128" s="223" t="str">
        <f>IFERROR(__xludf.DUMMYFUNCTION("""COMPUTED_VALUE"""),"Hey Blinds")</f>
        <v>Hey Blinds</v>
      </c>
      <c r="C128" s="223" t="str">
        <f>IFERROR(__xludf.DUMMYFUNCTION("""COMPUTED_VALUE"""),"Monthly Services")</f>
        <v>Monthly Services</v>
      </c>
      <c r="D128" s="316">
        <f>IFERROR(__xludf.DUMMYFUNCTION("""COMPUTED_VALUE"""),44561.0)</f>
        <v>44561</v>
      </c>
      <c r="E128" s="298">
        <f>IFERROR(__xludf.DUMMYFUNCTION("""COMPUTED_VALUE"""),1200.0)</f>
        <v>1200</v>
      </c>
      <c r="F128" s="298">
        <f>IFERROR(__xludf.DUMMYFUNCTION("""COMPUTED_VALUE"""),37.33)</f>
        <v>37.33</v>
      </c>
      <c r="G128" s="298">
        <f>IFERROR(__xludf.DUMMYFUNCTION("""COMPUTED_VALUE"""),0.0)</f>
        <v>0</v>
      </c>
      <c r="H128" s="223">
        <f>IFERROR(__xludf.DUMMYFUNCTION("""COMPUTED_VALUE"""),1162.67)</f>
        <v>1162.67</v>
      </c>
      <c r="I128" s="298"/>
      <c r="J128" s="223" t="str">
        <f>IFERROR(__xludf.DUMMYFUNCTION("""COMPUTED_VALUE"""),"Monthly")</f>
        <v>Monthly</v>
      </c>
      <c r="K128" s="317">
        <f>IFERROR(__xludf.DUMMYFUNCTION("""COMPUTED_VALUE"""),2021.12)</f>
        <v>2021.12</v>
      </c>
      <c r="L128" s="298"/>
      <c r="M128" s="223"/>
      <c r="N128" s="223"/>
      <c r="O128" s="223"/>
      <c r="P128" s="223"/>
      <c r="Q128" s="223"/>
      <c r="R128" s="223"/>
      <c r="S128" s="223"/>
      <c r="T128" s="223"/>
      <c r="U128" s="223"/>
      <c r="V128" s="223"/>
      <c r="W128" s="223"/>
      <c r="X128" s="223"/>
      <c r="Y128" s="223"/>
      <c r="Z128" s="223"/>
    </row>
    <row r="129">
      <c r="A129" s="223" t="str">
        <f>IFERROR(__xludf.DUMMYFUNCTION("""COMPUTED_VALUE"""),"HSJ Lawyers : Monthly Services")</f>
        <v>HSJ Lawyers : Monthly Services</v>
      </c>
      <c r="B129" s="223" t="str">
        <f>IFERROR(__xludf.DUMMYFUNCTION("""COMPUTED_VALUE"""),"HSJ Lawyers")</f>
        <v>HSJ Lawyers</v>
      </c>
      <c r="C129" s="223" t="str">
        <f>IFERROR(__xludf.DUMMYFUNCTION("""COMPUTED_VALUE"""),"Monthly Services")</f>
        <v>Monthly Services</v>
      </c>
      <c r="D129" s="316">
        <f>IFERROR(__xludf.DUMMYFUNCTION("""COMPUTED_VALUE"""),44561.0)</f>
        <v>44561</v>
      </c>
      <c r="E129" s="298">
        <f>IFERROR(__xludf.DUMMYFUNCTION("""COMPUTED_VALUE"""),800.0)</f>
        <v>800</v>
      </c>
      <c r="F129" s="298">
        <f>IFERROR(__xludf.DUMMYFUNCTION("""COMPUTED_VALUE"""),0.0)</f>
        <v>0</v>
      </c>
      <c r="G129" s="298">
        <f>IFERROR(__xludf.DUMMYFUNCTION("""COMPUTED_VALUE"""),0.0)</f>
        <v>0</v>
      </c>
      <c r="H129" s="223">
        <f>IFERROR(__xludf.DUMMYFUNCTION("""COMPUTED_VALUE"""),800.0)</f>
        <v>800</v>
      </c>
      <c r="I129" s="298"/>
      <c r="J129" s="223" t="str">
        <f>IFERROR(__xludf.DUMMYFUNCTION("""COMPUTED_VALUE"""),"Monthly")</f>
        <v>Monthly</v>
      </c>
      <c r="K129" s="317">
        <f>IFERROR(__xludf.DUMMYFUNCTION("""COMPUTED_VALUE"""),2021.12)</f>
        <v>2021.12</v>
      </c>
      <c r="L129" s="298"/>
      <c r="M129" s="223"/>
      <c r="N129" s="223"/>
      <c r="O129" s="223"/>
      <c r="P129" s="223"/>
      <c r="Q129" s="223"/>
      <c r="R129" s="223"/>
      <c r="S129" s="223"/>
      <c r="T129" s="223"/>
      <c r="U129" s="223"/>
      <c r="V129" s="223"/>
      <c r="W129" s="223"/>
      <c r="X129" s="223"/>
      <c r="Y129" s="223"/>
      <c r="Z129" s="223"/>
    </row>
    <row r="130">
      <c r="A130" s="223" t="str">
        <f>IFERROR(__xludf.DUMMYFUNCTION("""COMPUTED_VALUE"""),"Monk : Monthly Services")</f>
        <v>Monk : Monthly Services</v>
      </c>
      <c r="B130" s="223" t="str">
        <f>IFERROR(__xludf.DUMMYFUNCTION("""COMPUTED_VALUE"""),"Monk")</f>
        <v>Monk</v>
      </c>
      <c r="C130" s="223" t="str">
        <f>IFERROR(__xludf.DUMMYFUNCTION("""COMPUTED_VALUE"""),"Monthly Services")</f>
        <v>Monthly Services</v>
      </c>
      <c r="D130" s="316">
        <f>IFERROR(__xludf.DUMMYFUNCTION("""COMPUTED_VALUE"""),44561.0)</f>
        <v>44561</v>
      </c>
      <c r="E130" s="298">
        <f>IFERROR(__xludf.DUMMYFUNCTION("""COMPUTED_VALUE"""),1200.0)</f>
        <v>1200</v>
      </c>
      <c r="F130" s="298">
        <f>IFERROR(__xludf.DUMMYFUNCTION("""COMPUTED_VALUE"""),0.0)</f>
        <v>0</v>
      </c>
      <c r="G130" s="298">
        <f>IFERROR(__xludf.DUMMYFUNCTION("""COMPUTED_VALUE"""),0.0)</f>
        <v>0</v>
      </c>
      <c r="H130" s="223">
        <f>IFERROR(__xludf.DUMMYFUNCTION("""COMPUTED_VALUE"""),1200.0)</f>
        <v>1200</v>
      </c>
      <c r="I130" s="298"/>
      <c r="J130" s="223" t="str">
        <f>IFERROR(__xludf.DUMMYFUNCTION("""COMPUTED_VALUE"""),"Monthly")</f>
        <v>Monthly</v>
      </c>
      <c r="K130" s="317">
        <f>IFERROR(__xludf.DUMMYFUNCTION("""COMPUTED_VALUE"""),2021.12)</f>
        <v>2021.12</v>
      </c>
      <c r="L130" s="298"/>
      <c r="M130" s="223"/>
      <c r="N130" s="223"/>
      <c r="O130" s="223"/>
      <c r="P130" s="223"/>
      <c r="Q130" s="223"/>
      <c r="R130" s="223"/>
      <c r="S130" s="223"/>
      <c r="T130" s="223"/>
      <c r="U130" s="223"/>
      <c r="V130" s="223"/>
      <c r="W130" s="223"/>
      <c r="X130" s="223"/>
      <c r="Y130" s="223"/>
      <c r="Z130" s="223"/>
    </row>
    <row r="131">
      <c r="A131" s="223" t="str">
        <f>IFERROR(__xludf.DUMMYFUNCTION("""COMPUTED_VALUE"""),"MortgagePal : Monthly Services")</f>
        <v>MortgagePal : Monthly Services</v>
      </c>
      <c r="B131" s="223" t="str">
        <f>IFERROR(__xludf.DUMMYFUNCTION("""COMPUTED_VALUE"""),"MortgagePal")</f>
        <v>MortgagePal</v>
      </c>
      <c r="C131" s="223" t="str">
        <f>IFERROR(__xludf.DUMMYFUNCTION("""COMPUTED_VALUE"""),"Monthly Services")</f>
        <v>Monthly Services</v>
      </c>
      <c r="D131" s="316">
        <f>IFERROR(__xludf.DUMMYFUNCTION("""COMPUTED_VALUE"""),44561.0)</f>
        <v>44561</v>
      </c>
      <c r="E131" s="298">
        <f>IFERROR(__xludf.DUMMYFUNCTION("""COMPUTED_VALUE"""),500.0)</f>
        <v>500</v>
      </c>
      <c r="F131" s="298">
        <f>IFERROR(__xludf.DUMMYFUNCTION("""COMPUTED_VALUE"""),15.53)</f>
        <v>15.53</v>
      </c>
      <c r="G131" s="298">
        <f>IFERROR(__xludf.DUMMYFUNCTION("""COMPUTED_VALUE"""),0.0)</f>
        <v>0</v>
      </c>
      <c r="H131" s="223">
        <f>IFERROR(__xludf.DUMMYFUNCTION("""COMPUTED_VALUE"""),484.47)</f>
        <v>484.47</v>
      </c>
      <c r="I131" s="298"/>
      <c r="J131" s="223" t="str">
        <f>IFERROR(__xludf.DUMMYFUNCTION("""COMPUTED_VALUE"""),"Monthly")</f>
        <v>Monthly</v>
      </c>
      <c r="K131" s="317">
        <f>IFERROR(__xludf.DUMMYFUNCTION("""COMPUTED_VALUE"""),2021.12)</f>
        <v>2021.12</v>
      </c>
      <c r="L131" s="298"/>
      <c r="M131" s="223"/>
      <c r="N131" s="223"/>
      <c r="O131" s="223"/>
      <c r="P131" s="223"/>
      <c r="Q131" s="223"/>
      <c r="R131" s="223"/>
      <c r="S131" s="223"/>
      <c r="T131" s="223"/>
      <c r="U131" s="223"/>
      <c r="V131" s="223"/>
      <c r="W131" s="223"/>
      <c r="X131" s="223"/>
      <c r="Y131" s="223"/>
      <c r="Z131" s="223"/>
    </row>
    <row r="132">
      <c r="A132" s="223" t="str">
        <f>IFERROR(__xludf.DUMMYFUNCTION("""COMPUTED_VALUE"""),"Olivia Shoppe : Monthly Services")</f>
        <v>Olivia Shoppe : Monthly Services</v>
      </c>
      <c r="B132" s="223" t="str">
        <f>IFERROR(__xludf.DUMMYFUNCTION("""COMPUTED_VALUE"""),"Olivia Shoppe")</f>
        <v>Olivia Shoppe</v>
      </c>
      <c r="C132" s="223" t="str">
        <f>IFERROR(__xludf.DUMMYFUNCTION("""COMPUTED_VALUE"""),"Monthly Services")</f>
        <v>Monthly Services</v>
      </c>
      <c r="D132" s="316">
        <f>IFERROR(__xludf.DUMMYFUNCTION("""COMPUTED_VALUE"""),44561.0)</f>
        <v>44561</v>
      </c>
      <c r="E132" s="298">
        <f>IFERROR(__xludf.DUMMYFUNCTION("""COMPUTED_VALUE"""),797.4563999999999)</f>
        <v>797.4564</v>
      </c>
      <c r="F132" s="298">
        <f>IFERROR(__xludf.DUMMYFUNCTION("""COMPUTED_VALUE"""),29.8739436)</f>
        <v>29.8739436</v>
      </c>
      <c r="G132" s="298">
        <f>IFERROR(__xludf.DUMMYFUNCTION("""COMPUTED_VALUE"""),0.0)</f>
        <v>0</v>
      </c>
      <c r="H132" s="223">
        <f>IFERROR(__xludf.DUMMYFUNCTION("""COMPUTED_VALUE"""),767.5824564)</f>
        <v>767.5824564</v>
      </c>
      <c r="I132" s="298"/>
      <c r="J132" s="223" t="str">
        <f>IFERROR(__xludf.DUMMYFUNCTION("""COMPUTED_VALUE"""),"Monthly")</f>
        <v>Monthly</v>
      </c>
      <c r="K132" s="317">
        <f>IFERROR(__xludf.DUMMYFUNCTION("""COMPUTED_VALUE"""),2021.12)</f>
        <v>2021.12</v>
      </c>
      <c r="L132" s="298"/>
      <c r="M132" s="223"/>
      <c r="N132" s="223"/>
      <c r="O132" s="223"/>
      <c r="P132" s="223"/>
      <c r="Q132" s="223"/>
      <c r="R132" s="223"/>
      <c r="S132" s="223"/>
      <c r="T132" s="223"/>
      <c r="U132" s="223"/>
      <c r="V132" s="223"/>
      <c r="W132" s="223"/>
      <c r="X132" s="223"/>
      <c r="Y132" s="223"/>
      <c r="Z132" s="223"/>
    </row>
    <row r="133">
      <c r="A133" s="223" t="str">
        <f>IFERROR(__xludf.DUMMYFUNCTION("""COMPUTED_VALUE"""),"PMDI : Monthly Services")</f>
        <v>PMDI : Monthly Services</v>
      </c>
      <c r="B133" s="223" t="str">
        <f>IFERROR(__xludf.DUMMYFUNCTION("""COMPUTED_VALUE"""),"PMDI")</f>
        <v>PMDI</v>
      </c>
      <c r="C133" s="223" t="str">
        <f>IFERROR(__xludf.DUMMYFUNCTION("""COMPUTED_VALUE"""),"Monthly Services")</f>
        <v>Monthly Services</v>
      </c>
      <c r="D133" s="316">
        <f>IFERROR(__xludf.DUMMYFUNCTION("""COMPUTED_VALUE"""),44561.0)</f>
        <v>44561</v>
      </c>
      <c r="E133" s="298">
        <f>IFERROR(__xludf.DUMMYFUNCTION("""COMPUTED_VALUE"""),375.0)</f>
        <v>375</v>
      </c>
      <c r="F133" s="298">
        <f>IFERROR(__xludf.DUMMYFUNCTION("""COMPUTED_VALUE"""),0.0)</f>
        <v>0</v>
      </c>
      <c r="G133" s="298">
        <f>IFERROR(__xludf.DUMMYFUNCTION("""COMPUTED_VALUE"""),0.0)</f>
        <v>0</v>
      </c>
      <c r="H133" s="223">
        <f>IFERROR(__xludf.DUMMYFUNCTION("""COMPUTED_VALUE"""),375.0)</f>
        <v>375</v>
      </c>
      <c r="I133" s="298"/>
      <c r="J133" s="223" t="str">
        <f>IFERROR(__xludf.DUMMYFUNCTION("""COMPUTED_VALUE"""),"Monthly")</f>
        <v>Monthly</v>
      </c>
      <c r="K133" s="317">
        <f>IFERROR(__xludf.DUMMYFUNCTION("""COMPUTED_VALUE"""),2021.12)</f>
        <v>2021.12</v>
      </c>
      <c r="L133" s="298"/>
      <c r="M133" s="223"/>
      <c r="N133" s="223"/>
      <c r="O133" s="223"/>
      <c r="P133" s="223"/>
      <c r="Q133" s="223"/>
      <c r="R133" s="223"/>
      <c r="S133" s="223"/>
      <c r="T133" s="223"/>
      <c r="U133" s="223"/>
      <c r="V133" s="223"/>
      <c r="W133" s="223"/>
      <c r="X133" s="223"/>
      <c r="Y133" s="223"/>
      <c r="Z133" s="223"/>
    </row>
    <row r="134">
      <c r="A134" s="223" t="str">
        <f>IFERROR(__xludf.DUMMYFUNCTION("""COMPUTED_VALUE"""),"Prime Engineering : Monthly Services")</f>
        <v>Prime Engineering : Monthly Services</v>
      </c>
      <c r="B134" s="223" t="str">
        <f>IFERROR(__xludf.DUMMYFUNCTION("""COMPUTED_VALUE"""),"Prime Engineering")</f>
        <v>Prime Engineering</v>
      </c>
      <c r="C134" s="223" t="str">
        <f>IFERROR(__xludf.DUMMYFUNCTION("""COMPUTED_VALUE"""),"Monthly Services")</f>
        <v>Monthly Services</v>
      </c>
      <c r="D134" s="316">
        <f>IFERROR(__xludf.DUMMYFUNCTION("""COMPUTED_VALUE"""),44561.0)</f>
        <v>44561</v>
      </c>
      <c r="E134" s="298">
        <f>IFERROR(__xludf.DUMMYFUNCTION("""COMPUTED_VALUE"""),500.0)</f>
        <v>500</v>
      </c>
      <c r="F134" s="298">
        <f>IFERROR(__xludf.DUMMYFUNCTION("""COMPUTED_VALUE"""),0.0)</f>
        <v>0</v>
      </c>
      <c r="G134" s="298">
        <f>IFERROR(__xludf.DUMMYFUNCTION("""COMPUTED_VALUE"""),0.0)</f>
        <v>0</v>
      </c>
      <c r="H134" s="223">
        <f>IFERROR(__xludf.DUMMYFUNCTION("""COMPUTED_VALUE"""),500.0)</f>
        <v>500</v>
      </c>
      <c r="I134" s="298"/>
      <c r="J134" s="223" t="str">
        <f>IFERROR(__xludf.DUMMYFUNCTION("""COMPUTED_VALUE"""),"Monthly")</f>
        <v>Monthly</v>
      </c>
      <c r="K134" s="317">
        <f>IFERROR(__xludf.DUMMYFUNCTION("""COMPUTED_VALUE"""),2021.12)</f>
        <v>2021.12</v>
      </c>
      <c r="L134" s="298"/>
      <c r="M134" s="223"/>
      <c r="N134" s="223"/>
      <c r="O134" s="223"/>
      <c r="P134" s="223"/>
      <c r="Q134" s="223"/>
      <c r="R134" s="223"/>
      <c r="S134" s="223"/>
      <c r="T134" s="223"/>
      <c r="U134" s="223"/>
      <c r="V134" s="223"/>
      <c r="W134" s="223"/>
      <c r="X134" s="223"/>
      <c r="Y134" s="223"/>
      <c r="Z134" s="223"/>
    </row>
    <row r="135">
      <c r="A135" s="223" t="str">
        <f>IFERROR(__xludf.DUMMYFUNCTION("""COMPUTED_VALUE"""),"Rama Meditation Society : Premium Hosting + Support")</f>
        <v>Rama Meditation Society : Premium Hosting + Support</v>
      </c>
      <c r="B135" s="223" t="str">
        <f>IFERROR(__xludf.DUMMYFUNCTION("""COMPUTED_VALUE"""),"Rama Meditation Society")</f>
        <v>Rama Meditation Society</v>
      </c>
      <c r="C135" s="223" t="str">
        <f>IFERROR(__xludf.DUMMYFUNCTION("""COMPUTED_VALUE"""),"Premium Hosting + Support")</f>
        <v>Premium Hosting + Support</v>
      </c>
      <c r="D135" s="316">
        <f>IFERROR(__xludf.DUMMYFUNCTION("""COMPUTED_VALUE"""),44561.0)</f>
        <v>44561</v>
      </c>
      <c r="E135" s="298">
        <f>IFERROR(__xludf.DUMMYFUNCTION("""COMPUTED_VALUE"""),367.242)</f>
        <v>367.242</v>
      </c>
      <c r="F135" s="298">
        <f>IFERROR(__xludf.DUMMYFUNCTION("""COMPUTED_VALUE"""),13.955196)</f>
        <v>13.955196</v>
      </c>
      <c r="G135" s="298">
        <f>IFERROR(__xludf.DUMMYFUNCTION("""COMPUTED_VALUE"""),0.0)</f>
        <v>0</v>
      </c>
      <c r="H135" s="223">
        <f>IFERROR(__xludf.DUMMYFUNCTION("""COMPUTED_VALUE"""),353.286804)</f>
        <v>353.286804</v>
      </c>
      <c r="I135" s="298"/>
      <c r="J135" s="223" t="str">
        <f>IFERROR(__xludf.DUMMYFUNCTION("""COMPUTED_VALUE"""),"Monthly")</f>
        <v>Monthly</v>
      </c>
      <c r="K135" s="317">
        <f>IFERROR(__xludf.DUMMYFUNCTION("""COMPUTED_VALUE"""),2021.12)</f>
        <v>2021.12</v>
      </c>
      <c r="L135" s="298"/>
      <c r="M135" s="223"/>
      <c r="N135" s="223"/>
      <c r="O135" s="223"/>
      <c r="P135" s="223"/>
      <c r="Q135" s="223"/>
      <c r="R135" s="223"/>
      <c r="S135" s="223"/>
      <c r="T135" s="223"/>
      <c r="U135" s="223"/>
      <c r="V135" s="223"/>
      <c r="W135" s="223"/>
      <c r="X135" s="223"/>
      <c r="Y135" s="223"/>
      <c r="Z135" s="223"/>
    </row>
    <row r="136">
      <c r="A136" s="223" t="str">
        <f>IFERROR(__xludf.DUMMYFUNCTION("""COMPUTED_VALUE"""),"Red Seal : Monthly Services")</f>
        <v>Red Seal : Monthly Services</v>
      </c>
      <c r="B136" s="223" t="str">
        <f>IFERROR(__xludf.DUMMYFUNCTION("""COMPUTED_VALUE"""),"Red Seal")</f>
        <v>Red Seal</v>
      </c>
      <c r="C136" s="223" t="str">
        <f>IFERROR(__xludf.DUMMYFUNCTION("""COMPUTED_VALUE"""),"Monthly Services")</f>
        <v>Monthly Services</v>
      </c>
      <c r="D136" s="316">
        <f>IFERROR(__xludf.DUMMYFUNCTION("""COMPUTED_VALUE"""),44561.0)</f>
        <v>44561</v>
      </c>
      <c r="E136" s="298">
        <f>IFERROR(__xludf.DUMMYFUNCTION("""COMPUTED_VALUE"""),250.0)</f>
        <v>250</v>
      </c>
      <c r="F136" s="298">
        <f>IFERROR(__xludf.DUMMYFUNCTION("""COMPUTED_VALUE"""),0.0)</f>
        <v>0</v>
      </c>
      <c r="G136" s="298">
        <f>IFERROR(__xludf.DUMMYFUNCTION("""COMPUTED_VALUE"""),0.0)</f>
        <v>0</v>
      </c>
      <c r="H136" s="223">
        <f>IFERROR(__xludf.DUMMYFUNCTION("""COMPUTED_VALUE"""),250.0)</f>
        <v>250</v>
      </c>
      <c r="I136" s="298"/>
      <c r="J136" s="223" t="str">
        <f>IFERROR(__xludf.DUMMYFUNCTION("""COMPUTED_VALUE"""),"Monthly")</f>
        <v>Monthly</v>
      </c>
      <c r="K136" s="317">
        <f>IFERROR(__xludf.DUMMYFUNCTION("""COMPUTED_VALUE"""),2021.12)</f>
        <v>2021.12</v>
      </c>
      <c r="L136" s="298"/>
      <c r="M136" s="223"/>
      <c r="N136" s="223"/>
      <c r="O136" s="223"/>
      <c r="P136" s="223"/>
      <c r="Q136" s="223"/>
      <c r="R136" s="223"/>
      <c r="S136" s="223"/>
      <c r="T136" s="223"/>
      <c r="U136" s="223"/>
      <c r="V136" s="223"/>
      <c r="W136" s="223"/>
      <c r="X136" s="223"/>
      <c r="Y136" s="223"/>
      <c r="Z136" s="223"/>
    </row>
    <row r="137">
      <c r="A137" s="223" t="str">
        <f>IFERROR(__xludf.DUMMYFUNCTION("""COMPUTED_VALUE"""),"Service First : Monthly Services")</f>
        <v>Service First : Monthly Services</v>
      </c>
      <c r="B137" s="223" t="str">
        <f>IFERROR(__xludf.DUMMYFUNCTION("""COMPUTED_VALUE"""),"Service First")</f>
        <v>Service First</v>
      </c>
      <c r="C137" s="223" t="str">
        <f>IFERROR(__xludf.DUMMYFUNCTION("""COMPUTED_VALUE"""),"Monthly Services")</f>
        <v>Monthly Services</v>
      </c>
      <c r="D137" s="316">
        <f>IFERROR(__xludf.DUMMYFUNCTION("""COMPUTED_VALUE"""),44561.0)</f>
        <v>44561</v>
      </c>
      <c r="E137" s="298">
        <f>IFERROR(__xludf.DUMMYFUNCTION("""COMPUTED_VALUE"""),300.0)</f>
        <v>300</v>
      </c>
      <c r="F137" s="298">
        <f>IFERROR(__xludf.DUMMYFUNCTION("""COMPUTED_VALUE"""),9.33)</f>
        <v>9.33</v>
      </c>
      <c r="G137" s="298">
        <f>IFERROR(__xludf.DUMMYFUNCTION("""COMPUTED_VALUE"""),0.0)</f>
        <v>0</v>
      </c>
      <c r="H137" s="223">
        <f>IFERROR(__xludf.DUMMYFUNCTION("""COMPUTED_VALUE"""),290.67)</f>
        <v>290.67</v>
      </c>
      <c r="I137" s="298"/>
      <c r="J137" s="223" t="str">
        <f>IFERROR(__xludf.DUMMYFUNCTION("""COMPUTED_VALUE"""),"Monthly")</f>
        <v>Monthly</v>
      </c>
      <c r="K137" s="317">
        <f>IFERROR(__xludf.DUMMYFUNCTION("""COMPUTED_VALUE"""),2021.12)</f>
        <v>2021.12</v>
      </c>
      <c r="L137" s="298"/>
      <c r="M137" s="223"/>
      <c r="N137" s="223"/>
      <c r="O137" s="223"/>
      <c r="P137" s="223"/>
      <c r="Q137" s="223"/>
      <c r="R137" s="223"/>
      <c r="S137" s="223"/>
      <c r="T137" s="223"/>
      <c r="U137" s="223"/>
      <c r="V137" s="223"/>
      <c r="W137" s="223"/>
      <c r="X137" s="223"/>
      <c r="Y137" s="223"/>
      <c r="Z137" s="223"/>
    </row>
    <row r="138">
      <c r="A138" s="223" t="str">
        <f>IFERROR(__xludf.DUMMYFUNCTION("""COMPUTED_VALUE"""),"Spraggs : Monthly Services")</f>
        <v>Spraggs : Monthly Services</v>
      </c>
      <c r="B138" s="223" t="str">
        <f>IFERROR(__xludf.DUMMYFUNCTION("""COMPUTED_VALUE"""),"Spraggs")</f>
        <v>Spraggs</v>
      </c>
      <c r="C138" s="223" t="str">
        <f>IFERROR(__xludf.DUMMYFUNCTION("""COMPUTED_VALUE"""),"Monthly Services")</f>
        <v>Monthly Services</v>
      </c>
      <c r="D138" s="316">
        <f>IFERROR(__xludf.DUMMYFUNCTION("""COMPUTED_VALUE"""),44561.0)</f>
        <v>44561</v>
      </c>
      <c r="E138" s="298">
        <f>IFERROR(__xludf.DUMMYFUNCTION("""COMPUTED_VALUE"""),2500.0)</f>
        <v>2500</v>
      </c>
      <c r="F138" s="298">
        <f>IFERROR(__xludf.DUMMYFUNCTION("""COMPUTED_VALUE"""),77.78)</f>
        <v>77.78</v>
      </c>
      <c r="G138" s="298">
        <f>IFERROR(__xludf.DUMMYFUNCTION("""COMPUTED_VALUE"""),0.0)</f>
        <v>0</v>
      </c>
      <c r="H138" s="223">
        <f>IFERROR(__xludf.DUMMYFUNCTION("""COMPUTED_VALUE"""),2422.22)</f>
        <v>2422.22</v>
      </c>
      <c r="I138" s="298"/>
      <c r="J138" s="223" t="str">
        <f>IFERROR(__xludf.DUMMYFUNCTION("""COMPUTED_VALUE"""),"Monthly")</f>
        <v>Monthly</v>
      </c>
      <c r="K138" s="317">
        <f>IFERROR(__xludf.DUMMYFUNCTION("""COMPUTED_VALUE"""),2021.12)</f>
        <v>2021.12</v>
      </c>
      <c r="L138" s="298"/>
      <c r="M138" s="223"/>
      <c r="N138" s="223"/>
      <c r="O138" s="223"/>
      <c r="P138" s="223"/>
      <c r="Q138" s="223"/>
      <c r="R138" s="223"/>
      <c r="S138" s="223"/>
      <c r="T138" s="223"/>
      <c r="U138" s="223"/>
      <c r="V138" s="223"/>
      <c r="W138" s="223"/>
      <c r="X138" s="223"/>
      <c r="Y138" s="223"/>
      <c r="Z138" s="223"/>
    </row>
    <row r="139">
      <c r="A139" s="223" t="str">
        <f>IFERROR(__xludf.DUMMYFUNCTION("""COMPUTED_VALUE"""),"Tires Easy : Monthly Services for Tires-Easy.com")</f>
        <v>Tires Easy : Monthly Services for Tires-Easy.com</v>
      </c>
      <c r="B139" s="223" t="str">
        <f>IFERROR(__xludf.DUMMYFUNCTION("""COMPUTED_VALUE"""),"Tires Easy")</f>
        <v>Tires Easy</v>
      </c>
      <c r="C139" s="223" t="str">
        <f>IFERROR(__xludf.DUMMYFUNCTION("""COMPUTED_VALUE"""),"Monthly Services for Tires-Easy.com")</f>
        <v>Monthly Services for Tires-Easy.com</v>
      </c>
      <c r="D139" s="316">
        <f>IFERROR(__xludf.DUMMYFUNCTION("""COMPUTED_VALUE"""),44561.0)</f>
        <v>44561</v>
      </c>
      <c r="E139" s="298">
        <f>IFERROR(__xludf.DUMMYFUNCTION("""COMPUTED_VALUE"""),428.449)</f>
        <v>428.449</v>
      </c>
      <c r="F139" s="298">
        <f>IFERROR(__xludf.DUMMYFUNCTION("""COMPUTED_VALUE"""),16.219855)</f>
        <v>16.219855</v>
      </c>
      <c r="G139" s="298">
        <f>IFERROR(__xludf.DUMMYFUNCTION("""COMPUTED_VALUE"""),0.0)</f>
        <v>0</v>
      </c>
      <c r="H139" s="223">
        <f>IFERROR(__xludf.DUMMYFUNCTION("""COMPUTED_VALUE"""),412.229145)</f>
        <v>412.229145</v>
      </c>
      <c r="I139" s="298"/>
      <c r="J139" s="223" t="str">
        <f>IFERROR(__xludf.DUMMYFUNCTION("""COMPUTED_VALUE"""),"Monthly")</f>
        <v>Monthly</v>
      </c>
      <c r="K139" s="317">
        <f>IFERROR(__xludf.DUMMYFUNCTION("""COMPUTED_VALUE"""),2021.12)</f>
        <v>2021.12</v>
      </c>
      <c r="L139" s="298"/>
      <c r="M139" s="223"/>
      <c r="N139" s="223"/>
      <c r="O139" s="223"/>
      <c r="P139" s="223"/>
      <c r="Q139" s="223"/>
      <c r="R139" s="223"/>
      <c r="S139" s="223"/>
      <c r="T139" s="223"/>
      <c r="U139" s="223"/>
      <c r="V139" s="223"/>
      <c r="W139" s="223"/>
      <c r="X139" s="223"/>
      <c r="Y139" s="223"/>
      <c r="Z139" s="223"/>
    </row>
    <row r="140">
      <c r="A140" s="223" t="str">
        <f>IFERROR(__xludf.DUMMYFUNCTION("""COMPUTED_VALUE"""),"TisBest : Monthly Services")</f>
        <v>TisBest : Monthly Services</v>
      </c>
      <c r="B140" s="223" t="str">
        <f>IFERROR(__xludf.DUMMYFUNCTION("""COMPUTED_VALUE"""),"TisBest")</f>
        <v>TisBest</v>
      </c>
      <c r="C140" s="223" t="str">
        <f>IFERROR(__xludf.DUMMYFUNCTION("""COMPUTED_VALUE"""),"Monthly Services")</f>
        <v>Monthly Services</v>
      </c>
      <c r="D140" s="316">
        <f>IFERROR(__xludf.DUMMYFUNCTION("""COMPUTED_VALUE"""),44561.0)</f>
        <v>44561</v>
      </c>
      <c r="E140" s="298">
        <f>IFERROR(__xludf.DUMMYFUNCTION("""COMPUTED_VALUE"""),7985.913)</f>
        <v>7985.913</v>
      </c>
      <c r="F140" s="298">
        <f>IFERROR(__xludf.DUMMYFUNCTION("""COMPUTED_VALUE"""),295.8473616)</f>
        <v>295.8473616</v>
      </c>
      <c r="G140" s="298">
        <f>IFERROR(__xludf.DUMMYFUNCTION("""COMPUTED_VALUE"""),1538.01312768)</f>
        <v>1538.013128</v>
      </c>
      <c r="H140" s="223">
        <f>IFERROR(__xludf.DUMMYFUNCTION("""COMPUTED_VALUE"""),6152.052510719999)</f>
        <v>6152.052511</v>
      </c>
      <c r="I140" s="298"/>
      <c r="J140" s="223" t="str">
        <f>IFERROR(__xludf.DUMMYFUNCTION("""COMPUTED_VALUE"""),"Monthly")</f>
        <v>Monthly</v>
      </c>
      <c r="K140" s="317">
        <f>IFERROR(__xludf.DUMMYFUNCTION("""COMPUTED_VALUE"""),2021.12)</f>
        <v>2021.12</v>
      </c>
      <c r="L140" s="298"/>
      <c r="M140" s="223"/>
      <c r="N140" s="223"/>
      <c r="O140" s="223"/>
      <c r="P140" s="223"/>
      <c r="Q140" s="223"/>
      <c r="R140" s="223"/>
      <c r="S140" s="223"/>
      <c r="T140" s="223"/>
      <c r="U140" s="223"/>
      <c r="V140" s="223"/>
      <c r="W140" s="223"/>
      <c r="X140" s="223"/>
      <c r="Y140" s="223"/>
      <c r="Z140" s="223"/>
    </row>
    <row r="141">
      <c r="A141" s="223" t="str">
        <f>IFERROR(__xludf.DUMMYFUNCTION("""COMPUTED_VALUE"""),"Tuscany : Monthly Services")</f>
        <v>Tuscany : Monthly Services</v>
      </c>
      <c r="B141" s="223" t="str">
        <f>IFERROR(__xludf.DUMMYFUNCTION("""COMPUTED_VALUE"""),"Tuscany")</f>
        <v>Tuscany</v>
      </c>
      <c r="C141" s="223" t="str">
        <f>IFERROR(__xludf.DUMMYFUNCTION("""COMPUTED_VALUE"""),"Monthly Services")</f>
        <v>Monthly Services</v>
      </c>
      <c r="D141" s="316">
        <f>IFERROR(__xludf.DUMMYFUNCTION("""COMPUTED_VALUE"""),44561.0)</f>
        <v>44561</v>
      </c>
      <c r="E141" s="298">
        <f>IFERROR(__xludf.DUMMYFUNCTION("""COMPUTED_VALUE"""),2451.025)</f>
        <v>2451.025</v>
      </c>
      <c r="F141" s="298">
        <f>IFERROR(__xludf.DUMMYFUNCTION("""COMPUTED_VALUE"""),0.0)</f>
        <v>0</v>
      </c>
      <c r="G141" s="298">
        <f>IFERROR(__xludf.DUMMYFUNCTION("""COMPUTED_VALUE"""),0.0)</f>
        <v>0</v>
      </c>
      <c r="H141" s="223">
        <f>IFERROR(__xludf.DUMMYFUNCTION("""COMPUTED_VALUE"""),2451.025)</f>
        <v>2451.025</v>
      </c>
      <c r="I141" s="298"/>
      <c r="J141" s="223" t="str">
        <f>IFERROR(__xludf.DUMMYFUNCTION("""COMPUTED_VALUE"""),"Monthly")</f>
        <v>Monthly</v>
      </c>
      <c r="K141" s="317">
        <f>IFERROR(__xludf.DUMMYFUNCTION("""COMPUTED_VALUE"""),2021.12)</f>
        <v>2021.12</v>
      </c>
      <c r="L141" s="298"/>
      <c r="M141" s="223"/>
      <c r="N141" s="223"/>
      <c r="O141" s="223"/>
      <c r="P141" s="223"/>
      <c r="Q141" s="223"/>
      <c r="R141" s="223"/>
      <c r="S141" s="223"/>
      <c r="T141" s="223"/>
      <c r="U141" s="223"/>
      <c r="V141" s="223"/>
      <c r="W141" s="223"/>
      <c r="X141" s="223"/>
      <c r="Y141" s="223"/>
      <c r="Z141" s="223"/>
    </row>
    <row r="142">
      <c r="A142" s="223" t="str">
        <f>IFERROR(__xludf.DUMMYFUNCTION("""COMPUTED_VALUE"""),"Venetian : Monthly Services")</f>
        <v>Venetian : Monthly Services</v>
      </c>
      <c r="B142" s="223" t="str">
        <f>IFERROR(__xludf.DUMMYFUNCTION("""COMPUTED_VALUE"""),"Venetian")</f>
        <v>Venetian</v>
      </c>
      <c r="C142" s="223" t="str">
        <f>IFERROR(__xludf.DUMMYFUNCTION("""COMPUTED_VALUE"""),"Monthly Services")</f>
        <v>Monthly Services</v>
      </c>
      <c r="D142" s="316">
        <f>IFERROR(__xludf.DUMMYFUNCTION("""COMPUTED_VALUE"""),44561.0)</f>
        <v>44561</v>
      </c>
      <c r="E142" s="298">
        <f>IFERROR(__xludf.DUMMYFUNCTION("""COMPUTED_VALUE"""),2451.025)</f>
        <v>2451.025</v>
      </c>
      <c r="F142" s="298">
        <f>IFERROR(__xludf.DUMMYFUNCTION("""COMPUTED_VALUE"""),0.0)</f>
        <v>0</v>
      </c>
      <c r="G142" s="298">
        <f>IFERROR(__xludf.DUMMYFUNCTION("""COMPUTED_VALUE"""),0.0)</f>
        <v>0</v>
      </c>
      <c r="H142" s="223">
        <f>IFERROR(__xludf.DUMMYFUNCTION("""COMPUTED_VALUE"""),2451.025)</f>
        <v>2451.025</v>
      </c>
      <c r="I142" s="298"/>
      <c r="J142" s="223" t="str">
        <f>IFERROR(__xludf.DUMMYFUNCTION("""COMPUTED_VALUE"""),"Monthly")</f>
        <v>Monthly</v>
      </c>
      <c r="K142" s="317">
        <f>IFERROR(__xludf.DUMMYFUNCTION("""COMPUTED_VALUE"""),2021.12)</f>
        <v>2021.12</v>
      </c>
      <c r="L142" s="298"/>
      <c r="M142" s="223"/>
      <c r="N142" s="223"/>
      <c r="O142" s="223"/>
      <c r="P142" s="223"/>
      <c r="Q142" s="223"/>
      <c r="R142" s="223"/>
      <c r="S142" s="223"/>
      <c r="T142" s="223"/>
      <c r="U142" s="223"/>
      <c r="V142" s="223"/>
      <c r="W142" s="223"/>
      <c r="X142" s="223"/>
      <c r="Y142" s="223"/>
      <c r="Z142" s="223"/>
    </row>
    <row r="143">
      <c r="A143" s="223" t="str">
        <f>IFERROR(__xludf.DUMMYFUNCTION("""COMPUTED_VALUE"""),"Wallack's Art Supplies : Monthly Services")</f>
        <v>Wallack's Art Supplies : Monthly Services</v>
      </c>
      <c r="B143" s="223" t="str">
        <f>IFERROR(__xludf.DUMMYFUNCTION("""COMPUTED_VALUE"""),"Wallack's Art Supplies")</f>
        <v>Wallack's Art Supplies</v>
      </c>
      <c r="C143" s="223" t="str">
        <f>IFERROR(__xludf.DUMMYFUNCTION("""COMPUTED_VALUE"""),"Monthly Services")</f>
        <v>Monthly Services</v>
      </c>
      <c r="D143" s="316">
        <f>IFERROR(__xludf.DUMMYFUNCTION("""COMPUTED_VALUE"""),44561.0)</f>
        <v>44561</v>
      </c>
      <c r="E143" s="298">
        <f>IFERROR(__xludf.DUMMYFUNCTION("""COMPUTED_VALUE"""),700.0)</f>
        <v>700</v>
      </c>
      <c r="F143" s="298">
        <f>IFERROR(__xludf.DUMMYFUNCTION("""COMPUTED_VALUE"""),0.0)</f>
        <v>0</v>
      </c>
      <c r="G143" s="298">
        <f>IFERROR(__xludf.DUMMYFUNCTION("""COMPUTED_VALUE"""),0.0)</f>
        <v>0</v>
      </c>
      <c r="H143" s="223">
        <f>IFERROR(__xludf.DUMMYFUNCTION("""COMPUTED_VALUE"""),700.0)</f>
        <v>700</v>
      </c>
      <c r="I143" s="298"/>
      <c r="J143" s="223" t="str">
        <f>IFERROR(__xludf.DUMMYFUNCTION("""COMPUTED_VALUE"""),"Monthly")</f>
        <v>Monthly</v>
      </c>
      <c r="K143" s="317">
        <f>IFERROR(__xludf.DUMMYFUNCTION("""COMPUTED_VALUE"""),2021.12)</f>
        <v>2021.12</v>
      </c>
      <c r="L143" s="298"/>
      <c r="M143" s="223"/>
      <c r="N143" s="223"/>
      <c r="O143" s="223"/>
      <c r="P143" s="223"/>
      <c r="Q143" s="223"/>
      <c r="R143" s="223"/>
      <c r="S143" s="223"/>
      <c r="T143" s="223"/>
      <c r="U143" s="223"/>
      <c r="V143" s="223"/>
      <c r="W143" s="223"/>
      <c r="X143" s="223"/>
      <c r="Y143" s="223"/>
      <c r="Z143" s="223"/>
    </row>
    <row r="144">
      <c r="A144" s="223" t="str">
        <f>IFERROR(__xludf.DUMMYFUNCTION("""COMPUTED_VALUE"""),"Crisp Media : Aspect Engineers Review")</f>
        <v>Crisp Media : Aspect Engineers Review</v>
      </c>
      <c r="B144" s="223" t="str">
        <f>IFERROR(__xludf.DUMMYFUNCTION("""COMPUTED_VALUE"""),"Crisp Media")</f>
        <v>Crisp Media</v>
      </c>
      <c r="C144" s="223" t="str">
        <f>IFERROR(__xludf.DUMMYFUNCTION("""COMPUTED_VALUE"""),"Aspect Engineers Review")</f>
        <v>Aspect Engineers Review</v>
      </c>
      <c r="D144" s="316">
        <f>IFERROR(__xludf.DUMMYFUNCTION("""COMPUTED_VALUE"""),44561.0)</f>
        <v>44561</v>
      </c>
      <c r="E144" s="298">
        <f>IFERROR(__xludf.DUMMYFUNCTION("""COMPUTED_VALUE"""),800.0)</f>
        <v>800</v>
      </c>
      <c r="F144" s="298">
        <f>IFERROR(__xludf.DUMMYFUNCTION("""COMPUTED_VALUE"""),24.89)</f>
        <v>24.89</v>
      </c>
      <c r="G144" s="298">
        <f>IFERROR(__xludf.DUMMYFUNCTION("""COMPUTED_VALUE"""),0.0)</f>
        <v>0</v>
      </c>
      <c r="H144" s="223">
        <f>IFERROR(__xludf.DUMMYFUNCTION("""COMPUTED_VALUE"""),775.11)</f>
        <v>775.11</v>
      </c>
      <c r="I144" s="298"/>
      <c r="J144" s="223" t="str">
        <f>IFERROR(__xludf.DUMMYFUNCTION("""COMPUTED_VALUE"""),"Full Amount")</f>
        <v>Full Amount</v>
      </c>
      <c r="K144" s="317">
        <f>IFERROR(__xludf.DUMMYFUNCTION("""COMPUTED_VALUE"""),2021.12)</f>
        <v>2021.12</v>
      </c>
      <c r="L144" s="298"/>
      <c r="M144" s="223"/>
      <c r="N144" s="223"/>
      <c r="O144" s="223"/>
      <c r="P144" s="223"/>
      <c r="Q144" s="223"/>
      <c r="R144" s="223"/>
      <c r="S144" s="223"/>
      <c r="T144" s="223"/>
      <c r="U144" s="223"/>
      <c r="V144" s="223"/>
      <c r="W144" s="223"/>
      <c r="X144" s="223"/>
      <c r="Y144" s="223"/>
      <c r="Z144" s="223"/>
    </row>
    <row r="145">
      <c r="A145" s="223" t="str">
        <f>IFERROR(__xludf.DUMMYFUNCTION("""COMPUTED_VALUE"""),"Anook Athletics : Monthly Services")</f>
        <v>Anook Athletics : Monthly Services</v>
      </c>
      <c r="B145" s="223" t="str">
        <f>IFERROR(__xludf.DUMMYFUNCTION("""COMPUTED_VALUE"""),"Anook Athletics")</f>
        <v>Anook Athletics</v>
      </c>
      <c r="C145" s="223" t="str">
        <f>IFERROR(__xludf.DUMMYFUNCTION("""COMPUTED_VALUE"""),"Monthly Services")</f>
        <v>Monthly Services</v>
      </c>
      <c r="D145" s="316">
        <f>IFERROR(__xludf.DUMMYFUNCTION("""COMPUTED_VALUE"""),44561.0)</f>
        <v>44561</v>
      </c>
      <c r="E145" s="298">
        <f>IFERROR(__xludf.DUMMYFUNCTION("""COMPUTED_VALUE"""),1000.0)</f>
        <v>1000</v>
      </c>
      <c r="F145" s="298">
        <f>IFERROR(__xludf.DUMMYFUNCTION("""COMPUTED_VALUE"""),31.11)</f>
        <v>31.11</v>
      </c>
      <c r="G145" s="298">
        <f>IFERROR(__xludf.DUMMYFUNCTION("""COMPUTED_VALUE"""),0.0)</f>
        <v>0</v>
      </c>
      <c r="H145" s="223">
        <f>IFERROR(__xludf.DUMMYFUNCTION("""COMPUTED_VALUE"""),968.89)</f>
        <v>968.89</v>
      </c>
      <c r="I145" s="298"/>
      <c r="J145" s="223" t="str">
        <f>IFERROR(__xludf.DUMMYFUNCTION("""COMPUTED_VALUE"""),"Monthly")</f>
        <v>Monthly</v>
      </c>
      <c r="K145" s="317">
        <f>IFERROR(__xludf.DUMMYFUNCTION("""COMPUTED_VALUE"""),2021.12)</f>
        <v>2021.12</v>
      </c>
      <c r="L145" s="298"/>
      <c r="M145" s="223"/>
      <c r="N145" s="223"/>
      <c r="O145" s="223"/>
      <c r="P145" s="223"/>
      <c r="Q145" s="223"/>
      <c r="R145" s="223"/>
      <c r="S145" s="223"/>
      <c r="T145" s="223"/>
      <c r="U145" s="223"/>
      <c r="V145" s="223"/>
      <c r="W145" s="223"/>
      <c r="X145" s="223"/>
      <c r="Y145" s="223"/>
      <c r="Z145" s="223"/>
    </row>
    <row r="146">
      <c r="A146" s="223" t="str">
        <f>IFERROR(__xludf.DUMMYFUNCTION("""COMPUTED_VALUE"""),"New Growth Ecommerce Inc : Monthly Services")</f>
        <v>New Growth Ecommerce Inc : Monthly Services</v>
      </c>
      <c r="B146" s="223" t="str">
        <f>IFERROR(__xludf.DUMMYFUNCTION("""COMPUTED_VALUE"""),"New Growth Ecommerce Inc")</f>
        <v>New Growth Ecommerce Inc</v>
      </c>
      <c r="C146" s="223" t="str">
        <f>IFERROR(__xludf.DUMMYFUNCTION("""COMPUTED_VALUE"""),"Monthly Services")</f>
        <v>Monthly Services</v>
      </c>
      <c r="D146" s="316">
        <f>IFERROR(__xludf.DUMMYFUNCTION("""COMPUTED_VALUE"""),44561.0)</f>
        <v>44561</v>
      </c>
      <c r="E146" s="298">
        <f>IFERROR(__xludf.DUMMYFUNCTION("""COMPUTED_VALUE"""),1000.0)</f>
        <v>1000</v>
      </c>
      <c r="F146" s="298">
        <f>IFERROR(__xludf.DUMMYFUNCTION("""COMPUTED_VALUE"""),0.0)</f>
        <v>0</v>
      </c>
      <c r="G146" s="298">
        <f>IFERROR(__xludf.DUMMYFUNCTION("""COMPUTED_VALUE"""),0.0)</f>
        <v>0</v>
      </c>
      <c r="H146" s="223">
        <f>IFERROR(__xludf.DUMMYFUNCTION("""COMPUTED_VALUE"""),1000.0)</f>
        <v>1000</v>
      </c>
      <c r="I146" s="298"/>
      <c r="J146" s="223" t="str">
        <f>IFERROR(__xludf.DUMMYFUNCTION("""COMPUTED_VALUE"""),"Monthly")</f>
        <v>Monthly</v>
      </c>
      <c r="K146" s="317">
        <f>IFERROR(__xludf.DUMMYFUNCTION("""COMPUTED_VALUE"""),2021.12)</f>
        <v>2021.12</v>
      </c>
      <c r="L146" s="298"/>
      <c r="M146" s="223"/>
      <c r="N146" s="223"/>
      <c r="O146" s="223"/>
      <c r="P146" s="223"/>
      <c r="Q146" s="223"/>
      <c r="R146" s="223"/>
      <c r="S146" s="223"/>
      <c r="T146" s="223"/>
      <c r="U146" s="223"/>
      <c r="V146" s="223"/>
      <c r="W146" s="223"/>
      <c r="X146" s="223"/>
      <c r="Y146" s="223"/>
      <c r="Z146" s="223"/>
    </row>
    <row r="147">
      <c r="A147" s="223" t="str">
        <f>IFERROR(__xludf.DUMMYFUNCTION("""COMPUTED_VALUE"""),"The Academy : Premium Hosting")</f>
        <v>The Academy : Premium Hosting</v>
      </c>
      <c r="B147" s="223" t="str">
        <f>IFERROR(__xludf.DUMMYFUNCTION("""COMPUTED_VALUE"""),"The Academy")</f>
        <v>The Academy</v>
      </c>
      <c r="C147" s="223" t="str">
        <f>IFERROR(__xludf.DUMMYFUNCTION("""COMPUTED_VALUE"""),"Premium Hosting")</f>
        <v>Premium Hosting</v>
      </c>
      <c r="D147" s="316">
        <f>IFERROR(__xludf.DUMMYFUNCTION("""COMPUTED_VALUE"""),44567.0)</f>
        <v>44567</v>
      </c>
      <c r="E147" s="298">
        <f>IFERROR(__xludf.DUMMYFUNCTION("""COMPUTED_VALUE"""),1014.3445200000001)</f>
        <v>1014.34452</v>
      </c>
      <c r="F147" s="298">
        <f>IFERROR(__xludf.DUMMYFUNCTION("""COMPUTED_VALUE"""),64.4833302)</f>
        <v>64.4833302</v>
      </c>
      <c r="G147" s="298">
        <f>IFERROR(__xludf.DUMMYFUNCTION("""COMPUTED_VALUE"""),0.0)</f>
        <v>0</v>
      </c>
      <c r="H147" s="223">
        <f>IFERROR(__xludf.DUMMYFUNCTION("""COMPUTED_VALUE"""),949.8611898000001)</f>
        <v>949.8611898</v>
      </c>
      <c r="I147" s="298"/>
      <c r="J147" s="223" t="str">
        <f>IFERROR(__xludf.DUMMYFUNCTION("""COMPUTED_VALUE"""),"Yearly (Advance)")</f>
        <v>Yearly (Advance)</v>
      </c>
      <c r="K147" s="317">
        <f>IFERROR(__xludf.DUMMYFUNCTION("""COMPUTED_VALUE"""),2022.0)</f>
        <v>2022</v>
      </c>
      <c r="L147" s="298"/>
      <c r="M147" s="223"/>
      <c r="N147" s="223"/>
      <c r="O147" s="223"/>
      <c r="P147" s="223"/>
      <c r="Q147" s="223"/>
      <c r="R147" s="223"/>
      <c r="S147" s="223"/>
      <c r="T147" s="223"/>
      <c r="U147" s="223"/>
      <c r="V147" s="223"/>
      <c r="W147" s="223"/>
      <c r="X147" s="223"/>
      <c r="Y147" s="223"/>
      <c r="Z147" s="223"/>
    </row>
    <row r="148">
      <c r="A148" s="223" t="str">
        <f>IFERROR(__xludf.DUMMYFUNCTION("""COMPUTED_VALUE"""),"The Academy : 5 Hour Support Block")</f>
        <v>The Academy : 5 Hour Support Block</v>
      </c>
      <c r="B148" s="223" t="str">
        <f>IFERROR(__xludf.DUMMYFUNCTION("""COMPUTED_VALUE"""),"The Academy")</f>
        <v>The Academy</v>
      </c>
      <c r="C148" s="223" t="str">
        <f>IFERROR(__xludf.DUMMYFUNCTION("""COMPUTED_VALUE"""),"5 Hour Support Block")</f>
        <v>5 Hour Support Block</v>
      </c>
      <c r="D148" s="316">
        <f>IFERROR(__xludf.DUMMYFUNCTION("""COMPUTED_VALUE"""),44567.0)</f>
        <v>44567</v>
      </c>
      <c r="E148" s="298">
        <f>IFERROR(__xludf.DUMMYFUNCTION("""COMPUTED_VALUE"""),718.494035)</f>
        <v>718.494035</v>
      </c>
      <c r="F148" s="298">
        <f>IFERROR(__xludf.DUMMYFUNCTION("""COMPUTED_VALUE"""),0.0)</f>
        <v>0</v>
      </c>
      <c r="G148" s="298">
        <f>IFERROR(__xludf.DUMMYFUNCTION("""COMPUTED_VALUE"""),0.0)</f>
        <v>0</v>
      </c>
      <c r="H148" s="223">
        <f>IFERROR(__xludf.DUMMYFUNCTION("""COMPUTED_VALUE"""),718.494035)</f>
        <v>718.494035</v>
      </c>
      <c r="I148" s="298"/>
      <c r="J148" s="223" t="str">
        <f>IFERROR(__xludf.DUMMYFUNCTION("""COMPUTED_VALUE"""),"One-Time (Advance)")</f>
        <v>One-Time (Advance)</v>
      </c>
      <c r="K148" s="317">
        <f>IFERROR(__xludf.DUMMYFUNCTION("""COMPUTED_VALUE"""),2022.0)</f>
        <v>2022</v>
      </c>
      <c r="L148" s="298"/>
      <c r="M148" s="223"/>
      <c r="N148" s="223"/>
      <c r="O148" s="223"/>
      <c r="P148" s="223"/>
      <c r="Q148" s="223"/>
      <c r="R148" s="223"/>
      <c r="S148" s="223"/>
      <c r="T148" s="223"/>
      <c r="U148" s="223"/>
      <c r="V148" s="223"/>
      <c r="W148" s="223"/>
      <c r="X148" s="223"/>
      <c r="Y148" s="223"/>
      <c r="Z148" s="223"/>
    </row>
    <row r="149">
      <c r="A149" s="223" t="str">
        <f>IFERROR(__xludf.DUMMYFUNCTION("""COMPUTED_VALUE"""),"Customer First Design : Emotionality Website + Hosting for 2022")</f>
        <v>Customer First Design : Emotionality Website + Hosting for 2022</v>
      </c>
      <c r="B149" s="223" t="str">
        <f>IFERROR(__xludf.DUMMYFUNCTION("""COMPUTED_VALUE"""),"Customer First Design")</f>
        <v>Customer First Design</v>
      </c>
      <c r="C149" s="223" t="str">
        <f>IFERROR(__xludf.DUMMYFUNCTION("""COMPUTED_VALUE"""),"Emotionality Website + Hosting for 2022")</f>
        <v>Emotionality Website + Hosting for 2022</v>
      </c>
      <c r="D149" s="316">
        <f>IFERROR(__xludf.DUMMYFUNCTION("""COMPUTED_VALUE"""),44567.0)</f>
        <v>44567</v>
      </c>
      <c r="E149" s="298">
        <f>IFERROR(__xludf.DUMMYFUNCTION("""COMPUTED_VALUE"""),1300.0)</f>
        <v>1300</v>
      </c>
      <c r="F149" s="298">
        <f>IFERROR(__xludf.DUMMYFUNCTION("""COMPUTED_VALUE"""),40.44)</f>
        <v>40.44</v>
      </c>
      <c r="G149" s="298">
        <f>IFERROR(__xludf.DUMMYFUNCTION("""COMPUTED_VALUE"""),0.0)</f>
        <v>0</v>
      </c>
      <c r="H149" s="223">
        <f>IFERROR(__xludf.DUMMYFUNCTION("""COMPUTED_VALUE"""),1259.56)</f>
        <v>1259.56</v>
      </c>
      <c r="I149" s="298"/>
      <c r="J149" s="223" t="str">
        <f>IFERROR(__xludf.DUMMYFUNCTION("""COMPUTED_VALUE"""),"One-Time (Advance)")</f>
        <v>One-Time (Advance)</v>
      </c>
      <c r="K149" s="317">
        <f>IFERROR(__xludf.DUMMYFUNCTION("""COMPUTED_VALUE"""),2022.0)</f>
        <v>2022</v>
      </c>
      <c r="L149" s="298"/>
      <c r="M149" s="223"/>
      <c r="N149" s="223"/>
      <c r="O149" s="223"/>
      <c r="P149" s="223"/>
      <c r="Q149" s="223"/>
      <c r="R149" s="223"/>
      <c r="S149" s="223"/>
      <c r="T149" s="223"/>
      <c r="U149" s="223"/>
      <c r="V149" s="223"/>
      <c r="W149" s="223"/>
      <c r="X149" s="223"/>
      <c r="Y149" s="223"/>
      <c r="Z149" s="223"/>
    </row>
    <row r="150">
      <c r="A150" s="223" t="str">
        <f>IFERROR(__xludf.DUMMYFUNCTION("""COMPUTED_VALUE"""),"Arazy Group : Monthly Services")</f>
        <v>Arazy Group : Monthly Services</v>
      </c>
      <c r="B150" s="223" t="str">
        <f>IFERROR(__xludf.DUMMYFUNCTION("""COMPUTED_VALUE"""),"Arazy Group")</f>
        <v>Arazy Group</v>
      </c>
      <c r="C150" s="223" t="str">
        <f>IFERROR(__xludf.DUMMYFUNCTION("""COMPUTED_VALUE"""),"Monthly Services")</f>
        <v>Monthly Services</v>
      </c>
      <c r="D150" s="316">
        <f>IFERROR(__xludf.DUMMYFUNCTION("""COMPUTED_VALUE"""),44575.0)</f>
        <v>44575</v>
      </c>
      <c r="E150" s="298">
        <f>IFERROR(__xludf.DUMMYFUNCTION("""COMPUTED_VALUE"""),650.0)</f>
        <v>650</v>
      </c>
      <c r="F150" s="298">
        <f>IFERROR(__xludf.DUMMYFUNCTION("""COMPUTED_VALUE"""),20.09)</f>
        <v>20.09</v>
      </c>
      <c r="G150" s="298">
        <f>IFERROR(__xludf.DUMMYFUNCTION("""COMPUTED_VALUE"""),0.0)</f>
        <v>0</v>
      </c>
      <c r="H150" s="223">
        <f>IFERROR(__xludf.DUMMYFUNCTION("""COMPUTED_VALUE"""),629.91)</f>
        <v>629.91</v>
      </c>
      <c r="I150" s="298"/>
      <c r="J150" s="223" t="str">
        <f>IFERROR(__xludf.DUMMYFUNCTION("""COMPUTED_VALUE"""),"Monthly")</f>
        <v>Monthly</v>
      </c>
      <c r="K150" s="317">
        <f>IFERROR(__xludf.DUMMYFUNCTION("""COMPUTED_VALUE"""),2022.01)</f>
        <v>2022.01</v>
      </c>
      <c r="L150" s="298"/>
      <c r="M150" s="223"/>
      <c r="N150" s="223"/>
      <c r="O150" s="223"/>
      <c r="P150" s="223"/>
      <c r="Q150" s="223"/>
      <c r="R150" s="223"/>
      <c r="S150" s="223"/>
      <c r="T150" s="223"/>
      <c r="U150" s="223"/>
      <c r="V150" s="223"/>
      <c r="W150" s="223"/>
      <c r="X150" s="223"/>
      <c r="Y150" s="223"/>
      <c r="Z150" s="223"/>
    </row>
    <row r="151">
      <c r="A151" s="223" t="str">
        <f>IFERROR(__xludf.DUMMYFUNCTION("""COMPUTED_VALUE"""),"Booginhead : Monthly Services")</f>
        <v>Booginhead : Monthly Services</v>
      </c>
      <c r="B151" s="223" t="str">
        <f>IFERROR(__xludf.DUMMYFUNCTION("""COMPUTED_VALUE"""),"Booginhead")</f>
        <v>Booginhead</v>
      </c>
      <c r="C151" s="223" t="str">
        <f>IFERROR(__xludf.DUMMYFUNCTION("""COMPUTED_VALUE"""),"Monthly Services")</f>
        <v>Monthly Services</v>
      </c>
      <c r="D151" s="316">
        <f>IFERROR(__xludf.DUMMYFUNCTION("""COMPUTED_VALUE"""),44575.0)</f>
        <v>44575</v>
      </c>
      <c r="E151" s="298">
        <f>IFERROR(__xludf.DUMMYFUNCTION("""COMPUTED_VALUE"""),1569.945)</f>
        <v>1569.945</v>
      </c>
      <c r="F151" s="298">
        <f>IFERROR(__xludf.DUMMYFUNCTION("""COMPUTED_VALUE"""),58.45025999999999)</f>
        <v>58.45026</v>
      </c>
      <c r="G151" s="298">
        <f>IFERROR(__xludf.DUMMYFUNCTION("""COMPUTED_VALUE"""),302.298948)</f>
        <v>302.298948</v>
      </c>
      <c r="H151" s="223">
        <f>IFERROR(__xludf.DUMMYFUNCTION("""COMPUTED_VALUE"""),1209.195792)</f>
        <v>1209.195792</v>
      </c>
      <c r="I151" s="298"/>
      <c r="J151" s="223" t="str">
        <f>IFERROR(__xludf.DUMMYFUNCTION("""COMPUTED_VALUE"""),"Monthly")</f>
        <v>Monthly</v>
      </c>
      <c r="K151" s="317">
        <f>IFERROR(__xludf.DUMMYFUNCTION("""COMPUTED_VALUE"""),2022.01)</f>
        <v>2022.01</v>
      </c>
      <c r="L151" s="298"/>
      <c r="M151" s="223"/>
      <c r="N151" s="223"/>
      <c r="O151" s="223"/>
      <c r="P151" s="223"/>
      <c r="Q151" s="223"/>
      <c r="R151" s="223"/>
      <c r="S151" s="223"/>
      <c r="T151" s="223"/>
      <c r="U151" s="223"/>
      <c r="V151" s="223"/>
      <c r="W151" s="223"/>
      <c r="X151" s="223"/>
      <c r="Y151" s="223"/>
      <c r="Z151" s="223"/>
    </row>
    <row r="152">
      <c r="A152" s="223" t="str">
        <f>IFERROR(__xludf.DUMMYFUNCTION("""COMPUTED_VALUE"""),"Booginhead : Monthly Services")</f>
        <v>Booginhead : Monthly Services</v>
      </c>
      <c r="B152" s="223" t="str">
        <f>IFERROR(__xludf.DUMMYFUNCTION("""COMPUTED_VALUE"""),"Booginhead")</f>
        <v>Booginhead</v>
      </c>
      <c r="C152" s="223" t="str">
        <f>IFERROR(__xludf.DUMMYFUNCTION("""COMPUTED_VALUE"""),"Monthly Services")</f>
        <v>Monthly Services</v>
      </c>
      <c r="D152" s="316">
        <f>IFERROR(__xludf.DUMMYFUNCTION("""COMPUTED_VALUE"""),44575.0)</f>
        <v>44575</v>
      </c>
      <c r="E152" s="298">
        <f>IFERROR(__xludf.DUMMYFUNCTION("""COMPUTED_VALUE"""),1300.0)</f>
        <v>1300</v>
      </c>
      <c r="F152" s="298">
        <f>IFERROR(__xludf.DUMMYFUNCTION("""COMPUTED_VALUE"""),23.0885996)</f>
        <v>23.0885996</v>
      </c>
      <c r="G152" s="298">
        <f>IFERROR(__xludf.DUMMYFUNCTION("""COMPUTED_VALUE"""),255.38228008000002)</f>
        <v>255.3822801</v>
      </c>
      <c r="H152" s="223">
        <f>IFERROR(__xludf.DUMMYFUNCTION("""COMPUTED_VALUE"""),1021.5291203200001)</f>
        <v>1021.52912</v>
      </c>
      <c r="I152" s="298"/>
      <c r="J152" s="223" t="str">
        <f>IFERROR(__xludf.DUMMYFUNCTION("""COMPUTED_VALUE"""),"Monthly")</f>
        <v>Monthly</v>
      </c>
      <c r="K152" s="317">
        <f>IFERROR(__xludf.DUMMYFUNCTION("""COMPUTED_VALUE"""),2022.01)</f>
        <v>2022.01</v>
      </c>
      <c r="L152" s="298"/>
      <c r="M152" s="223"/>
      <c r="N152" s="223"/>
      <c r="O152" s="223"/>
      <c r="P152" s="223"/>
      <c r="Q152" s="223"/>
      <c r="R152" s="223"/>
      <c r="S152" s="223"/>
      <c r="T152" s="223"/>
      <c r="U152" s="223"/>
      <c r="V152" s="223"/>
      <c r="W152" s="223"/>
      <c r="X152" s="223"/>
      <c r="Y152" s="223"/>
      <c r="Z152" s="223"/>
    </row>
    <row r="153">
      <c r="A153" s="223" t="str">
        <f>IFERROR(__xludf.DUMMYFUNCTION("""COMPUTED_VALUE"""),"Technology Rivers : Monthly Services")</f>
        <v>Technology Rivers : Monthly Services</v>
      </c>
      <c r="B153" s="223" t="str">
        <f>IFERROR(__xludf.DUMMYFUNCTION("""COMPUTED_VALUE"""),"Technology Rivers")</f>
        <v>Technology Rivers</v>
      </c>
      <c r="C153" s="223" t="str">
        <f>IFERROR(__xludf.DUMMYFUNCTION("""COMPUTED_VALUE"""),"Monthly Services")</f>
        <v>Monthly Services</v>
      </c>
      <c r="D153" s="316">
        <f>IFERROR(__xludf.DUMMYFUNCTION("""COMPUTED_VALUE"""),44575.0)</f>
        <v>44575</v>
      </c>
      <c r="E153" s="298">
        <f>IFERROR(__xludf.DUMMYFUNCTION("""COMPUTED_VALUE"""),603.8249999999999)</f>
        <v>603.825</v>
      </c>
      <c r="F153" s="298">
        <f>IFERROR(__xludf.DUMMYFUNCTION("""COMPUTED_VALUE"""),22.70382)</f>
        <v>22.70382</v>
      </c>
      <c r="G153" s="298">
        <f>IFERROR(__xludf.DUMMYFUNCTION("""COMPUTED_VALUE"""),116.224236)</f>
        <v>116.224236</v>
      </c>
      <c r="H153" s="223">
        <f>IFERROR(__xludf.DUMMYFUNCTION("""COMPUTED_VALUE"""),464.89694399999996)</f>
        <v>464.896944</v>
      </c>
      <c r="I153" s="298"/>
      <c r="J153" s="223" t="str">
        <f>IFERROR(__xludf.DUMMYFUNCTION("""COMPUTED_VALUE"""),"Monthly")</f>
        <v>Monthly</v>
      </c>
      <c r="K153" s="317">
        <f>IFERROR(__xludf.DUMMYFUNCTION("""COMPUTED_VALUE"""),2022.01)</f>
        <v>2022.01</v>
      </c>
      <c r="L153" s="298"/>
      <c r="M153" s="223"/>
      <c r="N153" s="223"/>
      <c r="O153" s="223"/>
      <c r="P153" s="223"/>
      <c r="Q153" s="223"/>
      <c r="R153" s="223"/>
      <c r="S153" s="223"/>
      <c r="T153" s="223"/>
      <c r="U153" s="223"/>
      <c r="V153" s="223"/>
      <c r="W153" s="223"/>
      <c r="X153" s="223"/>
      <c r="Y153" s="223"/>
      <c r="Z153" s="223"/>
    </row>
    <row r="154">
      <c r="A154" s="223" t="str">
        <f>IFERROR(__xludf.DUMMYFUNCTION("""COMPUTED_VALUE"""),"Tofino Resort + Marina : Monthly Services")</f>
        <v>Tofino Resort + Marina : Monthly Services</v>
      </c>
      <c r="B154" s="223" t="str">
        <f>IFERROR(__xludf.DUMMYFUNCTION("""COMPUTED_VALUE"""),"Tofino Resort + Marina")</f>
        <v>Tofino Resort + Marina</v>
      </c>
      <c r="C154" s="223" t="str">
        <f>IFERROR(__xludf.DUMMYFUNCTION("""COMPUTED_VALUE"""),"Monthly Services")</f>
        <v>Monthly Services</v>
      </c>
      <c r="D154" s="316">
        <f>IFERROR(__xludf.DUMMYFUNCTION("""COMPUTED_VALUE"""),44575.0)</f>
        <v>44575</v>
      </c>
      <c r="E154" s="298">
        <f>IFERROR(__xludf.DUMMYFUNCTION("""COMPUTED_VALUE"""),1600.0)</f>
        <v>1600</v>
      </c>
      <c r="F154" s="298">
        <f>IFERROR(__xludf.DUMMYFUNCTION("""COMPUTED_VALUE"""),49.78)</f>
        <v>49.78</v>
      </c>
      <c r="G154" s="298">
        <f>IFERROR(__xludf.DUMMYFUNCTION("""COMPUTED_VALUE"""),0.0)</f>
        <v>0</v>
      </c>
      <c r="H154" s="223">
        <f>IFERROR(__xludf.DUMMYFUNCTION("""COMPUTED_VALUE"""),1550.22)</f>
        <v>1550.22</v>
      </c>
      <c r="I154" s="298"/>
      <c r="J154" s="223" t="str">
        <f>IFERROR(__xludf.DUMMYFUNCTION("""COMPUTED_VALUE"""),"Monthly")</f>
        <v>Monthly</v>
      </c>
      <c r="K154" s="317">
        <f>IFERROR(__xludf.DUMMYFUNCTION("""COMPUTED_VALUE"""),2022.01)</f>
        <v>2022.01</v>
      </c>
      <c r="L154" s="298"/>
      <c r="M154" s="223"/>
      <c r="N154" s="223"/>
      <c r="O154" s="223"/>
      <c r="P154" s="223"/>
      <c r="Q154" s="223"/>
      <c r="R154" s="223"/>
      <c r="S154" s="223"/>
      <c r="T154" s="223"/>
      <c r="U154" s="223"/>
      <c r="V154" s="223"/>
      <c r="W154" s="223"/>
      <c r="X154" s="223"/>
      <c r="Y154" s="223"/>
      <c r="Z154" s="223"/>
    </row>
    <row r="155">
      <c r="A155" s="223" t="str">
        <f>IFERROR(__xludf.DUMMYFUNCTION("""COMPUTED_VALUE"""),"New Growth Ecommerce Inc : Monthly Services")</f>
        <v>New Growth Ecommerce Inc : Monthly Services</v>
      </c>
      <c r="B155" s="223" t="str">
        <f>IFERROR(__xludf.DUMMYFUNCTION("""COMPUTED_VALUE"""),"New Growth Ecommerce Inc")</f>
        <v>New Growth Ecommerce Inc</v>
      </c>
      <c r="C155" s="223" t="str">
        <f>IFERROR(__xludf.DUMMYFUNCTION("""COMPUTED_VALUE"""),"Monthly Services")</f>
        <v>Monthly Services</v>
      </c>
      <c r="D155" s="316">
        <f>IFERROR(__xludf.DUMMYFUNCTION("""COMPUTED_VALUE"""),44575.0)</f>
        <v>44575</v>
      </c>
      <c r="E155" s="298">
        <f>IFERROR(__xludf.DUMMYFUNCTION("""COMPUTED_VALUE"""),5000.0)</f>
        <v>5000</v>
      </c>
      <c r="F155" s="298">
        <f>IFERROR(__xludf.DUMMYFUNCTION("""COMPUTED_VALUE"""),0.0)</f>
        <v>0</v>
      </c>
      <c r="G155" s="298">
        <f>IFERROR(__xludf.DUMMYFUNCTION("""COMPUTED_VALUE"""),0.0)</f>
        <v>0</v>
      </c>
      <c r="H155" s="223">
        <f>IFERROR(__xludf.DUMMYFUNCTION("""COMPUTED_VALUE"""),5000.0)</f>
        <v>5000</v>
      </c>
      <c r="I155" s="298"/>
      <c r="J155" s="223" t="str">
        <f>IFERROR(__xludf.DUMMYFUNCTION("""COMPUTED_VALUE"""),"Monthly")</f>
        <v>Monthly</v>
      </c>
      <c r="K155" s="317">
        <f>IFERROR(__xludf.DUMMYFUNCTION("""COMPUTED_VALUE"""),2022.01)</f>
        <v>2022.01</v>
      </c>
      <c r="L155" s="298"/>
      <c r="M155" s="223"/>
      <c r="N155" s="223"/>
      <c r="O155" s="223"/>
      <c r="P155" s="223"/>
      <c r="Q155" s="223"/>
      <c r="R155" s="223"/>
      <c r="S155" s="223"/>
      <c r="T155" s="223"/>
      <c r="U155" s="223"/>
      <c r="V155" s="223"/>
      <c r="W155" s="223"/>
      <c r="X155" s="223"/>
      <c r="Y155" s="223"/>
      <c r="Z155" s="223"/>
    </row>
    <row r="156">
      <c r="A156" s="223" t="str">
        <f>IFERROR(__xludf.DUMMYFUNCTION("""COMPUTED_VALUE"""),"ColdStar : Website Rebuild")</f>
        <v>ColdStar : Website Rebuild</v>
      </c>
      <c r="B156" s="223" t="str">
        <f>IFERROR(__xludf.DUMMYFUNCTION("""COMPUTED_VALUE"""),"ColdStar")</f>
        <v>ColdStar</v>
      </c>
      <c r="C156" s="223" t="str">
        <f>IFERROR(__xludf.DUMMYFUNCTION("""COMPUTED_VALUE"""),"Website Rebuild")</f>
        <v>Website Rebuild</v>
      </c>
      <c r="D156" s="316">
        <f>IFERROR(__xludf.DUMMYFUNCTION("""COMPUTED_VALUE"""),44575.0)</f>
        <v>44575</v>
      </c>
      <c r="E156" s="298">
        <f>IFERROR(__xludf.DUMMYFUNCTION("""COMPUTED_VALUE"""),1800.0)</f>
        <v>1800</v>
      </c>
      <c r="F156" s="298">
        <f>IFERROR(__xludf.DUMMYFUNCTION("""COMPUTED_VALUE"""),0.0)</f>
        <v>0</v>
      </c>
      <c r="G156" s="298">
        <f>IFERROR(__xludf.DUMMYFUNCTION("""COMPUTED_VALUE"""),0.0)</f>
        <v>0</v>
      </c>
      <c r="H156" s="223">
        <f>IFERROR(__xludf.DUMMYFUNCTION("""COMPUTED_VALUE"""),1800.0)</f>
        <v>1800</v>
      </c>
      <c r="I156" s="298"/>
      <c r="J156" s="223" t="str">
        <f>IFERROR(__xludf.DUMMYFUNCTION("""COMPUTED_VALUE"""),"One-Time (Advance)")</f>
        <v>One-Time (Advance)</v>
      </c>
      <c r="K156" s="317">
        <f>IFERROR(__xludf.DUMMYFUNCTION("""COMPUTED_VALUE"""),2022.0)</f>
        <v>2022</v>
      </c>
      <c r="L156" s="298"/>
      <c r="M156" s="223"/>
      <c r="N156" s="223"/>
      <c r="O156" s="223"/>
      <c r="P156" s="223"/>
      <c r="Q156" s="223"/>
      <c r="R156" s="223"/>
      <c r="S156" s="223"/>
      <c r="T156" s="223"/>
      <c r="U156" s="223"/>
      <c r="V156" s="223"/>
      <c r="W156" s="223"/>
      <c r="X156" s="223"/>
      <c r="Y156" s="223"/>
      <c r="Z156" s="223"/>
    </row>
    <row r="157">
      <c r="A157" s="223" t="str">
        <f>IFERROR(__xludf.DUMMYFUNCTION("""COMPUTED_VALUE"""),"ColdStar : Basic Hosting")</f>
        <v>ColdStar : Basic Hosting</v>
      </c>
      <c r="B157" s="223" t="str">
        <f>IFERROR(__xludf.DUMMYFUNCTION("""COMPUTED_VALUE"""),"ColdStar")</f>
        <v>ColdStar</v>
      </c>
      <c r="C157" s="223" t="str">
        <f>IFERROR(__xludf.DUMMYFUNCTION("""COMPUTED_VALUE"""),"Basic Hosting")</f>
        <v>Basic Hosting</v>
      </c>
      <c r="D157" s="316">
        <f>IFERROR(__xludf.DUMMYFUNCTION("""COMPUTED_VALUE"""),44575.0)</f>
        <v>44575</v>
      </c>
      <c r="E157" s="298">
        <f>IFERROR(__xludf.DUMMYFUNCTION("""COMPUTED_VALUE"""),330.0)</f>
        <v>330</v>
      </c>
      <c r="F157" s="298">
        <f>IFERROR(__xludf.DUMMYFUNCTION("""COMPUTED_VALUE"""),0.0)</f>
        <v>0</v>
      </c>
      <c r="G157" s="298">
        <f>IFERROR(__xludf.DUMMYFUNCTION("""COMPUTED_VALUE"""),0.0)</f>
        <v>0</v>
      </c>
      <c r="H157" s="223">
        <f>IFERROR(__xludf.DUMMYFUNCTION("""COMPUTED_VALUE"""),330.0)</f>
        <v>330</v>
      </c>
      <c r="I157" s="298"/>
      <c r="J157" s="223" t="str">
        <f>IFERROR(__xludf.DUMMYFUNCTION("""COMPUTED_VALUE"""),"Yearly (Advance)")</f>
        <v>Yearly (Advance)</v>
      </c>
      <c r="K157" s="317">
        <f>IFERROR(__xludf.DUMMYFUNCTION("""COMPUTED_VALUE"""),2022.0)</f>
        <v>2022</v>
      </c>
      <c r="L157" s="298"/>
      <c r="M157" s="223"/>
      <c r="N157" s="223"/>
      <c r="O157" s="223"/>
      <c r="P157" s="223"/>
      <c r="Q157" s="223"/>
      <c r="R157" s="223"/>
      <c r="S157" s="223"/>
      <c r="T157" s="223"/>
      <c r="U157" s="223"/>
      <c r="V157" s="223"/>
      <c r="W157" s="223"/>
      <c r="X157" s="223"/>
      <c r="Y157" s="223"/>
      <c r="Z157" s="223"/>
    </row>
    <row r="158">
      <c r="A158" s="223" t="str">
        <f>IFERROR(__xludf.DUMMYFUNCTION("""COMPUTED_VALUE"""),"PMDI : Website Update Project")</f>
        <v>PMDI : Website Update Project</v>
      </c>
      <c r="B158" s="223" t="str">
        <f>IFERROR(__xludf.DUMMYFUNCTION("""COMPUTED_VALUE"""),"PMDI")</f>
        <v>PMDI</v>
      </c>
      <c r="C158" s="223" t="str">
        <f>IFERROR(__xludf.DUMMYFUNCTION("""COMPUTED_VALUE"""),"Website Update Project")</f>
        <v>Website Update Project</v>
      </c>
      <c r="D158" s="316">
        <f>IFERROR(__xludf.DUMMYFUNCTION("""COMPUTED_VALUE"""),44575.0)</f>
        <v>44575</v>
      </c>
      <c r="E158" s="298">
        <f>IFERROR(__xludf.DUMMYFUNCTION("""COMPUTED_VALUE"""),650.0)</f>
        <v>650</v>
      </c>
      <c r="F158" s="298">
        <f>IFERROR(__xludf.DUMMYFUNCTION("""COMPUTED_VALUE"""),0.0)</f>
        <v>0</v>
      </c>
      <c r="G158" s="298">
        <f>IFERROR(__xludf.DUMMYFUNCTION("""COMPUTED_VALUE"""),0.0)</f>
        <v>0</v>
      </c>
      <c r="H158" s="223">
        <f>IFERROR(__xludf.DUMMYFUNCTION("""COMPUTED_VALUE"""),650.0)</f>
        <v>650</v>
      </c>
      <c r="I158" s="298"/>
      <c r="J158" s="223" t="str">
        <f>IFERROR(__xludf.DUMMYFUNCTION("""COMPUTED_VALUE"""),"One-Time (Advance)")</f>
        <v>One-Time (Advance)</v>
      </c>
      <c r="K158" s="317">
        <f>IFERROR(__xludf.DUMMYFUNCTION("""COMPUTED_VALUE"""),2022.0)</f>
        <v>2022</v>
      </c>
      <c r="L158" s="298"/>
      <c r="M158" s="223"/>
      <c r="N158" s="223"/>
      <c r="O158" s="223"/>
      <c r="P158" s="223"/>
      <c r="Q158" s="223"/>
      <c r="R158" s="223"/>
      <c r="S158" s="223"/>
      <c r="T158" s="223"/>
      <c r="U158" s="223"/>
      <c r="V158" s="223"/>
      <c r="W158" s="223"/>
      <c r="X158" s="223"/>
      <c r="Y158" s="223"/>
      <c r="Z158" s="223"/>
    </row>
    <row r="159">
      <c r="A159" s="223" t="str">
        <f>IFERROR(__xludf.DUMMYFUNCTION("""COMPUTED_VALUE"""),"Argos Products : Monthly Services")</f>
        <v>Argos Products : Monthly Services</v>
      </c>
      <c r="B159" s="223" t="str">
        <f>IFERROR(__xludf.DUMMYFUNCTION("""COMPUTED_VALUE"""),"Argos Products")</f>
        <v>Argos Products</v>
      </c>
      <c r="C159" s="223" t="str">
        <f>IFERROR(__xludf.DUMMYFUNCTION("""COMPUTED_VALUE"""),"Monthly Services")</f>
        <v>Monthly Services</v>
      </c>
      <c r="D159" s="316">
        <f>IFERROR(__xludf.DUMMYFUNCTION("""COMPUTED_VALUE"""),44575.0)</f>
        <v>44575</v>
      </c>
      <c r="E159" s="298">
        <f>IFERROR(__xludf.DUMMYFUNCTION("""COMPUTED_VALUE"""),500.0)</f>
        <v>500</v>
      </c>
      <c r="F159" s="298">
        <f>IFERROR(__xludf.DUMMYFUNCTION("""COMPUTED_VALUE"""),0.0)</f>
        <v>0</v>
      </c>
      <c r="G159" s="298">
        <f>IFERROR(__xludf.DUMMYFUNCTION("""COMPUTED_VALUE"""),0.0)</f>
        <v>0</v>
      </c>
      <c r="H159" s="223">
        <f>IFERROR(__xludf.DUMMYFUNCTION("""COMPUTED_VALUE"""),500.0)</f>
        <v>500</v>
      </c>
      <c r="I159" s="298"/>
      <c r="J159" s="223" t="str">
        <f>IFERROR(__xludf.DUMMYFUNCTION("""COMPUTED_VALUE"""),"Monthly")</f>
        <v>Monthly</v>
      </c>
      <c r="K159" s="317">
        <f>IFERROR(__xludf.DUMMYFUNCTION("""COMPUTED_VALUE"""),2022.0)</f>
        <v>2022</v>
      </c>
      <c r="L159" s="298"/>
      <c r="M159" s="223"/>
      <c r="N159" s="223"/>
      <c r="O159" s="223"/>
      <c r="P159" s="223"/>
      <c r="Q159" s="223"/>
      <c r="R159" s="223"/>
      <c r="S159" s="223"/>
      <c r="T159" s="223"/>
      <c r="U159" s="223"/>
      <c r="V159" s="223"/>
      <c r="W159" s="223"/>
      <c r="X159" s="223"/>
      <c r="Y159" s="223"/>
      <c r="Z159" s="223"/>
    </row>
    <row r="160">
      <c r="A160" s="223" t="str">
        <f>IFERROR(__xludf.DUMMYFUNCTION("""COMPUTED_VALUE"""),"Sacred Deathcare : Digital Presence Review &amp; Report")</f>
        <v>Sacred Deathcare : Digital Presence Review &amp; Report</v>
      </c>
      <c r="B160" s="223" t="str">
        <f>IFERROR(__xludf.DUMMYFUNCTION("""COMPUTED_VALUE"""),"Sacred Deathcare")</f>
        <v>Sacred Deathcare</v>
      </c>
      <c r="C160" s="223" t="str">
        <f>IFERROR(__xludf.DUMMYFUNCTION("""COMPUTED_VALUE"""),"Digital Presence Review &amp; Report")</f>
        <v>Digital Presence Review &amp; Report</v>
      </c>
      <c r="D160" s="316">
        <f>IFERROR(__xludf.DUMMYFUNCTION("""COMPUTED_VALUE"""),44575.0)</f>
        <v>44575</v>
      </c>
      <c r="E160" s="298">
        <f>IFERROR(__xludf.DUMMYFUNCTION("""COMPUTED_VALUE"""),700.0)</f>
        <v>700</v>
      </c>
      <c r="F160" s="298">
        <f>IFERROR(__xludf.DUMMYFUNCTION("""COMPUTED_VALUE"""),21.78)</f>
        <v>21.78</v>
      </c>
      <c r="G160" s="298">
        <f>IFERROR(__xludf.DUMMYFUNCTION("""COMPUTED_VALUE"""),0.0)</f>
        <v>0</v>
      </c>
      <c r="H160" s="223">
        <f>IFERROR(__xludf.DUMMYFUNCTION("""COMPUTED_VALUE"""),678.22)</f>
        <v>678.22</v>
      </c>
      <c r="I160" s="298"/>
      <c r="J160" s="223" t="str">
        <f>IFERROR(__xludf.DUMMYFUNCTION("""COMPUTED_VALUE"""),"50% Deposit")</f>
        <v>50% Deposit</v>
      </c>
      <c r="K160" s="317">
        <f>IFERROR(__xludf.DUMMYFUNCTION("""COMPUTED_VALUE"""),2022.0)</f>
        <v>2022</v>
      </c>
      <c r="L160" s="298"/>
      <c r="M160" s="223"/>
      <c r="N160" s="223"/>
      <c r="O160" s="223"/>
      <c r="P160" s="223"/>
      <c r="Q160" s="223"/>
      <c r="R160" s="223"/>
      <c r="S160" s="223"/>
      <c r="T160" s="223"/>
      <c r="U160" s="223"/>
      <c r="V160" s="223"/>
      <c r="W160" s="223"/>
      <c r="X160" s="223"/>
      <c r="Y160" s="223"/>
      <c r="Z160" s="223"/>
    </row>
    <row r="161">
      <c r="A161" s="223" t="str">
        <f>IFERROR(__xludf.DUMMYFUNCTION("""COMPUTED_VALUE"""),"Sacred Deathcare : Digital Presence Review &amp; Report")</f>
        <v>Sacred Deathcare : Digital Presence Review &amp; Report</v>
      </c>
      <c r="B161" s="223" t="str">
        <f>IFERROR(__xludf.DUMMYFUNCTION("""COMPUTED_VALUE"""),"Sacred Deathcare")</f>
        <v>Sacred Deathcare</v>
      </c>
      <c r="C161" s="223" t="str">
        <f>IFERROR(__xludf.DUMMYFUNCTION("""COMPUTED_VALUE"""),"Digital Presence Review &amp; Report")</f>
        <v>Digital Presence Review &amp; Report</v>
      </c>
      <c r="D161" s="316">
        <f>IFERROR(__xludf.DUMMYFUNCTION("""COMPUTED_VALUE"""),44635.0)</f>
        <v>44635</v>
      </c>
      <c r="E161" s="298">
        <f>IFERROR(__xludf.DUMMYFUNCTION("""COMPUTED_VALUE"""),700.0)</f>
        <v>700</v>
      </c>
      <c r="F161" s="298">
        <f>IFERROR(__xludf.DUMMYFUNCTION("""COMPUTED_VALUE"""),21.78)</f>
        <v>21.78</v>
      </c>
      <c r="G161" s="298">
        <f>IFERROR(__xludf.DUMMYFUNCTION("""COMPUTED_VALUE"""),0.0)</f>
        <v>0</v>
      </c>
      <c r="H161" s="223">
        <f>IFERROR(__xludf.DUMMYFUNCTION("""COMPUTED_VALUE"""),678.22)</f>
        <v>678.22</v>
      </c>
      <c r="I161" s="298"/>
      <c r="J161" s="223" t="str">
        <f>IFERROR(__xludf.DUMMYFUNCTION("""COMPUTED_VALUE"""),"50% Final Payment")</f>
        <v>50% Final Payment</v>
      </c>
      <c r="K161" s="317">
        <f>IFERROR(__xludf.DUMMYFUNCTION("""COMPUTED_VALUE"""),2022.0)</f>
        <v>2022</v>
      </c>
      <c r="L161" s="298"/>
      <c r="M161" s="223"/>
      <c r="N161" s="223"/>
      <c r="O161" s="223"/>
      <c r="P161" s="223"/>
      <c r="Q161" s="223"/>
      <c r="R161" s="223"/>
      <c r="S161" s="223"/>
      <c r="T161" s="223"/>
      <c r="U161" s="223"/>
      <c r="V161" s="223"/>
      <c r="W161" s="223"/>
      <c r="X161" s="223"/>
      <c r="Y161" s="223"/>
      <c r="Z161" s="223"/>
    </row>
    <row r="162">
      <c r="A162" s="223" t="str">
        <f>IFERROR(__xludf.DUMMYFUNCTION("""COMPUTED_VALUE"""),"Athlone Golf &amp; Sports : PPC Setup")</f>
        <v>Athlone Golf &amp; Sports : PPC Setup</v>
      </c>
      <c r="B162" s="223" t="str">
        <f>IFERROR(__xludf.DUMMYFUNCTION("""COMPUTED_VALUE"""),"Athlone Golf &amp; Sports")</f>
        <v>Athlone Golf &amp; Sports</v>
      </c>
      <c r="C162" s="223" t="str">
        <f>IFERROR(__xludf.DUMMYFUNCTION("""COMPUTED_VALUE"""),"PPC Setup")</f>
        <v>PPC Setup</v>
      </c>
      <c r="D162" s="316">
        <f>IFERROR(__xludf.DUMMYFUNCTION("""COMPUTED_VALUE"""),44575.0)</f>
        <v>44575</v>
      </c>
      <c r="E162" s="298">
        <f>IFERROR(__xludf.DUMMYFUNCTION("""COMPUTED_VALUE"""),500.0)</f>
        <v>500</v>
      </c>
      <c r="F162" s="298">
        <f>IFERROR(__xludf.DUMMYFUNCTION("""COMPUTED_VALUE"""),15.56)</f>
        <v>15.56</v>
      </c>
      <c r="G162" s="298">
        <f>IFERROR(__xludf.DUMMYFUNCTION("""COMPUTED_VALUE"""),0.0)</f>
        <v>0</v>
      </c>
      <c r="H162" s="223">
        <f>IFERROR(__xludf.DUMMYFUNCTION("""COMPUTED_VALUE"""),484.44)</f>
        <v>484.44</v>
      </c>
      <c r="I162" s="298"/>
      <c r="J162" s="223" t="str">
        <f>IFERROR(__xludf.DUMMYFUNCTION("""COMPUTED_VALUE"""),"One-Time")</f>
        <v>One-Time</v>
      </c>
      <c r="K162" s="317">
        <f>IFERROR(__xludf.DUMMYFUNCTION("""COMPUTED_VALUE"""),2022.0)</f>
        <v>2022</v>
      </c>
      <c r="L162" s="298"/>
      <c r="M162" s="223"/>
      <c r="N162" s="223"/>
      <c r="O162" s="223"/>
      <c r="P162" s="223"/>
      <c r="Q162" s="223"/>
      <c r="R162" s="223"/>
      <c r="S162" s="223"/>
      <c r="T162" s="223"/>
      <c r="U162" s="223"/>
      <c r="V162" s="223"/>
      <c r="W162" s="223"/>
      <c r="X162" s="223"/>
      <c r="Y162" s="223"/>
      <c r="Z162" s="223"/>
    </row>
    <row r="163">
      <c r="A163" s="223" t="str">
        <f>IFERROR(__xludf.DUMMYFUNCTION("""COMPUTED_VALUE"""),"Customer First Design : Garibaldi Website")</f>
        <v>Customer First Design : Garibaldi Website</v>
      </c>
      <c r="B163" s="223" t="str">
        <f>IFERROR(__xludf.DUMMYFUNCTION("""COMPUTED_VALUE"""),"Customer First Design")</f>
        <v>Customer First Design</v>
      </c>
      <c r="C163" s="223" t="str">
        <f>IFERROR(__xludf.DUMMYFUNCTION("""COMPUTED_VALUE"""),"Garibaldi Website")</f>
        <v>Garibaldi Website</v>
      </c>
      <c r="D163" s="316">
        <f>IFERROR(__xludf.DUMMYFUNCTION("""COMPUTED_VALUE"""),44575.0)</f>
        <v>44575</v>
      </c>
      <c r="E163" s="298">
        <f>IFERROR(__xludf.DUMMYFUNCTION("""COMPUTED_VALUE"""),666.7683000000001)</f>
        <v>666.7683</v>
      </c>
      <c r="F163" s="298">
        <f>IFERROR(__xludf.DUMMYFUNCTION("""COMPUTED_VALUE"""),19.6999725)</f>
        <v>19.6999725</v>
      </c>
      <c r="G163" s="298">
        <f>IFERROR(__xludf.DUMMYFUNCTION("""COMPUTED_VALUE"""),0.0)</f>
        <v>0</v>
      </c>
      <c r="H163" s="223">
        <f>IFERROR(__xludf.DUMMYFUNCTION("""COMPUTED_VALUE"""),647.0683275000001)</f>
        <v>647.0683275</v>
      </c>
      <c r="I163" s="298"/>
      <c r="J163" s="223" t="str">
        <f>IFERROR(__xludf.DUMMYFUNCTION("""COMPUTED_VALUE"""),"One-Time (Advance)")</f>
        <v>One-Time (Advance)</v>
      </c>
      <c r="K163" s="317">
        <f>IFERROR(__xludf.DUMMYFUNCTION("""COMPUTED_VALUE"""),2022.0)</f>
        <v>2022</v>
      </c>
      <c r="L163" s="298"/>
      <c r="M163" s="223"/>
      <c r="N163" s="223"/>
      <c r="O163" s="223"/>
      <c r="P163" s="223"/>
      <c r="Q163" s="223"/>
      <c r="R163" s="223"/>
      <c r="S163" s="223"/>
      <c r="T163" s="223"/>
      <c r="U163" s="223"/>
      <c r="V163" s="223"/>
      <c r="W163" s="223"/>
      <c r="X163" s="223"/>
      <c r="Y163" s="223"/>
      <c r="Z163" s="223"/>
    </row>
    <row r="164">
      <c r="A164" s="223" t="str">
        <f>IFERROR(__xludf.DUMMYFUNCTION("""COMPUTED_VALUE"""),"Viridian : Monthly Services")</f>
        <v>Viridian : Monthly Services</v>
      </c>
      <c r="B164" s="223" t="str">
        <f>IFERROR(__xludf.DUMMYFUNCTION("""COMPUTED_VALUE"""),"Viridian")</f>
        <v>Viridian</v>
      </c>
      <c r="C164" s="223" t="str">
        <f>IFERROR(__xludf.DUMMYFUNCTION("""COMPUTED_VALUE"""),"Monthly Services")</f>
        <v>Monthly Services</v>
      </c>
      <c r="D164" s="316">
        <f>IFERROR(__xludf.DUMMYFUNCTION("""COMPUTED_VALUE"""),44575.0)</f>
        <v>44575</v>
      </c>
      <c r="E164" s="298">
        <f>IFERROR(__xludf.DUMMYFUNCTION("""COMPUTED_VALUE"""),700.0)</f>
        <v>700</v>
      </c>
      <c r="F164" s="298">
        <f>IFERROR(__xludf.DUMMYFUNCTION("""COMPUTED_VALUE"""),0.0)</f>
        <v>0</v>
      </c>
      <c r="G164" s="298">
        <f>IFERROR(__xludf.DUMMYFUNCTION("""COMPUTED_VALUE"""),0.0)</f>
        <v>0</v>
      </c>
      <c r="H164" s="223">
        <f>IFERROR(__xludf.DUMMYFUNCTION("""COMPUTED_VALUE"""),700.0)</f>
        <v>700</v>
      </c>
      <c r="I164" s="298"/>
      <c r="J164" s="223" t="str">
        <f>IFERROR(__xludf.DUMMYFUNCTION("""COMPUTED_VALUE"""),"Quarterly")</f>
        <v>Quarterly</v>
      </c>
      <c r="K164" s="317">
        <f>IFERROR(__xludf.DUMMYFUNCTION("""COMPUTED_VALUE"""),2022.01)</f>
        <v>2022.01</v>
      </c>
      <c r="L164" s="298"/>
      <c r="M164" s="223"/>
      <c r="N164" s="223"/>
      <c r="O164" s="223"/>
      <c r="P164" s="223"/>
      <c r="Q164" s="223"/>
      <c r="R164" s="223"/>
      <c r="S164" s="223"/>
      <c r="T164" s="223"/>
      <c r="U164" s="223"/>
      <c r="V164" s="223"/>
      <c r="W164" s="223"/>
      <c r="X164" s="223"/>
      <c r="Y164" s="223"/>
      <c r="Z164" s="223"/>
    </row>
    <row r="165">
      <c r="A165" s="223" t="str">
        <f>IFERROR(__xludf.DUMMYFUNCTION("""COMPUTED_VALUE"""),"Maple Leaf Adventures : 10 Hour Support Block")</f>
        <v>Maple Leaf Adventures : 10 Hour Support Block</v>
      </c>
      <c r="B165" s="223" t="str">
        <f>IFERROR(__xludf.DUMMYFUNCTION("""COMPUTED_VALUE"""),"Maple Leaf Adventures")</f>
        <v>Maple Leaf Adventures</v>
      </c>
      <c r="C165" s="223" t="str">
        <f>IFERROR(__xludf.DUMMYFUNCTION("""COMPUTED_VALUE"""),"10 Hour Support Block")</f>
        <v>10 Hour Support Block</v>
      </c>
      <c r="D165" s="316">
        <f>IFERROR(__xludf.DUMMYFUNCTION("""COMPUTED_VALUE"""),44585.0)</f>
        <v>44585</v>
      </c>
      <c r="E165" s="298">
        <f>IFERROR(__xludf.DUMMYFUNCTION("""COMPUTED_VALUE"""),950.0)</f>
        <v>950</v>
      </c>
      <c r="F165" s="298">
        <f>IFERROR(__xludf.DUMMYFUNCTION("""COMPUTED_VALUE"""),29.56)</f>
        <v>29.56</v>
      </c>
      <c r="G165" s="298">
        <f>IFERROR(__xludf.DUMMYFUNCTION("""COMPUTED_VALUE"""),0.0)</f>
        <v>0</v>
      </c>
      <c r="H165" s="223">
        <f>IFERROR(__xludf.DUMMYFUNCTION("""COMPUTED_VALUE"""),920.44)</f>
        <v>920.44</v>
      </c>
      <c r="I165" s="298"/>
      <c r="J165" s="223" t="str">
        <f>IFERROR(__xludf.DUMMYFUNCTION("""COMPUTED_VALUE"""),"One-Time (Advance)")</f>
        <v>One-Time (Advance)</v>
      </c>
      <c r="K165" s="317">
        <f>IFERROR(__xludf.DUMMYFUNCTION("""COMPUTED_VALUE"""),2022.0)</f>
        <v>2022</v>
      </c>
      <c r="L165" s="298"/>
      <c r="M165" s="223"/>
      <c r="N165" s="223"/>
      <c r="O165" s="223"/>
      <c r="P165" s="223"/>
      <c r="Q165" s="223"/>
      <c r="R165" s="223"/>
      <c r="S165" s="223"/>
      <c r="T165" s="223"/>
      <c r="U165" s="223"/>
      <c r="V165" s="223"/>
      <c r="W165" s="223"/>
      <c r="X165" s="223"/>
      <c r="Y165" s="223"/>
      <c r="Z165" s="223"/>
    </row>
    <row r="166">
      <c r="A166" s="223" t="str">
        <f>IFERROR(__xludf.DUMMYFUNCTION("""COMPUTED_VALUE"""),"Dueplex : PPC Setup")</f>
        <v>Dueplex : PPC Setup</v>
      </c>
      <c r="B166" s="223" t="str">
        <f>IFERROR(__xludf.DUMMYFUNCTION("""COMPUTED_VALUE"""),"Dueplex")</f>
        <v>Dueplex</v>
      </c>
      <c r="C166" s="223" t="str">
        <f>IFERROR(__xludf.DUMMYFUNCTION("""COMPUTED_VALUE"""),"PPC Setup")</f>
        <v>PPC Setup</v>
      </c>
      <c r="D166" s="316">
        <f>IFERROR(__xludf.DUMMYFUNCTION("""COMPUTED_VALUE"""),44589.0)</f>
        <v>44589</v>
      </c>
      <c r="E166" s="298">
        <f>IFERROR(__xludf.DUMMYFUNCTION("""COMPUTED_VALUE"""),766.785)</f>
        <v>766.785</v>
      </c>
      <c r="F166" s="298">
        <f>IFERROR(__xludf.DUMMYFUNCTION("""COMPUTED_VALUE"""),28.745236079999998)</f>
        <v>28.74523608</v>
      </c>
      <c r="G166" s="298">
        <f>IFERROR(__xludf.DUMMYFUNCTION("""COMPUTED_VALUE"""),0.0)</f>
        <v>0</v>
      </c>
      <c r="H166" s="223">
        <f>IFERROR(__xludf.DUMMYFUNCTION("""COMPUTED_VALUE"""),738.0397639199999)</f>
        <v>738.0397639</v>
      </c>
      <c r="I166" s="298"/>
      <c r="J166" s="223" t="str">
        <f>IFERROR(__xludf.DUMMYFUNCTION("""COMPUTED_VALUE"""),"50% Deposit")</f>
        <v>50% Deposit</v>
      </c>
      <c r="K166" s="317">
        <f>IFERROR(__xludf.DUMMYFUNCTION("""COMPUTED_VALUE"""),2022.0)</f>
        <v>2022</v>
      </c>
      <c r="L166" s="298"/>
      <c r="M166" s="223"/>
      <c r="N166" s="223"/>
      <c r="O166" s="223"/>
      <c r="P166" s="223"/>
      <c r="Q166" s="223"/>
      <c r="R166" s="223"/>
      <c r="S166" s="223"/>
      <c r="T166" s="223"/>
      <c r="U166" s="223"/>
      <c r="V166" s="223"/>
      <c r="W166" s="223"/>
      <c r="X166" s="223"/>
      <c r="Y166" s="223"/>
      <c r="Z166" s="223"/>
    </row>
    <row r="167">
      <c r="A167" s="223" t="str">
        <f>IFERROR(__xludf.DUMMYFUNCTION("""COMPUTED_VALUE"""),"Dueplex : PPC Setup")</f>
        <v>Dueplex : PPC Setup</v>
      </c>
      <c r="B167" s="223" t="str">
        <f>IFERROR(__xludf.DUMMYFUNCTION("""COMPUTED_VALUE"""),"Dueplex")</f>
        <v>Dueplex</v>
      </c>
      <c r="C167" s="223" t="str">
        <f>IFERROR(__xludf.DUMMYFUNCTION("""COMPUTED_VALUE"""),"PPC Setup")</f>
        <v>PPC Setup</v>
      </c>
      <c r="D167" s="316"/>
      <c r="E167" s="298">
        <f>IFERROR(__xludf.DUMMYFUNCTION("""COMPUTED_VALUE"""),625.0)</f>
        <v>625</v>
      </c>
      <c r="F167" s="298"/>
      <c r="G167" s="298">
        <f>IFERROR(__xludf.DUMMYFUNCTION("""COMPUTED_VALUE"""),0.0)</f>
        <v>0</v>
      </c>
      <c r="H167" s="223">
        <f>IFERROR(__xludf.DUMMYFUNCTION("""COMPUTED_VALUE"""),625.0)</f>
        <v>625</v>
      </c>
      <c r="I167" s="298"/>
      <c r="J167" s="223" t="str">
        <f>IFERROR(__xludf.DUMMYFUNCTION("""COMPUTED_VALUE"""),"50% Final Payment")</f>
        <v>50% Final Payment</v>
      </c>
      <c r="K167" s="317">
        <f>IFERROR(__xludf.DUMMYFUNCTION("""COMPUTED_VALUE"""),1899.0)</f>
        <v>1899</v>
      </c>
      <c r="L167" s="298"/>
      <c r="M167" s="223"/>
      <c r="N167" s="223"/>
      <c r="O167" s="223"/>
      <c r="P167" s="223"/>
      <c r="Q167" s="223"/>
      <c r="R167" s="223"/>
      <c r="S167" s="223"/>
      <c r="T167" s="223"/>
      <c r="U167" s="223"/>
      <c r="V167" s="223"/>
      <c r="W167" s="223"/>
      <c r="X167" s="223"/>
      <c r="Y167" s="223"/>
      <c r="Z167" s="223"/>
    </row>
    <row r="168">
      <c r="A168" s="223" t="str">
        <f>IFERROR(__xludf.DUMMYFUNCTION("""COMPUTED_VALUE"""),"Arazy Group : Other Projects")</f>
        <v>Arazy Group : Other Projects</v>
      </c>
      <c r="B168" s="223" t="str">
        <f>IFERROR(__xludf.DUMMYFUNCTION("""COMPUTED_VALUE"""),"Arazy Group")</f>
        <v>Arazy Group</v>
      </c>
      <c r="C168" s="223" t="str">
        <f>IFERROR(__xludf.DUMMYFUNCTION("""COMPUTED_VALUE"""),"Other Projects")</f>
        <v>Other Projects</v>
      </c>
      <c r="D168" s="316">
        <f>IFERROR(__xludf.DUMMYFUNCTION("""COMPUTED_VALUE"""),44589.0)</f>
        <v>44589</v>
      </c>
      <c r="E168" s="298">
        <f>IFERROR(__xludf.DUMMYFUNCTION("""COMPUTED_VALUE"""),850.0)</f>
        <v>850</v>
      </c>
      <c r="F168" s="298">
        <f>IFERROR(__xludf.DUMMYFUNCTION("""COMPUTED_VALUE"""),26.18)</f>
        <v>26.18</v>
      </c>
      <c r="G168" s="298">
        <f>IFERROR(__xludf.DUMMYFUNCTION("""COMPUTED_VALUE"""),0.0)</f>
        <v>0</v>
      </c>
      <c r="H168" s="223">
        <f>IFERROR(__xludf.DUMMYFUNCTION("""COMPUTED_VALUE"""),823.82)</f>
        <v>823.82</v>
      </c>
      <c r="I168" s="298"/>
      <c r="J168" s="223" t="str">
        <f>IFERROR(__xludf.DUMMYFUNCTION("""COMPUTED_VALUE"""),"One-Time (Advance)")</f>
        <v>One-Time (Advance)</v>
      </c>
      <c r="K168" s="317">
        <f>IFERROR(__xludf.DUMMYFUNCTION("""COMPUTED_VALUE"""),2022.0)</f>
        <v>2022</v>
      </c>
      <c r="L168" s="298"/>
      <c r="M168" s="223"/>
      <c r="N168" s="223"/>
      <c r="O168" s="223"/>
      <c r="P168" s="223"/>
      <c r="Q168" s="223"/>
      <c r="R168" s="223"/>
      <c r="S168" s="223"/>
      <c r="T168" s="223"/>
      <c r="U168" s="223"/>
      <c r="V168" s="223"/>
      <c r="W168" s="223"/>
      <c r="X168" s="223"/>
      <c r="Y168" s="223"/>
      <c r="Z168" s="223"/>
    </row>
    <row r="169">
      <c r="A169" s="223" t="str">
        <f>IFERROR(__xludf.DUMMYFUNCTION("""COMPUTED_VALUE"""),"Availed Technologies : Monthly Services")</f>
        <v>Availed Technologies : Monthly Services</v>
      </c>
      <c r="B169" s="223" t="str">
        <f>IFERROR(__xludf.DUMMYFUNCTION("""COMPUTED_VALUE"""),"Availed Technologies")</f>
        <v>Availed Technologies</v>
      </c>
      <c r="C169" s="223" t="str">
        <f>IFERROR(__xludf.DUMMYFUNCTION("""COMPUTED_VALUE"""),"Monthly Services")</f>
        <v>Monthly Services</v>
      </c>
      <c r="D169" s="316">
        <f>IFERROR(__xludf.DUMMYFUNCTION("""COMPUTED_VALUE"""),44592.0)</f>
        <v>44592</v>
      </c>
      <c r="E169" s="298">
        <f>IFERROR(__xludf.DUMMYFUNCTION("""COMPUTED_VALUE"""),750.0)</f>
        <v>750</v>
      </c>
      <c r="F169" s="298">
        <f>IFERROR(__xludf.DUMMYFUNCTION("""COMPUTED_VALUE"""),23.33)</f>
        <v>23.33</v>
      </c>
      <c r="G169" s="298">
        <f>IFERROR(__xludf.DUMMYFUNCTION("""COMPUTED_VALUE"""),0.0)</f>
        <v>0</v>
      </c>
      <c r="H169" s="223">
        <f>IFERROR(__xludf.DUMMYFUNCTION("""COMPUTED_VALUE"""),726.67)</f>
        <v>726.67</v>
      </c>
      <c r="I169" s="298"/>
      <c r="J169" s="223" t="str">
        <f>IFERROR(__xludf.DUMMYFUNCTION("""COMPUTED_VALUE"""),"Monthly")</f>
        <v>Monthly</v>
      </c>
      <c r="K169" s="317">
        <f>IFERROR(__xludf.DUMMYFUNCTION("""COMPUTED_VALUE"""),2022.01)</f>
        <v>2022.01</v>
      </c>
      <c r="L169" s="298"/>
      <c r="M169" s="223"/>
      <c r="N169" s="223"/>
      <c r="O169" s="223"/>
      <c r="P169" s="223"/>
      <c r="Q169" s="223"/>
      <c r="R169" s="223"/>
      <c r="S169" s="223"/>
      <c r="T169" s="223"/>
      <c r="U169" s="223"/>
      <c r="V169" s="223"/>
      <c r="W169" s="223"/>
      <c r="X169" s="223"/>
      <c r="Y169" s="223"/>
      <c r="Z169" s="223"/>
    </row>
    <row r="170">
      <c r="A170" s="223" t="str">
        <f>IFERROR(__xludf.DUMMYFUNCTION("""COMPUTED_VALUE"""),"BookKing (Pacific Tier) : Monthly Services")</f>
        <v>BookKing (Pacific Tier) : Monthly Services</v>
      </c>
      <c r="B170" s="223" t="str">
        <f>IFERROR(__xludf.DUMMYFUNCTION("""COMPUTED_VALUE"""),"BookKing (Pacific Tier)")</f>
        <v>BookKing (Pacific Tier)</v>
      </c>
      <c r="C170" s="223" t="str">
        <f>IFERROR(__xludf.DUMMYFUNCTION("""COMPUTED_VALUE"""),"Monthly Services")</f>
        <v>Monthly Services</v>
      </c>
      <c r="D170" s="316">
        <f>IFERROR(__xludf.DUMMYFUNCTION("""COMPUTED_VALUE"""),44592.0)</f>
        <v>44592</v>
      </c>
      <c r="E170" s="298">
        <f>IFERROR(__xludf.DUMMYFUNCTION("""COMPUTED_VALUE"""),900.0)</f>
        <v>900</v>
      </c>
      <c r="F170" s="298">
        <f>IFERROR(__xludf.DUMMYFUNCTION("""COMPUTED_VALUE"""),28.0)</f>
        <v>28</v>
      </c>
      <c r="G170" s="298">
        <f>IFERROR(__xludf.DUMMYFUNCTION("""COMPUTED_VALUE"""),0.0)</f>
        <v>0</v>
      </c>
      <c r="H170" s="223">
        <f>IFERROR(__xludf.DUMMYFUNCTION("""COMPUTED_VALUE"""),872.0)</f>
        <v>872</v>
      </c>
      <c r="I170" s="298"/>
      <c r="J170" s="223" t="str">
        <f>IFERROR(__xludf.DUMMYFUNCTION("""COMPUTED_VALUE"""),"Monthly")</f>
        <v>Monthly</v>
      </c>
      <c r="K170" s="317">
        <f>IFERROR(__xludf.DUMMYFUNCTION("""COMPUTED_VALUE"""),2022.01)</f>
        <v>2022.01</v>
      </c>
      <c r="L170" s="298"/>
      <c r="M170" s="223"/>
      <c r="N170" s="223"/>
      <c r="O170" s="223"/>
      <c r="P170" s="223"/>
      <c r="Q170" s="223"/>
      <c r="R170" s="223"/>
      <c r="S170" s="223"/>
      <c r="T170" s="223"/>
      <c r="U170" s="223"/>
      <c r="V170" s="223"/>
      <c r="W170" s="223"/>
      <c r="X170" s="223"/>
      <c r="Y170" s="223"/>
      <c r="Z170" s="223"/>
    </row>
    <row r="171">
      <c r="A171" s="223" t="str">
        <f>IFERROR(__xludf.DUMMYFUNCTION("""COMPUTED_VALUE"""),"Bratopia : Monthly Services")</f>
        <v>Bratopia : Monthly Services</v>
      </c>
      <c r="B171" s="223" t="str">
        <f>IFERROR(__xludf.DUMMYFUNCTION("""COMPUTED_VALUE"""),"Bratopia")</f>
        <v>Bratopia</v>
      </c>
      <c r="C171" s="223" t="str">
        <f>IFERROR(__xludf.DUMMYFUNCTION("""COMPUTED_VALUE"""),"Monthly Services")</f>
        <v>Monthly Services</v>
      </c>
      <c r="D171" s="316">
        <f>IFERROR(__xludf.DUMMYFUNCTION("""COMPUTED_VALUE"""),44592.0)</f>
        <v>44592</v>
      </c>
      <c r="E171" s="298">
        <f>IFERROR(__xludf.DUMMYFUNCTION("""COMPUTED_VALUE"""),1550.0)</f>
        <v>1550</v>
      </c>
      <c r="F171" s="298">
        <f>IFERROR(__xludf.DUMMYFUNCTION("""COMPUTED_VALUE"""),48.22)</f>
        <v>48.22</v>
      </c>
      <c r="G171" s="298">
        <f>IFERROR(__xludf.DUMMYFUNCTION("""COMPUTED_VALUE"""),0.0)</f>
        <v>0</v>
      </c>
      <c r="H171" s="223">
        <f>IFERROR(__xludf.DUMMYFUNCTION("""COMPUTED_VALUE"""),1501.78)</f>
        <v>1501.78</v>
      </c>
      <c r="I171" s="298"/>
      <c r="J171" s="223" t="str">
        <f>IFERROR(__xludf.DUMMYFUNCTION("""COMPUTED_VALUE"""),"Monthly")</f>
        <v>Monthly</v>
      </c>
      <c r="K171" s="317">
        <f>IFERROR(__xludf.DUMMYFUNCTION("""COMPUTED_VALUE"""),2022.01)</f>
        <v>2022.01</v>
      </c>
      <c r="L171" s="298"/>
      <c r="M171" s="223"/>
      <c r="N171" s="223"/>
      <c r="O171" s="223"/>
      <c r="P171" s="223"/>
      <c r="Q171" s="223"/>
      <c r="R171" s="223"/>
      <c r="S171" s="223"/>
      <c r="T171" s="223"/>
      <c r="U171" s="223"/>
      <c r="V171" s="223"/>
      <c r="W171" s="223"/>
      <c r="X171" s="223"/>
      <c r="Y171" s="223"/>
      <c r="Z171" s="223"/>
    </row>
    <row r="172">
      <c r="A172" s="223" t="str">
        <f>IFERROR(__xludf.DUMMYFUNCTION("""COMPUTED_VALUE"""),"Community Financials : Monthly Services")</f>
        <v>Community Financials : Monthly Services</v>
      </c>
      <c r="B172" s="223" t="str">
        <f>IFERROR(__xludf.DUMMYFUNCTION("""COMPUTED_VALUE"""),"Community Financials")</f>
        <v>Community Financials</v>
      </c>
      <c r="C172" s="223" t="str">
        <f>IFERROR(__xludf.DUMMYFUNCTION("""COMPUTED_VALUE"""),"Monthly Services")</f>
        <v>Monthly Services</v>
      </c>
      <c r="D172" s="316">
        <f>IFERROR(__xludf.DUMMYFUNCTION("""COMPUTED_VALUE"""),44592.0)</f>
        <v>44592</v>
      </c>
      <c r="E172" s="298">
        <f>IFERROR(__xludf.DUMMYFUNCTION("""COMPUTED_VALUE"""),1845.522)</f>
        <v>1845.522</v>
      </c>
      <c r="F172" s="298">
        <f>IFERROR(__xludf.DUMMYFUNCTION("""COMPUTED_VALUE"""),68.65341839999999)</f>
        <v>68.6534184</v>
      </c>
      <c r="G172" s="298">
        <f>IFERROR(__xludf.DUMMYFUNCTION("""COMPUTED_VALUE"""),355.37371632)</f>
        <v>355.3737163</v>
      </c>
      <c r="H172" s="223">
        <f>IFERROR(__xludf.DUMMYFUNCTION("""COMPUTED_VALUE"""),1421.4948652799999)</f>
        <v>1421.494865</v>
      </c>
      <c r="I172" s="298"/>
      <c r="J172" s="223" t="str">
        <f>IFERROR(__xludf.DUMMYFUNCTION("""COMPUTED_VALUE"""),"Monthly")</f>
        <v>Monthly</v>
      </c>
      <c r="K172" s="317">
        <f>IFERROR(__xludf.DUMMYFUNCTION("""COMPUTED_VALUE"""),2022.01)</f>
        <v>2022.01</v>
      </c>
      <c r="L172" s="298"/>
      <c r="M172" s="223"/>
      <c r="N172" s="223"/>
      <c r="O172" s="223"/>
      <c r="P172" s="223"/>
      <c r="Q172" s="223"/>
      <c r="R172" s="223"/>
      <c r="S172" s="223"/>
      <c r="T172" s="223"/>
      <c r="U172" s="223"/>
      <c r="V172" s="223"/>
      <c r="W172" s="223"/>
      <c r="X172" s="223"/>
      <c r="Y172" s="223"/>
      <c r="Z172" s="223"/>
    </row>
    <row r="173">
      <c r="A173" s="223" t="str">
        <f>IFERROR(__xludf.DUMMYFUNCTION("""COMPUTED_VALUE"""),"Diversified Health : Monthly Services")</f>
        <v>Diversified Health : Monthly Services</v>
      </c>
      <c r="B173" s="223" t="str">
        <f>IFERROR(__xludf.DUMMYFUNCTION("""COMPUTED_VALUE"""),"Diversified Health")</f>
        <v>Diversified Health</v>
      </c>
      <c r="C173" s="223" t="str">
        <f>IFERROR(__xludf.DUMMYFUNCTION("""COMPUTED_VALUE"""),"Monthly Services")</f>
        <v>Monthly Services</v>
      </c>
      <c r="D173" s="316">
        <f>IFERROR(__xludf.DUMMYFUNCTION("""COMPUTED_VALUE"""),44592.0)</f>
        <v>44592</v>
      </c>
      <c r="E173" s="298">
        <f>IFERROR(__xludf.DUMMYFUNCTION("""COMPUTED_VALUE"""),1000.0)</f>
        <v>1000</v>
      </c>
      <c r="F173" s="298">
        <f>IFERROR(__xludf.DUMMYFUNCTION("""COMPUTED_VALUE"""),0.0)</f>
        <v>0</v>
      </c>
      <c r="G173" s="298">
        <f>IFERROR(__xludf.DUMMYFUNCTION("""COMPUTED_VALUE"""),0.0)</f>
        <v>0</v>
      </c>
      <c r="H173" s="223">
        <f>IFERROR(__xludf.DUMMYFUNCTION("""COMPUTED_VALUE"""),1000.0)</f>
        <v>1000</v>
      </c>
      <c r="I173" s="298"/>
      <c r="J173" s="223" t="str">
        <f>IFERROR(__xludf.DUMMYFUNCTION("""COMPUTED_VALUE"""),"Monthly")</f>
        <v>Monthly</v>
      </c>
      <c r="K173" s="317">
        <f>IFERROR(__xludf.DUMMYFUNCTION("""COMPUTED_VALUE"""),2022.01)</f>
        <v>2022.01</v>
      </c>
      <c r="L173" s="298"/>
      <c r="M173" s="223"/>
      <c r="N173" s="223"/>
      <c r="O173" s="223"/>
      <c r="P173" s="223"/>
      <c r="Q173" s="223"/>
      <c r="R173" s="223"/>
      <c r="S173" s="223"/>
      <c r="T173" s="223"/>
      <c r="U173" s="223"/>
      <c r="V173" s="223"/>
      <c r="W173" s="223"/>
      <c r="X173" s="223"/>
      <c r="Y173" s="223"/>
      <c r="Z173" s="223"/>
    </row>
    <row r="174">
      <c r="A174" s="223" t="str">
        <f>IFERROR(__xludf.DUMMYFUNCTION("""COMPUTED_VALUE"""),"Giga Tires : Monthly Services")</f>
        <v>Giga Tires : Monthly Services</v>
      </c>
      <c r="B174" s="223" t="str">
        <f>IFERROR(__xludf.DUMMYFUNCTION("""COMPUTED_VALUE"""),"Giga Tires")</f>
        <v>Giga Tires</v>
      </c>
      <c r="C174" s="223" t="str">
        <f>IFERROR(__xludf.DUMMYFUNCTION("""COMPUTED_VALUE"""),"Monthly Services")</f>
        <v>Monthly Services</v>
      </c>
      <c r="D174" s="316">
        <f>IFERROR(__xludf.DUMMYFUNCTION("""COMPUTED_VALUE"""),44592.0)</f>
        <v>44592</v>
      </c>
      <c r="E174" s="298">
        <f>IFERROR(__xludf.DUMMYFUNCTION("""COMPUTED_VALUE"""),550.0)</f>
        <v>550</v>
      </c>
      <c r="F174" s="298">
        <f>IFERROR(__xludf.DUMMYFUNCTION("""COMPUTED_VALUE"""),21.67)</f>
        <v>21.67</v>
      </c>
      <c r="G174" s="298">
        <f>IFERROR(__xludf.DUMMYFUNCTION("""COMPUTED_VALUE"""),0.0)</f>
        <v>0</v>
      </c>
      <c r="H174" s="223">
        <f>IFERROR(__xludf.DUMMYFUNCTION("""COMPUTED_VALUE"""),528.33)</f>
        <v>528.33</v>
      </c>
      <c r="I174" s="298"/>
      <c r="J174" s="223" t="str">
        <f>IFERROR(__xludf.DUMMYFUNCTION("""COMPUTED_VALUE"""),"Monthly")</f>
        <v>Monthly</v>
      </c>
      <c r="K174" s="317">
        <f>IFERROR(__xludf.DUMMYFUNCTION("""COMPUTED_VALUE"""),2022.01)</f>
        <v>2022.01</v>
      </c>
      <c r="L174" s="298"/>
      <c r="M174" s="223"/>
      <c r="N174" s="223"/>
      <c r="O174" s="223"/>
      <c r="P174" s="223"/>
      <c r="Q174" s="223"/>
      <c r="R174" s="223"/>
      <c r="S174" s="223"/>
      <c r="T174" s="223"/>
      <c r="U174" s="223"/>
      <c r="V174" s="223"/>
      <c r="W174" s="223"/>
      <c r="X174" s="223"/>
      <c r="Y174" s="223"/>
      <c r="Z174" s="223"/>
    </row>
    <row r="175">
      <c r="A175" s="223" t="str">
        <f>IFERROR(__xludf.DUMMYFUNCTION("""COMPUTED_VALUE"""),"Hastings House : Monthly Services")</f>
        <v>Hastings House : Monthly Services</v>
      </c>
      <c r="B175" s="223" t="str">
        <f>IFERROR(__xludf.DUMMYFUNCTION("""COMPUTED_VALUE"""),"Hastings House")</f>
        <v>Hastings House</v>
      </c>
      <c r="C175" s="223" t="str">
        <f>IFERROR(__xludf.DUMMYFUNCTION("""COMPUTED_VALUE"""),"Monthly Services")</f>
        <v>Monthly Services</v>
      </c>
      <c r="D175" s="316">
        <f>IFERROR(__xludf.DUMMYFUNCTION("""COMPUTED_VALUE"""),44592.0)</f>
        <v>44592</v>
      </c>
      <c r="E175" s="298">
        <f>IFERROR(__xludf.DUMMYFUNCTION("""COMPUTED_VALUE"""),1500.0)</f>
        <v>1500</v>
      </c>
      <c r="F175" s="298">
        <f>IFERROR(__xludf.DUMMYFUNCTION("""COMPUTED_VALUE"""),46.67)</f>
        <v>46.67</v>
      </c>
      <c r="G175" s="298">
        <f>IFERROR(__xludf.DUMMYFUNCTION("""COMPUTED_VALUE"""),217.99949999999998)</f>
        <v>217.9995</v>
      </c>
      <c r="H175" s="223">
        <f>IFERROR(__xludf.DUMMYFUNCTION("""COMPUTED_VALUE"""),1235.3305)</f>
        <v>1235.3305</v>
      </c>
      <c r="I175" s="298"/>
      <c r="J175" s="223" t="str">
        <f>IFERROR(__xludf.DUMMYFUNCTION("""COMPUTED_VALUE"""),"Monthly")</f>
        <v>Monthly</v>
      </c>
      <c r="K175" s="317">
        <f>IFERROR(__xludf.DUMMYFUNCTION("""COMPUTED_VALUE"""),2022.01)</f>
        <v>2022.01</v>
      </c>
      <c r="L175" s="298"/>
      <c r="M175" s="223"/>
      <c r="N175" s="223"/>
      <c r="O175" s="223"/>
      <c r="P175" s="223"/>
      <c r="Q175" s="223"/>
      <c r="R175" s="223"/>
      <c r="S175" s="223"/>
      <c r="T175" s="223"/>
      <c r="U175" s="223"/>
      <c r="V175" s="223"/>
      <c r="W175" s="223"/>
      <c r="X175" s="223"/>
      <c r="Y175" s="223"/>
      <c r="Z175" s="223"/>
    </row>
    <row r="176">
      <c r="A176" s="223" t="str">
        <f>IFERROR(__xludf.DUMMYFUNCTION("""COMPUTED_VALUE"""),"Hey Blinds : Monthly Services")</f>
        <v>Hey Blinds : Monthly Services</v>
      </c>
      <c r="B176" s="223" t="str">
        <f>IFERROR(__xludf.DUMMYFUNCTION("""COMPUTED_VALUE"""),"Hey Blinds")</f>
        <v>Hey Blinds</v>
      </c>
      <c r="C176" s="223" t="str">
        <f>IFERROR(__xludf.DUMMYFUNCTION("""COMPUTED_VALUE"""),"Monthly Services")</f>
        <v>Monthly Services</v>
      </c>
      <c r="D176" s="316">
        <f>IFERROR(__xludf.DUMMYFUNCTION("""COMPUTED_VALUE"""),44592.0)</f>
        <v>44592</v>
      </c>
      <c r="E176" s="298">
        <f>IFERROR(__xludf.DUMMYFUNCTION("""COMPUTED_VALUE"""),800.0)</f>
        <v>800</v>
      </c>
      <c r="F176" s="298">
        <f>IFERROR(__xludf.DUMMYFUNCTION("""COMPUTED_VALUE"""),24.89)</f>
        <v>24.89</v>
      </c>
      <c r="G176" s="298">
        <f>IFERROR(__xludf.DUMMYFUNCTION("""COMPUTED_VALUE"""),0.0)</f>
        <v>0</v>
      </c>
      <c r="H176" s="223">
        <f>IFERROR(__xludf.DUMMYFUNCTION("""COMPUTED_VALUE"""),775.11)</f>
        <v>775.11</v>
      </c>
      <c r="I176" s="298"/>
      <c r="J176" s="223" t="str">
        <f>IFERROR(__xludf.DUMMYFUNCTION("""COMPUTED_VALUE"""),"Monthly")</f>
        <v>Monthly</v>
      </c>
      <c r="K176" s="317">
        <f>IFERROR(__xludf.DUMMYFUNCTION("""COMPUTED_VALUE"""),2022.01)</f>
        <v>2022.01</v>
      </c>
      <c r="L176" s="298"/>
      <c r="M176" s="223"/>
      <c r="N176" s="223"/>
      <c r="O176" s="223"/>
      <c r="P176" s="223"/>
      <c r="Q176" s="223"/>
      <c r="R176" s="223"/>
      <c r="S176" s="223"/>
      <c r="T176" s="223"/>
      <c r="U176" s="223"/>
      <c r="V176" s="223"/>
      <c r="W176" s="223"/>
      <c r="X176" s="223"/>
      <c r="Y176" s="223"/>
      <c r="Z176" s="223"/>
    </row>
    <row r="177">
      <c r="A177" s="223" t="str">
        <f>IFERROR(__xludf.DUMMYFUNCTION("""COMPUTED_VALUE"""),"HSJ Lawyers : Monthly Services")</f>
        <v>HSJ Lawyers : Monthly Services</v>
      </c>
      <c r="B177" s="223" t="str">
        <f>IFERROR(__xludf.DUMMYFUNCTION("""COMPUTED_VALUE"""),"HSJ Lawyers")</f>
        <v>HSJ Lawyers</v>
      </c>
      <c r="C177" s="223" t="str">
        <f>IFERROR(__xludf.DUMMYFUNCTION("""COMPUTED_VALUE"""),"Monthly Services")</f>
        <v>Monthly Services</v>
      </c>
      <c r="D177" s="316">
        <f>IFERROR(__xludf.DUMMYFUNCTION("""COMPUTED_VALUE"""),44592.0)</f>
        <v>44592</v>
      </c>
      <c r="E177" s="298">
        <f>IFERROR(__xludf.DUMMYFUNCTION("""COMPUTED_VALUE"""),800.0)</f>
        <v>800</v>
      </c>
      <c r="F177" s="298">
        <f>IFERROR(__xludf.DUMMYFUNCTION("""COMPUTED_VALUE"""),0.0)</f>
        <v>0</v>
      </c>
      <c r="G177" s="298">
        <f>IFERROR(__xludf.DUMMYFUNCTION("""COMPUTED_VALUE"""),0.0)</f>
        <v>0</v>
      </c>
      <c r="H177" s="223">
        <f>IFERROR(__xludf.DUMMYFUNCTION("""COMPUTED_VALUE"""),800.0)</f>
        <v>800</v>
      </c>
      <c r="I177" s="298"/>
      <c r="J177" s="223" t="str">
        <f>IFERROR(__xludf.DUMMYFUNCTION("""COMPUTED_VALUE"""),"Monthly")</f>
        <v>Monthly</v>
      </c>
      <c r="K177" s="317">
        <f>IFERROR(__xludf.DUMMYFUNCTION("""COMPUTED_VALUE"""),2022.01)</f>
        <v>2022.01</v>
      </c>
      <c r="L177" s="298"/>
      <c r="M177" s="223"/>
      <c r="N177" s="223"/>
      <c r="O177" s="223"/>
      <c r="P177" s="223"/>
      <c r="Q177" s="223"/>
      <c r="R177" s="223"/>
      <c r="S177" s="223"/>
      <c r="T177" s="223"/>
      <c r="U177" s="223"/>
      <c r="V177" s="223"/>
      <c r="W177" s="223"/>
      <c r="X177" s="223"/>
      <c r="Y177" s="223"/>
      <c r="Z177" s="223"/>
    </row>
    <row r="178">
      <c r="A178" s="223" t="str">
        <f>IFERROR(__xludf.DUMMYFUNCTION("""COMPUTED_VALUE"""),"Monk : Monthly Services")</f>
        <v>Monk : Monthly Services</v>
      </c>
      <c r="B178" s="223" t="str">
        <f>IFERROR(__xludf.DUMMYFUNCTION("""COMPUTED_VALUE"""),"Monk")</f>
        <v>Monk</v>
      </c>
      <c r="C178" s="223" t="str">
        <f>IFERROR(__xludf.DUMMYFUNCTION("""COMPUTED_VALUE"""),"Monthly Services")</f>
        <v>Monthly Services</v>
      </c>
      <c r="D178" s="316">
        <f>IFERROR(__xludf.DUMMYFUNCTION("""COMPUTED_VALUE"""),44592.0)</f>
        <v>44592</v>
      </c>
      <c r="E178" s="298">
        <f>IFERROR(__xludf.DUMMYFUNCTION("""COMPUTED_VALUE"""),1200.0)</f>
        <v>1200</v>
      </c>
      <c r="F178" s="298">
        <f>IFERROR(__xludf.DUMMYFUNCTION("""COMPUTED_VALUE"""),0.0)</f>
        <v>0</v>
      </c>
      <c r="G178" s="298">
        <f>IFERROR(__xludf.DUMMYFUNCTION("""COMPUTED_VALUE"""),0.0)</f>
        <v>0</v>
      </c>
      <c r="H178" s="223">
        <f>IFERROR(__xludf.DUMMYFUNCTION("""COMPUTED_VALUE"""),1200.0)</f>
        <v>1200</v>
      </c>
      <c r="I178" s="298"/>
      <c r="J178" s="223" t="str">
        <f>IFERROR(__xludf.DUMMYFUNCTION("""COMPUTED_VALUE"""),"Monthly")</f>
        <v>Monthly</v>
      </c>
      <c r="K178" s="317">
        <f>IFERROR(__xludf.DUMMYFUNCTION("""COMPUTED_VALUE"""),2022.01)</f>
        <v>2022.01</v>
      </c>
      <c r="L178" s="298"/>
      <c r="M178" s="223"/>
      <c r="N178" s="223"/>
      <c r="O178" s="223"/>
      <c r="P178" s="223"/>
      <c r="Q178" s="223"/>
      <c r="R178" s="223"/>
      <c r="S178" s="223"/>
      <c r="T178" s="223"/>
      <c r="U178" s="223"/>
      <c r="V178" s="223"/>
      <c r="W178" s="223"/>
      <c r="X178" s="223"/>
      <c r="Y178" s="223"/>
      <c r="Z178" s="223"/>
    </row>
    <row r="179">
      <c r="A179" s="223" t="str">
        <f>IFERROR(__xludf.DUMMYFUNCTION("""COMPUTED_VALUE"""),"MortgagePal : Monthly Services")</f>
        <v>MortgagePal : Monthly Services</v>
      </c>
      <c r="B179" s="223" t="str">
        <f>IFERROR(__xludf.DUMMYFUNCTION("""COMPUTED_VALUE"""),"MortgagePal")</f>
        <v>MortgagePal</v>
      </c>
      <c r="C179" s="223" t="str">
        <f>IFERROR(__xludf.DUMMYFUNCTION("""COMPUTED_VALUE"""),"Monthly Services")</f>
        <v>Monthly Services</v>
      </c>
      <c r="D179" s="316">
        <f>IFERROR(__xludf.DUMMYFUNCTION("""COMPUTED_VALUE"""),44592.0)</f>
        <v>44592</v>
      </c>
      <c r="E179" s="298">
        <f>IFERROR(__xludf.DUMMYFUNCTION("""COMPUTED_VALUE"""),500.0)</f>
        <v>500</v>
      </c>
      <c r="F179" s="298">
        <f>IFERROR(__xludf.DUMMYFUNCTION("""COMPUTED_VALUE"""),15.53)</f>
        <v>15.53</v>
      </c>
      <c r="G179" s="298">
        <f>IFERROR(__xludf.DUMMYFUNCTION("""COMPUTED_VALUE"""),0.0)</f>
        <v>0</v>
      </c>
      <c r="H179" s="223">
        <f>IFERROR(__xludf.DUMMYFUNCTION("""COMPUTED_VALUE"""),484.47)</f>
        <v>484.47</v>
      </c>
      <c r="I179" s="298"/>
      <c r="J179" s="223" t="str">
        <f>IFERROR(__xludf.DUMMYFUNCTION("""COMPUTED_VALUE"""),"Monthly")</f>
        <v>Monthly</v>
      </c>
      <c r="K179" s="317">
        <f>IFERROR(__xludf.DUMMYFUNCTION("""COMPUTED_VALUE"""),2022.01)</f>
        <v>2022.01</v>
      </c>
      <c r="L179" s="298"/>
      <c r="M179" s="223"/>
      <c r="N179" s="223"/>
      <c r="O179" s="223"/>
      <c r="P179" s="223"/>
      <c r="Q179" s="223"/>
      <c r="R179" s="223"/>
      <c r="S179" s="223"/>
      <c r="T179" s="223"/>
      <c r="U179" s="223"/>
      <c r="V179" s="223"/>
      <c r="W179" s="223"/>
      <c r="X179" s="223"/>
      <c r="Y179" s="223"/>
      <c r="Z179" s="223"/>
    </row>
    <row r="180">
      <c r="A180" s="223" t="str">
        <f>IFERROR(__xludf.DUMMYFUNCTION("""COMPUTED_VALUE"""),"Olivia Shoppe : Monthly Services")</f>
        <v>Olivia Shoppe : Monthly Services</v>
      </c>
      <c r="B180" s="223" t="str">
        <f>IFERROR(__xludf.DUMMYFUNCTION("""COMPUTED_VALUE"""),"Olivia Shoppe")</f>
        <v>Olivia Shoppe</v>
      </c>
      <c r="C180" s="223" t="str">
        <f>IFERROR(__xludf.DUMMYFUNCTION("""COMPUTED_VALUE"""),"Monthly Services")</f>
        <v>Monthly Services</v>
      </c>
      <c r="D180" s="316">
        <f>IFERROR(__xludf.DUMMYFUNCTION("""COMPUTED_VALUE"""),44592.0)</f>
        <v>44592</v>
      </c>
      <c r="E180" s="298">
        <f>IFERROR(__xludf.DUMMYFUNCTION("""COMPUTED_VALUE"""),798.0869)</f>
        <v>798.0869</v>
      </c>
      <c r="F180" s="298">
        <f>IFERROR(__xludf.DUMMYFUNCTION("""COMPUTED_VALUE"""),29.897563100000003)</f>
        <v>29.8975631</v>
      </c>
      <c r="G180" s="298">
        <f>IFERROR(__xludf.DUMMYFUNCTION("""COMPUTED_VALUE"""),0.0)</f>
        <v>0</v>
      </c>
      <c r="H180" s="223">
        <f>IFERROR(__xludf.DUMMYFUNCTION("""COMPUTED_VALUE"""),768.1893369000001)</f>
        <v>768.1893369</v>
      </c>
      <c r="I180" s="298"/>
      <c r="J180" s="223" t="str">
        <f>IFERROR(__xludf.DUMMYFUNCTION("""COMPUTED_VALUE"""),"Monthly")</f>
        <v>Monthly</v>
      </c>
      <c r="K180" s="317">
        <f>IFERROR(__xludf.DUMMYFUNCTION("""COMPUTED_VALUE"""),2022.01)</f>
        <v>2022.01</v>
      </c>
      <c r="L180" s="298"/>
      <c r="M180" s="223"/>
      <c r="N180" s="223"/>
      <c r="O180" s="223"/>
      <c r="P180" s="223"/>
      <c r="Q180" s="223"/>
      <c r="R180" s="223"/>
      <c r="S180" s="223"/>
      <c r="T180" s="223"/>
      <c r="U180" s="223"/>
      <c r="V180" s="223"/>
      <c r="W180" s="223"/>
      <c r="X180" s="223"/>
      <c r="Y180" s="223"/>
      <c r="Z180" s="223"/>
    </row>
    <row r="181">
      <c r="A181" s="223" t="str">
        <f>IFERROR(__xludf.DUMMYFUNCTION("""COMPUTED_VALUE"""),"PMDI : Monthly Services")</f>
        <v>PMDI : Monthly Services</v>
      </c>
      <c r="B181" s="223" t="str">
        <f>IFERROR(__xludf.DUMMYFUNCTION("""COMPUTED_VALUE"""),"PMDI")</f>
        <v>PMDI</v>
      </c>
      <c r="C181" s="223" t="str">
        <f>IFERROR(__xludf.DUMMYFUNCTION("""COMPUTED_VALUE"""),"Monthly Services")</f>
        <v>Monthly Services</v>
      </c>
      <c r="D181" s="316">
        <f>IFERROR(__xludf.DUMMYFUNCTION("""COMPUTED_VALUE"""),44592.0)</f>
        <v>44592</v>
      </c>
      <c r="E181" s="298">
        <f>IFERROR(__xludf.DUMMYFUNCTION("""COMPUTED_VALUE"""),375.0)</f>
        <v>375</v>
      </c>
      <c r="F181" s="298">
        <f>IFERROR(__xludf.DUMMYFUNCTION("""COMPUTED_VALUE"""),0.0)</f>
        <v>0</v>
      </c>
      <c r="G181" s="298">
        <f>IFERROR(__xludf.DUMMYFUNCTION("""COMPUTED_VALUE"""),0.0)</f>
        <v>0</v>
      </c>
      <c r="H181" s="223">
        <f>IFERROR(__xludf.DUMMYFUNCTION("""COMPUTED_VALUE"""),375.0)</f>
        <v>375</v>
      </c>
      <c r="I181" s="298"/>
      <c r="J181" s="223" t="str">
        <f>IFERROR(__xludf.DUMMYFUNCTION("""COMPUTED_VALUE"""),"Monthly")</f>
        <v>Monthly</v>
      </c>
      <c r="K181" s="317">
        <f>IFERROR(__xludf.DUMMYFUNCTION("""COMPUTED_VALUE"""),2022.01)</f>
        <v>2022.01</v>
      </c>
      <c r="L181" s="298"/>
      <c r="M181" s="223"/>
      <c r="N181" s="223"/>
      <c r="O181" s="223"/>
      <c r="P181" s="223"/>
      <c r="Q181" s="223"/>
      <c r="R181" s="223"/>
      <c r="S181" s="223"/>
      <c r="T181" s="223"/>
      <c r="U181" s="223"/>
      <c r="V181" s="223"/>
      <c r="W181" s="223"/>
      <c r="X181" s="223"/>
      <c r="Y181" s="223"/>
      <c r="Z181" s="223"/>
    </row>
    <row r="182">
      <c r="A182" s="223" t="str">
        <f>IFERROR(__xludf.DUMMYFUNCTION("""COMPUTED_VALUE"""),"Prime Engineering : Monthly Services")</f>
        <v>Prime Engineering : Monthly Services</v>
      </c>
      <c r="B182" s="223" t="str">
        <f>IFERROR(__xludf.DUMMYFUNCTION("""COMPUTED_VALUE"""),"Prime Engineering")</f>
        <v>Prime Engineering</v>
      </c>
      <c r="C182" s="223" t="str">
        <f>IFERROR(__xludf.DUMMYFUNCTION("""COMPUTED_VALUE"""),"Monthly Services")</f>
        <v>Monthly Services</v>
      </c>
      <c r="D182" s="316">
        <f>IFERROR(__xludf.DUMMYFUNCTION("""COMPUTED_VALUE"""),44592.0)</f>
        <v>44592</v>
      </c>
      <c r="E182" s="298">
        <f>IFERROR(__xludf.DUMMYFUNCTION("""COMPUTED_VALUE"""),500.0)</f>
        <v>500</v>
      </c>
      <c r="F182" s="298">
        <f>IFERROR(__xludf.DUMMYFUNCTION("""COMPUTED_VALUE"""),0.0)</f>
        <v>0</v>
      </c>
      <c r="G182" s="298">
        <f>IFERROR(__xludf.DUMMYFUNCTION("""COMPUTED_VALUE"""),0.0)</f>
        <v>0</v>
      </c>
      <c r="H182" s="223">
        <f>IFERROR(__xludf.DUMMYFUNCTION("""COMPUTED_VALUE"""),500.0)</f>
        <v>500</v>
      </c>
      <c r="I182" s="298"/>
      <c r="J182" s="223" t="str">
        <f>IFERROR(__xludf.DUMMYFUNCTION("""COMPUTED_VALUE"""),"Monthly")</f>
        <v>Monthly</v>
      </c>
      <c r="K182" s="317">
        <f>IFERROR(__xludf.DUMMYFUNCTION("""COMPUTED_VALUE"""),2022.01)</f>
        <v>2022.01</v>
      </c>
      <c r="L182" s="298"/>
      <c r="M182" s="223"/>
      <c r="N182" s="223"/>
      <c r="O182" s="223"/>
      <c r="P182" s="223"/>
      <c r="Q182" s="223"/>
      <c r="R182" s="223"/>
      <c r="S182" s="223"/>
      <c r="T182" s="223"/>
      <c r="U182" s="223"/>
      <c r="V182" s="223"/>
      <c r="W182" s="223"/>
      <c r="X182" s="223"/>
      <c r="Y182" s="223"/>
      <c r="Z182" s="223"/>
    </row>
    <row r="183">
      <c r="A183" s="223" t="str">
        <f>IFERROR(__xludf.DUMMYFUNCTION("""COMPUTED_VALUE"""),"Rama Meditation Society : Premium Hosting + Support")</f>
        <v>Rama Meditation Society : Premium Hosting + Support</v>
      </c>
      <c r="B183" s="223" t="str">
        <f>IFERROR(__xludf.DUMMYFUNCTION("""COMPUTED_VALUE"""),"Rama Meditation Society")</f>
        <v>Rama Meditation Society</v>
      </c>
      <c r="C183" s="223" t="str">
        <f>IFERROR(__xludf.DUMMYFUNCTION("""COMPUTED_VALUE"""),"Premium Hosting + Support")</f>
        <v>Premium Hosting + Support</v>
      </c>
      <c r="D183" s="316">
        <f>IFERROR(__xludf.DUMMYFUNCTION("""COMPUTED_VALUE"""),44592.0)</f>
        <v>44592</v>
      </c>
      <c r="E183" s="298">
        <f>IFERROR(__xludf.DUMMYFUNCTION("""COMPUTED_VALUE"""),368.2314)</f>
        <v>368.2314</v>
      </c>
      <c r="F183" s="298">
        <f>IFERROR(__xludf.DUMMYFUNCTION("""COMPUTED_VALUE"""),13.992793200000001)</f>
        <v>13.9927932</v>
      </c>
      <c r="G183" s="298">
        <f>IFERROR(__xludf.DUMMYFUNCTION("""COMPUTED_VALUE"""),0.0)</f>
        <v>0</v>
      </c>
      <c r="H183" s="223">
        <f>IFERROR(__xludf.DUMMYFUNCTION("""COMPUTED_VALUE"""),354.2386068)</f>
        <v>354.2386068</v>
      </c>
      <c r="I183" s="298"/>
      <c r="J183" s="223" t="str">
        <f>IFERROR(__xludf.DUMMYFUNCTION("""COMPUTED_VALUE"""),"Monthly")</f>
        <v>Monthly</v>
      </c>
      <c r="K183" s="317">
        <f>IFERROR(__xludf.DUMMYFUNCTION("""COMPUTED_VALUE"""),2022.01)</f>
        <v>2022.01</v>
      </c>
      <c r="L183" s="298"/>
      <c r="M183" s="223"/>
      <c r="N183" s="223"/>
      <c r="O183" s="223"/>
      <c r="P183" s="223"/>
      <c r="Q183" s="223"/>
      <c r="R183" s="223"/>
      <c r="S183" s="223"/>
      <c r="T183" s="223"/>
      <c r="U183" s="223"/>
      <c r="V183" s="223"/>
      <c r="W183" s="223"/>
      <c r="X183" s="223"/>
      <c r="Y183" s="223"/>
      <c r="Z183" s="223"/>
    </row>
    <row r="184">
      <c r="A184" s="223" t="str">
        <f>IFERROR(__xludf.DUMMYFUNCTION("""COMPUTED_VALUE"""),"Red Seal : Monthly Services")</f>
        <v>Red Seal : Monthly Services</v>
      </c>
      <c r="B184" s="223" t="str">
        <f>IFERROR(__xludf.DUMMYFUNCTION("""COMPUTED_VALUE"""),"Red Seal")</f>
        <v>Red Seal</v>
      </c>
      <c r="C184" s="223" t="str">
        <f>IFERROR(__xludf.DUMMYFUNCTION("""COMPUTED_VALUE"""),"Monthly Services")</f>
        <v>Monthly Services</v>
      </c>
      <c r="D184" s="316">
        <f>IFERROR(__xludf.DUMMYFUNCTION("""COMPUTED_VALUE"""),44592.0)</f>
        <v>44592</v>
      </c>
      <c r="E184" s="298">
        <f>IFERROR(__xludf.DUMMYFUNCTION("""COMPUTED_VALUE"""),250.0)</f>
        <v>250</v>
      </c>
      <c r="F184" s="298">
        <f>IFERROR(__xludf.DUMMYFUNCTION("""COMPUTED_VALUE"""),0.0)</f>
        <v>0</v>
      </c>
      <c r="G184" s="298">
        <f>IFERROR(__xludf.DUMMYFUNCTION("""COMPUTED_VALUE"""),0.0)</f>
        <v>0</v>
      </c>
      <c r="H184" s="223">
        <f>IFERROR(__xludf.DUMMYFUNCTION("""COMPUTED_VALUE"""),250.0)</f>
        <v>250</v>
      </c>
      <c r="I184" s="298"/>
      <c r="J184" s="223" t="str">
        <f>IFERROR(__xludf.DUMMYFUNCTION("""COMPUTED_VALUE"""),"Monthly")</f>
        <v>Monthly</v>
      </c>
      <c r="K184" s="317">
        <f>IFERROR(__xludf.DUMMYFUNCTION("""COMPUTED_VALUE"""),2022.01)</f>
        <v>2022.01</v>
      </c>
      <c r="L184" s="298"/>
      <c r="M184" s="223"/>
      <c r="N184" s="223"/>
      <c r="O184" s="223"/>
      <c r="P184" s="223"/>
      <c r="Q184" s="223"/>
      <c r="R184" s="223"/>
      <c r="S184" s="223"/>
      <c r="T184" s="223"/>
      <c r="U184" s="223"/>
      <c r="V184" s="223"/>
      <c r="W184" s="223"/>
      <c r="X184" s="223"/>
      <c r="Y184" s="223"/>
      <c r="Z184" s="223"/>
    </row>
    <row r="185">
      <c r="A185" s="223" t="str">
        <f>IFERROR(__xludf.DUMMYFUNCTION("""COMPUTED_VALUE"""),"Service First : Monthly Services")</f>
        <v>Service First : Monthly Services</v>
      </c>
      <c r="B185" s="223" t="str">
        <f>IFERROR(__xludf.DUMMYFUNCTION("""COMPUTED_VALUE"""),"Service First")</f>
        <v>Service First</v>
      </c>
      <c r="C185" s="223" t="str">
        <f>IFERROR(__xludf.DUMMYFUNCTION("""COMPUTED_VALUE"""),"Monthly Services")</f>
        <v>Monthly Services</v>
      </c>
      <c r="D185" s="316">
        <f>IFERROR(__xludf.DUMMYFUNCTION("""COMPUTED_VALUE"""),44592.0)</f>
        <v>44592</v>
      </c>
      <c r="E185" s="298">
        <f>IFERROR(__xludf.DUMMYFUNCTION("""COMPUTED_VALUE"""),300.0)</f>
        <v>300</v>
      </c>
      <c r="F185" s="298">
        <f>IFERROR(__xludf.DUMMYFUNCTION("""COMPUTED_VALUE"""),9.33)</f>
        <v>9.33</v>
      </c>
      <c r="G185" s="298">
        <f>IFERROR(__xludf.DUMMYFUNCTION("""COMPUTED_VALUE"""),0.0)</f>
        <v>0</v>
      </c>
      <c r="H185" s="223">
        <f>IFERROR(__xludf.DUMMYFUNCTION("""COMPUTED_VALUE"""),290.67)</f>
        <v>290.67</v>
      </c>
      <c r="I185" s="298"/>
      <c r="J185" s="223" t="str">
        <f>IFERROR(__xludf.DUMMYFUNCTION("""COMPUTED_VALUE"""),"Monthly")</f>
        <v>Monthly</v>
      </c>
      <c r="K185" s="317">
        <f>IFERROR(__xludf.DUMMYFUNCTION("""COMPUTED_VALUE"""),2022.01)</f>
        <v>2022.01</v>
      </c>
      <c r="L185" s="298"/>
      <c r="M185" s="223"/>
      <c r="N185" s="223"/>
      <c r="O185" s="223"/>
      <c r="P185" s="223"/>
      <c r="Q185" s="223"/>
      <c r="R185" s="223"/>
      <c r="S185" s="223"/>
      <c r="T185" s="223"/>
      <c r="U185" s="223"/>
      <c r="V185" s="223"/>
      <c r="W185" s="223"/>
      <c r="X185" s="223"/>
      <c r="Y185" s="223"/>
      <c r="Z185" s="223"/>
    </row>
    <row r="186">
      <c r="A186" s="223" t="str">
        <f>IFERROR(__xludf.DUMMYFUNCTION("""COMPUTED_VALUE"""),"Spraggs : Monthly Services")</f>
        <v>Spraggs : Monthly Services</v>
      </c>
      <c r="B186" s="223" t="str">
        <f>IFERROR(__xludf.DUMMYFUNCTION("""COMPUTED_VALUE"""),"Spraggs")</f>
        <v>Spraggs</v>
      </c>
      <c r="C186" s="223" t="str">
        <f>IFERROR(__xludf.DUMMYFUNCTION("""COMPUTED_VALUE"""),"Monthly Services")</f>
        <v>Monthly Services</v>
      </c>
      <c r="D186" s="316">
        <f>IFERROR(__xludf.DUMMYFUNCTION("""COMPUTED_VALUE"""),44592.0)</f>
        <v>44592</v>
      </c>
      <c r="E186" s="298">
        <f>IFERROR(__xludf.DUMMYFUNCTION("""COMPUTED_VALUE"""),2500.0)</f>
        <v>2500</v>
      </c>
      <c r="F186" s="298">
        <f>IFERROR(__xludf.DUMMYFUNCTION("""COMPUTED_VALUE"""),77.78)</f>
        <v>77.78</v>
      </c>
      <c r="G186" s="298">
        <f>IFERROR(__xludf.DUMMYFUNCTION("""COMPUTED_VALUE"""),0.0)</f>
        <v>0</v>
      </c>
      <c r="H186" s="223">
        <f>IFERROR(__xludf.DUMMYFUNCTION("""COMPUTED_VALUE"""),2422.22)</f>
        <v>2422.22</v>
      </c>
      <c r="I186" s="298"/>
      <c r="J186" s="223" t="str">
        <f>IFERROR(__xludf.DUMMYFUNCTION("""COMPUTED_VALUE"""),"Monthly")</f>
        <v>Monthly</v>
      </c>
      <c r="K186" s="317">
        <f>IFERROR(__xludf.DUMMYFUNCTION("""COMPUTED_VALUE"""),2022.01)</f>
        <v>2022.01</v>
      </c>
      <c r="L186" s="298"/>
      <c r="M186" s="223"/>
      <c r="N186" s="223"/>
      <c r="O186" s="223"/>
      <c r="P186" s="223"/>
      <c r="Q186" s="223"/>
      <c r="R186" s="223"/>
      <c r="S186" s="223"/>
      <c r="T186" s="223"/>
      <c r="U186" s="223"/>
      <c r="V186" s="223"/>
      <c r="W186" s="223"/>
      <c r="X186" s="223"/>
      <c r="Y186" s="223"/>
      <c r="Z186" s="223"/>
    </row>
    <row r="187">
      <c r="A187" s="223" t="str">
        <f>IFERROR(__xludf.DUMMYFUNCTION("""COMPUTED_VALUE"""),"Tires Easy : Monthly Services for Tires-Easy.com")</f>
        <v>Tires Easy : Monthly Services for Tires-Easy.com</v>
      </c>
      <c r="B187" s="223" t="str">
        <f>IFERROR(__xludf.DUMMYFUNCTION("""COMPUTED_VALUE"""),"Tires Easy")</f>
        <v>Tires Easy</v>
      </c>
      <c r="C187" s="223" t="str">
        <f>IFERROR(__xludf.DUMMYFUNCTION("""COMPUTED_VALUE"""),"Monthly Services for Tires-Easy.com")</f>
        <v>Monthly Services for Tires-Easy.com</v>
      </c>
      <c r="D187" s="316">
        <f>IFERROR(__xludf.DUMMYFUNCTION("""COMPUTED_VALUE"""),44592.0)</f>
        <v>44592</v>
      </c>
      <c r="E187" s="298">
        <f>IFERROR(__xludf.DUMMYFUNCTION("""COMPUTED_VALUE"""),427.26075)</f>
        <v>427.26075</v>
      </c>
      <c r="F187" s="298">
        <f>IFERROR(__xludf.DUMMYFUNCTION("""COMPUTED_VALUE"""),16.17487125)</f>
        <v>16.17487125</v>
      </c>
      <c r="G187" s="298">
        <f>IFERROR(__xludf.DUMMYFUNCTION("""COMPUTED_VALUE"""),0.0)</f>
        <v>0</v>
      </c>
      <c r="H187" s="223">
        <f>IFERROR(__xludf.DUMMYFUNCTION("""COMPUTED_VALUE"""),411.08587874999995)</f>
        <v>411.0858788</v>
      </c>
      <c r="I187" s="298"/>
      <c r="J187" s="223" t="str">
        <f>IFERROR(__xludf.DUMMYFUNCTION("""COMPUTED_VALUE"""),"Monthly")</f>
        <v>Monthly</v>
      </c>
      <c r="K187" s="317">
        <f>IFERROR(__xludf.DUMMYFUNCTION("""COMPUTED_VALUE"""),2022.01)</f>
        <v>2022.01</v>
      </c>
      <c r="L187" s="298"/>
      <c r="M187" s="223"/>
      <c r="N187" s="223"/>
      <c r="O187" s="223"/>
      <c r="P187" s="223"/>
      <c r="Q187" s="223"/>
      <c r="R187" s="223"/>
      <c r="S187" s="223"/>
      <c r="T187" s="223"/>
      <c r="U187" s="223"/>
      <c r="V187" s="223"/>
      <c r="W187" s="223"/>
      <c r="X187" s="223"/>
      <c r="Y187" s="223"/>
      <c r="Z187" s="223"/>
    </row>
    <row r="188">
      <c r="A188" s="223" t="str">
        <f>IFERROR(__xludf.DUMMYFUNCTION("""COMPUTED_VALUE"""),"TisBest : Monthly Services")</f>
        <v>TisBest : Monthly Services</v>
      </c>
      <c r="B188" s="223" t="str">
        <f>IFERROR(__xludf.DUMMYFUNCTION("""COMPUTED_VALUE"""),"TisBest")</f>
        <v>TisBest</v>
      </c>
      <c r="C188" s="223" t="str">
        <f>IFERROR(__xludf.DUMMYFUNCTION("""COMPUTED_VALUE"""),"Monthly Services")</f>
        <v>Monthly Services</v>
      </c>
      <c r="D188" s="316">
        <f>IFERROR(__xludf.DUMMYFUNCTION("""COMPUTED_VALUE"""),44592.0)</f>
        <v>44592</v>
      </c>
      <c r="E188" s="298">
        <f>IFERROR(__xludf.DUMMYFUNCTION("""COMPUTED_VALUE"""),6754.643499999999)</f>
        <v>6754.6435</v>
      </c>
      <c r="F188" s="298">
        <f>IFERROR(__xludf.DUMMYFUNCTION("""COMPUTED_VALUE"""),250.2902446)</f>
        <v>250.2902446</v>
      </c>
      <c r="G188" s="298">
        <f>IFERROR(__xludf.DUMMYFUNCTION("""COMPUTED_VALUE"""),1300.87065108)</f>
        <v>1300.870651</v>
      </c>
      <c r="H188" s="223">
        <f>IFERROR(__xludf.DUMMYFUNCTION("""COMPUTED_VALUE"""),5203.482604319999)</f>
        <v>5203.482604</v>
      </c>
      <c r="I188" s="298"/>
      <c r="J188" s="223" t="str">
        <f>IFERROR(__xludf.DUMMYFUNCTION("""COMPUTED_VALUE"""),"Monthly")</f>
        <v>Monthly</v>
      </c>
      <c r="K188" s="317">
        <f>IFERROR(__xludf.DUMMYFUNCTION("""COMPUTED_VALUE"""),2022.01)</f>
        <v>2022.01</v>
      </c>
      <c r="L188" s="298"/>
      <c r="M188" s="223"/>
      <c r="N188" s="223"/>
      <c r="O188" s="223"/>
      <c r="P188" s="223"/>
      <c r="Q188" s="223"/>
      <c r="R188" s="223"/>
      <c r="S188" s="223"/>
      <c r="T188" s="223"/>
      <c r="U188" s="223"/>
      <c r="V188" s="223"/>
      <c r="W188" s="223"/>
      <c r="X188" s="223"/>
      <c r="Y188" s="223"/>
      <c r="Z188" s="223"/>
    </row>
    <row r="189">
      <c r="A189" s="223" t="str">
        <f>IFERROR(__xludf.DUMMYFUNCTION("""COMPUTED_VALUE"""),"Tuscany : Monthly Services")</f>
        <v>Tuscany : Monthly Services</v>
      </c>
      <c r="B189" s="223" t="str">
        <f>IFERROR(__xludf.DUMMYFUNCTION("""COMPUTED_VALUE"""),"Tuscany")</f>
        <v>Tuscany</v>
      </c>
      <c r="C189" s="223" t="str">
        <f>IFERROR(__xludf.DUMMYFUNCTION("""COMPUTED_VALUE"""),"Monthly Services")</f>
        <v>Monthly Services</v>
      </c>
      <c r="D189" s="316">
        <f>IFERROR(__xludf.DUMMYFUNCTION("""COMPUTED_VALUE"""),44592.0)</f>
        <v>44592</v>
      </c>
      <c r="E189" s="298">
        <f>IFERROR(__xludf.DUMMYFUNCTION("""COMPUTED_VALUE"""),2453.05)</f>
        <v>2453.05</v>
      </c>
      <c r="F189" s="298">
        <f>IFERROR(__xludf.DUMMYFUNCTION("""COMPUTED_VALUE"""),0.0)</f>
        <v>0</v>
      </c>
      <c r="G189" s="298">
        <f>IFERROR(__xludf.DUMMYFUNCTION("""COMPUTED_VALUE"""),0.0)</f>
        <v>0</v>
      </c>
      <c r="H189" s="223">
        <f>IFERROR(__xludf.DUMMYFUNCTION("""COMPUTED_VALUE"""),2453.05)</f>
        <v>2453.05</v>
      </c>
      <c r="I189" s="298"/>
      <c r="J189" s="223" t="str">
        <f>IFERROR(__xludf.DUMMYFUNCTION("""COMPUTED_VALUE"""),"Monthly")</f>
        <v>Monthly</v>
      </c>
      <c r="K189" s="317">
        <f>IFERROR(__xludf.DUMMYFUNCTION("""COMPUTED_VALUE"""),2022.01)</f>
        <v>2022.01</v>
      </c>
      <c r="L189" s="298"/>
      <c r="M189" s="223"/>
      <c r="N189" s="223"/>
      <c r="O189" s="223"/>
      <c r="P189" s="223"/>
      <c r="Q189" s="223"/>
      <c r="R189" s="223"/>
      <c r="S189" s="223"/>
      <c r="T189" s="223"/>
      <c r="U189" s="223"/>
      <c r="V189" s="223"/>
      <c r="W189" s="223"/>
      <c r="X189" s="223"/>
      <c r="Y189" s="223"/>
      <c r="Z189" s="223"/>
    </row>
    <row r="190">
      <c r="A190" s="223" t="str">
        <f>IFERROR(__xludf.DUMMYFUNCTION("""COMPUTED_VALUE"""),"Venetian : Monthly Services")</f>
        <v>Venetian : Monthly Services</v>
      </c>
      <c r="B190" s="223" t="str">
        <f>IFERROR(__xludf.DUMMYFUNCTION("""COMPUTED_VALUE"""),"Venetian")</f>
        <v>Venetian</v>
      </c>
      <c r="C190" s="223" t="str">
        <f>IFERROR(__xludf.DUMMYFUNCTION("""COMPUTED_VALUE"""),"Monthly Services")</f>
        <v>Monthly Services</v>
      </c>
      <c r="D190" s="316">
        <f>IFERROR(__xludf.DUMMYFUNCTION("""COMPUTED_VALUE"""),44592.0)</f>
        <v>44592</v>
      </c>
      <c r="E190" s="298">
        <f>IFERROR(__xludf.DUMMYFUNCTION("""COMPUTED_VALUE"""),2453.05)</f>
        <v>2453.05</v>
      </c>
      <c r="F190" s="298">
        <f>IFERROR(__xludf.DUMMYFUNCTION("""COMPUTED_VALUE"""),0.0)</f>
        <v>0</v>
      </c>
      <c r="G190" s="298">
        <f>IFERROR(__xludf.DUMMYFUNCTION("""COMPUTED_VALUE"""),0.0)</f>
        <v>0</v>
      </c>
      <c r="H190" s="223">
        <f>IFERROR(__xludf.DUMMYFUNCTION("""COMPUTED_VALUE"""),2453.05)</f>
        <v>2453.05</v>
      </c>
      <c r="I190" s="298"/>
      <c r="J190" s="223" t="str">
        <f>IFERROR(__xludf.DUMMYFUNCTION("""COMPUTED_VALUE"""),"Monthly")</f>
        <v>Monthly</v>
      </c>
      <c r="K190" s="317">
        <f>IFERROR(__xludf.DUMMYFUNCTION("""COMPUTED_VALUE"""),2022.01)</f>
        <v>2022.01</v>
      </c>
      <c r="L190" s="298"/>
      <c r="M190" s="223"/>
      <c r="N190" s="223"/>
      <c r="O190" s="223"/>
      <c r="P190" s="223"/>
      <c r="Q190" s="223"/>
      <c r="R190" s="223"/>
      <c r="S190" s="223"/>
      <c r="T190" s="223"/>
      <c r="U190" s="223"/>
      <c r="V190" s="223"/>
      <c r="W190" s="223"/>
      <c r="X190" s="223"/>
      <c r="Y190" s="223"/>
      <c r="Z190" s="223"/>
    </row>
    <row r="191">
      <c r="A191" s="223" t="str">
        <f>IFERROR(__xludf.DUMMYFUNCTION("""COMPUTED_VALUE"""),"Wallack's Art Supplies : Monthly Services")</f>
        <v>Wallack's Art Supplies : Monthly Services</v>
      </c>
      <c r="B191" s="223" t="str">
        <f>IFERROR(__xludf.DUMMYFUNCTION("""COMPUTED_VALUE"""),"Wallack's Art Supplies")</f>
        <v>Wallack's Art Supplies</v>
      </c>
      <c r="C191" s="223" t="str">
        <f>IFERROR(__xludf.DUMMYFUNCTION("""COMPUTED_VALUE"""),"Monthly Services")</f>
        <v>Monthly Services</v>
      </c>
      <c r="D191" s="316">
        <f>IFERROR(__xludf.DUMMYFUNCTION("""COMPUTED_VALUE"""),44592.0)</f>
        <v>44592</v>
      </c>
      <c r="E191" s="298">
        <f>IFERROR(__xludf.DUMMYFUNCTION("""COMPUTED_VALUE"""),700.0)</f>
        <v>700</v>
      </c>
      <c r="F191" s="298">
        <f>IFERROR(__xludf.DUMMYFUNCTION("""COMPUTED_VALUE"""),0.0)</f>
        <v>0</v>
      </c>
      <c r="G191" s="298">
        <f>IFERROR(__xludf.DUMMYFUNCTION("""COMPUTED_VALUE"""),0.0)</f>
        <v>0</v>
      </c>
      <c r="H191" s="223">
        <f>IFERROR(__xludf.DUMMYFUNCTION("""COMPUTED_VALUE"""),700.0)</f>
        <v>700</v>
      </c>
      <c r="I191" s="298"/>
      <c r="J191" s="223" t="str">
        <f>IFERROR(__xludf.DUMMYFUNCTION("""COMPUTED_VALUE"""),"Monthly")</f>
        <v>Monthly</v>
      </c>
      <c r="K191" s="317">
        <f>IFERROR(__xludf.DUMMYFUNCTION("""COMPUTED_VALUE"""),2022.01)</f>
        <v>2022.01</v>
      </c>
      <c r="L191" s="298"/>
      <c r="M191" s="223"/>
      <c r="N191" s="223"/>
      <c r="O191" s="223"/>
      <c r="P191" s="223"/>
      <c r="Q191" s="223"/>
      <c r="R191" s="223"/>
      <c r="S191" s="223"/>
      <c r="T191" s="223"/>
      <c r="U191" s="223"/>
      <c r="V191" s="223"/>
      <c r="W191" s="223"/>
      <c r="X191" s="223"/>
      <c r="Y191" s="223"/>
      <c r="Z191" s="223"/>
    </row>
    <row r="192">
      <c r="A192" s="223" t="str">
        <f>IFERROR(__xludf.DUMMYFUNCTION("""COMPUTED_VALUE"""),"Anook Athletics : Monthly Services")</f>
        <v>Anook Athletics : Monthly Services</v>
      </c>
      <c r="B192" s="223" t="str">
        <f>IFERROR(__xludf.DUMMYFUNCTION("""COMPUTED_VALUE"""),"Anook Athletics")</f>
        <v>Anook Athletics</v>
      </c>
      <c r="C192" s="223" t="str">
        <f>IFERROR(__xludf.DUMMYFUNCTION("""COMPUTED_VALUE"""),"Monthly Services")</f>
        <v>Monthly Services</v>
      </c>
      <c r="D192" s="316">
        <f>IFERROR(__xludf.DUMMYFUNCTION("""COMPUTED_VALUE"""),44592.0)</f>
        <v>44592</v>
      </c>
      <c r="E192" s="298">
        <f>IFERROR(__xludf.DUMMYFUNCTION("""COMPUTED_VALUE"""),800.0)</f>
        <v>800</v>
      </c>
      <c r="F192" s="298">
        <f>IFERROR(__xludf.DUMMYFUNCTION("""COMPUTED_VALUE"""),24.89)</f>
        <v>24.89</v>
      </c>
      <c r="G192" s="298">
        <f>IFERROR(__xludf.DUMMYFUNCTION("""COMPUTED_VALUE"""),0.0)</f>
        <v>0</v>
      </c>
      <c r="H192" s="223">
        <f>IFERROR(__xludf.DUMMYFUNCTION("""COMPUTED_VALUE"""),775.11)</f>
        <v>775.11</v>
      </c>
      <c r="I192" s="298"/>
      <c r="J192" s="223" t="str">
        <f>IFERROR(__xludf.DUMMYFUNCTION("""COMPUTED_VALUE"""),"Monthly")</f>
        <v>Monthly</v>
      </c>
      <c r="K192" s="317">
        <f>IFERROR(__xludf.DUMMYFUNCTION("""COMPUTED_VALUE"""),2022.01)</f>
        <v>2022.01</v>
      </c>
      <c r="L192" s="298"/>
      <c r="M192" s="223"/>
      <c r="N192" s="223"/>
      <c r="O192" s="223"/>
      <c r="P192" s="223"/>
      <c r="Q192" s="223"/>
      <c r="R192" s="223"/>
      <c r="S192" s="223"/>
      <c r="T192" s="223"/>
      <c r="U192" s="223"/>
      <c r="V192" s="223"/>
      <c r="W192" s="223"/>
      <c r="X192" s="223"/>
      <c r="Y192" s="223"/>
      <c r="Z192" s="223"/>
    </row>
    <row r="193">
      <c r="A193" s="223" t="str">
        <f>IFERROR(__xludf.DUMMYFUNCTION("""COMPUTED_VALUE"""),"UnityWest Capital : Scryb 3 Month PPC")</f>
        <v>UnityWest Capital : Scryb 3 Month PPC</v>
      </c>
      <c r="B193" s="223" t="str">
        <f>IFERROR(__xludf.DUMMYFUNCTION("""COMPUTED_VALUE"""),"UnityWest Capital")</f>
        <v>UnityWest Capital</v>
      </c>
      <c r="C193" s="223" t="str">
        <f>IFERROR(__xludf.DUMMYFUNCTION("""COMPUTED_VALUE"""),"Scryb 3 Month PPC")</f>
        <v>Scryb 3 Month PPC</v>
      </c>
      <c r="D193" s="316">
        <f>IFERROR(__xludf.DUMMYFUNCTION("""COMPUTED_VALUE"""),44599.0)</f>
        <v>44599</v>
      </c>
      <c r="E193" s="298">
        <f>IFERROR(__xludf.DUMMYFUNCTION("""COMPUTED_VALUE"""),4000.0)</f>
        <v>4000</v>
      </c>
      <c r="F193" s="298">
        <f>IFERROR(__xludf.DUMMYFUNCTION("""COMPUTED_VALUE"""),118.52)</f>
        <v>118.52</v>
      </c>
      <c r="G193" s="298">
        <f>IFERROR(__xludf.DUMMYFUNCTION("""COMPUTED_VALUE"""),0.0)</f>
        <v>0</v>
      </c>
      <c r="H193" s="223">
        <f>IFERROR(__xludf.DUMMYFUNCTION("""COMPUTED_VALUE"""),3881.48)</f>
        <v>3881.48</v>
      </c>
      <c r="I193" s="298"/>
      <c r="J193" s="223" t="str">
        <f>IFERROR(__xludf.DUMMYFUNCTION("""COMPUTED_VALUE"""),"$3000 Deposit
$4000 Final Payment")</f>
        <v>$3000 Deposit
$4000 Final Payment</v>
      </c>
      <c r="K193" s="317">
        <f>IFERROR(__xludf.DUMMYFUNCTION("""COMPUTED_VALUE"""),2022.0)</f>
        <v>2022</v>
      </c>
      <c r="L193" s="298"/>
      <c r="M193" s="223"/>
      <c r="N193" s="223"/>
      <c r="O193" s="223"/>
      <c r="P193" s="223"/>
      <c r="Q193" s="223"/>
      <c r="R193" s="223"/>
      <c r="S193" s="223"/>
      <c r="T193" s="223"/>
      <c r="U193" s="223"/>
      <c r="V193" s="223"/>
      <c r="W193" s="223"/>
      <c r="X193" s="223"/>
      <c r="Y193" s="223"/>
      <c r="Z193" s="223"/>
    </row>
    <row r="194">
      <c r="A194" s="223" t="str">
        <f>IFERROR(__xludf.DUMMYFUNCTION("""COMPUTED_VALUE"""),"TisBest : Hosting")</f>
        <v>TisBest : Hosting</v>
      </c>
      <c r="B194" s="223" t="str">
        <f>IFERROR(__xludf.DUMMYFUNCTION("""COMPUTED_VALUE"""),"TisBest")</f>
        <v>TisBest</v>
      </c>
      <c r="C194" s="223" t="str">
        <f>IFERROR(__xludf.DUMMYFUNCTION("""COMPUTED_VALUE"""),"Hosting")</f>
        <v>Hosting</v>
      </c>
      <c r="D194" s="316">
        <f>IFERROR(__xludf.DUMMYFUNCTION("""COMPUTED_VALUE"""),44620.0)</f>
        <v>44620</v>
      </c>
      <c r="E194" s="298">
        <f>IFERROR(__xludf.DUMMYFUNCTION("""COMPUTED_VALUE"""),337.9189)</f>
        <v>337.9189</v>
      </c>
      <c r="F194" s="298">
        <f>IFERROR(__xludf.DUMMYFUNCTION("""COMPUTED_VALUE"""),12.50914328)</f>
        <v>12.50914328</v>
      </c>
      <c r="G194" s="298">
        <f>IFERROR(__xludf.DUMMYFUNCTION("""COMPUTED_VALUE"""),0.0)</f>
        <v>0</v>
      </c>
      <c r="H194" s="223">
        <f>IFERROR(__xludf.DUMMYFUNCTION("""COMPUTED_VALUE"""),325.40975672)</f>
        <v>325.4097567</v>
      </c>
      <c r="I194" s="298"/>
      <c r="J194" s="223" t="str">
        <f>IFERROR(__xludf.DUMMYFUNCTION("""COMPUTED_VALUE"""),"Yearly (Advance)")</f>
        <v>Yearly (Advance)</v>
      </c>
      <c r="K194" s="317">
        <f>IFERROR(__xludf.DUMMYFUNCTION("""COMPUTED_VALUE"""),2022.0)</f>
        <v>2022</v>
      </c>
      <c r="L194" s="298"/>
      <c r="M194" s="223"/>
      <c r="N194" s="223"/>
      <c r="O194" s="223"/>
      <c r="P194" s="223"/>
      <c r="Q194" s="223"/>
      <c r="R194" s="223"/>
      <c r="S194" s="223"/>
      <c r="T194" s="223"/>
      <c r="U194" s="223"/>
      <c r="V194" s="223"/>
      <c r="W194" s="223"/>
      <c r="X194" s="223"/>
      <c r="Y194" s="223"/>
      <c r="Z194" s="223"/>
    </row>
    <row r="195">
      <c r="A195" s="223" t="str">
        <f>IFERROR(__xludf.DUMMYFUNCTION("""COMPUTED_VALUE"""),"Tugwell : 6 Month PPC")</f>
        <v>Tugwell : 6 Month PPC</v>
      </c>
      <c r="B195" s="223" t="str">
        <f>IFERROR(__xludf.DUMMYFUNCTION("""COMPUTED_VALUE"""),"Tugwell")</f>
        <v>Tugwell</v>
      </c>
      <c r="C195" s="223" t="str">
        <f>IFERROR(__xludf.DUMMYFUNCTION("""COMPUTED_VALUE"""),"6 Month PPC")</f>
        <v>6 Month PPC</v>
      </c>
      <c r="D195" s="316">
        <f>IFERROR(__xludf.DUMMYFUNCTION("""COMPUTED_VALUE"""),44607.0)</f>
        <v>44607</v>
      </c>
      <c r="E195" s="298">
        <f>IFERROR(__xludf.DUMMYFUNCTION("""COMPUTED_VALUE"""),1000.0)</f>
        <v>1000</v>
      </c>
      <c r="F195" s="298">
        <f>IFERROR(__xludf.DUMMYFUNCTION("""COMPUTED_VALUE"""),31.11)</f>
        <v>31.11</v>
      </c>
      <c r="G195" s="298">
        <f>IFERROR(__xludf.DUMMYFUNCTION("""COMPUTED_VALUE"""),0.0)</f>
        <v>0</v>
      </c>
      <c r="H195" s="223">
        <f>IFERROR(__xludf.DUMMYFUNCTION("""COMPUTED_VALUE"""),968.89)</f>
        <v>968.89</v>
      </c>
      <c r="I195" s="298"/>
      <c r="J195" s="223" t="str">
        <f>IFERROR(__xludf.DUMMYFUNCTION("""COMPUTED_VALUE"""),"Monthly (Advance)")</f>
        <v>Monthly (Advance)</v>
      </c>
      <c r="K195" s="317">
        <f>IFERROR(__xludf.DUMMYFUNCTION("""COMPUTED_VALUE"""),2022.02)</f>
        <v>2022.02</v>
      </c>
      <c r="L195" s="298"/>
      <c r="M195" s="223"/>
      <c r="N195" s="223"/>
      <c r="O195" s="223"/>
      <c r="P195" s="223"/>
      <c r="Q195" s="223"/>
      <c r="R195" s="223"/>
      <c r="S195" s="223"/>
      <c r="T195" s="223"/>
      <c r="U195" s="223"/>
      <c r="V195" s="223"/>
      <c r="W195" s="223"/>
      <c r="X195" s="223"/>
      <c r="Y195" s="223"/>
      <c r="Z195" s="223"/>
    </row>
    <row r="196">
      <c r="A196" s="223" t="str">
        <f>IFERROR(__xludf.DUMMYFUNCTION("""COMPUTED_VALUE"""),"Tugwell : 6 Month PPC")</f>
        <v>Tugwell : 6 Month PPC</v>
      </c>
      <c r="B196" s="223" t="str">
        <f>IFERROR(__xludf.DUMMYFUNCTION("""COMPUTED_VALUE"""),"Tugwell")</f>
        <v>Tugwell</v>
      </c>
      <c r="C196" s="223" t="str">
        <f>IFERROR(__xludf.DUMMYFUNCTION("""COMPUTED_VALUE"""),"6 Month PPC")</f>
        <v>6 Month PPC</v>
      </c>
      <c r="D196" s="316">
        <f>IFERROR(__xludf.DUMMYFUNCTION("""COMPUTED_VALUE"""),44651.0)</f>
        <v>44651</v>
      </c>
      <c r="E196" s="298">
        <f>IFERROR(__xludf.DUMMYFUNCTION("""COMPUTED_VALUE"""),2000.0)</f>
        <v>2000</v>
      </c>
      <c r="F196" s="298">
        <f>IFERROR(__xludf.DUMMYFUNCTION("""COMPUTED_VALUE"""),62.22)</f>
        <v>62.22</v>
      </c>
      <c r="G196" s="298">
        <f>IFERROR(__xludf.DUMMYFUNCTION("""COMPUTED_VALUE"""),0.0)</f>
        <v>0</v>
      </c>
      <c r="H196" s="223">
        <f>IFERROR(__xludf.DUMMYFUNCTION("""COMPUTED_VALUE"""),1937.78)</f>
        <v>1937.78</v>
      </c>
      <c r="I196" s="298"/>
      <c r="J196" s="223" t="str">
        <f>IFERROR(__xludf.DUMMYFUNCTION("""COMPUTED_VALUE"""),"Monthly ")</f>
        <v>Monthly </v>
      </c>
      <c r="K196" s="317">
        <f>IFERROR(__xludf.DUMMYFUNCTION("""COMPUTED_VALUE"""),2022.03)</f>
        <v>2022.03</v>
      </c>
      <c r="L196" s="298"/>
      <c r="M196" s="223"/>
      <c r="N196" s="223"/>
      <c r="O196" s="223"/>
      <c r="P196" s="223"/>
      <c r="Q196" s="223"/>
      <c r="R196" s="223"/>
      <c r="S196" s="223"/>
      <c r="T196" s="223"/>
      <c r="U196" s="223"/>
      <c r="V196" s="223"/>
      <c r="W196" s="223"/>
      <c r="X196" s="223"/>
      <c r="Y196" s="223"/>
      <c r="Z196" s="223"/>
    </row>
    <row r="197">
      <c r="A197" s="223" t="str">
        <f>IFERROR(__xludf.DUMMYFUNCTION("""COMPUTED_VALUE"""),"Tugwell : 6 Month PPC")</f>
        <v>Tugwell : 6 Month PPC</v>
      </c>
      <c r="B197" s="223" t="str">
        <f>IFERROR(__xludf.DUMMYFUNCTION("""COMPUTED_VALUE"""),"Tugwell")</f>
        <v>Tugwell</v>
      </c>
      <c r="C197" s="223" t="str">
        <f>IFERROR(__xludf.DUMMYFUNCTION("""COMPUTED_VALUE"""),"6 Month PPC")</f>
        <v>6 Month PPC</v>
      </c>
      <c r="D197" s="316">
        <f>IFERROR(__xludf.DUMMYFUNCTION("""COMPUTED_VALUE"""),44666.0)</f>
        <v>44666</v>
      </c>
      <c r="E197" s="298">
        <f>IFERROR(__xludf.DUMMYFUNCTION("""COMPUTED_VALUE"""),7000.0)</f>
        <v>7000</v>
      </c>
      <c r="F197" s="298">
        <f>IFERROR(__xludf.DUMMYFUNCTION("""COMPUTED_VALUE"""),217.78)</f>
        <v>217.78</v>
      </c>
      <c r="G197" s="298">
        <f>IFERROR(__xludf.DUMMYFUNCTION("""COMPUTED_VALUE"""),0.0)</f>
        <v>0</v>
      </c>
      <c r="H197" s="223">
        <f>IFERROR(__xludf.DUMMYFUNCTION("""COMPUTED_VALUE"""),6782.22)</f>
        <v>6782.22</v>
      </c>
      <c r="I197" s="298"/>
      <c r="J197" s="223" t="str">
        <f>IFERROR(__xludf.DUMMYFUNCTION("""COMPUTED_VALUE"""),"Monthly")</f>
        <v>Monthly</v>
      </c>
      <c r="K197" s="317">
        <f>IFERROR(__xludf.DUMMYFUNCTION("""COMPUTED_VALUE"""),2022.04)</f>
        <v>2022.04</v>
      </c>
      <c r="L197" s="298"/>
      <c r="M197" s="223"/>
      <c r="N197" s="223"/>
      <c r="O197" s="223"/>
      <c r="P197" s="223"/>
      <c r="Q197" s="223"/>
      <c r="R197" s="223"/>
      <c r="S197" s="223"/>
      <c r="T197" s="223"/>
      <c r="U197" s="223"/>
      <c r="V197" s="223"/>
      <c r="W197" s="223"/>
      <c r="X197" s="223"/>
      <c r="Y197" s="223"/>
      <c r="Z197" s="223"/>
    </row>
    <row r="198">
      <c r="A198" s="223" t="str">
        <f>IFERROR(__xludf.DUMMYFUNCTION("""COMPUTED_VALUE"""),"Tugwell : 6 Month PPC")</f>
        <v>Tugwell : 6 Month PPC</v>
      </c>
      <c r="B198" s="223" t="str">
        <f>IFERROR(__xludf.DUMMYFUNCTION("""COMPUTED_VALUE"""),"Tugwell")</f>
        <v>Tugwell</v>
      </c>
      <c r="C198" s="223" t="str">
        <f>IFERROR(__xludf.DUMMYFUNCTION("""COMPUTED_VALUE"""),"6 Month PPC")</f>
        <v>6 Month PPC</v>
      </c>
      <c r="D198" s="316">
        <f>IFERROR(__xludf.DUMMYFUNCTION("""COMPUTED_VALUE"""),44696.0)</f>
        <v>44696</v>
      </c>
      <c r="E198" s="298">
        <f>IFERROR(__xludf.DUMMYFUNCTION("""COMPUTED_VALUE"""),1166.66)</f>
        <v>1166.66</v>
      </c>
      <c r="F198" s="298"/>
      <c r="G198" s="298">
        <f>IFERROR(__xludf.DUMMYFUNCTION("""COMPUTED_VALUE"""),0.0)</f>
        <v>0</v>
      </c>
      <c r="H198" s="223">
        <f>IFERROR(__xludf.DUMMYFUNCTION("""COMPUTED_VALUE"""),1166.66)</f>
        <v>1166.66</v>
      </c>
      <c r="I198" s="298"/>
      <c r="J198" s="223" t="str">
        <f>IFERROR(__xludf.DUMMYFUNCTION("""COMPUTED_VALUE"""),"Monthly")</f>
        <v>Monthly</v>
      </c>
      <c r="K198" s="317">
        <f>IFERROR(__xludf.DUMMYFUNCTION("""COMPUTED_VALUE"""),2022.05)</f>
        <v>2022.05</v>
      </c>
      <c r="L198" s="298"/>
      <c r="M198" s="223"/>
      <c r="N198" s="223"/>
      <c r="O198" s="223"/>
      <c r="P198" s="223"/>
      <c r="Q198" s="223"/>
      <c r="R198" s="223"/>
      <c r="S198" s="223"/>
      <c r="T198" s="223"/>
      <c r="U198" s="223"/>
      <c r="V198" s="223"/>
      <c r="W198" s="223"/>
      <c r="X198" s="223"/>
      <c r="Y198" s="223"/>
      <c r="Z198" s="223"/>
    </row>
    <row r="199">
      <c r="A199" s="223" t="str">
        <f>IFERROR(__xludf.DUMMYFUNCTION("""COMPUTED_VALUE"""),"Tugwell : 6 Month PPC")</f>
        <v>Tugwell : 6 Month PPC</v>
      </c>
      <c r="B199" s="223" t="str">
        <f>IFERROR(__xludf.DUMMYFUNCTION("""COMPUTED_VALUE"""),"Tugwell")</f>
        <v>Tugwell</v>
      </c>
      <c r="C199" s="223" t="str">
        <f>IFERROR(__xludf.DUMMYFUNCTION("""COMPUTED_VALUE"""),"6 Month PPC")</f>
        <v>6 Month PPC</v>
      </c>
      <c r="D199" s="316">
        <f>IFERROR(__xludf.DUMMYFUNCTION("""COMPUTED_VALUE"""),44727.0)</f>
        <v>44727</v>
      </c>
      <c r="E199" s="298">
        <f>IFERROR(__xludf.DUMMYFUNCTION("""COMPUTED_VALUE"""),1166.66)</f>
        <v>1166.66</v>
      </c>
      <c r="F199" s="298"/>
      <c r="G199" s="298">
        <f>IFERROR(__xludf.DUMMYFUNCTION("""COMPUTED_VALUE"""),0.0)</f>
        <v>0</v>
      </c>
      <c r="H199" s="223">
        <f>IFERROR(__xludf.DUMMYFUNCTION("""COMPUTED_VALUE"""),1166.66)</f>
        <v>1166.66</v>
      </c>
      <c r="I199" s="298"/>
      <c r="J199" s="223" t="str">
        <f>IFERROR(__xludf.DUMMYFUNCTION("""COMPUTED_VALUE"""),"Monthly")</f>
        <v>Monthly</v>
      </c>
      <c r="K199" s="317">
        <f>IFERROR(__xludf.DUMMYFUNCTION("""COMPUTED_VALUE"""),2022.06)</f>
        <v>2022.06</v>
      </c>
      <c r="L199" s="298"/>
      <c r="M199" s="223"/>
      <c r="N199" s="223"/>
      <c r="O199" s="223"/>
      <c r="P199" s="223"/>
      <c r="Q199" s="223"/>
      <c r="R199" s="223"/>
      <c r="S199" s="223"/>
      <c r="T199" s="223"/>
      <c r="U199" s="223"/>
      <c r="V199" s="223"/>
      <c r="W199" s="223"/>
      <c r="X199" s="223"/>
      <c r="Y199" s="223"/>
      <c r="Z199" s="223"/>
    </row>
    <row r="200">
      <c r="A200" s="223" t="str">
        <f>IFERROR(__xludf.DUMMYFUNCTION("""COMPUTED_VALUE"""),"Tugwell : 6 Month PPC")</f>
        <v>Tugwell : 6 Month PPC</v>
      </c>
      <c r="B200" s="223" t="str">
        <f>IFERROR(__xludf.DUMMYFUNCTION("""COMPUTED_VALUE"""),"Tugwell")</f>
        <v>Tugwell</v>
      </c>
      <c r="C200" s="223" t="str">
        <f>IFERROR(__xludf.DUMMYFUNCTION("""COMPUTED_VALUE"""),"6 Month PPC")</f>
        <v>6 Month PPC</v>
      </c>
      <c r="D200" s="316">
        <f>IFERROR(__xludf.DUMMYFUNCTION("""COMPUTED_VALUE"""),44757.0)</f>
        <v>44757</v>
      </c>
      <c r="E200" s="298">
        <f>IFERROR(__xludf.DUMMYFUNCTION("""COMPUTED_VALUE"""),1166.66)</f>
        <v>1166.66</v>
      </c>
      <c r="F200" s="298"/>
      <c r="G200" s="298">
        <f>IFERROR(__xludf.DUMMYFUNCTION("""COMPUTED_VALUE"""),0.0)</f>
        <v>0</v>
      </c>
      <c r="H200" s="223">
        <f>IFERROR(__xludf.DUMMYFUNCTION("""COMPUTED_VALUE"""),1166.66)</f>
        <v>1166.66</v>
      </c>
      <c r="I200" s="298"/>
      <c r="J200" s="223" t="str">
        <f>IFERROR(__xludf.DUMMYFUNCTION("""COMPUTED_VALUE"""),"Monthly")</f>
        <v>Monthly</v>
      </c>
      <c r="K200" s="317">
        <f>IFERROR(__xludf.DUMMYFUNCTION("""COMPUTED_VALUE"""),2022.07)</f>
        <v>2022.07</v>
      </c>
      <c r="L200" s="298"/>
      <c r="M200" s="223"/>
      <c r="N200" s="223"/>
      <c r="O200" s="223"/>
      <c r="P200" s="223"/>
      <c r="Q200" s="223"/>
      <c r="R200" s="223"/>
      <c r="S200" s="223"/>
      <c r="T200" s="223"/>
      <c r="U200" s="223"/>
      <c r="V200" s="223"/>
      <c r="W200" s="223"/>
      <c r="X200" s="223"/>
      <c r="Y200" s="223"/>
      <c r="Z200" s="223"/>
    </row>
    <row r="201">
      <c r="A201" s="223" t="str">
        <f>IFERROR(__xludf.DUMMYFUNCTION("""COMPUTED_VALUE"""),"Tugwell : 6 Month PPC")</f>
        <v>Tugwell : 6 Month PPC</v>
      </c>
      <c r="B201" s="223" t="str">
        <f>IFERROR(__xludf.DUMMYFUNCTION("""COMPUTED_VALUE"""),"Tugwell")</f>
        <v>Tugwell</v>
      </c>
      <c r="C201" s="223" t="str">
        <f>IFERROR(__xludf.DUMMYFUNCTION("""COMPUTED_VALUE"""),"6 Month PPC")</f>
        <v>6 Month PPC</v>
      </c>
      <c r="D201" s="316">
        <f>IFERROR(__xludf.DUMMYFUNCTION("""COMPUTED_VALUE"""),44788.0)</f>
        <v>44788</v>
      </c>
      <c r="E201" s="298">
        <f>IFERROR(__xludf.DUMMYFUNCTION("""COMPUTED_VALUE"""),1166.66)</f>
        <v>1166.66</v>
      </c>
      <c r="F201" s="298"/>
      <c r="G201" s="298">
        <f>IFERROR(__xludf.DUMMYFUNCTION("""COMPUTED_VALUE"""),0.0)</f>
        <v>0</v>
      </c>
      <c r="H201" s="223">
        <f>IFERROR(__xludf.DUMMYFUNCTION("""COMPUTED_VALUE"""),1166.66)</f>
        <v>1166.66</v>
      </c>
      <c r="I201" s="298"/>
      <c r="J201" s="223" t="str">
        <f>IFERROR(__xludf.DUMMYFUNCTION("""COMPUTED_VALUE"""),"Monthly")</f>
        <v>Monthly</v>
      </c>
      <c r="K201" s="317">
        <f>IFERROR(__xludf.DUMMYFUNCTION("""COMPUTED_VALUE"""),2022.08)</f>
        <v>2022.08</v>
      </c>
      <c r="L201" s="298"/>
      <c r="M201" s="223"/>
      <c r="N201" s="223"/>
      <c r="O201" s="223"/>
      <c r="P201" s="223"/>
      <c r="Q201" s="223"/>
      <c r="R201" s="223"/>
      <c r="S201" s="223"/>
      <c r="T201" s="223"/>
      <c r="U201" s="223"/>
      <c r="V201" s="223"/>
      <c r="W201" s="223"/>
      <c r="X201" s="223"/>
      <c r="Y201" s="223"/>
      <c r="Z201" s="223"/>
    </row>
    <row r="202">
      <c r="A202" s="223" t="str">
        <f>IFERROR(__xludf.DUMMYFUNCTION("""COMPUTED_VALUE"""),"Tugwell : 6 Month PPC")</f>
        <v>Tugwell : 6 Month PPC</v>
      </c>
      <c r="B202" s="223" t="str">
        <f>IFERROR(__xludf.DUMMYFUNCTION("""COMPUTED_VALUE"""),"Tugwell")</f>
        <v>Tugwell</v>
      </c>
      <c r="C202" s="223" t="str">
        <f>IFERROR(__xludf.DUMMYFUNCTION("""COMPUTED_VALUE"""),"6 Month PPC")</f>
        <v>6 Month PPC</v>
      </c>
      <c r="D202" s="316">
        <f>IFERROR(__xludf.DUMMYFUNCTION("""COMPUTED_VALUE"""),44819.0)</f>
        <v>44819</v>
      </c>
      <c r="E202" s="298">
        <f>IFERROR(__xludf.DUMMYFUNCTION("""COMPUTED_VALUE"""),1166.66)</f>
        <v>1166.66</v>
      </c>
      <c r="F202" s="298"/>
      <c r="G202" s="298">
        <f>IFERROR(__xludf.DUMMYFUNCTION("""COMPUTED_VALUE"""),0.0)</f>
        <v>0</v>
      </c>
      <c r="H202" s="223">
        <f>IFERROR(__xludf.DUMMYFUNCTION("""COMPUTED_VALUE"""),1166.66)</f>
        <v>1166.66</v>
      </c>
      <c r="I202" s="298"/>
      <c r="J202" s="223" t="str">
        <f>IFERROR(__xludf.DUMMYFUNCTION("""COMPUTED_VALUE"""),"Monthly")</f>
        <v>Monthly</v>
      </c>
      <c r="K202" s="317">
        <f>IFERROR(__xludf.DUMMYFUNCTION("""COMPUTED_VALUE"""),2022.09)</f>
        <v>2022.09</v>
      </c>
      <c r="L202" s="298"/>
      <c r="M202" s="223"/>
      <c r="N202" s="223"/>
      <c r="O202" s="223"/>
      <c r="P202" s="223"/>
      <c r="Q202" s="223"/>
      <c r="R202" s="223"/>
      <c r="S202" s="223"/>
      <c r="T202" s="223"/>
      <c r="U202" s="223"/>
      <c r="V202" s="223"/>
      <c r="W202" s="223"/>
      <c r="X202" s="223"/>
      <c r="Y202" s="223"/>
      <c r="Z202" s="223"/>
    </row>
    <row r="203">
      <c r="A203" s="223" t="str">
        <f>IFERROR(__xludf.DUMMYFUNCTION("""COMPUTED_VALUE"""),"Bratopia : Monthly Services")</f>
        <v>Bratopia : Monthly Services</v>
      </c>
      <c r="B203" s="223" t="str">
        <f>IFERROR(__xludf.DUMMYFUNCTION("""COMPUTED_VALUE"""),"Bratopia")</f>
        <v>Bratopia</v>
      </c>
      <c r="C203" s="223" t="str">
        <f>IFERROR(__xludf.DUMMYFUNCTION("""COMPUTED_VALUE"""),"Monthly Services")</f>
        <v>Monthly Services</v>
      </c>
      <c r="D203" s="316">
        <f>IFERROR(__xludf.DUMMYFUNCTION("""COMPUTED_VALUE"""),44607.0)</f>
        <v>44607</v>
      </c>
      <c r="E203" s="298">
        <f>IFERROR(__xludf.DUMMYFUNCTION("""COMPUTED_VALUE"""),173.65)</f>
        <v>173.65</v>
      </c>
      <c r="F203" s="298">
        <f>IFERROR(__xludf.DUMMYFUNCTION("""COMPUTED_VALUE"""),5.15)</f>
        <v>5.15</v>
      </c>
      <c r="G203" s="298">
        <f>IFERROR(__xludf.DUMMYFUNCTION("""COMPUTED_VALUE"""),0.0)</f>
        <v>0</v>
      </c>
      <c r="H203" s="223">
        <f>IFERROR(__xludf.DUMMYFUNCTION("""COMPUTED_VALUE"""),168.5)</f>
        <v>168.5</v>
      </c>
      <c r="I203" s="298"/>
      <c r="J203" s="223" t="str">
        <f>IFERROR(__xludf.DUMMYFUNCTION("""COMPUTED_VALUE"""),"One-Time")</f>
        <v>One-Time</v>
      </c>
      <c r="K203" s="317">
        <f>IFERROR(__xludf.DUMMYFUNCTION("""COMPUTED_VALUE"""),2022.0)</f>
        <v>2022</v>
      </c>
      <c r="L203" s="298"/>
      <c r="M203" s="223"/>
      <c r="N203" s="223"/>
      <c r="O203" s="223"/>
      <c r="P203" s="223"/>
      <c r="Q203" s="223"/>
      <c r="R203" s="223"/>
      <c r="S203" s="223"/>
      <c r="T203" s="223"/>
      <c r="U203" s="223"/>
      <c r="V203" s="223"/>
      <c r="W203" s="223"/>
      <c r="X203" s="223"/>
      <c r="Y203" s="223"/>
      <c r="Z203" s="223"/>
    </row>
    <row r="204">
      <c r="A204" s="223" t="str">
        <f>IFERROR(__xludf.DUMMYFUNCTION("""COMPUTED_VALUE"""),"Technology Rivers : Monthly Services")</f>
        <v>Technology Rivers : Monthly Services</v>
      </c>
      <c r="B204" s="223" t="str">
        <f>IFERROR(__xludf.DUMMYFUNCTION("""COMPUTED_VALUE"""),"Technology Rivers")</f>
        <v>Technology Rivers</v>
      </c>
      <c r="C204" s="223" t="str">
        <f>IFERROR(__xludf.DUMMYFUNCTION("""COMPUTED_VALUE"""),"Monthly Services")</f>
        <v>Monthly Services</v>
      </c>
      <c r="D204" s="316">
        <f>IFERROR(__xludf.DUMMYFUNCTION("""COMPUTED_VALUE"""),44607.0)</f>
        <v>44607</v>
      </c>
      <c r="E204" s="298">
        <f>IFERROR(__xludf.DUMMYFUNCTION("""COMPUTED_VALUE"""),1719.6354)</f>
        <v>1719.6354</v>
      </c>
      <c r="F204" s="298">
        <f>IFERROR(__xludf.DUMMYFUNCTION("""COMPUTED_VALUE"""),63.9950031)</f>
        <v>63.9950031</v>
      </c>
      <c r="G204" s="298">
        <f>IFERROR(__xludf.DUMMYFUNCTION("""COMPUTED_VALUE"""),331.12807938)</f>
        <v>331.1280794</v>
      </c>
      <c r="H204" s="223">
        <f>IFERROR(__xludf.DUMMYFUNCTION("""COMPUTED_VALUE"""),1324.51231752)</f>
        <v>1324.512318</v>
      </c>
      <c r="I204" s="298"/>
      <c r="J204" s="223" t="str">
        <f>IFERROR(__xludf.DUMMYFUNCTION("""COMPUTED_VALUE"""),"Monthly")</f>
        <v>Monthly</v>
      </c>
      <c r="K204" s="317">
        <f>IFERROR(__xludf.DUMMYFUNCTION("""COMPUTED_VALUE"""),2022.02)</f>
        <v>2022.02</v>
      </c>
      <c r="L204" s="298"/>
      <c r="M204" s="223"/>
      <c r="N204" s="223"/>
      <c r="O204" s="223"/>
      <c r="P204" s="223"/>
      <c r="Q204" s="223"/>
      <c r="R204" s="223"/>
      <c r="S204" s="223"/>
      <c r="T204" s="223"/>
      <c r="U204" s="223"/>
      <c r="V204" s="223"/>
      <c r="W204" s="223"/>
      <c r="X204" s="223"/>
      <c r="Y204" s="223"/>
      <c r="Z204" s="223"/>
    </row>
    <row r="205">
      <c r="A205" s="223" t="str">
        <f>IFERROR(__xludf.DUMMYFUNCTION("""COMPUTED_VALUE"""),"IMBA Medical : PPC Setup")</f>
        <v>IMBA Medical : PPC Setup</v>
      </c>
      <c r="B205" s="223" t="str">
        <f>IFERROR(__xludf.DUMMYFUNCTION("""COMPUTED_VALUE"""),"IMBA Medical")</f>
        <v>IMBA Medical</v>
      </c>
      <c r="C205" s="223" t="str">
        <f>IFERROR(__xludf.DUMMYFUNCTION("""COMPUTED_VALUE"""),"PPC Setup")</f>
        <v>PPC Setup</v>
      </c>
      <c r="D205" s="316">
        <f>IFERROR(__xludf.DUMMYFUNCTION("""COMPUTED_VALUE"""),44607.0)</f>
        <v>44607</v>
      </c>
      <c r="E205" s="298">
        <f>IFERROR(__xludf.DUMMYFUNCTION("""COMPUTED_VALUE"""),712.5)</f>
        <v>712.5</v>
      </c>
      <c r="F205" s="298">
        <f>IFERROR(__xludf.DUMMYFUNCTION("""COMPUTED_VALUE"""),23.86)</f>
        <v>23.86</v>
      </c>
      <c r="G205" s="298">
        <f>IFERROR(__xludf.DUMMYFUNCTION("""COMPUTED_VALUE"""),0.0)</f>
        <v>0</v>
      </c>
      <c r="H205" s="223">
        <f>IFERROR(__xludf.DUMMYFUNCTION("""COMPUTED_VALUE"""),688.64)</f>
        <v>688.64</v>
      </c>
      <c r="I205" s="298"/>
      <c r="J205" s="223" t="str">
        <f>IFERROR(__xludf.DUMMYFUNCTION("""COMPUTED_VALUE"""),"50% Deposit
50% Final")</f>
        <v>50% Deposit
50% Final</v>
      </c>
      <c r="K205" s="317">
        <f>IFERROR(__xludf.DUMMYFUNCTION("""COMPUTED_VALUE"""),2022.0)</f>
        <v>2022</v>
      </c>
      <c r="L205" s="298"/>
      <c r="M205" s="223"/>
      <c r="N205" s="223"/>
      <c r="O205" s="223"/>
      <c r="P205" s="223"/>
      <c r="Q205" s="223"/>
      <c r="R205" s="223"/>
      <c r="S205" s="223"/>
      <c r="T205" s="223"/>
      <c r="U205" s="223"/>
      <c r="V205" s="223"/>
      <c r="W205" s="223"/>
      <c r="X205" s="223"/>
      <c r="Y205" s="223"/>
      <c r="Z205" s="223"/>
    </row>
    <row r="206">
      <c r="A206" s="223" t="str">
        <f>IFERROR(__xludf.DUMMYFUNCTION("""COMPUTED_VALUE"""),"IMBA Medical : PPC Setup")</f>
        <v>IMBA Medical : PPC Setup</v>
      </c>
      <c r="B206" s="223" t="str">
        <f>IFERROR(__xludf.DUMMYFUNCTION("""COMPUTED_VALUE"""),"IMBA Medical")</f>
        <v>IMBA Medical</v>
      </c>
      <c r="C206" s="223" t="str">
        <f>IFERROR(__xludf.DUMMYFUNCTION("""COMPUTED_VALUE"""),"PPC Setup")</f>
        <v>PPC Setup</v>
      </c>
      <c r="D206" s="316"/>
      <c r="E206" s="298">
        <f>IFERROR(__xludf.DUMMYFUNCTION("""COMPUTED_VALUE"""),712.5)</f>
        <v>712.5</v>
      </c>
      <c r="F206" s="298"/>
      <c r="G206" s="298">
        <f>IFERROR(__xludf.DUMMYFUNCTION("""COMPUTED_VALUE"""),0.0)</f>
        <v>0</v>
      </c>
      <c r="H206" s="223">
        <f>IFERROR(__xludf.DUMMYFUNCTION("""COMPUTED_VALUE"""),712.5)</f>
        <v>712.5</v>
      </c>
      <c r="I206" s="298"/>
      <c r="J206" s="223" t="str">
        <f>IFERROR(__xludf.DUMMYFUNCTION("""COMPUTED_VALUE"""),"50% Deposit
50% Final")</f>
        <v>50% Deposit
50% Final</v>
      </c>
      <c r="K206" s="317">
        <f>IFERROR(__xludf.DUMMYFUNCTION("""COMPUTED_VALUE"""),1899.0)</f>
        <v>1899</v>
      </c>
      <c r="L206" s="298"/>
      <c r="M206" s="223"/>
      <c r="N206" s="223"/>
      <c r="O206" s="223"/>
      <c r="P206" s="223"/>
      <c r="Q206" s="223"/>
      <c r="R206" s="223"/>
      <c r="S206" s="223"/>
      <c r="T206" s="223"/>
      <c r="U206" s="223"/>
      <c r="V206" s="223"/>
      <c r="W206" s="223"/>
      <c r="X206" s="223"/>
      <c r="Y206" s="223"/>
      <c r="Z206" s="223"/>
    </row>
    <row r="207">
      <c r="A207" s="223" t="str">
        <f>IFERROR(__xludf.DUMMYFUNCTION("""COMPUTED_VALUE"""),"Arazy Group : Monthly Services")</f>
        <v>Arazy Group : Monthly Services</v>
      </c>
      <c r="B207" s="223" t="str">
        <f>IFERROR(__xludf.DUMMYFUNCTION("""COMPUTED_VALUE"""),"Arazy Group")</f>
        <v>Arazy Group</v>
      </c>
      <c r="C207" s="223" t="str">
        <f>IFERROR(__xludf.DUMMYFUNCTION("""COMPUTED_VALUE"""),"Monthly Services")</f>
        <v>Monthly Services</v>
      </c>
      <c r="D207" s="316">
        <f>IFERROR(__xludf.DUMMYFUNCTION("""COMPUTED_VALUE"""),44607.0)</f>
        <v>44607</v>
      </c>
      <c r="E207" s="298">
        <f>IFERROR(__xludf.DUMMYFUNCTION("""COMPUTED_VALUE"""),650.0)</f>
        <v>650</v>
      </c>
      <c r="F207" s="298">
        <f>IFERROR(__xludf.DUMMYFUNCTION("""COMPUTED_VALUE"""),20.09)</f>
        <v>20.09</v>
      </c>
      <c r="G207" s="298">
        <f>IFERROR(__xludf.DUMMYFUNCTION("""COMPUTED_VALUE"""),0.0)</f>
        <v>0</v>
      </c>
      <c r="H207" s="223">
        <f>IFERROR(__xludf.DUMMYFUNCTION("""COMPUTED_VALUE"""),629.91)</f>
        <v>629.91</v>
      </c>
      <c r="I207" s="298"/>
      <c r="J207" s="223" t="str">
        <f>IFERROR(__xludf.DUMMYFUNCTION("""COMPUTED_VALUE"""),"Monthly")</f>
        <v>Monthly</v>
      </c>
      <c r="K207" s="317">
        <f>IFERROR(__xludf.DUMMYFUNCTION("""COMPUTED_VALUE"""),2022.02)</f>
        <v>2022.02</v>
      </c>
      <c r="L207" s="298"/>
      <c r="M207" s="223"/>
      <c r="N207" s="223"/>
      <c r="O207" s="223"/>
      <c r="P207" s="223"/>
      <c r="Q207" s="223"/>
      <c r="R207" s="223"/>
      <c r="S207" s="223"/>
      <c r="T207" s="223"/>
      <c r="U207" s="223"/>
      <c r="V207" s="223"/>
      <c r="W207" s="223"/>
      <c r="X207" s="223"/>
      <c r="Y207" s="223"/>
      <c r="Z207" s="223"/>
    </row>
    <row r="208">
      <c r="A208" s="223" t="str">
        <f>IFERROR(__xludf.DUMMYFUNCTION("""COMPUTED_VALUE"""),"OA Region 6 : Monthly Services")</f>
        <v>OA Region 6 : Monthly Services</v>
      </c>
      <c r="B208" s="223" t="str">
        <f>IFERROR(__xludf.DUMMYFUNCTION("""COMPUTED_VALUE"""),"OA Region 6")</f>
        <v>OA Region 6</v>
      </c>
      <c r="C208" s="223" t="str">
        <f>IFERROR(__xludf.DUMMYFUNCTION("""COMPUTED_VALUE"""),"Monthly Services")</f>
        <v>Monthly Services</v>
      </c>
      <c r="D208" s="316">
        <f>IFERROR(__xludf.DUMMYFUNCTION("""COMPUTED_VALUE"""),44607.0)</f>
        <v>44607</v>
      </c>
      <c r="E208" s="298">
        <f>IFERROR(__xludf.DUMMYFUNCTION("""COMPUTED_VALUE"""),427.26075)</f>
        <v>427.26075</v>
      </c>
      <c r="F208" s="298">
        <f>IFERROR(__xludf.DUMMYFUNCTION("""COMPUTED_VALUE"""),16.17487125)</f>
        <v>16.17487125</v>
      </c>
      <c r="G208" s="298">
        <f>IFERROR(__xludf.DUMMYFUNCTION("""COMPUTED_VALUE"""),0.0)</f>
        <v>0</v>
      </c>
      <c r="H208" s="223">
        <f>IFERROR(__xludf.DUMMYFUNCTION("""COMPUTED_VALUE"""),411.08587874999995)</f>
        <v>411.0858788</v>
      </c>
      <c r="I208" s="298"/>
      <c r="J208" s="223" t="str">
        <f>IFERROR(__xludf.DUMMYFUNCTION("""COMPUTED_VALUE"""),"Monthly")</f>
        <v>Monthly</v>
      </c>
      <c r="K208" s="317">
        <f>IFERROR(__xludf.DUMMYFUNCTION("""COMPUTED_VALUE"""),2022.02)</f>
        <v>2022.02</v>
      </c>
      <c r="L208" s="298"/>
      <c r="M208" s="223"/>
      <c r="N208" s="223"/>
      <c r="O208" s="223"/>
      <c r="P208" s="223"/>
      <c r="Q208" s="223"/>
      <c r="R208" s="223"/>
      <c r="S208" s="223"/>
      <c r="T208" s="223"/>
      <c r="U208" s="223"/>
      <c r="V208" s="223"/>
      <c r="W208" s="223"/>
      <c r="X208" s="223"/>
      <c r="Y208" s="223"/>
      <c r="Z208" s="223"/>
    </row>
    <row r="209">
      <c r="A209" s="223" t="str">
        <f>IFERROR(__xludf.DUMMYFUNCTION("""COMPUTED_VALUE"""),"Tofino Resort + Marina : Monthly Services")</f>
        <v>Tofino Resort + Marina : Monthly Services</v>
      </c>
      <c r="B209" s="223" t="str">
        <f>IFERROR(__xludf.DUMMYFUNCTION("""COMPUTED_VALUE"""),"Tofino Resort + Marina")</f>
        <v>Tofino Resort + Marina</v>
      </c>
      <c r="C209" s="223" t="str">
        <f>IFERROR(__xludf.DUMMYFUNCTION("""COMPUTED_VALUE"""),"Monthly Services")</f>
        <v>Monthly Services</v>
      </c>
      <c r="D209" s="316">
        <f>IFERROR(__xludf.DUMMYFUNCTION("""COMPUTED_VALUE"""),44607.0)</f>
        <v>44607</v>
      </c>
      <c r="E209" s="298">
        <f>IFERROR(__xludf.DUMMYFUNCTION("""COMPUTED_VALUE"""),1600.0)</f>
        <v>1600</v>
      </c>
      <c r="F209" s="298">
        <f>IFERROR(__xludf.DUMMYFUNCTION("""COMPUTED_VALUE"""),49.79)</f>
        <v>49.79</v>
      </c>
      <c r="G209" s="298">
        <f>IFERROR(__xludf.DUMMYFUNCTION("""COMPUTED_VALUE"""),0.0)</f>
        <v>0</v>
      </c>
      <c r="H209" s="223">
        <f>IFERROR(__xludf.DUMMYFUNCTION("""COMPUTED_VALUE"""),1550.21)</f>
        <v>1550.21</v>
      </c>
      <c r="I209" s="298"/>
      <c r="J209" s="223" t="str">
        <f>IFERROR(__xludf.DUMMYFUNCTION("""COMPUTED_VALUE"""),"Monthly")</f>
        <v>Monthly</v>
      </c>
      <c r="K209" s="317">
        <f>IFERROR(__xludf.DUMMYFUNCTION("""COMPUTED_VALUE"""),2022.02)</f>
        <v>2022.02</v>
      </c>
      <c r="L209" s="298"/>
      <c r="M209" s="223"/>
      <c r="N209" s="223"/>
      <c r="O209" s="223"/>
      <c r="P209" s="223"/>
      <c r="Q209" s="223"/>
      <c r="R209" s="223"/>
      <c r="S209" s="223"/>
      <c r="T209" s="223"/>
      <c r="U209" s="223"/>
      <c r="V209" s="223"/>
      <c r="W209" s="223"/>
      <c r="X209" s="223"/>
      <c r="Y209" s="223"/>
      <c r="Z209" s="223"/>
    </row>
    <row r="210">
      <c r="A210" s="223" t="str">
        <f>IFERROR(__xludf.DUMMYFUNCTION("""COMPUTED_VALUE"""),"Viridian : Monthly Services")</f>
        <v>Viridian : Monthly Services</v>
      </c>
      <c r="B210" s="223" t="str">
        <f>IFERROR(__xludf.DUMMYFUNCTION("""COMPUTED_VALUE"""),"Viridian")</f>
        <v>Viridian</v>
      </c>
      <c r="C210" s="223" t="str">
        <f>IFERROR(__xludf.DUMMYFUNCTION("""COMPUTED_VALUE"""),"Monthly Services")</f>
        <v>Monthly Services</v>
      </c>
      <c r="D210" s="316">
        <f>IFERROR(__xludf.DUMMYFUNCTION("""COMPUTED_VALUE"""),44607.0)</f>
        <v>44607</v>
      </c>
      <c r="E210" s="298">
        <f>IFERROR(__xludf.DUMMYFUNCTION("""COMPUTED_VALUE"""),900.0)</f>
        <v>900</v>
      </c>
      <c r="F210" s="298">
        <f>IFERROR(__xludf.DUMMYFUNCTION("""COMPUTED_VALUE"""),0.0)</f>
        <v>0</v>
      </c>
      <c r="G210" s="298">
        <f>IFERROR(__xludf.DUMMYFUNCTION("""COMPUTED_VALUE"""),0.0)</f>
        <v>0</v>
      </c>
      <c r="H210" s="223">
        <f>IFERROR(__xludf.DUMMYFUNCTION("""COMPUTED_VALUE"""),900.0)</f>
        <v>900</v>
      </c>
      <c r="I210" s="298"/>
      <c r="J210" s="223" t="str">
        <f>IFERROR(__xludf.DUMMYFUNCTION("""COMPUTED_VALUE"""),"Monthly")</f>
        <v>Monthly</v>
      </c>
      <c r="K210" s="317">
        <f>IFERROR(__xludf.DUMMYFUNCTION("""COMPUTED_VALUE"""),2022.02)</f>
        <v>2022.02</v>
      </c>
      <c r="L210" s="298"/>
      <c r="M210" s="223"/>
      <c r="N210" s="223"/>
      <c r="O210" s="223"/>
      <c r="P210" s="223"/>
      <c r="Q210" s="223"/>
      <c r="R210" s="223"/>
      <c r="S210" s="223"/>
      <c r="T210" s="223"/>
      <c r="U210" s="223"/>
      <c r="V210" s="223"/>
      <c r="W210" s="223"/>
      <c r="X210" s="223"/>
      <c r="Y210" s="223"/>
      <c r="Z210" s="223"/>
    </row>
    <row r="211">
      <c r="A211" s="223" t="str">
        <f>IFERROR(__xludf.DUMMYFUNCTION("""COMPUTED_VALUE"""),"New Growth Ecommerce Inc : Monthly Services")</f>
        <v>New Growth Ecommerce Inc : Monthly Services</v>
      </c>
      <c r="B211" s="223" t="str">
        <f>IFERROR(__xludf.DUMMYFUNCTION("""COMPUTED_VALUE"""),"New Growth Ecommerce Inc")</f>
        <v>New Growth Ecommerce Inc</v>
      </c>
      <c r="C211" s="223" t="str">
        <f>IFERROR(__xludf.DUMMYFUNCTION("""COMPUTED_VALUE"""),"Monthly Services")</f>
        <v>Monthly Services</v>
      </c>
      <c r="D211" s="316">
        <f>IFERROR(__xludf.DUMMYFUNCTION("""COMPUTED_VALUE"""),44607.0)</f>
        <v>44607</v>
      </c>
      <c r="E211" s="298">
        <f>IFERROR(__xludf.DUMMYFUNCTION("""COMPUTED_VALUE"""),5000.0)</f>
        <v>5000</v>
      </c>
      <c r="F211" s="298">
        <f>IFERROR(__xludf.DUMMYFUNCTION("""COMPUTED_VALUE"""),0.0)</f>
        <v>0</v>
      </c>
      <c r="G211" s="298">
        <f>IFERROR(__xludf.DUMMYFUNCTION("""COMPUTED_VALUE"""),0.0)</f>
        <v>0</v>
      </c>
      <c r="H211" s="223">
        <f>IFERROR(__xludf.DUMMYFUNCTION("""COMPUTED_VALUE"""),5000.0)</f>
        <v>5000</v>
      </c>
      <c r="I211" s="298"/>
      <c r="J211" s="223" t="str">
        <f>IFERROR(__xludf.DUMMYFUNCTION("""COMPUTED_VALUE"""),"Monthly")</f>
        <v>Monthly</v>
      </c>
      <c r="K211" s="317">
        <f>IFERROR(__xludf.DUMMYFUNCTION("""COMPUTED_VALUE"""),2022.02)</f>
        <v>2022.02</v>
      </c>
      <c r="L211" s="298"/>
      <c r="M211" s="223"/>
      <c r="N211" s="223"/>
      <c r="O211" s="223"/>
      <c r="P211" s="223"/>
      <c r="Q211" s="223"/>
      <c r="R211" s="223"/>
      <c r="S211" s="223"/>
      <c r="T211" s="223"/>
      <c r="U211" s="223"/>
      <c r="V211" s="223"/>
      <c r="W211" s="223"/>
      <c r="X211" s="223"/>
      <c r="Y211" s="223"/>
      <c r="Z211" s="223"/>
    </row>
    <row r="212">
      <c r="A212" s="223" t="str">
        <f>IFERROR(__xludf.DUMMYFUNCTION("""COMPUTED_VALUE"""),"Argos Products : Monthly Services")</f>
        <v>Argos Products : Monthly Services</v>
      </c>
      <c r="B212" s="223" t="str">
        <f>IFERROR(__xludf.DUMMYFUNCTION("""COMPUTED_VALUE"""),"Argos Products")</f>
        <v>Argos Products</v>
      </c>
      <c r="C212" s="223" t="str">
        <f>IFERROR(__xludf.DUMMYFUNCTION("""COMPUTED_VALUE"""),"Monthly Services")</f>
        <v>Monthly Services</v>
      </c>
      <c r="D212" s="316">
        <f>IFERROR(__xludf.DUMMYFUNCTION("""COMPUTED_VALUE"""),44607.0)</f>
        <v>44607</v>
      </c>
      <c r="E212" s="298">
        <f>IFERROR(__xludf.DUMMYFUNCTION("""COMPUTED_VALUE"""),500.0)</f>
        <v>500</v>
      </c>
      <c r="F212" s="298">
        <f>IFERROR(__xludf.DUMMYFUNCTION("""COMPUTED_VALUE"""),0.0)</f>
        <v>0</v>
      </c>
      <c r="G212" s="298">
        <f>IFERROR(__xludf.DUMMYFUNCTION("""COMPUTED_VALUE"""),0.0)</f>
        <v>0</v>
      </c>
      <c r="H212" s="223">
        <f>IFERROR(__xludf.DUMMYFUNCTION("""COMPUTED_VALUE"""),500.0)</f>
        <v>500</v>
      </c>
      <c r="I212" s="298"/>
      <c r="J212" s="223" t="str">
        <f>IFERROR(__xludf.DUMMYFUNCTION("""COMPUTED_VALUE"""),"Monthly")</f>
        <v>Monthly</v>
      </c>
      <c r="K212" s="317">
        <f>IFERROR(__xludf.DUMMYFUNCTION("""COMPUTED_VALUE"""),2022.02)</f>
        <v>2022.02</v>
      </c>
      <c r="L212" s="298"/>
      <c r="M212" s="223"/>
      <c r="N212" s="223"/>
      <c r="O212" s="223"/>
      <c r="P212" s="223"/>
      <c r="Q212" s="223"/>
      <c r="R212" s="223"/>
      <c r="S212" s="223"/>
      <c r="T212" s="223"/>
      <c r="U212" s="223"/>
      <c r="V212" s="223"/>
      <c r="W212" s="223"/>
      <c r="X212" s="223"/>
      <c r="Y212" s="223"/>
      <c r="Z212" s="223"/>
    </row>
    <row r="213">
      <c r="A213" s="223" t="str">
        <f>IFERROR(__xludf.DUMMYFUNCTION("""COMPUTED_VALUE"""),"C360 : Victory360")</f>
        <v>C360 : Victory360</v>
      </c>
      <c r="B213" s="223" t="str">
        <f>IFERROR(__xludf.DUMMYFUNCTION("""COMPUTED_VALUE"""),"C360")</f>
        <v>C360</v>
      </c>
      <c r="C213" s="223" t="str">
        <f>IFERROR(__xludf.DUMMYFUNCTION("""COMPUTED_VALUE"""),"Victory360")</f>
        <v>Victory360</v>
      </c>
      <c r="D213" s="316">
        <f>IFERROR(__xludf.DUMMYFUNCTION("""COMPUTED_VALUE"""),44607.0)</f>
        <v>44607</v>
      </c>
      <c r="E213" s="298">
        <f>IFERROR(__xludf.DUMMYFUNCTION("""COMPUTED_VALUE"""),3056.7499999999995)</f>
        <v>3056.75</v>
      </c>
      <c r="F213" s="298">
        <f>IFERROR(__xludf.DUMMYFUNCTION("""COMPUTED_VALUE"""),0.0)</f>
        <v>0</v>
      </c>
      <c r="G213" s="298">
        <f>IFERROR(__xludf.DUMMYFUNCTION("""COMPUTED_VALUE"""),0.0)</f>
        <v>0</v>
      </c>
      <c r="H213" s="223">
        <f>IFERROR(__xludf.DUMMYFUNCTION("""COMPUTED_VALUE"""),3056.7499999999995)</f>
        <v>3056.75</v>
      </c>
      <c r="I213" s="298"/>
      <c r="J213" s="223" t="str">
        <f>IFERROR(__xludf.DUMMYFUNCTION("""COMPUTED_VALUE"""),"Monthly")</f>
        <v>Monthly</v>
      </c>
      <c r="K213" s="317">
        <f>IFERROR(__xludf.DUMMYFUNCTION("""COMPUTED_VALUE"""),2022.02)</f>
        <v>2022.02</v>
      </c>
      <c r="L213" s="298"/>
      <c r="M213" s="223"/>
      <c r="N213" s="223"/>
      <c r="O213" s="223"/>
      <c r="P213" s="223"/>
      <c r="Q213" s="223"/>
      <c r="R213" s="223"/>
      <c r="S213" s="223"/>
      <c r="T213" s="223"/>
      <c r="U213" s="223"/>
      <c r="V213" s="223"/>
      <c r="W213" s="223"/>
      <c r="X213" s="223"/>
      <c r="Y213" s="223"/>
      <c r="Z213" s="223"/>
    </row>
    <row r="214">
      <c r="A214" s="223" t="str">
        <f>IFERROR(__xludf.DUMMYFUNCTION("""COMPUTED_VALUE"""),"C360 : Guntry Baseline SEO")</f>
        <v>C360 : Guntry Baseline SEO</v>
      </c>
      <c r="B214" s="223" t="str">
        <f>IFERROR(__xludf.DUMMYFUNCTION("""COMPUTED_VALUE"""),"C360")</f>
        <v>C360</v>
      </c>
      <c r="C214" s="223" t="str">
        <f>IFERROR(__xludf.DUMMYFUNCTION("""COMPUTED_VALUE"""),"Guntry Baseline SEO")</f>
        <v>Guntry Baseline SEO</v>
      </c>
      <c r="D214" s="316">
        <f>IFERROR(__xludf.DUMMYFUNCTION("""COMPUTED_VALUE"""),44607.0)</f>
        <v>44607</v>
      </c>
      <c r="E214" s="298">
        <f>IFERROR(__xludf.DUMMYFUNCTION("""COMPUTED_VALUE"""),1834.05)</f>
        <v>1834.05</v>
      </c>
      <c r="F214" s="298">
        <f>IFERROR(__xludf.DUMMYFUNCTION("""COMPUTED_VALUE"""),0.0)</f>
        <v>0</v>
      </c>
      <c r="G214" s="298">
        <f>IFERROR(__xludf.DUMMYFUNCTION("""COMPUTED_VALUE"""),0.0)</f>
        <v>0</v>
      </c>
      <c r="H214" s="223">
        <f>IFERROR(__xludf.DUMMYFUNCTION("""COMPUTED_VALUE"""),1834.05)</f>
        <v>1834.05</v>
      </c>
      <c r="I214" s="298"/>
      <c r="J214" s="223" t="str">
        <f>IFERROR(__xludf.DUMMYFUNCTION("""COMPUTED_VALUE"""),"Monthly")</f>
        <v>Monthly</v>
      </c>
      <c r="K214" s="317">
        <f>IFERROR(__xludf.DUMMYFUNCTION("""COMPUTED_VALUE"""),2022.02)</f>
        <v>2022.02</v>
      </c>
      <c r="L214" s="298"/>
      <c r="M214" s="223"/>
      <c r="N214" s="223"/>
      <c r="O214" s="223"/>
      <c r="P214" s="223"/>
      <c r="Q214" s="223"/>
      <c r="R214" s="223"/>
      <c r="S214" s="223"/>
      <c r="T214" s="223"/>
      <c r="U214" s="223"/>
      <c r="V214" s="223"/>
      <c r="W214" s="223"/>
      <c r="X214" s="223"/>
      <c r="Y214" s="223"/>
      <c r="Z214" s="223"/>
    </row>
    <row r="215">
      <c r="A215" s="223" t="str">
        <f>IFERROR(__xludf.DUMMYFUNCTION("""COMPUTED_VALUE"""),"Frank &amp; Ellis : Website Rebuild")</f>
        <v>Frank &amp; Ellis : Website Rebuild</v>
      </c>
      <c r="B215" s="223" t="str">
        <f>IFERROR(__xludf.DUMMYFUNCTION("""COMPUTED_VALUE"""),"Frank &amp; Ellis")</f>
        <v>Frank &amp; Ellis</v>
      </c>
      <c r="C215" s="223" t="str">
        <f>IFERROR(__xludf.DUMMYFUNCTION("""COMPUTED_VALUE"""),"Website Rebuild")</f>
        <v>Website Rebuild</v>
      </c>
      <c r="D215" s="316">
        <f>IFERROR(__xludf.DUMMYFUNCTION("""COMPUTED_VALUE"""),44607.0)</f>
        <v>44607</v>
      </c>
      <c r="E215" s="298">
        <f>IFERROR(__xludf.DUMMYFUNCTION("""COMPUTED_VALUE"""),3078.2949999999996)</f>
        <v>3078.295</v>
      </c>
      <c r="F215" s="298">
        <f>IFERROR(__xludf.DUMMYFUNCTION("""COMPUTED_VALUE"""),114.2663104)</f>
        <v>114.2663104</v>
      </c>
      <c r="G215" s="298">
        <f>IFERROR(__xludf.DUMMYFUNCTION("""COMPUTED_VALUE"""),0.0)</f>
        <v>0</v>
      </c>
      <c r="H215" s="223">
        <f>IFERROR(__xludf.DUMMYFUNCTION("""COMPUTED_VALUE"""),2964.0286896)</f>
        <v>2964.02869</v>
      </c>
      <c r="I215" s="298"/>
      <c r="J215" s="223" t="str">
        <f>IFERROR(__xludf.DUMMYFUNCTION("""COMPUTED_VALUE"""),"One-Time")</f>
        <v>One-Time</v>
      </c>
      <c r="K215" s="317">
        <f>IFERROR(__xludf.DUMMYFUNCTION("""COMPUTED_VALUE"""),2022.0)</f>
        <v>2022</v>
      </c>
      <c r="L215" s="298"/>
      <c r="M215" s="223"/>
      <c r="N215" s="223"/>
      <c r="O215" s="223"/>
      <c r="P215" s="223"/>
      <c r="Q215" s="223"/>
      <c r="R215" s="223"/>
      <c r="S215" s="223"/>
      <c r="T215" s="223"/>
      <c r="U215" s="223"/>
      <c r="V215" s="223"/>
      <c r="W215" s="223"/>
      <c r="X215" s="223"/>
      <c r="Y215" s="223"/>
      <c r="Z215" s="223"/>
    </row>
    <row r="216">
      <c r="A216" s="223" t="str">
        <f>IFERROR(__xludf.DUMMYFUNCTION("""COMPUTED_VALUE"""),"Flywheel : Partnership Payment")</f>
        <v>Flywheel : Partnership Payment</v>
      </c>
      <c r="B216" s="223" t="str">
        <f>IFERROR(__xludf.DUMMYFUNCTION("""COMPUTED_VALUE"""),"Flywheel")</f>
        <v>Flywheel</v>
      </c>
      <c r="C216" s="223" t="str">
        <f>IFERROR(__xludf.DUMMYFUNCTION("""COMPUTED_VALUE"""),"Partnership Payment")</f>
        <v>Partnership Payment</v>
      </c>
      <c r="D216" s="316">
        <f>IFERROR(__xludf.DUMMYFUNCTION("""COMPUTED_VALUE"""),44607.0)</f>
        <v>44607</v>
      </c>
      <c r="E216" s="298">
        <f>IFERROR(__xludf.DUMMYFUNCTION("""COMPUTED_VALUE"""),616.823)</f>
        <v>616.823</v>
      </c>
      <c r="F216" s="298">
        <f>IFERROR(__xludf.DUMMYFUNCTION("""COMPUTED_VALUE"""),0.0)</f>
        <v>0</v>
      </c>
      <c r="G216" s="298">
        <f>IFERROR(__xludf.DUMMYFUNCTION("""COMPUTED_VALUE"""),0.0)</f>
        <v>0</v>
      </c>
      <c r="H216" s="223">
        <f>IFERROR(__xludf.DUMMYFUNCTION("""COMPUTED_VALUE"""),616.823)</f>
        <v>616.823</v>
      </c>
      <c r="I216" s="298"/>
      <c r="J216" s="223" t="str">
        <f>IFERROR(__xludf.DUMMYFUNCTION("""COMPUTED_VALUE"""),"One-Time")</f>
        <v>One-Time</v>
      </c>
      <c r="K216" s="317">
        <f>IFERROR(__xludf.DUMMYFUNCTION("""COMPUTED_VALUE"""),2022.0)</f>
        <v>2022</v>
      </c>
      <c r="L216" s="298"/>
      <c r="M216" s="223"/>
      <c r="N216" s="223"/>
      <c r="O216" s="223"/>
      <c r="P216" s="223"/>
      <c r="Q216" s="223"/>
      <c r="R216" s="223"/>
      <c r="S216" s="223"/>
      <c r="T216" s="223"/>
      <c r="U216" s="223"/>
      <c r="V216" s="223"/>
      <c r="W216" s="223"/>
      <c r="X216" s="223"/>
      <c r="Y216" s="223"/>
      <c r="Z216" s="223"/>
    </row>
    <row r="217">
      <c r="A217" s="223" t="str">
        <f>IFERROR(__xludf.DUMMYFUNCTION("""COMPUTED_VALUE"""),"C360 : Guntry Baseline SEO")</f>
        <v>C360 : Guntry Baseline SEO</v>
      </c>
      <c r="B217" s="223" t="str">
        <f>IFERROR(__xludf.DUMMYFUNCTION("""COMPUTED_VALUE"""),"C360")</f>
        <v>C360</v>
      </c>
      <c r="C217" s="223" t="str">
        <f>IFERROR(__xludf.DUMMYFUNCTION("""COMPUTED_VALUE"""),"Guntry Baseline SEO")</f>
        <v>Guntry Baseline SEO</v>
      </c>
      <c r="D217" s="316">
        <f>IFERROR(__xludf.DUMMYFUNCTION("""COMPUTED_VALUE"""),44666.0)</f>
        <v>44666</v>
      </c>
      <c r="E217" s="298">
        <f>IFERROR(__xludf.DUMMYFUNCTION("""COMPUTED_VALUE"""),1833.4499999999998)</f>
        <v>1833.45</v>
      </c>
      <c r="F217" s="298">
        <f>IFERROR(__xludf.DUMMYFUNCTION("""COMPUTED_VALUE"""),0.0)</f>
        <v>0</v>
      </c>
      <c r="G217" s="298">
        <f>IFERROR(__xludf.DUMMYFUNCTION("""COMPUTED_VALUE"""),0.0)</f>
        <v>0</v>
      </c>
      <c r="H217" s="223">
        <f>IFERROR(__xludf.DUMMYFUNCTION("""COMPUTED_VALUE"""),1833.4499999999998)</f>
        <v>1833.45</v>
      </c>
      <c r="I217" s="298"/>
      <c r="J217" s="223" t="str">
        <f>IFERROR(__xludf.DUMMYFUNCTION("""COMPUTED_VALUE"""),"Monthly (3 Months)")</f>
        <v>Monthly (3 Months)</v>
      </c>
      <c r="K217" s="317">
        <f>IFERROR(__xludf.DUMMYFUNCTION("""COMPUTED_VALUE"""),2022.04)</f>
        <v>2022.04</v>
      </c>
      <c r="L217" s="298"/>
      <c r="M217" s="223"/>
      <c r="N217" s="223"/>
      <c r="O217" s="223"/>
      <c r="P217" s="223"/>
      <c r="Q217" s="223"/>
      <c r="R217" s="223"/>
      <c r="S217" s="223"/>
      <c r="T217" s="223"/>
      <c r="U217" s="223"/>
      <c r="V217" s="223"/>
      <c r="W217" s="223"/>
      <c r="X217" s="223"/>
      <c r="Y217" s="223"/>
      <c r="Z217" s="223"/>
    </row>
    <row r="218">
      <c r="A218" s="223" t="str">
        <f>IFERROR(__xludf.DUMMYFUNCTION("""COMPUTED_VALUE"""),"Crisp Media : WRKOUT PPC")</f>
        <v>Crisp Media : WRKOUT PPC</v>
      </c>
      <c r="B218" s="223" t="str">
        <f>IFERROR(__xludf.DUMMYFUNCTION("""COMPUTED_VALUE"""),"Crisp Media")</f>
        <v>Crisp Media</v>
      </c>
      <c r="C218" s="223" t="str">
        <f>IFERROR(__xludf.DUMMYFUNCTION("""COMPUTED_VALUE"""),"WRKOUT PPC")</f>
        <v>WRKOUT PPC</v>
      </c>
      <c r="D218" s="316">
        <f>IFERROR(__xludf.DUMMYFUNCTION("""COMPUTED_VALUE"""),44635.0)</f>
        <v>44635</v>
      </c>
      <c r="E218" s="298">
        <f>IFERROR(__xludf.DUMMYFUNCTION("""COMPUTED_VALUE"""),1500.0)</f>
        <v>1500</v>
      </c>
      <c r="F218" s="298">
        <f>IFERROR(__xludf.DUMMYFUNCTION("""COMPUTED_VALUE"""),46.67)</f>
        <v>46.67</v>
      </c>
      <c r="G218" s="298">
        <f>IFERROR(__xludf.DUMMYFUNCTION("""COMPUTED_VALUE"""),0.0)</f>
        <v>0</v>
      </c>
      <c r="H218" s="223">
        <f>IFERROR(__xludf.DUMMYFUNCTION("""COMPUTED_VALUE"""),1453.33)</f>
        <v>1453.33</v>
      </c>
      <c r="I218" s="298"/>
      <c r="J218" s="223" t="str">
        <f>IFERROR(__xludf.DUMMYFUNCTION("""COMPUTED_VALUE"""),"Monthly")</f>
        <v>Monthly</v>
      </c>
      <c r="K218" s="317">
        <f>IFERROR(__xludf.DUMMYFUNCTION("""COMPUTED_VALUE"""),2022.03)</f>
        <v>2022.03</v>
      </c>
      <c r="L218" s="298"/>
      <c r="M218" s="223"/>
      <c r="N218" s="223"/>
      <c r="O218" s="223"/>
      <c r="P218" s="223"/>
      <c r="Q218" s="223"/>
      <c r="R218" s="223"/>
      <c r="S218" s="223"/>
      <c r="T218" s="223"/>
      <c r="U218" s="223"/>
      <c r="V218" s="223"/>
      <c r="W218" s="223"/>
      <c r="X218" s="223"/>
      <c r="Y218" s="223"/>
      <c r="Z218" s="223"/>
    </row>
    <row r="219">
      <c r="A219" s="223" t="str">
        <f>IFERROR(__xludf.DUMMYFUNCTION("""COMPUTED_VALUE"""),"Measurand : Initial SEO, PPC &amp; Website Work")</f>
        <v>Measurand : Initial SEO, PPC &amp; Website Work</v>
      </c>
      <c r="B219" s="223" t="str">
        <f>IFERROR(__xludf.DUMMYFUNCTION("""COMPUTED_VALUE"""),"Measurand")</f>
        <v>Measurand</v>
      </c>
      <c r="C219" s="223" t="str">
        <f>IFERROR(__xludf.DUMMYFUNCTION("""COMPUTED_VALUE"""),"Initial SEO, PPC &amp; Website Work")</f>
        <v>Initial SEO, PPC &amp; Website Work</v>
      </c>
      <c r="D219" s="316">
        <f>IFERROR(__xludf.DUMMYFUNCTION("""COMPUTED_VALUE"""),44614.0)</f>
        <v>44614</v>
      </c>
      <c r="E219" s="298">
        <f>IFERROR(__xludf.DUMMYFUNCTION("""COMPUTED_VALUE"""),5075.0)</f>
        <v>5075</v>
      </c>
      <c r="F219" s="298">
        <f>IFERROR(__xludf.DUMMYFUNCTION("""COMPUTED_VALUE"""),0.0)</f>
        <v>0</v>
      </c>
      <c r="G219" s="298">
        <f>IFERROR(__xludf.DUMMYFUNCTION("""COMPUTED_VALUE"""),0.0)</f>
        <v>0</v>
      </c>
      <c r="H219" s="223">
        <f>IFERROR(__xludf.DUMMYFUNCTION("""COMPUTED_VALUE"""),5075.0)</f>
        <v>5075</v>
      </c>
      <c r="I219" s="298"/>
      <c r="J219" s="223" t="str">
        <f>IFERROR(__xludf.DUMMYFUNCTION("""COMPUTED_VALUE"""),"50% Deposit
50% Final Payment")</f>
        <v>50% Deposit
50% Final Payment</v>
      </c>
      <c r="K219" s="317">
        <f>IFERROR(__xludf.DUMMYFUNCTION("""COMPUTED_VALUE"""),2022.0)</f>
        <v>2022</v>
      </c>
      <c r="L219" s="298"/>
      <c r="M219" s="223"/>
      <c r="N219" s="223"/>
      <c r="O219" s="223"/>
      <c r="P219" s="223"/>
      <c r="Q219" s="223"/>
      <c r="R219" s="223"/>
      <c r="S219" s="223"/>
      <c r="T219" s="223"/>
      <c r="U219" s="223"/>
      <c r="V219" s="223"/>
      <c r="W219" s="223"/>
      <c r="X219" s="223"/>
      <c r="Y219" s="223"/>
      <c r="Z219" s="223"/>
    </row>
    <row r="220">
      <c r="A220" s="223" t="str">
        <f>IFERROR(__xludf.DUMMYFUNCTION("""COMPUTED_VALUE"""),"Measurand : Initial SEO, PPC &amp; Website Work")</f>
        <v>Measurand : Initial SEO, PPC &amp; Website Work</v>
      </c>
      <c r="B220" s="223" t="str">
        <f>IFERROR(__xludf.DUMMYFUNCTION("""COMPUTED_VALUE"""),"Measurand")</f>
        <v>Measurand</v>
      </c>
      <c r="C220" s="223" t="str">
        <f>IFERROR(__xludf.DUMMYFUNCTION("""COMPUTED_VALUE"""),"Initial SEO, PPC &amp; Website Work")</f>
        <v>Initial SEO, PPC &amp; Website Work</v>
      </c>
      <c r="D220" s="316">
        <f>IFERROR(__xludf.DUMMYFUNCTION("""COMPUTED_VALUE"""),44651.0)</f>
        <v>44651</v>
      </c>
      <c r="E220" s="298">
        <f>IFERROR(__xludf.DUMMYFUNCTION("""COMPUTED_VALUE"""),5075.0)</f>
        <v>5075</v>
      </c>
      <c r="F220" s="298">
        <f>IFERROR(__xludf.DUMMYFUNCTION("""COMPUTED_VALUE"""),172.93)</f>
        <v>172.93</v>
      </c>
      <c r="G220" s="298">
        <f>IFERROR(__xludf.DUMMYFUNCTION("""COMPUTED_VALUE"""),0.0)</f>
        <v>0</v>
      </c>
      <c r="H220" s="223">
        <f>IFERROR(__xludf.DUMMYFUNCTION("""COMPUTED_VALUE"""),4902.07)</f>
        <v>4902.07</v>
      </c>
      <c r="I220" s="298"/>
      <c r="J220" s="223" t="str">
        <f>IFERROR(__xludf.DUMMYFUNCTION("""COMPUTED_VALUE"""),"50% Deposit
50% Final Payment")</f>
        <v>50% Deposit
50% Final Payment</v>
      </c>
      <c r="K220" s="317">
        <f>IFERROR(__xludf.DUMMYFUNCTION("""COMPUTED_VALUE"""),2022.0)</f>
        <v>2022</v>
      </c>
      <c r="L220" s="298"/>
      <c r="M220" s="223"/>
      <c r="N220" s="223"/>
      <c r="O220" s="223"/>
      <c r="P220" s="223"/>
      <c r="Q220" s="223"/>
      <c r="R220" s="223"/>
      <c r="S220" s="223"/>
      <c r="T220" s="223"/>
      <c r="U220" s="223"/>
      <c r="V220" s="223"/>
      <c r="W220" s="223"/>
      <c r="X220" s="223"/>
      <c r="Y220" s="223"/>
      <c r="Z220" s="223"/>
    </row>
    <row r="221">
      <c r="A221" s="223" t="str">
        <f>IFERROR(__xludf.DUMMYFUNCTION("""COMPUTED_VALUE"""),"Shopify : Partner Payment")</f>
        <v>Shopify : Partner Payment</v>
      </c>
      <c r="B221" s="223" t="str">
        <f>IFERROR(__xludf.DUMMYFUNCTION("""COMPUTED_VALUE"""),"Shopify")</f>
        <v>Shopify</v>
      </c>
      <c r="C221" s="223" t="str">
        <f>IFERROR(__xludf.DUMMYFUNCTION("""COMPUTED_VALUE"""),"Partner Payment")</f>
        <v>Partner Payment</v>
      </c>
      <c r="D221" s="316">
        <f>IFERROR(__xludf.DUMMYFUNCTION("""COMPUTED_VALUE"""),44614.0)</f>
        <v>44614</v>
      </c>
      <c r="E221" s="298">
        <f>IFERROR(__xludf.DUMMYFUNCTION("""COMPUTED_VALUE"""),38.980148400000004)</f>
        <v>38.9801484</v>
      </c>
      <c r="F221" s="298">
        <f>IFERROR(__xludf.DUMMYFUNCTION("""COMPUTED_VALUE"""),0.0)</f>
        <v>0</v>
      </c>
      <c r="G221" s="298">
        <f>IFERROR(__xludf.DUMMYFUNCTION("""COMPUTED_VALUE"""),0.0)</f>
        <v>0</v>
      </c>
      <c r="H221" s="223">
        <f>IFERROR(__xludf.DUMMYFUNCTION("""COMPUTED_VALUE"""),38.980148400000004)</f>
        <v>38.9801484</v>
      </c>
      <c r="I221" s="298"/>
      <c r="J221" s="223" t="str">
        <f>IFERROR(__xludf.DUMMYFUNCTION("""COMPUTED_VALUE"""),"Monthly")</f>
        <v>Monthly</v>
      </c>
      <c r="K221" s="317">
        <f>IFERROR(__xludf.DUMMYFUNCTION("""COMPUTED_VALUE"""),2022.02)</f>
        <v>2022.02</v>
      </c>
      <c r="L221" s="298"/>
      <c r="M221" s="223"/>
      <c r="N221" s="223"/>
      <c r="O221" s="223"/>
      <c r="P221" s="223"/>
      <c r="Q221" s="223"/>
      <c r="R221" s="223"/>
      <c r="S221" s="223"/>
      <c r="T221" s="223"/>
      <c r="U221" s="223"/>
      <c r="V221" s="223"/>
      <c r="W221" s="223"/>
      <c r="X221" s="223"/>
      <c r="Y221" s="223"/>
      <c r="Z221" s="223"/>
    </row>
    <row r="222">
      <c r="A222" s="223" t="str">
        <f>IFERROR(__xludf.DUMMYFUNCTION("""COMPUTED_VALUE"""),"Availed Technologies : Monthly Services")</f>
        <v>Availed Technologies : Monthly Services</v>
      </c>
      <c r="B222" s="223" t="str">
        <f>IFERROR(__xludf.DUMMYFUNCTION("""COMPUTED_VALUE"""),"Availed Technologies")</f>
        <v>Availed Technologies</v>
      </c>
      <c r="C222" s="223" t="str">
        <f>IFERROR(__xludf.DUMMYFUNCTION("""COMPUTED_VALUE"""),"Monthly Services")</f>
        <v>Monthly Services</v>
      </c>
      <c r="D222" s="316">
        <f>IFERROR(__xludf.DUMMYFUNCTION("""COMPUTED_VALUE"""),44620.0)</f>
        <v>44620</v>
      </c>
      <c r="E222" s="298">
        <f>IFERROR(__xludf.DUMMYFUNCTION("""COMPUTED_VALUE"""),750.0)</f>
        <v>750</v>
      </c>
      <c r="F222" s="298">
        <f>IFERROR(__xludf.DUMMYFUNCTION("""COMPUTED_VALUE"""),23.33)</f>
        <v>23.33</v>
      </c>
      <c r="G222" s="298">
        <f>IFERROR(__xludf.DUMMYFUNCTION("""COMPUTED_VALUE"""),0.0)</f>
        <v>0</v>
      </c>
      <c r="H222" s="223">
        <f>IFERROR(__xludf.DUMMYFUNCTION("""COMPUTED_VALUE"""),726.67)</f>
        <v>726.67</v>
      </c>
      <c r="I222" s="298"/>
      <c r="J222" s="223" t="str">
        <f>IFERROR(__xludf.DUMMYFUNCTION("""COMPUTED_VALUE"""),"Monthly")</f>
        <v>Monthly</v>
      </c>
      <c r="K222" s="317">
        <f>IFERROR(__xludf.DUMMYFUNCTION("""COMPUTED_VALUE"""),2022.02)</f>
        <v>2022.02</v>
      </c>
      <c r="L222" s="298"/>
      <c r="M222" s="223"/>
      <c r="N222" s="223"/>
      <c r="O222" s="223"/>
      <c r="P222" s="223"/>
      <c r="Q222" s="223"/>
      <c r="R222" s="223"/>
      <c r="S222" s="223"/>
      <c r="T222" s="223"/>
      <c r="U222" s="223"/>
      <c r="V222" s="223"/>
      <c r="W222" s="223"/>
      <c r="X222" s="223"/>
      <c r="Y222" s="223"/>
      <c r="Z222" s="223"/>
    </row>
    <row r="223">
      <c r="A223" s="223" t="str">
        <f>IFERROR(__xludf.DUMMYFUNCTION("""COMPUTED_VALUE"""),"BookKing (Pacific Tier) : Monthly Services")</f>
        <v>BookKing (Pacific Tier) : Monthly Services</v>
      </c>
      <c r="B223" s="223" t="str">
        <f>IFERROR(__xludf.DUMMYFUNCTION("""COMPUTED_VALUE"""),"BookKing (Pacific Tier)")</f>
        <v>BookKing (Pacific Tier)</v>
      </c>
      <c r="C223" s="223" t="str">
        <f>IFERROR(__xludf.DUMMYFUNCTION("""COMPUTED_VALUE"""),"Monthly Services")</f>
        <v>Monthly Services</v>
      </c>
      <c r="D223" s="316">
        <f>IFERROR(__xludf.DUMMYFUNCTION("""COMPUTED_VALUE"""),44620.0)</f>
        <v>44620</v>
      </c>
      <c r="E223" s="298">
        <f>IFERROR(__xludf.DUMMYFUNCTION("""COMPUTED_VALUE"""),900.0)</f>
        <v>900</v>
      </c>
      <c r="F223" s="298">
        <f>IFERROR(__xludf.DUMMYFUNCTION("""COMPUTED_VALUE"""),28.0)</f>
        <v>28</v>
      </c>
      <c r="G223" s="298">
        <f>IFERROR(__xludf.DUMMYFUNCTION("""COMPUTED_VALUE"""),0.0)</f>
        <v>0</v>
      </c>
      <c r="H223" s="223">
        <f>IFERROR(__xludf.DUMMYFUNCTION("""COMPUTED_VALUE"""),872.0)</f>
        <v>872</v>
      </c>
      <c r="I223" s="298"/>
      <c r="J223" s="223" t="str">
        <f>IFERROR(__xludf.DUMMYFUNCTION("""COMPUTED_VALUE"""),"Monthly")</f>
        <v>Monthly</v>
      </c>
      <c r="K223" s="317">
        <f>IFERROR(__xludf.DUMMYFUNCTION("""COMPUTED_VALUE"""),2022.02)</f>
        <v>2022.02</v>
      </c>
      <c r="L223" s="298"/>
      <c r="M223" s="223"/>
      <c r="N223" s="223"/>
      <c r="O223" s="223"/>
      <c r="P223" s="223"/>
      <c r="Q223" s="223"/>
      <c r="R223" s="223"/>
      <c r="S223" s="223"/>
      <c r="T223" s="223"/>
      <c r="U223" s="223"/>
      <c r="V223" s="223"/>
      <c r="W223" s="223"/>
      <c r="X223" s="223"/>
      <c r="Y223" s="223"/>
      <c r="Z223" s="223"/>
    </row>
    <row r="224">
      <c r="A224" s="223" t="str">
        <f>IFERROR(__xludf.DUMMYFUNCTION("""COMPUTED_VALUE"""),"Bratopia : Monthly Services")</f>
        <v>Bratopia : Monthly Services</v>
      </c>
      <c r="B224" s="223" t="str">
        <f>IFERROR(__xludf.DUMMYFUNCTION("""COMPUTED_VALUE"""),"Bratopia")</f>
        <v>Bratopia</v>
      </c>
      <c r="C224" s="223" t="str">
        <f>IFERROR(__xludf.DUMMYFUNCTION("""COMPUTED_VALUE"""),"Monthly Services")</f>
        <v>Monthly Services</v>
      </c>
      <c r="D224" s="316">
        <f>IFERROR(__xludf.DUMMYFUNCTION("""COMPUTED_VALUE"""),44620.0)</f>
        <v>44620</v>
      </c>
      <c r="E224" s="298">
        <f>IFERROR(__xludf.DUMMYFUNCTION("""COMPUTED_VALUE"""),1550.0)</f>
        <v>1550</v>
      </c>
      <c r="F224" s="298">
        <f>IFERROR(__xludf.DUMMYFUNCTION("""COMPUTED_VALUE"""),48.21)</f>
        <v>48.21</v>
      </c>
      <c r="G224" s="298">
        <f>IFERROR(__xludf.DUMMYFUNCTION("""COMPUTED_VALUE"""),0.0)</f>
        <v>0</v>
      </c>
      <c r="H224" s="223">
        <f>IFERROR(__xludf.DUMMYFUNCTION("""COMPUTED_VALUE"""),1501.79)</f>
        <v>1501.79</v>
      </c>
      <c r="I224" s="298"/>
      <c r="J224" s="223" t="str">
        <f>IFERROR(__xludf.DUMMYFUNCTION("""COMPUTED_VALUE"""),"Monthly")</f>
        <v>Monthly</v>
      </c>
      <c r="K224" s="317">
        <f>IFERROR(__xludf.DUMMYFUNCTION("""COMPUTED_VALUE"""),2022.02)</f>
        <v>2022.02</v>
      </c>
      <c r="L224" s="298"/>
      <c r="M224" s="223"/>
      <c r="N224" s="223"/>
      <c r="O224" s="223"/>
      <c r="P224" s="223"/>
      <c r="Q224" s="223"/>
      <c r="R224" s="223"/>
      <c r="S224" s="223"/>
      <c r="T224" s="223"/>
      <c r="U224" s="223"/>
      <c r="V224" s="223"/>
      <c r="W224" s="223"/>
      <c r="X224" s="223"/>
      <c r="Y224" s="223"/>
      <c r="Z224" s="223"/>
    </row>
    <row r="225">
      <c r="A225" s="223" t="str">
        <f>IFERROR(__xludf.DUMMYFUNCTION("""COMPUTED_VALUE"""),"Community Financials : Monthly Services")</f>
        <v>Community Financials : Monthly Services</v>
      </c>
      <c r="B225" s="223" t="str">
        <f>IFERROR(__xludf.DUMMYFUNCTION("""COMPUTED_VALUE"""),"Community Financials")</f>
        <v>Community Financials</v>
      </c>
      <c r="C225" s="223" t="str">
        <f>IFERROR(__xludf.DUMMYFUNCTION("""COMPUTED_VALUE"""),"Monthly Services")</f>
        <v>Monthly Services</v>
      </c>
      <c r="D225" s="316">
        <f>IFERROR(__xludf.DUMMYFUNCTION("""COMPUTED_VALUE"""),44620.0)</f>
        <v>44620</v>
      </c>
      <c r="E225" s="298">
        <f>IFERROR(__xludf.DUMMYFUNCTION("""COMPUTED_VALUE"""),3626.733)</f>
        <v>3626.733</v>
      </c>
      <c r="F225" s="298">
        <f>IFERROR(__xludf.DUMMYFUNCTION("""COMPUTED_VALUE"""),141.26125035)</f>
        <v>141.2612504</v>
      </c>
      <c r="G225" s="298">
        <f>IFERROR(__xludf.DUMMYFUNCTION("""COMPUTED_VALUE"""),697.0943499300001)</f>
        <v>697.0943499</v>
      </c>
      <c r="H225" s="223">
        <f>IFERROR(__xludf.DUMMYFUNCTION("""COMPUTED_VALUE"""),2788.37739972)</f>
        <v>2788.3774</v>
      </c>
      <c r="I225" s="298"/>
      <c r="J225" s="223" t="str">
        <f>IFERROR(__xludf.DUMMYFUNCTION("""COMPUTED_VALUE"""),"Monthly")</f>
        <v>Monthly</v>
      </c>
      <c r="K225" s="317">
        <f>IFERROR(__xludf.DUMMYFUNCTION("""COMPUTED_VALUE"""),2022.02)</f>
        <v>2022.02</v>
      </c>
      <c r="L225" s="298"/>
      <c r="M225" s="223"/>
      <c r="N225" s="223"/>
      <c r="O225" s="223"/>
      <c r="P225" s="223"/>
      <c r="Q225" s="223"/>
      <c r="R225" s="223"/>
      <c r="S225" s="223"/>
      <c r="T225" s="223"/>
      <c r="U225" s="223"/>
      <c r="V225" s="223"/>
      <c r="W225" s="223"/>
      <c r="X225" s="223"/>
      <c r="Y225" s="223"/>
      <c r="Z225" s="223"/>
    </row>
    <row r="226">
      <c r="A226" s="223" t="str">
        <f>IFERROR(__xludf.DUMMYFUNCTION("""COMPUTED_VALUE"""),"Diversified Health : Monthly Services")</f>
        <v>Diversified Health : Monthly Services</v>
      </c>
      <c r="B226" s="223" t="str">
        <f>IFERROR(__xludf.DUMMYFUNCTION("""COMPUTED_VALUE"""),"Diversified Health")</f>
        <v>Diversified Health</v>
      </c>
      <c r="C226" s="223" t="str">
        <f>IFERROR(__xludf.DUMMYFUNCTION("""COMPUTED_VALUE"""),"Monthly Services")</f>
        <v>Monthly Services</v>
      </c>
      <c r="D226" s="316">
        <f>IFERROR(__xludf.DUMMYFUNCTION("""COMPUTED_VALUE"""),44620.0)</f>
        <v>44620</v>
      </c>
      <c r="E226" s="298">
        <f>IFERROR(__xludf.DUMMYFUNCTION("""COMPUTED_VALUE"""),1000.0)</f>
        <v>1000</v>
      </c>
      <c r="F226" s="298">
        <f>IFERROR(__xludf.DUMMYFUNCTION("""COMPUTED_VALUE"""),0.0)</f>
        <v>0</v>
      </c>
      <c r="G226" s="298">
        <f>IFERROR(__xludf.DUMMYFUNCTION("""COMPUTED_VALUE"""),0.0)</f>
        <v>0</v>
      </c>
      <c r="H226" s="223">
        <f>IFERROR(__xludf.DUMMYFUNCTION("""COMPUTED_VALUE"""),1000.0)</f>
        <v>1000</v>
      </c>
      <c r="I226" s="298"/>
      <c r="J226" s="223" t="str">
        <f>IFERROR(__xludf.DUMMYFUNCTION("""COMPUTED_VALUE"""),"Monthly")</f>
        <v>Monthly</v>
      </c>
      <c r="K226" s="317">
        <f>IFERROR(__xludf.DUMMYFUNCTION("""COMPUTED_VALUE"""),2022.02)</f>
        <v>2022.02</v>
      </c>
      <c r="L226" s="298"/>
      <c r="M226" s="223"/>
      <c r="N226" s="223"/>
      <c r="O226" s="223"/>
      <c r="P226" s="223"/>
      <c r="Q226" s="223"/>
      <c r="R226" s="223"/>
      <c r="S226" s="223"/>
      <c r="T226" s="223"/>
      <c r="U226" s="223"/>
      <c r="V226" s="223"/>
      <c r="W226" s="223"/>
      <c r="X226" s="223"/>
      <c r="Y226" s="223"/>
      <c r="Z226" s="223"/>
    </row>
    <row r="227">
      <c r="A227" s="223" t="str">
        <f>IFERROR(__xludf.DUMMYFUNCTION("""COMPUTED_VALUE"""),"Giga Tires : Monthly Services")</f>
        <v>Giga Tires : Monthly Services</v>
      </c>
      <c r="B227" s="223" t="str">
        <f>IFERROR(__xludf.DUMMYFUNCTION("""COMPUTED_VALUE"""),"Giga Tires")</f>
        <v>Giga Tires</v>
      </c>
      <c r="C227" s="223" t="str">
        <f>IFERROR(__xludf.DUMMYFUNCTION("""COMPUTED_VALUE"""),"Monthly Services")</f>
        <v>Monthly Services</v>
      </c>
      <c r="D227" s="316">
        <f>IFERROR(__xludf.DUMMYFUNCTION("""COMPUTED_VALUE"""),44620.0)</f>
        <v>44620</v>
      </c>
      <c r="E227" s="298">
        <f>IFERROR(__xludf.DUMMYFUNCTION("""COMPUTED_VALUE"""),550.0)</f>
        <v>550</v>
      </c>
      <c r="F227" s="298">
        <f>IFERROR(__xludf.DUMMYFUNCTION("""COMPUTED_VALUE"""),21.67)</f>
        <v>21.67</v>
      </c>
      <c r="G227" s="298">
        <f>IFERROR(__xludf.DUMMYFUNCTION("""COMPUTED_VALUE"""),0.0)</f>
        <v>0</v>
      </c>
      <c r="H227" s="223">
        <f>IFERROR(__xludf.DUMMYFUNCTION("""COMPUTED_VALUE"""),528.33)</f>
        <v>528.33</v>
      </c>
      <c r="I227" s="298"/>
      <c r="J227" s="223" t="str">
        <f>IFERROR(__xludf.DUMMYFUNCTION("""COMPUTED_VALUE"""),"Monthly")</f>
        <v>Monthly</v>
      </c>
      <c r="K227" s="317">
        <f>IFERROR(__xludf.DUMMYFUNCTION("""COMPUTED_VALUE"""),2022.02)</f>
        <v>2022.02</v>
      </c>
      <c r="L227" s="298"/>
      <c r="M227" s="223"/>
      <c r="N227" s="223"/>
      <c r="O227" s="223"/>
      <c r="P227" s="223"/>
      <c r="Q227" s="223"/>
      <c r="R227" s="223"/>
      <c r="S227" s="223"/>
      <c r="T227" s="223"/>
      <c r="U227" s="223"/>
      <c r="V227" s="223"/>
      <c r="W227" s="223"/>
      <c r="X227" s="223"/>
      <c r="Y227" s="223"/>
      <c r="Z227" s="223"/>
    </row>
    <row r="228">
      <c r="A228" s="223" t="str">
        <f>IFERROR(__xludf.DUMMYFUNCTION("""COMPUTED_VALUE"""),"Hastings House : Monthly Services")</f>
        <v>Hastings House : Monthly Services</v>
      </c>
      <c r="B228" s="223" t="str">
        <f>IFERROR(__xludf.DUMMYFUNCTION("""COMPUTED_VALUE"""),"Hastings House")</f>
        <v>Hastings House</v>
      </c>
      <c r="C228" s="223" t="str">
        <f>IFERROR(__xludf.DUMMYFUNCTION("""COMPUTED_VALUE"""),"Monthly Services")</f>
        <v>Monthly Services</v>
      </c>
      <c r="D228" s="316">
        <f>IFERROR(__xludf.DUMMYFUNCTION("""COMPUTED_VALUE"""),44620.0)</f>
        <v>44620</v>
      </c>
      <c r="E228" s="298">
        <f>IFERROR(__xludf.DUMMYFUNCTION("""COMPUTED_VALUE"""),1500.0)</f>
        <v>1500</v>
      </c>
      <c r="F228" s="298">
        <f>IFERROR(__xludf.DUMMYFUNCTION("""COMPUTED_VALUE"""),46.67)</f>
        <v>46.67</v>
      </c>
      <c r="G228" s="298">
        <f>IFERROR(__xludf.DUMMYFUNCTION("""COMPUTED_VALUE"""),217.99949999999998)</f>
        <v>217.9995</v>
      </c>
      <c r="H228" s="223">
        <f>IFERROR(__xludf.DUMMYFUNCTION("""COMPUTED_VALUE"""),1235.3305)</f>
        <v>1235.3305</v>
      </c>
      <c r="I228" s="298"/>
      <c r="J228" s="223" t="str">
        <f>IFERROR(__xludf.DUMMYFUNCTION("""COMPUTED_VALUE"""),"Monthly")</f>
        <v>Monthly</v>
      </c>
      <c r="K228" s="317">
        <f>IFERROR(__xludf.DUMMYFUNCTION("""COMPUTED_VALUE"""),2022.02)</f>
        <v>2022.02</v>
      </c>
      <c r="L228" s="298"/>
      <c r="M228" s="223"/>
      <c r="N228" s="223"/>
      <c r="O228" s="223"/>
      <c r="P228" s="223"/>
      <c r="Q228" s="223"/>
      <c r="R228" s="223"/>
      <c r="S228" s="223"/>
      <c r="T228" s="223"/>
      <c r="U228" s="223"/>
      <c r="V228" s="223"/>
      <c r="W228" s="223"/>
      <c r="X228" s="223"/>
      <c r="Y228" s="223"/>
      <c r="Z228" s="223"/>
    </row>
    <row r="229">
      <c r="A229" s="223" t="str">
        <f>IFERROR(__xludf.DUMMYFUNCTION("""COMPUTED_VALUE"""),"HSJ Lawyers : Monthly Services")</f>
        <v>HSJ Lawyers : Monthly Services</v>
      </c>
      <c r="B229" s="223" t="str">
        <f>IFERROR(__xludf.DUMMYFUNCTION("""COMPUTED_VALUE"""),"HSJ Lawyers")</f>
        <v>HSJ Lawyers</v>
      </c>
      <c r="C229" s="223" t="str">
        <f>IFERROR(__xludf.DUMMYFUNCTION("""COMPUTED_VALUE"""),"Monthly Services")</f>
        <v>Monthly Services</v>
      </c>
      <c r="D229" s="316">
        <f>IFERROR(__xludf.DUMMYFUNCTION("""COMPUTED_VALUE"""),44620.0)</f>
        <v>44620</v>
      </c>
      <c r="E229" s="298">
        <f>IFERROR(__xludf.DUMMYFUNCTION("""COMPUTED_VALUE"""),800.0)</f>
        <v>800</v>
      </c>
      <c r="F229" s="298">
        <f>IFERROR(__xludf.DUMMYFUNCTION("""COMPUTED_VALUE"""),0.0)</f>
        <v>0</v>
      </c>
      <c r="G229" s="298">
        <f>IFERROR(__xludf.DUMMYFUNCTION("""COMPUTED_VALUE"""),0.0)</f>
        <v>0</v>
      </c>
      <c r="H229" s="223">
        <f>IFERROR(__xludf.DUMMYFUNCTION("""COMPUTED_VALUE"""),800.0)</f>
        <v>800</v>
      </c>
      <c r="I229" s="298"/>
      <c r="J229" s="223" t="str">
        <f>IFERROR(__xludf.DUMMYFUNCTION("""COMPUTED_VALUE"""),"Monthly")</f>
        <v>Monthly</v>
      </c>
      <c r="K229" s="317">
        <f>IFERROR(__xludf.DUMMYFUNCTION("""COMPUTED_VALUE"""),2022.02)</f>
        <v>2022.02</v>
      </c>
      <c r="L229" s="298"/>
      <c r="M229" s="223"/>
      <c r="N229" s="223"/>
      <c r="O229" s="223"/>
      <c r="P229" s="223"/>
      <c r="Q229" s="223"/>
      <c r="R229" s="223"/>
      <c r="S229" s="223"/>
      <c r="T229" s="223"/>
      <c r="U229" s="223"/>
      <c r="V229" s="223"/>
      <c r="W229" s="223"/>
      <c r="X229" s="223"/>
      <c r="Y229" s="223"/>
      <c r="Z229" s="223"/>
    </row>
    <row r="230">
      <c r="A230" s="223" t="str">
        <f>IFERROR(__xludf.DUMMYFUNCTION("""COMPUTED_VALUE"""),"Monk : Monthly Services")</f>
        <v>Monk : Monthly Services</v>
      </c>
      <c r="B230" s="223" t="str">
        <f>IFERROR(__xludf.DUMMYFUNCTION("""COMPUTED_VALUE"""),"Monk")</f>
        <v>Monk</v>
      </c>
      <c r="C230" s="223" t="str">
        <f>IFERROR(__xludf.DUMMYFUNCTION("""COMPUTED_VALUE"""),"Monthly Services")</f>
        <v>Monthly Services</v>
      </c>
      <c r="D230" s="316">
        <f>IFERROR(__xludf.DUMMYFUNCTION("""COMPUTED_VALUE"""),44620.0)</f>
        <v>44620</v>
      </c>
      <c r="E230" s="298">
        <f>IFERROR(__xludf.DUMMYFUNCTION("""COMPUTED_VALUE"""),1200.0)</f>
        <v>1200</v>
      </c>
      <c r="F230" s="298">
        <f>IFERROR(__xludf.DUMMYFUNCTION("""COMPUTED_VALUE"""),0.0)</f>
        <v>0</v>
      </c>
      <c r="G230" s="298">
        <f>IFERROR(__xludf.DUMMYFUNCTION("""COMPUTED_VALUE"""),0.0)</f>
        <v>0</v>
      </c>
      <c r="H230" s="223">
        <f>IFERROR(__xludf.DUMMYFUNCTION("""COMPUTED_VALUE"""),1200.0)</f>
        <v>1200</v>
      </c>
      <c r="I230" s="298"/>
      <c r="J230" s="223" t="str">
        <f>IFERROR(__xludf.DUMMYFUNCTION("""COMPUTED_VALUE"""),"Monthly")</f>
        <v>Monthly</v>
      </c>
      <c r="K230" s="317">
        <f>IFERROR(__xludf.DUMMYFUNCTION("""COMPUTED_VALUE"""),2022.02)</f>
        <v>2022.02</v>
      </c>
      <c r="L230" s="298"/>
      <c r="M230" s="223"/>
      <c r="N230" s="223"/>
      <c r="O230" s="223"/>
      <c r="P230" s="223"/>
      <c r="Q230" s="223"/>
      <c r="R230" s="223"/>
      <c r="S230" s="223"/>
      <c r="T230" s="223"/>
      <c r="U230" s="223"/>
      <c r="V230" s="223"/>
      <c r="W230" s="223"/>
      <c r="X230" s="223"/>
      <c r="Y230" s="223"/>
      <c r="Z230" s="223"/>
    </row>
    <row r="231">
      <c r="A231" s="223" t="str">
        <f>IFERROR(__xludf.DUMMYFUNCTION("""COMPUTED_VALUE"""),"MortgagePal : Monthly Services")</f>
        <v>MortgagePal : Monthly Services</v>
      </c>
      <c r="B231" s="223" t="str">
        <f>IFERROR(__xludf.DUMMYFUNCTION("""COMPUTED_VALUE"""),"MortgagePal")</f>
        <v>MortgagePal</v>
      </c>
      <c r="C231" s="223" t="str">
        <f>IFERROR(__xludf.DUMMYFUNCTION("""COMPUTED_VALUE"""),"Monthly Services")</f>
        <v>Monthly Services</v>
      </c>
      <c r="D231" s="316">
        <f>IFERROR(__xludf.DUMMYFUNCTION("""COMPUTED_VALUE"""),44620.0)</f>
        <v>44620</v>
      </c>
      <c r="E231" s="298">
        <f>IFERROR(__xludf.DUMMYFUNCTION("""COMPUTED_VALUE"""),500.0)</f>
        <v>500</v>
      </c>
      <c r="F231" s="298">
        <f>IFERROR(__xludf.DUMMYFUNCTION("""COMPUTED_VALUE"""),15.53)</f>
        <v>15.53</v>
      </c>
      <c r="G231" s="298">
        <f>IFERROR(__xludf.DUMMYFUNCTION("""COMPUTED_VALUE"""),0.0)</f>
        <v>0</v>
      </c>
      <c r="H231" s="223">
        <f>IFERROR(__xludf.DUMMYFUNCTION("""COMPUTED_VALUE"""),484.47)</f>
        <v>484.47</v>
      </c>
      <c r="I231" s="298"/>
      <c r="J231" s="223" t="str">
        <f>IFERROR(__xludf.DUMMYFUNCTION("""COMPUTED_VALUE"""),"Monthly")</f>
        <v>Monthly</v>
      </c>
      <c r="K231" s="317">
        <f>IFERROR(__xludf.DUMMYFUNCTION("""COMPUTED_VALUE"""),2022.02)</f>
        <v>2022.02</v>
      </c>
      <c r="L231" s="298"/>
      <c r="M231" s="223"/>
      <c r="N231" s="223"/>
      <c r="O231" s="223"/>
      <c r="P231" s="223"/>
      <c r="Q231" s="223"/>
      <c r="R231" s="223"/>
      <c r="S231" s="223"/>
      <c r="T231" s="223"/>
      <c r="U231" s="223"/>
      <c r="V231" s="223"/>
      <c r="W231" s="223"/>
      <c r="X231" s="223"/>
      <c r="Y231" s="223"/>
      <c r="Z231" s="223"/>
    </row>
    <row r="232">
      <c r="A232" s="223" t="str">
        <f>IFERROR(__xludf.DUMMYFUNCTION("""COMPUTED_VALUE"""),"Olivia Shoppe : Monthly Services")</f>
        <v>Olivia Shoppe : Monthly Services</v>
      </c>
      <c r="B232" s="223" t="str">
        <f>IFERROR(__xludf.DUMMYFUNCTION("""COMPUTED_VALUE"""),"Olivia Shoppe")</f>
        <v>Olivia Shoppe</v>
      </c>
      <c r="C232" s="223" t="str">
        <f>IFERROR(__xludf.DUMMYFUNCTION("""COMPUTED_VALUE"""),"Monthly Services")</f>
        <v>Monthly Services</v>
      </c>
      <c r="D232" s="316">
        <f>IFERROR(__xludf.DUMMYFUNCTION("""COMPUTED_VALUE"""),44620.0)</f>
        <v>44620</v>
      </c>
      <c r="E232" s="298">
        <f>IFERROR(__xludf.DUMMYFUNCTION("""COMPUTED_VALUE"""),793.48425)</f>
        <v>793.48425</v>
      </c>
      <c r="F232" s="298">
        <f>IFERROR(__xludf.DUMMYFUNCTION("""COMPUTED_VALUE"""),29.72514075)</f>
        <v>29.72514075</v>
      </c>
      <c r="G232" s="298">
        <f>IFERROR(__xludf.DUMMYFUNCTION("""COMPUTED_VALUE"""),0.0)</f>
        <v>0</v>
      </c>
      <c r="H232" s="223">
        <f>IFERROR(__xludf.DUMMYFUNCTION("""COMPUTED_VALUE"""),763.7591092499999)</f>
        <v>763.7591093</v>
      </c>
      <c r="I232" s="298"/>
      <c r="J232" s="223" t="str">
        <f>IFERROR(__xludf.DUMMYFUNCTION("""COMPUTED_VALUE"""),"Monthly")</f>
        <v>Monthly</v>
      </c>
      <c r="K232" s="317">
        <f>IFERROR(__xludf.DUMMYFUNCTION("""COMPUTED_VALUE"""),2022.02)</f>
        <v>2022.02</v>
      </c>
      <c r="L232" s="298"/>
      <c r="M232" s="223"/>
      <c r="N232" s="223"/>
      <c r="O232" s="223"/>
      <c r="P232" s="223"/>
      <c r="Q232" s="223"/>
      <c r="R232" s="223"/>
      <c r="S232" s="223"/>
      <c r="T232" s="223"/>
      <c r="U232" s="223"/>
      <c r="V232" s="223"/>
      <c r="W232" s="223"/>
      <c r="X232" s="223"/>
      <c r="Y232" s="223"/>
      <c r="Z232" s="223"/>
    </row>
    <row r="233">
      <c r="A233" s="223" t="str">
        <f>IFERROR(__xludf.DUMMYFUNCTION("""COMPUTED_VALUE"""),"PMDI : Monthly Services")</f>
        <v>PMDI : Monthly Services</v>
      </c>
      <c r="B233" s="223" t="str">
        <f>IFERROR(__xludf.DUMMYFUNCTION("""COMPUTED_VALUE"""),"PMDI")</f>
        <v>PMDI</v>
      </c>
      <c r="C233" s="223" t="str">
        <f>IFERROR(__xludf.DUMMYFUNCTION("""COMPUTED_VALUE"""),"Monthly Services")</f>
        <v>Monthly Services</v>
      </c>
      <c r="D233" s="316">
        <f>IFERROR(__xludf.DUMMYFUNCTION("""COMPUTED_VALUE"""),44620.0)</f>
        <v>44620</v>
      </c>
      <c r="E233" s="298">
        <f>IFERROR(__xludf.DUMMYFUNCTION("""COMPUTED_VALUE"""),375.0)</f>
        <v>375</v>
      </c>
      <c r="F233" s="298">
        <f>IFERROR(__xludf.DUMMYFUNCTION("""COMPUTED_VALUE"""),0.0)</f>
        <v>0</v>
      </c>
      <c r="G233" s="298">
        <f>IFERROR(__xludf.DUMMYFUNCTION("""COMPUTED_VALUE"""),0.0)</f>
        <v>0</v>
      </c>
      <c r="H233" s="223">
        <f>IFERROR(__xludf.DUMMYFUNCTION("""COMPUTED_VALUE"""),375.0)</f>
        <v>375</v>
      </c>
      <c r="I233" s="298"/>
      <c r="J233" s="223" t="str">
        <f>IFERROR(__xludf.DUMMYFUNCTION("""COMPUTED_VALUE"""),"Monthly")</f>
        <v>Monthly</v>
      </c>
      <c r="K233" s="317">
        <f>IFERROR(__xludf.DUMMYFUNCTION("""COMPUTED_VALUE"""),2022.02)</f>
        <v>2022.02</v>
      </c>
      <c r="L233" s="298"/>
      <c r="M233" s="223"/>
      <c r="N233" s="223"/>
      <c r="O233" s="223"/>
      <c r="P233" s="223"/>
      <c r="Q233" s="223"/>
      <c r="R233" s="223"/>
      <c r="S233" s="223"/>
      <c r="T233" s="223"/>
      <c r="U233" s="223"/>
      <c r="V233" s="223"/>
      <c r="W233" s="223"/>
      <c r="X233" s="223"/>
      <c r="Y233" s="223"/>
      <c r="Z233" s="223"/>
    </row>
    <row r="234">
      <c r="A234" s="223" t="str">
        <f>IFERROR(__xludf.DUMMYFUNCTION("""COMPUTED_VALUE"""),"Prime Engineering : Monthly Services")</f>
        <v>Prime Engineering : Monthly Services</v>
      </c>
      <c r="B234" s="223" t="str">
        <f>IFERROR(__xludf.DUMMYFUNCTION("""COMPUTED_VALUE"""),"Prime Engineering")</f>
        <v>Prime Engineering</v>
      </c>
      <c r="C234" s="223" t="str">
        <f>IFERROR(__xludf.DUMMYFUNCTION("""COMPUTED_VALUE"""),"Monthly Services")</f>
        <v>Monthly Services</v>
      </c>
      <c r="D234" s="316">
        <f>IFERROR(__xludf.DUMMYFUNCTION("""COMPUTED_VALUE"""),44620.0)</f>
        <v>44620</v>
      </c>
      <c r="E234" s="298">
        <f>IFERROR(__xludf.DUMMYFUNCTION("""COMPUTED_VALUE"""),500.0)</f>
        <v>500</v>
      </c>
      <c r="F234" s="298">
        <f>IFERROR(__xludf.DUMMYFUNCTION("""COMPUTED_VALUE"""),0.0)</f>
        <v>0</v>
      </c>
      <c r="G234" s="298">
        <f>IFERROR(__xludf.DUMMYFUNCTION("""COMPUTED_VALUE"""),0.0)</f>
        <v>0</v>
      </c>
      <c r="H234" s="223">
        <f>IFERROR(__xludf.DUMMYFUNCTION("""COMPUTED_VALUE"""),500.0)</f>
        <v>500</v>
      </c>
      <c r="I234" s="298"/>
      <c r="J234" s="223" t="str">
        <f>IFERROR(__xludf.DUMMYFUNCTION("""COMPUTED_VALUE"""),"Monthly")</f>
        <v>Monthly</v>
      </c>
      <c r="K234" s="317">
        <f>IFERROR(__xludf.DUMMYFUNCTION("""COMPUTED_VALUE"""),2022.02)</f>
        <v>2022.02</v>
      </c>
      <c r="L234" s="298"/>
      <c r="M234" s="223"/>
      <c r="N234" s="223"/>
      <c r="O234" s="223"/>
      <c r="P234" s="223"/>
      <c r="Q234" s="223"/>
      <c r="R234" s="223"/>
      <c r="S234" s="223"/>
      <c r="T234" s="223"/>
      <c r="U234" s="223"/>
      <c r="V234" s="223"/>
      <c r="W234" s="223"/>
      <c r="X234" s="223"/>
      <c r="Y234" s="223"/>
      <c r="Z234" s="223"/>
    </row>
    <row r="235">
      <c r="A235" s="223" t="str">
        <f>IFERROR(__xludf.DUMMYFUNCTION("""COMPUTED_VALUE"""),"Rama Meditation Society : Premium Hosting + Support")</f>
        <v>Rama Meditation Society : Premium Hosting + Support</v>
      </c>
      <c r="B235" s="223" t="str">
        <f>IFERROR(__xludf.DUMMYFUNCTION("""COMPUTED_VALUE"""),"Rama Meditation Society")</f>
        <v>Rama Meditation Society</v>
      </c>
      <c r="C235" s="223" t="str">
        <f>IFERROR(__xludf.DUMMYFUNCTION("""COMPUTED_VALUE"""),"Premium Hosting + Support")</f>
        <v>Premium Hosting + Support</v>
      </c>
      <c r="D235" s="316">
        <f>IFERROR(__xludf.DUMMYFUNCTION("""COMPUTED_VALUE"""),44620.0)</f>
        <v>44620</v>
      </c>
      <c r="E235" s="298">
        <f>IFERROR(__xludf.DUMMYFUNCTION("""COMPUTED_VALUE"""),368.1732)</f>
        <v>368.1732</v>
      </c>
      <c r="F235" s="298">
        <f>IFERROR(__xludf.DUMMYFUNCTION("""COMPUTED_VALUE"""),13.9905816)</f>
        <v>13.9905816</v>
      </c>
      <c r="G235" s="298">
        <f>IFERROR(__xludf.DUMMYFUNCTION("""COMPUTED_VALUE"""),0.0)</f>
        <v>0</v>
      </c>
      <c r="H235" s="223">
        <f>IFERROR(__xludf.DUMMYFUNCTION("""COMPUTED_VALUE"""),354.1826184)</f>
        <v>354.1826184</v>
      </c>
      <c r="I235" s="298"/>
      <c r="J235" s="223" t="str">
        <f>IFERROR(__xludf.DUMMYFUNCTION("""COMPUTED_VALUE"""),"Monthly")</f>
        <v>Monthly</v>
      </c>
      <c r="K235" s="317">
        <f>IFERROR(__xludf.DUMMYFUNCTION("""COMPUTED_VALUE"""),2022.02)</f>
        <v>2022.02</v>
      </c>
      <c r="L235" s="298"/>
      <c r="M235" s="223"/>
      <c r="N235" s="223"/>
      <c r="O235" s="223"/>
      <c r="P235" s="223"/>
      <c r="Q235" s="223"/>
      <c r="R235" s="223"/>
      <c r="S235" s="223"/>
      <c r="T235" s="223"/>
      <c r="U235" s="223"/>
      <c r="V235" s="223"/>
      <c r="W235" s="223"/>
      <c r="X235" s="223"/>
      <c r="Y235" s="223"/>
      <c r="Z235" s="223"/>
    </row>
    <row r="236">
      <c r="A236" s="223" t="str">
        <f>IFERROR(__xludf.DUMMYFUNCTION("""COMPUTED_VALUE"""),"Red Seal : Monthly Services")</f>
        <v>Red Seal : Monthly Services</v>
      </c>
      <c r="B236" s="223" t="str">
        <f>IFERROR(__xludf.DUMMYFUNCTION("""COMPUTED_VALUE"""),"Red Seal")</f>
        <v>Red Seal</v>
      </c>
      <c r="C236" s="223" t="str">
        <f>IFERROR(__xludf.DUMMYFUNCTION("""COMPUTED_VALUE"""),"Monthly Services")</f>
        <v>Monthly Services</v>
      </c>
      <c r="D236" s="316">
        <f>IFERROR(__xludf.DUMMYFUNCTION("""COMPUTED_VALUE"""),44620.0)</f>
        <v>44620</v>
      </c>
      <c r="E236" s="298">
        <f>IFERROR(__xludf.DUMMYFUNCTION("""COMPUTED_VALUE"""),250.0)</f>
        <v>250</v>
      </c>
      <c r="F236" s="298">
        <f>IFERROR(__xludf.DUMMYFUNCTION("""COMPUTED_VALUE"""),0.0)</f>
        <v>0</v>
      </c>
      <c r="G236" s="298">
        <f>IFERROR(__xludf.DUMMYFUNCTION("""COMPUTED_VALUE"""),0.0)</f>
        <v>0</v>
      </c>
      <c r="H236" s="223">
        <f>IFERROR(__xludf.DUMMYFUNCTION("""COMPUTED_VALUE"""),250.0)</f>
        <v>250</v>
      </c>
      <c r="I236" s="298"/>
      <c r="J236" s="223" t="str">
        <f>IFERROR(__xludf.DUMMYFUNCTION("""COMPUTED_VALUE"""),"Monthly")</f>
        <v>Monthly</v>
      </c>
      <c r="K236" s="317">
        <f>IFERROR(__xludf.DUMMYFUNCTION("""COMPUTED_VALUE"""),2022.02)</f>
        <v>2022.02</v>
      </c>
      <c r="L236" s="298"/>
      <c r="M236" s="223"/>
      <c r="N236" s="223"/>
      <c r="O236" s="223"/>
      <c r="P236" s="223"/>
      <c r="Q236" s="223"/>
      <c r="R236" s="223"/>
      <c r="S236" s="223"/>
      <c r="T236" s="223"/>
      <c r="U236" s="223"/>
      <c r="V236" s="223"/>
      <c r="W236" s="223"/>
      <c r="X236" s="223"/>
      <c r="Y236" s="223"/>
      <c r="Z236" s="223"/>
    </row>
    <row r="237">
      <c r="A237" s="223" t="str">
        <f>IFERROR(__xludf.DUMMYFUNCTION("""COMPUTED_VALUE"""),"Service First : Monthly Services")</f>
        <v>Service First : Monthly Services</v>
      </c>
      <c r="B237" s="223" t="str">
        <f>IFERROR(__xludf.DUMMYFUNCTION("""COMPUTED_VALUE"""),"Service First")</f>
        <v>Service First</v>
      </c>
      <c r="C237" s="223" t="str">
        <f>IFERROR(__xludf.DUMMYFUNCTION("""COMPUTED_VALUE"""),"Monthly Services")</f>
        <v>Monthly Services</v>
      </c>
      <c r="D237" s="316">
        <f>IFERROR(__xludf.DUMMYFUNCTION("""COMPUTED_VALUE"""),44620.0)</f>
        <v>44620</v>
      </c>
      <c r="E237" s="298">
        <f>IFERROR(__xludf.DUMMYFUNCTION("""COMPUTED_VALUE"""),300.0)</f>
        <v>300</v>
      </c>
      <c r="F237" s="298">
        <f>IFERROR(__xludf.DUMMYFUNCTION("""COMPUTED_VALUE"""),9.33)</f>
        <v>9.33</v>
      </c>
      <c r="G237" s="298">
        <f>IFERROR(__xludf.DUMMYFUNCTION("""COMPUTED_VALUE"""),0.0)</f>
        <v>0</v>
      </c>
      <c r="H237" s="223">
        <f>IFERROR(__xludf.DUMMYFUNCTION("""COMPUTED_VALUE"""),290.67)</f>
        <v>290.67</v>
      </c>
      <c r="I237" s="298"/>
      <c r="J237" s="223" t="str">
        <f>IFERROR(__xludf.DUMMYFUNCTION("""COMPUTED_VALUE"""),"Monthly")</f>
        <v>Monthly</v>
      </c>
      <c r="K237" s="317">
        <f>IFERROR(__xludf.DUMMYFUNCTION("""COMPUTED_VALUE"""),2022.02)</f>
        <v>2022.02</v>
      </c>
      <c r="L237" s="298"/>
      <c r="M237" s="223"/>
      <c r="N237" s="223"/>
      <c r="O237" s="223"/>
      <c r="P237" s="223"/>
      <c r="Q237" s="223"/>
      <c r="R237" s="223"/>
      <c r="S237" s="223"/>
      <c r="T237" s="223"/>
      <c r="U237" s="223"/>
      <c r="V237" s="223"/>
      <c r="W237" s="223"/>
      <c r="X237" s="223"/>
      <c r="Y237" s="223"/>
      <c r="Z237" s="223"/>
    </row>
    <row r="238">
      <c r="A238" s="223" t="str">
        <f>IFERROR(__xludf.DUMMYFUNCTION("""COMPUTED_VALUE"""),"Spraggs : Monthly Services")</f>
        <v>Spraggs : Monthly Services</v>
      </c>
      <c r="B238" s="223" t="str">
        <f>IFERROR(__xludf.DUMMYFUNCTION("""COMPUTED_VALUE"""),"Spraggs")</f>
        <v>Spraggs</v>
      </c>
      <c r="C238" s="223" t="str">
        <f>IFERROR(__xludf.DUMMYFUNCTION("""COMPUTED_VALUE"""),"Monthly Services")</f>
        <v>Monthly Services</v>
      </c>
      <c r="D238" s="316">
        <f>IFERROR(__xludf.DUMMYFUNCTION("""COMPUTED_VALUE"""),44620.0)</f>
        <v>44620</v>
      </c>
      <c r="E238" s="298">
        <f>IFERROR(__xludf.DUMMYFUNCTION("""COMPUTED_VALUE"""),2500.0)</f>
        <v>2500</v>
      </c>
      <c r="F238" s="298">
        <f>IFERROR(__xludf.DUMMYFUNCTION("""COMPUTED_VALUE"""),77.78)</f>
        <v>77.78</v>
      </c>
      <c r="G238" s="298">
        <f>IFERROR(__xludf.DUMMYFUNCTION("""COMPUTED_VALUE"""),0.0)</f>
        <v>0</v>
      </c>
      <c r="H238" s="223">
        <f>IFERROR(__xludf.DUMMYFUNCTION("""COMPUTED_VALUE"""),2422.22)</f>
        <v>2422.22</v>
      </c>
      <c r="I238" s="298"/>
      <c r="J238" s="223" t="str">
        <f>IFERROR(__xludf.DUMMYFUNCTION("""COMPUTED_VALUE"""),"Monthly")</f>
        <v>Monthly</v>
      </c>
      <c r="K238" s="317">
        <f>IFERROR(__xludf.DUMMYFUNCTION("""COMPUTED_VALUE"""),2022.02)</f>
        <v>2022.02</v>
      </c>
      <c r="L238" s="298"/>
      <c r="M238" s="223"/>
      <c r="N238" s="223"/>
      <c r="O238" s="223"/>
      <c r="P238" s="223"/>
      <c r="Q238" s="223"/>
      <c r="R238" s="223"/>
      <c r="S238" s="223"/>
      <c r="T238" s="223"/>
      <c r="U238" s="223"/>
      <c r="V238" s="223"/>
      <c r="W238" s="223"/>
      <c r="X238" s="223"/>
      <c r="Y238" s="223"/>
      <c r="Z238" s="223"/>
    </row>
    <row r="239">
      <c r="A239" s="223" t="str">
        <f>IFERROR(__xludf.DUMMYFUNCTION("""COMPUTED_VALUE"""),"Tires Easy : Monthly Services for Tires-Easy.com")</f>
        <v>Tires Easy : Monthly Services for Tires-Easy.com</v>
      </c>
      <c r="B239" s="223" t="str">
        <f>IFERROR(__xludf.DUMMYFUNCTION("""COMPUTED_VALUE"""),"Tires Easy")</f>
        <v>Tires Easy</v>
      </c>
      <c r="C239" s="223" t="str">
        <f>IFERROR(__xludf.DUMMYFUNCTION("""COMPUTED_VALUE"""),"Monthly Services for Tires-Easy.com")</f>
        <v>Monthly Services for Tires-Easy.com</v>
      </c>
      <c r="D239" s="316">
        <f>IFERROR(__xludf.DUMMYFUNCTION("""COMPUTED_VALUE"""),44620.0)</f>
        <v>44620</v>
      </c>
      <c r="E239" s="298">
        <f>IFERROR(__xludf.DUMMYFUNCTION("""COMPUTED_VALUE"""),423.66205)</f>
        <v>423.66205</v>
      </c>
      <c r="F239" s="298">
        <f>IFERROR(__xludf.DUMMYFUNCTION("""COMPUTED_VALUE"""),16.03863475)</f>
        <v>16.03863475</v>
      </c>
      <c r="G239" s="298">
        <f>IFERROR(__xludf.DUMMYFUNCTION("""COMPUTED_VALUE"""),0.0)</f>
        <v>0</v>
      </c>
      <c r="H239" s="223">
        <f>IFERROR(__xludf.DUMMYFUNCTION("""COMPUTED_VALUE"""),407.62341525)</f>
        <v>407.6234153</v>
      </c>
      <c r="I239" s="298"/>
      <c r="J239" s="223" t="str">
        <f>IFERROR(__xludf.DUMMYFUNCTION("""COMPUTED_VALUE"""),"Monthly")</f>
        <v>Monthly</v>
      </c>
      <c r="K239" s="317">
        <f>IFERROR(__xludf.DUMMYFUNCTION("""COMPUTED_VALUE"""),2022.02)</f>
        <v>2022.02</v>
      </c>
      <c r="L239" s="298"/>
      <c r="M239" s="223"/>
      <c r="N239" s="223"/>
      <c r="O239" s="223"/>
      <c r="P239" s="223"/>
      <c r="Q239" s="223"/>
      <c r="R239" s="223"/>
      <c r="S239" s="223"/>
      <c r="T239" s="223"/>
      <c r="U239" s="223"/>
      <c r="V239" s="223"/>
      <c r="W239" s="223"/>
      <c r="X239" s="223"/>
      <c r="Y239" s="223"/>
      <c r="Z239" s="223"/>
    </row>
    <row r="240">
      <c r="A240" s="223" t="str">
        <f>IFERROR(__xludf.DUMMYFUNCTION("""COMPUTED_VALUE"""),"TisBest : Monthly Services")</f>
        <v>TisBest : Monthly Services</v>
      </c>
      <c r="B240" s="223" t="str">
        <f>IFERROR(__xludf.DUMMYFUNCTION("""COMPUTED_VALUE"""),"TisBest")</f>
        <v>TisBest</v>
      </c>
      <c r="C240" s="223" t="str">
        <f>IFERROR(__xludf.DUMMYFUNCTION("""COMPUTED_VALUE"""),"Monthly Services")</f>
        <v>Monthly Services</v>
      </c>
      <c r="D240" s="316">
        <f>IFERROR(__xludf.DUMMYFUNCTION("""COMPUTED_VALUE"""),44620.0)</f>
        <v>44620</v>
      </c>
      <c r="E240" s="298">
        <f>IFERROR(__xludf.DUMMYFUNCTION("""COMPUTED_VALUE"""),6758.378)</f>
        <v>6758.378</v>
      </c>
      <c r="F240" s="298">
        <f>IFERROR(__xludf.DUMMYFUNCTION("""COMPUTED_VALUE"""),250.42862480000002)</f>
        <v>250.4286248</v>
      </c>
      <c r="G240" s="298">
        <f>IFERROR(__xludf.DUMMYFUNCTION("""COMPUTED_VALUE"""),1301.5898750400002)</f>
        <v>1301.589875</v>
      </c>
      <c r="H240" s="223">
        <f>IFERROR(__xludf.DUMMYFUNCTION("""COMPUTED_VALUE"""),5206.35950016)</f>
        <v>5206.3595</v>
      </c>
      <c r="I240" s="298"/>
      <c r="J240" s="223" t="str">
        <f>IFERROR(__xludf.DUMMYFUNCTION("""COMPUTED_VALUE"""),"Monthly")</f>
        <v>Monthly</v>
      </c>
      <c r="K240" s="317">
        <f>IFERROR(__xludf.DUMMYFUNCTION("""COMPUTED_VALUE"""),2022.02)</f>
        <v>2022.02</v>
      </c>
      <c r="L240" s="298"/>
      <c r="M240" s="223"/>
      <c r="N240" s="223"/>
      <c r="O240" s="223"/>
      <c r="P240" s="223"/>
      <c r="Q240" s="223"/>
      <c r="R240" s="223"/>
      <c r="S240" s="223"/>
      <c r="T240" s="223"/>
      <c r="U240" s="223"/>
      <c r="V240" s="223"/>
      <c r="W240" s="223"/>
      <c r="X240" s="223"/>
      <c r="Y240" s="223"/>
      <c r="Z240" s="223"/>
    </row>
    <row r="241">
      <c r="A241" s="223" t="str">
        <f>IFERROR(__xludf.DUMMYFUNCTION("""COMPUTED_VALUE"""),"Tuscany : Monthly Services")</f>
        <v>Tuscany : Monthly Services</v>
      </c>
      <c r="B241" s="223" t="str">
        <f>IFERROR(__xludf.DUMMYFUNCTION("""COMPUTED_VALUE"""),"Tuscany")</f>
        <v>Tuscany</v>
      </c>
      <c r="C241" s="223" t="str">
        <f>IFERROR(__xludf.DUMMYFUNCTION("""COMPUTED_VALUE"""),"Monthly Services")</f>
        <v>Monthly Services</v>
      </c>
      <c r="D241" s="316">
        <f>IFERROR(__xludf.DUMMYFUNCTION("""COMPUTED_VALUE"""),44620.0)</f>
        <v>44620</v>
      </c>
      <c r="E241" s="298">
        <f>IFERROR(__xludf.DUMMYFUNCTION("""COMPUTED_VALUE"""),2430.25)</f>
        <v>2430.25</v>
      </c>
      <c r="F241" s="298">
        <f>IFERROR(__xludf.DUMMYFUNCTION("""COMPUTED_VALUE"""),0.0)</f>
        <v>0</v>
      </c>
      <c r="G241" s="298">
        <f>IFERROR(__xludf.DUMMYFUNCTION("""COMPUTED_VALUE"""),0.0)</f>
        <v>0</v>
      </c>
      <c r="H241" s="223">
        <f>IFERROR(__xludf.DUMMYFUNCTION("""COMPUTED_VALUE"""),2430.25)</f>
        <v>2430.25</v>
      </c>
      <c r="I241" s="298"/>
      <c r="J241" s="223" t="str">
        <f>IFERROR(__xludf.DUMMYFUNCTION("""COMPUTED_VALUE"""),"Monthly")</f>
        <v>Monthly</v>
      </c>
      <c r="K241" s="317">
        <f>IFERROR(__xludf.DUMMYFUNCTION("""COMPUTED_VALUE"""),2022.02)</f>
        <v>2022.02</v>
      </c>
      <c r="L241" s="298"/>
      <c r="M241" s="223"/>
      <c r="N241" s="223"/>
      <c r="O241" s="223"/>
      <c r="P241" s="223"/>
      <c r="Q241" s="223"/>
      <c r="R241" s="223"/>
      <c r="S241" s="223"/>
      <c r="T241" s="223"/>
      <c r="U241" s="223"/>
      <c r="V241" s="223"/>
      <c r="W241" s="223"/>
      <c r="X241" s="223"/>
      <c r="Y241" s="223"/>
      <c r="Z241" s="223"/>
    </row>
    <row r="242">
      <c r="A242" s="223" t="str">
        <f>IFERROR(__xludf.DUMMYFUNCTION("""COMPUTED_VALUE"""),"Venetian : Monthly Services")</f>
        <v>Venetian : Monthly Services</v>
      </c>
      <c r="B242" s="223" t="str">
        <f>IFERROR(__xludf.DUMMYFUNCTION("""COMPUTED_VALUE"""),"Venetian")</f>
        <v>Venetian</v>
      </c>
      <c r="C242" s="223" t="str">
        <f>IFERROR(__xludf.DUMMYFUNCTION("""COMPUTED_VALUE"""),"Monthly Services")</f>
        <v>Monthly Services</v>
      </c>
      <c r="D242" s="316">
        <f>IFERROR(__xludf.DUMMYFUNCTION("""COMPUTED_VALUE"""),44620.0)</f>
        <v>44620</v>
      </c>
      <c r="E242" s="298">
        <f>IFERROR(__xludf.DUMMYFUNCTION("""COMPUTED_VALUE"""),2430.25)</f>
        <v>2430.25</v>
      </c>
      <c r="F242" s="298">
        <f>IFERROR(__xludf.DUMMYFUNCTION("""COMPUTED_VALUE"""),0.0)</f>
        <v>0</v>
      </c>
      <c r="G242" s="298">
        <f>IFERROR(__xludf.DUMMYFUNCTION("""COMPUTED_VALUE"""),0.0)</f>
        <v>0</v>
      </c>
      <c r="H242" s="223">
        <f>IFERROR(__xludf.DUMMYFUNCTION("""COMPUTED_VALUE"""),2430.25)</f>
        <v>2430.25</v>
      </c>
      <c r="I242" s="298"/>
      <c r="J242" s="223" t="str">
        <f>IFERROR(__xludf.DUMMYFUNCTION("""COMPUTED_VALUE"""),"Monthly")</f>
        <v>Monthly</v>
      </c>
      <c r="K242" s="317">
        <f>IFERROR(__xludf.DUMMYFUNCTION("""COMPUTED_VALUE"""),2022.02)</f>
        <v>2022.02</v>
      </c>
      <c r="L242" s="298"/>
      <c r="M242" s="223"/>
      <c r="N242" s="223"/>
      <c r="O242" s="223"/>
      <c r="P242" s="223"/>
      <c r="Q242" s="223"/>
      <c r="R242" s="223"/>
      <c r="S242" s="223"/>
      <c r="T242" s="223"/>
      <c r="U242" s="223"/>
      <c r="V242" s="223"/>
      <c r="W242" s="223"/>
      <c r="X242" s="223"/>
      <c r="Y242" s="223"/>
      <c r="Z242" s="223"/>
    </row>
    <row r="243">
      <c r="A243" s="223" t="str">
        <f>IFERROR(__xludf.DUMMYFUNCTION("""COMPUTED_VALUE"""),"Wallack's Art Supplies : Monthly Services")</f>
        <v>Wallack's Art Supplies : Monthly Services</v>
      </c>
      <c r="B243" s="223" t="str">
        <f>IFERROR(__xludf.DUMMYFUNCTION("""COMPUTED_VALUE"""),"Wallack's Art Supplies")</f>
        <v>Wallack's Art Supplies</v>
      </c>
      <c r="C243" s="223" t="str">
        <f>IFERROR(__xludf.DUMMYFUNCTION("""COMPUTED_VALUE"""),"Monthly Services")</f>
        <v>Monthly Services</v>
      </c>
      <c r="D243" s="316">
        <f>IFERROR(__xludf.DUMMYFUNCTION("""COMPUTED_VALUE"""),44620.0)</f>
        <v>44620</v>
      </c>
      <c r="E243" s="298">
        <f>IFERROR(__xludf.DUMMYFUNCTION("""COMPUTED_VALUE"""),700.0)</f>
        <v>700</v>
      </c>
      <c r="F243" s="298">
        <f>IFERROR(__xludf.DUMMYFUNCTION("""COMPUTED_VALUE"""),23.44)</f>
        <v>23.44</v>
      </c>
      <c r="G243" s="298">
        <f>IFERROR(__xludf.DUMMYFUNCTION("""COMPUTED_VALUE"""),0.0)</f>
        <v>0</v>
      </c>
      <c r="H243" s="223">
        <f>IFERROR(__xludf.DUMMYFUNCTION("""COMPUTED_VALUE"""),676.56)</f>
        <v>676.56</v>
      </c>
      <c r="I243" s="298"/>
      <c r="J243" s="223" t="str">
        <f>IFERROR(__xludf.DUMMYFUNCTION("""COMPUTED_VALUE"""),"Monthly")</f>
        <v>Monthly</v>
      </c>
      <c r="K243" s="317">
        <f>IFERROR(__xludf.DUMMYFUNCTION("""COMPUTED_VALUE"""),2022.02)</f>
        <v>2022.02</v>
      </c>
      <c r="L243" s="298"/>
      <c r="M243" s="223"/>
      <c r="N243" s="223"/>
      <c r="O243" s="223"/>
      <c r="P243" s="223"/>
      <c r="Q243" s="223"/>
      <c r="R243" s="223"/>
      <c r="S243" s="223"/>
      <c r="T243" s="223"/>
      <c r="U243" s="223"/>
      <c r="V243" s="223"/>
      <c r="W243" s="223"/>
      <c r="X243" s="223"/>
      <c r="Y243" s="223"/>
      <c r="Z243" s="223"/>
    </row>
    <row r="244">
      <c r="A244" s="223" t="str">
        <f>IFERROR(__xludf.DUMMYFUNCTION("""COMPUTED_VALUE"""),"Anook Athletics : Monthly Services")</f>
        <v>Anook Athletics : Monthly Services</v>
      </c>
      <c r="B244" s="223" t="str">
        <f>IFERROR(__xludf.DUMMYFUNCTION("""COMPUTED_VALUE"""),"Anook Athletics")</f>
        <v>Anook Athletics</v>
      </c>
      <c r="C244" s="223" t="str">
        <f>IFERROR(__xludf.DUMMYFUNCTION("""COMPUTED_VALUE"""),"Monthly Services")</f>
        <v>Monthly Services</v>
      </c>
      <c r="D244" s="316">
        <f>IFERROR(__xludf.DUMMYFUNCTION("""COMPUTED_VALUE"""),44620.0)</f>
        <v>44620</v>
      </c>
      <c r="E244" s="298">
        <f>IFERROR(__xludf.DUMMYFUNCTION("""COMPUTED_VALUE"""),800.0)</f>
        <v>800</v>
      </c>
      <c r="F244" s="298">
        <f>IFERROR(__xludf.DUMMYFUNCTION("""COMPUTED_VALUE"""),24.89)</f>
        <v>24.89</v>
      </c>
      <c r="G244" s="298">
        <f>IFERROR(__xludf.DUMMYFUNCTION("""COMPUTED_VALUE"""),0.0)</f>
        <v>0</v>
      </c>
      <c r="H244" s="223">
        <f>IFERROR(__xludf.DUMMYFUNCTION("""COMPUTED_VALUE"""),775.11)</f>
        <v>775.11</v>
      </c>
      <c r="I244" s="298"/>
      <c r="J244" s="223" t="str">
        <f>IFERROR(__xludf.DUMMYFUNCTION("""COMPUTED_VALUE"""),"Monthly")</f>
        <v>Monthly</v>
      </c>
      <c r="K244" s="317">
        <f>IFERROR(__xludf.DUMMYFUNCTION("""COMPUTED_VALUE"""),2022.02)</f>
        <v>2022.02</v>
      </c>
      <c r="L244" s="298"/>
      <c r="M244" s="223"/>
      <c r="N244" s="223"/>
      <c r="O244" s="223"/>
      <c r="P244" s="223"/>
      <c r="Q244" s="223"/>
      <c r="R244" s="223"/>
      <c r="S244" s="223"/>
      <c r="T244" s="223"/>
      <c r="U244" s="223"/>
      <c r="V244" s="223"/>
      <c r="W244" s="223"/>
      <c r="X244" s="223"/>
      <c r="Y244" s="223"/>
      <c r="Z244" s="223"/>
    </row>
    <row r="245">
      <c r="A245" s="223" t="str">
        <f>IFERROR(__xludf.DUMMYFUNCTION("""COMPUTED_VALUE"""),"Canyon's Construction : Web Presence &amp; SEO Project")</f>
        <v>Canyon's Construction : Web Presence &amp; SEO Project</v>
      </c>
      <c r="B245" s="223" t="str">
        <f>IFERROR(__xludf.DUMMYFUNCTION("""COMPUTED_VALUE"""),"Canyon's Construction")</f>
        <v>Canyon's Construction</v>
      </c>
      <c r="C245" s="223" t="str">
        <f>IFERROR(__xludf.DUMMYFUNCTION("""COMPUTED_VALUE"""),"Web Presence &amp; SEO Project")</f>
        <v>Web Presence &amp; SEO Project</v>
      </c>
      <c r="D245" s="316">
        <f>IFERROR(__xludf.DUMMYFUNCTION("""COMPUTED_VALUE"""),44627.0)</f>
        <v>44627</v>
      </c>
      <c r="E245" s="298">
        <f>IFERROR(__xludf.DUMMYFUNCTION("""COMPUTED_VALUE"""),1236.653)</f>
        <v>1236.653</v>
      </c>
      <c r="F245" s="298">
        <f>IFERROR(__xludf.DUMMYFUNCTION("""COMPUTED_VALUE"""),46.127156899999996)</f>
        <v>46.1271569</v>
      </c>
      <c r="G245" s="298">
        <f>IFERROR(__xludf.DUMMYFUNCTION("""COMPUTED_VALUE"""),238.10516862)</f>
        <v>238.1051686</v>
      </c>
      <c r="H245" s="223">
        <f>IFERROR(__xludf.DUMMYFUNCTION("""COMPUTED_VALUE"""),952.42067448)</f>
        <v>952.4206745</v>
      </c>
      <c r="I245" s="298"/>
      <c r="J245" s="223" t="str">
        <f>IFERROR(__xludf.DUMMYFUNCTION("""COMPUTED_VALUE"""),"50% Deposit
50% Final Payment")</f>
        <v>50% Deposit
50% Final Payment</v>
      </c>
      <c r="K245" s="317">
        <f>IFERROR(__xludf.DUMMYFUNCTION("""COMPUTED_VALUE"""),2022.0)</f>
        <v>2022</v>
      </c>
      <c r="L245" s="298"/>
      <c r="M245" s="223"/>
      <c r="N245" s="223"/>
      <c r="O245" s="223"/>
      <c r="P245" s="223"/>
      <c r="Q245" s="223"/>
      <c r="R245" s="223"/>
      <c r="S245" s="223"/>
      <c r="T245" s="223"/>
      <c r="U245" s="223"/>
      <c r="V245" s="223"/>
      <c r="W245" s="223"/>
      <c r="X245" s="223"/>
      <c r="Y245" s="223"/>
      <c r="Z245" s="223"/>
    </row>
    <row r="246">
      <c r="A246" s="223" t="str">
        <f>IFERROR(__xludf.DUMMYFUNCTION("""COMPUTED_VALUE"""),"Canyon's Construction : Web Presence &amp; SEO Project")</f>
        <v>Canyon's Construction : Web Presence &amp; SEO Project</v>
      </c>
      <c r="B246" s="223" t="str">
        <f>IFERROR(__xludf.DUMMYFUNCTION("""COMPUTED_VALUE"""),"Canyon's Construction")</f>
        <v>Canyon's Construction</v>
      </c>
      <c r="C246" s="223" t="str">
        <f>IFERROR(__xludf.DUMMYFUNCTION("""COMPUTED_VALUE"""),"Web Presence &amp; SEO Project")</f>
        <v>Web Presence &amp; SEO Project</v>
      </c>
      <c r="D246" s="316">
        <f>IFERROR(__xludf.DUMMYFUNCTION("""COMPUTED_VALUE"""),44666.0)</f>
        <v>44666</v>
      </c>
      <c r="E246" s="298">
        <f>IFERROR(__xludf.DUMMYFUNCTION("""COMPUTED_VALUE"""),1220.8419999999999)</f>
        <v>1220.842</v>
      </c>
      <c r="F246" s="298">
        <f>IFERROR(__xludf.DUMMYFUNCTION("""COMPUTED_VALUE"""),45.5374066)</f>
        <v>45.5374066</v>
      </c>
      <c r="G246" s="298">
        <f>IFERROR(__xludf.DUMMYFUNCTION("""COMPUTED_VALUE"""),235.06091868)</f>
        <v>235.0609187</v>
      </c>
      <c r="H246" s="223">
        <f>IFERROR(__xludf.DUMMYFUNCTION("""COMPUTED_VALUE"""),940.24367472)</f>
        <v>940.2436747</v>
      </c>
      <c r="I246" s="298"/>
      <c r="J246" s="223" t="str">
        <f>IFERROR(__xludf.DUMMYFUNCTION("""COMPUTED_VALUE"""),"50% Deposit
50% Final Payment")</f>
        <v>50% Deposit
50% Final Payment</v>
      </c>
      <c r="K246" s="317">
        <f>IFERROR(__xludf.DUMMYFUNCTION("""COMPUTED_VALUE"""),2022.0)</f>
        <v>2022</v>
      </c>
      <c r="L246" s="298"/>
      <c r="M246" s="223"/>
      <c r="N246" s="223"/>
      <c r="O246" s="223"/>
      <c r="P246" s="223"/>
      <c r="Q246" s="223"/>
      <c r="R246" s="223"/>
      <c r="S246" s="223"/>
      <c r="T246" s="223"/>
      <c r="U246" s="223"/>
      <c r="V246" s="223"/>
      <c r="W246" s="223"/>
      <c r="X246" s="223"/>
      <c r="Y246" s="223"/>
      <c r="Z246" s="223"/>
    </row>
    <row r="247">
      <c r="A247" s="223" t="str">
        <f>IFERROR(__xludf.DUMMYFUNCTION("""COMPUTED_VALUE"""),"Crisp Media : WRKOUT PPC")</f>
        <v>Crisp Media : WRKOUT PPC</v>
      </c>
      <c r="B247" s="223" t="str">
        <f>IFERROR(__xludf.DUMMYFUNCTION("""COMPUTED_VALUE"""),"Crisp Media")</f>
        <v>Crisp Media</v>
      </c>
      <c r="C247" s="223" t="str">
        <f>IFERROR(__xludf.DUMMYFUNCTION("""COMPUTED_VALUE"""),"WRKOUT PPC")</f>
        <v>WRKOUT PPC</v>
      </c>
      <c r="D247" s="316">
        <f>IFERROR(__xludf.DUMMYFUNCTION("""COMPUTED_VALUE"""),44635.0)</f>
        <v>44635</v>
      </c>
      <c r="E247" s="298">
        <f>IFERROR(__xludf.DUMMYFUNCTION("""COMPUTED_VALUE"""),500.0)</f>
        <v>500</v>
      </c>
      <c r="F247" s="298">
        <f>IFERROR(__xludf.DUMMYFUNCTION("""COMPUTED_VALUE"""),15.56)</f>
        <v>15.56</v>
      </c>
      <c r="G247" s="298">
        <f>IFERROR(__xludf.DUMMYFUNCTION("""COMPUTED_VALUE"""),0.0)</f>
        <v>0</v>
      </c>
      <c r="H247" s="223">
        <f>IFERROR(__xludf.DUMMYFUNCTION("""COMPUTED_VALUE"""),484.44)</f>
        <v>484.44</v>
      </c>
      <c r="I247" s="298"/>
      <c r="J247" s="223" t="str">
        <f>IFERROR(__xludf.DUMMYFUNCTION("""COMPUTED_VALUE"""),"Monthly")</f>
        <v>Monthly</v>
      </c>
      <c r="K247" s="317">
        <f>IFERROR(__xludf.DUMMYFUNCTION("""COMPUTED_VALUE"""),2022.03)</f>
        <v>2022.03</v>
      </c>
      <c r="L247" s="298"/>
      <c r="M247" s="223"/>
      <c r="N247" s="223"/>
      <c r="O247" s="223"/>
      <c r="P247" s="223"/>
      <c r="Q247" s="223"/>
      <c r="R247" s="223"/>
      <c r="S247" s="223"/>
      <c r="T247" s="223"/>
      <c r="U247" s="223"/>
      <c r="V247" s="223"/>
      <c r="W247" s="223"/>
      <c r="X247" s="223"/>
      <c r="Y247" s="223"/>
      <c r="Z247" s="223"/>
    </row>
    <row r="248">
      <c r="A248" s="223" t="str">
        <f>IFERROR(__xludf.DUMMYFUNCTION("""COMPUTED_VALUE"""),"C360 : Grasshopper Farms Site Review")</f>
        <v>C360 : Grasshopper Farms Site Review</v>
      </c>
      <c r="B248" s="223" t="str">
        <f>IFERROR(__xludf.DUMMYFUNCTION("""COMPUTED_VALUE"""),"C360")</f>
        <v>C360</v>
      </c>
      <c r="C248" s="223" t="str">
        <f>IFERROR(__xludf.DUMMYFUNCTION("""COMPUTED_VALUE"""),"Grasshopper Farms Site Review")</f>
        <v>Grasshopper Farms Site Review</v>
      </c>
      <c r="D248" s="316">
        <f>IFERROR(__xludf.DUMMYFUNCTION("""COMPUTED_VALUE"""),44635.0)</f>
        <v>44635</v>
      </c>
      <c r="E248" s="298">
        <f>IFERROR(__xludf.DUMMYFUNCTION("""COMPUTED_VALUE"""),1556.1249999999998)</f>
        <v>1556.125</v>
      </c>
      <c r="F248" s="298">
        <f>IFERROR(__xludf.DUMMYFUNCTION("""COMPUTED_VALUE"""),0.0)</f>
        <v>0</v>
      </c>
      <c r="G248" s="298">
        <f>IFERROR(__xludf.DUMMYFUNCTION("""COMPUTED_VALUE"""),0.0)</f>
        <v>0</v>
      </c>
      <c r="H248" s="223">
        <f>IFERROR(__xludf.DUMMYFUNCTION("""COMPUTED_VALUE"""),1556.1249999999998)</f>
        <v>1556.125</v>
      </c>
      <c r="I248" s="298"/>
      <c r="J248" s="223" t="str">
        <f>IFERROR(__xludf.DUMMYFUNCTION("""COMPUTED_VALUE"""),"50% Deposit
50% Final Payment")</f>
        <v>50% Deposit
50% Final Payment</v>
      </c>
      <c r="K248" s="317">
        <f>IFERROR(__xludf.DUMMYFUNCTION("""COMPUTED_VALUE"""),2022.0)</f>
        <v>2022</v>
      </c>
      <c r="L248" s="298"/>
      <c r="M248" s="223"/>
      <c r="N248" s="223"/>
      <c r="O248" s="223"/>
      <c r="P248" s="223"/>
      <c r="Q248" s="223"/>
      <c r="R248" s="223"/>
      <c r="S248" s="223"/>
      <c r="T248" s="223"/>
      <c r="U248" s="223"/>
      <c r="V248" s="223"/>
      <c r="W248" s="223"/>
      <c r="X248" s="223"/>
      <c r="Y248" s="223"/>
      <c r="Z248" s="223"/>
    </row>
    <row r="249">
      <c r="A249" s="223" t="str">
        <f>IFERROR(__xludf.DUMMYFUNCTION("""COMPUTED_VALUE"""),"Bratopia : Google click costs for French Postcard")</f>
        <v>Bratopia : Google click costs for French Postcard</v>
      </c>
      <c r="B249" s="223" t="str">
        <f>IFERROR(__xludf.DUMMYFUNCTION("""COMPUTED_VALUE"""),"Bratopia")</f>
        <v>Bratopia</v>
      </c>
      <c r="C249" s="223" t="str">
        <f>IFERROR(__xludf.DUMMYFUNCTION("""COMPUTED_VALUE"""),"Google click costs for French Postcard")</f>
        <v>Google click costs for French Postcard</v>
      </c>
      <c r="D249" s="316">
        <f>IFERROR(__xludf.DUMMYFUNCTION("""COMPUTED_VALUE"""),44651.0)</f>
        <v>44651</v>
      </c>
      <c r="E249" s="298">
        <f>IFERROR(__xludf.DUMMYFUNCTION("""COMPUTED_VALUE"""),178.2)</f>
        <v>178.2</v>
      </c>
      <c r="F249" s="298">
        <f>IFERROR(__xludf.DUMMYFUNCTION("""COMPUTED_VALUE"""),5.28)</f>
        <v>5.28</v>
      </c>
      <c r="G249" s="298">
        <f>IFERROR(__xludf.DUMMYFUNCTION("""COMPUTED_VALUE"""),0.0)</f>
        <v>0</v>
      </c>
      <c r="H249" s="223">
        <f>IFERROR(__xludf.DUMMYFUNCTION("""COMPUTED_VALUE"""),172.92)</f>
        <v>172.92</v>
      </c>
      <c r="I249" s="298"/>
      <c r="J249" s="223" t="str">
        <f>IFERROR(__xludf.DUMMYFUNCTION("""COMPUTED_VALUE"""),"One-Time")</f>
        <v>One-Time</v>
      </c>
      <c r="K249" s="317">
        <f>IFERROR(__xludf.DUMMYFUNCTION("""COMPUTED_VALUE"""),2022.03)</f>
        <v>2022.03</v>
      </c>
      <c r="L249" s="298"/>
      <c r="M249" s="223"/>
      <c r="N249" s="223"/>
      <c r="O249" s="223"/>
      <c r="P249" s="223"/>
      <c r="Q249" s="223"/>
      <c r="R249" s="223"/>
      <c r="S249" s="223"/>
      <c r="T249" s="223"/>
      <c r="U249" s="223"/>
      <c r="V249" s="223"/>
      <c r="W249" s="223"/>
      <c r="X249" s="223"/>
      <c r="Y249" s="223"/>
      <c r="Z249" s="223"/>
    </row>
    <row r="250">
      <c r="A250" s="223" t="str">
        <f>IFERROR(__xludf.DUMMYFUNCTION("""COMPUTED_VALUE"""),"Arazy Group : Monthly Services")</f>
        <v>Arazy Group : Monthly Services</v>
      </c>
      <c r="B250" s="223" t="str">
        <f>IFERROR(__xludf.DUMMYFUNCTION("""COMPUTED_VALUE"""),"Arazy Group")</f>
        <v>Arazy Group</v>
      </c>
      <c r="C250" s="223" t="str">
        <f>IFERROR(__xludf.DUMMYFUNCTION("""COMPUTED_VALUE"""),"Monthly Services")</f>
        <v>Monthly Services</v>
      </c>
      <c r="D250" s="316">
        <f>IFERROR(__xludf.DUMMYFUNCTION("""COMPUTED_VALUE"""),44635.0)</f>
        <v>44635</v>
      </c>
      <c r="E250" s="298">
        <f>IFERROR(__xludf.DUMMYFUNCTION("""COMPUTED_VALUE"""),650.0)</f>
        <v>650</v>
      </c>
      <c r="F250" s="298">
        <f>IFERROR(__xludf.DUMMYFUNCTION("""COMPUTED_VALUE"""),20.09)</f>
        <v>20.09</v>
      </c>
      <c r="G250" s="298">
        <f>IFERROR(__xludf.DUMMYFUNCTION("""COMPUTED_VALUE"""),0.0)</f>
        <v>0</v>
      </c>
      <c r="H250" s="223">
        <f>IFERROR(__xludf.DUMMYFUNCTION("""COMPUTED_VALUE"""),629.91)</f>
        <v>629.91</v>
      </c>
      <c r="I250" s="298"/>
      <c r="J250" s="223" t="str">
        <f>IFERROR(__xludf.DUMMYFUNCTION("""COMPUTED_VALUE"""),"Monthly")</f>
        <v>Monthly</v>
      </c>
      <c r="K250" s="317">
        <f>IFERROR(__xludf.DUMMYFUNCTION("""COMPUTED_VALUE"""),2022.03)</f>
        <v>2022.03</v>
      </c>
      <c r="L250" s="298"/>
      <c r="M250" s="223"/>
      <c r="N250" s="223"/>
      <c r="O250" s="223"/>
      <c r="P250" s="223"/>
      <c r="Q250" s="223"/>
      <c r="R250" s="223"/>
      <c r="S250" s="223"/>
      <c r="T250" s="223"/>
      <c r="U250" s="223"/>
      <c r="V250" s="223"/>
      <c r="W250" s="223"/>
      <c r="X250" s="223"/>
      <c r="Y250" s="223"/>
      <c r="Z250" s="223"/>
    </row>
    <row r="251">
      <c r="A251" s="223" t="str">
        <f>IFERROR(__xludf.DUMMYFUNCTION("""COMPUTED_VALUE"""),"Booginhead : Monthly Services")</f>
        <v>Booginhead : Monthly Services</v>
      </c>
      <c r="B251" s="223" t="str">
        <f>IFERROR(__xludf.DUMMYFUNCTION("""COMPUTED_VALUE"""),"Booginhead")</f>
        <v>Booginhead</v>
      </c>
      <c r="C251" s="223" t="str">
        <f>IFERROR(__xludf.DUMMYFUNCTION("""COMPUTED_VALUE"""),"Monthly Services")</f>
        <v>Monthly Services</v>
      </c>
      <c r="D251" s="316">
        <f>IFERROR(__xludf.DUMMYFUNCTION("""COMPUTED_VALUE"""),44635.0)</f>
        <v>44635</v>
      </c>
      <c r="E251" s="298">
        <f>IFERROR(__xludf.DUMMYFUNCTION("""COMPUTED_VALUE"""),1603.992)</f>
        <v>1603.992</v>
      </c>
      <c r="F251" s="298">
        <f>IFERROR(__xludf.DUMMYFUNCTION("""COMPUTED_VALUE"""),59.717856)</f>
        <v>59.717856</v>
      </c>
      <c r="G251" s="298">
        <f>IFERROR(__xludf.DUMMYFUNCTION("""COMPUTED_VALUE"""),308.8548288)</f>
        <v>308.8548288</v>
      </c>
      <c r="H251" s="223">
        <f>IFERROR(__xludf.DUMMYFUNCTION("""COMPUTED_VALUE"""),1235.4193152)</f>
        <v>1235.419315</v>
      </c>
      <c r="I251" s="298"/>
      <c r="J251" s="223" t="str">
        <f>IFERROR(__xludf.DUMMYFUNCTION("""COMPUTED_VALUE"""),"Monthly")</f>
        <v>Monthly</v>
      </c>
      <c r="K251" s="317">
        <f>IFERROR(__xludf.DUMMYFUNCTION("""COMPUTED_VALUE"""),2022.03)</f>
        <v>2022.03</v>
      </c>
      <c r="L251" s="298"/>
      <c r="M251" s="223"/>
      <c r="N251" s="223"/>
      <c r="O251" s="223"/>
      <c r="P251" s="223"/>
      <c r="Q251" s="223"/>
      <c r="R251" s="223"/>
      <c r="S251" s="223"/>
      <c r="T251" s="223"/>
      <c r="U251" s="223"/>
      <c r="V251" s="223"/>
      <c r="W251" s="223"/>
      <c r="X251" s="223"/>
      <c r="Y251" s="223"/>
      <c r="Z251" s="223"/>
    </row>
    <row r="252">
      <c r="A252" s="223" t="str">
        <f>IFERROR(__xludf.DUMMYFUNCTION("""COMPUTED_VALUE"""),"OA Region 6 : Monthly Services")</f>
        <v>OA Region 6 : Monthly Services</v>
      </c>
      <c r="B252" s="223" t="str">
        <f>IFERROR(__xludf.DUMMYFUNCTION("""COMPUTED_VALUE"""),"OA Region 6")</f>
        <v>OA Region 6</v>
      </c>
      <c r="C252" s="223" t="str">
        <f>IFERROR(__xludf.DUMMYFUNCTION("""COMPUTED_VALUE"""),"Monthly Services")</f>
        <v>Monthly Services</v>
      </c>
      <c r="D252" s="316">
        <f>IFERROR(__xludf.DUMMYFUNCTION("""COMPUTED_VALUE"""),44635.0)</f>
        <v>44635</v>
      </c>
      <c r="E252" s="298">
        <f>IFERROR(__xludf.DUMMYFUNCTION("""COMPUTED_VALUE"""),426.51385000000005)</f>
        <v>426.51385</v>
      </c>
      <c r="F252" s="298">
        <f>IFERROR(__xludf.DUMMYFUNCTION("""COMPUTED_VALUE"""),16.146595750000003)</f>
        <v>16.14659575</v>
      </c>
      <c r="G252" s="298">
        <f>IFERROR(__xludf.DUMMYFUNCTION("""COMPUTED_VALUE"""),0.0)</f>
        <v>0</v>
      </c>
      <c r="H252" s="223">
        <f>IFERROR(__xludf.DUMMYFUNCTION("""COMPUTED_VALUE"""),410.36725425000003)</f>
        <v>410.3672543</v>
      </c>
      <c r="I252" s="298"/>
      <c r="J252" s="223" t="str">
        <f>IFERROR(__xludf.DUMMYFUNCTION("""COMPUTED_VALUE"""),"Monthly")</f>
        <v>Monthly</v>
      </c>
      <c r="K252" s="317">
        <f>IFERROR(__xludf.DUMMYFUNCTION("""COMPUTED_VALUE"""),2022.03)</f>
        <v>2022.03</v>
      </c>
      <c r="L252" s="298"/>
      <c r="M252" s="223"/>
      <c r="N252" s="223"/>
      <c r="O252" s="223"/>
      <c r="P252" s="223"/>
      <c r="Q252" s="223"/>
      <c r="R252" s="223"/>
      <c r="S252" s="223"/>
      <c r="T252" s="223"/>
      <c r="U252" s="223"/>
      <c r="V252" s="223"/>
      <c r="W252" s="223"/>
      <c r="X252" s="223"/>
      <c r="Y252" s="223"/>
      <c r="Z252" s="223"/>
    </row>
    <row r="253">
      <c r="A253" s="223" t="str">
        <f>IFERROR(__xludf.DUMMYFUNCTION("""COMPUTED_VALUE"""),"Technology Rivers : Monthly Services")</f>
        <v>Technology Rivers : Monthly Services</v>
      </c>
      <c r="B253" s="223" t="str">
        <f>IFERROR(__xludf.DUMMYFUNCTION("""COMPUTED_VALUE"""),"Technology Rivers")</f>
        <v>Technology Rivers</v>
      </c>
      <c r="C253" s="223" t="str">
        <f>IFERROR(__xludf.DUMMYFUNCTION("""COMPUTED_VALUE"""),"Monthly Services")</f>
        <v>Monthly Services</v>
      </c>
      <c r="D253" s="316">
        <f>IFERROR(__xludf.DUMMYFUNCTION("""COMPUTED_VALUE"""),44635.0)</f>
        <v>44635</v>
      </c>
      <c r="E253" s="298">
        <f>IFERROR(__xludf.DUMMYFUNCTION("""COMPUTED_VALUE"""),614.6405000000001)</f>
        <v>614.6405</v>
      </c>
      <c r="F253" s="298">
        <f>IFERROR(__xludf.DUMMYFUNCTION("""COMPUTED_VALUE"""),23.110482800000003)</f>
        <v>23.1104828</v>
      </c>
      <c r="G253" s="298">
        <f>IFERROR(__xludf.DUMMYFUNCTION("""COMPUTED_VALUE"""),118.30600344000003)</f>
        <v>118.3060034</v>
      </c>
      <c r="H253" s="223">
        <f>IFERROR(__xludf.DUMMYFUNCTION("""COMPUTED_VALUE"""),473.22401376000005)</f>
        <v>473.2240138</v>
      </c>
      <c r="I253" s="298"/>
      <c r="J253" s="223" t="str">
        <f>IFERROR(__xludf.DUMMYFUNCTION("""COMPUTED_VALUE"""),"Monthly")</f>
        <v>Monthly</v>
      </c>
      <c r="K253" s="317">
        <f>IFERROR(__xludf.DUMMYFUNCTION("""COMPUTED_VALUE"""),2022.03)</f>
        <v>2022.03</v>
      </c>
      <c r="L253" s="298"/>
      <c r="M253" s="223"/>
      <c r="N253" s="223"/>
      <c r="O253" s="223"/>
      <c r="P253" s="223"/>
      <c r="Q253" s="223"/>
      <c r="R253" s="223"/>
      <c r="S253" s="223"/>
      <c r="T253" s="223"/>
      <c r="U253" s="223"/>
      <c r="V253" s="223"/>
      <c r="W253" s="223"/>
      <c r="X253" s="223"/>
      <c r="Y253" s="223"/>
      <c r="Z253" s="223"/>
    </row>
    <row r="254">
      <c r="A254" s="223" t="str">
        <f>IFERROR(__xludf.DUMMYFUNCTION("""COMPUTED_VALUE"""),"Tofino Resort + Marina : Monthly Services")</f>
        <v>Tofino Resort + Marina : Monthly Services</v>
      </c>
      <c r="B254" s="223" t="str">
        <f>IFERROR(__xludf.DUMMYFUNCTION("""COMPUTED_VALUE"""),"Tofino Resort + Marina")</f>
        <v>Tofino Resort + Marina</v>
      </c>
      <c r="C254" s="223" t="str">
        <f>IFERROR(__xludf.DUMMYFUNCTION("""COMPUTED_VALUE"""),"Monthly Services")</f>
        <v>Monthly Services</v>
      </c>
      <c r="D254" s="316">
        <f>IFERROR(__xludf.DUMMYFUNCTION("""COMPUTED_VALUE"""),44635.0)</f>
        <v>44635</v>
      </c>
      <c r="E254" s="298">
        <f>IFERROR(__xludf.DUMMYFUNCTION("""COMPUTED_VALUE"""),1600.0)</f>
        <v>1600</v>
      </c>
      <c r="F254" s="298">
        <f>IFERROR(__xludf.DUMMYFUNCTION("""COMPUTED_VALUE"""),49.78)</f>
        <v>49.78</v>
      </c>
      <c r="G254" s="298">
        <f>IFERROR(__xludf.DUMMYFUNCTION("""COMPUTED_VALUE"""),0.0)</f>
        <v>0</v>
      </c>
      <c r="H254" s="223">
        <f>IFERROR(__xludf.DUMMYFUNCTION("""COMPUTED_VALUE"""),1550.22)</f>
        <v>1550.22</v>
      </c>
      <c r="I254" s="298"/>
      <c r="J254" s="223" t="str">
        <f>IFERROR(__xludf.DUMMYFUNCTION("""COMPUTED_VALUE"""),"Monthly")</f>
        <v>Monthly</v>
      </c>
      <c r="K254" s="317">
        <f>IFERROR(__xludf.DUMMYFUNCTION("""COMPUTED_VALUE"""),2022.03)</f>
        <v>2022.03</v>
      </c>
      <c r="L254" s="298"/>
      <c r="M254" s="223"/>
      <c r="N254" s="223"/>
      <c r="O254" s="223"/>
      <c r="P254" s="223"/>
      <c r="Q254" s="223"/>
      <c r="R254" s="223"/>
      <c r="S254" s="223"/>
      <c r="T254" s="223"/>
      <c r="U254" s="223"/>
      <c r="V254" s="223"/>
      <c r="W254" s="223"/>
      <c r="X254" s="223"/>
      <c r="Y254" s="223"/>
      <c r="Z254" s="223"/>
    </row>
    <row r="255">
      <c r="A255" s="223" t="str">
        <f>IFERROR(__xludf.DUMMYFUNCTION("""COMPUTED_VALUE"""),"Viridian : Monthly Services")</f>
        <v>Viridian : Monthly Services</v>
      </c>
      <c r="B255" s="223" t="str">
        <f>IFERROR(__xludf.DUMMYFUNCTION("""COMPUTED_VALUE"""),"Viridian")</f>
        <v>Viridian</v>
      </c>
      <c r="C255" s="223" t="str">
        <f>IFERROR(__xludf.DUMMYFUNCTION("""COMPUTED_VALUE"""),"Monthly Services")</f>
        <v>Monthly Services</v>
      </c>
      <c r="D255" s="316">
        <f>IFERROR(__xludf.DUMMYFUNCTION("""COMPUTED_VALUE"""),44635.0)</f>
        <v>44635</v>
      </c>
      <c r="E255" s="298">
        <f>IFERROR(__xludf.DUMMYFUNCTION("""COMPUTED_VALUE"""),900.0)</f>
        <v>900</v>
      </c>
      <c r="F255" s="298">
        <f>IFERROR(__xludf.DUMMYFUNCTION("""COMPUTED_VALUE"""),0.0)</f>
        <v>0</v>
      </c>
      <c r="G255" s="298">
        <f>IFERROR(__xludf.DUMMYFUNCTION("""COMPUTED_VALUE"""),0.0)</f>
        <v>0</v>
      </c>
      <c r="H255" s="223">
        <f>IFERROR(__xludf.DUMMYFUNCTION("""COMPUTED_VALUE"""),900.0)</f>
        <v>900</v>
      </c>
      <c r="I255" s="298"/>
      <c r="J255" s="223" t="str">
        <f>IFERROR(__xludf.DUMMYFUNCTION("""COMPUTED_VALUE"""),"Monthly")</f>
        <v>Monthly</v>
      </c>
      <c r="K255" s="317">
        <f>IFERROR(__xludf.DUMMYFUNCTION("""COMPUTED_VALUE"""),2022.03)</f>
        <v>2022.03</v>
      </c>
      <c r="L255" s="298"/>
      <c r="M255" s="223"/>
      <c r="N255" s="223"/>
      <c r="O255" s="223"/>
      <c r="P255" s="223"/>
      <c r="Q255" s="223"/>
      <c r="R255" s="223"/>
      <c r="S255" s="223"/>
      <c r="T255" s="223"/>
      <c r="U255" s="223"/>
      <c r="V255" s="223"/>
      <c r="W255" s="223"/>
      <c r="X255" s="223"/>
      <c r="Y255" s="223"/>
      <c r="Z255" s="223"/>
    </row>
    <row r="256">
      <c r="A256" s="223" t="str">
        <f>IFERROR(__xludf.DUMMYFUNCTION("""COMPUTED_VALUE"""),"New Growth Ecommerce Inc : Monthly Services")</f>
        <v>New Growth Ecommerce Inc : Monthly Services</v>
      </c>
      <c r="B256" s="223" t="str">
        <f>IFERROR(__xludf.DUMMYFUNCTION("""COMPUTED_VALUE"""),"New Growth Ecommerce Inc")</f>
        <v>New Growth Ecommerce Inc</v>
      </c>
      <c r="C256" s="223" t="str">
        <f>IFERROR(__xludf.DUMMYFUNCTION("""COMPUTED_VALUE"""),"Monthly Services")</f>
        <v>Monthly Services</v>
      </c>
      <c r="D256" s="316">
        <f>IFERROR(__xludf.DUMMYFUNCTION("""COMPUTED_VALUE"""),44635.0)</f>
        <v>44635</v>
      </c>
      <c r="E256" s="298">
        <f>IFERROR(__xludf.DUMMYFUNCTION("""COMPUTED_VALUE"""),5000.0)</f>
        <v>5000</v>
      </c>
      <c r="F256" s="298">
        <f>IFERROR(__xludf.DUMMYFUNCTION("""COMPUTED_VALUE"""),0.0)</f>
        <v>0</v>
      </c>
      <c r="G256" s="298">
        <f>IFERROR(__xludf.DUMMYFUNCTION("""COMPUTED_VALUE"""),0.0)</f>
        <v>0</v>
      </c>
      <c r="H256" s="223">
        <f>IFERROR(__xludf.DUMMYFUNCTION("""COMPUTED_VALUE"""),5000.0)</f>
        <v>5000</v>
      </c>
      <c r="I256" s="298"/>
      <c r="J256" s="223" t="str">
        <f>IFERROR(__xludf.DUMMYFUNCTION("""COMPUTED_VALUE"""),"Monthly")</f>
        <v>Monthly</v>
      </c>
      <c r="K256" s="317">
        <f>IFERROR(__xludf.DUMMYFUNCTION("""COMPUTED_VALUE"""),2022.03)</f>
        <v>2022.03</v>
      </c>
      <c r="L256" s="298"/>
      <c r="M256" s="223"/>
      <c r="N256" s="223"/>
      <c r="O256" s="223"/>
      <c r="P256" s="223"/>
      <c r="Q256" s="223"/>
      <c r="R256" s="223"/>
      <c r="S256" s="223"/>
      <c r="T256" s="223"/>
      <c r="U256" s="223"/>
      <c r="V256" s="223"/>
      <c r="W256" s="223"/>
      <c r="X256" s="223"/>
      <c r="Y256" s="223"/>
      <c r="Z256" s="223"/>
    </row>
    <row r="257">
      <c r="A257" s="223" t="str">
        <f>IFERROR(__xludf.DUMMYFUNCTION("""COMPUTED_VALUE"""),"Argos Products : Monthly Services")</f>
        <v>Argos Products : Monthly Services</v>
      </c>
      <c r="B257" s="223" t="str">
        <f>IFERROR(__xludf.DUMMYFUNCTION("""COMPUTED_VALUE"""),"Argos Products")</f>
        <v>Argos Products</v>
      </c>
      <c r="C257" s="223" t="str">
        <f>IFERROR(__xludf.DUMMYFUNCTION("""COMPUTED_VALUE"""),"Monthly Services")</f>
        <v>Monthly Services</v>
      </c>
      <c r="D257" s="316">
        <f>IFERROR(__xludf.DUMMYFUNCTION("""COMPUTED_VALUE"""),44635.0)</f>
        <v>44635</v>
      </c>
      <c r="E257" s="298">
        <f>IFERROR(__xludf.DUMMYFUNCTION("""COMPUTED_VALUE"""),500.0)</f>
        <v>500</v>
      </c>
      <c r="F257" s="298">
        <f>IFERROR(__xludf.DUMMYFUNCTION("""COMPUTED_VALUE"""),0.0)</f>
        <v>0</v>
      </c>
      <c r="G257" s="298">
        <f>IFERROR(__xludf.DUMMYFUNCTION("""COMPUTED_VALUE"""),0.0)</f>
        <v>0</v>
      </c>
      <c r="H257" s="223">
        <f>IFERROR(__xludf.DUMMYFUNCTION("""COMPUTED_VALUE"""),500.0)</f>
        <v>500</v>
      </c>
      <c r="I257" s="298"/>
      <c r="J257" s="223" t="str">
        <f>IFERROR(__xludf.DUMMYFUNCTION("""COMPUTED_VALUE"""),"Monthly")</f>
        <v>Monthly</v>
      </c>
      <c r="K257" s="317">
        <f>IFERROR(__xludf.DUMMYFUNCTION("""COMPUTED_VALUE"""),2022.03)</f>
        <v>2022.03</v>
      </c>
      <c r="L257" s="298"/>
      <c r="M257" s="223"/>
      <c r="N257" s="223"/>
      <c r="O257" s="223"/>
      <c r="P257" s="223"/>
      <c r="Q257" s="223"/>
      <c r="R257" s="223"/>
      <c r="S257" s="223"/>
      <c r="T257" s="223"/>
      <c r="U257" s="223"/>
      <c r="V257" s="223"/>
      <c r="W257" s="223"/>
      <c r="X257" s="223"/>
      <c r="Y257" s="223"/>
      <c r="Z257" s="223"/>
    </row>
    <row r="258">
      <c r="A258" s="223" t="str">
        <f>IFERROR(__xludf.DUMMYFUNCTION("""COMPUTED_VALUE"""),"C360 : Victory360")</f>
        <v>C360 : Victory360</v>
      </c>
      <c r="B258" s="223" t="str">
        <f>IFERROR(__xludf.DUMMYFUNCTION("""COMPUTED_VALUE"""),"C360")</f>
        <v>C360</v>
      </c>
      <c r="C258" s="223" t="str">
        <f>IFERROR(__xludf.DUMMYFUNCTION("""COMPUTED_VALUE"""),"Victory360")</f>
        <v>Victory360</v>
      </c>
      <c r="D258" s="316">
        <f>IFERROR(__xludf.DUMMYFUNCTION("""COMPUTED_VALUE"""),44635.0)</f>
        <v>44635</v>
      </c>
      <c r="E258" s="298">
        <f>IFERROR(__xludf.DUMMYFUNCTION("""COMPUTED_VALUE"""),2439.4)</f>
        <v>2439.4</v>
      </c>
      <c r="F258" s="298">
        <f>IFERROR(__xludf.DUMMYFUNCTION("""COMPUTED_VALUE"""),0.0)</f>
        <v>0</v>
      </c>
      <c r="G258" s="298">
        <f>IFERROR(__xludf.DUMMYFUNCTION("""COMPUTED_VALUE"""),0.0)</f>
        <v>0</v>
      </c>
      <c r="H258" s="223">
        <f>IFERROR(__xludf.DUMMYFUNCTION("""COMPUTED_VALUE"""),2439.4)</f>
        <v>2439.4</v>
      </c>
      <c r="I258" s="298"/>
      <c r="J258" s="223" t="str">
        <f>IFERROR(__xludf.DUMMYFUNCTION("""COMPUTED_VALUE"""),"Monthly")</f>
        <v>Monthly</v>
      </c>
      <c r="K258" s="317">
        <f>IFERROR(__xludf.DUMMYFUNCTION("""COMPUTED_VALUE"""),2022.03)</f>
        <v>2022.03</v>
      </c>
      <c r="L258" s="298"/>
      <c r="M258" s="223"/>
      <c r="N258" s="223"/>
      <c r="O258" s="223"/>
      <c r="P258" s="223"/>
      <c r="Q258" s="223"/>
      <c r="R258" s="223"/>
      <c r="S258" s="223"/>
      <c r="T258" s="223"/>
      <c r="U258" s="223"/>
      <c r="V258" s="223"/>
      <c r="W258" s="223"/>
      <c r="X258" s="223"/>
      <c r="Y258" s="223"/>
      <c r="Z258" s="223"/>
    </row>
    <row r="259">
      <c r="A259" s="223" t="str">
        <f>IFERROR(__xludf.DUMMYFUNCTION("""COMPUTED_VALUE"""),"C360 : Guntry Baseline SEO")</f>
        <v>C360 : Guntry Baseline SEO</v>
      </c>
      <c r="B259" s="223" t="str">
        <f>IFERROR(__xludf.DUMMYFUNCTION("""COMPUTED_VALUE"""),"C360")</f>
        <v>C360</v>
      </c>
      <c r="C259" s="223" t="str">
        <f>IFERROR(__xludf.DUMMYFUNCTION("""COMPUTED_VALUE"""),"Guntry Baseline SEO")</f>
        <v>Guntry Baseline SEO</v>
      </c>
      <c r="D259" s="316">
        <f>IFERROR(__xludf.DUMMYFUNCTION("""COMPUTED_VALUE"""),44635.0)</f>
        <v>44635</v>
      </c>
      <c r="E259" s="298">
        <f>IFERROR(__xludf.DUMMYFUNCTION("""COMPUTED_VALUE"""),1867.35)</f>
        <v>1867.35</v>
      </c>
      <c r="F259" s="298">
        <f>IFERROR(__xludf.DUMMYFUNCTION("""COMPUTED_VALUE"""),0.0)</f>
        <v>0</v>
      </c>
      <c r="G259" s="298">
        <f>IFERROR(__xludf.DUMMYFUNCTION("""COMPUTED_VALUE"""),0.0)</f>
        <v>0</v>
      </c>
      <c r="H259" s="223">
        <f>IFERROR(__xludf.DUMMYFUNCTION("""COMPUTED_VALUE"""),1867.35)</f>
        <v>1867.35</v>
      </c>
      <c r="I259" s="298"/>
      <c r="J259" s="223" t="str">
        <f>IFERROR(__xludf.DUMMYFUNCTION("""COMPUTED_VALUE"""),"Monthly")</f>
        <v>Monthly</v>
      </c>
      <c r="K259" s="317">
        <f>IFERROR(__xludf.DUMMYFUNCTION("""COMPUTED_VALUE"""),2022.03)</f>
        <v>2022.03</v>
      </c>
      <c r="L259" s="298"/>
      <c r="M259" s="223"/>
      <c r="N259" s="223"/>
      <c r="O259" s="223"/>
      <c r="P259" s="223"/>
      <c r="Q259" s="223"/>
      <c r="R259" s="223"/>
      <c r="S259" s="223"/>
      <c r="T259" s="223"/>
      <c r="U259" s="223"/>
      <c r="V259" s="223"/>
      <c r="W259" s="223"/>
      <c r="X259" s="223"/>
      <c r="Y259" s="223"/>
      <c r="Z259" s="223"/>
    </row>
    <row r="260">
      <c r="A260" s="223" t="str">
        <f>IFERROR(__xludf.DUMMYFUNCTION("""COMPUTED_VALUE"""),"Crisp Media : WRKOUT PPC")</f>
        <v>Crisp Media : WRKOUT PPC</v>
      </c>
      <c r="B260" s="223" t="str">
        <f>IFERROR(__xludf.DUMMYFUNCTION("""COMPUTED_VALUE"""),"Crisp Media")</f>
        <v>Crisp Media</v>
      </c>
      <c r="C260" s="223" t="str">
        <f>IFERROR(__xludf.DUMMYFUNCTION("""COMPUTED_VALUE"""),"WRKOUT PPC")</f>
        <v>WRKOUT PPC</v>
      </c>
      <c r="D260" s="316">
        <f>IFERROR(__xludf.DUMMYFUNCTION("""COMPUTED_VALUE"""),44666.0)</f>
        <v>44666</v>
      </c>
      <c r="E260" s="298">
        <f>IFERROR(__xludf.DUMMYFUNCTION("""COMPUTED_VALUE"""),600.0)</f>
        <v>600</v>
      </c>
      <c r="F260" s="298">
        <f>IFERROR(__xludf.DUMMYFUNCTION("""COMPUTED_VALUE"""),18.67)</f>
        <v>18.67</v>
      </c>
      <c r="G260" s="298">
        <f>IFERROR(__xludf.DUMMYFUNCTION("""COMPUTED_VALUE"""),0.0)</f>
        <v>0</v>
      </c>
      <c r="H260" s="223">
        <f>IFERROR(__xludf.DUMMYFUNCTION("""COMPUTED_VALUE"""),581.33)</f>
        <v>581.33</v>
      </c>
      <c r="I260" s="298"/>
      <c r="J260" s="223" t="str">
        <f>IFERROR(__xludf.DUMMYFUNCTION("""COMPUTED_VALUE"""),"Monthly")</f>
        <v>Monthly</v>
      </c>
      <c r="K260" s="317">
        <f>IFERROR(__xludf.DUMMYFUNCTION("""COMPUTED_VALUE"""),2022.04)</f>
        <v>2022.04</v>
      </c>
      <c r="L260" s="298"/>
      <c r="M260" s="223"/>
      <c r="N260" s="223"/>
      <c r="O260" s="223"/>
      <c r="P260" s="223"/>
      <c r="Q260" s="223"/>
      <c r="R260" s="223"/>
      <c r="S260" s="223"/>
      <c r="T260" s="223"/>
      <c r="U260" s="223"/>
      <c r="V260" s="223"/>
      <c r="W260" s="223"/>
      <c r="X260" s="223"/>
      <c r="Y260" s="223"/>
      <c r="Z260" s="223"/>
    </row>
    <row r="261">
      <c r="A261" s="223" t="str">
        <f>IFERROR(__xludf.DUMMYFUNCTION("""COMPUTED_VALUE"""),"C360 : Grasshopper Farms Site Review")</f>
        <v>C360 : Grasshopper Farms Site Review</v>
      </c>
      <c r="B261" s="223" t="str">
        <f>IFERROR(__xludf.DUMMYFUNCTION("""COMPUTED_VALUE"""),"C360")</f>
        <v>C360</v>
      </c>
      <c r="C261" s="223" t="str">
        <f>IFERROR(__xludf.DUMMYFUNCTION("""COMPUTED_VALUE"""),"Grasshopper Farms Site Review")</f>
        <v>Grasshopper Farms Site Review</v>
      </c>
      <c r="D261" s="316">
        <f>IFERROR(__xludf.DUMMYFUNCTION("""COMPUTED_VALUE"""),44666.0)</f>
        <v>44666</v>
      </c>
      <c r="E261" s="298">
        <f>IFERROR(__xludf.DUMMYFUNCTION("""COMPUTED_VALUE"""),1527.875)</f>
        <v>1527.875</v>
      </c>
      <c r="F261" s="298">
        <f>IFERROR(__xludf.DUMMYFUNCTION("""COMPUTED_VALUE"""),0.0)</f>
        <v>0</v>
      </c>
      <c r="G261" s="298">
        <f>IFERROR(__xludf.DUMMYFUNCTION("""COMPUTED_VALUE"""),0.0)</f>
        <v>0</v>
      </c>
      <c r="H261" s="223">
        <f>IFERROR(__xludf.DUMMYFUNCTION("""COMPUTED_VALUE"""),1527.875)</f>
        <v>1527.875</v>
      </c>
      <c r="I261" s="298"/>
      <c r="J261" s="223" t="str">
        <f>IFERROR(__xludf.DUMMYFUNCTION("""COMPUTED_VALUE"""),"50% Deposit
50% Final Payment")</f>
        <v>50% Deposit
50% Final Payment</v>
      </c>
      <c r="K261" s="317">
        <f>IFERROR(__xludf.DUMMYFUNCTION("""COMPUTED_VALUE"""),2022.0)</f>
        <v>2022</v>
      </c>
      <c r="L261" s="298"/>
      <c r="M261" s="223"/>
      <c r="N261" s="223"/>
      <c r="O261" s="223"/>
      <c r="P261" s="223"/>
      <c r="Q261" s="223"/>
      <c r="R261" s="223"/>
      <c r="S261" s="223"/>
      <c r="T261" s="223"/>
      <c r="U261" s="223"/>
      <c r="V261" s="223"/>
      <c r="W261" s="223"/>
      <c r="X261" s="223"/>
      <c r="Y261" s="223"/>
      <c r="Z261" s="223"/>
    </row>
    <row r="262">
      <c r="A262" s="223" t="str">
        <f>IFERROR(__xludf.DUMMYFUNCTION("""COMPUTED_VALUE"""),"Howard Fine Jewellers : Howard SEO Review &amp; Recommendations")</f>
        <v>Howard Fine Jewellers : Howard SEO Review &amp; Recommendations</v>
      </c>
      <c r="B262" s="223" t="str">
        <f>IFERROR(__xludf.DUMMYFUNCTION("""COMPUTED_VALUE"""),"Howard Fine Jewellers")</f>
        <v>Howard Fine Jewellers</v>
      </c>
      <c r="C262" s="223" t="str">
        <f>IFERROR(__xludf.DUMMYFUNCTION("""COMPUTED_VALUE"""),"Howard SEO Review &amp; Recommendations")</f>
        <v>Howard SEO Review &amp; Recommendations</v>
      </c>
      <c r="D262" s="316">
        <f>IFERROR(__xludf.DUMMYFUNCTION("""COMPUTED_VALUE"""),44635.0)</f>
        <v>44635</v>
      </c>
      <c r="E262" s="298">
        <f>IFERROR(__xludf.DUMMYFUNCTION("""COMPUTED_VALUE"""),750.0)</f>
        <v>750</v>
      </c>
      <c r="F262" s="298">
        <f>IFERROR(__xludf.DUMMYFUNCTION("""COMPUTED_VALUE"""),25.11)</f>
        <v>25.11</v>
      </c>
      <c r="G262" s="298">
        <f>IFERROR(__xludf.DUMMYFUNCTION("""COMPUTED_VALUE"""),0.0)</f>
        <v>0</v>
      </c>
      <c r="H262" s="223">
        <f>IFERROR(__xludf.DUMMYFUNCTION("""COMPUTED_VALUE"""),724.89)</f>
        <v>724.89</v>
      </c>
      <c r="I262" s="298"/>
      <c r="J262" s="223" t="str">
        <f>IFERROR(__xludf.DUMMYFUNCTION("""COMPUTED_VALUE"""),"50% Deposit
50% Final Payment")</f>
        <v>50% Deposit
50% Final Payment</v>
      </c>
      <c r="K262" s="317">
        <f>IFERROR(__xludf.DUMMYFUNCTION("""COMPUTED_VALUE"""),2022.0)</f>
        <v>2022</v>
      </c>
      <c r="L262" s="298"/>
      <c r="M262" s="223"/>
      <c r="N262" s="223"/>
      <c r="O262" s="223"/>
      <c r="P262" s="223"/>
      <c r="Q262" s="223"/>
      <c r="R262" s="223"/>
      <c r="S262" s="223"/>
      <c r="T262" s="223"/>
      <c r="U262" s="223"/>
      <c r="V262" s="223"/>
      <c r="W262" s="223"/>
      <c r="X262" s="223"/>
      <c r="Y262" s="223"/>
      <c r="Z262" s="223"/>
    </row>
    <row r="263">
      <c r="A263" s="223" t="str">
        <f>IFERROR(__xludf.DUMMYFUNCTION("""COMPUTED_VALUE"""),"Howard Fine Jewellers : Howard SEO Review &amp; Recommendations")</f>
        <v>Howard Fine Jewellers : Howard SEO Review &amp; Recommendations</v>
      </c>
      <c r="B263" s="223" t="str">
        <f>IFERROR(__xludf.DUMMYFUNCTION("""COMPUTED_VALUE"""),"Howard Fine Jewellers")</f>
        <v>Howard Fine Jewellers</v>
      </c>
      <c r="C263" s="223" t="str">
        <f>IFERROR(__xludf.DUMMYFUNCTION("""COMPUTED_VALUE"""),"Howard SEO Review &amp; Recommendations")</f>
        <v>Howard SEO Review &amp; Recommendations</v>
      </c>
      <c r="D263" s="316">
        <f>IFERROR(__xludf.DUMMYFUNCTION("""COMPUTED_VALUE"""),44680.0)</f>
        <v>44680</v>
      </c>
      <c r="E263" s="298">
        <f>IFERROR(__xludf.DUMMYFUNCTION("""COMPUTED_VALUE"""),750.0)</f>
        <v>750</v>
      </c>
      <c r="F263" s="298">
        <f>IFERROR(__xludf.DUMMYFUNCTION("""COMPUTED_VALUE"""),25.11)</f>
        <v>25.11</v>
      </c>
      <c r="G263" s="298">
        <f>IFERROR(__xludf.DUMMYFUNCTION("""COMPUTED_VALUE"""),0.0)</f>
        <v>0</v>
      </c>
      <c r="H263" s="223">
        <f>IFERROR(__xludf.DUMMYFUNCTION("""COMPUTED_VALUE"""),724.89)</f>
        <v>724.89</v>
      </c>
      <c r="I263" s="298"/>
      <c r="J263" s="223" t="str">
        <f>IFERROR(__xludf.DUMMYFUNCTION("""COMPUTED_VALUE"""),"50% Deposit
50% Final Payment")</f>
        <v>50% Deposit
50% Final Payment</v>
      </c>
      <c r="K263" s="317">
        <f>IFERROR(__xludf.DUMMYFUNCTION("""COMPUTED_VALUE"""),2022.0)</f>
        <v>2022</v>
      </c>
      <c r="L263" s="298"/>
      <c r="M263" s="223"/>
      <c r="N263" s="223"/>
      <c r="O263" s="223"/>
      <c r="P263" s="223"/>
      <c r="Q263" s="223"/>
      <c r="R263" s="223"/>
      <c r="S263" s="223"/>
      <c r="T263" s="223"/>
      <c r="U263" s="223"/>
      <c r="V263" s="223"/>
      <c r="W263" s="223"/>
      <c r="X263" s="223"/>
      <c r="Y263" s="223"/>
      <c r="Z263" s="223"/>
    </row>
    <row r="264">
      <c r="A264" s="223" t="str">
        <f>IFERROR(__xludf.DUMMYFUNCTION("""COMPUTED_VALUE"""),"CAAT Canada : Website Rebuild")</f>
        <v>CAAT Canada : Website Rebuild</v>
      </c>
      <c r="B264" s="223" t="str">
        <f>IFERROR(__xludf.DUMMYFUNCTION("""COMPUTED_VALUE"""),"CAAT Canada")</f>
        <v>CAAT Canada</v>
      </c>
      <c r="C264" s="223" t="str">
        <f>IFERROR(__xludf.DUMMYFUNCTION("""COMPUTED_VALUE"""),"Website Rebuild")</f>
        <v>Website Rebuild</v>
      </c>
      <c r="D264" s="316">
        <f>IFERROR(__xludf.DUMMYFUNCTION("""COMPUTED_VALUE"""),44635.0)</f>
        <v>44635</v>
      </c>
      <c r="E264" s="298">
        <f>IFERROR(__xludf.DUMMYFUNCTION("""COMPUTED_VALUE"""),1200.0)</f>
        <v>1200</v>
      </c>
      <c r="F264" s="298">
        <f>IFERROR(__xludf.DUMMYFUNCTION("""COMPUTED_VALUE"""),37.33)</f>
        <v>37.33</v>
      </c>
      <c r="G264" s="298">
        <f>IFERROR(__xludf.DUMMYFUNCTION("""COMPUTED_VALUE"""),0.0)</f>
        <v>0</v>
      </c>
      <c r="H264" s="223">
        <f>IFERROR(__xludf.DUMMYFUNCTION("""COMPUTED_VALUE"""),1162.67)</f>
        <v>1162.67</v>
      </c>
      <c r="I264" s="298"/>
      <c r="J264" s="223" t="str">
        <f>IFERROR(__xludf.DUMMYFUNCTION("""COMPUTED_VALUE"""),"One-Time (Advance)")</f>
        <v>One-Time (Advance)</v>
      </c>
      <c r="K264" s="317">
        <f>IFERROR(__xludf.DUMMYFUNCTION("""COMPUTED_VALUE"""),2022.0)</f>
        <v>2022</v>
      </c>
      <c r="L264" s="298"/>
      <c r="M264" s="223"/>
      <c r="N264" s="223"/>
      <c r="O264" s="223"/>
      <c r="P264" s="223"/>
      <c r="Q264" s="223"/>
      <c r="R264" s="223"/>
      <c r="S264" s="223"/>
      <c r="T264" s="223"/>
      <c r="U264" s="223"/>
      <c r="V264" s="223"/>
      <c r="W264" s="223"/>
      <c r="X264" s="223"/>
      <c r="Y264" s="223"/>
      <c r="Z264" s="223"/>
    </row>
    <row r="265">
      <c r="A265" s="223" t="str">
        <f>IFERROR(__xludf.DUMMYFUNCTION("""COMPUTED_VALUE"""),"Sacred Deathcare : Ongoing SEO Projects")</f>
        <v>Sacred Deathcare : Ongoing SEO Projects</v>
      </c>
      <c r="B265" s="223" t="str">
        <f>IFERROR(__xludf.DUMMYFUNCTION("""COMPUTED_VALUE"""),"Sacred Deathcare")</f>
        <v>Sacred Deathcare</v>
      </c>
      <c r="C265" s="223" t="str">
        <f>IFERROR(__xludf.DUMMYFUNCTION("""COMPUTED_VALUE"""),"Ongoing SEO Projects")</f>
        <v>Ongoing SEO Projects</v>
      </c>
      <c r="D265" s="316">
        <f>IFERROR(__xludf.DUMMYFUNCTION("""COMPUTED_VALUE"""),44651.0)</f>
        <v>44651</v>
      </c>
      <c r="E265" s="298">
        <f>IFERROR(__xludf.DUMMYFUNCTION("""COMPUTED_VALUE"""),700.0)</f>
        <v>700</v>
      </c>
      <c r="F265" s="298">
        <f>IFERROR(__xludf.DUMMYFUNCTION("""COMPUTED_VALUE"""),21.78)</f>
        <v>21.78</v>
      </c>
      <c r="G265" s="298">
        <f>IFERROR(__xludf.DUMMYFUNCTION("""COMPUTED_VALUE"""),0.0)</f>
        <v>0</v>
      </c>
      <c r="H265" s="223">
        <f>IFERROR(__xludf.DUMMYFUNCTION("""COMPUTED_VALUE"""),678.22)</f>
        <v>678.22</v>
      </c>
      <c r="I265" s="298"/>
      <c r="J265" s="223" t="str">
        <f>IFERROR(__xludf.DUMMYFUNCTION("""COMPUTED_VALUE"""),"One-Time (Advance)")</f>
        <v>One-Time (Advance)</v>
      </c>
      <c r="K265" s="317">
        <f>IFERROR(__xludf.DUMMYFUNCTION("""COMPUTED_VALUE"""),2022.0)</f>
        <v>2022</v>
      </c>
      <c r="L265" s="298"/>
      <c r="M265" s="223"/>
      <c r="N265" s="223"/>
      <c r="O265" s="223"/>
      <c r="P265" s="223"/>
      <c r="Q265" s="223"/>
      <c r="R265" s="223"/>
      <c r="S265" s="223"/>
      <c r="T265" s="223"/>
      <c r="U265" s="223"/>
      <c r="V265" s="223"/>
      <c r="W265" s="223"/>
      <c r="X265" s="223"/>
      <c r="Y265" s="223"/>
      <c r="Z265" s="223"/>
    </row>
    <row r="266">
      <c r="A266" s="223" t="str">
        <f>IFERROR(__xludf.DUMMYFUNCTION("""COMPUTED_VALUE"""),"UnityWest Capital : Jericho Energy Ventures 6 month project")</f>
        <v>UnityWest Capital : Jericho Energy Ventures 6 month project</v>
      </c>
      <c r="B266" s="223" t="str">
        <f>IFERROR(__xludf.DUMMYFUNCTION("""COMPUTED_VALUE"""),"UnityWest Capital")</f>
        <v>UnityWest Capital</v>
      </c>
      <c r="C266" s="223" t="str">
        <f>IFERROR(__xludf.DUMMYFUNCTION("""COMPUTED_VALUE"""),"Jericho Energy Ventures 6 month project")</f>
        <v>Jericho Energy Ventures 6 month project</v>
      </c>
      <c r="D266" s="316">
        <f>IFERROR(__xludf.DUMMYFUNCTION("""COMPUTED_VALUE"""),44642.0)</f>
        <v>44642</v>
      </c>
      <c r="E266" s="298">
        <f>IFERROR(__xludf.DUMMYFUNCTION("""COMPUTED_VALUE"""),3000.0)</f>
        <v>3000</v>
      </c>
      <c r="F266" s="298">
        <f>IFERROR(__xludf.DUMMYFUNCTION("""COMPUTED_VALUE"""),0.0)</f>
        <v>0</v>
      </c>
      <c r="G266" s="298">
        <f>IFERROR(__xludf.DUMMYFUNCTION("""COMPUTED_VALUE"""),0.0)</f>
        <v>0</v>
      </c>
      <c r="H266" s="223">
        <f>IFERROR(__xludf.DUMMYFUNCTION("""COMPUTED_VALUE"""),3000.0)</f>
        <v>3000</v>
      </c>
      <c r="I266" s="298"/>
      <c r="J266" s="223" t="str">
        <f>IFERROR(__xludf.DUMMYFUNCTION("""COMPUTED_VALUE"""),"Monthly (Advance)")</f>
        <v>Monthly (Advance)</v>
      </c>
      <c r="K266" s="317">
        <f>IFERROR(__xludf.DUMMYFUNCTION("""COMPUTED_VALUE"""),2022.0)</f>
        <v>2022</v>
      </c>
      <c r="L266" s="298"/>
      <c r="M266" s="223"/>
      <c r="N266" s="223"/>
      <c r="O266" s="223"/>
      <c r="P266" s="223"/>
      <c r="Q266" s="223"/>
      <c r="R266" s="223"/>
      <c r="S266" s="223"/>
      <c r="T266" s="223"/>
      <c r="U266" s="223"/>
      <c r="V266" s="223"/>
      <c r="W266" s="223"/>
      <c r="X266" s="223"/>
      <c r="Y266" s="223"/>
      <c r="Z266" s="223"/>
    </row>
    <row r="267">
      <c r="A267" s="223" t="str">
        <f>IFERROR(__xludf.DUMMYFUNCTION("""COMPUTED_VALUE"""),"Crisp Media : Genus Capital Managment Support")</f>
        <v>Crisp Media : Genus Capital Managment Support</v>
      </c>
      <c r="B267" s="223" t="str">
        <f>IFERROR(__xludf.DUMMYFUNCTION("""COMPUTED_VALUE"""),"Crisp Media")</f>
        <v>Crisp Media</v>
      </c>
      <c r="C267" s="223" t="str">
        <f>IFERROR(__xludf.DUMMYFUNCTION("""COMPUTED_VALUE"""),"Genus Capital Managment Support")</f>
        <v>Genus Capital Managment Support</v>
      </c>
      <c r="D267" s="316">
        <f>IFERROR(__xludf.DUMMYFUNCTION("""COMPUTED_VALUE"""),44642.0)</f>
        <v>44642</v>
      </c>
      <c r="E267" s="298">
        <f>IFERROR(__xludf.DUMMYFUNCTION("""COMPUTED_VALUE"""),300.0)</f>
        <v>300</v>
      </c>
      <c r="F267" s="298">
        <f>IFERROR(__xludf.DUMMYFUNCTION("""COMPUTED_VALUE"""),9.33)</f>
        <v>9.33</v>
      </c>
      <c r="G267" s="298">
        <f>IFERROR(__xludf.DUMMYFUNCTION("""COMPUTED_VALUE"""),0.0)</f>
        <v>0</v>
      </c>
      <c r="H267" s="223">
        <f>IFERROR(__xludf.DUMMYFUNCTION("""COMPUTED_VALUE"""),290.67)</f>
        <v>290.67</v>
      </c>
      <c r="I267" s="298"/>
      <c r="J267" s="223" t="str">
        <f>IFERROR(__xludf.DUMMYFUNCTION("""COMPUTED_VALUE"""),"One-Time (Advance)")</f>
        <v>One-Time (Advance)</v>
      </c>
      <c r="K267" s="317">
        <f>IFERROR(__xludf.DUMMYFUNCTION("""COMPUTED_VALUE"""),2022.0)</f>
        <v>2022</v>
      </c>
      <c r="L267" s="298"/>
      <c r="M267" s="223"/>
      <c r="N267" s="223"/>
      <c r="O267" s="223"/>
      <c r="P267" s="223"/>
      <c r="Q267" s="223"/>
      <c r="R267" s="223"/>
      <c r="S267" s="223"/>
      <c r="T267" s="223"/>
      <c r="U267" s="223"/>
      <c r="V267" s="223"/>
      <c r="W267" s="223"/>
      <c r="X267" s="223"/>
      <c r="Y267" s="223"/>
      <c r="Z267" s="223"/>
    </row>
    <row r="268">
      <c r="A268" s="223" t="str">
        <f>IFERROR(__xludf.DUMMYFUNCTION("""COMPUTED_VALUE"""),"UnityWest Capital : Jericho Energy Ventures 6 month project")</f>
        <v>UnityWest Capital : Jericho Energy Ventures 6 month project</v>
      </c>
      <c r="B268" s="223" t="str">
        <f>IFERROR(__xludf.DUMMYFUNCTION("""COMPUTED_VALUE"""),"UnityWest Capital")</f>
        <v>UnityWest Capital</v>
      </c>
      <c r="C268" s="223" t="str">
        <f>IFERROR(__xludf.DUMMYFUNCTION("""COMPUTED_VALUE"""),"Jericho Energy Ventures 6 month project")</f>
        <v>Jericho Energy Ventures 6 month project</v>
      </c>
      <c r="D268" s="316">
        <f>IFERROR(__xludf.DUMMYFUNCTION("""COMPUTED_VALUE"""),44742.0)</f>
        <v>44742</v>
      </c>
      <c r="E268" s="298">
        <f>IFERROR(__xludf.DUMMYFUNCTION("""COMPUTED_VALUE"""),2000.0)</f>
        <v>2000</v>
      </c>
      <c r="F268" s="298">
        <f>IFERROR(__xludf.DUMMYFUNCTION("""COMPUTED_VALUE"""),0.0)</f>
        <v>0</v>
      </c>
      <c r="G268" s="298">
        <f>IFERROR(__xludf.DUMMYFUNCTION("""COMPUTED_VALUE"""),0.0)</f>
        <v>0</v>
      </c>
      <c r="H268" s="223">
        <f>IFERROR(__xludf.DUMMYFUNCTION("""COMPUTED_VALUE"""),2000.0)</f>
        <v>2000</v>
      </c>
      <c r="I268" s="298"/>
      <c r="J268" s="223" t="str">
        <f>IFERROR(__xludf.DUMMYFUNCTION("""COMPUTED_VALUE"""),"Monthly")</f>
        <v>Monthly</v>
      </c>
      <c r="K268" s="317">
        <f>IFERROR(__xludf.DUMMYFUNCTION("""COMPUTED_VALUE"""),2022.06)</f>
        <v>2022.06</v>
      </c>
      <c r="L268" s="298"/>
      <c r="M268" s="223"/>
      <c r="N268" s="223"/>
      <c r="O268" s="223"/>
      <c r="P268" s="223"/>
      <c r="Q268" s="223"/>
      <c r="R268" s="223"/>
      <c r="S268" s="223"/>
      <c r="T268" s="223"/>
      <c r="U268" s="223"/>
      <c r="V268" s="223"/>
      <c r="W268" s="223"/>
      <c r="X268" s="223"/>
      <c r="Y268" s="223"/>
      <c r="Z268" s="223"/>
    </row>
    <row r="269">
      <c r="A269" s="223" t="str">
        <f>IFERROR(__xludf.DUMMYFUNCTION("""COMPUTED_VALUE"""),"UnityWest Capital : Jericho Energy Ventures 6 month project")</f>
        <v>UnityWest Capital : Jericho Energy Ventures 6 month project</v>
      </c>
      <c r="B269" s="223" t="str">
        <f>IFERROR(__xludf.DUMMYFUNCTION("""COMPUTED_VALUE"""),"UnityWest Capital")</f>
        <v>UnityWest Capital</v>
      </c>
      <c r="C269" s="223" t="str">
        <f>IFERROR(__xludf.DUMMYFUNCTION("""COMPUTED_VALUE"""),"Jericho Energy Ventures 6 month project")</f>
        <v>Jericho Energy Ventures 6 month project</v>
      </c>
      <c r="D269" s="316">
        <f>IFERROR(__xludf.DUMMYFUNCTION("""COMPUTED_VALUE"""),44771.0)</f>
        <v>44771</v>
      </c>
      <c r="E269" s="298">
        <f>IFERROR(__xludf.DUMMYFUNCTION("""COMPUTED_VALUE"""),2000.0)</f>
        <v>2000</v>
      </c>
      <c r="F269" s="298">
        <f>IFERROR(__xludf.DUMMYFUNCTION("""COMPUTED_VALUE"""),0.0)</f>
        <v>0</v>
      </c>
      <c r="G269" s="298">
        <f>IFERROR(__xludf.DUMMYFUNCTION("""COMPUTED_VALUE"""),0.0)</f>
        <v>0</v>
      </c>
      <c r="H269" s="223">
        <f>IFERROR(__xludf.DUMMYFUNCTION("""COMPUTED_VALUE"""),2000.0)</f>
        <v>2000</v>
      </c>
      <c r="I269" s="298"/>
      <c r="J269" s="223" t="str">
        <f>IFERROR(__xludf.DUMMYFUNCTION("""COMPUTED_VALUE"""),"Monthly")</f>
        <v>Monthly</v>
      </c>
      <c r="K269" s="317">
        <f>IFERROR(__xludf.DUMMYFUNCTION("""COMPUTED_VALUE"""),2022.07)</f>
        <v>2022.07</v>
      </c>
      <c r="L269" s="298"/>
      <c r="M269" s="223"/>
      <c r="N269" s="223"/>
      <c r="O269" s="223"/>
      <c r="P269" s="223"/>
      <c r="Q269" s="223"/>
      <c r="R269" s="223"/>
      <c r="S269" s="223"/>
      <c r="T269" s="223"/>
      <c r="U269" s="223"/>
      <c r="V269" s="223"/>
      <c r="W269" s="223"/>
      <c r="X269" s="223"/>
      <c r="Y269" s="223"/>
      <c r="Z269" s="223"/>
    </row>
    <row r="270">
      <c r="A270" s="223" t="str">
        <f>IFERROR(__xludf.DUMMYFUNCTION("""COMPUTED_VALUE"""),"UnityWest Capital : Jericho Energy Ventures 6 month project")</f>
        <v>UnityWest Capital : Jericho Energy Ventures 6 month project</v>
      </c>
      <c r="B270" s="223" t="str">
        <f>IFERROR(__xludf.DUMMYFUNCTION("""COMPUTED_VALUE"""),"UnityWest Capital")</f>
        <v>UnityWest Capital</v>
      </c>
      <c r="C270" s="223" t="str">
        <f>IFERROR(__xludf.DUMMYFUNCTION("""COMPUTED_VALUE"""),"Jericho Energy Ventures 6 month project")</f>
        <v>Jericho Energy Ventures 6 month project</v>
      </c>
      <c r="D270" s="316">
        <f>IFERROR(__xludf.DUMMYFUNCTION("""COMPUTED_VALUE"""),44796.0)</f>
        <v>44796</v>
      </c>
      <c r="E270" s="298">
        <f>IFERROR(__xludf.DUMMYFUNCTION("""COMPUTED_VALUE"""),2000.0)</f>
        <v>2000</v>
      </c>
      <c r="F270" s="298">
        <f>IFERROR(__xludf.DUMMYFUNCTION("""COMPUTED_VALUE"""),0.0)</f>
        <v>0</v>
      </c>
      <c r="G270" s="298">
        <f>IFERROR(__xludf.DUMMYFUNCTION("""COMPUTED_VALUE"""),0.0)</f>
        <v>0</v>
      </c>
      <c r="H270" s="223">
        <f>IFERROR(__xludf.DUMMYFUNCTION("""COMPUTED_VALUE"""),2000.0)</f>
        <v>2000</v>
      </c>
      <c r="I270" s="298"/>
      <c r="J270" s="223" t="str">
        <f>IFERROR(__xludf.DUMMYFUNCTION("""COMPUTED_VALUE"""),"Monthly")</f>
        <v>Monthly</v>
      </c>
      <c r="K270" s="317">
        <f>IFERROR(__xludf.DUMMYFUNCTION("""COMPUTED_VALUE"""),2022.08)</f>
        <v>2022.08</v>
      </c>
      <c r="L270" s="298"/>
      <c r="M270" s="223"/>
      <c r="N270" s="223"/>
      <c r="O270" s="223"/>
      <c r="P270" s="223"/>
      <c r="Q270" s="223"/>
      <c r="R270" s="223"/>
      <c r="S270" s="223"/>
      <c r="T270" s="223"/>
      <c r="U270" s="223"/>
      <c r="V270" s="223"/>
      <c r="W270" s="223"/>
      <c r="X270" s="223"/>
      <c r="Y270" s="223"/>
      <c r="Z270" s="223"/>
    </row>
    <row r="271">
      <c r="A271" s="223" t="str">
        <f>IFERROR(__xludf.DUMMYFUNCTION("""COMPUTED_VALUE"""),"UnityWest Capital : Jericho Energy Ventures 6 month project")</f>
        <v>UnityWest Capital : Jericho Energy Ventures 6 month project</v>
      </c>
      <c r="B271" s="223" t="str">
        <f>IFERROR(__xludf.DUMMYFUNCTION("""COMPUTED_VALUE"""),"UnityWest Capital")</f>
        <v>UnityWest Capital</v>
      </c>
      <c r="C271" s="223" t="str">
        <f>IFERROR(__xludf.DUMMYFUNCTION("""COMPUTED_VALUE"""),"Jericho Energy Ventures 6 month project")</f>
        <v>Jericho Energy Ventures 6 month project</v>
      </c>
      <c r="D271" s="316">
        <f>IFERROR(__xludf.DUMMYFUNCTION("""COMPUTED_VALUE"""),44819.0)</f>
        <v>44819</v>
      </c>
      <c r="E271" s="298">
        <f>IFERROR(__xludf.DUMMYFUNCTION("""COMPUTED_VALUE"""),2000.0)</f>
        <v>2000</v>
      </c>
      <c r="F271" s="298"/>
      <c r="G271" s="298">
        <f>IFERROR(__xludf.DUMMYFUNCTION("""COMPUTED_VALUE"""),0.0)</f>
        <v>0</v>
      </c>
      <c r="H271" s="223">
        <f>IFERROR(__xludf.DUMMYFUNCTION("""COMPUTED_VALUE"""),2000.0)</f>
        <v>2000</v>
      </c>
      <c r="I271" s="298"/>
      <c r="J271" s="223" t="str">
        <f>IFERROR(__xludf.DUMMYFUNCTION("""COMPUTED_VALUE"""),"Monthly")</f>
        <v>Monthly</v>
      </c>
      <c r="K271" s="317">
        <f>IFERROR(__xludf.DUMMYFUNCTION("""COMPUTED_VALUE"""),2022.09)</f>
        <v>2022.09</v>
      </c>
      <c r="L271" s="298"/>
      <c r="M271" s="223"/>
      <c r="N271" s="223"/>
      <c r="O271" s="223"/>
      <c r="P271" s="223"/>
      <c r="Q271" s="223"/>
      <c r="R271" s="223"/>
      <c r="S271" s="223"/>
      <c r="T271" s="223"/>
      <c r="U271" s="223"/>
      <c r="V271" s="223"/>
      <c r="W271" s="223"/>
      <c r="X271" s="223"/>
      <c r="Y271" s="223"/>
      <c r="Z271" s="223"/>
    </row>
    <row r="272">
      <c r="A272" s="223" t="str">
        <f>IFERROR(__xludf.DUMMYFUNCTION("""COMPUTED_VALUE"""),"Anook Athletics : Website Updates")</f>
        <v>Anook Athletics : Website Updates</v>
      </c>
      <c r="B272" s="223" t="str">
        <f>IFERROR(__xludf.DUMMYFUNCTION("""COMPUTED_VALUE"""),"Anook Athletics")</f>
        <v>Anook Athletics</v>
      </c>
      <c r="C272" s="223" t="str">
        <f>IFERROR(__xludf.DUMMYFUNCTION("""COMPUTED_VALUE"""),"Website Updates")</f>
        <v>Website Updates</v>
      </c>
      <c r="D272" s="316"/>
      <c r="E272" s="298">
        <f>IFERROR(__xludf.DUMMYFUNCTION("""COMPUTED_VALUE"""),1300.0)</f>
        <v>1300</v>
      </c>
      <c r="F272" s="298"/>
      <c r="G272" s="298">
        <f>IFERROR(__xludf.DUMMYFUNCTION("""COMPUTED_VALUE"""),0.0)</f>
        <v>0</v>
      </c>
      <c r="H272" s="223">
        <f>IFERROR(__xludf.DUMMYFUNCTION("""COMPUTED_VALUE"""),1300.0)</f>
        <v>1300</v>
      </c>
      <c r="I272" s="298"/>
      <c r="J272" s="223" t="str">
        <f>IFERROR(__xludf.DUMMYFUNCTION("""COMPUTED_VALUE"""),"One-Time (Advance)")</f>
        <v>One-Time (Advance)</v>
      </c>
      <c r="K272" s="317"/>
      <c r="L272" s="298"/>
      <c r="M272" s="223"/>
      <c r="N272" s="223"/>
      <c r="O272" s="223"/>
      <c r="P272" s="223"/>
      <c r="Q272" s="223"/>
      <c r="R272" s="223"/>
      <c r="S272" s="223"/>
      <c r="T272" s="223"/>
      <c r="U272" s="223"/>
      <c r="V272" s="223"/>
      <c r="W272" s="223"/>
      <c r="X272" s="223"/>
      <c r="Y272" s="223"/>
      <c r="Z272" s="223"/>
    </row>
    <row r="273">
      <c r="A273" s="223" t="str">
        <f>IFERROR(__xludf.DUMMYFUNCTION("""COMPUTED_VALUE"""),"VADARTS : Website")</f>
        <v>VADARTS : Website</v>
      </c>
      <c r="B273" s="223" t="str">
        <f>IFERROR(__xludf.DUMMYFUNCTION("""COMPUTED_VALUE"""),"VADARTS")</f>
        <v>VADARTS</v>
      </c>
      <c r="C273" s="223" t="str">
        <f>IFERROR(__xludf.DUMMYFUNCTION("""COMPUTED_VALUE"""),"Website")</f>
        <v>Website</v>
      </c>
      <c r="D273" s="316">
        <f>IFERROR(__xludf.DUMMYFUNCTION("""COMPUTED_VALUE"""),44642.0)</f>
        <v>44642</v>
      </c>
      <c r="E273" s="298">
        <f>IFERROR(__xludf.DUMMYFUNCTION("""COMPUTED_VALUE"""),350.0)</f>
        <v>350</v>
      </c>
      <c r="F273" s="298">
        <f>IFERROR(__xludf.DUMMYFUNCTION("""COMPUTED_VALUE"""),0.0)</f>
        <v>0</v>
      </c>
      <c r="G273" s="298">
        <f>IFERROR(__xludf.DUMMYFUNCTION("""COMPUTED_VALUE"""),0.0)</f>
        <v>0</v>
      </c>
      <c r="H273" s="223">
        <f>IFERROR(__xludf.DUMMYFUNCTION("""COMPUTED_VALUE"""),350.0)</f>
        <v>350</v>
      </c>
      <c r="I273" s="298"/>
      <c r="J273" s="223" t="str">
        <f>IFERROR(__xludf.DUMMYFUNCTION("""COMPUTED_VALUE"""),"One-Time (Advance)")</f>
        <v>One-Time (Advance)</v>
      </c>
      <c r="K273" s="317">
        <f>IFERROR(__xludf.DUMMYFUNCTION("""COMPUTED_VALUE"""),2022.0)</f>
        <v>2022</v>
      </c>
      <c r="L273" s="298"/>
      <c r="M273" s="223"/>
      <c r="N273" s="223"/>
      <c r="O273" s="223"/>
      <c r="P273" s="223"/>
      <c r="Q273" s="223"/>
      <c r="R273" s="223"/>
      <c r="S273" s="223"/>
      <c r="T273" s="223"/>
      <c r="U273" s="223"/>
      <c r="V273" s="223"/>
      <c r="W273" s="223"/>
      <c r="X273" s="223"/>
      <c r="Y273" s="223"/>
      <c r="Z273" s="223"/>
    </row>
    <row r="274">
      <c r="A274" s="223" t="str">
        <f>IFERROR(__xludf.DUMMYFUNCTION("""COMPUTED_VALUE"""),"Availed Technologies : Monthly Services")</f>
        <v>Availed Technologies : Monthly Services</v>
      </c>
      <c r="B274" s="223" t="str">
        <f>IFERROR(__xludf.DUMMYFUNCTION("""COMPUTED_VALUE"""),"Availed Technologies")</f>
        <v>Availed Technologies</v>
      </c>
      <c r="C274" s="223" t="str">
        <f>IFERROR(__xludf.DUMMYFUNCTION("""COMPUTED_VALUE"""),"Monthly Services")</f>
        <v>Monthly Services</v>
      </c>
      <c r="D274" s="316">
        <f>IFERROR(__xludf.DUMMYFUNCTION("""COMPUTED_VALUE"""),44651.0)</f>
        <v>44651</v>
      </c>
      <c r="E274" s="298">
        <f>IFERROR(__xludf.DUMMYFUNCTION("""COMPUTED_VALUE"""),750.0)</f>
        <v>750</v>
      </c>
      <c r="F274" s="298">
        <f>IFERROR(__xludf.DUMMYFUNCTION("""COMPUTED_VALUE"""),23.33)</f>
        <v>23.33</v>
      </c>
      <c r="G274" s="298">
        <f>IFERROR(__xludf.DUMMYFUNCTION("""COMPUTED_VALUE"""),0.0)</f>
        <v>0</v>
      </c>
      <c r="H274" s="223">
        <f>IFERROR(__xludf.DUMMYFUNCTION("""COMPUTED_VALUE"""),726.67)</f>
        <v>726.67</v>
      </c>
      <c r="I274" s="298"/>
      <c r="J274" s="223" t="str">
        <f>IFERROR(__xludf.DUMMYFUNCTION("""COMPUTED_VALUE"""),"Monthly")</f>
        <v>Monthly</v>
      </c>
      <c r="K274" s="317">
        <f>IFERROR(__xludf.DUMMYFUNCTION("""COMPUTED_VALUE"""),2022.03)</f>
        <v>2022.03</v>
      </c>
      <c r="L274" s="298"/>
      <c r="M274" s="223"/>
      <c r="N274" s="223"/>
      <c r="O274" s="223"/>
      <c r="P274" s="223"/>
      <c r="Q274" s="223"/>
      <c r="R274" s="223"/>
      <c r="S274" s="223"/>
      <c r="T274" s="223"/>
      <c r="U274" s="223"/>
      <c r="V274" s="223"/>
      <c r="W274" s="223"/>
      <c r="X274" s="223"/>
      <c r="Y274" s="223"/>
      <c r="Z274" s="223"/>
    </row>
    <row r="275">
      <c r="A275" s="223" t="str">
        <f>IFERROR(__xludf.DUMMYFUNCTION("""COMPUTED_VALUE"""),"BookKing (Pacific Tier) : Monthly Services")</f>
        <v>BookKing (Pacific Tier) : Monthly Services</v>
      </c>
      <c r="B275" s="223" t="str">
        <f>IFERROR(__xludf.DUMMYFUNCTION("""COMPUTED_VALUE"""),"BookKing (Pacific Tier)")</f>
        <v>BookKing (Pacific Tier)</v>
      </c>
      <c r="C275" s="223" t="str">
        <f>IFERROR(__xludf.DUMMYFUNCTION("""COMPUTED_VALUE"""),"Monthly Services")</f>
        <v>Monthly Services</v>
      </c>
      <c r="D275" s="316">
        <f>IFERROR(__xludf.DUMMYFUNCTION("""COMPUTED_VALUE"""),44651.0)</f>
        <v>44651</v>
      </c>
      <c r="E275" s="298">
        <f>IFERROR(__xludf.DUMMYFUNCTION("""COMPUTED_VALUE"""),900.0)</f>
        <v>900</v>
      </c>
      <c r="F275" s="298">
        <f>IFERROR(__xludf.DUMMYFUNCTION("""COMPUTED_VALUE"""),28.0)</f>
        <v>28</v>
      </c>
      <c r="G275" s="298">
        <f>IFERROR(__xludf.DUMMYFUNCTION("""COMPUTED_VALUE"""),0.0)</f>
        <v>0</v>
      </c>
      <c r="H275" s="223">
        <f>IFERROR(__xludf.DUMMYFUNCTION("""COMPUTED_VALUE"""),872.0)</f>
        <v>872</v>
      </c>
      <c r="I275" s="298"/>
      <c r="J275" s="223" t="str">
        <f>IFERROR(__xludf.DUMMYFUNCTION("""COMPUTED_VALUE"""),"Monthly")</f>
        <v>Monthly</v>
      </c>
      <c r="K275" s="317">
        <f>IFERROR(__xludf.DUMMYFUNCTION("""COMPUTED_VALUE"""),2022.03)</f>
        <v>2022.03</v>
      </c>
      <c r="L275" s="298"/>
      <c r="M275" s="223"/>
      <c r="N275" s="223"/>
      <c r="O275" s="223"/>
      <c r="P275" s="223"/>
      <c r="Q275" s="223"/>
      <c r="R275" s="223"/>
      <c r="S275" s="223"/>
      <c r="T275" s="223"/>
      <c r="U275" s="223"/>
      <c r="V275" s="223"/>
      <c r="W275" s="223"/>
      <c r="X275" s="223"/>
      <c r="Y275" s="223"/>
      <c r="Z275" s="223"/>
    </row>
    <row r="276">
      <c r="A276" s="223" t="str">
        <f>IFERROR(__xludf.DUMMYFUNCTION("""COMPUTED_VALUE"""),"Bratopia : Monthly Services")</f>
        <v>Bratopia : Monthly Services</v>
      </c>
      <c r="B276" s="223" t="str">
        <f>IFERROR(__xludf.DUMMYFUNCTION("""COMPUTED_VALUE"""),"Bratopia")</f>
        <v>Bratopia</v>
      </c>
      <c r="C276" s="223" t="str">
        <f>IFERROR(__xludf.DUMMYFUNCTION("""COMPUTED_VALUE"""),"Monthly Services")</f>
        <v>Monthly Services</v>
      </c>
      <c r="D276" s="316">
        <f>IFERROR(__xludf.DUMMYFUNCTION("""COMPUTED_VALUE"""),44651.0)</f>
        <v>44651</v>
      </c>
      <c r="E276" s="298">
        <f>IFERROR(__xludf.DUMMYFUNCTION("""COMPUTED_VALUE"""),1550.0)</f>
        <v>1550</v>
      </c>
      <c r="F276" s="298">
        <f>IFERROR(__xludf.DUMMYFUNCTION("""COMPUTED_VALUE"""),48.22)</f>
        <v>48.22</v>
      </c>
      <c r="G276" s="298">
        <f>IFERROR(__xludf.DUMMYFUNCTION("""COMPUTED_VALUE"""),0.0)</f>
        <v>0</v>
      </c>
      <c r="H276" s="223">
        <f>IFERROR(__xludf.DUMMYFUNCTION("""COMPUTED_VALUE"""),1501.78)</f>
        <v>1501.78</v>
      </c>
      <c r="I276" s="298"/>
      <c r="J276" s="223" t="str">
        <f>IFERROR(__xludf.DUMMYFUNCTION("""COMPUTED_VALUE"""),"Monthly")</f>
        <v>Monthly</v>
      </c>
      <c r="K276" s="317">
        <f>IFERROR(__xludf.DUMMYFUNCTION("""COMPUTED_VALUE"""),2022.03)</f>
        <v>2022.03</v>
      </c>
      <c r="L276" s="298"/>
      <c r="M276" s="223"/>
      <c r="N276" s="223"/>
      <c r="O276" s="223"/>
      <c r="P276" s="223"/>
      <c r="Q276" s="223"/>
      <c r="R276" s="223"/>
      <c r="S276" s="223"/>
      <c r="T276" s="223"/>
      <c r="U276" s="223"/>
      <c r="V276" s="223"/>
      <c r="W276" s="223"/>
      <c r="X276" s="223"/>
      <c r="Y276" s="223"/>
      <c r="Z276" s="223"/>
    </row>
    <row r="277">
      <c r="A277" s="223" t="str">
        <f>IFERROR(__xludf.DUMMYFUNCTION("""COMPUTED_VALUE"""),"Community Financials : Monthly Services")</f>
        <v>Community Financials : Monthly Services</v>
      </c>
      <c r="B277" s="223" t="str">
        <f>IFERROR(__xludf.DUMMYFUNCTION("""COMPUTED_VALUE"""),"Community Financials")</f>
        <v>Community Financials</v>
      </c>
      <c r="C277" s="223" t="str">
        <f>IFERROR(__xludf.DUMMYFUNCTION("""COMPUTED_VALUE"""),"Monthly Services")</f>
        <v>Monthly Services</v>
      </c>
      <c r="D277" s="316">
        <f>IFERROR(__xludf.DUMMYFUNCTION("""COMPUTED_VALUE"""),44651.0)</f>
        <v>44651</v>
      </c>
      <c r="E277" s="298">
        <f>IFERROR(__xludf.DUMMYFUNCTION("""COMPUTED_VALUE"""),1814.385)</f>
        <v>1814.385</v>
      </c>
      <c r="F277" s="298">
        <f>IFERROR(__xludf.DUMMYFUNCTION("""COMPUTED_VALUE"""),67.495122)</f>
        <v>67.495122</v>
      </c>
      <c r="G277" s="298">
        <f>IFERROR(__xludf.DUMMYFUNCTION("""COMPUTED_VALUE"""),349.3779756)</f>
        <v>349.3779756</v>
      </c>
      <c r="H277" s="223">
        <f>IFERROR(__xludf.DUMMYFUNCTION("""COMPUTED_VALUE"""),1397.5119024)</f>
        <v>1397.511902</v>
      </c>
      <c r="I277" s="298"/>
      <c r="J277" s="223" t="str">
        <f>IFERROR(__xludf.DUMMYFUNCTION("""COMPUTED_VALUE"""),"Monthly")</f>
        <v>Monthly</v>
      </c>
      <c r="K277" s="317">
        <f>IFERROR(__xludf.DUMMYFUNCTION("""COMPUTED_VALUE"""),2022.03)</f>
        <v>2022.03</v>
      </c>
      <c r="L277" s="298"/>
      <c r="M277" s="223"/>
      <c r="N277" s="223"/>
      <c r="O277" s="223"/>
      <c r="P277" s="223"/>
      <c r="Q277" s="223"/>
      <c r="R277" s="223"/>
      <c r="S277" s="223"/>
      <c r="T277" s="223"/>
      <c r="U277" s="223"/>
      <c r="V277" s="223"/>
      <c r="W277" s="223"/>
      <c r="X277" s="223"/>
      <c r="Y277" s="223"/>
      <c r="Z277" s="223"/>
    </row>
    <row r="278">
      <c r="A278" s="223" t="str">
        <f>IFERROR(__xludf.DUMMYFUNCTION("""COMPUTED_VALUE"""),"Diversified Health : Monthly Services")</f>
        <v>Diversified Health : Monthly Services</v>
      </c>
      <c r="B278" s="223" t="str">
        <f>IFERROR(__xludf.DUMMYFUNCTION("""COMPUTED_VALUE"""),"Diversified Health")</f>
        <v>Diversified Health</v>
      </c>
      <c r="C278" s="223" t="str">
        <f>IFERROR(__xludf.DUMMYFUNCTION("""COMPUTED_VALUE"""),"Monthly Services")</f>
        <v>Monthly Services</v>
      </c>
      <c r="D278" s="316">
        <f>IFERROR(__xludf.DUMMYFUNCTION("""COMPUTED_VALUE"""),44651.0)</f>
        <v>44651</v>
      </c>
      <c r="E278" s="298">
        <f>IFERROR(__xludf.DUMMYFUNCTION("""COMPUTED_VALUE"""),1000.0)</f>
        <v>1000</v>
      </c>
      <c r="F278" s="298">
        <f>IFERROR(__xludf.DUMMYFUNCTION("""COMPUTED_VALUE"""),0.0)</f>
        <v>0</v>
      </c>
      <c r="G278" s="298">
        <f>IFERROR(__xludf.DUMMYFUNCTION("""COMPUTED_VALUE"""),0.0)</f>
        <v>0</v>
      </c>
      <c r="H278" s="223">
        <f>IFERROR(__xludf.DUMMYFUNCTION("""COMPUTED_VALUE"""),1000.0)</f>
        <v>1000</v>
      </c>
      <c r="I278" s="298"/>
      <c r="J278" s="223" t="str">
        <f>IFERROR(__xludf.DUMMYFUNCTION("""COMPUTED_VALUE"""),"Monthly")</f>
        <v>Monthly</v>
      </c>
      <c r="K278" s="317">
        <f>IFERROR(__xludf.DUMMYFUNCTION("""COMPUTED_VALUE"""),2022.03)</f>
        <v>2022.03</v>
      </c>
      <c r="L278" s="298"/>
      <c r="M278" s="223"/>
      <c r="N278" s="223"/>
      <c r="O278" s="223"/>
      <c r="P278" s="223"/>
      <c r="Q278" s="223"/>
      <c r="R278" s="223"/>
      <c r="S278" s="223"/>
      <c r="T278" s="223"/>
      <c r="U278" s="223"/>
      <c r="V278" s="223"/>
      <c r="W278" s="223"/>
      <c r="X278" s="223"/>
      <c r="Y278" s="223"/>
      <c r="Z278" s="223"/>
    </row>
    <row r="279">
      <c r="A279" s="223" t="str">
        <f>IFERROR(__xludf.DUMMYFUNCTION("""COMPUTED_VALUE"""),"Giga Tires : Monthly Services")</f>
        <v>Giga Tires : Monthly Services</v>
      </c>
      <c r="B279" s="223" t="str">
        <f>IFERROR(__xludf.DUMMYFUNCTION("""COMPUTED_VALUE"""),"Giga Tires")</f>
        <v>Giga Tires</v>
      </c>
      <c r="C279" s="223" t="str">
        <f>IFERROR(__xludf.DUMMYFUNCTION("""COMPUTED_VALUE"""),"Monthly Services")</f>
        <v>Monthly Services</v>
      </c>
      <c r="D279" s="316">
        <f>IFERROR(__xludf.DUMMYFUNCTION("""COMPUTED_VALUE"""),44651.0)</f>
        <v>44651</v>
      </c>
      <c r="E279" s="298">
        <f>IFERROR(__xludf.DUMMYFUNCTION("""COMPUTED_VALUE"""),550.0)</f>
        <v>550</v>
      </c>
      <c r="F279" s="298">
        <f>IFERROR(__xludf.DUMMYFUNCTION("""COMPUTED_VALUE"""),21.67)</f>
        <v>21.67</v>
      </c>
      <c r="G279" s="298">
        <f>IFERROR(__xludf.DUMMYFUNCTION("""COMPUTED_VALUE"""),0.0)</f>
        <v>0</v>
      </c>
      <c r="H279" s="223">
        <f>IFERROR(__xludf.DUMMYFUNCTION("""COMPUTED_VALUE"""),528.33)</f>
        <v>528.33</v>
      </c>
      <c r="I279" s="298"/>
      <c r="J279" s="223" t="str">
        <f>IFERROR(__xludf.DUMMYFUNCTION("""COMPUTED_VALUE"""),"Monthly")</f>
        <v>Monthly</v>
      </c>
      <c r="K279" s="317">
        <f>IFERROR(__xludf.DUMMYFUNCTION("""COMPUTED_VALUE"""),2022.03)</f>
        <v>2022.03</v>
      </c>
      <c r="L279" s="298"/>
      <c r="M279" s="223"/>
      <c r="N279" s="223"/>
      <c r="O279" s="223"/>
      <c r="P279" s="223"/>
      <c r="Q279" s="223"/>
      <c r="R279" s="223"/>
      <c r="S279" s="223"/>
      <c r="T279" s="223"/>
      <c r="U279" s="223"/>
      <c r="V279" s="223"/>
      <c r="W279" s="223"/>
      <c r="X279" s="223"/>
      <c r="Y279" s="223"/>
      <c r="Z279" s="223"/>
    </row>
    <row r="280">
      <c r="A280" s="223" t="str">
        <f>IFERROR(__xludf.DUMMYFUNCTION("""COMPUTED_VALUE"""),"Hastings House : Monthly Services")</f>
        <v>Hastings House : Monthly Services</v>
      </c>
      <c r="B280" s="223" t="str">
        <f>IFERROR(__xludf.DUMMYFUNCTION("""COMPUTED_VALUE"""),"Hastings House")</f>
        <v>Hastings House</v>
      </c>
      <c r="C280" s="223" t="str">
        <f>IFERROR(__xludf.DUMMYFUNCTION("""COMPUTED_VALUE"""),"Monthly Services")</f>
        <v>Monthly Services</v>
      </c>
      <c r="D280" s="316">
        <f>IFERROR(__xludf.DUMMYFUNCTION("""COMPUTED_VALUE"""),44651.0)</f>
        <v>44651</v>
      </c>
      <c r="E280" s="298">
        <f>IFERROR(__xludf.DUMMYFUNCTION("""COMPUTED_VALUE"""),1500.0)</f>
        <v>1500</v>
      </c>
      <c r="F280" s="298">
        <f>IFERROR(__xludf.DUMMYFUNCTION("""COMPUTED_VALUE"""),46.67)</f>
        <v>46.67</v>
      </c>
      <c r="G280" s="298">
        <f>IFERROR(__xludf.DUMMYFUNCTION("""COMPUTED_VALUE"""),217.99949999999998)</f>
        <v>217.9995</v>
      </c>
      <c r="H280" s="223">
        <f>IFERROR(__xludf.DUMMYFUNCTION("""COMPUTED_VALUE"""),1235.3305)</f>
        <v>1235.3305</v>
      </c>
      <c r="I280" s="298"/>
      <c r="J280" s="223" t="str">
        <f>IFERROR(__xludf.DUMMYFUNCTION("""COMPUTED_VALUE"""),"Monthly")</f>
        <v>Monthly</v>
      </c>
      <c r="K280" s="317">
        <f>IFERROR(__xludf.DUMMYFUNCTION("""COMPUTED_VALUE"""),2022.03)</f>
        <v>2022.03</v>
      </c>
      <c r="L280" s="298"/>
      <c r="M280" s="223"/>
      <c r="N280" s="223"/>
      <c r="O280" s="223"/>
      <c r="P280" s="223"/>
      <c r="Q280" s="223"/>
      <c r="R280" s="223"/>
      <c r="S280" s="223"/>
      <c r="T280" s="223"/>
      <c r="U280" s="223"/>
      <c r="V280" s="223"/>
      <c r="W280" s="223"/>
      <c r="X280" s="223"/>
      <c r="Y280" s="223"/>
      <c r="Z280" s="223"/>
    </row>
    <row r="281">
      <c r="A281" s="223" t="str">
        <f>IFERROR(__xludf.DUMMYFUNCTION("""COMPUTED_VALUE"""),"HSJ Lawyers : Monthly Services")</f>
        <v>HSJ Lawyers : Monthly Services</v>
      </c>
      <c r="B281" s="223" t="str">
        <f>IFERROR(__xludf.DUMMYFUNCTION("""COMPUTED_VALUE"""),"HSJ Lawyers")</f>
        <v>HSJ Lawyers</v>
      </c>
      <c r="C281" s="223" t="str">
        <f>IFERROR(__xludf.DUMMYFUNCTION("""COMPUTED_VALUE"""),"Monthly Services")</f>
        <v>Monthly Services</v>
      </c>
      <c r="D281" s="316">
        <f>IFERROR(__xludf.DUMMYFUNCTION("""COMPUTED_VALUE"""),44651.0)</f>
        <v>44651</v>
      </c>
      <c r="E281" s="298">
        <f>IFERROR(__xludf.DUMMYFUNCTION("""COMPUTED_VALUE"""),800.0)</f>
        <v>800</v>
      </c>
      <c r="F281" s="298">
        <f>IFERROR(__xludf.DUMMYFUNCTION("""COMPUTED_VALUE"""),0.0)</f>
        <v>0</v>
      </c>
      <c r="G281" s="298">
        <f>IFERROR(__xludf.DUMMYFUNCTION("""COMPUTED_VALUE"""),0.0)</f>
        <v>0</v>
      </c>
      <c r="H281" s="223">
        <f>IFERROR(__xludf.DUMMYFUNCTION("""COMPUTED_VALUE"""),800.0)</f>
        <v>800</v>
      </c>
      <c r="I281" s="298"/>
      <c r="J281" s="223" t="str">
        <f>IFERROR(__xludf.DUMMYFUNCTION("""COMPUTED_VALUE"""),"Monthly")</f>
        <v>Monthly</v>
      </c>
      <c r="K281" s="317">
        <f>IFERROR(__xludf.DUMMYFUNCTION("""COMPUTED_VALUE"""),2022.03)</f>
        <v>2022.03</v>
      </c>
      <c r="L281" s="298"/>
      <c r="M281" s="223"/>
      <c r="N281" s="223"/>
      <c r="O281" s="223"/>
      <c r="P281" s="223"/>
      <c r="Q281" s="223"/>
      <c r="R281" s="223"/>
      <c r="S281" s="223"/>
      <c r="T281" s="223"/>
      <c r="U281" s="223"/>
      <c r="V281" s="223"/>
      <c r="W281" s="223"/>
      <c r="X281" s="223"/>
      <c r="Y281" s="223"/>
      <c r="Z281" s="223"/>
    </row>
    <row r="282">
      <c r="A282" s="223" t="str">
        <f>IFERROR(__xludf.DUMMYFUNCTION("""COMPUTED_VALUE"""),"Olivia Shoppe : Monthly Services")</f>
        <v>Olivia Shoppe : Monthly Services</v>
      </c>
      <c r="B282" s="223" t="str">
        <f>IFERROR(__xludf.DUMMYFUNCTION("""COMPUTED_VALUE"""),"Olivia Shoppe")</f>
        <v>Olivia Shoppe</v>
      </c>
      <c r="C282" s="223" t="str">
        <f>IFERROR(__xludf.DUMMYFUNCTION("""COMPUTED_VALUE"""),"Monthly Services")</f>
        <v>Monthly Services</v>
      </c>
      <c r="D282" s="316">
        <f>IFERROR(__xludf.DUMMYFUNCTION("""COMPUTED_VALUE"""),44651.0)</f>
        <v>44651</v>
      </c>
      <c r="E282" s="298">
        <f>IFERROR(__xludf.DUMMYFUNCTION("""COMPUTED_VALUE"""),808.36405)</f>
        <v>808.36405</v>
      </c>
      <c r="F282" s="298">
        <f>IFERROR(__xludf.DUMMYFUNCTION("""COMPUTED_VALUE"""),30.00896081)</f>
        <v>30.00896081</v>
      </c>
      <c r="G282" s="298">
        <f>IFERROR(__xludf.DUMMYFUNCTION("""COMPUTED_VALUE"""),0.0)</f>
        <v>0</v>
      </c>
      <c r="H282" s="223">
        <f>IFERROR(__xludf.DUMMYFUNCTION("""COMPUTED_VALUE"""),778.3550891900001)</f>
        <v>778.3550892</v>
      </c>
      <c r="I282" s="298"/>
      <c r="J282" s="223" t="str">
        <f>IFERROR(__xludf.DUMMYFUNCTION("""COMPUTED_VALUE"""),"Monthly")</f>
        <v>Monthly</v>
      </c>
      <c r="K282" s="317">
        <f>IFERROR(__xludf.DUMMYFUNCTION("""COMPUTED_VALUE"""),2022.03)</f>
        <v>2022.03</v>
      </c>
      <c r="L282" s="298"/>
      <c r="M282" s="223"/>
      <c r="N282" s="223"/>
      <c r="O282" s="223"/>
      <c r="P282" s="223"/>
      <c r="Q282" s="223"/>
      <c r="R282" s="223"/>
      <c r="S282" s="223"/>
      <c r="T282" s="223"/>
      <c r="U282" s="223"/>
      <c r="V282" s="223"/>
      <c r="W282" s="223"/>
      <c r="X282" s="223"/>
      <c r="Y282" s="223"/>
      <c r="Z282" s="223"/>
    </row>
    <row r="283">
      <c r="A283" s="223" t="str">
        <f>IFERROR(__xludf.DUMMYFUNCTION("""COMPUTED_VALUE"""),"PMDI : Monthly Services")</f>
        <v>PMDI : Monthly Services</v>
      </c>
      <c r="B283" s="223" t="str">
        <f>IFERROR(__xludf.DUMMYFUNCTION("""COMPUTED_VALUE"""),"PMDI")</f>
        <v>PMDI</v>
      </c>
      <c r="C283" s="223" t="str">
        <f>IFERROR(__xludf.DUMMYFUNCTION("""COMPUTED_VALUE"""),"Monthly Services")</f>
        <v>Monthly Services</v>
      </c>
      <c r="D283" s="316">
        <f>IFERROR(__xludf.DUMMYFUNCTION("""COMPUTED_VALUE"""),44651.0)</f>
        <v>44651</v>
      </c>
      <c r="E283" s="298">
        <f>IFERROR(__xludf.DUMMYFUNCTION("""COMPUTED_VALUE"""),375.0)</f>
        <v>375</v>
      </c>
      <c r="F283" s="298">
        <f>IFERROR(__xludf.DUMMYFUNCTION("""COMPUTED_VALUE"""),0.0)</f>
        <v>0</v>
      </c>
      <c r="G283" s="298">
        <f>IFERROR(__xludf.DUMMYFUNCTION("""COMPUTED_VALUE"""),0.0)</f>
        <v>0</v>
      </c>
      <c r="H283" s="223">
        <f>IFERROR(__xludf.DUMMYFUNCTION("""COMPUTED_VALUE"""),375.0)</f>
        <v>375</v>
      </c>
      <c r="I283" s="298"/>
      <c r="J283" s="223" t="str">
        <f>IFERROR(__xludf.DUMMYFUNCTION("""COMPUTED_VALUE"""),"Monthly")</f>
        <v>Monthly</v>
      </c>
      <c r="K283" s="317">
        <f>IFERROR(__xludf.DUMMYFUNCTION("""COMPUTED_VALUE"""),2022.03)</f>
        <v>2022.03</v>
      </c>
      <c r="L283" s="298"/>
      <c r="M283" s="223"/>
      <c r="N283" s="223"/>
      <c r="O283" s="223"/>
      <c r="P283" s="223"/>
      <c r="Q283" s="223"/>
      <c r="R283" s="223"/>
      <c r="S283" s="223"/>
      <c r="T283" s="223"/>
      <c r="U283" s="223"/>
      <c r="V283" s="223"/>
      <c r="W283" s="223"/>
      <c r="X283" s="223"/>
      <c r="Y283" s="223"/>
      <c r="Z283" s="223"/>
    </row>
    <row r="284">
      <c r="A284" s="223" t="str">
        <f>IFERROR(__xludf.DUMMYFUNCTION("""COMPUTED_VALUE"""),"Prime Engineering : Monthly Services")</f>
        <v>Prime Engineering : Monthly Services</v>
      </c>
      <c r="B284" s="223" t="str">
        <f>IFERROR(__xludf.DUMMYFUNCTION("""COMPUTED_VALUE"""),"Prime Engineering")</f>
        <v>Prime Engineering</v>
      </c>
      <c r="C284" s="223" t="str">
        <f>IFERROR(__xludf.DUMMYFUNCTION("""COMPUTED_VALUE"""),"Monthly Services")</f>
        <v>Monthly Services</v>
      </c>
      <c r="D284" s="316">
        <f>IFERROR(__xludf.DUMMYFUNCTION("""COMPUTED_VALUE"""),44651.0)</f>
        <v>44651</v>
      </c>
      <c r="E284" s="298">
        <f>IFERROR(__xludf.DUMMYFUNCTION("""COMPUTED_VALUE"""),500.0)</f>
        <v>500</v>
      </c>
      <c r="F284" s="298">
        <f>IFERROR(__xludf.DUMMYFUNCTION("""COMPUTED_VALUE"""),0.0)</f>
        <v>0</v>
      </c>
      <c r="G284" s="298">
        <f>IFERROR(__xludf.DUMMYFUNCTION("""COMPUTED_VALUE"""),0.0)</f>
        <v>0</v>
      </c>
      <c r="H284" s="223">
        <f>IFERROR(__xludf.DUMMYFUNCTION("""COMPUTED_VALUE"""),500.0)</f>
        <v>500</v>
      </c>
      <c r="I284" s="298"/>
      <c r="J284" s="223" t="str">
        <f>IFERROR(__xludf.DUMMYFUNCTION("""COMPUTED_VALUE"""),"Monthly")</f>
        <v>Monthly</v>
      </c>
      <c r="K284" s="317">
        <f>IFERROR(__xludf.DUMMYFUNCTION("""COMPUTED_VALUE"""),2022.03)</f>
        <v>2022.03</v>
      </c>
      <c r="L284" s="298"/>
      <c r="M284" s="223"/>
      <c r="N284" s="223"/>
      <c r="O284" s="223"/>
      <c r="P284" s="223"/>
      <c r="Q284" s="223"/>
      <c r="R284" s="223"/>
      <c r="S284" s="223"/>
      <c r="T284" s="223"/>
      <c r="U284" s="223"/>
      <c r="V284" s="223"/>
      <c r="W284" s="223"/>
      <c r="X284" s="223"/>
      <c r="Y284" s="223"/>
      <c r="Z284" s="223"/>
    </row>
    <row r="285">
      <c r="A285" s="223" t="str">
        <f>IFERROR(__xludf.DUMMYFUNCTION("""COMPUTED_VALUE"""),"Rama Meditation Society : Premium Hosting + Support")</f>
        <v>Rama Meditation Society : Premium Hosting + Support</v>
      </c>
      <c r="B285" s="223" t="str">
        <f>IFERROR(__xludf.DUMMYFUNCTION("""COMPUTED_VALUE"""),"Rama Meditation Society")</f>
        <v>Rama Meditation Society</v>
      </c>
      <c r="C285" s="223" t="str">
        <f>IFERROR(__xludf.DUMMYFUNCTION("""COMPUTED_VALUE"""),"Premium Hosting + Support")</f>
        <v>Premium Hosting + Support</v>
      </c>
      <c r="D285" s="316">
        <f>IFERROR(__xludf.DUMMYFUNCTION("""COMPUTED_VALUE"""),44651.0)</f>
        <v>44651</v>
      </c>
      <c r="E285" s="298">
        <f>IFERROR(__xludf.DUMMYFUNCTION("""COMPUTED_VALUE"""),362.67330000000004)</f>
        <v>362.6733</v>
      </c>
      <c r="F285" s="298">
        <f>IFERROR(__xludf.DUMMYFUNCTION("""COMPUTED_VALUE"""),13.7815854)</f>
        <v>13.7815854</v>
      </c>
      <c r="G285" s="298">
        <f>IFERROR(__xludf.DUMMYFUNCTION("""COMPUTED_VALUE"""),0.0)</f>
        <v>0</v>
      </c>
      <c r="H285" s="223">
        <f>IFERROR(__xludf.DUMMYFUNCTION("""COMPUTED_VALUE"""),348.89171460000006)</f>
        <v>348.8917146</v>
      </c>
      <c r="I285" s="298"/>
      <c r="J285" s="223" t="str">
        <f>IFERROR(__xludf.DUMMYFUNCTION("""COMPUTED_VALUE"""),"Monthly")</f>
        <v>Monthly</v>
      </c>
      <c r="K285" s="317">
        <f>IFERROR(__xludf.DUMMYFUNCTION("""COMPUTED_VALUE"""),2022.03)</f>
        <v>2022.03</v>
      </c>
      <c r="L285" s="298"/>
      <c r="M285" s="223"/>
      <c r="N285" s="223"/>
      <c r="O285" s="223"/>
      <c r="P285" s="223"/>
      <c r="Q285" s="223"/>
      <c r="R285" s="223"/>
      <c r="S285" s="223"/>
      <c r="T285" s="223"/>
      <c r="U285" s="223"/>
      <c r="V285" s="223"/>
      <c r="W285" s="223"/>
      <c r="X285" s="223"/>
      <c r="Y285" s="223"/>
      <c r="Z285" s="223"/>
    </row>
    <row r="286">
      <c r="A286" s="223" t="str">
        <f>IFERROR(__xludf.DUMMYFUNCTION("""COMPUTED_VALUE"""),"Red Seal : Monthly Services")</f>
        <v>Red Seal : Monthly Services</v>
      </c>
      <c r="B286" s="223" t="str">
        <f>IFERROR(__xludf.DUMMYFUNCTION("""COMPUTED_VALUE"""),"Red Seal")</f>
        <v>Red Seal</v>
      </c>
      <c r="C286" s="223" t="str">
        <f>IFERROR(__xludf.DUMMYFUNCTION("""COMPUTED_VALUE"""),"Monthly Services")</f>
        <v>Monthly Services</v>
      </c>
      <c r="D286" s="316">
        <f>IFERROR(__xludf.DUMMYFUNCTION("""COMPUTED_VALUE"""),44651.0)</f>
        <v>44651</v>
      </c>
      <c r="E286" s="298">
        <f>IFERROR(__xludf.DUMMYFUNCTION("""COMPUTED_VALUE"""),250.0)</f>
        <v>250</v>
      </c>
      <c r="F286" s="298">
        <f>IFERROR(__xludf.DUMMYFUNCTION("""COMPUTED_VALUE"""),0.0)</f>
        <v>0</v>
      </c>
      <c r="G286" s="298">
        <f>IFERROR(__xludf.DUMMYFUNCTION("""COMPUTED_VALUE"""),0.0)</f>
        <v>0</v>
      </c>
      <c r="H286" s="223">
        <f>IFERROR(__xludf.DUMMYFUNCTION("""COMPUTED_VALUE"""),250.0)</f>
        <v>250</v>
      </c>
      <c r="I286" s="298"/>
      <c r="J286" s="223" t="str">
        <f>IFERROR(__xludf.DUMMYFUNCTION("""COMPUTED_VALUE"""),"Monthly")</f>
        <v>Monthly</v>
      </c>
      <c r="K286" s="317">
        <f>IFERROR(__xludf.DUMMYFUNCTION("""COMPUTED_VALUE"""),2022.03)</f>
        <v>2022.03</v>
      </c>
      <c r="L286" s="298"/>
      <c r="M286" s="223"/>
      <c r="N286" s="223"/>
      <c r="O286" s="223"/>
      <c r="P286" s="223"/>
      <c r="Q286" s="223"/>
      <c r="R286" s="223"/>
      <c r="S286" s="223"/>
      <c r="T286" s="223"/>
      <c r="U286" s="223"/>
      <c r="V286" s="223"/>
      <c r="W286" s="223"/>
      <c r="X286" s="223"/>
      <c r="Y286" s="223"/>
      <c r="Z286" s="223"/>
    </row>
    <row r="287">
      <c r="A287" s="223" t="str">
        <f>IFERROR(__xludf.DUMMYFUNCTION("""COMPUTED_VALUE"""),"Service First : Monthly Services")</f>
        <v>Service First : Monthly Services</v>
      </c>
      <c r="B287" s="223" t="str">
        <f>IFERROR(__xludf.DUMMYFUNCTION("""COMPUTED_VALUE"""),"Service First")</f>
        <v>Service First</v>
      </c>
      <c r="C287" s="223" t="str">
        <f>IFERROR(__xludf.DUMMYFUNCTION("""COMPUTED_VALUE"""),"Monthly Services")</f>
        <v>Monthly Services</v>
      </c>
      <c r="D287" s="316">
        <f>IFERROR(__xludf.DUMMYFUNCTION("""COMPUTED_VALUE"""),44651.0)</f>
        <v>44651</v>
      </c>
      <c r="E287" s="298">
        <f>IFERROR(__xludf.DUMMYFUNCTION("""COMPUTED_VALUE"""),300.0)</f>
        <v>300</v>
      </c>
      <c r="F287" s="298">
        <f>IFERROR(__xludf.DUMMYFUNCTION("""COMPUTED_VALUE"""),9.33)</f>
        <v>9.33</v>
      </c>
      <c r="G287" s="298">
        <f>IFERROR(__xludf.DUMMYFUNCTION("""COMPUTED_VALUE"""),0.0)</f>
        <v>0</v>
      </c>
      <c r="H287" s="223">
        <f>IFERROR(__xludf.DUMMYFUNCTION("""COMPUTED_VALUE"""),290.67)</f>
        <v>290.67</v>
      </c>
      <c r="I287" s="298"/>
      <c r="J287" s="223" t="str">
        <f>IFERROR(__xludf.DUMMYFUNCTION("""COMPUTED_VALUE"""),"Monthly")</f>
        <v>Monthly</v>
      </c>
      <c r="K287" s="317">
        <f>IFERROR(__xludf.DUMMYFUNCTION("""COMPUTED_VALUE"""),2022.03)</f>
        <v>2022.03</v>
      </c>
      <c r="L287" s="298"/>
      <c r="M287" s="223"/>
      <c r="N287" s="223"/>
      <c r="O287" s="223"/>
      <c r="P287" s="223"/>
      <c r="Q287" s="223"/>
      <c r="R287" s="223"/>
      <c r="S287" s="223"/>
      <c r="T287" s="223"/>
      <c r="U287" s="223"/>
      <c r="V287" s="223"/>
      <c r="W287" s="223"/>
      <c r="X287" s="223"/>
      <c r="Y287" s="223"/>
      <c r="Z287" s="223"/>
    </row>
    <row r="288">
      <c r="A288" s="223" t="str">
        <f>IFERROR(__xludf.DUMMYFUNCTION("""COMPUTED_VALUE"""),"Spraggs : Monthly Services")</f>
        <v>Spraggs : Monthly Services</v>
      </c>
      <c r="B288" s="223" t="str">
        <f>IFERROR(__xludf.DUMMYFUNCTION("""COMPUTED_VALUE"""),"Spraggs")</f>
        <v>Spraggs</v>
      </c>
      <c r="C288" s="223" t="str">
        <f>IFERROR(__xludf.DUMMYFUNCTION("""COMPUTED_VALUE"""),"Monthly Services")</f>
        <v>Monthly Services</v>
      </c>
      <c r="D288" s="316">
        <f>IFERROR(__xludf.DUMMYFUNCTION("""COMPUTED_VALUE"""),44651.0)</f>
        <v>44651</v>
      </c>
      <c r="E288" s="298">
        <f>IFERROR(__xludf.DUMMYFUNCTION("""COMPUTED_VALUE"""),2500.0)</f>
        <v>2500</v>
      </c>
      <c r="F288" s="298">
        <f>IFERROR(__xludf.DUMMYFUNCTION("""COMPUTED_VALUE"""),77.78)</f>
        <v>77.78</v>
      </c>
      <c r="G288" s="298">
        <f>IFERROR(__xludf.DUMMYFUNCTION("""COMPUTED_VALUE"""),0.0)</f>
        <v>0</v>
      </c>
      <c r="H288" s="223">
        <f>IFERROR(__xludf.DUMMYFUNCTION("""COMPUTED_VALUE"""),2422.22)</f>
        <v>2422.22</v>
      </c>
      <c r="I288" s="298"/>
      <c r="J288" s="223" t="str">
        <f>IFERROR(__xludf.DUMMYFUNCTION("""COMPUTED_VALUE"""),"Monthly")</f>
        <v>Monthly</v>
      </c>
      <c r="K288" s="317">
        <f>IFERROR(__xludf.DUMMYFUNCTION("""COMPUTED_VALUE"""),2022.03)</f>
        <v>2022.03</v>
      </c>
      <c r="L288" s="298"/>
      <c r="M288" s="223"/>
      <c r="N288" s="223"/>
      <c r="O288" s="223"/>
      <c r="P288" s="223"/>
      <c r="Q288" s="223"/>
      <c r="R288" s="223"/>
      <c r="S288" s="223"/>
      <c r="T288" s="223"/>
      <c r="U288" s="223"/>
      <c r="V288" s="223"/>
      <c r="W288" s="223"/>
      <c r="X288" s="223"/>
      <c r="Y288" s="223"/>
      <c r="Z288" s="223"/>
    </row>
    <row r="289">
      <c r="A289" s="223" t="str">
        <f>IFERROR(__xludf.DUMMYFUNCTION("""COMPUTED_VALUE"""),"Tires Easy : Monthly Services for Tires-Easy.com")</f>
        <v>Tires Easy : Monthly Services for Tires-Easy.com</v>
      </c>
      <c r="B289" s="223" t="str">
        <f>IFERROR(__xludf.DUMMYFUNCTION("""COMPUTED_VALUE"""),"Tires Easy")</f>
        <v>Tires Easy</v>
      </c>
      <c r="C289" s="223" t="str">
        <f>IFERROR(__xludf.DUMMYFUNCTION("""COMPUTED_VALUE"""),"Monthly Services for Tires-Easy.com")</f>
        <v>Monthly Services for Tires-Easy.com</v>
      </c>
      <c r="D289" s="316">
        <f>IFERROR(__xludf.DUMMYFUNCTION("""COMPUTED_VALUE"""),44651.0)</f>
        <v>44651</v>
      </c>
      <c r="E289" s="298">
        <f>IFERROR(__xludf.DUMMYFUNCTION("""COMPUTED_VALUE"""),433.43965000000003)</f>
        <v>433.43965</v>
      </c>
      <c r="F289" s="298">
        <f>IFERROR(__xludf.DUMMYFUNCTION("""COMPUTED_VALUE"""),16.40878675)</f>
        <v>16.40878675</v>
      </c>
      <c r="G289" s="298">
        <f>IFERROR(__xludf.DUMMYFUNCTION("""COMPUTED_VALUE"""),0.0)</f>
        <v>0</v>
      </c>
      <c r="H289" s="223">
        <f>IFERROR(__xludf.DUMMYFUNCTION("""COMPUTED_VALUE"""),417.03086325000004)</f>
        <v>417.0308633</v>
      </c>
      <c r="I289" s="298"/>
      <c r="J289" s="223" t="str">
        <f>IFERROR(__xludf.DUMMYFUNCTION("""COMPUTED_VALUE"""),"Monthly")</f>
        <v>Monthly</v>
      </c>
      <c r="K289" s="317">
        <f>IFERROR(__xludf.DUMMYFUNCTION("""COMPUTED_VALUE"""),2022.03)</f>
        <v>2022.03</v>
      </c>
      <c r="L289" s="298"/>
      <c r="M289" s="223"/>
      <c r="N289" s="223"/>
      <c r="O289" s="223"/>
      <c r="P289" s="223"/>
      <c r="Q289" s="223"/>
      <c r="R289" s="223"/>
      <c r="S289" s="223"/>
      <c r="T289" s="223"/>
      <c r="U289" s="223"/>
      <c r="V289" s="223"/>
      <c r="W289" s="223"/>
      <c r="X289" s="223"/>
      <c r="Y289" s="223"/>
      <c r="Z289" s="223"/>
    </row>
    <row r="290">
      <c r="A290" s="223" t="str">
        <f>IFERROR(__xludf.DUMMYFUNCTION("""COMPUTED_VALUE"""),"TisBest : Monthly Services")</f>
        <v>TisBest : Monthly Services</v>
      </c>
      <c r="B290" s="223" t="str">
        <f>IFERROR(__xludf.DUMMYFUNCTION("""COMPUTED_VALUE"""),"TisBest")</f>
        <v>TisBest</v>
      </c>
      <c r="C290" s="223" t="str">
        <f>IFERROR(__xludf.DUMMYFUNCTION("""COMPUTED_VALUE"""),"Monthly Services")</f>
        <v>Monthly Services</v>
      </c>
      <c r="D290" s="316">
        <f>IFERROR(__xludf.DUMMYFUNCTION("""COMPUTED_VALUE"""),44651.0)</f>
        <v>44651</v>
      </c>
      <c r="E290" s="298">
        <f>IFERROR(__xludf.DUMMYFUNCTION("""COMPUTED_VALUE"""),5471.090999999999)</f>
        <v>5471.091</v>
      </c>
      <c r="F290" s="298">
        <f>IFERROR(__xludf.DUMMYFUNCTION("""COMPUTED_VALUE"""),202.7951064)</f>
        <v>202.7951064</v>
      </c>
      <c r="G290" s="298">
        <f>IFERROR(__xludf.DUMMYFUNCTION("""COMPUTED_VALUE"""),1053.65917872)</f>
        <v>1053.659179</v>
      </c>
      <c r="H290" s="223">
        <f>IFERROR(__xludf.DUMMYFUNCTION("""COMPUTED_VALUE"""),4214.63671488)</f>
        <v>4214.636715</v>
      </c>
      <c r="I290" s="298"/>
      <c r="J290" s="223" t="str">
        <f>IFERROR(__xludf.DUMMYFUNCTION("""COMPUTED_VALUE"""),"Monthly")</f>
        <v>Monthly</v>
      </c>
      <c r="K290" s="317">
        <f>IFERROR(__xludf.DUMMYFUNCTION("""COMPUTED_VALUE"""),2022.03)</f>
        <v>2022.03</v>
      </c>
      <c r="L290" s="298"/>
      <c r="M290" s="223"/>
      <c r="N290" s="223"/>
      <c r="O290" s="223"/>
      <c r="P290" s="223"/>
      <c r="Q290" s="223"/>
      <c r="R290" s="223"/>
      <c r="S290" s="223"/>
      <c r="T290" s="223"/>
      <c r="U290" s="223"/>
      <c r="V290" s="223"/>
      <c r="W290" s="223"/>
      <c r="X290" s="223"/>
      <c r="Y290" s="223"/>
      <c r="Z290" s="223"/>
    </row>
    <row r="291">
      <c r="A291" s="223" t="str">
        <f>IFERROR(__xludf.DUMMYFUNCTION("""COMPUTED_VALUE"""),"Tuscany : Monthly Services")</f>
        <v>Tuscany : Monthly Services</v>
      </c>
      <c r="B291" s="223" t="str">
        <f>IFERROR(__xludf.DUMMYFUNCTION("""COMPUTED_VALUE"""),"Tuscany")</f>
        <v>Tuscany</v>
      </c>
      <c r="C291" s="223" t="str">
        <f>IFERROR(__xludf.DUMMYFUNCTION("""COMPUTED_VALUE"""),"Monthly Services")</f>
        <v>Monthly Services</v>
      </c>
      <c r="D291" s="316">
        <f>IFERROR(__xludf.DUMMYFUNCTION("""COMPUTED_VALUE"""),44651.0)</f>
        <v>44651</v>
      </c>
      <c r="E291" s="298">
        <f>IFERROR(__xludf.DUMMYFUNCTION("""COMPUTED_VALUE"""),2507.825)</f>
        <v>2507.825</v>
      </c>
      <c r="F291" s="298">
        <f>IFERROR(__xludf.DUMMYFUNCTION("""COMPUTED_VALUE"""),0.0)</f>
        <v>0</v>
      </c>
      <c r="G291" s="298">
        <f>IFERROR(__xludf.DUMMYFUNCTION("""COMPUTED_VALUE"""),0.0)</f>
        <v>0</v>
      </c>
      <c r="H291" s="223">
        <f>IFERROR(__xludf.DUMMYFUNCTION("""COMPUTED_VALUE"""),2507.825)</f>
        <v>2507.825</v>
      </c>
      <c r="I291" s="298"/>
      <c r="J291" s="223" t="str">
        <f>IFERROR(__xludf.DUMMYFUNCTION("""COMPUTED_VALUE"""),"Monthly")</f>
        <v>Monthly</v>
      </c>
      <c r="K291" s="317">
        <f>IFERROR(__xludf.DUMMYFUNCTION("""COMPUTED_VALUE"""),2022.03)</f>
        <v>2022.03</v>
      </c>
      <c r="L291" s="298"/>
      <c r="M291" s="223"/>
      <c r="N291" s="223"/>
      <c r="O291" s="223"/>
      <c r="P291" s="223"/>
      <c r="Q291" s="223"/>
      <c r="R291" s="223"/>
      <c r="S291" s="223"/>
      <c r="T291" s="223"/>
      <c r="U291" s="223"/>
      <c r="V291" s="223"/>
      <c r="W291" s="223"/>
      <c r="X291" s="223"/>
      <c r="Y291" s="223"/>
      <c r="Z291" s="223"/>
    </row>
    <row r="292">
      <c r="A292" s="223" t="str">
        <f>IFERROR(__xludf.DUMMYFUNCTION("""COMPUTED_VALUE"""),"Venetian : Monthly Services")</f>
        <v>Venetian : Monthly Services</v>
      </c>
      <c r="B292" s="223" t="str">
        <f>IFERROR(__xludf.DUMMYFUNCTION("""COMPUTED_VALUE"""),"Venetian")</f>
        <v>Venetian</v>
      </c>
      <c r="C292" s="223" t="str">
        <f>IFERROR(__xludf.DUMMYFUNCTION("""COMPUTED_VALUE"""),"Monthly Services")</f>
        <v>Monthly Services</v>
      </c>
      <c r="D292" s="316">
        <f>IFERROR(__xludf.DUMMYFUNCTION("""COMPUTED_VALUE"""),44651.0)</f>
        <v>44651</v>
      </c>
      <c r="E292" s="298">
        <f>IFERROR(__xludf.DUMMYFUNCTION("""COMPUTED_VALUE"""),2507.825)</f>
        <v>2507.825</v>
      </c>
      <c r="F292" s="298">
        <f>IFERROR(__xludf.DUMMYFUNCTION("""COMPUTED_VALUE"""),0.0)</f>
        <v>0</v>
      </c>
      <c r="G292" s="298">
        <f>IFERROR(__xludf.DUMMYFUNCTION("""COMPUTED_VALUE"""),0.0)</f>
        <v>0</v>
      </c>
      <c r="H292" s="223">
        <f>IFERROR(__xludf.DUMMYFUNCTION("""COMPUTED_VALUE"""),2507.825)</f>
        <v>2507.825</v>
      </c>
      <c r="I292" s="298"/>
      <c r="J292" s="223" t="str">
        <f>IFERROR(__xludf.DUMMYFUNCTION("""COMPUTED_VALUE"""),"Monthly")</f>
        <v>Monthly</v>
      </c>
      <c r="K292" s="317">
        <f>IFERROR(__xludf.DUMMYFUNCTION("""COMPUTED_VALUE"""),2022.03)</f>
        <v>2022.03</v>
      </c>
      <c r="L292" s="298"/>
      <c r="M292" s="223"/>
      <c r="N292" s="223"/>
      <c r="O292" s="223"/>
      <c r="P292" s="223"/>
      <c r="Q292" s="223"/>
      <c r="R292" s="223"/>
      <c r="S292" s="223"/>
      <c r="T292" s="223"/>
      <c r="U292" s="223"/>
      <c r="V292" s="223"/>
      <c r="W292" s="223"/>
      <c r="X292" s="223"/>
      <c r="Y292" s="223"/>
      <c r="Z292" s="223"/>
    </row>
    <row r="293">
      <c r="A293" s="223" t="str">
        <f>IFERROR(__xludf.DUMMYFUNCTION("""COMPUTED_VALUE"""),"Wallack's Art Supplies : Monthly Services")</f>
        <v>Wallack's Art Supplies : Monthly Services</v>
      </c>
      <c r="B293" s="223" t="str">
        <f>IFERROR(__xludf.DUMMYFUNCTION("""COMPUTED_VALUE"""),"Wallack's Art Supplies")</f>
        <v>Wallack's Art Supplies</v>
      </c>
      <c r="C293" s="223" t="str">
        <f>IFERROR(__xludf.DUMMYFUNCTION("""COMPUTED_VALUE"""),"Monthly Services")</f>
        <v>Monthly Services</v>
      </c>
      <c r="D293" s="316">
        <f>IFERROR(__xludf.DUMMYFUNCTION("""COMPUTED_VALUE"""),44651.0)</f>
        <v>44651</v>
      </c>
      <c r="E293" s="298">
        <f>IFERROR(__xludf.DUMMYFUNCTION("""COMPUTED_VALUE"""),700.0)</f>
        <v>700</v>
      </c>
      <c r="F293" s="298">
        <f>IFERROR(__xludf.DUMMYFUNCTION("""COMPUTED_VALUE"""),0.0)</f>
        <v>0</v>
      </c>
      <c r="G293" s="298">
        <f>IFERROR(__xludf.DUMMYFUNCTION("""COMPUTED_VALUE"""),0.0)</f>
        <v>0</v>
      </c>
      <c r="H293" s="223">
        <f>IFERROR(__xludf.DUMMYFUNCTION("""COMPUTED_VALUE"""),700.0)</f>
        <v>700</v>
      </c>
      <c r="I293" s="298"/>
      <c r="J293" s="223" t="str">
        <f>IFERROR(__xludf.DUMMYFUNCTION("""COMPUTED_VALUE"""),"Monthly")</f>
        <v>Monthly</v>
      </c>
      <c r="K293" s="317">
        <f>IFERROR(__xludf.DUMMYFUNCTION("""COMPUTED_VALUE"""),2022.03)</f>
        <v>2022.03</v>
      </c>
      <c r="L293" s="298"/>
      <c r="M293" s="223"/>
      <c r="N293" s="223"/>
      <c r="O293" s="223"/>
      <c r="P293" s="223"/>
      <c r="Q293" s="223"/>
      <c r="R293" s="223"/>
      <c r="S293" s="223"/>
      <c r="T293" s="223"/>
      <c r="U293" s="223"/>
      <c r="V293" s="223"/>
      <c r="W293" s="223"/>
      <c r="X293" s="223"/>
      <c r="Y293" s="223"/>
      <c r="Z293" s="223"/>
    </row>
    <row r="294">
      <c r="A294" s="223" t="str">
        <f>IFERROR(__xludf.DUMMYFUNCTION("""COMPUTED_VALUE"""),"Anook Athletics : Monthly Services")</f>
        <v>Anook Athletics : Monthly Services</v>
      </c>
      <c r="B294" s="223" t="str">
        <f>IFERROR(__xludf.DUMMYFUNCTION("""COMPUTED_VALUE"""),"Anook Athletics")</f>
        <v>Anook Athletics</v>
      </c>
      <c r="C294" s="223" t="str">
        <f>IFERROR(__xludf.DUMMYFUNCTION("""COMPUTED_VALUE"""),"Monthly Services")</f>
        <v>Monthly Services</v>
      </c>
      <c r="D294" s="316">
        <f>IFERROR(__xludf.DUMMYFUNCTION("""COMPUTED_VALUE"""),44651.0)</f>
        <v>44651</v>
      </c>
      <c r="E294" s="298">
        <f>IFERROR(__xludf.DUMMYFUNCTION("""COMPUTED_VALUE"""),800.0)</f>
        <v>800</v>
      </c>
      <c r="F294" s="298">
        <f>IFERROR(__xludf.DUMMYFUNCTION("""COMPUTED_VALUE"""),24.89)</f>
        <v>24.89</v>
      </c>
      <c r="G294" s="298">
        <f>IFERROR(__xludf.DUMMYFUNCTION("""COMPUTED_VALUE"""),0.0)</f>
        <v>0</v>
      </c>
      <c r="H294" s="223">
        <f>IFERROR(__xludf.DUMMYFUNCTION("""COMPUTED_VALUE"""),775.11)</f>
        <v>775.11</v>
      </c>
      <c r="I294" s="298"/>
      <c r="J294" s="223" t="str">
        <f>IFERROR(__xludf.DUMMYFUNCTION("""COMPUTED_VALUE"""),"Monthly")</f>
        <v>Monthly</v>
      </c>
      <c r="K294" s="317">
        <f>IFERROR(__xludf.DUMMYFUNCTION("""COMPUTED_VALUE"""),2022.03)</f>
        <v>2022.03</v>
      </c>
      <c r="L294" s="298"/>
      <c r="M294" s="223"/>
      <c r="N294" s="223"/>
      <c r="O294" s="223"/>
      <c r="P294" s="223"/>
      <c r="Q294" s="223"/>
      <c r="R294" s="223"/>
      <c r="S294" s="223"/>
      <c r="T294" s="223"/>
      <c r="U294" s="223"/>
      <c r="V294" s="223"/>
      <c r="W294" s="223"/>
      <c r="X294" s="223"/>
      <c r="Y294" s="223"/>
      <c r="Z294" s="223"/>
    </row>
    <row r="295">
      <c r="A295" s="223" t="str">
        <f>IFERROR(__xludf.DUMMYFUNCTION("""COMPUTED_VALUE"""),"Waypoint : Website Updates")</f>
        <v>Waypoint : Website Updates</v>
      </c>
      <c r="B295" s="223" t="str">
        <f>IFERROR(__xludf.DUMMYFUNCTION("""COMPUTED_VALUE"""),"Waypoint")</f>
        <v>Waypoint</v>
      </c>
      <c r="C295" s="223" t="str">
        <f>IFERROR(__xludf.DUMMYFUNCTION("""COMPUTED_VALUE"""),"Website Updates")</f>
        <v>Website Updates</v>
      </c>
      <c r="D295" s="316">
        <f>IFERROR(__xludf.DUMMYFUNCTION("""COMPUTED_VALUE"""),44680.0)</f>
        <v>44680</v>
      </c>
      <c r="E295" s="298">
        <f>IFERROR(__xludf.DUMMYFUNCTION("""COMPUTED_VALUE"""),1700.0)</f>
        <v>1700</v>
      </c>
      <c r="F295" s="298">
        <f>IFERROR(__xludf.DUMMYFUNCTION("""COMPUTED_VALUE"""),52.89)</f>
        <v>52.89</v>
      </c>
      <c r="G295" s="298">
        <f>IFERROR(__xludf.DUMMYFUNCTION("""COMPUTED_VALUE"""),0.0)</f>
        <v>0</v>
      </c>
      <c r="H295" s="223">
        <f>IFERROR(__xludf.DUMMYFUNCTION("""COMPUTED_VALUE"""),1647.11)</f>
        <v>1647.11</v>
      </c>
      <c r="I295" s="298"/>
      <c r="J295" s="223" t="str">
        <f>IFERROR(__xludf.DUMMYFUNCTION("""COMPUTED_VALUE"""),"One-Time")</f>
        <v>One-Time</v>
      </c>
      <c r="K295" s="317">
        <f>IFERROR(__xludf.DUMMYFUNCTION("""COMPUTED_VALUE"""),2022.0)</f>
        <v>2022</v>
      </c>
      <c r="L295" s="298"/>
      <c r="M295" s="223"/>
      <c r="N295" s="223"/>
      <c r="O295" s="223"/>
      <c r="P295" s="223"/>
      <c r="Q295" s="223"/>
      <c r="R295" s="223"/>
      <c r="S295" s="223"/>
      <c r="T295" s="223"/>
      <c r="U295" s="223"/>
      <c r="V295" s="223"/>
      <c r="W295" s="223"/>
      <c r="X295" s="223"/>
      <c r="Y295" s="223"/>
      <c r="Z295" s="223"/>
    </row>
    <row r="296">
      <c r="A296" s="223" t="str">
        <f>IFERROR(__xludf.DUMMYFUNCTION("""COMPUTED_VALUE"""),"Monk : Monthly Services")</f>
        <v>Monk : Monthly Services</v>
      </c>
      <c r="B296" s="223" t="str">
        <f>IFERROR(__xludf.DUMMYFUNCTION("""COMPUTED_VALUE"""),"Monk")</f>
        <v>Monk</v>
      </c>
      <c r="C296" s="223" t="str">
        <f>IFERROR(__xludf.DUMMYFUNCTION("""COMPUTED_VALUE"""),"Monthly Services")</f>
        <v>Monthly Services</v>
      </c>
      <c r="D296" s="316">
        <f>IFERROR(__xludf.DUMMYFUNCTION("""COMPUTED_VALUE"""),44651.0)</f>
        <v>44651</v>
      </c>
      <c r="E296" s="298">
        <f>IFERROR(__xludf.DUMMYFUNCTION("""COMPUTED_VALUE"""),1200.0)</f>
        <v>1200</v>
      </c>
      <c r="F296" s="298">
        <f>IFERROR(__xludf.DUMMYFUNCTION("""COMPUTED_VALUE"""),0.0)</f>
        <v>0</v>
      </c>
      <c r="G296" s="298">
        <f>IFERROR(__xludf.DUMMYFUNCTION("""COMPUTED_VALUE"""),0.0)</f>
        <v>0</v>
      </c>
      <c r="H296" s="223">
        <f>IFERROR(__xludf.DUMMYFUNCTION("""COMPUTED_VALUE"""),1200.0)</f>
        <v>1200</v>
      </c>
      <c r="I296" s="298"/>
      <c r="J296" s="223" t="str">
        <f>IFERROR(__xludf.DUMMYFUNCTION("""COMPUTED_VALUE"""),"Monthly")</f>
        <v>Monthly</v>
      </c>
      <c r="K296" s="317">
        <f>IFERROR(__xludf.DUMMYFUNCTION("""COMPUTED_VALUE"""),2022.03)</f>
        <v>2022.03</v>
      </c>
      <c r="L296" s="298"/>
      <c r="M296" s="223"/>
      <c r="N296" s="223"/>
      <c r="O296" s="223"/>
      <c r="P296" s="223"/>
      <c r="Q296" s="223"/>
      <c r="R296" s="223"/>
      <c r="S296" s="223"/>
      <c r="T296" s="223"/>
      <c r="U296" s="223"/>
      <c r="V296" s="223"/>
      <c r="W296" s="223"/>
      <c r="X296" s="223"/>
      <c r="Y296" s="223"/>
      <c r="Z296" s="223"/>
    </row>
    <row r="297">
      <c r="A297" s="223" t="str">
        <f>IFERROR(__xludf.DUMMYFUNCTION("""COMPUTED_VALUE"""),"MortgagePal : Monthly Services")</f>
        <v>MortgagePal : Monthly Services</v>
      </c>
      <c r="B297" s="223" t="str">
        <f>IFERROR(__xludf.DUMMYFUNCTION("""COMPUTED_VALUE"""),"MortgagePal")</f>
        <v>MortgagePal</v>
      </c>
      <c r="C297" s="223" t="str">
        <f>IFERROR(__xludf.DUMMYFUNCTION("""COMPUTED_VALUE"""),"Monthly Services")</f>
        <v>Monthly Services</v>
      </c>
      <c r="D297" s="316">
        <f>IFERROR(__xludf.DUMMYFUNCTION("""COMPUTED_VALUE"""),44651.0)</f>
        <v>44651</v>
      </c>
      <c r="E297" s="298">
        <f>IFERROR(__xludf.DUMMYFUNCTION("""COMPUTED_VALUE"""),500.0)</f>
        <v>500</v>
      </c>
      <c r="F297" s="298">
        <f>IFERROR(__xludf.DUMMYFUNCTION("""COMPUTED_VALUE"""),15.53)</f>
        <v>15.53</v>
      </c>
      <c r="G297" s="298">
        <f>IFERROR(__xludf.DUMMYFUNCTION("""COMPUTED_VALUE"""),0.0)</f>
        <v>0</v>
      </c>
      <c r="H297" s="223">
        <f>IFERROR(__xludf.DUMMYFUNCTION("""COMPUTED_VALUE"""),484.47)</f>
        <v>484.47</v>
      </c>
      <c r="I297" s="298"/>
      <c r="J297" s="223" t="str">
        <f>IFERROR(__xludf.DUMMYFUNCTION("""COMPUTED_VALUE"""),"Monthly")</f>
        <v>Monthly</v>
      </c>
      <c r="K297" s="317">
        <f>IFERROR(__xludf.DUMMYFUNCTION("""COMPUTED_VALUE"""),2022.03)</f>
        <v>2022.03</v>
      </c>
      <c r="L297" s="298"/>
      <c r="M297" s="223"/>
      <c r="N297" s="223"/>
      <c r="O297" s="223"/>
      <c r="P297" s="223"/>
      <c r="Q297" s="223"/>
      <c r="R297" s="223"/>
      <c r="S297" s="223"/>
      <c r="T297" s="223"/>
      <c r="U297" s="223"/>
      <c r="V297" s="223"/>
      <c r="W297" s="223"/>
      <c r="X297" s="223"/>
      <c r="Y297" s="223"/>
      <c r="Z297" s="223"/>
    </row>
    <row r="298">
      <c r="A298" s="223" t="str">
        <f>IFERROR(__xludf.DUMMYFUNCTION("""COMPUTED_VALUE"""),"Arazy Group : Other Projects")</f>
        <v>Arazy Group : Other Projects</v>
      </c>
      <c r="B298" s="223" t="str">
        <f>IFERROR(__xludf.DUMMYFUNCTION("""COMPUTED_VALUE"""),"Arazy Group")</f>
        <v>Arazy Group</v>
      </c>
      <c r="C298" s="223" t="str">
        <f>IFERROR(__xludf.DUMMYFUNCTION("""COMPUTED_VALUE"""),"Other Projects")</f>
        <v>Other Projects</v>
      </c>
      <c r="D298" s="316">
        <f>IFERROR(__xludf.DUMMYFUNCTION("""COMPUTED_VALUE"""),44659.0)</f>
        <v>44659</v>
      </c>
      <c r="E298" s="298">
        <f>IFERROR(__xludf.DUMMYFUNCTION("""COMPUTED_VALUE"""),2250.0)</f>
        <v>2250</v>
      </c>
      <c r="F298" s="298">
        <f>IFERROR(__xludf.DUMMYFUNCTION("""COMPUTED_VALUE"""),68.81)</f>
        <v>68.81</v>
      </c>
      <c r="G298" s="298">
        <f>IFERROR(__xludf.DUMMYFUNCTION("""COMPUTED_VALUE"""),0.0)</f>
        <v>0</v>
      </c>
      <c r="H298" s="223">
        <f>IFERROR(__xludf.DUMMYFUNCTION("""COMPUTED_VALUE"""),2181.19)</f>
        <v>2181.19</v>
      </c>
      <c r="I298" s="298"/>
      <c r="J298" s="223" t="str">
        <f>IFERROR(__xludf.DUMMYFUNCTION("""COMPUTED_VALUE"""),"50% Deposit
50% Final")</f>
        <v>50% Deposit
50% Final</v>
      </c>
      <c r="K298" s="317">
        <f>IFERROR(__xludf.DUMMYFUNCTION("""COMPUTED_VALUE"""),2022.0)</f>
        <v>2022</v>
      </c>
      <c r="L298" s="298"/>
      <c r="M298" s="223"/>
      <c r="N298" s="223"/>
      <c r="O298" s="223"/>
      <c r="P298" s="223"/>
      <c r="Q298" s="223"/>
      <c r="R298" s="223"/>
      <c r="S298" s="223"/>
      <c r="T298" s="223"/>
      <c r="U298" s="223"/>
      <c r="V298" s="223"/>
      <c r="W298" s="223"/>
      <c r="X298" s="223"/>
      <c r="Y298" s="223"/>
      <c r="Z298" s="223"/>
    </row>
    <row r="299">
      <c r="A299" s="223" t="str">
        <f>IFERROR(__xludf.DUMMYFUNCTION("""COMPUTED_VALUE"""),"Arazy Group : Other Projects")</f>
        <v>Arazy Group : Other Projects</v>
      </c>
      <c r="B299" s="223" t="str">
        <f>IFERROR(__xludf.DUMMYFUNCTION("""COMPUTED_VALUE"""),"Arazy Group")</f>
        <v>Arazy Group</v>
      </c>
      <c r="C299" s="223" t="str">
        <f>IFERROR(__xludf.DUMMYFUNCTION("""COMPUTED_VALUE"""),"Other Projects")</f>
        <v>Other Projects</v>
      </c>
      <c r="D299" s="316">
        <f>IFERROR(__xludf.DUMMYFUNCTION("""COMPUTED_VALUE"""),44788.0)</f>
        <v>44788</v>
      </c>
      <c r="E299" s="298">
        <f>IFERROR(__xludf.DUMMYFUNCTION("""COMPUTED_VALUE"""),2250.0)</f>
        <v>2250</v>
      </c>
      <c r="F299" s="298">
        <f>IFERROR(__xludf.DUMMYFUNCTION("""COMPUTED_VALUE"""),68.81)</f>
        <v>68.81</v>
      </c>
      <c r="G299" s="298">
        <f>IFERROR(__xludf.DUMMYFUNCTION("""COMPUTED_VALUE"""),0.0)</f>
        <v>0</v>
      </c>
      <c r="H299" s="223">
        <f>IFERROR(__xludf.DUMMYFUNCTION("""COMPUTED_VALUE"""),2181.19)</f>
        <v>2181.19</v>
      </c>
      <c r="I299" s="298"/>
      <c r="J299" s="223" t="str">
        <f>IFERROR(__xludf.DUMMYFUNCTION("""COMPUTED_VALUE"""),"50% Deposit 50% Final")</f>
        <v>50% Deposit 50% Final</v>
      </c>
      <c r="K299" s="317">
        <f>IFERROR(__xludf.DUMMYFUNCTION("""COMPUTED_VALUE"""),2022.0)</f>
        <v>2022</v>
      </c>
      <c r="L299" s="298"/>
      <c r="M299" s="223"/>
      <c r="N299" s="223"/>
      <c r="O299" s="223"/>
      <c r="P299" s="223"/>
      <c r="Q299" s="223"/>
      <c r="R299" s="223"/>
      <c r="S299" s="223"/>
      <c r="T299" s="223"/>
      <c r="U299" s="223"/>
      <c r="V299" s="223"/>
      <c r="W299" s="223"/>
      <c r="X299" s="223"/>
      <c r="Y299" s="223"/>
      <c r="Z299" s="223"/>
    </row>
    <row r="300">
      <c r="A300" s="223" t="str">
        <f>IFERROR(__xludf.DUMMYFUNCTION("""COMPUTED_VALUE"""),"Arazy Group : Monthly Services")</f>
        <v>Arazy Group : Monthly Services</v>
      </c>
      <c r="B300" s="223" t="str">
        <f>IFERROR(__xludf.DUMMYFUNCTION("""COMPUTED_VALUE"""),"Arazy Group")</f>
        <v>Arazy Group</v>
      </c>
      <c r="C300" s="223" t="str">
        <f>IFERROR(__xludf.DUMMYFUNCTION("""COMPUTED_VALUE"""),"Monthly Services")</f>
        <v>Monthly Services</v>
      </c>
      <c r="D300" s="316">
        <f>IFERROR(__xludf.DUMMYFUNCTION("""COMPUTED_VALUE"""),44666.0)</f>
        <v>44666</v>
      </c>
      <c r="E300" s="298">
        <f>IFERROR(__xludf.DUMMYFUNCTION("""COMPUTED_VALUE"""),650.0)</f>
        <v>650</v>
      </c>
      <c r="F300" s="298">
        <f>IFERROR(__xludf.DUMMYFUNCTION("""COMPUTED_VALUE"""),20.09)</f>
        <v>20.09</v>
      </c>
      <c r="G300" s="298">
        <f>IFERROR(__xludf.DUMMYFUNCTION("""COMPUTED_VALUE"""),0.0)</f>
        <v>0</v>
      </c>
      <c r="H300" s="223">
        <f>IFERROR(__xludf.DUMMYFUNCTION("""COMPUTED_VALUE"""),629.91)</f>
        <v>629.91</v>
      </c>
      <c r="I300" s="298"/>
      <c r="J300" s="223" t="str">
        <f>IFERROR(__xludf.DUMMYFUNCTION("""COMPUTED_VALUE"""),"Monthly")</f>
        <v>Monthly</v>
      </c>
      <c r="K300" s="317">
        <f>IFERROR(__xludf.DUMMYFUNCTION("""COMPUTED_VALUE"""),2022.04)</f>
        <v>2022.04</v>
      </c>
      <c r="L300" s="298"/>
      <c r="M300" s="223"/>
      <c r="N300" s="223"/>
      <c r="O300" s="223"/>
      <c r="P300" s="223"/>
      <c r="Q300" s="223"/>
      <c r="R300" s="223"/>
      <c r="S300" s="223"/>
      <c r="T300" s="223"/>
      <c r="U300" s="223"/>
      <c r="V300" s="223"/>
      <c r="W300" s="223"/>
      <c r="X300" s="223"/>
      <c r="Y300" s="223"/>
      <c r="Z300" s="223"/>
    </row>
    <row r="301">
      <c r="A301" s="223" t="str">
        <f>IFERROR(__xludf.DUMMYFUNCTION("""COMPUTED_VALUE"""),"Argos Products : Monthly Services")</f>
        <v>Argos Products : Monthly Services</v>
      </c>
      <c r="B301" s="223" t="str">
        <f>IFERROR(__xludf.DUMMYFUNCTION("""COMPUTED_VALUE"""),"Argos Products")</f>
        <v>Argos Products</v>
      </c>
      <c r="C301" s="223" t="str">
        <f>IFERROR(__xludf.DUMMYFUNCTION("""COMPUTED_VALUE"""),"Monthly Services")</f>
        <v>Monthly Services</v>
      </c>
      <c r="D301" s="316">
        <f>IFERROR(__xludf.DUMMYFUNCTION("""COMPUTED_VALUE"""),44666.0)</f>
        <v>44666</v>
      </c>
      <c r="E301" s="298">
        <f>IFERROR(__xludf.DUMMYFUNCTION("""COMPUTED_VALUE"""),500.0)</f>
        <v>500</v>
      </c>
      <c r="F301" s="298">
        <f>IFERROR(__xludf.DUMMYFUNCTION("""COMPUTED_VALUE"""),0.0)</f>
        <v>0</v>
      </c>
      <c r="G301" s="298">
        <f>IFERROR(__xludf.DUMMYFUNCTION("""COMPUTED_VALUE"""),0.0)</f>
        <v>0</v>
      </c>
      <c r="H301" s="223">
        <f>IFERROR(__xludf.DUMMYFUNCTION("""COMPUTED_VALUE"""),500.0)</f>
        <v>500</v>
      </c>
      <c r="I301" s="298"/>
      <c r="J301" s="223" t="str">
        <f>IFERROR(__xludf.DUMMYFUNCTION("""COMPUTED_VALUE"""),"Monthly")</f>
        <v>Monthly</v>
      </c>
      <c r="K301" s="317">
        <f>IFERROR(__xludf.DUMMYFUNCTION("""COMPUTED_VALUE"""),2022.04)</f>
        <v>2022.04</v>
      </c>
      <c r="L301" s="298"/>
      <c r="M301" s="223"/>
      <c r="N301" s="223"/>
      <c r="O301" s="223"/>
      <c r="P301" s="223"/>
      <c r="Q301" s="223"/>
      <c r="R301" s="223"/>
      <c r="S301" s="223"/>
      <c r="T301" s="223"/>
      <c r="U301" s="223"/>
      <c r="V301" s="223"/>
      <c r="W301" s="223"/>
      <c r="X301" s="223"/>
      <c r="Y301" s="223"/>
      <c r="Z301" s="223"/>
    </row>
    <row r="302">
      <c r="A302" s="223" t="str">
        <f>IFERROR(__xludf.DUMMYFUNCTION("""COMPUTED_VALUE"""),"Booginhead : Monthly Services")</f>
        <v>Booginhead : Monthly Services</v>
      </c>
      <c r="B302" s="223" t="str">
        <f>IFERROR(__xludf.DUMMYFUNCTION("""COMPUTED_VALUE"""),"Booginhead")</f>
        <v>Booginhead</v>
      </c>
      <c r="C302" s="223" t="str">
        <f>IFERROR(__xludf.DUMMYFUNCTION("""COMPUTED_VALUE"""),"Monthly Services")</f>
        <v>Monthly Services</v>
      </c>
      <c r="D302" s="316">
        <f>IFERROR(__xludf.DUMMYFUNCTION("""COMPUTED_VALUE"""),44666.0)</f>
        <v>44666</v>
      </c>
      <c r="E302" s="298">
        <f>IFERROR(__xludf.DUMMYFUNCTION("""COMPUTED_VALUE"""),1587.0946)</f>
        <v>1587.0946</v>
      </c>
      <c r="F302" s="298">
        <f>IFERROR(__xludf.DUMMYFUNCTION("""COMPUTED_VALUE"""),59.088752799999995)</f>
        <v>59.0887528</v>
      </c>
      <c r="G302" s="298">
        <f>IFERROR(__xludf.DUMMYFUNCTION("""COMPUTED_VALUE"""),305.60116944)</f>
        <v>305.6011694</v>
      </c>
      <c r="H302" s="223">
        <f>IFERROR(__xludf.DUMMYFUNCTION("""COMPUTED_VALUE"""),1222.40467776)</f>
        <v>1222.404678</v>
      </c>
      <c r="I302" s="298"/>
      <c r="J302" s="223" t="str">
        <f>IFERROR(__xludf.DUMMYFUNCTION("""COMPUTED_VALUE"""),"Monthly")</f>
        <v>Monthly</v>
      </c>
      <c r="K302" s="317">
        <f>IFERROR(__xludf.DUMMYFUNCTION("""COMPUTED_VALUE"""),2022.04)</f>
        <v>2022.04</v>
      </c>
      <c r="L302" s="298"/>
      <c r="M302" s="223"/>
      <c r="N302" s="223"/>
      <c r="O302" s="223"/>
      <c r="P302" s="223"/>
      <c r="Q302" s="223"/>
      <c r="R302" s="223"/>
      <c r="S302" s="223"/>
      <c r="T302" s="223"/>
      <c r="U302" s="223"/>
      <c r="V302" s="223"/>
      <c r="W302" s="223"/>
      <c r="X302" s="223"/>
      <c r="Y302" s="223"/>
      <c r="Z302" s="223"/>
    </row>
    <row r="303">
      <c r="A303" s="223" t="str">
        <f>IFERROR(__xludf.DUMMYFUNCTION("""COMPUTED_VALUE"""),"C360 : Victory360")</f>
        <v>C360 : Victory360</v>
      </c>
      <c r="B303" s="223" t="str">
        <f>IFERROR(__xludf.DUMMYFUNCTION("""COMPUTED_VALUE"""),"C360")</f>
        <v>C360</v>
      </c>
      <c r="C303" s="223" t="str">
        <f>IFERROR(__xludf.DUMMYFUNCTION("""COMPUTED_VALUE"""),"Victory360")</f>
        <v>Victory360</v>
      </c>
      <c r="D303" s="316">
        <f>IFERROR(__xludf.DUMMYFUNCTION("""COMPUTED_VALUE"""),44666.0)</f>
        <v>44666</v>
      </c>
      <c r="E303" s="298">
        <f>IFERROR(__xludf.DUMMYFUNCTION("""COMPUTED_VALUE"""),1867.35)</f>
        <v>1867.35</v>
      </c>
      <c r="F303" s="298">
        <f>IFERROR(__xludf.DUMMYFUNCTION("""COMPUTED_VALUE"""),0.0)</f>
        <v>0</v>
      </c>
      <c r="G303" s="298">
        <f>IFERROR(__xludf.DUMMYFUNCTION("""COMPUTED_VALUE"""),0.0)</f>
        <v>0</v>
      </c>
      <c r="H303" s="223">
        <f>IFERROR(__xludf.DUMMYFUNCTION("""COMPUTED_VALUE"""),1867.35)</f>
        <v>1867.35</v>
      </c>
      <c r="I303" s="298"/>
      <c r="J303" s="223" t="str">
        <f>IFERROR(__xludf.DUMMYFUNCTION("""COMPUTED_VALUE"""),"Monthly")</f>
        <v>Monthly</v>
      </c>
      <c r="K303" s="317">
        <f>IFERROR(__xludf.DUMMYFUNCTION("""COMPUTED_VALUE"""),2022.04)</f>
        <v>2022.04</v>
      </c>
      <c r="L303" s="298"/>
      <c r="M303" s="223"/>
      <c r="N303" s="223"/>
      <c r="O303" s="223"/>
      <c r="P303" s="223"/>
      <c r="Q303" s="223"/>
      <c r="R303" s="223"/>
      <c r="S303" s="223"/>
      <c r="T303" s="223"/>
      <c r="U303" s="223"/>
      <c r="V303" s="223"/>
      <c r="W303" s="223"/>
      <c r="X303" s="223"/>
      <c r="Y303" s="223"/>
      <c r="Z303" s="223"/>
    </row>
    <row r="304">
      <c r="A304" s="223" t="str">
        <f>IFERROR(__xludf.DUMMYFUNCTION("""COMPUTED_VALUE"""),"New Growth Ecommerce Inc : Monthly Services")</f>
        <v>New Growth Ecommerce Inc : Monthly Services</v>
      </c>
      <c r="B304" s="223" t="str">
        <f>IFERROR(__xludf.DUMMYFUNCTION("""COMPUTED_VALUE"""),"New Growth Ecommerce Inc")</f>
        <v>New Growth Ecommerce Inc</v>
      </c>
      <c r="C304" s="223" t="str">
        <f>IFERROR(__xludf.DUMMYFUNCTION("""COMPUTED_VALUE"""),"Monthly Services")</f>
        <v>Monthly Services</v>
      </c>
      <c r="D304" s="316">
        <f>IFERROR(__xludf.DUMMYFUNCTION("""COMPUTED_VALUE"""),44666.0)</f>
        <v>44666</v>
      </c>
      <c r="E304" s="298">
        <f>IFERROR(__xludf.DUMMYFUNCTION("""COMPUTED_VALUE"""),5000.0)</f>
        <v>5000</v>
      </c>
      <c r="F304" s="298">
        <f>IFERROR(__xludf.DUMMYFUNCTION("""COMPUTED_VALUE"""),0.0)</f>
        <v>0</v>
      </c>
      <c r="G304" s="298">
        <f>IFERROR(__xludf.DUMMYFUNCTION("""COMPUTED_VALUE"""),0.0)</f>
        <v>0</v>
      </c>
      <c r="H304" s="223">
        <f>IFERROR(__xludf.DUMMYFUNCTION("""COMPUTED_VALUE"""),5000.0)</f>
        <v>5000</v>
      </c>
      <c r="I304" s="298"/>
      <c r="J304" s="223" t="str">
        <f>IFERROR(__xludf.DUMMYFUNCTION("""COMPUTED_VALUE"""),"Monthly")</f>
        <v>Monthly</v>
      </c>
      <c r="K304" s="317">
        <f>IFERROR(__xludf.DUMMYFUNCTION("""COMPUTED_VALUE"""),2022.04)</f>
        <v>2022.04</v>
      </c>
      <c r="L304" s="298"/>
      <c r="M304" s="223"/>
      <c r="N304" s="223"/>
      <c r="O304" s="223"/>
      <c r="P304" s="223"/>
      <c r="Q304" s="223"/>
      <c r="R304" s="223"/>
      <c r="S304" s="223"/>
      <c r="T304" s="223"/>
      <c r="U304" s="223"/>
      <c r="V304" s="223"/>
      <c r="W304" s="223"/>
      <c r="X304" s="223"/>
      <c r="Y304" s="223"/>
      <c r="Z304" s="223"/>
    </row>
    <row r="305">
      <c r="A305" s="223" t="str">
        <f>IFERROR(__xludf.DUMMYFUNCTION("""COMPUTED_VALUE"""),"OA Region 6 : Monthly Services")</f>
        <v>OA Region 6 : Monthly Services</v>
      </c>
      <c r="B305" s="223" t="str">
        <f>IFERROR(__xludf.DUMMYFUNCTION("""COMPUTED_VALUE"""),"OA Region 6")</f>
        <v>OA Region 6</v>
      </c>
      <c r="C305" s="223" t="str">
        <f>IFERROR(__xludf.DUMMYFUNCTION("""COMPUTED_VALUE"""),"Monthly Services")</f>
        <v>Monthly Services</v>
      </c>
      <c r="D305" s="316">
        <f>IFERROR(__xludf.DUMMYFUNCTION("""COMPUTED_VALUE"""),44666.0)</f>
        <v>44666</v>
      </c>
      <c r="E305" s="298">
        <f>IFERROR(__xludf.DUMMYFUNCTION("""COMPUTED_VALUE"""),434.32235)</f>
        <v>434.32235</v>
      </c>
      <c r="F305" s="298">
        <f>IFERROR(__xludf.DUMMYFUNCTION("""COMPUTED_VALUE"""),16.44220325)</f>
        <v>16.44220325</v>
      </c>
      <c r="G305" s="298">
        <f>IFERROR(__xludf.DUMMYFUNCTION("""COMPUTED_VALUE"""),0.0)</f>
        <v>0</v>
      </c>
      <c r="H305" s="223">
        <f>IFERROR(__xludf.DUMMYFUNCTION("""COMPUTED_VALUE"""),417.88014675)</f>
        <v>417.8801468</v>
      </c>
      <c r="I305" s="298"/>
      <c r="J305" s="223" t="str">
        <f>IFERROR(__xludf.DUMMYFUNCTION("""COMPUTED_VALUE"""),"Monthly")</f>
        <v>Monthly</v>
      </c>
      <c r="K305" s="317">
        <f>IFERROR(__xludf.DUMMYFUNCTION("""COMPUTED_VALUE"""),2022.04)</f>
        <v>2022.04</v>
      </c>
      <c r="L305" s="298"/>
      <c r="M305" s="223"/>
      <c r="N305" s="223"/>
      <c r="O305" s="223"/>
      <c r="P305" s="223"/>
      <c r="Q305" s="223"/>
      <c r="R305" s="223"/>
      <c r="S305" s="223"/>
      <c r="T305" s="223"/>
      <c r="U305" s="223"/>
      <c r="V305" s="223"/>
      <c r="W305" s="223"/>
      <c r="X305" s="223"/>
      <c r="Y305" s="223"/>
      <c r="Z305" s="223"/>
    </row>
    <row r="306">
      <c r="A306" s="223" t="str">
        <f>IFERROR(__xludf.DUMMYFUNCTION("""COMPUTED_VALUE"""),"Technology Rivers : Monthly Services")</f>
        <v>Technology Rivers : Monthly Services</v>
      </c>
      <c r="B306" s="223" t="str">
        <f>IFERROR(__xludf.DUMMYFUNCTION("""COMPUTED_VALUE"""),"Technology Rivers")</f>
        <v>Technology Rivers</v>
      </c>
      <c r="C306" s="223" t="str">
        <f>IFERROR(__xludf.DUMMYFUNCTION("""COMPUTED_VALUE"""),"Monthly Services")</f>
        <v>Monthly Services</v>
      </c>
      <c r="D306" s="316">
        <f>IFERROR(__xludf.DUMMYFUNCTION("""COMPUTED_VALUE"""),44666.0)</f>
        <v>44666</v>
      </c>
      <c r="E306" s="298">
        <f>IFERROR(__xludf.DUMMYFUNCTION("""COMPUTED_VALUE"""),610.4209999999999)</f>
        <v>610.421</v>
      </c>
      <c r="F306" s="298">
        <f>IFERROR(__xludf.DUMMYFUNCTION("""COMPUTED_VALUE"""),22.9518296)</f>
        <v>22.9518296</v>
      </c>
      <c r="G306" s="298">
        <f>IFERROR(__xludf.DUMMYFUNCTION("""COMPUTED_VALUE"""),117.49383408)</f>
        <v>117.4938341</v>
      </c>
      <c r="H306" s="223">
        <f>IFERROR(__xludf.DUMMYFUNCTION("""COMPUTED_VALUE"""),469.97533631999994)</f>
        <v>469.9753363</v>
      </c>
      <c r="I306" s="298"/>
      <c r="J306" s="223" t="str">
        <f>IFERROR(__xludf.DUMMYFUNCTION("""COMPUTED_VALUE"""),"Monthly")</f>
        <v>Monthly</v>
      </c>
      <c r="K306" s="317">
        <f>IFERROR(__xludf.DUMMYFUNCTION("""COMPUTED_VALUE"""),2022.04)</f>
        <v>2022.04</v>
      </c>
      <c r="L306" s="298"/>
      <c r="M306" s="223"/>
      <c r="N306" s="223"/>
      <c r="O306" s="223"/>
      <c r="P306" s="223"/>
      <c r="Q306" s="223"/>
      <c r="R306" s="223"/>
      <c r="S306" s="223"/>
      <c r="T306" s="223"/>
      <c r="U306" s="223"/>
      <c r="V306" s="223"/>
      <c r="W306" s="223"/>
      <c r="X306" s="223"/>
      <c r="Y306" s="223"/>
      <c r="Z306" s="223"/>
    </row>
    <row r="307">
      <c r="A307" s="223" t="str">
        <f>IFERROR(__xludf.DUMMYFUNCTION("""COMPUTED_VALUE"""),"Tofino Resort + Marina : Monthly Services")</f>
        <v>Tofino Resort + Marina : Monthly Services</v>
      </c>
      <c r="B307" s="223" t="str">
        <f>IFERROR(__xludf.DUMMYFUNCTION("""COMPUTED_VALUE"""),"Tofino Resort + Marina")</f>
        <v>Tofino Resort + Marina</v>
      </c>
      <c r="C307" s="223" t="str">
        <f>IFERROR(__xludf.DUMMYFUNCTION("""COMPUTED_VALUE"""),"Monthly Services")</f>
        <v>Monthly Services</v>
      </c>
      <c r="D307" s="316">
        <f>IFERROR(__xludf.DUMMYFUNCTION("""COMPUTED_VALUE"""),44666.0)</f>
        <v>44666</v>
      </c>
      <c r="E307" s="298">
        <f>IFERROR(__xludf.DUMMYFUNCTION("""COMPUTED_VALUE"""),1600.0)</f>
        <v>1600</v>
      </c>
      <c r="F307" s="298">
        <f>IFERROR(__xludf.DUMMYFUNCTION("""COMPUTED_VALUE"""),49.78)</f>
        <v>49.78</v>
      </c>
      <c r="G307" s="298">
        <f>IFERROR(__xludf.DUMMYFUNCTION("""COMPUTED_VALUE"""),0.0)</f>
        <v>0</v>
      </c>
      <c r="H307" s="223">
        <f>IFERROR(__xludf.DUMMYFUNCTION("""COMPUTED_VALUE"""),1550.22)</f>
        <v>1550.22</v>
      </c>
      <c r="I307" s="298"/>
      <c r="J307" s="223" t="str">
        <f>IFERROR(__xludf.DUMMYFUNCTION("""COMPUTED_VALUE"""),"Monthly")</f>
        <v>Monthly</v>
      </c>
      <c r="K307" s="317">
        <f>IFERROR(__xludf.DUMMYFUNCTION("""COMPUTED_VALUE"""),2022.0)</f>
        <v>2022</v>
      </c>
      <c r="L307" s="298"/>
      <c r="M307" s="223"/>
      <c r="N307" s="223"/>
      <c r="O307" s="223"/>
      <c r="P307" s="223"/>
      <c r="Q307" s="223"/>
      <c r="R307" s="223"/>
      <c r="S307" s="223"/>
      <c r="T307" s="223"/>
      <c r="U307" s="223"/>
      <c r="V307" s="223"/>
      <c r="W307" s="223"/>
      <c r="X307" s="223"/>
      <c r="Y307" s="223"/>
      <c r="Z307" s="223"/>
    </row>
    <row r="308">
      <c r="A308" s="223" t="str">
        <f>IFERROR(__xludf.DUMMYFUNCTION("""COMPUTED_VALUE"""),"Viridian : Monthly Services")</f>
        <v>Viridian : Monthly Services</v>
      </c>
      <c r="B308" s="223" t="str">
        <f>IFERROR(__xludf.DUMMYFUNCTION("""COMPUTED_VALUE"""),"Viridian")</f>
        <v>Viridian</v>
      </c>
      <c r="C308" s="223" t="str">
        <f>IFERROR(__xludf.DUMMYFUNCTION("""COMPUTED_VALUE"""),"Monthly Services")</f>
        <v>Monthly Services</v>
      </c>
      <c r="D308" s="316">
        <f>IFERROR(__xludf.DUMMYFUNCTION("""COMPUTED_VALUE"""),44666.0)</f>
        <v>44666</v>
      </c>
      <c r="E308" s="298">
        <f>IFERROR(__xludf.DUMMYFUNCTION("""COMPUTED_VALUE"""),900.0)</f>
        <v>900</v>
      </c>
      <c r="F308" s="298">
        <f>IFERROR(__xludf.DUMMYFUNCTION("""COMPUTED_VALUE"""),0.0)</f>
        <v>0</v>
      </c>
      <c r="G308" s="298">
        <f>IFERROR(__xludf.DUMMYFUNCTION("""COMPUTED_VALUE"""),0.0)</f>
        <v>0</v>
      </c>
      <c r="H308" s="223">
        <f>IFERROR(__xludf.DUMMYFUNCTION("""COMPUTED_VALUE"""),900.0)</f>
        <v>900</v>
      </c>
      <c r="I308" s="298"/>
      <c r="J308" s="223" t="str">
        <f>IFERROR(__xludf.DUMMYFUNCTION("""COMPUTED_VALUE"""),"Monthly")</f>
        <v>Monthly</v>
      </c>
      <c r="K308" s="317">
        <f>IFERROR(__xludf.DUMMYFUNCTION("""COMPUTED_VALUE"""),2022.04)</f>
        <v>2022.04</v>
      </c>
      <c r="L308" s="298"/>
      <c r="M308" s="223"/>
      <c r="N308" s="223"/>
      <c r="O308" s="223"/>
      <c r="P308" s="223"/>
      <c r="Q308" s="223"/>
      <c r="R308" s="223"/>
      <c r="S308" s="223"/>
      <c r="T308" s="223"/>
      <c r="U308" s="223"/>
      <c r="V308" s="223"/>
      <c r="W308" s="223"/>
      <c r="X308" s="223"/>
      <c r="Y308" s="223"/>
      <c r="Z308" s="223"/>
    </row>
    <row r="309">
      <c r="A309" s="223" t="str">
        <f>IFERROR(__xludf.DUMMYFUNCTION("""COMPUTED_VALUE"""),"Canyon's Construction : Website Project")</f>
        <v>Canyon's Construction : Website Project</v>
      </c>
      <c r="B309" s="223" t="str">
        <f>IFERROR(__xludf.DUMMYFUNCTION("""COMPUTED_VALUE"""),"Canyon's Construction")</f>
        <v>Canyon's Construction</v>
      </c>
      <c r="C309" s="223" t="str">
        <f>IFERROR(__xludf.DUMMYFUNCTION("""COMPUTED_VALUE"""),"Website Project")</f>
        <v>Website Project</v>
      </c>
      <c r="D309" s="316">
        <f>IFERROR(__xludf.DUMMYFUNCTION("""COMPUTED_VALUE"""),44666.0)</f>
        <v>44666</v>
      </c>
      <c r="E309" s="298">
        <f>IFERROR(__xludf.DUMMYFUNCTION("""COMPUTED_VALUE"""),3967.7365)</f>
        <v>3967.7365</v>
      </c>
      <c r="F309" s="298">
        <f>IFERROR(__xludf.DUMMYFUNCTION("""COMPUTED_VALUE"""),147.1725031)</f>
        <v>147.1725031</v>
      </c>
      <c r="G309" s="298">
        <f>IFERROR(__xludf.DUMMYFUNCTION("""COMPUTED_VALUE"""),0.0)</f>
        <v>0</v>
      </c>
      <c r="H309" s="223">
        <f>IFERROR(__xludf.DUMMYFUNCTION("""COMPUTED_VALUE"""),3820.5639969)</f>
        <v>3820.563997</v>
      </c>
      <c r="I309" s="298"/>
      <c r="J309" s="223" t="str">
        <f>IFERROR(__xludf.DUMMYFUNCTION("""COMPUTED_VALUE"""),"50% Deposit
50% Final Payment")</f>
        <v>50% Deposit
50% Final Payment</v>
      </c>
      <c r="K309" s="317">
        <f>IFERROR(__xludf.DUMMYFUNCTION("""COMPUTED_VALUE"""),2022.0)</f>
        <v>2022</v>
      </c>
      <c r="L309" s="298"/>
      <c r="M309" s="223"/>
      <c r="N309" s="223"/>
      <c r="O309" s="223"/>
      <c r="P309" s="223"/>
      <c r="Q309" s="223"/>
      <c r="R309" s="223"/>
      <c r="S309" s="223"/>
      <c r="T309" s="223"/>
      <c r="U309" s="223"/>
      <c r="V309" s="223"/>
      <c r="W309" s="223"/>
      <c r="X309" s="223"/>
      <c r="Y309" s="223"/>
      <c r="Z309" s="223"/>
    </row>
    <row r="310">
      <c r="A310" s="223" t="str">
        <f>IFERROR(__xludf.DUMMYFUNCTION("""COMPUTED_VALUE"""),"Canyon's Construction : Website Project")</f>
        <v>Canyon's Construction : Website Project</v>
      </c>
      <c r="B310" s="223" t="str">
        <f>IFERROR(__xludf.DUMMYFUNCTION("""COMPUTED_VALUE"""),"Canyon's Construction")</f>
        <v>Canyon's Construction</v>
      </c>
      <c r="C310" s="223" t="str">
        <f>IFERROR(__xludf.DUMMYFUNCTION("""COMPUTED_VALUE"""),"Website Project")</f>
        <v>Website Project</v>
      </c>
      <c r="D310" s="316">
        <f>IFERROR(__xludf.DUMMYFUNCTION("""COMPUTED_VALUE"""),44712.0)</f>
        <v>44712</v>
      </c>
      <c r="E310" s="298">
        <f>IFERROR(__xludf.DUMMYFUNCTION("""COMPUTED_VALUE"""),4055.376)</f>
        <v>4055.376</v>
      </c>
      <c r="F310" s="298">
        <f>IFERROR(__xludf.DUMMYFUNCTION("""COMPUTED_VALUE"""),150.4232544)</f>
        <v>150.4232544</v>
      </c>
      <c r="G310" s="298">
        <f>IFERROR(__xludf.DUMMYFUNCTION("""COMPUTED_VALUE"""),1545.1019399971442)</f>
        <v>1545.10194</v>
      </c>
      <c r="H310" s="223">
        <f>IFERROR(__xludf.DUMMYFUNCTION("""COMPUTED_VALUE"""),2359.850805602856)</f>
        <v>2359.850806</v>
      </c>
      <c r="I310" s="298"/>
      <c r="J310" s="223" t="str">
        <f>IFERROR(__xludf.DUMMYFUNCTION("""COMPUTED_VALUE"""),"50% Deposit
50% Final Payment")</f>
        <v>50% Deposit
50% Final Payment</v>
      </c>
      <c r="K310" s="317">
        <f>IFERROR(__xludf.DUMMYFUNCTION("""COMPUTED_VALUE"""),2022.0)</f>
        <v>2022</v>
      </c>
      <c r="L310" s="298"/>
      <c r="M310" s="223"/>
      <c r="N310" s="223"/>
      <c r="O310" s="223"/>
      <c r="P310" s="223"/>
      <c r="Q310" s="223"/>
      <c r="R310" s="223"/>
      <c r="S310" s="223"/>
      <c r="T310" s="223"/>
      <c r="U310" s="223"/>
      <c r="V310" s="223"/>
      <c r="W310" s="223"/>
      <c r="X310" s="223"/>
      <c r="Y310" s="223"/>
      <c r="Z310" s="223"/>
    </row>
    <row r="311">
      <c r="A311" s="223" t="str">
        <f>IFERROR(__xludf.DUMMYFUNCTION("""COMPUTED_VALUE"""),"VADARTS : Website Support Project")</f>
        <v>VADARTS : Website Support Project</v>
      </c>
      <c r="B311" s="223" t="str">
        <f>IFERROR(__xludf.DUMMYFUNCTION("""COMPUTED_VALUE"""),"VADARTS")</f>
        <v>VADARTS</v>
      </c>
      <c r="C311" s="223" t="str">
        <f>IFERROR(__xludf.DUMMYFUNCTION("""COMPUTED_VALUE"""),"Website Support Project")</f>
        <v>Website Support Project</v>
      </c>
      <c r="D311" s="316">
        <f>IFERROR(__xludf.DUMMYFUNCTION("""COMPUTED_VALUE"""),44680.0)</f>
        <v>44680</v>
      </c>
      <c r="E311" s="298">
        <f>IFERROR(__xludf.DUMMYFUNCTION("""COMPUTED_VALUE"""),350.0)</f>
        <v>350</v>
      </c>
      <c r="F311" s="298">
        <f>IFERROR(__xludf.DUMMYFUNCTION("""COMPUTED_VALUE"""),0.0)</f>
        <v>0</v>
      </c>
      <c r="G311" s="298">
        <f>IFERROR(__xludf.DUMMYFUNCTION("""COMPUTED_VALUE"""),0.0)</f>
        <v>0</v>
      </c>
      <c r="H311" s="223">
        <f>IFERROR(__xludf.DUMMYFUNCTION("""COMPUTED_VALUE"""),350.0)</f>
        <v>350</v>
      </c>
      <c r="I311" s="298"/>
      <c r="J311" s="223" t="str">
        <f>IFERROR(__xludf.DUMMYFUNCTION("""COMPUTED_VALUE"""),"One-Time ")</f>
        <v>One-Time </v>
      </c>
      <c r="K311" s="317">
        <f>IFERROR(__xludf.DUMMYFUNCTION("""COMPUTED_VALUE"""),2022.0)</f>
        <v>2022</v>
      </c>
      <c r="L311" s="298"/>
      <c r="M311" s="223"/>
      <c r="N311" s="223"/>
      <c r="O311" s="223"/>
      <c r="P311" s="223"/>
      <c r="Q311" s="223"/>
      <c r="R311" s="223"/>
      <c r="S311" s="223"/>
      <c r="T311" s="223"/>
      <c r="U311" s="223"/>
      <c r="V311" s="223"/>
      <c r="W311" s="223"/>
      <c r="X311" s="223"/>
      <c r="Y311" s="223"/>
      <c r="Z311" s="223"/>
    </row>
    <row r="312">
      <c r="A312" s="223" t="str">
        <f>IFERROR(__xludf.DUMMYFUNCTION("""COMPUTED_VALUE"""),"Shopify : Partner Payment")</f>
        <v>Shopify : Partner Payment</v>
      </c>
      <c r="B312" s="223" t="str">
        <f>IFERROR(__xludf.DUMMYFUNCTION("""COMPUTED_VALUE"""),"Shopify")</f>
        <v>Shopify</v>
      </c>
      <c r="C312" s="223" t="str">
        <f>IFERROR(__xludf.DUMMYFUNCTION("""COMPUTED_VALUE"""),"Partner Payment")</f>
        <v>Partner Payment</v>
      </c>
      <c r="D312" s="316">
        <f>IFERROR(__xludf.DUMMYFUNCTION("""COMPUTED_VALUE"""),44673.0)</f>
        <v>44673</v>
      </c>
      <c r="E312" s="298">
        <f>IFERROR(__xludf.DUMMYFUNCTION("""COMPUTED_VALUE"""),38.5173032)</f>
        <v>38.5173032</v>
      </c>
      <c r="F312" s="298">
        <f>IFERROR(__xludf.DUMMYFUNCTION("""COMPUTED_VALUE"""),0.0)</f>
        <v>0</v>
      </c>
      <c r="G312" s="298">
        <f>IFERROR(__xludf.DUMMYFUNCTION("""COMPUTED_VALUE"""),0.0)</f>
        <v>0</v>
      </c>
      <c r="H312" s="223">
        <f>IFERROR(__xludf.DUMMYFUNCTION("""COMPUTED_VALUE"""),38.5173032)</f>
        <v>38.5173032</v>
      </c>
      <c r="I312" s="298"/>
      <c r="J312" s="223" t="str">
        <f>IFERROR(__xludf.DUMMYFUNCTION("""COMPUTED_VALUE"""),"Monthly")</f>
        <v>Monthly</v>
      </c>
      <c r="K312" s="317">
        <f>IFERROR(__xludf.DUMMYFUNCTION("""COMPUTED_VALUE"""),2022.0)</f>
        <v>2022</v>
      </c>
      <c r="L312" s="298"/>
      <c r="M312" s="223"/>
      <c r="N312" s="223"/>
      <c r="O312" s="223"/>
      <c r="P312" s="223"/>
      <c r="Q312" s="223"/>
      <c r="R312" s="223"/>
      <c r="S312" s="223"/>
      <c r="T312" s="223"/>
      <c r="U312" s="223"/>
      <c r="V312" s="223"/>
      <c r="W312" s="223"/>
      <c r="X312" s="223"/>
      <c r="Y312" s="223"/>
      <c r="Z312" s="223"/>
    </row>
    <row r="313">
      <c r="A313" s="223" t="str">
        <f>IFERROR(__xludf.DUMMYFUNCTION("""COMPUTED_VALUE"""),"Advisicon : Quarterly Website Maintenance Support")</f>
        <v>Advisicon : Quarterly Website Maintenance Support</v>
      </c>
      <c r="B313" s="223" t="str">
        <f>IFERROR(__xludf.DUMMYFUNCTION("""COMPUTED_VALUE"""),"Advisicon")</f>
        <v>Advisicon</v>
      </c>
      <c r="C313" s="223" t="str">
        <f>IFERROR(__xludf.DUMMYFUNCTION("""COMPUTED_VALUE"""),"Quarterly Website Maintenance Support")</f>
        <v>Quarterly Website Maintenance Support</v>
      </c>
      <c r="D313" s="316">
        <f>IFERROR(__xludf.DUMMYFUNCTION("""COMPUTED_VALUE"""),44680.0)</f>
        <v>44680</v>
      </c>
      <c r="E313" s="298">
        <f>IFERROR(__xludf.DUMMYFUNCTION("""COMPUTED_VALUE"""),183.345)</f>
        <v>183.345</v>
      </c>
      <c r="F313" s="298">
        <f>IFERROR(__xludf.DUMMYFUNCTION("""COMPUTED_VALUE"""),0.0)</f>
        <v>0</v>
      </c>
      <c r="G313" s="298">
        <f>IFERROR(__xludf.DUMMYFUNCTION("""COMPUTED_VALUE"""),0.0)</f>
        <v>0</v>
      </c>
      <c r="H313" s="223">
        <f>IFERROR(__xludf.DUMMYFUNCTION("""COMPUTED_VALUE"""),183.345)</f>
        <v>183.345</v>
      </c>
      <c r="I313" s="298"/>
      <c r="J313" s="223" t="str">
        <f>IFERROR(__xludf.DUMMYFUNCTION("""COMPUTED_VALUE"""),"Monthly")</f>
        <v>Monthly</v>
      </c>
      <c r="K313" s="317">
        <f>IFERROR(__xludf.DUMMYFUNCTION("""COMPUTED_VALUE"""),2022.04)</f>
        <v>2022.04</v>
      </c>
      <c r="L313" s="298"/>
      <c r="M313" s="223"/>
      <c r="N313" s="223"/>
      <c r="O313" s="223"/>
      <c r="P313" s="223"/>
      <c r="Q313" s="223"/>
      <c r="R313" s="223"/>
      <c r="S313" s="223"/>
      <c r="T313" s="223"/>
      <c r="U313" s="223"/>
      <c r="V313" s="223"/>
      <c r="W313" s="223"/>
      <c r="X313" s="223"/>
      <c r="Y313" s="223"/>
      <c r="Z313" s="223"/>
    </row>
    <row r="314">
      <c r="A314" s="223" t="str">
        <f>IFERROR(__xludf.DUMMYFUNCTION("""COMPUTED_VALUE"""),"Anook Athletics : Monthly Services")</f>
        <v>Anook Athletics : Monthly Services</v>
      </c>
      <c r="B314" s="223" t="str">
        <f>IFERROR(__xludf.DUMMYFUNCTION("""COMPUTED_VALUE"""),"Anook Athletics")</f>
        <v>Anook Athletics</v>
      </c>
      <c r="C314" s="223" t="str">
        <f>IFERROR(__xludf.DUMMYFUNCTION("""COMPUTED_VALUE"""),"Monthly Services")</f>
        <v>Monthly Services</v>
      </c>
      <c r="D314" s="316">
        <f>IFERROR(__xludf.DUMMYFUNCTION("""COMPUTED_VALUE"""),44680.0)</f>
        <v>44680</v>
      </c>
      <c r="E314" s="298">
        <f>IFERROR(__xludf.DUMMYFUNCTION("""COMPUTED_VALUE"""),800.0)</f>
        <v>800</v>
      </c>
      <c r="F314" s="298">
        <f>IFERROR(__xludf.DUMMYFUNCTION("""COMPUTED_VALUE"""),24.89)</f>
        <v>24.89</v>
      </c>
      <c r="G314" s="298">
        <f>IFERROR(__xludf.DUMMYFUNCTION("""COMPUTED_VALUE"""),0.0)</f>
        <v>0</v>
      </c>
      <c r="H314" s="223">
        <f>IFERROR(__xludf.DUMMYFUNCTION("""COMPUTED_VALUE"""),775.11)</f>
        <v>775.11</v>
      </c>
      <c r="I314" s="298"/>
      <c r="J314" s="223" t="str">
        <f>IFERROR(__xludf.DUMMYFUNCTION("""COMPUTED_VALUE"""),"Monthly")</f>
        <v>Monthly</v>
      </c>
      <c r="K314" s="317">
        <f>IFERROR(__xludf.DUMMYFUNCTION("""COMPUTED_VALUE"""),2022.04)</f>
        <v>2022.04</v>
      </c>
      <c r="L314" s="298"/>
      <c r="M314" s="223"/>
      <c r="N314" s="223"/>
      <c r="O314" s="223"/>
      <c r="P314" s="223"/>
      <c r="Q314" s="223"/>
      <c r="R314" s="223"/>
      <c r="S314" s="223"/>
      <c r="T314" s="223"/>
      <c r="U314" s="223"/>
      <c r="V314" s="223"/>
      <c r="W314" s="223"/>
      <c r="X314" s="223"/>
      <c r="Y314" s="223"/>
      <c r="Z314" s="223"/>
    </row>
    <row r="315">
      <c r="A315" s="223" t="str">
        <f>IFERROR(__xludf.DUMMYFUNCTION("""COMPUTED_VALUE"""),"Availed Technologies : Monthly Services")</f>
        <v>Availed Technologies : Monthly Services</v>
      </c>
      <c r="B315" s="223" t="str">
        <f>IFERROR(__xludf.DUMMYFUNCTION("""COMPUTED_VALUE"""),"Availed Technologies")</f>
        <v>Availed Technologies</v>
      </c>
      <c r="C315" s="223" t="str">
        <f>IFERROR(__xludf.DUMMYFUNCTION("""COMPUTED_VALUE"""),"Monthly Services")</f>
        <v>Monthly Services</v>
      </c>
      <c r="D315" s="316">
        <f>IFERROR(__xludf.DUMMYFUNCTION("""COMPUTED_VALUE"""),44680.0)</f>
        <v>44680</v>
      </c>
      <c r="E315" s="298">
        <f>IFERROR(__xludf.DUMMYFUNCTION("""COMPUTED_VALUE"""),750.0)</f>
        <v>750</v>
      </c>
      <c r="F315" s="298">
        <f>IFERROR(__xludf.DUMMYFUNCTION("""COMPUTED_VALUE"""),23.33)</f>
        <v>23.33</v>
      </c>
      <c r="G315" s="298">
        <f>IFERROR(__xludf.DUMMYFUNCTION("""COMPUTED_VALUE"""),0.0)</f>
        <v>0</v>
      </c>
      <c r="H315" s="223">
        <f>IFERROR(__xludf.DUMMYFUNCTION("""COMPUTED_VALUE"""),726.67)</f>
        <v>726.67</v>
      </c>
      <c r="I315" s="298"/>
      <c r="J315" s="223" t="str">
        <f>IFERROR(__xludf.DUMMYFUNCTION("""COMPUTED_VALUE"""),"Monthly")</f>
        <v>Monthly</v>
      </c>
      <c r="K315" s="317">
        <f>IFERROR(__xludf.DUMMYFUNCTION("""COMPUTED_VALUE"""),2022.04)</f>
        <v>2022.04</v>
      </c>
      <c r="L315" s="298"/>
      <c r="M315" s="223"/>
      <c r="N315" s="223"/>
      <c r="O315" s="223"/>
      <c r="P315" s="223"/>
      <c r="Q315" s="223"/>
      <c r="R315" s="223"/>
      <c r="S315" s="223"/>
      <c r="T315" s="223"/>
      <c r="U315" s="223"/>
      <c r="V315" s="223"/>
      <c r="W315" s="223"/>
      <c r="X315" s="223"/>
      <c r="Y315" s="223"/>
      <c r="Z315" s="223"/>
    </row>
    <row r="316">
      <c r="A316" s="223" t="str">
        <f>IFERROR(__xludf.DUMMYFUNCTION("""COMPUTED_VALUE"""),"BookKing (Pacific Tier) : Monthly Services")</f>
        <v>BookKing (Pacific Tier) : Monthly Services</v>
      </c>
      <c r="B316" s="223" t="str">
        <f>IFERROR(__xludf.DUMMYFUNCTION("""COMPUTED_VALUE"""),"BookKing (Pacific Tier)")</f>
        <v>BookKing (Pacific Tier)</v>
      </c>
      <c r="C316" s="223" t="str">
        <f>IFERROR(__xludf.DUMMYFUNCTION("""COMPUTED_VALUE"""),"Monthly Services")</f>
        <v>Monthly Services</v>
      </c>
      <c r="D316" s="316">
        <f>IFERROR(__xludf.DUMMYFUNCTION("""COMPUTED_VALUE"""),44680.0)</f>
        <v>44680</v>
      </c>
      <c r="E316" s="298">
        <f>IFERROR(__xludf.DUMMYFUNCTION("""COMPUTED_VALUE"""),900.0)</f>
        <v>900</v>
      </c>
      <c r="F316" s="298">
        <f>IFERROR(__xludf.DUMMYFUNCTION("""COMPUTED_VALUE"""),0.0)</f>
        <v>0</v>
      </c>
      <c r="G316" s="298">
        <f>IFERROR(__xludf.DUMMYFUNCTION("""COMPUTED_VALUE"""),0.0)</f>
        <v>0</v>
      </c>
      <c r="H316" s="223">
        <f>IFERROR(__xludf.DUMMYFUNCTION("""COMPUTED_VALUE"""),900.0)</f>
        <v>900</v>
      </c>
      <c r="I316" s="298"/>
      <c r="J316" s="223" t="str">
        <f>IFERROR(__xludf.DUMMYFUNCTION("""COMPUTED_VALUE"""),"Monthly")</f>
        <v>Monthly</v>
      </c>
      <c r="K316" s="317">
        <f>IFERROR(__xludf.DUMMYFUNCTION("""COMPUTED_VALUE"""),2022.04)</f>
        <v>2022.04</v>
      </c>
      <c r="L316" s="298"/>
      <c r="M316" s="223"/>
      <c r="N316" s="223"/>
      <c r="O316" s="223"/>
      <c r="P316" s="223"/>
      <c r="Q316" s="223"/>
      <c r="R316" s="223"/>
      <c r="S316" s="223"/>
      <c r="T316" s="223"/>
      <c r="U316" s="223"/>
      <c r="V316" s="223"/>
      <c r="W316" s="223"/>
      <c r="X316" s="223"/>
      <c r="Y316" s="223"/>
      <c r="Z316" s="223"/>
    </row>
    <row r="317">
      <c r="A317" s="223" t="str">
        <f>IFERROR(__xludf.DUMMYFUNCTION("""COMPUTED_VALUE"""),"Bratopia : Monthly Services")</f>
        <v>Bratopia : Monthly Services</v>
      </c>
      <c r="B317" s="223" t="str">
        <f>IFERROR(__xludf.DUMMYFUNCTION("""COMPUTED_VALUE"""),"Bratopia")</f>
        <v>Bratopia</v>
      </c>
      <c r="C317" s="223" t="str">
        <f>IFERROR(__xludf.DUMMYFUNCTION("""COMPUTED_VALUE"""),"Monthly Services")</f>
        <v>Monthly Services</v>
      </c>
      <c r="D317" s="316">
        <f>IFERROR(__xludf.DUMMYFUNCTION("""COMPUTED_VALUE"""),44680.0)</f>
        <v>44680</v>
      </c>
      <c r="E317" s="298">
        <f>IFERROR(__xludf.DUMMYFUNCTION("""COMPUTED_VALUE"""),1550.0)</f>
        <v>1550</v>
      </c>
      <c r="F317" s="298">
        <f>IFERROR(__xludf.DUMMYFUNCTION("""COMPUTED_VALUE"""),48.22)</f>
        <v>48.22</v>
      </c>
      <c r="G317" s="298">
        <f>IFERROR(__xludf.DUMMYFUNCTION("""COMPUTED_VALUE"""),0.0)</f>
        <v>0</v>
      </c>
      <c r="H317" s="223">
        <f>IFERROR(__xludf.DUMMYFUNCTION("""COMPUTED_VALUE"""),1501.78)</f>
        <v>1501.78</v>
      </c>
      <c r="I317" s="298"/>
      <c r="J317" s="223" t="str">
        <f>IFERROR(__xludf.DUMMYFUNCTION("""COMPUTED_VALUE"""),"Monthly")</f>
        <v>Monthly</v>
      </c>
      <c r="K317" s="317">
        <f>IFERROR(__xludf.DUMMYFUNCTION("""COMPUTED_VALUE"""),2022.04)</f>
        <v>2022.04</v>
      </c>
      <c r="L317" s="298"/>
      <c r="M317" s="223"/>
      <c r="N317" s="223"/>
      <c r="O317" s="223"/>
      <c r="P317" s="223"/>
      <c r="Q317" s="223"/>
      <c r="R317" s="223"/>
      <c r="S317" s="223"/>
      <c r="T317" s="223"/>
      <c r="U317" s="223"/>
      <c r="V317" s="223"/>
      <c r="W317" s="223"/>
      <c r="X317" s="223"/>
      <c r="Y317" s="223"/>
      <c r="Z317" s="223"/>
    </row>
    <row r="318">
      <c r="A318" s="223" t="str">
        <f>IFERROR(__xludf.DUMMYFUNCTION("""COMPUTED_VALUE"""),"Community Financials : Monthly Services")</f>
        <v>Community Financials : Monthly Services</v>
      </c>
      <c r="B318" s="223" t="str">
        <f>IFERROR(__xludf.DUMMYFUNCTION("""COMPUTED_VALUE"""),"Community Financials")</f>
        <v>Community Financials</v>
      </c>
      <c r="C318" s="223" t="str">
        <f>IFERROR(__xludf.DUMMYFUNCTION("""COMPUTED_VALUE"""),"Monthly Services")</f>
        <v>Monthly Services</v>
      </c>
      <c r="D318" s="316">
        <f>IFERROR(__xludf.DUMMYFUNCTION("""COMPUTED_VALUE"""),44680.0)</f>
        <v>44680</v>
      </c>
      <c r="E318" s="298">
        <f>IFERROR(__xludf.DUMMYFUNCTION("""COMPUTED_VALUE"""),1849.3049999999998)</f>
        <v>1849.305</v>
      </c>
      <c r="F318" s="298">
        <f>IFERROR(__xludf.DUMMYFUNCTION("""COMPUTED_VALUE"""),68.794146)</f>
        <v>68.794146</v>
      </c>
      <c r="G318" s="298">
        <f>IFERROR(__xludf.DUMMYFUNCTION("""COMPUTED_VALUE"""),356.1021708)</f>
        <v>356.1021708</v>
      </c>
      <c r="H318" s="223">
        <f>IFERROR(__xludf.DUMMYFUNCTION("""COMPUTED_VALUE"""),1424.4086831999998)</f>
        <v>1424.408683</v>
      </c>
      <c r="I318" s="298"/>
      <c r="J318" s="223" t="str">
        <f>IFERROR(__xludf.DUMMYFUNCTION("""COMPUTED_VALUE"""),"Monthly")</f>
        <v>Monthly</v>
      </c>
      <c r="K318" s="317">
        <f>IFERROR(__xludf.DUMMYFUNCTION("""COMPUTED_VALUE"""),2022.04)</f>
        <v>2022.04</v>
      </c>
      <c r="L318" s="298"/>
      <c r="M318" s="223"/>
      <c r="N318" s="223"/>
      <c r="O318" s="223"/>
      <c r="P318" s="223"/>
      <c r="Q318" s="223"/>
      <c r="R318" s="223"/>
      <c r="S318" s="223"/>
      <c r="T318" s="223"/>
      <c r="U318" s="223"/>
      <c r="V318" s="223"/>
      <c r="W318" s="223"/>
      <c r="X318" s="223"/>
      <c r="Y318" s="223"/>
      <c r="Z318" s="223"/>
    </row>
    <row r="319">
      <c r="A319" s="223" t="str">
        <f>IFERROR(__xludf.DUMMYFUNCTION("""COMPUTED_VALUE"""),"Diversified Health : Monthly Services")</f>
        <v>Diversified Health : Monthly Services</v>
      </c>
      <c r="B319" s="223" t="str">
        <f>IFERROR(__xludf.DUMMYFUNCTION("""COMPUTED_VALUE"""),"Diversified Health")</f>
        <v>Diversified Health</v>
      </c>
      <c r="C319" s="223" t="str">
        <f>IFERROR(__xludf.DUMMYFUNCTION("""COMPUTED_VALUE"""),"Monthly Services")</f>
        <v>Monthly Services</v>
      </c>
      <c r="D319" s="316">
        <f>IFERROR(__xludf.DUMMYFUNCTION("""COMPUTED_VALUE"""),44680.0)</f>
        <v>44680</v>
      </c>
      <c r="E319" s="298">
        <f>IFERROR(__xludf.DUMMYFUNCTION("""COMPUTED_VALUE"""),1000.0)</f>
        <v>1000</v>
      </c>
      <c r="F319" s="298">
        <f>IFERROR(__xludf.DUMMYFUNCTION("""COMPUTED_VALUE"""),0.0)</f>
        <v>0</v>
      </c>
      <c r="G319" s="298">
        <f>IFERROR(__xludf.DUMMYFUNCTION("""COMPUTED_VALUE"""),0.0)</f>
        <v>0</v>
      </c>
      <c r="H319" s="223">
        <f>IFERROR(__xludf.DUMMYFUNCTION("""COMPUTED_VALUE"""),1000.0)</f>
        <v>1000</v>
      </c>
      <c r="I319" s="298"/>
      <c r="J319" s="223" t="str">
        <f>IFERROR(__xludf.DUMMYFUNCTION("""COMPUTED_VALUE"""),"Monthly")</f>
        <v>Monthly</v>
      </c>
      <c r="K319" s="317">
        <f>IFERROR(__xludf.DUMMYFUNCTION("""COMPUTED_VALUE"""),2022.04)</f>
        <v>2022.04</v>
      </c>
      <c r="L319" s="298"/>
      <c r="M319" s="223"/>
      <c r="N319" s="223"/>
      <c r="O319" s="223"/>
      <c r="P319" s="223"/>
      <c r="Q319" s="223"/>
      <c r="R319" s="223"/>
      <c r="S319" s="223"/>
      <c r="T319" s="223"/>
      <c r="U319" s="223"/>
      <c r="V319" s="223"/>
      <c r="W319" s="223"/>
      <c r="X319" s="223"/>
      <c r="Y319" s="223"/>
      <c r="Z319" s="223"/>
    </row>
    <row r="320">
      <c r="A320" s="223" t="str">
        <f>IFERROR(__xludf.DUMMYFUNCTION("""COMPUTED_VALUE"""),"Giga Tires : Monthly Services")</f>
        <v>Giga Tires : Monthly Services</v>
      </c>
      <c r="B320" s="223" t="str">
        <f>IFERROR(__xludf.DUMMYFUNCTION("""COMPUTED_VALUE"""),"Giga Tires")</f>
        <v>Giga Tires</v>
      </c>
      <c r="C320" s="223" t="str">
        <f>IFERROR(__xludf.DUMMYFUNCTION("""COMPUTED_VALUE"""),"Monthly Services")</f>
        <v>Monthly Services</v>
      </c>
      <c r="D320" s="316">
        <f>IFERROR(__xludf.DUMMYFUNCTION("""COMPUTED_VALUE"""),44680.0)</f>
        <v>44680</v>
      </c>
      <c r="E320" s="298">
        <f>IFERROR(__xludf.DUMMYFUNCTION("""COMPUTED_VALUE"""),550.0)</f>
        <v>550</v>
      </c>
      <c r="F320" s="298">
        <f>IFERROR(__xludf.DUMMYFUNCTION("""COMPUTED_VALUE"""),21.67)</f>
        <v>21.67</v>
      </c>
      <c r="G320" s="298">
        <f>IFERROR(__xludf.DUMMYFUNCTION("""COMPUTED_VALUE"""),0.0)</f>
        <v>0</v>
      </c>
      <c r="H320" s="223">
        <f>IFERROR(__xludf.DUMMYFUNCTION("""COMPUTED_VALUE"""),528.33)</f>
        <v>528.33</v>
      </c>
      <c r="I320" s="298"/>
      <c r="J320" s="223" t="str">
        <f>IFERROR(__xludf.DUMMYFUNCTION("""COMPUTED_VALUE"""),"Monthly")</f>
        <v>Monthly</v>
      </c>
      <c r="K320" s="317">
        <f>IFERROR(__xludf.DUMMYFUNCTION("""COMPUTED_VALUE"""),2022.04)</f>
        <v>2022.04</v>
      </c>
      <c r="L320" s="298"/>
      <c r="M320" s="223"/>
      <c r="N320" s="223"/>
      <c r="O320" s="223"/>
      <c r="P320" s="223"/>
      <c r="Q320" s="223"/>
      <c r="R320" s="223"/>
      <c r="S320" s="223"/>
      <c r="T320" s="223"/>
      <c r="U320" s="223"/>
      <c r="V320" s="223"/>
      <c r="W320" s="223"/>
      <c r="X320" s="223"/>
      <c r="Y320" s="223"/>
      <c r="Z320" s="223"/>
    </row>
    <row r="321">
      <c r="A321" s="223" t="str">
        <f>IFERROR(__xludf.DUMMYFUNCTION("""COMPUTED_VALUE"""),"Hastings House : Monthly Services")</f>
        <v>Hastings House : Monthly Services</v>
      </c>
      <c r="B321" s="223" t="str">
        <f>IFERROR(__xludf.DUMMYFUNCTION("""COMPUTED_VALUE"""),"Hastings House")</f>
        <v>Hastings House</v>
      </c>
      <c r="C321" s="223" t="str">
        <f>IFERROR(__xludf.DUMMYFUNCTION("""COMPUTED_VALUE"""),"Monthly Services")</f>
        <v>Monthly Services</v>
      </c>
      <c r="D321" s="316">
        <f>IFERROR(__xludf.DUMMYFUNCTION("""COMPUTED_VALUE"""),44680.0)</f>
        <v>44680</v>
      </c>
      <c r="E321" s="298">
        <f>IFERROR(__xludf.DUMMYFUNCTION("""COMPUTED_VALUE"""),1500.0)</f>
        <v>1500</v>
      </c>
      <c r="F321" s="298">
        <f>IFERROR(__xludf.DUMMYFUNCTION("""COMPUTED_VALUE"""),46.67)</f>
        <v>46.67</v>
      </c>
      <c r="G321" s="298">
        <f>IFERROR(__xludf.DUMMYFUNCTION("""COMPUTED_VALUE"""),217.99949999999998)</f>
        <v>217.9995</v>
      </c>
      <c r="H321" s="223">
        <f>IFERROR(__xludf.DUMMYFUNCTION("""COMPUTED_VALUE"""),1235.3305)</f>
        <v>1235.3305</v>
      </c>
      <c r="I321" s="298"/>
      <c r="J321" s="223" t="str">
        <f>IFERROR(__xludf.DUMMYFUNCTION("""COMPUTED_VALUE"""),"Monthly")</f>
        <v>Monthly</v>
      </c>
      <c r="K321" s="317">
        <f>IFERROR(__xludf.DUMMYFUNCTION("""COMPUTED_VALUE"""),2022.04)</f>
        <v>2022.04</v>
      </c>
      <c r="L321" s="298"/>
      <c r="M321" s="223"/>
      <c r="N321" s="223"/>
      <c r="O321" s="223"/>
      <c r="P321" s="223"/>
      <c r="Q321" s="223"/>
      <c r="R321" s="223"/>
      <c r="S321" s="223"/>
      <c r="T321" s="223"/>
      <c r="U321" s="223"/>
      <c r="V321" s="223"/>
      <c r="W321" s="223"/>
      <c r="X321" s="223"/>
      <c r="Y321" s="223"/>
      <c r="Z321" s="223"/>
    </row>
    <row r="322">
      <c r="A322" s="223" t="str">
        <f>IFERROR(__xludf.DUMMYFUNCTION("""COMPUTED_VALUE"""),"HSJ Lawyers : Monthly Services")</f>
        <v>HSJ Lawyers : Monthly Services</v>
      </c>
      <c r="B322" s="223" t="str">
        <f>IFERROR(__xludf.DUMMYFUNCTION("""COMPUTED_VALUE"""),"HSJ Lawyers")</f>
        <v>HSJ Lawyers</v>
      </c>
      <c r="C322" s="223" t="str">
        <f>IFERROR(__xludf.DUMMYFUNCTION("""COMPUTED_VALUE"""),"Monthly Services")</f>
        <v>Monthly Services</v>
      </c>
      <c r="D322" s="316">
        <f>IFERROR(__xludf.DUMMYFUNCTION("""COMPUTED_VALUE"""),44680.0)</f>
        <v>44680</v>
      </c>
      <c r="E322" s="298">
        <f>IFERROR(__xludf.DUMMYFUNCTION("""COMPUTED_VALUE"""),800.0)</f>
        <v>800</v>
      </c>
      <c r="F322" s="298">
        <f>IFERROR(__xludf.DUMMYFUNCTION("""COMPUTED_VALUE"""),0.0)</f>
        <v>0</v>
      </c>
      <c r="G322" s="298">
        <f>IFERROR(__xludf.DUMMYFUNCTION("""COMPUTED_VALUE"""),0.0)</f>
        <v>0</v>
      </c>
      <c r="H322" s="223">
        <f>IFERROR(__xludf.DUMMYFUNCTION("""COMPUTED_VALUE"""),800.0)</f>
        <v>800</v>
      </c>
      <c r="I322" s="298"/>
      <c r="J322" s="223" t="str">
        <f>IFERROR(__xludf.DUMMYFUNCTION("""COMPUTED_VALUE"""),"Monthly")</f>
        <v>Monthly</v>
      </c>
      <c r="K322" s="317">
        <f>IFERROR(__xludf.DUMMYFUNCTION("""COMPUTED_VALUE"""),2022.04)</f>
        <v>2022.04</v>
      </c>
      <c r="L322" s="298"/>
      <c r="M322" s="223"/>
      <c r="N322" s="223"/>
      <c r="O322" s="223"/>
      <c r="P322" s="223"/>
      <c r="Q322" s="223"/>
      <c r="R322" s="223"/>
      <c r="S322" s="223"/>
      <c r="T322" s="223"/>
      <c r="U322" s="223"/>
      <c r="V322" s="223"/>
      <c r="W322" s="223"/>
      <c r="X322" s="223"/>
      <c r="Y322" s="223"/>
      <c r="Z322" s="223"/>
    </row>
    <row r="323">
      <c r="A323" s="223" t="str">
        <f>IFERROR(__xludf.DUMMYFUNCTION("""COMPUTED_VALUE"""),"MortgagePal : Monthly Services")</f>
        <v>MortgagePal : Monthly Services</v>
      </c>
      <c r="B323" s="223" t="str">
        <f>IFERROR(__xludf.DUMMYFUNCTION("""COMPUTED_VALUE"""),"MortgagePal")</f>
        <v>MortgagePal</v>
      </c>
      <c r="C323" s="223" t="str">
        <f>IFERROR(__xludf.DUMMYFUNCTION("""COMPUTED_VALUE"""),"Monthly Services")</f>
        <v>Monthly Services</v>
      </c>
      <c r="D323" s="316">
        <f>IFERROR(__xludf.DUMMYFUNCTION("""COMPUTED_VALUE"""),44680.0)</f>
        <v>44680</v>
      </c>
      <c r="E323" s="298">
        <f>IFERROR(__xludf.DUMMYFUNCTION("""COMPUTED_VALUE"""),500.0)</f>
        <v>500</v>
      </c>
      <c r="F323" s="298">
        <f>IFERROR(__xludf.DUMMYFUNCTION("""COMPUTED_VALUE"""),15.53)</f>
        <v>15.53</v>
      </c>
      <c r="G323" s="298">
        <f>IFERROR(__xludf.DUMMYFUNCTION("""COMPUTED_VALUE"""),0.0)</f>
        <v>0</v>
      </c>
      <c r="H323" s="223">
        <f>IFERROR(__xludf.DUMMYFUNCTION("""COMPUTED_VALUE"""),484.47)</f>
        <v>484.47</v>
      </c>
      <c r="I323" s="298"/>
      <c r="J323" s="223" t="str">
        <f>IFERROR(__xludf.DUMMYFUNCTION("""COMPUTED_VALUE"""),"Monthly")</f>
        <v>Monthly</v>
      </c>
      <c r="K323" s="317">
        <f>IFERROR(__xludf.DUMMYFUNCTION("""COMPUTED_VALUE"""),2022.04)</f>
        <v>2022.04</v>
      </c>
      <c r="L323" s="298"/>
      <c r="M323" s="223"/>
      <c r="N323" s="223"/>
      <c r="O323" s="223"/>
      <c r="P323" s="223"/>
      <c r="Q323" s="223"/>
      <c r="R323" s="223"/>
      <c r="S323" s="223"/>
      <c r="T323" s="223"/>
      <c r="U323" s="223"/>
      <c r="V323" s="223"/>
      <c r="W323" s="223"/>
      <c r="X323" s="223"/>
      <c r="Y323" s="223"/>
      <c r="Z323" s="223"/>
    </row>
    <row r="324">
      <c r="A324" s="223" t="str">
        <f>IFERROR(__xludf.DUMMYFUNCTION("""COMPUTED_VALUE"""),"Olivia Shoppe : Monthly Services")</f>
        <v>Olivia Shoppe : Monthly Services</v>
      </c>
      <c r="B324" s="223" t="str">
        <f>IFERROR(__xludf.DUMMYFUNCTION("""COMPUTED_VALUE"""),"Olivia Shoppe")</f>
        <v>Olivia Shoppe</v>
      </c>
      <c r="C324" s="223" t="str">
        <f>IFERROR(__xludf.DUMMYFUNCTION("""COMPUTED_VALUE"""),"Monthly Services")</f>
        <v>Monthly Services</v>
      </c>
      <c r="D324" s="316">
        <f>IFERROR(__xludf.DUMMYFUNCTION("""COMPUTED_VALUE"""),44680.0)</f>
        <v>44680</v>
      </c>
      <c r="E324" s="298">
        <f>IFERROR(__xludf.DUMMYFUNCTION("""COMPUTED_VALUE"""),808.36405)</f>
        <v>808.36405</v>
      </c>
      <c r="F324" s="298">
        <f>IFERROR(__xludf.DUMMYFUNCTION("""COMPUTED_VALUE"""),30.00896081)</f>
        <v>30.00896081</v>
      </c>
      <c r="G324" s="298">
        <f>IFERROR(__xludf.DUMMYFUNCTION("""COMPUTED_VALUE"""),155.671017838)</f>
        <v>155.6710178</v>
      </c>
      <c r="H324" s="223">
        <f>IFERROR(__xludf.DUMMYFUNCTION("""COMPUTED_VALUE"""),622.684071352)</f>
        <v>622.6840714</v>
      </c>
      <c r="I324" s="298"/>
      <c r="J324" s="223" t="str">
        <f>IFERROR(__xludf.DUMMYFUNCTION("""COMPUTED_VALUE"""),"Monthly")</f>
        <v>Monthly</v>
      </c>
      <c r="K324" s="317">
        <f>IFERROR(__xludf.DUMMYFUNCTION("""COMPUTED_VALUE"""),2022.04)</f>
        <v>2022.04</v>
      </c>
      <c r="L324" s="298"/>
      <c r="M324" s="223"/>
      <c r="N324" s="223"/>
      <c r="O324" s="223"/>
      <c r="P324" s="223"/>
      <c r="Q324" s="223"/>
      <c r="R324" s="223"/>
      <c r="S324" s="223"/>
      <c r="T324" s="223"/>
      <c r="U324" s="223"/>
      <c r="V324" s="223"/>
      <c r="W324" s="223"/>
      <c r="X324" s="223"/>
      <c r="Y324" s="223"/>
      <c r="Z324" s="223"/>
    </row>
    <row r="325">
      <c r="A325" s="223" t="str">
        <f>IFERROR(__xludf.DUMMYFUNCTION("""COMPUTED_VALUE"""),"PMDI : Monthly Services")</f>
        <v>PMDI : Monthly Services</v>
      </c>
      <c r="B325" s="223" t="str">
        <f>IFERROR(__xludf.DUMMYFUNCTION("""COMPUTED_VALUE"""),"PMDI")</f>
        <v>PMDI</v>
      </c>
      <c r="C325" s="223" t="str">
        <f>IFERROR(__xludf.DUMMYFUNCTION("""COMPUTED_VALUE"""),"Monthly Services")</f>
        <v>Monthly Services</v>
      </c>
      <c r="D325" s="316">
        <f>IFERROR(__xludf.DUMMYFUNCTION("""COMPUTED_VALUE"""),44680.0)</f>
        <v>44680</v>
      </c>
      <c r="E325" s="298">
        <f>IFERROR(__xludf.DUMMYFUNCTION("""COMPUTED_VALUE"""),375.0)</f>
        <v>375</v>
      </c>
      <c r="F325" s="298">
        <f>IFERROR(__xludf.DUMMYFUNCTION("""COMPUTED_VALUE"""),0.0)</f>
        <v>0</v>
      </c>
      <c r="G325" s="298">
        <f>IFERROR(__xludf.DUMMYFUNCTION("""COMPUTED_VALUE"""),0.0)</f>
        <v>0</v>
      </c>
      <c r="H325" s="223">
        <f>IFERROR(__xludf.DUMMYFUNCTION("""COMPUTED_VALUE"""),375.0)</f>
        <v>375</v>
      </c>
      <c r="I325" s="298"/>
      <c r="J325" s="223" t="str">
        <f>IFERROR(__xludf.DUMMYFUNCTION("""COMPUTED_VALUE"""),"Monthly")</f>
        <v>Monthly</v>
      </c>
      <c r="K325" s="317">
        <f>IFERROR(__xludf.DUMMYFUNCTION("""COMPUTED_VALUE"""),2022.04)</f>
        <v>2022.04</v>
      </c>
      <c r="L325" s="298"/>
      <c r="M325" s="223"/>
      <c r="N325" s="223"/>
      <c r="O325" s="223"/>
      <c r="P325" s="223"/>
      <c r="Q325" s="223"/>
      <c r="R325" s="223"/>
      <c r="S325" s="223"/>
      <c r="T325" s="223"/>
      <c r="U325" s="223"/>
      <c r="V325" s="223"/>
      <c r="W325" s="223"/>
      <c r="X325" s="223"/>
      <c r="Y325" s="223"/>
      <c r="Z325" s="223"/>
    </row>
    <row r="326">
      <c r="A326" s="223" t="str">
        <f>IFERROR(__xludf.DUMMYFUNCTION("""COMPUTED_VALUE"""),"Prime Engineering : Monthly Services")</f>
        <v>Prime Engineering : Monthly Services</v>
      </c>
      <c r="B326" s="223" t="str">
        <f>IFERROR(__xludf.DUMMYFUNCTION("""COMPUTED_VALUE"""),"Prime Engineering")</f>
        <v>Prime Engineering</v>
      </c>
      <c r="C326" s="223" t="str">
        <f>IFERROR(__xludf.DUMMYFUNCTION("""COMPUTED_VALUE"""),"Monthly Services")</f>
        <v>Monthly Services</v>
      </c>
      <c r="D326" s="316">
        <f>IFERROR(__xludf.DUMMYFUNCTION("""COMPUTED_VALUE"""),44680.0)</f>
        <v>44680</v>
      </c>
      <c r="E326" s="298">
        <f>IFERROR(__xludf.DUMMYFUNCTION("""COMPUTED_VALUE"""),500.0)</f>
        <v>500</v>
      </c>
      <c r="F326" s="298">
        <f>IFERROR(__xludf.DUMMYFUNCTION("""COMPUTED_VALUE"""),0.0)</f>
        <v>0</v>
      </c>
      <c r="G326" s="298">
        <f>IFERROR(__xludf.DUMMYFUNCTION("""COMPUTED_VALUE"""),0.0)</f>
        <v>0</v>
      </c>
      <c r="H326" s="223">
        <f>IFERROR(__xludf.DUMMYFUNCTION("""COMPUTED_VALUE"""),500.0)</f>
        <v>500</v>
      </c>
      <c r="I326" s="298"/>
      <c r="J326" s="223" t="str">
        <f>IFERROR(__xludf.DUMMYFUNCTION("""COMPUTED_VALUE"""),"Monthly")</f>
        <v>Monthly</v>
      </c>
      <c r="K326" s="317">
        <f>IFERROR(__xludf.DUMMYFUNCTION("""COMPUTED_VALUE"""),2022.04)</f>
        <v>2022.04</v>
      </c>
      <c r="L326" s="298"/>
      <c r="M326" s="223"/>
      <c r="N326" s="223"/>
      <c r="O326" s="223"/>
      <c r="P326" s="223"/>
      <c r="Q326" s="223"/>
      <c r="R326" s="223"/>
      <c r="S326" s="223"/>
      <c r="T326" s="223"/>
      <c r="U326" s="223"/>
      <c r="V326" s="223"/>
      <c r="W326" s="223"/>
      <c r="X326" s="223"/>
      <c r="Y326" s="223"/>
      <c r="Z326" s="223"/>
    </row>
    <row r="327">
      <c r="A327" s="223" t="str">
        <f>IFERROR(__xludf.DUMMYFUNCTION("""COMPUTED_VALUE"""),"Rama Meditation Society : Premium Hosting + Support")</f>
        <v>Rama Meditation Society : Premium Hosting + Support</v>
      </c>
      <c r="B327" s="223" t="str">
        <f>IFERROR(__xludf.DUMMYFUNCTION("""COMPUTED_VALUE"""),"Rama Meditation Society")</f>
        <v>Rama Meditation Society</v>
      </c>
      <c r="C327" s="223" t="str">
        <f>IFERROR(__xludf.DUMMYFUNCTION("""COMPUTED_VALUE"""),"Premium Hosting + Support")</f>
        <v>Premium Hosting + Support</v>
      </c>
      <c r="D327" s="316">
        <f>IFERROR(__xludf.DUMMYFUNCTION("""COMPUTED_VALUE"""),44680.0)</f>
        <v>44680</v>
      </c>
      <c r="E327" s="298">
        <f>IFERROR(__xludf.DUMMYFUNCTION("""COMPUTED_VALUE"""),370.0647)</f>
        <v>370.0647</v>
      </c>
      <c r="F327" s="298">
        <f>IFERROR(__xludf.DUMMYFUNCTION("""COMPUTED_VALUE"""),14.062458600000001)</f>
        <v>14.0624586</v>
      </c>
      <c r="G327" s="298">
        <f>IFERROR(__xludf.DUMMYFUNCTION("""COMPUTED_VALUE"""),0.0)</f>
        <v>0</v>
      </c>
      <c r="H327" s="223">
        <f>IFERROR(__xludf.DUMMYFUNCTION("""COMPUTED_VALUE"""),356.0022414)</f>
        <v>356.0022414</v>
      </c>
      <c r="I327" s="298"/>
      <c r="J327" s="223" t="str">
        <f>IFERROR(__xludf.DUMMYFUNCTION("""COMPUTED_VALUE"""),"Monthly")</f>
        <v>Monthly</v>
      </c>
      <c r="K327" s="317">
        <f>IFERROR(__xludf.DUMMYFUNCTION("""COMPUTED_VALUE"""),2022.04)</f>
        <v>2022.04</v>
      </c>
      <c r="L327" s="298"/>
      <c r="M327" s="223"/>
      <c r="N327" s="223"/>
      <c r="O327" s="223"/>
      <c r="P327" s="223"/>
      <c r="Q327" s="223"/>
      <c r="R327" s="223"/>
      <c r="S327" s="223"/>
      <c r="T327" s="223"/>
      <c r="U327" s="223"/>
      <c r="V327" s="223"/>
      <c r="W327" s="223"/>
      <c r="X327" s="223"/>
      <c r="Y327" s="223"/>
      <c r="Z327" s="223"/>
    </row>
    <row r="328">
      <c r="A328" s="223" t="str">
        <f>IFERROR(__xludf.DUMMYFUNCTION("""COMPUTED_VALUE"""),"Red Seal : Monthly Services")</f>
        <v>Red Seal : Monthly Services</v>
      </c>
      <c r="B328" s="223" t="str">
        <f>IFERROR(__xludf.DUMMYFUNCTION("""COMPUTED_VALUE"""),"Red Seal")</f>
        <v>Red Seal</v>
      </c>
      <c r="C328" s="223" t="str">
        <f>IFERROR(__xludf.DUMMYFUNCTION("""COMPUTED_VALUE"""),"Monthly Services")</f>
        <v>Monthly Services</v>
      </c>
      <c r="D328" s="316">
        <f>IFERROR(__xludf.DUMMYFUNCTION("""COMPUTED_VALUE"""),44680.0)</f>
        <v>44680</v>
      </c>
      <c r="E328" s="298">
        <f>IFERROR(__xludf.DUMMYFUNCTION("""COMPUTED_VALUE"""),250.0)</f>
        <v>250</v>
      </c>
      <c r="F328" s="298">
        <f>IFERROR(__xludf.DUMMYFUNCTION("""COMPUTED_VALUE"""),0.0)</f>
        <v>0</v>
      </c>
      <c r="G328" s="298">
        <f>IFERROR(__xludf.DUMMYFUNCTION("""COMPUTED_VALUE"""),0.0)</f>
        <v>0</v>
      </c>
      <c r="H328" s="223">
        <f>IFERROR(__xludf.DUMMYFUNCTION("""COMPUTED_VALUE"""),250.0)</f>
        <v>250</v>
      </c>
      <c r="I328" s="298"/>
      <c r="J328" s="223" t="str">
        <f>IFERROR(__xludf.DUMMYFUNCTION("""COMPUTED_VALUE"""),"Monthly")</f>
        <v>Monthly</v>
      </c>
      <c r="K328" s="317">
        <f>IFERROR(__xludf.DUMMYFUNCTION("""COMPUTED_VALUE"""),2022.04)</f>
        <v>2022.04</v>
      </c>
      <c r="L328" s="298"/>
      <c r="M328" s="223"/>
      <c r="N328" s="223"/>
      <c r="O328" s="223"/>
      <c r="P328" s="223"/>
      <c r="Q328" s="223"/>
      <c r="R328" s="223"/>
      <c r="S328" s="223"/>
      <c r="T328" s="223"/>
      <c r="U328" s="223"/>
      <c r="V328" s="223"/>
      <c r="W328" s="223"/>
      <c r="X328" s="223"/>
      <c r="Y328" s="223"/>
      <c r="Z328" s="223"/>
    </row>
    <row r="329">
      <c r="A329" s="223" t="str">
        <f>IFERROR(__xludf.DUMMYFUNCTION("""COMPUTED_VALUE"""),"Service First : Monthly Services")</f>
        <v>Service First : Monthly Services</v>
      </c>
      <c r="B329" s="223" t="str">
        <f>IFERROR(__xludf.DUMMYFUNCTION("""COMPUTED_VALUE"""),"Service First")</f>
        <v>Service First</v>
      </c>
      <c r="C329" s="223" t="str">
        <f>IFERROR(__xludf.DUMMYFUNCTION("""COMPUTED_VALUE"""),"Monthly Services")</f>
        <v>Monthly Services</v>
      </c>
      <c r="D329" s="316">
        <f>IFERROR(__xludf.DUMMYFUNCTION("""COMPUTED_VALUE"""),44680.0)</f>
        <v>44680</v>
      </c>
      <c r="E329" s="298">
        <f>IFERROR(__xludf.DUMMYFUNCTION("""COMPUTED_VALUE"""),300.0)</f>
        <v>300</v>
      </c>
      <c r="F329" s="298">
        <f>IFERROR(__xludf.DUMMYFUNCTION("""COMPUTED_VALUE"""),9.33)</f>
        <v>9.33</v>
      </c>
      <c r="G329" s="298">
        <f>IFERROR(__xludf.DUMMYFUNCTION("""COMPUTED_VALUE"""),0.0)</f>
        <v>0</v>
      </c>
      <c r="H329" s="223">
        <f>IFERROR(__xludf.DUMMYFUNCTION("""COMPUTED_VALUE"""),290.67)</f>
        <v>290.67</v>
      </c>
      <c r="I329" s="298"/>
      <c r="J329" s="223" t="str">
        <f>IFERROR(__xludf.DUMMYFUNCTION("""COMPUTED_VALUE"""),"Monthly")</f>
        <v>Monthly</v>
      </c>
      <c r="K329" s="317">
        <f>IFERROR(__xludf.DUMMYFUNCTION("""COMPUTED_VALUE"""),2022.04)</f>
        <v>2022.04</v>
      </c>
      <c r="L329" s="298"/>
      <c r="M329" s="223"/>
      <c r="N329" s="223"/>
      <c r="O329" s="223"/>
      <c r="P329" s="223"/>
      <c r="Q329" s="223"/>
      <c r="R329" s="223"/>
      <c r="S329" s="223"/>
      <c r="T329" s="223"/>
      <c r="U329" s="223"/>
      <c r="V329" s="223"/>
      <c r="W329" s="223"/>
      <c r="X329" s="223"/>
      <c r="Y329" s="223"/>
      <c r="Z329" s="223"/>
    </row>
    <row r="330">
      <c r="A330" s="223" t="str">
        <f>IFERROR(__xludf.DUMMYFUNCTION("""COMPUTED_VALUE"""),"Spraggs : Monthly Services")</f>
        <v>Spraggs : Monthly Services</v>
      </c>
      <c r="B330" s="223" t="str">
        <f>IFERROR(__xludf.DUMMYFUNCTION("""COMPUTED_VALUE"""),"Spraggs")</f>
        <v>Spraggs</v>
      </c>
      <c r="C330" s="223" t="str">
        <f>IFERROR(__xludf.DUMMYFUNCTION("""COMPUTED_VALUE"""),"Monthly Services")</f>
        <v>Monthly Services</v>
      </c>
      <c r="D330" s="316">
        <f>IFERROR(__xludf.DUMMYFUNCTION("""COMPUTED_VALUE"""),44680.0)</f>
        <v>44680</v>
      </c>
      <c r="E330" s="298">
        <f>IFERROR(__xludf.DUMMYFUNCTION("""COMPUTED_VALUE"""),2500.0)</f>
        <v>2500</v>
      </c>
      <c r="F330" s="298">
        <f>IFERROR(__xludf.DUMMYFUNCTION("""COMPUTED_VALUE"""),77.78)</f>
        <v>77.78</v>
      </c>
      <c r="G330" s="298">
        <f>IFERROR(__xludf.DUMMYFUNCTION("""COMPUTED_VALUE"""),0.0)</f>
        <v>0</v>
      </c>
      <c r="H330" s="223">
        <f>IFERROR(__xludf.DUMMYFUNCTION("""COMPUTED_VALUE"""),2422.22)</f>
        <v>2422.22</v>
      </c>
      <c r="I330" s="298"/>
      <c r="J330" s="223" t="str">
        <f>IFERROR(__xludf.DUMMYFUNCTION("""COMPUTED_VALUE"""),"Monthly")</f>
        <v>Monthly</v>
      </c>
      <c r="K330" s="317">
        <f>IFERROR(__xludf.DUMMYFUNCTION("""COMPUTED_VALUE"""),2022.04)</f>
        <v>2022.04</v>
      </c>
      <c r="L330" s="298"/>
      <c r="M330" s="223"/>
      <c r="N330" s="223"/>
      <c r="O330" s="223"/>
      <c r="P330" s="223"/>
      <c r="Q330" s="223"/>
      <c r="R330" s="223"/>
      <c r="S330" s="223"/>
      <c r="T330" s="223"/>
      <c r="U330" s="223"/>
      <c r="V330" s="223"/>
      <c r="W330" s="223"/>
      <c r="X330" s="223"/>
      <c r="Y330" s="223"/>
      <c r="Z330" s="223"/>
    </row>
    <row r="331">
      <c r="A331" s="223" t="str">
        <f>IFERROR(__xludf.DUMMYFUNCTION("""COMPUTED_VALUE"""),"Tires Easy : Monthly Services for Tires-Easy.com")</f>
        <v>Tires Easy : Monthly Services for Tires-Easy.com</v>
      </c>
      <c r="B331" s="223" t="str">
        <f>IFERROR(__xludf.DUMMYFUNCTION("""COMPUTED_VALUE"""),"Tires Easy")</f>
        <v>Tires Easy</v>
      </c>
      <c r="C331" s="223" t="str">
        <f>IFERROR(__xludf.DUMMYFUNCTION("""COMPUTED_VALUE"""),"Monthly Services for Tires-Easy.com")</f>
        <v>Monthly Services for Tires-Easy.com</v>
      </c>
      <c r="D331" s="316">
        <f>IFERROR(__xludf.DUMMYFUNCTION("""COMPUTED_VALUE"""),44680.0)</f>
        <v>44680</v>
      </c>
      <c r="E331" s="298">
        <f>IFERROR(__xludf.DUMMYFUNCTION("""COMPUTED_VALUE"""),433.43965000000003)</f>
        <v>433.43965</v>
      </c>
      <c r="F331" s="298">
        <f>IFERROR(__xludf.DUMMYFUNCTION("""COMPUTED_VALUE"""),16.40878675)</f>
        <v>16.40878675</v>
      </c>
      <c r="G331" s="298">
        <f>IFERROR(__xludf.DUMMYFUNCTION("""COMPUTED_VALUE"""),0.0)</f>
        <v>0</v>
      </c>
      <c r="H331" s="223">
        <f>IFERROR(__xludf.DUMMYFUNCTION("""COMPUTED_VALUE"""),417.03086325000004)</f>
        <v>417.0308633</v>
      </c>
      <c r="I331" s="298"/>
      <c r="J331" s="223" t="str">
        <f>IFERROR(__xludf.DUMMYFUNCTION("""COMPUTED_VALUE"""),"Monthly")</f>
        <v>Monthly</v>
      </c>
      <c r="K331" s="317">
        <f>IFERROR(__xludf.DUMMYFUNCTION("""COMPUTED_VALUE"""),2022.04)</f>
        <v>2022.04</v>
      </c>
      <c r="L331" s="298"/>
      <c r="M331" s="223"/>
      <c r="N331" s="223"/>
      <c r="O331" s="223"/>
      <c r="P331" s="223"/>
      <c r="Q331" s="223"/>
      <c r="R331" s="223"/>
      <c r="S331" s="223"/>
      <c r="T331" s="223"/>
      <c r="U331" s="223"/>
      <c r="V331" s="223"/>
      <c r="W331" s="223"/>
      <c r="X331" s="223"/>
      <c r="Y331" s="223"/>
      <c r="Z331" s="223"/>
    </row>
    <row r="332">
      <c r="A332" s="223" t="str">
        <f>IFERROR(__xludf.DUMMYFUNCTION("""COMPUTED_VALUE"""),"TisBest : Monthly Services")</f>
        <v>TisBest : Monthly Services</v>
      </c>
      <c r="B332" s="223" t="str">
        <f>IFERROR(__xludf.DUMMYFUNCTION("""COMPUTED_VALUE"""),"TisBest")</f>
        <v>TisBest</v>
      </c>
      <c r="C332" s="223" t="str">
        <f>IFERROR(__xludf.DUMMYFUNCTION("""COMPUTED_VALUE"""),"Monthly Services")</f>
        <v>Monthly Services</v>
      </c>
      <c r="D332" s="316">
        <f>IFERROR(__xludf.DUMMYFUNCTION("""COMPUTED_VALUE"""),44680.0)</f>
        <v>44680</v>
      </c>
      <c r="E332" s="298">
        <f>IFERROR(__xludf.DUMMYFUNCTION("""COMPUTED_VALUE"""),5547.915)</f>
        <v>5547.915</v>
      </c>
      <c r="F332" s="298">
        <f>IFERROR(__xludf.DUMMYFUNCTION("""COMPUTED_VALUE"""),205.642716)</f>
        <v>205.642716</v>
      </c>
      <c r="G332" s="298">
        <f>IFERROR(__xludf.DUMMYFUNCTION("""COMPUTED_VALUE"""),1068.4544568)</f>
        <v>1068.454457</v>
      </c>
      <c r="H332" s="223">
        <f>IFERROR(__xludf.DUMMYFUNCTION("""COMPUTED_VALUE"""),4273.8178272)</f>
        <v>4273.817827</v>
      </c>
      <c r="I332" s="298"/>
      <c r="J332" s="223" t="str">
        <f>IFERROR(__xludf.DUMMYFUNCTION("""COMPUTED_VALUE"""),"Monthly")</f>
        <v>Monthly</v>
      </c>
      <c r="K332" s="317">
        <f>IFERROR(__xludf.DUMMYFUNCTION("""COMPUTED_VALUE"""),2022.04)</f>
        <v>2022.04</v>
      </c>
      <c r="L332" s="298"/>
      <c r="M332" s="223"/>
      <c r="N332" s="223"/>
      <c r="O332" s="223"/>
      <c r="P332" s="223"/>
      <c r="Q332" s="223"/>
      <c r="R332" s="223"/>
      <c r="S332" s="223"/>
      <c r="T332" s="223"/>
      <c r="U332" s="223"/>
      <c r="V332" s="223"/>
      <c r="W332" s="223"/>
      <c r="X332" s="223"/>
      <c r="Y332" s="223"/>
      <c r="Z332" s="223"/>
    </row>
    <row r="333">
      <c r="A333" s="223" t="str">
        <f>IFERROR(__xludf.DUMMYFUNCTION("""COMPUTED_VALUE"""),"FIKSE Wheels : Google Search Ads")</f>
        <v>FIKSE Wheels : Google Search Ads</v>
      </c>
      <c r="B333" s="223" t="str">
        <f>IFERROR(__xludf.DUMMYFUNCTION("""COMPUTED_VALUE"""),"FIKSE Wheels")</f>
        <v>FIKSE Wheels</v>
      </c>
      <c r="C333" s="223" t="str">
        <f>IFERROR(__xludf.DUMMYFUNCTION("""COMPUTED_VALUE"""),"Google Search Ads")</f>
        <v>Google Search Ads</v>
      </c>
      <c r="D333" s="316">
        <f>IFERROR(__xludf.DUMMYFUNCTION("""COMPUTED_VALUE"""),44680.0)</f>
        <v>44680</v>
      </c>
      <c r="E333" s="298">
        <f>IFERROR(__xludf.DUMMYFUNCTION("""COMPUTED_VALUE"""),510.0)</f>
        <v>510</v>
      </c>
      <c r="F333" s="298">
        <f>IFERROR(__xludf.DUMMYFUNCTION("""COMPUTED_VALUE"""),0.0)</f>
        <v>0</v>
      </c>
      <c r="G333" s="298">
        <f>IFERROR(__xludf.DUMMYFUNCTION("""COMPUTED_VALUE"""),0.0)</f>
        <v>0</v>
      </c>
      <c r="H333" s="223">
        <f>IFERROR(__xludf.DUMMYFUNCTION("""COMPUTED_VALUE"""),510.0)</f>
        <v>510</v>
      </c>
      <c r="I333" s="298"/>
      <c r="J333" s="223" t="str">
        <f>IFERROR(__xludf.DUMMYFUNCTION("""COMPUTED_VALUE"""),"50% Deposit
50% Final Payment")</f>
        <v>50% Deposit
50% Final Payment</v>
      </c>
      <c r="K333" s="317">
        <f>IFERROR(__xludf.DUMMYFUNCTION("""COMPUTED_VALUE"""),2022.0)</f>
        <v>2022</v>
      </c>
      <c r="L333" s="298"/>
      <c r="M333" s="223"/>
      <c r="N333" s="223"/>
      <c r="O333" s="223"/>
      <c r="P333" s="223"/>
      <c r="Q333" s="223"/>
      <c r="R333" s="223"/>
      <c r="S333" s="223"/>
      <c r="T333" s="223"/>
      <c r="U333" s="223"/>
      <c r="V333" s="223"/>
      <c r="W333" s="223"/>
      <c r="X333" s="223"/>
      <c r="Y333" s="223"/>
      <c r="Z333" s="223"/>
    </row>
    <row r="334">
      <c r="A334" s="223" t="str">
        <f>IFERROR(__xludf.DUMMYFUNCTION("""COMPUTED_VALUE"""),"True Bijoux : Web Presence Review &amp; Recommendations")</f>
        <v>True Bijoux : Web Presence Review &amp; Recommendations</v>
      </c>
      <c r="B334" s="223" t="str">
        <f>IFERROR(__xludf.DUMMYFUNCTION("""COMPUTED_VALUE"""),"True Bijoux")</f>
        <v>True Bijoux</v>
      </c>
      <c r="C334" s="223" t="str">
        <f>IFERROR(__xludf.DUMMYFUNCTION("""COMPUTED_VALUE"""),"Web Presence Review &amp; Recommendations")</f>
        <v>Web Presence Review &amp; Recommendations</v>
      </c>
      <c r="D334" s="316">
        <f>IFERROR(__xludf.DUMMYFUNCTION("""COMPUTED_VALUE"""),44680.0)</f>
        <v>44680</v>
      </c>
      <c r="E334" s="298">
        <f>IFERROR(__xludf.DUMMYFUNCTION("""COMPUTED_VALUE"""),750.0)</f>
        <v>750</v>
      </c>
      <c r="F334" s="298">
        <f>IFERROR(__xludf.DUMMYFUNCTION("""COMPUTED_VALUE"""),25.11)</f>
        <v>25.11</v>
      </c>
      <c r="G334" s="298">
        <f>IFERROR(__xludf.DUMMYFUNCTION("""COMPUTED_VALUE"""),0.0)</f>
        <v>0</v>
      </c>
      <c r="H334" s="223">
        <f>IFERROR(__xludf.DUMMYFUNCTION("""COMPUTED_VALUE"""),724.89)</f>
        <v>724.89</v>
      </c>
      <c r="I334" s="298"/>
      <c r="J334" s="223" t="str">
        <f>IFERROR(__xludf.DUMMYFUNCTION("""COMPUTED_VALUE"""),"50% Deposit
50% Final Payment")</f>
        <v>50% Deposit
50% Final Payment</v>
      </c>
      <c r="K334" s="317">
        <f>IFERROR(__xludf.DUMMYFUNCTION("""COMPUTED_VALUE"""),2022.0)</f>
        <v>2022</v>
      </c>
      <c r="L334" s="298"/>
      <c r="M334" s="223"/>
      <c r="N334" s="223"/>
      <c r="O334" s="223"/>
      <c r="P334" s="223"/>
      <c r="Q334" s="223"/>
      <c r="R334" s="223"/>
      <c r="S334" s="223"/>
      <c r="T334" s="223"/>
      <c r="U334" s="223"/>
      <c r="V334" s="223"/>
      <c r="W334" s="223"/>
      <c r="X334" s="223"/>
      <c r="Y334" s="223"/>
      <c r="Z334" s="223"/>
    </row>
    <row r="335">
      <c r="A335" s="223" t="str">
        <f>IFERROR(__xludf.DUMMYFUNCTION("""COMPUTED_VALUE"""),"FIKSE Wheels : Google Search Ads")</f>
        <v>FIKSE Wheels : Google Search Ads</v>
      </c>
      <c r="B335" s="223" t="str">
        <f>IFERROR(__xludf.DUMMYFUNCTION("""COMPUTED_VALUE"""),"FIKSE Wheels")</f>
        <v>FIKSE Wheels</v>
      </c>
      <c r="C335" s="223" t="str">
        <f>IFERROR(__xludf.DUMMYFUNCTION("""COMPUTED_VALUE"""),"Google Search Ads")</f>
        <v>Google Search Ads</v>
      </c>
      <c r="D335" s="316">
        <f>IFERROR(__xludf.DUMMYFUNCTION("""COMPUTED_VALUE"""),44712.0)</f>
        <v>44712</v>
      </c>
      <c r="E335" s="298">
        <f>IFERROR(__xludf.DUMMYFUNCTION("""COMPUTED_VALUE"""),510.0)</f>
        <v>510</v>
      </c>
      <c r="F335" s="298">
        <f>IFERROR(__xludf.DUMMYFUNCTION("""COMPUTED_VALUE"""),0.0)</f>
        <v>0</v>
      </c>
      <c r="G335" s="298">
        <f>IFERROR(__xludf.DUMMYFUNCTION("""COMPUTED_VALUE"""),0.0)</f>
        <v>0</v>
      </c>
      <c r="H335" s="223">
        <f>IFERROR(__xludf.DUMMYFUNCTION("""COMPUTED_VALUE"""),510.0)</f>
        <v>510</v>
      </c>
      <c r="I335" s="298"/>
      <c r="J335" s="223" t="str">
        <f>IFERROR(__xludf.DUMMYFUNCTION("""COMPUTED_VALUE"""),"50% Deposit
50% Final Payment")</f>
        <v>50% Deposit
50% Final Payment</v>
      </c>
      <c r="K335" s="317">
        <f>IFERROR(__xludf.DUMMYFUNCTION("""COMPUTED_VALUE"""),2022.0)</f>
        <v>2022</v>
      </c>
      <c r="L335" s="298"/>
      <c r="M335" s="223"/>
      <c r="N335" s="223"/>
      <c r="O335" s="223"/>
      <c r="P335" s="223"/>
      <c r="Q335" s="223"/>
      <c r="R335" s="223"/>
      <c r="S335" s="223"/>
      <c r="T335" s="223"/>
      <c r="U335" s="223"/>
      <c r="V335" s="223"/>
      <c r="W335" s="223"/>
      <c r="X335" s="223"/>
      <c r="Y335" s="223"/>
      <c r="Z335" s="223"/>
    </row>
    <row r="336">
      <c r="A336" s="223" t="str">
        <f>IFERROR(__xludf.DUMMYFUNCTION("""COMPUTED_VALUE"""),"True Bijoux : Web Presence Review &amp; Recommendations")</f>
        <v>True Bijoux : Web Presence Review &amp; Recommendations</v>
      </c>
      <c r="B336" s="223" t="str">
        <f>IFERROR(__xludf.DUMMYFUNCTION("""COMPUTED_VALUE"""),"True Bijoux")</f>
        <v>True Bijoux</v>
      </c>
      <c r="C336" s="223" t="str">
        <f>IFERROR(__xludf.DUMMYFUNCTION("""COMPUTED_VALUE"""),"Web Presence Review &amp; Recommendations")</f>
        <v>Web Presence Review &amp; Recommendations</v>
      </c>
      <c r="D336" s="316">
        <f>IFERROR(__xludf.DUMMYFUNCTION("""COMPUTED_VALUE"""),44694.0)</f>
        <v>44694</v>
      </c>
      <c r="E336" s="298">
        <f>IFERROR(__xludf.DUMMYFUNCTION("""COMPUTED_VALUE"""),750.0)</f>
        <v>750</v>
      </c>
      <c r="F336" s="298">
        <f>IFERROR(__xludf.DUMMYFUNCTION("""COMPUTED_VALUE"""),25.11)</f>
        <v>25.11</v>
      </c>
      <c r="G336" s="298">
        <f>IFERROR(__xludf.DUMMYFUNCTION("""COMPUTED_VALUE"""),0.0)</f>
        <v>0</v>
      </c>
      <c r="H336" s="223">
        <f>IFERROR(__xludf.DUMMYFUNCTION("""COMPUTED_VALUE"""),724.89)</f>
        <v>724.89</v>
      </c>
      <c r="I336" s="298"/>
      <c r="J336" s="223" t="str">
        <f>IFERROR(__xludf.DUMMYFUNCTION("""COMPUTED_VALUE"""),"50% Deposit
50% Final Payment")</f>
        <v>50% Deposit
50% Final Payment</v>
      </c>
      <c r="K336" s="317">
        <f>IFERROR(__xludf.DUMMYFUNCTION("""COMPUTED_VALUE"""),2022.0)</f>
        <v>2022</v>
      </c>
      <c r="L336" s="298"/>
      <c r="M336" s="223"/>
      <c r="N336" s="223"/>
      <c r="O336" s="223"/>
      <c r="P336" s="223"/>
      <c r="Q336" s="223"/>
      <c r="R336" s="223"/>
      <c r="S336" s="223"/>
      <c r="T336" s="223"/>
      <c r="U336" s="223"/>
      <c r="V336" s="223"/>
      <c r="W336" s="223"/>
      <c r="X336" s="223"/>
      <c r="Y336" s="223"/>
      <c r="Z336" s="223"/>
    </row>
    <row r="337">
      <c r="A337" s="223" t="str">
        <f>IFERROR(__xludf.DUMMYFUNCTION("""COMPUTED_VALUE"""),"Tuscany : Monthly Services")</f>
        <v>Tuscany : Monthly Services</v>
      </c>
      <c r="B337" s="223" t="str">
        <f>IFERROR(__xludf.DUMMYFUNCTION("""COMPUTED_VALUE"""),"Tuscany")</f>
        <v>Tuscany</v>
      </c>
      <c r="C337" s="223" t="str">
        <f>IFERROR(__xludf.DUMMYFUNCTION("""COMPUTED_VALUE"""),"Monthly Services")</f>
        <v>Monthly Services</v>
      </c>
      <c r="D337" s="316">
        <f>IFERROR(__xludf.DUMMYFUNCTION("""COMPUTED_VALUE"""),44680.0)</f>
        <v>44680</v>
      </c>
      <c r="E337" s="298">
        <f>IFERROR(__xludf.DUMMYFUNCTION("""COMPUTED_VALUE"""),2507.825)</f>
        <v>2507.825</v>
      </c>
      <c r="F337" s="298">
        <f>IFERROR(__xludf.DUMMYFUNCTION("""COMPUTED_VALUE"""),0.0)</f>
        <v>0</v>
      </c>
      <c r="G337" s="298">
        <f>IFERROR(__xludf.DUMMYFUNCTION("""COMPUTED_VALUE"""),0.0)</f>
        <v>0</v>
      </c>
      <c r="H337" s="223">
        <f>IFERROR(__xludf.DUMMYFUNCTION("""COMPUTED_VALUE"""),2507.825)</f>
        <v>2507.825</v>
      </c>
      <c r="I337" s="298"/>
      <c r="J337" s="223" t="str">
        <f>IFERROR(__xludf.DUMMYFUNCTION("""COMPUTED_VALUE"""),"Monthly")</f>
        <v>Monthly</v>
      </c>
      <c r="K337" s="317">
        <f>IFERROR(__xludf.DUMMYFUNCTION("""COMPUTED_VALUE"""),2022.04)</f>
        <v>2022.04</v>
      </c>
      <c r="L337" s="298"/>
      <c r="M337" s="223"/>
      <c r="N337" s="223"/>
      <c r="O337" s="223"/>
      <c r="P337" s="223"/>
      <c r="Q337" s="223"/>
      <c r="R337" s="223"/>
      <c r="S337" s="223"/>
      <c r="T337" s="223"/>
      <c r="U337" s="223"/>
      <c r="V337" s="223"/>
      <c r="W337" s="223"/>
      <c r="X337" s="223"/>
      <c r="Y337" s="223"/>
      <c r="Z337" s="223"/>
    </row>
    <row r="338">
      <c r="A338" s="223" t="str">
        <f>IFERROR(__xludf.DUMMYFUNCTION("""COMPUTED_VALUE"""),"Venetian : Monthly Services")</f>
        <v>Venetian : Monthly Services</v>
      </c>
      <c r="B338" s="223" t="str">
        <f>IFERROR(__xludf.DUMMYFUNCTION("""COMPUTED_VALUE"""),"Venetian")</f>
        <v>Venetian</v>
      </c>
      <c r="C338" s="223" t="str">
        <f>IFERROR(__xludf.DUMMYFUNCTION("""COMPUTED_VALUE"""),"Monthly Services")</f>
        <v>Monthly Services</v>
      </c>
      <c r="D338" s="316">
        <f>IFERROR(__xludf.DUMMYFUNCTION("""COMPUTED_VALUE"""),44680.0)</f>
        <v>44680</v>
      </c>
      <c r="E338" s="298">
        <f>IFERROR(__xludf.DUMMYFUNCTION("""COMPUTED_VALUE"""),2507.825)</f>
        <v>2507.825</v>
      </c>
      <c r="F338" s="298">
        <f>IFERROR(__xludf.DUMMYFUNCTION("""COMPUTED_VALUE"""),0.0)</f>
        <v>0</v>
      </c>
      <c r="G338" s="298">
        <f>IFERROR(__xludf.DUMMYFUNCTION("""COMPUTED_VALUE"""),0.0)</f>
        <v>0</v>
      </c>
      <c r="H338" s="223">
        <f>IFERROR(__xludf.DUMMYFUNCTION("""COMPUTED_VALUE"""),2507.825)</f>
        <v>2507.825</v>
      </c>
      <c r="I338" s="298"/>
      <c r="J338" s="223" t="str">
        <f>IFERROR(__xludf.DUMMYFUNCTION("""COMPUTED_VALUE"""),"Monthly")</f>
        <v>Monthly</v>
      </c>
      <c r="K338" s="317">
        <f>IFERROR(__xludf.DUMMYFUNCTION("""COMPUTED_VALUE"""),2022.04)</f>
        <v>2022.04</v>
      </c>
      <c r="L338" s="298"/>
      <c r="M338" s="223"/>
      <c r="N338" s="223"/>
      <c r="O338" s="223"/>
      <c r="P338" s="223"/>
      <c r="Q338" s="223"/>
      <c r="R338" s="223"/>
      <c r="S338" s="223"/>
      <c r="T338" s="223"/>
      <c r="U338" s="223"/>
      <c r="V338" s="223"/>
      <c r="W338" s="223"/>
      <c r="X338" s="223"/>
      <c r="Y338" s="223"/>
      <c r="Z338" s="223"/>
    </row>
    <row r="339">
      <c r="A339" s="223" t="str">
        <f>IFERROR(__xludf.DUMMYFUNCTION("""COMPUTED_VALUE"""),"Wallack's Art Supplies : Monthly Services")</f>
        <v>Wallack's Art Supplies : Monthly Services</v>
      </c>
      <c r="B339" s="223" t="str">
        <f>IFERROR(__xludf.DUMMYFUNCTION("""COMPUTED_VALUE"""),"Wallack's Art Supplies")</f>
        <v>Wallack's Art Supplies</v>
      </c>
      <c r="C339" s="223" t="str">
        <f>IFERROR(__xludf.DUMMYFUNCTION("""COMPUTED_VALUE"""),"Monthly Services")</f>
        <v>Monthly Services</v>
      </c>
      <c r="D339" s="316">
        <f>IFERROR(__xludf.DUMMYFUNCTION("""COMPUTED_VALUE"""),44680.0)</f>
        <v>44680</v>
      </c>
      <c r="E339" s="298">
        <f>IFERROR(__xludf.DUMMYFUNCTION("""COMPUTED_VALUE"""),700.0)</f>
        <v>700</v>
      </c>
      <c r="F339" s="298">
        <f>IFERROR(__xludf.DUMMYFUNCTION("""COMPUTED_VALUE"""),23.44)</f>
        <v>23.44</v>
      </c>
      <c r="G339" s="298">
        <f>IFERROR(__xludf.DUMMYFUNCTION("""COMPUTED_VALUE"""),0.0)</f>
        <v>0</v>
      </c>
      <c r="H339" s="223">
        <f>IFERROR(__xludf.DUMMYFUNCTION("""COMPUTED_VALUE"""),676.56)</f>
        <v>676.56</v>
      </c>
      <c r="I339" s="298"/>
      <c r="J339" s="223" t="str">
        <f>IFERROR(__xludf.DUMMYFUNCTION("""COMPUTED_VALUE"""),"Monthly")</f>
        <v>Monthly</v>
      </c>
      <c r="K339" s="317">
        <f>IFERROR(__xludf.DUMMYFUNCTION("""COMPUTED_VALUE"""),2022.04)</f>
        <v>2022.04</v>
      </c>
      <c r="L339" s="298"/>
      <c r="M339" s="223"/>
      <c r="N339" s="223"/>
      <c r="O339" s="223"/>
      <c r="P339" s="223"/>
      <c r="Q339" s="223"/>
      <c r="R339" s="223"/>
      <c r="S339" s="223"/>
      <c r="T339" s="223"/>
      <c r="U339" s="223"/>
      <c r="V339" s="223"/>
      <c r="W339" s="223"/>
      <c r="X339" s="223"/>
      <c r="Y339" s="223"/>
      <c r="Z339" s="223"/>
    </row>
    <row r="340">
      <c r="A340" s="223" t="str">
        <f>IFERROR(__xludf.DUMMYFUNCTION("""COMPUTED_VALUE"""),"Anavara : Website Development")</f>
        <v>Anavara : Website Development</v>
      </c>
      <c r="B340" s="223" t="str">
        <f>IFERROR(__xludf.DUMMYFUNCTION("""COMPUTED_VALUE"""),"Anavara")</f>
        <v>Anavara</v>
      </c>
      <c r="C340" s="223" t="str">
        <f>IFERROR(__xludf.DUMMYFUNCTION("""COMPUTED_VALUE"""),"Website Development")</f>
        <v>Website Development</v>
      </c>
      <c r="D340" s="316">
        <f>IFERROR(__xludf.DUMMYFUNCTION("""COMPUTED_VALUE"""),44680.0)</f>
        <v>44680</v>
      </c>
      <c r="E340" s="298">
        <f>IFERROR(__xludf.DUMMYFUNCTION("""COMPUTED_VALUE"""),1500.0)</f>
        <v>1500</v>
      </c>
      <c r="F340" s="298">
        <f>IFERROR(__xludf.DUMMYFUNCTION("""COMPUTED_VALUE"""),46.67)</f>
        <v>46.67</v>
      </c>
      <c r="G340" s="298">
        <f>IFERROR(__xludf.DUMMYFUNCTION("""COMPUTED_VALUE"""),0.0)</f>
        <v>0</v>
      </c>
      <c r="H340" s="223">
        <f>IFERROR(__xludf.DUMMYFUNCTION("""COMPUTED_VALUE"""),1453.33)</f>
        <v>1453.33</v>
      </c>
      <c r="I340" s="298"/>
      <c r="J340" s="223" t="str">
        <f>IFERROR(__xludf.DUMMYFUNCTION("""COMPUTED_VALUE"""),"Starting Fee
1/3 Deposit
1/3 Second Payment
1/3 Final Payment")</f>
        <v>Starting Fee
1/3 Deposit
1/3 Second Payment
1/3 Final Payment</v>
      </c>
      <c r="K340" s="317">
        <f>IFERROR(__xludf.DUMMYFUNCTION("""COMPUTED_VALUE"""),2022.0)</f>
        <v>2022</v>
      </c>
      <c r="L340" s="298"/>
      <c r="M340" s="223"/>
      <c r="N340" s="223"/>
      <c r="O340" s="223"/>
      <c r="P340" s="223"/>
      <c r="Q340" s="223"/>
      <c r="R340" s="223"/>
      <c r="S340" s="223"/>
      <c r="T340" s="223"/>
      <c r="U340" s="223"/>
      <c r="V340" s="223"/>
      <c r="W340" s="223"/>
      <c r="X340" s="223"/>
      <c r="Y340" s="223"/>
      <c r="Z340" s="223"/>
    </row>
    <row r="341">
      <c r="A341" s="223" t="str">
        <f>IFERROR(__xludf.DUMMYFUNCTION("""COMPUTED_VALUE"""),"Anavara : Website Development")</f>
        <v>Anavara : Website Development</v>
      </c>
      <c r="B341" s="223" t="str">
        <f>IFERROR(__xludf.DUMMYFUNCTION("""COMPUTED_VALUE"""),"Anavara")</f>
        <v>Anavara</v>
      </c>
      <c r="C341" s="223" t="str">
        <f>IFERROR(__xludf.DUMMYFUNCTION("""COMPUTED_VALUE"""),"Website Development")</f>
        <v>Website Development</v>
      </c>
      <c r="D341" s="316">
        <f>IFERROR(__xludf.DUMMYFUNCTION("""COMPUTED_VALUE"""),44694.0)</f>
        <v>44694</v>
      </c>
      <c r="E341" s="298">
        <f>IFERROR(__xludf.DUMMYFUNCTION("""COMPUTED_VALUE"""),3650.0)</f>
        <v>3650</v>
      </c>
      <c r="F341" s="298">
        <f>IFERROR(__xludf.DUMMYFUNCTION("""COMPUTED_VALUE"""),113.56)</f>
        <v>113.56</v>
      </c>
      <c r="G341" s="298">
        <f>IFERROR(__xludf.DUMMYFUNCTION("""COMPUTED_VALUE"""),0.0)</f>
        <v>0</v>
      </c>
      <c r="H341" s="223">
        <f>IFERROR(__xludf.DUMMYFUNCTION("""COMPUTED_VALUE"""),3536.44)</f>
        <v>3536.44</v>
      </c>
      <c r="I341" s="298"/>
      <c r="J341" s="223" t="str">
        <f>IFERROR(__xludf.DUMMYFUNCTION("""COMPUTED_VALUE"""),"Starting Fee
1/3 Deposit
1/3 Second Payment
1/3 Final Payment")</f>
        <v>Starting Fee
1/3 Deposit
1/3 Second Payment
1/3 Final Payment</v>
      </c>
      <c r="K341" s="317">
        <f>IFERROR(__xludf.DUMMYFUNCTION("""COMPUTED_VALUE"""),2022.0)</f>
        <v>2022</v>
      </c>
      <c r="L341" s="298"/>
      <c r="M341" s="223"/>
      <c r="N341" s="223"/>
      <c r="O341" s="223"/>
      <c r="P341" s="223"/>
      <c r="Q341" s="223"/>
      <c r="R341" s="223"/>
      <c r="S341" s="223"/>
      <c r="T341" s="223"/>
      <c r="U341" s="223"/>
      <c r="V341" s="223"/>
      <c r="W341" s="223"/>
      <c r="X341" s="223"/>
      <c r="Y341" s="223"/>
      <c r="Z341" s="223"/>
    </row>
    <row r="342">
      <c r="A342" s="223" t="str">
        <f>IFERROR(__xludf.DUMMYFUNCTION("""COMPUTED_VALUE"""),"Anavara : Website Development")</f>
        <v>Anavara : Website Development</v>
      </c>
      <c r="B342" s="223" t="str">
        <f>IFERROR(__xludf.DUMMYFUNCTION("""COMPUTED_VALUE"""),"Anavara")</f>
        <v>Anavara</v>
      </c>
      <c r="C342" s="223" t="str">
        <f>IFERROR(__xludf.DUMMYFUNCTION("""COMPUTED_VALUE"""),"Website Development")</f>
        <v>Website Development</v>
      </c>
      <c r="D342" s="316">
        <f>IFERROR(__xludf.DUMMYFUNCTION("""COMPUTED_VALUE"""),44715.0)</f>
        <v>44715</v>
      </c>
      <c r="E342" s="298">
        <f>IFERROR(__xludf.DUMMYFUNCTION("""COMPUTED_VALUE"""),3650.0)</f>
        <v>3650</v>
      </c>
      <c r="F342" s="298">
        <f>IFERROR(__xludf.DUMMYFUNCTION("""COMPUTED_VALUE"""),113.56)</f>
        <v>113.56</v>
      </c>
      <c r="G342" s="298">
        <f>IFERROR(__xludf.DUMMYFUNCTION("""COMPUTED_VALUE"""),0.0)</f>
        <v>0</v>
      </c>
      <c r="H342" s="223">
        <f>IFERROR(__xludf.DUMMYFUNCTION("""COMPUTED_VALUE"""),3536.44)</f>
        <v>3536.44</v>
      </c>
      <c r="I342" s="298"/>
      <c r="J342" s="223" t="str">
        <f>IFERROR(__xludf.DUMMYFUNCTION("""COMPUTED_VALUE"""),"Starting Fee
1/3 Deposit
1/3 Second Payment
1/3 Final Payment")</f>
        <v>Starting Fee
1/3 Deposit
1/3 Second Payment
1/3 Final Payment</v>
      </c>
      <c r="K342" s="317">
        <f>IFERROR(__xludf.DUMMYFUNCTION("""COMPUTED_VALUE"""),2022.0)</f>
        <v>2022</v>
      </c>
      <c r="L342" s="298"/>
      <c r="M342" s="223"/>
      <c r="N342" s="223"/>
      <c r="O342" s="223"/>
      <c r="P342" s="223"/>
      <c r="Q342" s="223"/>
      <c r="R342" s="223"/>
      <c r="S342" s="223"/>
      <c r="T342" s="223"/>
      <c r="U342" s="223"/>
      <c r="V342" s="223"/>
      <c r="W342" s="223"/>
      <c r="X342" s="223"/>
      <c r="Y342" s="223"/>
      <c r="Z342" s="223"/>
    </row>
    <row r="343">
      <c r="A343" s="223" t="str">
        <f>IFERROR(__xludf.DUMMYFUNCTION("""COMPUTED_VALUE"""),"Anavara : Website Development")</f>
        <v>Anavara : Website Development</v>
      </c>
      <c r="B343" s="223" t="str">
        <f>IFERROR(__xludf.DUMMYFUNCTION("""COMPUTED_VALUE"""),"Anavara")</f>
        <v>Anavara</v>
      </c>
      <c r="C343" s="223" t="str">
        <f>IFERROR(__xludf.DUMMYFUNCTION("""COMPUTED_VALUE"""),"Website Development")</f>
        <v>Website Development</v>
      </c>
      <c r="D343" s="316">
        <f>IFERROR(__xludf.DUMMYFUNCTION("""COMPUTED_VALUE"""),44727.0)</f>
        <v>44727</v>
      </c>
      <c r="E343" s="298">
        <f>IFERROR(__xludf.DUMMYFUNCTION("""COMPUTED_VALUE"""),3650.0)</f>
        <v>3650</v>
      </c>
      <c r="F343" s="298">
        <f>IFERROR(__xludf.DUMMYFUNCTION("""COMPUTED_VALUE"""),113.56)</f>
        <v>113.56</v>
      </c>
      <c r="G343" s="298">
        <f>IFERROR(__xludf.DUMMYFUNCTION("""COMPUTED_VALUE"""),0.0)</f>
        <v>0</v>
      </c>
      <c r="H343" s="223">
        <f>IFERROR(__xludf.DUMMYFUNCTION("""COMPUTED_VALUE"""),3536.44)</f>
        <v>3536.44</v>
      </c>
      <c r="I343" s="298"/>
      <c r="J343" s="223" t="str">
        <f>IFERROR(__xludf.DUMMYFUNCTION("""COMPUTED_VALUE"""),"Starting Fee
1/3 Deposit
1/3 Second Payment
1/3 Final Payment")</f>
        <v>Starting Fee
1/3 Deposit
1/3 Second Payment
1/3 Final Payment</v>
      </c>
      <c r="K343" s="317">
        <f>IFERROR(__xludf.DUMMYFUNCTION("""COMPUTED_VALUE"""),2022.0)</f>
        <v>2022</v>
      </c>
      <c r="L343" s="298"/>
      <c r="M343" s="223"/>
      <c r="N343" s="223"/>
      <c r="O343" s="223"/>
      <c r="P343" s="223"/>
      <c r="Q343" s="223"/>
      <c r="R343" s="223"/>
      <c r="S343" s="223"/>
      <c r="T343" s="223"/>
      <c r="U343" s="223"/>
      <c r="V343" s="223"/>
      <c r="W343" s="223"/>
      <c r="X343" s="223"/>
      <c r="Y343" s="223"/>
      <c r="Z343" s="223"/>
    </row>
    <row r="344">
      <c r="A344" s="223" t="str">
        <f>IFERROR(__xludf.DUMMYFUNCTION("""COMPUTED_VALUE"""),"Terra Insights : PPC Overhauls and SEO Matrix")</f>
        <v>Terra Insights : PPC Overhauls and SEO Matrix</v>
      </c>
      <c r="B344" s="223" t="str">
        <f>IFERROR(__xludf.DUMMYFUNCTION("""COMPUTED_VALUE"""),"Terra Insights")</f>
        <v>Terra Insights</v>
      </c>
      <c r="C344" s="223" t="str">
        <f>IFERROR(__xludf.DUMMYFUNCTION("""COMPUTED_VALUE"""),"PPC Overhauls and SEO Matrix")</f>
        <v>PPC Overhauls and SEO Matrix</v>
      </c>
      <c r="D344" s="316">
        <f>IFERROR(__xludf.DUMMYFUNCTION("""COMPUTED_VALUE"""),44680.0)</f>
        <v>44680</v>
      </c>
      <c r="E344" s="298">
        <f>IFERROR(__xludf.DUMMYFUNCTION("""COMPUTED_VALUE"""),3225.0)</f>
        <v>3225</v>
      </c>
      <c r="F344" s="298">
        <f>IFERROR(__xludf.DUMMYFUNCTION("""COMPUTED_VALUE"""),0.0)</f>
        <v>0</v>
      </c>
      <c r="G344" s="298">
        <f>IFERROR(__xludf.DUMMYFUNCTION("""COMPUTED_VALUE"""),0.0)</f>
        <v>0</v>
      </c>
      <c r="H344" s="223">
        <f>IFERROR(__xludf.DUMMYFUNCTION("""COMPUTED_VALUE"""),3225.0)</f>
        <v>3225</v>
      </c>
      <c r="I344" s="298"/>
      <c r="J344" s="223" t="str">
        <f>IFERROR(__xludf.DUMMYFUNCTION("""COMPUTED_VALUE"""),"50% Deposit
50% Final Payment")</f>
        <v>50% Deposit
50% Final Payment</v>
      </c>
      <c r="K344" s="317">
        <f>IFERROR(__xludf.DUMMYFUNCTION("""COMPUTED_VALUE"""),2022.0)</f>
        <v>2022</v>
      </c>
      <c r="L344" s="298"/>
      <c r="M344" s="223"/>
      <c r="N344" s="223"/>
      <c r="O344" s="223"/>
      <c r="P344" s="223"/>
      <c r="Q344" s="223"/>
      <c r="R344" s="223"/>
      <c r="S344" s="223"/>
      <c r="T344" s="223"/>
      <c r="U344" s="223"/>
      <c r="V344" s="223"/>
      <c r="W344" s="223"/>
      <c r="X344" s="223"/>
      <c r="Y344" s="223"/>
      <c r="Z344" s="223"/>
    </row>
    <row r="345">
      <c r="A345" s="223" t="str">
        <f>IFERROR(__xludf.DUMMYFUNCTION("""COMPUTED_VALUE"""),"UnityWest Capital : Jericho Energy Ventures 6 month project")</f>
        <v>UnityWest Capital : Jericho Energy Ventures 6 month project</v>
      </c>
      <c r="B345" s="223" t="str">
        <f>IFERROR(__xludf.DUMMYFUNCTION("""COMPUTED_VALUE"""),"UnityWest Capital")</f>
        <v>UnityWest Capital</v>
      </c>
      <c r="C345" s="223" t="str">
        <f>IFERROR(__xludf.DUMMYFUNCTION("""COMPUTED_VALUE"""),"Jericho Energy Ventures 6 month project")</f>
        <v>Jericho Energy Ventures 6 month project</v>
      </c>
      <c r="D345" s="316">
        <f>IFERROR(__xludf.DUMMYFUNCTION("""COMPUTED_VALUE"""),44680.0)</f>
        <v>44680</v>
      </c>
      <c r="E345" s="298">
        <f>IFERROR(__xludf.DUMMYFUNCTION("""COMPUTED_VALUE"""),2000.0)</f>
        <v>2000</v>
      </c>
      <c r="F345" s="298">
        <f>IFERROR(__xludf.DUMMYFUNCTION("""COMPUTED_VALUE"""),59.26)</f>
        <v>59.26</v>
      </c>
      <c r="G345" s="298">
        <f>IFERROR(__xludf.DUMMYFUNCTION("""COMPUTED_VALUE"""),0.0)</f>
        <v>0</v>
      </c>
      <c r="H345" s="223">
        <f>IFERROR(__xludf.DUMMYFUNCTION("""COMPUTED_VALUE"""),1940.74)</f>
        <v>1940.74</v>
      </c>
      <c r="I345" s="298"/>
      <c r="J345" s="223" t="str">
        <f>IFERROR(__xludf.DUMMYFUNCTION("""COMPUTED_VALUE"""),"Monthly")</f>
        <v>Monthly</v>
      </c>
      <c r="K345" s="317">
        <f>IFERROR(__xludf.DUMMYFUNCTION("""COMPUTED_VALUE"""),2022.04)</f>
        <v>2022.04</v>
      </c>
      <c r="L345" s="298"/>
      <c r="M345" s="223"/>
      <c r="N345" s="223"/>
      <c r="O345" s="223"/>
      <c r="P345" s="223"/>
      <c r="Q345" s="223"/>
      <c r="R345" s="223"/>
      <c r="S345" s="223"/>
      <c r="T345" s="223"/>
      <c r="U345" s="223"/>
      <c r="V345" s="223"/>
      <c r="W345" s="223"/>
      <c r="X345" s="223"/>
      <c r="Y345" s="223"/>
      <c r="Z345" s="223"/>
    </row>
    <row r="346">
      <c r="A346" s="223" t="str">
        <f>IFERROR(__xludf.DUMMYFUNCTION("""COMPUTED_VALUE"""),"Terra Insights : PPC Overhauls and SEO Matrix")</f>
        <v>Terra Insights : PPC Overhauls and SEO Matrix</v>
      </c>
      <c r="B346" s="223" t="str">
        <f>IFERROR(__xludf.DUMMYFUNCTION("""COMPUTED_VALUE"""),"Terra Insights")</f>
        <v>Terra Insights</v>
      </c>
      <c r="C346" s="223" t="str">
        <f>IFERROR(__xludf.DUMMYFUNCTION("""COMPUTED_VALUE"""),"PPC Overhauls and SEO Matrix")</f>
        <v>PPC Overhauls and SEO Matrix</v>
      </c>
      <c r="D346" s="316">
        <f>IFERROR(__xludf.DUMMYFUNCTION("""COMPUTED_VALUE"""),44742.0)</f>
        <v>44742</v>
      </c>
      <c r="E346" s="298">
        <f>IFERROR(__xludf.DUMMYFUNCTION("""COMPUTED_VALUE"""),3975.0)</f>
        <v>3975</v>
      </c>
      <c r="F346" s="298">
        <f>IFERROR(__xludf.DUMMYFUNCTION("""COMPUTED_VALUE"""),0.0)</f>
        <v>0</v>
      </c>
      <c r="G346" s="298">
        <f>IFERROR(__xludf.DUMMYFUNCTION("""COMPUTED_VALUE"""),0.0)</f>
        <v>0</v>
      </c>
      <c r="H346" s="223">
        <f>IFERROR(__xludf.DUMMYFUNCTION("""COMPUTED_VALUE"""),3975.0)</f>
        <v>3975</v>
      </c>
      <c r="I346" s="298"/>
      <c r="J346" s="223" t="str">
        <f>IFERROR(__xludf.DUMMYFUNCTION("""COMPUTED_VALUE"""),"
50% Final Payment")</f>
        <v>
50% Final Payment</v>
      </c>
      <c r="K346" s="317">
        <f>IFERROR(__xludf.DUMMYFUNCTION("""COMPUTED_VALUE"""),2022.0)</f>
        <v>2022</v>
      </c>
      <c r="L346" s="298"/>
      <c r="M346" s="223"/>
      <c r="N346" s="223"/>
      <c r="O346" s="223"/>
      <c r="P346" s="223"/>
      <c r="Q346" s="223"/>
      <c r="R346" s="223"/>
      <c r="S346" s="223"/>
      <c r="T346" s="223"/>
      <c r="U346" s="223"/>
      <c r="V346" s="223"/>
      <c r="W346" s="223"/>
      <c r="X346" s="223"/>
      <c r="Y346" s="223"/>
      <c r="Z346" s="223"/>
    </row>
    <row r="347">
      <c r="A347" s="223" t="str">
        <f>IFERROR(__xludf.DUMMYFUNCTION("""COMPUTED_VALUE"""),"Advisicon : Quarterly Website Maintenance Support")</f>
        <v>Advisicon : Quarterly Website Maintenance Support</v>
      </c>
      <c r="B347" s="223" t="str">
        <f>IFERROR(__xludf.DUMMYFUNCTION("""COMPUTED_VALUE"""),"Advisicon")</f>
        <v>Advisicon</v>
      </c>
      <c r="C347" s="223" t="str">
        <f>IFERROR(__xludf.DUMMYFUNCTION("""COMPUTED_VALUE"""),"Quarterly Website Maintenance Support")</f>
        <v>Quarterly Website Maintenance Support</v>
      </c>
      <c r="D347" s="316">
        <f>IFERROR(__xludf.DUMMYFUNCTION("""COMPUTED_VALUE"""),44687.0)</f>
        <v>44687</v>
      </c>
      <c r="E347" s="298">
        <f>IFERROR(__xludf.DUMMYFUNCTION("""COMPUTED_VALUE"""),187.545)</f>
        <v>187.545</v>
      </c>
      <c r="F347" s="298">
        <f>IFERROR(__xludf.DUMMYFUNCTION("""COMPUTED_VALUE"""),0.0)</f>
        <v>0</v>
      </c>
      <c r="G347" s="298">
        <f>IFERROR(__xludf.DUMMYFUNCTION("""COMPUTED_VALUE"""),0.0)</f>
        <v>0</v>
      </c>
      <c r="H347" s="223">
        <f>IFERROR(__xludf.DUMMYFUNCTION("""COMPUTED_VALUE"""),187.545)</f>
        <v>187.545</v>
      </c>
      <c r="I347" s="298"/>
      <c r="J347" s="223" t="str">
        <f>IFERROR(__xludf.DUMMYFUNCTION("""COMPUTED_VALUE"""),"Quarterly")</f>
        <v>Quarterly</v>
      </c>
      <c r="K347" s="317">
        <f>IFERROR(__xludf.DUMMYFUNCTION("""COMPUTED_VALUE"""),2022.0)</f>
        <v>2022</v>
      </c>
      <c r="L347" s="298"/>
      <c r="M347" s="223"/>
      <c r="N347" s="223"/>
      <c r="O347" s="223"/>
      <c r="P347" s="223"/>
      <c r="Q347" s="223"/>
      <c r="R347" s="223"/>
      <c r="S347" s="223"/>
      <c r="T347" s="223"/>
      <c r="U347" s="223"/>
      <c r="V347" s="223"/>
      <c r="W347" s="223"/>
      <c r="X347" s="223"/>
      <c r="Y347" s="223"/>
      <c r="Z347" s="223"/>
    </row>
    <row r="348">
      <c r="A348" s="223" t="str">
        <f>IFERROR(__xludf.DUMMYFUNCTION("""COMPUTED_VALUE"""),"Crisp Media : Genus Capital Managment PPC")</f>
        <v>Crisp Media : Genus Capital Managment PPC</v>
      </c>
      <c r="B348" s="223" t="str">
        <f>IFERROR(__xludf.DUMMYFUNCTION("""COMPUTED_VALUE"""),"Crisp Media")</f>
        <v>Crisp Media</v>
      </c>
      <c r="C348" s="223" t="str">
        <f>IFERROR(__xludf.DUMMYFUNCTION("""COMPUTED_VALUE"""),"Genus Capital Managment PPC")</f>
        <v>Genus Capital Managment PPC</v>
      </c>
      <c r="D348" s="316">
        <f>IFERROR(__xludf.DUMMYFUNCTION("""COMPUTED_VALUE"""),44712.0)</f>
        <v>44712</v>
      </c>
      <c r="E348" s="298">
        <f>IFERROR(__xludf.DUMMYFUNCTION("""COMPUTED_VALUE"""),1220.0)</f>
        <v>1220</v>
      </c>
      <c r="F348" s="298">
        <f>IFERROR(__xludf.DUMMYFUNCTION("""COMPUTED_VALUE"""),37.96)</f>
        <v>37.96</v>
      </c>
      <c r="G348" s="298">
        <f>IFERROR(__xludf.DUMMYFUNCTION("""COMPUTED_VALUE"""),0.0)</f>
        <v>0</v>
      </c>
      <c r="H348" s="223">
        <f>IFERROR(__xludf.DUMMYFUNCTION("""COMPUTED_VALUE"""),1182.04)</f>
        <v>1182.04</v>
      </c>
      <c r="I348" s="298"/>
      <c r="J348" s="223" t="str">
        <f>IFERROR(__xludf.DUMMYFUNCTION("""COMPUTED_VALUE"""),"One-Time")</f>
        <v>One-Time</v>
      </c>
      <c r="K348" s="317">
        <f>IFERROR(__xludf.DUMMYFUNCTION("""COMPUTED_VALUE"""),2022.0)</f>
        <v>2022</v>
      </c>
      <c r="L348" s="298"/>
      <c r="M348" s="223"/>
      <c r="N348" s="223"/>
      <c r="O348" s="223"/>
      <c r="P348" s="223"/>
      <c r="Q348" s="223"/>
      <c r="R348" s="223"/>
      <c r="S348" s="223"/>
      <c r="T348" s="223"/>
      <c r="U348" s="223"/>
      <c r="V348" s="223"/>
      <c r="W348" s="223"/>
      <c r="X348" s="223"/>
      <c r="Y348" s="223"/>
      <c r="Z348" s="223"/>
    </row>
    <row r="349">
      <c r="A349" s="223" t="str">
        <f>IFERROR(__xludf.DUMMYFUNCTION("""COMPUTED_VALUE"""),"Arazy Group : Monthly Services")</f>
        <v>Arazy Group : Monthly Services</v>
      </c>
      <c r="B349" s="223" t="str">
        <f>IFERROR(__xludf.DUMMYFUNCTION("""COMPUTED_VALUE"""),"Arazy Group")</f>
        <v>Arazy Group</v>
      </c>
      <c r="C349" s="223" t="str">
        <f>IFERROR(__xludf.DUMMYFUNCTION("""COMPUTED_VALUE"""),"Monthly Services")</f>
        <v>Monthly Services</v>
      </c>
      <c r="D349" s="316">
        <f>IFERROR(__xludf.DUMMYFUNCTION("""COMPUTED_VALUE"""),44694.0)</f>
        <v>44694</v>
      </c>
      <c r="E349" s="298">
        <f>IFERROR(__xludf.DUMMYFUNCTION("""COMPUTED_VALUE"""),650.0)</f>
        <v>650</v>
      </c>
      <c r="F349" s="298">
        <f>IFERROR(__xludf.DUMMYFUNCTION("""COMPUTED_VALUE"""),20.09)</f>
        <v>20.09</v>
      </c>
      <c r="G349" s="298">
        <f>IFERROR(__xludf.DUMMYFUNCTION("""COMPUTED_VALUE"""),0.0)</f>
        <v>0</v>
      </c>
      <c r="H349" s="223">
        <f>IFERROR(__xludf.DUMMYFUNCTION("""COMPUTED_VALUE"""),629.91)</f>
        <v>629.91</v>
      </c>
      <c r="I349" s="298"/>
      <c r="J349" s="223" t="str">
        <f>IFERROR(__xludf.DUMMYFUNCTION("""COMPUTED_VALUE"""),"Monthly")</f>
        <v>Monthly</v>
      </c>
      <c r="K349" s="317">
        <f>IFERROR(__xludf.DUMMYFUNCTION("""COMPUTED_VALUE"""),2022.05)</f>
        <v>2022.05</v>
      </c>
      <c r="L349" s="298"/>
      <c r="M349" s="223"/>
      <c r="N349" s="223"/>
      <c r="O349" s="223"/>
      <c r="P349" s="223"/>
      <c r="Q349" s="223"/>
      <c r="R349" s="223"/>
      <c r="S349" s="223"/>
      <c r="T349" s="223"/>
      <c r="U349" s="223"/>
      <c r="V349" s="223"/>
      <c r="W349" s="223"/>
      <c r="X349" s="223"/>
      <c r="Y349" s="223"/>
      <c r="Z349" s="223"/>
    </row>
    <row r="350">
      <c r="A350" s="223" t="str">
        <f>IFERROR(__xludf.DUMMYFUNCTION("""COMPUTED_VALUE"""),"Booginhead : Monthly Services")</f>
        <v>Booginhead : Monthly Services</v>
      </c>
      <c r="B350" s="223" t="str">
        <f>IFERROR(__xludf.DUMMYFUNCTION("""COMPUTED_VALUE"""),"Booginhead")</f>
        <v>Booginhead</v>
      </c>
      <c r="C350" s="223" t="str">
        <f>IFERROR(__xludf.DUMMYFUNCTION("""COMPUTED_VALUE"""),"Monthly Services")</f>
        <v>Monthly Services</v>
      </c>
      <c r="D350" s="316">
        <f>IFERROR(__xludf.DUMMYFUNCTION("""COMPUTED_VALUE"""),44694.0)</f>
        <v>44694</v>
      </c>
      <c r="E350" s="298">
        <f>IFERROR(__xludf.DUMMYFUNCTION("""COMPUTED_VALUE"""),1626.1856)</f>
        <v>1626.1856</v>
      </c>
      <c r="F350" s="298">
        <f>IFERROR(__xludf.DUMMYFUNCTION("""COMPUTED_VALUE"""),60.5441408)</f>
        <v>60.5441408</v>
      </c>
      <c r="G350" s="298">
        <f>IFERROR(__xludf.DUMMYFUNCTION("""COMPUTED_VALUE"""),313.12829184000003)</f>
        <v>313.1282918</v>
      </c>
      <c r="H350" s="223">
        <f>IFERROR(__xludf.DUMMYFUNCTION("""COMPUTED_VALUE"""),1252.5131673600001)</f>
        <v>1252.513167</v>
      </c>
      <c r="I350" s="298"/>
      <c r="J350" s="223" t="str">
        <f>IFERROR(__xludf.DUMMYFUNCTION("""COMPUTED_VALUE"""),"Monthly")</f>
        <v>Monthly</v>
      </c>
      <c r="K350" s="317">
        <f>IFERROR(__xludf.DUMMYFUNCTION("""COMPUTED_VALUE"""),2022.05)</f>
        <v>2022.05</v>
      </c>
      <c r="L350" s="298"/>
      <c r="M350" s="223"/>
      <c r="N350" s="223"/>
      <c r="O350" s="223"/>
      <c r="P350" s="223"/>
      <c r="Q350" s="223"/>
      <c r="R350" s="223"/>
      <c r="S350" s="223"/>
      <c r="T350" s="223"/>
      <c r="U350" s="223"/>
      <c r="V350" s="223"/>
      <c r="W350" s="223"/>
      <c r="X350" s="223"/>
      <c r="Y350" s="223"/>
      <c r="Z350" s="223"/>
    </row>
    <row r="351">
      <c r="A351" s="223" t="str">
        <f>IFERROR(__xludf.DUMMYFUNCTION("""COMPUTED_VALUE"""),"New Growth Ecommerce Inc : Monthly Services")</f>
        <v>New Growth Ecommerce Inc : Monthly Services</v>
      </c>
      <c r="B351" s="223" t="str">
        <f>IFERROR(__xludf.DUMMYFUNCTION("""COMPUTED_VALUE"""),"New Growth Ecommerce Inc")</f>
        <v>New Growth Ecommerce Inc</v>
      </c>
      <c r="C351" s="223" t="str">
        <f>IFERROR(__xludf.DUMMYFUNCTION("""COMPUTED_VALUE"""),"Monthly Services")</f>
        <v>Monthly Services</v>
      </c>
      <c r="D351" s="316">
        <f>IFERROR(__xludf.DUMMYFUNCTION("""COMPUTED_VALUE"""),44694.0)</f>
        <v>44694</v>
      </c>
      <c r="E351" s="298">
        <f>IFERROR(__xludf.DUMMYFUNCTION("""COMPUTED_VALUE"""),5000.0)</f>
        <v>5000</v>
      </c>
      <c r="F351" s="298">
        <f>IFERROR(__xludf.DUMMYFUNCTION("""COMPUTED_VALUE"""),0.0)</f>
        <v>0</v>
      </c>
      <c r="G351" s="298">
        <f>IFERROR(__xludf.DUMMYFUNCTION("""COMPUTED_VALUE"""),0.0)</f>
        <v>0</v>
      </c>
      <c r="H351" s="223">
        <f>IFERROR(__xludf.DUMMYFUNCTION("""COMPUTED_VALUE"""),5000.0)</f>
        <v>5000</v>
      </c>
      <c r="I351" s="298"/>
      <c r="J351" s="223" t="str">
        <f>IFERROR(__xludf.DUMMYFUNCTION("""COMPUTED_VALUE"""),"Monthly")</f>
        <v>Monthly</v>
      </c>
      <c r="K351" s="317">
        <f>IFERROR(__xludf.DUMMYFUNCTION("""COMPUTED_VALUE"""),2022.05)</f>
        <v>2022.05</v>
      </c>
      <c r="L351" s="298"/>
      <c r="M351" s="223"/>
      <c r="N351" s="223"/>
      <c r="O351" s="223"/>
      <c r="P351" s="223"/>
      <c r="Q351" s="223"/>
      <c r="R351" s="223"/>
      <c r="S351" s="223"/>
      <c r="T351" s="223"/>
      <c r="U351" s="223"/>
      <c r="V351" s="223"/>
      <c r="W351" s="223"/>
      <c r="X351" s="223"/>
      <c r="Y351" s="223"/>
      <c r="Z351" s="223"/>
    </row>
    <row r="352">
      <c r="A352" s="223" t="str">
        <f>IFERROR(__xludf.DUMMYFUNCTION("""COMPUTED_VALUE"""),"OA Region 6 : Monthly Services")</f>
        <v>OA Region 6 : Monthly Services</v>
      </c>
      <c r="B352" s="223" t="str">
        <f>IFERROR(__xludf.DUMMYFUNCTION("""COMPUTED_VALUE"""),"OA Region 6")</f>
        <v>OA Region 6</v>
      </c>
      <c r="C352" s="223" t="str">
        <f>IFERROR(__xludf.DUMMYFUNCTION("""COMPUTED_VALUE"""),"Monthly Services")</f>
        <v>Monthly Services</v>
      </c>
      <c r="D352" s="316">
        <f>IFERROR(__xludf.DUMMYFUNCTION("""COMPUTED_VALUE"""),44694.0)</f>
        <v>44694</v>
      </c>
      <c r="E352" s="298">
        <f>IFERROR(__xludf.DUMMYFUNCTION("""COMPUTED_VALUE"""),430.4181)</f>
        <v>430.4181</v>
      </c>
      <c r="F352" s="298">
        <f>IFERROR(__xludf.DUMMYFUNCTION("""COMPUTED_VALUE"""),16.294399499999997)</f>
        <v>16.2943995</v>
      </c>
      <c r="G352" s="298">
        <f>IFERROR(__xludf.DUMMYFUNCTION("""COMPUTED_VALUE"""),0.0)</f>
        <v>0</v>
      </c>
      <c r="H352" s="223">
        <f>IFERROR(__xludf.DUMMYFUNCTION("""COMPUTED_VALUE"""),414.1237005)</f>
        <v>414.1237005</v>
      </c>
      <c r="I352" s="298"/>
      <c r="J352" s="223" t="str">
        <f>IFERROR(__xludf.DUMMYFUNCTION("""COMPUTED_VALUE"""),"Monthly")</f>
        <v>Monthly</v>
      </c>
      <c r="K352" s="317">
        <f>IFERROR(__xludf.DUMMYFUNCTION("""COMPUTED_VALUE"""),2022.05)</f>
        <v>2022.05</v>
      </c>
      <c r="L352" s="298"/>
      <c r="M352" s="223"/>
      <c r="N352" s="223"/>
      <c r="O352" s="223"/>
      <c r="P352" s="223"/>
      <c r="Q352" s="223"/>
      <c r="R352" s="223"/>
      <c r="S352" s="223"/>
      <c r="T352" s="223"/>
      <c r="U352" s="223"/>
      <c r="V352" s="223"/>
      <c r="W352" s="223"/>
      <c r="X352" s="223"/>
      <c r="Y352" s="223"/>
      <c r="Z352" s="223"/>
    </row>
    <row r="353">
      <c r="A353" s="223" t="str">
        <f>IFERROR(__xludf.DUMMYFUNCTION("""COMPUTED_VALUE"""),"Technology Rivers : Monthly Services")</f>
        <v>Technology Rivers : Monthly Services</v>
      </c>
      <c r="B353" s="223" t="str">
        <f>IFERROR(__xludf.DUMMYFUNCTION("""COMPUTED_VALUE"""),"Technology Rivers")</f>
        <v>Technology Rivers</v>
      </c>
      <c r="C353" s="223" t="str">
        <f>IFERROR(__xludf.DUMMYFUNCTION("""COMPUTED_VALUE"""),"Monthly Services")</f>
        <v>Monthly Services</v>
      </c>
      <c r="D353" s="316">
        <f>IFERROR(__xludf.DUMMYFUNCTION("""COMPUTED_VALUE"""),44694.0)</f>
        <v>44694</v>
      </c>
      <c r="E353" s="298">
        <f>IFERROR(__xludf.DUMMYFUNCTION("""COMPUTED_VALUE"""),622.7885)</f>
        <v>622.7885</v>
      </c>
      <c r="F353" s="298">
        <f>IFERROR(__xludf.DUMMYFUNCTION("""COMPUTED_VALUE"""),23.4168476)</f>
        <v>23.4168476</v>
      </c>
      <c r="G353" s="298">
        <f>IFERROR(__xludf.DUMMYFUNCTION("""COMPUTED_VALUE"""),119.87433048000001)</f>
        <v>119.8743305</v>
      </c>
      <c r="H353" s="223">
        <f>IFERROR(__xludf.DUMMYFUNCTION("""COMPUTED_VALUE"""),479.49732192)</f>
        <v>479.4973219</v>
      </c>
      <c r="I353" s="298"/>
      <c r="J353" s="223" t="str">
        <f>IFERROR(__xludf.DUMMYFUNCTION("""COMPUTED_VALUE"""),"Monthly")</f>
        <v>Monthly</v>
      </c>
      <c r="K353" s="317">
        <f>IFERROR(__xludf.DUMMYFUNCTION("""COMPUTED_VALUE"""),2022.05)</f>
        <v>2022.05</v>
      </c>
      <c r="L353" s="298"/>
      <c r="M353" s="223"/>
      <c r="N353" s="223"/>
      <c r="O353" s="223"/>
      <c r="P353" s="223"/>
      <c r="Q353" s="223"/>
      <c r="R353" s="223"/>
      <c r="S353" s="223"/>
      <c r="T353" s="223"/>
      <c r="U353" s="223"/>
      <c r="V353" s="223"/>
      <c r="W353" s="223"/>
      <c r="X353" s="223"/>
      <c r="Y353" s="223"/>
      <c r="Z353" s="223"/>
    </row>
    <row r="354">
      <c r="A354" s="223" t="str">
        <f>IFERROR(__xludf.DUMMYFUNCTION("""COMPUTED_VALUE"""),"Tofino Resort + Marina : Monthly Services")</f>
        <v>Tofino Resort + Marina : Monthly Services</v>
      </c>
      <c r="B354" s="223" t="str">
        <f>IFERROR(__xludf.DUMMYFUNCTION("""COMPUTED_VALUE"""),"Tofino Resort + Marina")</f>
        <v>Tofino Resort + Marina</v>
      </c>
      <c r="C354" s="223" t="str">
        <f>IFERROR(__xludf.DUMMYFUNCTION("""COMPUTED_VALUE"""),"Monthly Services")</f>
        <v>Monthly Services</v>
      </c>
      <c r="D354" s="316">
        <f>IFERROR(__xludf.DUMMYFUNCTION("""COMPUTED_VALUE"""),44694.0)</f>
        <v>44694</v>
      </c>
      <c r="E354" s="298">
        <f>IFERROR(__xludf.DUMMYFUNCTION("""COMPUTED_VALUE"""),1600.0)</f>
        <v>1600</v>
      </c>
      <c r="F354" s="298">
        <f>IFERROR(__xludf.DUMMYFUNCTION("""COMPUTED_VALUE"""),49.78)</f>
        <v>49.78</v>
      </c>
      <c r="G354" s="298">
        <f>IFERROR(__xludf.DUMMYFUNCTION("""COMPUTED_VALUE"""),0.0)</f>
        <v>0</v>
      </c>
      <c r="H354" s="223">
        <f>IFERROR(__xludf.DUMMYFUNCTION("""COMPUTED_VALUE"""),1550.22)</f>
        <v>1550.22</v>
      </c>
      <c r="I354" s="298"/>
      <c r="J354" s="223" t="str">
        <f>IFERROR(__xludf.DUMMYFUNCTION("""COMPUTED_VALUE"""),"Monthly")</f>
        <v>Monthly</v>
      </c>
      <c r="K354" s="317">
        <f>IFERROR(__xludf.DUMMYFUNCTION("""COMPUTED_VALUE"""),2022.05)</f>
        <v>2022.05</v>
      </c>
      <c r="L354" s="298"/>
      <c r="M354" s="223"/>
      <c r="N354" s="223"/>
      <c r="O354" s="223"/>
      <c r="P354" s="223"/>
      <c r="Q354" s="223"/>
      <c r="R354" s="223"/>
      <c r="S354" s="223"/>
      <c r="T354" s="223"/>
      <c r="U354" s="223"/>
      <c r="V354" s="223"/>
      <c r="W354" s="223"/>
      <c r="X354" s="223"/>
      <c r="Y354" s="223"/>
      <c r="Z354" s="223"/>
    </row>
    <row r="355">
      <c r="A355" s="223" t="str">
        <f>IFERROR(__xludf.DUMMYFUNCTION("""COMPUTED_VALUE"""),"Viridian : Monthly Services")</f>
        <v>Viridian : Monthly Services</v>
      </c>
      <c r="B355" s="223" t="str">
        <f>IFERROR(__xludf.DUMMYFUNCTION("""COMPUTED_VALUE"""),"Viridian")</f>
        <v>Viridian</v>
      </c>
      <c r="C355" s="223" t="str">
        <f>IFERROR(__xludf.DUMMYFUNCTION("""COMPUTED_VALUE"""),"Monthly Services")</f>
        <v>Monthly Services</v>
      </c>
      <c r="D355" s="316">
        <f>IFERROR(__xludf.DUMMYFUNCTION("""COMPUTED_VALUE"""),44694.0)</f>
        <v>44694</v>
      </c>
      <c r="E355" s="298">
        <f>IFERROR(__xludf.DUMMYFUNCTION("""COMPUTED_VALUE"""),900.0)</f>
        <v>900</v>
      </c>
      <c r="F355" s="298">
        <f>IFERROR(__xludf.DUMMYFUNCTION("""COMPUTED_VALUE"""),0.0)</f>
        <v>0</v>
      </c>
      <c r="G355" s="298">
        <f>IFERROR(__xludf.DUMMYFUNCTION("""COMPUTED_VALUE"""),0.0)</f>
        <v>0</v>
      </c>
      <c r="H355" s="223">
        <f>IFERROR(__xludf.DUMMYFUNCTION("""COMPUTED_VALUE"""),900.0)</f>
        <v>900</v>
      </c>
      <c r="I355" s="298"/>
      <c r="J355" s="223" t="str">
        <f>IFERROR(__xludf.DUMMYFUNCTION("""COMPUTED_VALUE"""),"Monthly")</f>
        <v>Monthly</v>
      </c>
      <c r="K355" s="317">
        <f>IFERROR(__xludf.DUMMYFUNCTION("""COMPUTED_VALUE"""),2022.05)</f>
        <v>2022.05</v>
      </c>
      <c r="L355" s="298"/>
      <c r="M355" s="223"/>
      <c r="N355" s="223"/>
      <c r="O355" s="223"/>
      <c r="P355" s="223"/>
      <c r="Q355" s="223"/>
      <c r="R355" s="223"/>
      <c r="S355" s="223"/>
      <c r="T355" s="223"/>
      <c r="U355" s="223"/>
      <c r="V355" s="223"/>
      <c r="W355" s="223"/>
      <c r="X355" s="223"/>
      <c r="Y355" s="223"/>
      <c r="Z355" s="223"/>
    </row>
    <row r="356">
      <c r="A356" s="223" t="str">
        <f>IFERROR(__xludf.DUMMYFUNCTION("""COMPUTED_VALUE"""),"CAAT Canada : 5 Hour Support Block")</f>
        <v>CAAT Canada : 5 Hour Support Block</v>
      </c>
      <c r="B356" s="223" t="str">
        <f>IFERROR(__xludf.DUMMYFUNCTION("""COMPUTED_VALUE"""),"CAAT Canada")</f>
        <v>CAAT Canada</v>
      </c>
      <c r="C356" s="223" t="str">
        <f>IFERROR(__xludf.DUMMYFUNCTION("""COMPUTED_VALUE"""),"5 Hour Support Block")</f>
        <v>5 Hour Support Block</v>
      </c>
      <c r="D356" s="316">
        <f>IFERROR(__xludf.DUMMYFUNCTION("""COMPUTED_VALUE"""),44708.0)</f>
        <v>44708</v>
      </c>
      <c r="E356" s="298">
        <f>IFERROR(__xludf.DUMMYFUNCTION("""COMPUTED_VALUE"""),400.0)</f>
        <v>400</v>
      </c>
      <c r="F356" s="298">
        <f>IFERROR(__xludf.DUMMYFUNCTION("""COMPUTED_VALUE"""),12.44)</f>
        <v>12.44</v>
      </c>
      <c r="G356" s="298">
        <f>IFERROR(__xludf.DUMMYFUNCTION("""COMPUTED_VALUE"""),0.0)</f>
        <v>0</v>
      </c>
      <c r="H356" s="223">
        <f>IFERROR(__xludf.DUMMYFUNCTION("""COMPUTED_VALUE"""),387.56)</f>
        <v>387.56</v>
      </c>
      <c r="I356" s="298"/>
      <c r="J356" s="223" t="str">
        <f>IFERROR(__xludf.DUMMYFUNCTION("""COMPUTED_VALUE"""),"One-Time (Advance)")</f>
        <v>One-Time (Advance)</v>
      </c>
      <c r="K356" s="317">
        <f>IFERROR(__xludf.DUMMYFUNCTION("""COMPUTED_VALUE"""),2022.0)</f>
        <v>2022</v>
      </c>
      <c r="L356" s="298"/>
      <c r="M356" s="223"/>
      <c r="N356" s="223"/>
      <c r="O356" s="223"/>
      <c r="P356" s="223"/>
      <c r="Q356" s="223"/>
      <c r="R356" s="223"/>
      <c r="S356" s="223"/>
      <c r="T356" s="223"/>
      <c r="U356" s="223"/>
      <c r="V356" s="223"/>
      <c r="W356" s="223"/>
      <c r="X356" s="223"/>
      <c r="Y356" s="223"/>
      <c r="Z356" s="223"/>
    </row>
    <row r="357">
      <c r="A357" s="223" t="str">
        <f>IFERROR(__xludf.DUMMYFUNCTION("""COMPUTED_VALUE"""),"UnityWest Capital : Jericho Energy Ventures 6 month project")</f>
        <v>UnityWest Capital : Jericho Energy Ventures 6 month project</v>
      </c>
      <c r="B357" s="223" t="str">
        <f>IFERROR(__xludf.DUMMYFUNCTION("""COMPUTED_VALUE"""),"UnityWest Capital")</f>
        <v>UnityWest Capital</v>
      </c>
      <c r="C357" s="223" t="str">
        <f>IFERROR(__xludf.DUMMYFUNCTION("""COMPUTED_VALUE"""),"Jericho Energy Ventures 6 month project")</f>
        <v>Jericho Energy Ventures 6 month project</v>
      </c>
      <c r="D357" s="316">
        <f>IFERROR(__xludf.DUMMYFUNCTION("""COMPUTED_VALUE"""),44708.0)</f>
        <v>44708</v>
      </c>
      <c r="E357" s="298">
        <f>IFERROR(__xludf.DUMMYFUNCTION("""COMPUTED_VALUE"""),2000.0)</f>
        <v>2000</v>
      </c>
      <c r="F357" s="298">
        <f>IFERROR(__xludf.DUMMYFUNCTION("""COMPUTED_VALUE"""),59.26)</f>
        <v>59.26</v>
      </c>
      <c r="G357" s="298">
        <f>IFERROR(__xludf.DUMMYFUNCTION("""COMPUTED_VALUE"""),0.0)</f>
        <v>0</v>
      </c>
      <c r="H357" s="223">
        <f>IFERROR(__xludf.DUMMYFUNCTION("""COMPUTED_VALUE"""),1940.74)</f>
        <v>1940.74</v>
      </c>
      <c r="I357" s="298"/>
      <c r="J357" s="223" t="str">
        <f>IFERROR(__xludf.DUMMYFUNCTION("""COMPUTED_VALUE"""),"Monthly")</f>
        <v>Monthly</v>
      </c>
      <c r="K357" s="317">
        <f>IFERROR(__xludf.DUMMYFUNCTION("""COMPUTED_VALUE"""),2022.0)</f>
        <v>2022</v>
      </c>
      <c r="L357" s="298"/>
      <c r="M357" s="223"/>
      <c r="N357" s="223"/>
      <c r="O357" s="223"/>
      <c r="P357" s="223"/>
      <c r="Q357" s="223"/>
      <c r="R357" s="223"/>
      <c r="S357" s="223"/>
      <c r="T357" s="223"/>
      <c r="U357" s="223"/>
      <c r="V357" s="223"/>
      <c r="W357" s="223"/>
      <c r="X357" s="223"/>
      <c r="Y357" s="223"/>
      <c r="Z357" s="223"/>
    </row>
    <row r="358">
      <c r="A358" s="223" t="str">
        <f>IFERROR(__xludf.DUMMYFUNCTION("""COMPUTED_VALUE"""),"Anook Athletics : Monthly Services")</f>
        <v>Anook Athletics : Monthly Services</v>
      </c>
      <c r="B358" s="223" t="str">
        <f>IFERROR(__xludf.DUMMYFUNCTION("""COMPUTED_VALUE"""),"Anook Athletics")</f>
        <v>Anook Athletics</v>
      </c>
      <c r="C358" s="223" t="str">
        <f>IFERROR(__xludf.DUMMYFUNCTION("""COMPUTED_VALUE"""),"Monthly Services")</f>
        <v>Monthly Services</v>
      </c>
      <c r="D358" s="316">
        <f>IFERROR(__xludf.DUMMYFUNCTION("""COMPUTED_VALUE"""),44712.0)</f>
        <v>44712</v>
      </c>
      <c r="E358" s="298">
        <f>IFERROR(__xludf.DUMMYFUNCTION("""COMPUTED_VALUE"""),800.0)</f>
        <v>800</v>
      </c>
      <c r="F358" s="298">
        <f>IFERROR(__xludf.DUMMYFUNCTION("""COMPUTED_VALUE"""),24.89)</f>
        <v>24.89</v>
      </c>
      <c r="G358" s="298">
        <f>IFERROR(__xludf.DUMMYFUNCTION("""COMPUTED_VALUE"""),0.0)</f>
        <v>0</v>
      </c>
      <c r="H358" s="223">
        <f>IFERROR(__xludf.DUMMYFUNCTION("""COMPUTED_VALUE"""),775.11)</f>
        <v>775.11</v>
      </c>
      <c r="I358" s="298"/>
      <c r="J358" s="223" t="str">
        <f>IFERROR(__xludf.DUMMYFUNCTION("""COMPUTED_VALUE"""),"Monthly")</f>
        <v>Monthly</v>
      </c>
      <c r="K358" s="317">
        <f>IFERROR(__xludf.DUMMYFUNCTION("""COMPUTED_VALUE"""),2022.05)</f>
        <v>2022.05</v>
      </c>
      <c r="L358" s="298"/>
      <c r="M358" s="223"/>
      <c r="N358" s="223"/>
      <c r="O358" s="223"/>
      <c r="P358" s="223"/>
      <c r="Q358" s="223"/>
      <c r="R358" s="223"/>
      <c r="S358" s="223"/>
      <c r="T358" s="223"/>
      <c r="U358" s="223"/>
      <c r="V358" s="223"/>
      <c r="W358" s="223"/>
      <c r="X358" s="223"/>
      <c r="Y358" s="223"/>
      <c r="Z358" s="223"/>
    </row>
    <row r="359">
      <c r="A359" s="223" t="str">
        <f>IFERROR(__xludf.DUMMYFUNCTION("""COMPUTED_VALUE"""),"Availed Technologies : Monthly Services")</f>
        <v>Availed Technologies : Monthly Services</v>
      </c>
      <c r="B359" s="223" t="str">
        <f>IFERROR(__xludf.DUMMYFUNCTION("""COMPUTED_VALUE"""),"Availed Technologies")</f>
        <v>Availed Technologies</v>
      </c>
      <c r="C359" s="223" t="str">
        <f>IFERROR(__xludf.DUMMYFUNCTION("""COMPUTED_VALUE"""),"Monthly Services")</f>
        <v>Monthly Services</v>
      </c>
      <c r="D359" s="316">
        <f>IFERROR(__xludf.DUMMYFUNCTION("""COMPUTED_VALUE"""),44712.0)</f>
        <v>44712</v>
      </c>
      <c r="E359" s="298">
        <f>IFERROR(__xludf.DUMMYFUNCTION("""COMPUTED_VALUE"""),750.0)</f>
        <v>750</v>
      </c>
      <c r="F359" s="298">
        <f>IFERROR(__xludf.DUMMYFUNCTION("""COMPUTED_VALUE"""),23.33)</f>
        <v>23.33</v>
      </c>
      <c r="G359" s="298">
        <f>IFERROR(__xludf.DUMMYFUNCTION("""COMPUTED_VALUE"""),0.0)</f>
        <v>0</v>
      </c>
      <c r="H359" s="223">
        <f>IFERROR(__xludf.DUMMYFUNCTION("""COMPUTED_VALUE"""),726.67)</f>
        <v>726.67</v>
      </c>
      <c r="I359" s="298"/>
      <c r="J359" s="223" t="str">
        <f>IFERROR(__xludf.DUMMYFUNCTION("""COMPUTED_VALUE"""),"Monthly")</f>
        <v>Monthly</v>
      </c>
      <c r="K359" s="317">
        <f>IFERROR(__xludf.DUMMYFUNCTION("""COMPUTED_VALUE"""),2022.05)</f>
        <v>2022.05</v>
      </c>
      <c r="L359" s="298"/>
      <c r="M359" s="223"/>
      <c r="N359" s="223"/>
      <c r="O359" s="223"/>
      <c r="P359" s="223"/>
      <c r="Q359" s="223"/>
      <c r="R359" s="223"/>
      <c r="S359" s="223"/>
      <c r="T359" s="223"/>
      <c r="U359" s="223"/>
      <c r="V359" s="223"/>
      <c r="W359" s="223"/>
      <c r="X359" s="223"/>
      <c r="Y359" s="223"/>
      <c r="Z359" s="223"/>
    </row>
    <row r="360">
      <c r="A360" s="223" t="str">
        <f>IFERROR(__xludf.DUMMYFUNCTION("""COMPUTED_VALUE"""),"BookKing (Pacific Tier) : Monthly Services")</f>
        <v>BookKing (Pacific Tier) : Monthly Services</v>
      </c>
      <c r="B360" s="223" t="str">
        <f>IFERROR(__xludf.DUMMYFUNCTION("""COMPUTED_VALUE"""),"BookKing (Pacific Tier)")</f>
        <v>BookKing (Pacific Tier)</v>
      </c>
      <c r="C360" s="223" t="str">
        <f>IFERROR(__xludf.DUMMYFUNCTION("""COMPUTED_VALUE"""),"Monthly Services")</f>
        <v>Monthly Services</v>
      </c>
      <c r="D360" s="316">
        <f>IFERROR(__xludf.DUMMYFUNCTION("""COMPUTED_VALUE"""),44712.0)</f>
        <v>44712</v>
      </c>
      <c r="E360" s="298">
        <f>IFERROR(__xludf.DUMMYFUNCTION("""COMPUTED_VALUE"""),900.0)</f>
        <v>900</v>
      </c>
      <c r="F360" s="298">
        <f>IFERROR(__xludf.DUMMYFUNCTION("""COMPUTED_VALUE"""),0.0)</f>
        <v>0</v>
      </c>
      <c r="G360" s="298">
        <f>IFERROR(__xludf.DUMMYFUNCTION("""COMPUTED_VALUE"""),0.0)</f>
        <v>0</v>
      </c>
      <c r="H360" s="223">
        <f>IFERROR(__xludf.DUMMYFUNCTION("""COMPUTED_VALUE"""),900.0)</f>
        <v>900</v>
      </c>
      <c r="I360" s="298"/>
      <c r="J360" s="223" t="str">
        <f>IFERROR(__xludf.DUMMYFUNCTION("""COMPUTED_VALUE"""),"Monthly")</f>
        <v>Monthly</v>
      </c>
      <c r="K360" s="317">
        <f>IFERROR(__xludf.DUMMYFUNCTION("""COMPUTED_VALUE"""),2022.05)</f>
        <v>2022.05</v>
      </c>
      <c r="L360" s="298"/>
      <c r="M360" s="223"/>
      <c r="N360" s="223"/>
      <c r="O360" s="223"/>
      <c r="P360" s="223"/>
      <c r="Q360" s="223"/>
      <c r="R360" s="223"/>
      <c r="S360" s="223"/>
      <c r="T360" s="223"/>
      <c r="U360" s="223"/>
      <c r="V360" s="223"/>
      <c r="W360" s="223"/>
      <c r="X360" s="223"/>
      <c r="Y360" s="223"/>
      <c r="Z360" s="223"/>
    </row>
    <row r="361">
      <c r="A361" s="223" t="str">
        <f>IFERROR(__xludf.DUMMYFUNCTION("""COMPUTED_VALUE"""),"Bratopia : Monthly Services")</f>
        <v>Bratopia : Monthly Services</v>
      </c>
      <c r="B361" s="223" t="str">
        <f>IFERROR(__xludf.DUMMYFUNCTION("""COMPUTED_VALUE"""),"Bratopia")</f>
        <v>Bratopia</v>
      </c>
      <c r="C361" s="223" t="str">
        <f>IFERROR(__xludf.DUMMYFUNCTION("""COMPUTED_VALUE"""),"Monthly Services")</f>
        <v>Monthly Services</v>
      </c>
      <c r="D361" s="316">
        <f>IFERROR(__xludf.DUMMYFUNCTION("""COMPUTED_VALUE"""),44712.0)</f>
        <v>44712</v>
      </c>
      <c r="E361" s="298">
        <f>IFERROR(__xludf.DUMMYFUNCTION("""COMPUTED_VALUE"""),1550.0)</f>
        <v>1550</v>
      </c>
      <c r="F361" s="298">
        <f>IFERROR(__xludf.DUMMYFUNCTION("""COMPUTED_VALUE"""),48.22)</f>
        <v>48.22</v>
      </c>
      <c r="G361" s="298">
        <f>IFERROR(__xludf.DUMMYFUNCTION("""COMPUTED_VALUE"""),0.0)</f>
        <v>0</v>
      </c>
      <c r="H361" s="223">
        <f>IFERROR(__xludf.DUMMYFUNCTION("""COMPUTED_VALUE"""),1501.78)</f>
        <v>1501.78</v>
      </c>
      <c r="I361" s="298"/>
      <c r="J361" s="223" t="str">
        <f>IFERROR(__xludf.DUMMYFUNCTION("""COMPUTED_VALUE"""),"Monthly")</f>
        <v>Monthly</v>
      </c>
      <c r="K361" s="317">
        <f>IFERROR(__xludf.DUMMYFUNCTION("""COMPUTED_VALUE"""),2022.05)</f>
        <v>2022.05</v>
      </c>
      <c r="L361" s="298"/>
      <c r="M361" s="223"/>
      <c r="N361" s="223"/>
      <c r="O361" s="223"/>
      <c r="P361" s="223"/>
      <c r="Q361" s="223"/>
      <c r="R361" s="223"/>
      <c r="S361" s="223"/>
      <c r="T361" s="223"/>
      <c r="U361" s="223"/>
      <c r="V361" s="223"/>
      <c r="W361" s="223"/>
      <c r="X361" s="223"/>
      <c r="Y361" s="223"/>
      <c r="Z361" s="223"/>
    </row>
    <row r="362">
      <c r="A362" s="223" t="str">
        <f>IFERROR(__xludf.DUMMYFUNCTION("""COMPUTED_VALUE"""),"Community Financials : Monthly Services")</f>
        <v>Community Financials : Monthly Services</v>
      </c>
      <c r="B362" s="223" t="str">
        <f>IFERROR(__xludf.DUMMYFUNCTION("""COMPUTED_VALUE"""),"Community Financials")</f>
        <v>Community Financials</v>
      </c>
      <c r="C362" s="223" t="str">
        <f>IFERROR(__xludf.DUMMYFUNCTION("""COMPUTED_VALUE"""),"Monthly Services")</f>
        <v>Monthly Services</v>
      </c>
      <c r="D362" s="316">
        <f>IFERROR(__xludf.DUMMYFUNCTION("""COMPUTED_VALUE"""),44712.0)</f>
        <v>44712</v>
      </c>
      <c r="E362" s="298">
        <f>IFERROR(__xludf.DUMMYFUNCTION("""COMPUTED_VALUE"""),1834.3185)</f>
        <v>1834.3185</v>
      </c>
      <c r="F362" s="298">
        <f>IFERROR(__xludf.DUMMYFUNCTION("""COMPUTED_VALUE"""),68.2366482)</f>
        <v>68.2366482</v>
      </c>
      <c r="G362" s="298">
        <f>IFERROR(__xludf.DUMMYFUNCTION("""COMPUTED_VALUE"""),353.21637036000004)</f>
        <v>353.2163704</v>
      </c>
      <c r="H362" s="223">
        <f>IFERROR(__xludf.DUMMYFUNCTION("""COMPUTED_VALUE"""),1412.8654814400002)</f>
        <v>1412.865481</v>
      </c>
      <c r="I362" s="298"/>
      <c r="J362" s="223" t="str">
        <f>IFERROR(__xludf.DUMMYFUNCTION("""COMPUTED_VALUE"""),"Monthly")</f>
        <v>Monthly</v>
      </c>
      <c r="K362" s="317">
        <f>IFERROR(__xludf.DUMMYFUNCTION("""COMPUTED_VALUE"""),2022.05)</f>
        <v>2022.05</v>
      </c>
      <c r="L362" s="298"/>
      <c r="M362" s="223"/>
      <c r="N362" s="223"/>
      <c r="O362" s="223"/>
      <c r="P362" s="223"/>
      <c r="Q362" s="223"/>
      <c r="R362" s="223"/>
      <c r="S362" s="223"/>
      <c r="T362" s="223"/>
      <c r="U362" s="223"/>
      <c r="V362" s="223"/>
      <c r="W362" s="223"/>
      <c r="X362" s="223"/>
      <c r="Y362" s="223"/>
      <c r="Z362" s="223"/>
    </row>
    <row r="363">
      <c r="A363" s="223" t="str">
        <f>IFERROR(__xludf.DUMMYFUNCTION("""COMPUTED_VALUE"""),"Diversified Health : Monthly Services")</f>
        <v>Diversified Health : Monthly Services</v>
      </c>
      <c r="B363" s="223" t="str">
        <f>IFERROR(__xludf.DUMMYFUNCTION("""COMPUTED_VALUE"""),"Diversified Health")</f>
        <v>Diversified Health</v>
      </c>
      <c r="C363" s="223" t="str">
        <f>IFERROR(__xludf.DUMMYFUNCTION("""COMPUTED_VALUE"""),"Monthly Services")</f>
        <v>Monthly Services</v>
      </c>
      <c r="D363" s="316">
        <f>IFERROR(__xludf.DUMMYFUNCTION("""COMPUTED_VALUE"""),44712.0)</f>
        <v>44712</v>
      </c>
      <c r="E363" s="298">
        <f>IFERROR(__xludf.DUMMYFUNCTION("""COMPUTED_VALUE"""),1000.0)</f>
        <v>1000</v>
      </c>
      <c r="F363" s="298">
        <f>IFERROR(__xludf.DUMMYFUNCTION("""COMPUTED_VALUE"""),0.0)</f>
        <v>0</v>
      </c>
      <c r="G363" s="298">
        <f>IFERROR(__xludf.DUMMYFUNCTION("""COMPUTED_VALUE"""),0.0)</f>
        <v>0</v>
      </c>
      <c r="H363" s="223">
        <f>IFERROR(__xludf.DUMMYFUNCTION("""COMPUTED_VALUE"""),1000.0)</f>
        <v>1000</v>
      </c>
      <c r="I363" s="298"/>
      <c r="J363" s="223" t="str">
        <f>IFERROR(__xludf.DUMMYFUNCTION("""COMPUTED_VALUE"""),"Monthly")</f>
        <v>Monthly</v>
      </c>
      <c r="K363" s="317">
        <f>IFERROR(__xludf.DUMMYFUNCTION("""COMPUTED_VALUE"""),2022.05)</f>
        <v>2022.05</v>
      </c>
      <c r="L363" s="298"/>
      <c r="M363" s="223"/>
      <c r="N363" s="223"/>
      <c r="O363" s="223"/>
      <c r="P363" s="223"/>
      <c r="Q363" s="223"/>
      <c r="R363" s="223"/>
      <c r="S363" s="223"/>
      <c r="T363" s="223"/>
      <c r="U363" s="223"/>
      <c r="V363" s="223"/>
      <c r="W363" s="223"/>
      <c r="X363" s="223"/>
      <c r="Y363" s="223"/>
      <c r="Z363" s="223"/>
    </row>
    <row r="364">
      <c r="A364" s="223" t="str">
        <f>IFERROR(__xludf.DUMMYFUNCTION("""COMPUTED_VALUE"""),"Giga Tires : Monthly Services")</f>
        <v>Giga Tires : Monthly Services</v>
      </c>
      <c r="B364" s="223" t="str">
        <f>IFERROR(__xludf.DUMMYFUNCTION("""COMPUTED_VALUE"""),"Giga Tires")</f>
        <v>Giga Tires</v>
      </c>
      <c r="C364" s="223" t="str">
        <f>IFERROR(__xludf.DUMMYFUNCTION("""COMPUTED_VALUE"""),"Monthly Services")</f>
        <v>Monthly Services</v>
      </c>
      <c r="D364" s="316">
        <f>IFERROR(__xludf.DUMMYFUNCTION("""COMPUTED_VALUE"""),44712.0)</f>
        <v>44712</v>
      </c>
      <c r="E364" s="298">
        <f>IFERROR(__xludf.DUMMYFUNCTION("""COMPUTED_VALUE"""),375.0)</f>
        <v>375</v>
      </c>
      <c r="F364" s="298">
        <f>IFERROR(__xludf.DUMMYFUNCTION("""COMPUTED_VALUE"""),14.87)</f>
        <v>14.87</v>
      </c>
      <c r="G364" s="298">
        <f>IFERROR(__xludf.DUMMYFUNCTION("""COMPUTED_VALUE"""),0.0)</f>
        <v>0</v>
      </c>
      <c r="H364" s="223">
        <f>IFERROR(__xludf.DUMMYFUNCTION("""COMPUTED_VALUE"""),360.13)</f>
        <v>360.13</v>
      </c>
      <c r="I364" s="298"/>
      <c r="J364" s="223" t="str">
        <f>IFERROR(__xludf.DUMMYFUNCTION("""COMPUTED_VALUE"""),"Monthly")</f>
        <v>Monthly</v>
      </c>
      <c r="K364" s="317">
        <f>IFERROR(__xludf.DUMMYFUNCTION("""COMPUTED_VALUE"""),2022.05)</f>
        <v>2022.05</v>
      </c>
      <c r="L364" s="298"/>
      <c r="M364" s="223"/>
      <c r="N364" s="223"/>
      <c r="O364" s="223"/>
      <c r="P364" s="223"/>
      <c r="Q364" s="223"/>
      <c r="R364" s="223"/>
      <c r="S364" s="223"/>
      <c r="T364" s="223"/>
      <c r="U364" s="223"/>
      <c r="V364" s="223"/>
      <c r="W364" s="223"/>
      <c r="X364" s="223"/>
      <c r="Y364" s="223"/>
      <c r="Z364" s="223"/>
    </row>
    <row r="365">
      <c r="A365" s="223" t="str">
        <f>IFERROR(__xludf.DUMMYFUNCTION("""COMPUTED_VALUE"""),"Hastings House : Monthly Services")</f>
        <v>Hastings House : Monthly Services</v>
      </c>
      <c r="B365" s="223" t="str">
        <f>IFERROR(__xludf.DUMMYFUNCTION("""COMPUTED_VALUE"""),"Hastings House")</f>
        <v>Hastings House</v>
      </c>
      <c r="C365" s="223" t="str">
        <f>IFERROR(__xludf.DUMMYFUNCTION("""COMPUTED_VALUE"""),"Monthly Services")</f>
        <v>Monthly Services</v>
      </c>
      <c r="D365" s="316">
        <f>IFERROR(__xludf.DUMMYFUNCTION("""COMPUTED_VALUE"""),44712.0)</f>
        <v>44712</v>
      </c>
      <c r="E365" s="298">
        <f>IFERROR(__xludf.DUMMYFUNCTION("""COMPUTED_VALUE"""),1500.0)</f>
        <v>1500</v>
      </c>
      <c r="F365" s="298">
        <f>IFERROR(__xludf.DUMMYFUNCTION("""COMPUTED_VALUE"""),46.67)</f>
        <v>46.67</v>
      </c>
      <c r="G365" s="298">
        <f>IFERROR(__xludf.DUMMYFUNCTION("""COMPUTED_VALUE"""),217.99949999999998)</f>
        <v>217.9995</v>
      </c>
      <c r="H365" s="223">
        <f>IFERROR(__xludf.DUMMYFUNCTION("""COMPUTED_VALUE"""),1235.3305)</f>
        <v>1235.3305</v>
      </c>
      <c r="I365" s="298"/>
      <c r="J365" s="223" t="str">
        <f>IFERROR(__xludf.DUMMYFUNCTION("""COMPUTED_VALUE"""),"Monthly")</f>
        <v>Monthly</v>
      </c>
      <c r="K365" s="317">
        <f>IFERROR(__xludf.DUMMYFUNCTION("""COMPUTED_VALUE"""),2022.05)</f>
        <v>2022.05</v>
      </c>
      <c r="L365" s="298"/>
      <c r="M365" s="223"/>
      <c r="N365" s="223"/>
      <c r="O365" s="223"/>
      <c r="P365" s="223"/>
      <c r="Q365" s="223"/>
      <c r="R365" s="223"/>
      <c r="S365" s="223"/>
      <c r="T365" s="223"/>
      <c r="U365" s="223"/>
      <c r="V365" s="223"/>
      <c r="W365" s="223"/>
      <c r="X365" s="223"/>
      <c r="Y365" s="223"/>
      <c r="Z365" s="223"/>
    </row>
    <row r="366">
      <c r="A366" s="223" t="str">
        <f>IFERROR(__xludf.DUMMYFUNCTION("""COMPUTED_VALUE"""),"HSJ Lawyers : Monthly Services")</f>
        <v>HSJ Lawyers : Monthly Services</v>
      </c>
      <c r="B366" s="223" t="str">
        <f>IFERROR(__xludf.DUMMYFUNCTION("""COMPUTED_VALUE"""),"HSJ Lawyers")</f>
        <v>HSJ Lawyers</v>
      </c>
      <c r="C366" s="223" t="str">
        <f>IFERROR(__xludf.DUMMYFUNCTION("""COMPUTED_VALUE"""),"Monthly Services")</f>
        <v>Monthly Services</v>
      </c>
      <c r="D366" s="316">
        <f>IFERROR(__xludf.DUMMYFUNCTION("""COMPUTED_VALUE"""),44712.0)</f>
        <v>44712</v>
      </c>
      <c r="E366" s="298">
        <f>IFERROR(__xludf.DUMMYFUNCTION("""COMPUTED_VALUE"""),800.0)</f>
        <v>800</v>
      </c>
      <c r="F366" s="298">
        <f>IFERROR(__xludf.DUMMYFUNCTION("""COMPUTED_VALUE"""),0.0)</f>
        <v>0</v>
      </c>
      <c r="G366" s="298">
        <f>IFERROR(__xludf.DUMMYFUNCTION("""COMPUTED_VALUE"""),0.0)</f>
        <v>0</v>
      </c>
      <c r="H366" s="223">
        <f>IFERROR(__xludf.DUMMYFUNCTION("""COMPUTED_VALUE"""),800.0)</f>
        <v>800</v>
      </c>
      <c r="I366" s="298"/>
      <c r="J366" s="223" t="str">
        <f>IFERROR(__xludf.DUMMYFUNCTION("""COMPUTED_VALUE"""),"Monthly")</f>
        <v>Monthly</v>
      </c>
      <c r="K366" s="317">
        <f>IFERROR(__xludf.DUMMYFUNCTION("""COMPUTED_VALUE"""),2022.05)</f>
        <v>2022.05</v>
      </c>
      <c r="L366" s="298"/>
      <c r="M366" s="223"/>
      <c r="N366" s="223"/>
      <c r="O366" s="223"/>
      <c r="P366" s="223"/>
      <c r="Q366" s="223"/>
      <c r="R366" s="223"/>
      <c r="S366" s="223"/>
      <c r="T366" s="223"/>
      <c r="U366" s="223"/>
      <c r="V366" s="223"/>
      <c r="W366" s="223"/>
      <c r="X366" s="223"/>
      <c r="Y366" s="223"/>
      <c r="Z366" s="223"/>
    </row>
    <row r="367">
      <c r="A367" s="223" t="str">
        <f>IFERROR(__xludf.DUMMYFUNCTION("""COMPUTED_VALUE"""),"MortgagePal : Monthly Services")</f>
        <v>MortgagePal : Monthly Services</v>
      </c>
      <c r="B367" s="223" t="str">
        <f>IFERROR(__xludf.DUMMYFUNCTION("""COMPUTED_VALUE"""),"MortgagePal")</f>
        <v>MortgagePal</v>
      </c>
      <c r="C367" s="223" t="str">
        <f>IFERROR(__xludf.DUMMYFUNCTION("""COMPUTED_VALUE"""),"Monthly Services")</f>
        <v>Monthly Services</v>
      </c>
      <c r="D367" s="316">
        <f>IFERROR(__xludf.DUMMYFUNCTION("""COMPUTED_VALUE"""),44712.0)</f>
        <v>44712</v>
      </c>
      <c r="E367" s="298">
        <f>IFERROR(__xludf.DUMMYFUNCTION("""COMPUTED_VALUE"""),500.0)</f>
        <v>500</v>
      </c>
      <c r="F367" s="298">
        <f>IFERROR(__xludf.DUMMYFUNCTION("""COMPUTED_VALUE"""),15.53)</f>
        <v>15.53</v>
      </c>
      <c r="G367" s="298">
        <f>IFERROR(__xludf.DUMMYFUNCTION("""COMPUTED_VALUE"""),0.0)</f>
        <v>0</v>
      </c>
      <c r="H367" s="223">
        <f>IFERROR(__xludf.DUMMYFUNCTION("""COMPUTED_VALUE"""),484.47)</f>
        <v>484.47</v>
      </c>
      <c r="I367" s="298"/>
      <c r="J367" s="223" t="str">
        <f>IFERROR(__xludf.DUMMYFUNCTION("""COMPUTED_VALUE"""),"Monthly")</f>
        <v>Monthly</v>
      </c>
      <c r="K367" s="317">
        <f>IFERROR(__xludf.DUMMYFUNCTION("""COMPUTED_VALUE"""),2022.05)</f>
        <v>2022.05</v>
      </c>
      <c r="L367" s="298"/>
      <c r="M367" s="223"/>
      <c r="N367" s="223"/>
      <c r="O367" s="223"/>
      <c r="P367" s="223"/>
      <c r="Q367" s="223"/>
      <c r="R367" s="223"/>
      <c r="S367" s="223"/>
      <c r="T367" s="223"/>
      <c r="U367" s="223"/>
      <c r="V367" s="223"/>
      <c r="W367" s="223"/>
      <c r="X367" s="223"/>
      <c r="Y367" s="223"/>
      <c r="Z367" s="223"/>
    </row>
    <row r="368">
      <c r="A368" s="223" t="str">
        <f>IFERROR(__xludf.DUMMYFUNCTION("""COMPUTED_VALUE"""),"Olivia Shoppe : Monthly Services")</f>
        <v>Olivia Shoppe : Monthly Services</v>
      </c>
      <c r="B368" s="223" t="str">
        <f>IFERROR(__xludf.DUMMYFUNCTION("""COMPUTED_VALUE"""),"Olivia Shoppe")</f>
        <v>Olivia Shoppe</v>
      </c>
      <c r="C368" s="223" t="str">
        <f>IFERROR(__xludf.DUMMYFUNCTION("""COMPUTED_VALUE"""),"Monthly Services")</f>
        <v>Monthly Services</v>
      </c>
      <c r="D368" s="316">
        <f>IFERROR(__xludf.DUMMYFUNCTION("""COMPUTED_VALUE"""),44712.0)</f>
        <v>44712</v>
      </c>
      <c r="E368" s="298">
        <f>IFERROR(__xludf.DUMMYFUNCTION("""COMPUTED_VALUE"""),808.36405)</f>
        <v>808.36405</v>
      </c>
      <c r="F368" s="298">
        <f>IFERROR(__xludf.DUMMYFUNCTION("""COMPUTED_VALUE"""),30.00896081)</f>
        <v>30.00896081</v>
      </c>
      <c r="G368" s="298">
        <f>IFERROR(__xludf.DUMMYFUNCTION("""COMPUTED_VALUE"""),0.0)</f>
        <v>0</v>
      </c>
      <c r="H368" s="223">
        <f>IFERROR(__xludf.DUMMYFUNCTION("""COMPUTED_VALUE"""),778.3550891900001)</f>
        <v>778.3550892</v>
      </c>
      <c r="I368" s="298"/>
      <c r="J368" s="223" t="str">
        <f>IFERROR(__xludf.DUMMYFUNCTION("""COMPUTED_VALUE"""),"Monthly")</f>
        <v>Monthly</v>
      </c>
      <c r="K368" s="317">
        <f>IFERROR(__xludf.DUMMYFUNCTION("""COMPUTED_VALUE"""),2022.05)</f>
        <v>2022.05</v>
      </c>
      <c r="L368" s="298"/>
      <c r="M368" s="223"/>
      <c r="N368" s="223"/>
      <c r="O368" s="223"/>
      <c r="P368" s="223"/>
      <c r="Q368" s="223"/>
      <c r="R368" s="223"/>
      <c r="S368" s="223"/>
      <c r="T368" s="223"/>
      <c r="U368" s="223"/>
      <c r="V368" s="223"/>
      <c r="W368" s="223"/>
      <c r="X368" s="223"/>
      <c r="Y368" s="223"/>
      <c r="Z368" s="223"/>
    </row>
    <row r="369">
      <c r="A369" s="223" t="str">
        <f>IFERROR(__xludf.DUMMYFUNCTION("""COMPUTED_VALUE"""),"PMDI : Monthly Services")</f>
        <v>PMDI : Monthly Services</v>
      </c>
      <c r="B369" s="223" t="str">
        <f>IFERROR(__xludf.DUMMYFUNCTION("""COMPUTED_VALUE"""),"PMDI")</f>
        <v>PMDI</v>
      </c>
      <c r="C369" s="223" t="str">
        <f>IFERROR(__xludf.DUMMYFUNCTION("""COMPUTED_VALUE"""),"Monthly Services")</f>
        <v>Monthly Services</v>
      </c>
      <c r="D369" s="316">
        <f>IFERROR(__xludf.DUMMYFUNCTION("""COMPUTED_VALUE"""),44712.0)</f>
        <v>44712</v>
      </c>
      <c r="E369" s="298">
        <f>IFERROR(__xludf.DUMMYFUNCTION("""COMPUTED_VALUE"""),375.0)</f>
        <v>375</v>
      </c>
      <c r="F369" s="298">
        <f>IFERROR(__xludf.DUMMYFUNCTION("""COMPUTED_VALUE"""),0.0)</f>
        <v>0</v>
      </c>
      <c r="G369" s="298">
        <f>IFERROR(__xludf.DUMMYFUNCTION("""COMPUTED_VALUE"""),0.0)</f>
        <v>0</v>
      </c>
      <c r="H369" s="223">
        <f>IFERROR(__xludf.DUMMYFUNCTION("""COMPUTED_VALUE"""),375.0)</f>
        <v>375</v>
      </c>
      <c r="I369" s="298"/>
      <c r="J369" s="223" t="str">
        <f>IFERROR(__xludf.DUMMYFUNCTION("""COMPUTED_VALUE"""),"Monthly")</f>
        <v>Monthly</v>
      </c>
      <c r="K369" s="317">
        <f>IFERROR(__xludf.DUMMYFUNCTION("""COMPUTED_VALUE"""),2022.05)</f>
        <v>2022.05</v>
      </c>
      <c r="L369" s="298"/>
      <c r="M369" s="223"/>
      <c r="N369" s="223"/>
      <c r="O369" s="223"/>
      <c r="P369" s="223"/>
      <c r="Q369" s="223"/>
      <c r="R369" s="223"/>
      <c r="S369" s="223"/>
      <c r="T369" s="223"/>
      <c r="U369" s="223"/>
      <c r="V369" s="223"/>
      <c r="W369" s="223"/>
      <c r="X369" s="223"/>
      <c r="Y369" s="223"/>
      <c r="Z369" s="223"/>
    </row>
    <row r="370">
      <c r="A370" s="223" t="str">
        <f>IFERROR(__xludf.DUMMYFUNCTION("""COMPUTED_VALUE"""),"Prime Engineering : Monthly Services")</f>
        <v>Prime Engineering : Monthly Services</v>
      </c>
      <c r="B370" s="223" t="str">
        <f>IFERROR(__xludf.DUMMYFUNCTION("""COMPUTED_VALUE"""),"Prime Engineering")</f>
        <v>Prime Engineering</v>
      </c>
      <c r="C370" s="223" t="str">
        <f>IFERROR(__xludf.DUMMYFUNCTION("""COMPUTED_VALUE"""),"Monthly Services")</f>
        <v>Monthly Services</v>
      </c>
      <c r="D370" s="316">
        <f>IFERROR(__xludf.DUMMYFUNCTION("""COMPUTED_VALUE"""),44712.0)</f>
        <v>44712</v>
      </c>
      <c r="E370" s="298">
        <f>IFERROR(__xludf.DUMMYFUNCTION("""COMPUTED_VALUE"""),500.0)</f>
        <v>500</v>
      </c>
      <c r="F370" s="298">
        <f>IFERROR(__xludf.DUMMYFUNCTION("""COMPUTED_VALUE"""),0.0)</f>
        <v>0</v>
      </c>
      <c r="G370" s="298">
        <f>IFERROR(__xludf.DUMMYFUNCTION("""COMPUTED_VALUE"""),0.0)</f>
        <v>0</v>
      </c>
      <c r="H370" s="223">
        <f>IFERROR(__xludf.DUMMYFUNCTION("""COMPUTED_VALUE"""),500.0)</f>
        <v>500</v>
      </c>
      <c r="I370" s="298"/>
      <c r="J370" s="223" t="str">
        <f>IFERROR(__xludf.DUMMYFUNCTION("""COMPUTED_VALUE"""),"Monthly")</f>
        <v>Monthly</v>
      </c>
      <c r="K370" s="317">
        <f>IFERROR(__xludf.DUMMYFUNCTION("""COMPUTED_VALUE"""),2022.05)</f>
        <v>2022.05</v>
      </c>
      <c r="L370" s="298"/>
      <c r="M370" s="223"/>
      <c r="N370" s="223"/>
      <c r="O370" s="223"/>
      <c r="P370" s="223"/>
      <c r="Q370" s="223"/>
      <c r="R370" s="223"/>
      <c r="S370" s="223"/>
      <c r="T370" s="223"/>
      <c r="U370" s="223"/>
      <c r="V370" s="223"/>
      <c r="W370" s="223"/>
      <c r="X370" s="223"/>
      <c r="Y370" s="223"/>
      <c r="Z370" s="223"/>
    </row>
    <row r="371">
      <c r="A371" s="223" t="str">
        <f>IFERROR(__xludf.DUMMYFUNCTION("""COMPUTED_VALUE"""),"Rama Meditation Society : Premium Hosting + Support")</f>
        <v>Rama Meditation Society : Premium Hosting + Support</v>
      </c>
      <c r="B371" s="223" t="str">
        <f>IFERROR(__xludf.DUMMYFUNCTION("""COMPUTED_VALUE"""),"Rama Meditation Society")</f>
        <v>Rama Meditation Society</v>
      </c>
      <c r="C371" s="223" t="str">
        <f>IFERROR(__xludf.DUMMYFUNCTION("""COMPUTED_VALUE"""),"Premium Hosting + Support")</f>
        <v>Premium Hosting + Support</v>
      </c>
      <c r="D371" s="316">
        <f>IFERROR(__xludf.DUMMYFUNCTION("""COMPUTED_VALUE"""),44712.0)</f>
        <v>44712</v>
      </c>
      <c r="E371" s="298">
        <f>IFERROR(__xludf.DUMMYFUNCTION("""COMPUTED_VALUE"""),367.44570000000004)</f>
        <v>367.4457</v>
      </c>
      <c r="F371" s="298">
        <f>IFERROR(__xludf.DUMMYFUNCTION("""COMPUTED_VALUE"""),13.9629366)</f>
        <v>13.9629366</v>
      </c>
      <c r="G371" s="298">
        <f>IFERROR(__xludf.DUMMYFUNCTION("""COMPUTED_VALUE"""),0.0)</f>
        <v>0</v>
      </c>
      <c r="H371" s="223">
        <f>IFERROR(__xludf.DUMMYFUNCTION("""COMPUTED_VALUE"""),353.48276340000007)</f>
        <v>353.4827634</v>
      </c>
      <c r="I371" s="298"/>
      <c r="J371" s="223" t="str">
        <f>IFERROR(__xludf.DUMMYFUNCTION("""COMPUTED_VALUE"""),"Monthly")</f>
        <v>Monthly</v>
      </c>
      <c r="K371" s="317">
        <f>IFERROR(__xludf.DUMMYFUNCTION("""COMPUTED_VALUE"""),2022.05)</f>
        <v>2022.05</v>
      </c>
      <c r="L371" s="298"/>
      <c r="M371" s="223"/>
      <c r="N371" s="223"/>
      <c r="O371" s="223"/>
      <c r="P371" s="223"/>
      <c r="Q371" s="223"/>
      <c r="R371" s="223"/>
      <c r="S371" s="223"/>
      <c r="T371" s="223"/>
      <c r="U371" s="223"/>
      <c r="V371" s="223"/>
      <c r="W371" s="223"/>
      <c r="X371" s="223"/>
      <c r="Y371" s="223"/>
      <c r="Z371" s="223"/>
    </row>
    <row r="372">
      <c r="A372" s="223" t="str">
        <f>IFERROR(__xludf.DUMMYFUNCTION("""COMPUTED_VALUE"""),"Red Seal : Monthly Services")</f>
        <v>Red Seal : Monthly Services</v>
      </c>
      <c r="B372" s="223" t="str">
        <f>IFERROR(__xludf.DUMMYFUNCTION("""COMPUTED_VALUE"""),"Red Seal")</f>
        <v>Red Seal</v>
      </c>
      <c r="C372" s="223" t="str">
        <f>IFERROR(__xludf.DUMMYFUNCTION("""COMPUTED_VALUE"""),"Monthly Services")</f>
        <v>Monthly Services</v>
      </c>
      <c r="D372" s="316">
        <f>IFERROR(__xludf.DUMMYFUNCTION("""COMPUTED_VALUE"""),44712.0)</f>
        <v>44712</v>
      </c>
      <c r="E372" s="298">
        <f>IFERROR(__xludf.DUMMYFUNCTION("""COMPUTED_VALUE"""),250.0)</f>
        <v>250</v>
      </c>
      <c r="F372" s="298">
        <f>IFERROR(__xludf.DUMMYFUNCTION("""COMPUTED_VALUE"""),0.0)</f>
        <v>0</v>
      </c>
      <c r="G372" s="298">
        <f>IFERROR(__xludf.DUMMYFUNCTION("""COMPUTED_VALUE"""),0.0)</f>
        <v>0</v>
      </c>
      <c r="H372" s="223">
        <f>IFERROR(__xludf.DUMMYFUNCTION("""COMPUTED_VALUE"""),250.0)</f>
        <v>250</v>
      </c>
      <c r="I372" s="298"/>
      <c r="J372" s="223" t="str">
        <f>IFERROR(__xludf.DUMMYFUNCTION("""COMPUTED_VALUE"""),"Monthly")</f>
        <v>Monthly</v>
      </c>
      <c r="K372" s="317">
        <f>IFERROR(__xludf.DUMMYFUNCTION("""COMPUTED_VALUE"""),2022.05)</f>
        <v>2022.05</v>
      </c>
      <c r="L372" s="298"/>
      <c r="M372" s="223"/>
      <c r="N372" s="223"/>
      <c r="O372" s="223"/>
      <c r="P372" s="223"/>
      <c r="Q372" s="223"/>
      <c r="R372" s="223"/>
      <c r="S372" s="223"/>
      <c r="T372" s="223"/>
      <c r="U372" s="223"/>
      <c r="V372" s="223"/>
      <c r="W372" s="223"/>
      <c r="X372" s="223"/>
      <c r="Y372" s="223"/>
      <c r="Z372" s="223"/>
    </row>
    <row r="373">
      <c r="A373" s="223" t="str">
        <f>IFERROR(__xludf.DUMMYFUNCTION("""COMPUTED_VALUE"""),"Service First : Monthly Services")</f>
        <v>Service First : Monthly Services</v>
      </c>
      <c r="B373" s="223" t="str">
        <f>IFERROR(__xludf.DUMMYFUNCTION("""COMPUTED_VALUE"""),"Service First")</f>
        <v>Service First</v>
      </c>
      <c r="C373" s="223" t="str">
        <f>IFERROR(__xludf.DUMMYFUNCTION("""COMPUTED_VALUE"""),"Monthly Services")</f>
        <v>Monthly Services</v>
      </c>
      <c r="D373" s="316">
        <f>IFERROR(__xludf.DUMMYFUNCTION("""COMPUTED_VALUE"""),44712.0)</f>
        <v>44712</v>
      </c>
      <c r="E373" s="298">
        <f>IFERROR(__xludf.DUMMYFUNCTION("""COMPUTED_VALUE"""),300.0)</f>
        <v>300</v>
      </c>
      <c r="F373" s="298">
        <f>IFERROR(__xludf.DUMMYFUNCTION("""COMPUTED_VALUE"""),9.33)</f>
        <v>9.33</v>
      </c>
      <c r="G373" s="298">
        <f>IFERROR(__xludf.DUMMYFUNCTION("""COMPUTED_VALUE"""),0.0)</f>
        <v>0</v>
      </c>
      <c r="H373" s="223">
        <f>IFERROR(__xludf.DUMMYFUNCTION("""COMPUTED_VALUE"""),290.67)</f>
        <v>290.67</v>
      </c>
      <c r="I373" s="298"/>
      <c r="J373" s="223" t="str">
        <f>IFERROR(__xludf.DUMMYFUNCTION("""COMPUTED_VALUE"""),"Monthly")</f>
        <v>Monthly</v>
      </c>
      <c r="K373" s="317">
        <f>IFERROR(__xludf.DUMMYFUNCTION("""COMPUTED_VALUE"""),2022.05)</f>
        <v>2022.05</v>
      </c>
      <c r="L373" s="298"/>
      <c r="M373" s="223"/>
      <c r="N373" s="223"/>
      <c r="O373" s="223"/>
      <c r="P373" s="223"/>
      <c r="Q373" s="223"/>
      <c r="R373" s="223"/>
      <c r="S373" s="223"/>
      <c r="T373" s="223"/>
      <c r="U373" s="223"/>
      <c r="V373" s="223"/>
      <c r="W373" s="223"/>
      <c r="X373" s="223"/>
      <c r="Y373" s="223"/>
      <c r="Z373" s="223"/>
    </row>
    <row r="374">
      <c r="A374" s="223" t="str">
        <f>IFERROR(__xludf.DUMMYFUNCTION("""COMPUTED_VALUE"""),"Spraggs : Monthly Services")</f>
        <v>Spraggs : Monthly Services</v>
      </c>
      <c r="B374" s="223" t="str">
        <f>IFERROR(__xludf.DUMMYFUNCTION("""COMPUTED_VALUE"""),"Spraggs")</f>
        <v>Spraggs</v>
      </c>
      <c r="C374" s="223" t="str">
        <f>IFERROR(__xludf.DUMMYFUNCTION("""COMPUTED_VALUE"""),"Monthly Services")</f>
        <v>Monthly Services</v>
      </c>
      <c r="D374" s="316">
        <f>IFERROR(__xludf.DUMMYFUNCTION("""COMPUTED_VALUE"""),44712.0)</f>
        <v>44712</v>
      </c>
      <c r="E374" s="298">
        <f>IFERROR(__xludf.DUMMYFUNCTION("""COMPUTED_VALUE"""),2500.0)</f>
        <v>2500</v>
      </c>
      <c r="F374" s="298">
        <f>IFERROR(__xludf.DUMMYFUNCTION("""COMPUTED_VALUE"""),77.78)</f>
        <v>77.78</v>
      </c>
      <c r="G374" s="298">
        <f>IFERROR(__xludf.DUMMYFUNCTION("""COMPUTED_VALUE"""),0.0)</f>
        <v>0</v>
      </c>
      <c r="H374" s="223">
        <f>IFERROR(__xludf.DUMMYFUNCTION("""COMPUTED_VALUE"""),2422.22)</f>
        <v>2422.22</v>
      </c>
      <c r="I374" s="298"/>
      <c r="J374" s="223" t="str">
        <f>IFERROR(__xludf.DUMMYFUNCTION("""COMPUTED_VALUE"""),"Monthly")</f>
        <v>Monthly</v>
      </c>
      <c r="K374" s="317">
        <f>IFERROR(__xludf.DUMMYFUNCTION("""COMPUTED_VALUE"""),2022.05)</f>
        <v>2022.05</v>
      </c>
      <c r="L374" s="298"/>
      <c r="M374" s="223"/>
      <c r="N374" s="223"/>
      <c r="O374" s="223"/>
      <c r="P374" s="223"/>
      <c r="Q374" s="223"/>
      <c r="R374" s="223"/>
      <c r="S374" s="223"/>
      <c r="T374" s="223"/>
      <c r="U374" s="223"/>
      <c r="V374" s="223"/>
      <c r="W374" s="223"/>
      <c r="X374" s="223"/>
      <c r="Y374" s="223"/>
      <c r="Z374" s="223"/>
    </row>
    <row r="375">
      <c r="A375" s="223" t="str">
        <f>IFERROR(__xludf.DUMMYFUNCTION("""COMPUTED_VALUE"""),"Tires Easy : Monthly Services for Tires-Easy.com")</f>
        <v>Tires Easy : Monthly Services for Tires-Easy.com</v>
      </c>
      <c r="B375" s="223" t="str">
        <f>IFERROR(__xludf.DUMMYFUNCTION("""COMPUTED_VALUE"""),"Tires Easy")</f>
        <v>Tires Easy</v>
      </c>
      <c r="C375" s="223" t="str">
        <f>IFERROR(__xludf.DUMMYFUNCTION("""COMPUTED_VALUE"""),"Monthly Services for Tires-Easy.com")</f>
        <v>Monthly Services for Tires-Easy.com</v>
      </c>
      <c r="D375" s="316">
        <f>IFERROR(__xludf.DUMMYFUNCTION("""COMPUTED_VALUE"""),44712.0)</f>
        <v>44712</v>
      </c>
      <c r="E375" s="298">
        <f>IFERROR(__xludf.DUMMYFUNCTION("""COMPUTED_VALUE"""),523.14234)</f>
        <v>523.14234</v>
      </c>
      <c r="F375" s="298">
        <f>IFERROR(__xludf.DUMMYFUNCTION("""COMPUTED_VALUE"""),19.729939679999998)</f>
        <v>19.72993968</v>
      </c>
      <c r="G375" s="298">
        <f>IFERROR(__xludf.DUMMYFUNCTION("""COMPUTED_VALUE"""),0.0)</f>
        <v>0</v>
      </c>
      <c r="H375" s="223">
        <f>IFERROR(__xludf.DUMMYFUNCTION("""COMPUTED_VALUE"""),503.41240032)</f>
        <v>503.4124003</v>
      </c>
      <c r="I375" s="298"/>
      <c r="J375" s="223" t="str">
        <f>IFERROR(__xludf.DUMMYFUNCTION("""COMPUTED_VALUE"""),"Monthly")</f>
        <v>Monthly</v>
      </c>
      <c r="K375" s="317">
        <f>IFERROR(__xludf.DUMMYFUNCTION("""COMPUTED_VALUE"""),2022.05)</f>
        <v>2022.05</v>
      </c>
      <c r="L375" s="298"/>
      <c r="M375" s="223"/>
      <c r="N375" s="223"/>
      <c r="O375" s="223"/>
      <c r="P375" s="223"/>
      <c r="Q375" s="223"/>
      <c r="R375" s="223"/>
      <c r="S375" s="223"/>
      <c r="T375" s="223"/>
      <c r="U375" s="223"/>
      <c r="V375" s="223"/>
      <c r="W375" s="223"/>
      <c r="X375" s="223"/>
      <c r="Y375" s="223"/>
      <c r="Z375" s="223"/>
    </row>
    <row r="376">
      <c r="A376" s="223" t="str">
        <f>IFERROR(__xludf.DUMMYFUNCTION("""COMPUTED_VALUE"""),"TisBest : Monthly Services")</f>
        <v>TisBest : Monthly Services</v>
      </c>
      <c r="B376" s="223" t="str">
        <f>IFERROR(__xludf.DUMMYFUNCTION("""COMPUTED_VALUE"""),"TisBest")</f>
        <v>TisBest</v>
      </c>
      <c r="C376" s="223" t="str">
        <f>IFERROR(__xludf.DUMMYFUNCTION("""COMPUTED_VALUE"""),"Monthly Services")</f>
        <v>Monthly Services</v>
      </c>
      <c r="D376" s="316">
        <f>IFERROR(__xludf.DUMMYFUNCTION("""COMPUTED_VALUE"""),44712.0)</f>
        <v>44712</v>
      </c>
      <c r="E376" s="298">
        <f>IFERROR(__xludf.DUMMYFUNCTION("""COMPUTED_VALUE"""),5465.4165)</f>
        <v>5465.4165</v>
      </c>
      <c r="F376" s="298">
        <f>IFERROR(__xludf.DUMMYFUNCTION("""COMPUTED_VALUE"""),202.5847716)</f>
        <v>202.5847716</v>
      </c>
      <c r="G376" s="298">
        <f>IFERROR(__xludf.DUMMYFUNCTION("""COMPUTED_VALUE"""),1052.56634568)</f>
        <v>1052.566346</v>
      </c>
      <c r="H376" s="223">
        <f>IFERROR(__xludf.DUMMYFUNCTION("""COMPUTED_VALUE"""),4210.26538272)</f>
        <v>4210.265383</v>
      </c>
      <c r="I376" s="298"/>
      <c r="J376" s="223" t="str">
        <f>IFERROR(__xludf.DUMMYFUNCTION("""COMPUTED_VALUE"""),"Monthly")</f>
        <v>Monthly</v>
      </c>
      <c r="K376" s="317">
        <f>IFERROR(__xludf.DUMMYFUNCTION("""COMPUTED_VALUE"""),2022.05)</f>
        <v>2022.05</v>
      </c>
      <c r="L376" s="298"/>
      <c r="M376" s="223"/>
      <c r="N376" s="223"/>
      <c r="O376" s="223"/>
      <c r="P376" s="223"/>
      <c r="Q376" s="223"/>
      <c r="R376" s="223"/>
      <c r="S376" s="223"/>
      <c r="T376" s="223"/>
      <c r="U376" s="223"/>
      <c r="V376" s="223"/>
      <c r="W376" s="223"/>
      <c r="X376" s="223"/>
      <c r="Y376" s="223"/>
      <c r="Z376" s="223"/>
    </row>
    <row r="377">
      <c r="A377" s="223" t="str">
        <f>IFERROR(__xludf.DUMMYFUNCTION("""COMPUTED_VALUE"""),"Tuscany : Monthly Services")</f>
        <v>Tuscany : Monthly Services</v>
      </c>
      <c r="B377" s="223" t="str">
        <f>IFERROR(__xludf.DUMMYFUNCTION("""COMPUTED_VALUE"""),"Tuscany")</f>
        <v>Tuscany</v>
      </c>
      <c r="C377" s="223" t="str">
        <f>IFERROR(__xludf.DUMMYFUNCTION("""COMPUTED_VALUE"""),"Monthly Services")</f>
        <v>Monthly Services</v>
      </c>
      <c r="D377" s="316">
        <f>IFERROR(__xludf.DUMMYFUNCTION("""COMPUTED_VALUE"""),44712.0)</f>
        <v>44712</v>
      </c>
      <c r="E377" s="298">
        <f>IFERROR(__xludf.DUMMYFUNCTION("""COMPUTED_VALUE"""),2514.025)</f>
        <v>2514.025</v>
      </c>
      <c r="F377" s="298">
        <f>IFERROR(__xludf.DUMMYFUNCTION("""COMPUTED_VALUE"""),0.0)</f>
        <v>0</v>
      </c>
      <c r="G377" s="298">
        <f>IFERROR(__xludf.DUMMYFUNCTION("""COMPUTED_VALUE"""),0.0)</f>
        <v>0</v>
      </c>
      <c r="H377" s="223">
        <f>IFERROR(__xludf.DUMMYFUNCTION("""COMPUTED_VALUE"""),2514.025)</f>
        <v>2514.025</v>
      </c>
      <c r="I377" s="298"/>
      <c r="J377" s="223" t="str">
        <f>IFERROR(__xludf.DUMMYFUNCTION("""COMPUTED_VALUE"""),"Monthly")</f>
        <v>Monthly</v>
      </c>
      <c r="K377" s="317">
        <f>IFERROR(__xludf.DUMMYFUNCTION("""COMPUTED_VALUE"""),2022.05)</f>
        <v>2022.05</v>
      </c>
      <c r="L377" s="298"/>
      <c r="M377" s="223"/>
      <c r="N377" s="223"/>
      <c r="O377" s="223"/>
      <c r="P377" s="223"/>
      <c r="Q377" s="223"/>
      <c r="R377" s="223"/>
      <c r="S377" s="223"/>
      <c r="T377" s="223"/>
      <c r="U377" s="223"/>
      <c r="V377" s="223"/>
      <c r="W377" s="223"/>
      <c r="X377" s="223"/>
      <c r="Y377" s="223"/>
      <c r="Z377" s="223"/>
    </row>
    <row r="378">
      <c r="A378" s="223" t="str">
        <f>IFERROR(__xludf.DUMMYFUNCTION("""COMPUTED_VALUE"""),"Venetian : Monthly Services")</f>
        <v>Venetian : Monthly Services</v>
      </c>
      <c r="B378" s="223" t="str">
        <f>IFERROR(__xludf.DUMMYFUNCTION("""COMPUTED_VALUE"""),"Venetian")</f>
        <v>Venetian</v>
      </c>
      <c r="C378" s="223" t="str">
        <f>IFERROR(__xludf.DUMMYFUNCTION("""COMPUTED_VALUE"""),"Monthly Services")</f>
        <v>Monthly Services</v>
      </c>
      <c r="D378" s="316">
        <f>IFERROR(__xludf.DUMMYFUNCTION("""COMPUTED_VALUE"""),44712.0)</f>
        <v>44712</v>
      </c>
      <c r="E378" s="298">
        <f>IFERROR(__xludf.DUMMYFUNCTION("""COMPUTED_VALUE"""),2514.025)</f>
        <v>2514.025</v>
      </c>
      <c r="F378" s="298">
        <f>IFERROR(__xludf.DUMMYFUNCTION("""COMPUTED_VALUE"""),0.0)</f>
        <v>0</v>
      </c>
      <c r="G378" s="298">
        <f>IFERROR(__xludf.DUMMYFUNCTION("""COMPUTED_VALUE"""),0.0)</f>
        <v>0</v>
      </c>
      <c r="H378" s="223">
        <f>IFERROR(__xludf.DUMMYFUNCTION("""COMPUTED_VALUE"""),2514.025)</f>
        <v>2514.025</v>
      </c>
      <c r="I378" s="298"/>
      <c r="J378" s="223" t="str">
        <f>IFERROR(__xludf.DUMMYFUNCTION("""COMPUTED_VALUE"""),"Monthly")</f>
        <v>Monthly</v>
      </c>
      <c r="K378" s="317">
        <f>IFERROR(__xludf.DUMMYFUNCTION("""COMPUTED_VALUE"""),2022.05)</f>
        <v>2022.05</v>
      </c>
      <c r="L378" s="298"/>
      <c r="M378" s="223"/>
      <c r="N378" s="223"/>
      <c r="O378" s="223"/>
      <c r="P378" s="223"/>
      <c r="Q378" s="223"/>
      <c r="R378" s="223"/>
      <c r="S378" s="223"/>
      <c r="T378" s="223"/>
      <c r="U378" s="223"/>
      <c r="V378" s="223"/>
      <c r="W378" s="223"/>
      <c r="X378" s="223"/>
      <c r="Y378" s="223"/>
      <c r="Z378" s="223"/>
    </row>
    <row r="379">
      <c r="A379" s="223" t="str">
        <f>IFERROR(__xludf.DUMMYFUNCTION("""COMPUTED_VALUE"""),"Wallack's Art Supplies : Monthly Services")</f>
        <v>Wallack's Art Supplies : Monthly Services</v>
      </c>
      <c r="B379" s="223" t="str">
        <f>IFERROR(__xludf.DUMMYFUNCTION("""COMPUTED_VALUE"""),"Wallack's Art Supplies")</f>
        <v>Wallack's Art Supplies</v>
      </c>
      <c r="C379" s="223" t="str">
        <f>IFERROR(__xludf.DUMMYFUNCTION("""COMPUTED_VALUE"""),"Monthly Services")</f>
        <v>Monthly Services</v>
      </c>
      <c r="D379" s="316">
        <f>IFERROR(__xludf.DUMMYFUNCTION("""COMPUTED_VALUE"""),44712.0)</f>
        <v>44712</v>
      </c>
      <c r="E379" s="298">
        <f>IFERROR(__xludf.DUMMYFUNCTION("""COMPUTED_VALUE"""),700.0)</f>
        <v>700</v>
      </c>
      <c r="F379" s="298">
        <f>IFERROR(__xludf.DUMMYFUNCTION("""COMPUTED_VALUE"""),23.44)</f>
        <v>23.44</v>
      </c>
      <c r="G379" s="298">
        <f>IFERROR(__xludf.DUMMYFUNCTION("""COMPUTED_VALUE"""),0.0)</f>
        <v>0</v>
      </c>
      <c r="H379" s="223">
        <f>IFERROR(__xludf.DUMMYFUNCTION("""COMPUTED_VALUE"""),676.56)</f>
        <v>676.56</v>
      </c>
      <c r="I379" s="298"/>
      <c r="J379" s="223" t="str">
        <f>IFERROR(__xludf.DUMMYFUNCTION("""COMPUTED_VALUE"""),"Monthly")</f>
        <v>Monthly</v>
      </c>
      <c r="K379" s="317">
        <f>IFERROR(__xludf.DUMMYFUNCTION("""COMPUTED_VALUE"""),2022.05)</f>
        <v>2022.05</v>
      </c>
      <c r="L379" s="298"/>
      <c r="M379" s="223"/>
      <c r="N379" s="223"/>
      <c r="O379" s="223"/>
      <c r="P379" s="223"/>
      <c r="Q379" s="223"/>
      <c r="R379" s="223"/>
      <c r="S379" s="223"/>
      <c r="T379" s="223"/>
      <c r="U379" s="223"/>
      <c r="V379" s="223"/>
      <c r="W379" s="223"/>
      <c r="X379" s="223"/>
      <c r="Y379" s="223"/>
      <c r="Z379" s="223"/>
    </row>
    <row r="380">
      <c r="A380" s="223" t="str">
        <f>IFERROR(__xludf.DUMMYFUNCTION("""COMPUTED_VALUE"""),"Advisicon : Quarterly Website Maintenance Support")</f>
        <v>Advisicon : Quarterly Website Maintenance Support</v>
      </c>
      <c r="B380" s="223" t="str">
        <f>IFERROR(__xludf.DUMMYFUNCTION("""COMPUTED_VALUE"""),"Advisicon")</f>
        <v>Advisicon</v>
      </c>
      <c r="C380" s="223" t="str">
        <f>IFERROR(__xludf.DUMMYFUNCTION("""COMPUTED_VALUE"""),"Quarterly Website Maintenance Support")</f>
        <v>Quarterly Website Maintenance Support</v>
      </c>
      <c r="D380" s="316">
        <f>IFERROR(__xludf.DUMMYFUNCTION("""COMPUTED_VALUE"""),44771.0)</f>
        <v>44771</v>
      </c>
      <c r="E380" s="298">
        <f>IFERROR(__xludf.DUMMYFUNCTION("""COMPUTED_VALUE"""),191.70000000000002)</f>
        <v>191.7</v>
      </c>
      <c r="F380" s="298">
        <f>IFERROR(__xludf.DUMMYFUNCTION("""COMPUTED_VALUE"""),0.0)</f>
        <v>0</v>
      </c>
      <c r="G380" s="298">
        <f>IFERROR(__xludf.DUMMYFUNCTION("""COMPUTED_VALUE"""),0.0)</f>
        <v>0</v>
      </c>
      <c r="H380" s="223">
        <f>IFERROR(__xludf.DUMMYFUNCTION("""COMPUTED_VALUE"""),191.70000000000002)</f>
        <v>191.7</v>
      </c>
      <c r="I380" s="298"/>
      <c r="J380" s="223" t="str">
        <f>IFERROR(__xludf.DUMMYFUNCTION("""COMPUTED_VALUE"""),"Quarterly")</f>
        <v>Quarterly</v>
      </c>
      <c r="K380" s="317">
        <f>IFERROR(__xludf.DUMMYFUNCTION("""COMPUTED_VALUE"""),2022.0)</f>
        <v>2022</v>
      </c>
      <c r="L380" s="298"/>
      <c r="M380" s="223"/>
      <c r="N380" s="223"/>
      <c r="O380" s="223"/>
      <c r="P380" s="223"/>
      <c r="Q380" s="223"/>
      <c r="R380" s="223"/>
      <c r="S380" s="223"/>
      <c r="T380" s="223"/>
      <c r="U380" s="223"/>
      <c r="V380" s="223"/>
      <c r="W380" s="223"/>
      <c r="X380" s="223"/>
      <c r="Y380" s="223"/>
      <c r="Z380" s="223"/>
    </row>
    <row r="381">
      <c r="A381" s="223" t="str">
        <f>IFERROR(__xludf.DUMMYFUNCTION("""COMPUTED_VALUE"""),"Advisicon : Quarterly Website Maintenance Support")</f>
        <v>Advisicon : Quarterly Website Maintenance Support</v>
      </c>
      <c r="B381" s="223" t="str">
        <f>IFERROR(__xludf.DUMMYFUNCTION("""COMPUTED_VALUE"""),"Advisicon")</f>
        <v>Advisicon</v>
      </c>
      <c r="C381" s="223" t="str">
        <f>IFERROR(__xludf.DUMMYFUNCTION("""COMPUTED_VALUE"""),"Quarterly Website Maintenance Support")</f>
        <v>Quarterly Website Maintenance Support</v>
      </c>
      <c r="D381" s="316">
        <f>IFERROR(__xludf.DUMMYFUNCTION("""COMPUTED_VALUE"""),44865.0)</f>
        <v>44865</v>
      </c>
      <c r="E381" s="298">
        <f>IFERROR(__xludf.DUMMYFUNCTION("""COMPUTED_VALUE"""),195.72)</f>
        <v>195.72</v>
      </c>
      <c r="F381" s="298">
        <f>IFERROR(__xludf.DUMMYFUNCTION("""COMPUTED_VALUE"""),0.0)</f>
        <v>0</v>
      </c>
      <c r="G381" s="298">
        <f>IFERROR(__xludf.DUMMYFUNCTION("""COMPUTED_VALUE"""),0.0)</f>
        <v>0</v>
      </c>
      <c r="H381" s="223">
        <f>IFERROR(__xludf.DUMMYFUNCTION("""COMPUTED_VALUE"""),195.72)</f>
        <v>195.72</v>
      </c>
      <c r="I381" s="298"/>
      <c r="J381" s="223" t="str">
        <f>IFERROR(__xludf.DUMMYFUNCTION("""COMPUTED_VALUE"""),"Quarterly")</f>
        <v>Quarterly</v>
      </c>
      <c r="K381" s="317">
        <f>IFERROR(__xludf.DUMMYFUNCTION("""COMPUTED_VALUE"""),2022.0)</f>
        <v>2022</v>
      </c>
      <c r="L381" s="298"/>
      <c r="M381" s="223"/>
      <c r="N381" s="223"/>
      <c r="O381" s="223"/>
      <c r="P381" s="223"/>
      <c r="Q381" s="223"/>
      <c r="R381" s="223"/>
      <c r="S381" s="223"/>
      <c r="T381" s="223"/>
      <c r="U381" s="223"/>
      <c r="V381" s="223"/>
      <c r="W381" s="223"/>
      <c r="X381" s="223"/>
      <c r="Y381" s="223"/>
      <c r="Z381" s="223"/>
    </row>
    <row r="382">
      <c r="A382" s="223" t="str">
        <f>IFERROR(__xludf.DUMMYFUNCTION("""COMPUTED_VALUE"""),"Big Hammer Wines : Google Search and Shopping Overhaul")</f>
        <v>Big Hammer Wines : Google Search and Shopping Overhaul</v>
      </c>
      <c r="B382" s="223" t="str">
        <f>IFERROR(__xludf.DUMMYFUNCTION("""COMPUTED_VALUE"""),"Big Hammer Wines")</f>
        <v>Big Hammer Wines</v>
      </c>
      <c r="C382" s="223" t="str">
        <f>IFERROR(__xludf.DUMMYFUNCTION("""COMPUTED_VALUE"""),"Google Search and Shopping Overhaul")</f>
        <v>Google Search and Shopping Overhaul</v>
      </c>
      <c r="D382" s="316">
        <f>IFERROR(__xludf.DUMMYFUNCTION("""COMPUTED_VALUE"""),44712.0)</f>
        <v>44712</v>
      </c>
      <c r="E382" s="298">
        <f>IFERROR(__xludf.DUMMYFUNCTION("""COMPUTED_VALUE"""),1288.30065)</f>
        <v>1288.30065</v>
      </c>
      <c r="F382" s="298">
        <f>IFERROR(__xludf.DUMMYFUNCTION("""COMPUTED_VALUE"""),48.035209949999995)</f>
        <v>48.03520995</v>
      </c>
      <c r="G382" s="298">
        <f>IFERROR(__xludf.DUMMYFUNCTION("""COMPUTED_VALUE"""),0.0)</f>
        <v>0</v>
      </c>
      <c r="H382" s="223">
        <f>IFERROR(__xludf.DUMMYFUNCTION("""COMPUTED_VALUE"""),1240.2654400499998)</f>
        <v>1240.26544</v>
      </c>
      <c r="I382" s="298"/>
      <c r="J382" s="223" t="str">
        <f>IFERROR(__xludf.DUMMYFUNCTION("""COMPUTED_VALUE"""),"50% Deposit Prepaid
50% Final")</f>
        <v>50% Deposit Prepaid
50% Final</v>
      </c>
      <c r="K382" s="317">
        <f>IFERROR(__xludf.DUMMYFUNCTION("""COMPUTED_VALUE"""),2022.0)</f>
        <v>2022</v>
      </c>
      <c r="L382" s="298"/>
      <c r="M382" s="223"/>
      <c r="N382" s="223"/>
      <c r="O382" s="223"/>
      <c r="P382" s="223"/>
      <c r="Q382" s="223"/>
      <c r="R382" s="223"/>
      <c r="S382" s="223"/>
      <c r="T382" s="223"/>
      <c r="U382" s="223"/>
      <c r="V382" s="223"/>
      <c r="W382" s="223"/>
      <c r="X382" s="223"/>
      <c r="Y382" s="223"/>
      <c r="Z382" s="223"/>
    </row>
    <row r="383">
      <c r="A383" s="223" t="str">
        <f>IFERROR(__xludf.DUMMYFUNCTION("""COMPUTED_VALUE"""),"Big Hammer Wines : Google Search and Shopping Overhaul")</f>
        <v>Big Hammer Wines : Google Search and Shopping Overhaul</v>
      </c>
      <c r="B383" s="223" t="str">
        <f>IFERROR(__xludf.DUMMYFUNCTION("""COMPUTED_VALUE"""),"Big Hammer Wines")</f>
        <v>Big Hammer Wines</v>
      </c>
      <c r="C383" s="223" t="str">
        <f>IFERROR(__xludf.DUMMYFUNCTION("""COMPUTED_VALUE"""),"Google Search and Shopping Overhaul")</f>
        <v>Google Search and Shopping Overhaul</v>
      </c>
      <c r="D383" s="316">
        <f>IFERROR(__xludf.DUMMYFUNCTION("""COMPUTED_VALUE"""),44757.0)</f>
        <v>44757</v>
      </c>
      <c r="E383" s="298">
        <f>IFERROR(__xludf.DUMMYFUNCTION("""COMPUTED_VALUE"""),1317.02235)</f>
        <v>1317.02235</v>
      </c>
      <c r="F383" s="298">
        <f>IFERROR(__xludf.DUMMYFUNCTION("""COMPUTED_VALUE"""),49.106119050000004)</f>
        <v>49.10611905</v>
      </c>
      <c r="G383" s="298">
        <f>IFERROR(__xludf.DUMMYFUNCTION("""COMPUTED_VALUE"""),0.0)</f>
        <v>0</v>
      </c>
      <c r="H383" s="223">
        <f>IFERROR(__xludf.DUMMYFUNCTION("""COMPUTED_VALUE"""),1267.91623095)</f>
        <v>1267.916231</v>
      </c>
      <c r="I383" s="298"/>
      <c r="J383" s="223" t="str">
        <f>IFERROR(__xludf.DUMMYFUNCTION("""COMPUTED_VALUE"""),"50% Final Payment")</f>
        <v>50% Final Payment</v>
      </c>
      <c r="K383" s="317">
        <f>IFERROR(__xludf.DUMMYFUNCTION("""COMPUTED_VALUE"""),2022.0)</f>
        <v>2022</v>
      </c>
      <c r="L383" s="298"/>
      <c r="M383" s="223"/>
      <c r="N383" s="223"/>
      <c r="O383" s="223"/>
      <c r="P383" s="223"/>
      <c r="Q383" s="223"/>
      <c r="R383" s="223"/>
      <c r="S383" s="223"/>
      <c r="T383" s="223"/>
      <c r="U383" s="223"/>
      <c r="V383" s="223"/>
      <c r="W383" s="223"/>
      <c r="X383" s="223"/>
      <c r="Y383" s="223"/>
      <c r="Z383" s="223"/>
    </row>
    <row r="384">
      <c r="A384" s="223" t="str">
        <f>IFERROR(__xludf.DUMMYFUNCTION("""COMPUTED_VALUE"""),"Saanich Peninsula Chamber of Commerce : Website Staging")</f>
        <v>Saanich Peninsula Chamber of Commerce : Website Staging</v>
      </c>
      <c r="B384" s="223" t="str">
        <f>IFERROR(__xludf.DUMMYFUNCTION("""COMPUTED_VALUE"""),"Saanich Peninsula Chamber of Commerce")</f>
        <v>Saanich Peninsula Chamber of Commerce</v>
      </c>
      <c r="C384" s="223" t="str">
        <f>IFERROR(__xludf.DUMMYFUNCTION("""COMPUTED_VALUE"""),"Website Staging")</f>
        <v>Website Staging</v>
      </c>
      <c r="D384" s="316">
        <f>IFERROR(__xludf.DUMMYFUNCTION("""COMPUTED_VALUE"""),44712.0)</f>
        <v>44712</v>
      </c>
      <c r="E384" s="298">
        <f>IFERROR(__xludf.DUMMYFUNCTION("""COMPUTED_VALUE"""),450.0)</f>
        <v>450</v>
      </c>
      <c r="F384" s="298">
        <f>IFERROR(__xludf.DUMMYFUNCTION("""COMPUTED_VALUE"""),0.0)</f>
        <v>0</v>
      </c>
      <c r="G384" s="298">
        <f>IFERROR(__xludf.DUMMYFUNCTION("""COMPUTED_VALUE"""),0.0)</f>
        <v>0</v>
      </c>
      <c r="H384" s="223">
        <f>IFERROR(__xludf.DUMMYFUNCTION("""COMPUTED_VALUE"""),450.0)</f>
        <v>450</v>
      </c>
      <c r="I384" s="298"/>
      <c r="J384" s="223" t="str">
        <f>IFERROR(__xludf.DUMMYFUNCTION("""COMPUTED_VALUE"""),"One-Time")</f>
        <v>One-Time</v>
      </c>
      <c r="K384" s="317">
        <f>IFERROR(__xludf.DUMMYFUNCTION("""COMPUTED_VALUE"""),2022.0)</f>
        <v>2022</v>
      </c>
      <c r="L384" s="298"/>
      <c r="M384" s="223"/>
      <c r="N384" s="223"/>
      <c r="O384" s="223"/>
      <c r="P384" s="223"/>
      <c r="Q384" s="223"/>
      <c r="R384" s="223"/>
      <c r="S384" s="223"/>
      <c r="T384" s="223"/>
      <c r="U384" s="223"/>
      <c r="V384" s="223"/>
      <c r="W384" s="223"/>
      <c r="X384" s="223"/>
      <c r="Y384" s="223"/>
      <c r="Z384" s="223"/>
    </row>
    <row r="385">
      <c r="A385" s="223" t="str">
        <f>IFERROR(__xludf.DUMMYFUNCTION("""COMPUTED_VALUE"""),"Starfish Medical : 5 Hour Support Block")</f>
        <v>Starfish Medical : 5 Hour Support Block</v>
      </c>
      <c r="B385" s="223" t="str">
        <f>IFERROR(__xludf.DUMMYFUNCTION("""COMPUTED_VALUE"""),"Starfish Medical")</f>
        <v>Starfish Medical</v>
      </c>
      <c r="C385" s="223" t="str">
        <f>IFERROR(__xludf.DUMMYFUNCTION("""COMPUTED_VALUE"""),"5 Hour Support Block")</f>
        <v>5 Hour Support Block</v>
      </c>
      <c r="D385" s="316">
        <f>IFERROR(__xludf.DUMMYFUNCTION("""COMPUTED_VALUE"""),44714.0)</f>
        <v>44714</v>
      </c>
      <c r="E385" s="298">
        <f>IFERROR(__xludf.DUMMYFUNCTION("""COMPUTED_VALUE"""),600.0)</f>
        <v>600</v>
      </c>
      <c r="F385" s="298">
        <f>IFERROR(__xludf.DUMMYFUNCTION("""COMPUTED_VALUE"""),18.67)</f>
        <v>18.67</v>
      </c>
      <c r="G385" s="298">
        <f>IFERROR(__xludf.DUMMYFUNCTION("""COMPUTED_VALUE"""),0.0)</f>
        <v>0</v>
      </c>
      <c r="H385" s="223">
        <f>IFERROR(__xludf.DUMMYFUNCTION("""COMPUTED_VALUE"""),581.33)</f>
        <v>581.33</v>
      </c>
      <c r="I385" s="298"/>
      <c r="J385" s="223" t="str">
        <f>IFERROR(__xludf.DUMMYFUNCTION("""COMPUTED_VALUE"""),"One-Time Prepaid")</f>
        <v>One-Time Prepaid</v>
      </c>
      <c r="K385" s="317">
        <f>IFERROR(__xludf.DUMMYFUNCTION("""COMPUTED_VALUE"""),2022.0)</f>
        <v>2022</v>
      </c>
      <c r="L385" s="298"/>
      <c r="M385" s="223"/>
      <c r="N385" s="223"/>
      <c r="O385" s="223"/>
      <c r="P385" s="223"/>
      <c r="Q385" s="223"/>
      <c r="R385" s="223"/>
      <c r="S385" s="223"/>
      <c r="T385" s="223"/>
      <c r="U385" s="223"/>
      <c r="V385" s="223"/>
      <c r="W385" s="223"/>
      <c r="X385" s="223"/>
      <c r="Y385" s="223"/>
      <c r="Z385" s="223"/>
    </row>
    <row r="386">
      <c r="A386" s="223" t="str">
        <f>IFERROR(__xludf.DUMMYFUNCTION("""COMPUTED_VALUE"""),"Arazy Group : Monthly Services")</f>
        <v>Arazy Group : Monthly Services</v>
      </c>
      <c r="B386" s="223" t="str">
        <f>IFERROR(__xludf.DUMMYFUNCTION("""COMPUTED_VALUE"""),"Arazy Group")</f>
        <v>Arazy Group</v>
      </c>
      <c r="C386" s="223" t="str">
        <f>IFERROR(__xludf.DUMMYFUNCTION("""COMPUTED_VALUE"""),"Monthly Services")</f>
        <v>Monthly Services</v>
      </c>
      <c r="D386" s="316">
        <f>IFERROR(__xludf.DUMMYFUNCTION("""COMPUTED_VALUE"""),44727.0)</f>
        <v>44727</v>
      </c>
      <c r="E386" s="298">
        <f>IFERROR(__xludf.DUMMYFUNCTION("""COMPUTED_VALUE"""),650.0)</f>
        <v>650</v>
      </c>
      <c r="F386" s="298">
        <f>IFERROR(__xludf.DUMMYFUNCTION("""COMPUTED_VALUE"""),20.09)</f>
        <v>20.09</v>
      </c>
      <c r="G386" s="298">
        <f>IFERROR(__xludf.DUMMYFUNCTION("""COMPUTED_VALUE"""),0.0)</f>
        <v>0</v>
      </c>
      <c r="H386" s="223">
        <f>IFERROR(__xludf.DUMMYFUNCTION("""COMPUTED_VALUE"""),629.91)</f>
        <v>629.91</v>
      </c>
      <c r="I386" s="298"/>
      <c r="J386" s="223" t="str">
        <f>IFERROR(__xludf.DUMMYFUNCTION("""COMPUTED_VALUE"""),"Monthly")</f>
        <v>Monthly</v>
      </c>
      <c r="K386" s="317">
        <f>IFERROR(__xludf.DUMMYFUNCTION("""COMPUTED_VALUE"""),2022.06)</f>
        <v>2022.06</v>
      </c>
      <c r="L386" s="298"/>
      <c r="M386" s="223"/>
      <c r="N386" s="223"/>
      <c r="O386" s="223"/>
      <c r="P386" s="223"/>
      <c r="Q386" s="223"/>
      <c r="R386" s="223"/>
      <c r="S386" s="223"/>
      <c r="T386" s="223"/>
      <c r="U386" s="223"/>
      <c r="V386" s="223"/>
      <c r="W386" s="223"/>
      <c r="X386" s="223"/>
      <c r="Y386" s="223"/>
      <c r="Z386" s="223"/>
    </row>
    <row r="387">
      <c r="A387" s="223" t="str">
        <f>IFERROR(__xludf.DUMMYFUNCTION("""COMPUTED_VALUE"""),"Booginhead : Monthly Services")</f>
        <v>Booginhead : Monthly Services</v>
      </c>
      <c r="B387" s="223" t="str">
        <f>IFERROR(__xludf.DUMMYFUNCTION("""COMPUTED_VALUE"""),"Booginhead")</f>
        <v>Booginhead</v>
      </c>
      <c r="C387" s="223" t="str">
        <f>IFERROR(__xludf.DUMMYFUNCTION("""COMPUTED_VALUE"""),"Monthly Services")</f>
        <v>Monthly Services</v>
      </c>
      <c r="D387" s="316">
        <f>IFERROR(__xludf.DUMMYFUNCTION("""COMPUTED_VALUE"""),44727.0)</f>
        <v>44727</v>
      </c>
      <c r="E387" s="298">
        <f>IFERROR(__xludf.DUMMYFUNCTION("""COMPUTED_VALUE"""),1621.7721)</f>
        <v>1621.7721</v>
      </c>
      <c r="F387" s="298">
        <f>IFERROR(__xludf.DUMMYFUNCTION("""COMPUTED_VALUE"""),60.3798228)</f>
        <v>60.3798228</v>
      </c>
      <c r="G387" s="298">
        <f>IFERROR(__xludf.DUMMYFUNCTION("""COMPUTED_VALUE"""),312.27845544)</f>
        <v>312.2784554</v>
      </c>
      <c r="H387" s="223">
        <f>IFERROR(__xludf.DUMMYFUNCTION("""COMPUTED_VALUE"""),1249.1138217599998)</f>
        <v>1249.113822</v>
      </c>
      <c r="I387" s="298"/>
      <c r="J387" s="223" t="str">
        <f>IFERROR(__xludf.DUMMYFUNCTION("""COMPUTED_VALUE"""),"Monthly")</f>
        <v>Monthly</v>
      </c>
      <c r="K387" s="317">
        <f>IFERROR(__xludf.DUMMYFUNCTION("""COMPUTED_VALUE"""),2022.06)</f>
        <v>2022.06</v>
      </c>
      <c r="L387" s="298"/>
      <c r="M387" s="223"/>
      <c r="N387" s="223"/>
      <c r="O387" s="223"/>
      <c r="P387" s="223"/>
      <c r="Q387" s="223"/>
      <c r="R387" s="223"/>
      <c r="S387" s="223"/>
      <c r="T387" s="223"/>
      <c r="U387" s="223"/>
      <c r="V387" s="223"/>
      <c r="W387" s="223"/>
      <c r="X387" s="223"/>
      <c r="Y387" s="223"/>
      <c r="Z387" s="223"/>
    </row>
    <row r="388">
      <c r="A388" s="223" t="str">
        <f>IFERROR(__xludf.DUMMYFUNCTION("""COMPUTED_VALUE"""),"New Growth Ecommerce Inc : Monthly Services")</f>
        <v>New Growth Ecommerce Inc : Monthly Services</v>
      </c>
      <c r="B388" s="223" t="str">
        <f>IFERROR(__xludf.DUMMYFUNCTION("""COMPUTED_VALUE"""),"New Growth Ecommerce Inc")</f>
        <v>New Growth Ecommerce Inc</v>
      </c>
      <c r="C388" s="223" t="str">
        <f>IFERROR(__xludf.DUMMYFUNCTION("""COMPUTED_VALUE"""),"Monthly Services")</f>
        <v>Monthly Services</v>
      </c>
      <c r="D388" s="316">
        <f>IFERROR(__xludf.DUMMYFUNCTION("""COMPUTED_VALUE"""),44727.0)</f>
        <v>44727</v>
      </c>
      <c r="E388" s="298">
        <f>IFERROR(__xludf.DUMMYFUNCTION("""COMPUTED_VALUE"""),5000.0)</f>
        <v>5000</v>
      </c>
      <c r="F388" s="298">
        <f>IFERROR(__xludf.DUMMYFUNCTION("""COMPUTED_VALUE"""),0.0)</f>
        <v>0</v>
      </c>
      <c r="G388" s="298">
        <f>IFERROR(__xludf.DUMMYFUNCTION("""COMPUTED_VALUE"""),0.0)</f>
        <v>0</v>
      </c>
      <c r="H388" s="223">
        <f>IFERROR(__xludf.DUMMYFUNCTION("""COMPUTED_VALUE"""),5000.0)</f>
        <v>5000</v>
      </c>
      <c r="I388" s="298"/>
      <c r="J388" s="223" t="str">
        <f>IFERROR(__xludf.DUMMYFUNCTION("""COMPUTED_VALUE"""),"Monthly")</f>
        <v>Monthly</v>
      </c>
      <c r="K388" s="317">
        <f>IFERROR(__xludf.DUMMYFUNCTION("""COMPUTED_VALUE"""),2022.06)</f>
        <v>2022.06</v>
      </c>
      <c r="L388" s="298"/>
      <c r="M388" s="223"/>
      <c r="N388" s="223"/>
      <c r="O388" s="223"/>
      <c r="P388" s="223"/>
      <c r="Q388" s="223"/>
      <c r="R388" s="223"/>
      <c r="S388" s="223"/>
      <c r="T388" s="223"/>
      <c r="U388" s="223"/>
      <c r="V388" s="223"/>
      <c r="W388" s="223"/>
      <c r="X388" s="223"/>
      <c r="Y388" s="223"/>
      <c r="Z388" s="223"/>
    </row>
    <row r="389">
      <c r="A389" s="223" t="str">
        <f>IFERROR(__xludf.DUMMYFUNCTION("""COMPUTED_VALUE"""),"OA Region 6 : Monthly Services")</f>
        <v>OA Region 6 : Monthly Services</v>
      </c>
      <c r="B389" s="223" t="str">
        <f>IFERROR(__xludf.DUMMYFUNCTION("""COMPUTED_VALUE"""),"OA Region 6")</f>
        <v>OA Region 6</v>
      </c>
      <c r="C389" s="223" t="str">
        <f>IFERROR(__xludf.DUMMYFUNCTION("""COMPUTED_VALUE"""),"Monthly Services")</f>
        <v>Monthly Services</v>
      </c>
      <c r="D389" s="316">
        <f>IFERROR(__xludf.DUMMYFUNCTION("""COMPUTED_VALUE"""),44727.0)</f>
        <v>44727</v>
      </c>
      <c r="E389" s="298">
        <f>IFERROR(__xludf.DUMMYFUNCTION("""COMPUTED_VALUE"""),435.74825000000004)</f>
        <v>435.74825</v>
      </c>
      <c r="F389" s="298">
        <f>IFERROR(__xludf.DUMMYFUNCTION("""COMPUTED_VALUE"""),16.49618375)</f>
        <v>16.49618375</v>
      </c>
      <c r="G389" s="298">
        <f>IFERROR(__xludf.DUMMYFUNCTION("""COMPUTED_VALUE"""),0.0)</f>
        <v>0</v>
      </c>
      <c r="H389" s="223">
        <f>IFERROR(__xludf.DUMMYFUNCTION("""COMPUTED_VALUE"""),419.25206625000004)</f>
        <v>419.2520663</v>
      </c>
      <c r="I389" s="298"/>
      <c r="J389" s="223" t="str">
        <f>IFERROR(__xludf.DUMMYFUNCTION("""COMPUTED_VALUE"""),"Monthly")</f>
        <v>Monthly</v>
      </c>
      <c r="K389" s="317">
        <f>IFERROR(__xludf.DUMMYFUNCTION("""COMPUTED_VALUE"""),2022.06)</f>
        <v>2022.06</v>
      </c>
      <c r="L389" s="298"/>
      <c r="M389" s="223"/>
      <c r="N389" s="223"/>
      <c r="O389" s="223"/>
      <c r="P389" s="223"/>
      <c r="Q389" s="223"/>
      <c r="R389" s="223"/>
      <c r="S389" s="223"/>
      <c r="T389" s="223"/>
      <c r="U389" s="223"/>
      <c r="V389" s="223"/>
      <c r="W389" s="223"/>
      <c r="X389" s="223"/>
      <c r="Y389" s="223"/>
      <c r="Z389" s="223"/>
    </row>
    <row r="390">
      <c r="A390" s="223" t="str">
        <f>IFERROR(__xludf.DUMMYFUNCTION("""COMPUTED_VALUE"""),"Technology Rivers : Monthly Services")</f>
        <v>Technology Rivers : Monthly Services</v>
      </c>
      <c r="B390" s="223" t="str">
        <f>IFERROR(__xludf.DUMMYFUNCTION("""COMPUTED_VALUE"""),"Technology Rivers")</f>
        <v>Technology Rivers</v>
      </c>
      <c r="C390" s="223" t="str">
        <f>IFERROR(__xludf.DUMMYFUNCTION("""COMPUTED_VALUE"""),"Monthly Services")</f>
        <v>Monthly Services</v>
      </c>
      <c r="D390" s="316">
        <f>IFERROR(__xludf.DUMMYFUNCTION("""COMPUTED_VALUE"""),44727.0)</f>
        <v>44727</v>
      </c>
      <c r="E390" s="298">
        <f>IFERROR(__xludf.DUMMYFUNCTION("""COMPUTED_VALUE"""),621.8185000000001)</f>
        <v>621.8185</v>
      </c>
      <c r="F390" s="298">
        <f>IFERROR(__xludf.DUMMYFUNCTION("""COMPUTED_VALUE"""),23.380375600000004)</f>
        <v>23.3803756</v>
      </c>
      <c r="G390" s="298">
        <f>IFERROR(__xludf.DUMMYFUNCTION("""COMPUTED_VALUE"""),119.68762488000003)</f>
        <v>119.6876249</v>
      </c>
      <c r="H390" s="223">
        <f>IFERROR(__xludf.DUMMYFUNCTION("""COMPUTED_VALUE"""),478.75049952000006)</f>
        <v>478.7504995</v>
      </c>
      <c r="I390" s="298"/>
      <c r="J390" s="223" t="str">
        <f>IFERROR(__xludf.DUMMYFUNCTION("""COMPUTED_VALUE"""),"Monthly")</f>
        <v>Monthly</v>
      </c>
      <c r="K390" s="317">
        <f>IFERROR(__xludf.DUMMYFUNCTION("""COMPUTED_VALUE"""),2022.06)</f>
        <v>2022.06</v>
      </c>
      <c r="L390" s="298"/>
      <c r="M390" s="223"/>
      <c r="N390" s="223"/>
      <c r="O390" s="223"/>
      <c r="P390" s="223"/>
      <c r="Q390" s="223"/>
      <c r="R390" s="223"/>
      <c r="S390" s="223"/>
      <c r="T390" s="223"/>
      <c r="U390" s="223"/>
      <c r="V390" s="223"/>
      <c r="W390" s="223"/>
      <c r="X390" s="223"/>
      <c r="Y390" s="223"/>
      <c r="Z390" s="223"/>
    </row>
    <row r="391">
      <c r="A391" s="223" t="str">
        <f>IFERROR(__xludf.DUMMYFUNCTION("""COMPUTED_VALUE"""),"Tofino Resort + Marina : Monthly Services")</f>
        <v>Tofino Resort + Marina : Monthly Services</v>
      </c>
      <c r="B391" s="223" t="str">
        <f>IFERROR(__xludf.DUMMYFUNCTION("""COMPUTED_VALUE"""),"Tofino Resort + Marina")</f>
        <v>Tofino Resort + Marina</v>
      </c>
      <c r="C391" s="223" t="str">
        <f>IFERROR(__xludf.DUMMYFUNCTION("""COMPUTED_VALUE"""),"Monthly Services")</f>
        <v>Monthly Services</v>
      </c>
      <c r="D391" s="316">
        <f>IFERROR(__xludf.DUMMYFUNCTION("""COMPUTED_VALUE"""),44727.0)</f>
        <v>44727</v>
      </c>
      <c r="E391" s="298">
        <f>IFERROR(__xludf.DUMMYFUNCTION("""COMPUTED_VALUE"""),1600.0)</f>
        <v>1600</v>
      </c>
      <c r="F391" s="298">
        <f>IFERROR(__xludf.DUMMYFUNCTION("""COMPUTED_VALUE"""),49.78)</f>
        <v>49.78</v>
      </c>
      <c r="G391" s="298">
        <f>IFERROR(__xludf.DUMMYFUNCTION("""COMPUTED_VALUE"""),0.0)</f>
        <v>0</v>
      </c>
      <c r="H391" s="223">
        <f>IFERROR(__xludf.DUMMYFUNCTION("""COMPUTED_VALUE"""),1550.22)</f>
        <v>1550.22</v>
      </c>
      <c r="I391" s="298"/>
      <c r="J391" s="223" t="str">
        <f>IFERROR(__xludf.DUMMYFUNCTION("""COMPUTED_VALUE"""),"Monthly")</f>
        <v>Monthly</v>
      </c>
      <c r="K391" s="317">
        <f>IFERROR(__xludf.DUMMYFUNCTION("""COMPUTED_VALUE"""),2022.06)</f>
        <v>2022.06</v>
      </c>
      <c r="L391" s="298"/>
      <c r="M391" s="223"/>
      <c r="N391" s="223"/>
      <c r="O391" s="223"/>
      <c r="P391" s="223"/>
      <c r="Q391" s="223"/>
      <c r="R391" s="223"/>
      <c r="S391" s="223"/>
      <c r="T391" s="223"/>
      <c r="U391" s="223"/>
      <c r="V391" s="223"/>
      <c r="W391" s="223"/>
      <c r="X391" s="223"/>
      <c r="Y391" s="223"/>
      <c r="Z391" s="223"/>
    </row>
    <row r="392">
      <c r="A392" s="223" t="str">
        <f>IFERROR(__xludf.DUMMYFUNCTION("""COMPUTED_VALUE"""),"Viridian : Monthly Services")</f>
        <v>Viridian : Monthly Services</v>
      </c>
      <c r="B392" s="223" t="str">
        <f>IFERROR(__xludf.DUMMYFUNCTION("""COMPUTED_VALUE"""),"Viridian")</f>
        <v>Viridian</v>
      </c>
      <c r="C392" s="223" t="str">
        <f>IFERROR(__xludf.DUMMYFUNCTION("""COMPUTED_VALUE"""),"Monthly Services")</f>
        <v>Monthly Services</v>
      </c>
      <c r="D392" s="316">
        <f>IFERROR(__xludf.DUMMYFUNCTION("""COMPUTED_VALUE"""),44727.0)</f>
        <v>44727</v>
      </c>
      <c r="E392" s="298">
        <f>IFERROR(__xludf.DUMMYFUNCTION("""COMPUTED_VALUE"""),900.0)</f>
        <v>900</v>
      </c>
      <c r="F392" s="298">
        <f>IFERROR(__xludf.DUMMYFUNCTION("""COMPUTED_VALUE"""),0.0)</f>
        <v>0</v>
      </c>
      <c r="G392" s="298">
        <f>IFERROR(__xludf.DUMMYFUNCTION("""COMPUTED_VALUE"""),0.0)</f>
        <v>0</v>
      </c>
      <c r="H392" s="223">
        <f>IFERROR(__xludf.DUMMYFUNCTION("""COMPUTED_VALUE"""),900.0)</f>
        <v>900</v>
      </c>
      <c r="I392" s="298"/>
      <c r="J392" s="223" t="str">
        <f>IFERROR(__xludf.DUMMYFUNCTION("""COMPUTED_VALUE"""),"Monthly")</f>
        <v>Monthly</v>
      </c>
      <c r="K392" s="317">
        <f>IFERROR(__xludf.DUMMYFUNCTION("""COMPUTED_VALUE"""),2022.06)</f>
        <v>2022.06</v>
      </c>
      <c r="L392" s="298"/>
      <c r="M392" s="223"/>
      <c r="N392" s="223"/>
      <c r="O392" s="223"/>
      <c r="P392" s="223"/>
      <c r="Q392" s="223"/>
      <c r="R392" s="223"/>
      <c r="S392" s="223"/>
      <c r="T392" s="223"/>
      <c r="U392" s="223"/>
      <c r="V392" s="223"/>
      <c r="W392" s="223"/>
      <c r="X392" s="223"/>
      <c r="Y392" s="223"/>
      <c r="Z392" s="223"/>
    </row>
    <row r="393">
      <c r="A393" s="223" t="str">
        <f>IFERROR(__xludf.DUMMYFUNCTION("""COMPUTED_VALUE"""),"FIKSE Wheels : Google Ongoing Monthly Search Ad Work")</f>
        <v>FIKSE Wheels : Google Ongoing Monthly Search Ad Work</v>
      </c>
      <c r="B393" s="223" t="str">
        <f>IFERROR(__xludf.DUMMYFUNCTION("""COMPUTED_VALUE"""),"FIKSE Wheels")</f>
        <v>FIKSE Wheels</v>
      </c>
      <c r="C393" s="223" t="str">
        <f>IFERROR(__xludf.DUMMYFUNCTION("""COMPUTED_VALUE"""),"Google Ongoing Monthly Search Ad Work")</f>
        <v>Google Ongoing Monthly Search Ad Work</v>
      </c>
      <c r="D393" s="316">
        <f>IFERROR(__xludf.DUMMYFUNCTION("""COMPUTED_VALUE"""),44727.0)</f>
        <v>44727</v>
      </c>
      <c r="E393" s="298">
        <f>IFERROR(__xludf.DUMMYFUNCTION("""COMPUTED_VALUE"""),500.0)</f>
        <v>500</v>
      </c>
      <c r="F393" s="298">
        <f>IFERROR(__xludf.DUMMYFUNCTION("""COMPUTED_VALUE"""),0.0)</f>
        <v>0</v>
      </c>
      <c r="G393" s="298">
        <f>IFERROR(__xludf.DUMMYFUNCTION("""COMPUTED_VALUE"""),0.0)</f>
        <v>0</v>
      </c>
      <c r="H393" s="223">
        <f>IFERROR(__xludf.DUMMYFUNCTION("""COMPUTED_VALUE"""),500.0)</f>
        <v>500</v>
      </c>
      <c r="I393" s="298"/>
      <c r="J393" s="223" t="str">
        <f>IFERROR(__xludf.DUMMYFUNCTION("""COMPUTED_VALUE"""),"Monthly")</f>
        <v>Monthly</v>
      </c>
      <c r="K393" s="317">
        <f>IFERROR(__xludf.DUMMYFUNCTION("""COMPUTED_VALUE"""),2022.06)</f>
        <v>2022.06</v>
      </c>
      <c r="L393" s="298"/>
      <c r="M393" s="223"/>
      <c r="N393" s="223"/>
      <c r="O393" s="223"/>
      <c r="P393" s="223"/>
      <c r="Q393" s="223"/>
      <c r="R393" s="223"/>
      <c r="S393" s="223"/>
      <c r="T393" s="223"/>
      <c r="U393" s="223"/>
      <c r="V393" s="223"/>
      <c r="W393" s="223"/>
      <c r="X393" s="223"/>
      <c r="Y393" s="223"/>
      <c r="Z393" s="223"/>
    </row>
    <row r="394">
      <c r="A394" s="223" t="str">
        <f>IFERROR(__xludf.DUMMYFUNCTION("""COMPUTED_VALUE"""),"Canyon's Construction : Enhanced Hosting &amp; WordPress Support")</f>
        <v>Canyon's Construction : Enhanced Hosting &amp; WordPress Support</v>
      </c>
      <c r="B394" s="223" t="str">
        <f>IFERROR(__xludf.DUMMYFUNCTION("""COMPUTED_VALUE"""),"Canyon's Construction")</f>
        <v>Canyon's Construction</v>
      </c>
      <c r="C394" s="223" t="str">
        <f>IFERROR(__xludf.DUMMYFUNCTION("""COMPUTED_VALUE"""),"Enhanced Hosting &amp; WordPress Support")</f>
        <v>Enhanced Hosting &amp; WordPress Support</v>
      </c>
      <c r="D394" s="316">
        <f>IFERROR(__xludf.DUMMYFUNCTION("""COMPUTED_VALUE"""),44727.0)</f>
        <v>44727</v>
      </c>
      <c r="E394" s="298">
        <f>IFERROR(__xludf.DUMMYFUNCTION("""COMPUTED_VALUE"""),349.30476)</f>
        <v>349.30476</v>
      </c>
      <c r="F394" s="298">
        <f>IFERROR(__xludf.DUMMYFUNCTION("""COMPUTED_VALUE"""),13.29853122)</f>
        <v>13.29853122</v>
      </c>
      <c r="G394" s="298">
        <f>IFERROR(__xludf.DUMMYFUNCTION("""COMPUTED_VALUE"""),67.201245756)</f>
        <v>67.20124576</v>
      </c>
      <c r="H394" s="223">
        <f>IFERROR(__xludf.DUMMYFUNCTION("""COMPUTED_VALUE"""),268.804983024)</f>
        <v>268.804983</v>
      </c>
      <c r="I394" s="298"/>
      <c r="J394" s="223" t="str">
        <f>IFERROR(__xludf.DUMMYFUNCTION("""COMPUTED_VALUE"""),"Monthly")</f>
        <v>Monthly</v>
      </c>
      <c r="K394" s="317">
        <f>IFERROR(__xludf.DUMMYFUNCTION("""COMPUTED_VALUE"""),2022.06)</f>
        <v>2022.06</v>
      </c>
      <c r="L394" s="298"/>
      <c r="M394" s="223"/>
      <c r="N394" s="223"/>
      <c r="O394" s="223"/>
      <c r="P394" s="223"/>
      <c r="Q394" s="223"/>
      <c r="R394" s="223"/>
      <c r="S394" s="223"/>
      <c r="T394" s="223"/>
      <c r="U394" s="223"/>
      <c r="V394" s="223"/>
      <c r="W394" s="223"/>
      <c r="X394" s="223"/>
      <c r="Y394" s="223"/>
      <c r="Z394" s="223"/>
    </row>
    <row r="395">
      <c r="A395" s="223" t="str">
        <f>IFERROR(__xludf.DUMMYFUNCTION("""COMPUTED_VALUE"""),"Moloco : Initial Streamlined Search Ad Setup")</f>
        <v>Moloco : Initial Streamlined Search Ad Setup</v>
      </c>
      <c r="B395" s="223" t="str">
        <f>IFERROR(__xludf.DUMMYFUNCTION("""COMPUTED_VALUE"""),"Moloco")</f>
        <v>Moloco</v>
      </c>
      <c r="C395" s="223" t="str">
        <f>IFERROR(__xludf.DUMMYFUNCTION("""COMPUTED_VALUE"""),"Initial Streamlined Search Ad Setup")</f>
        <v>Initial Streamlined Search Ad Setup</v>
      </c>
      <c r="D395" s="316">
        <f>IFERROR(__xludf.DUMMYFUNCTION("""COMPUTED_VALUE"""),44727.0)</f>
        <v>44727</v>
      </c>
      <c r="E395" s="298">
        <f>IFERROR(__xludf.DUMMYFUNCTION("""COMPUTED_VALUE"""),430.393365)</f>
        <v>430.393365</v>
      </c>
      <c r="F395" s="298">
        <f>IFERROR(__xludf.DUMMYFUNCTION("""COMPUTED_VALUE"""),16.30504719)</f>
        <v>16.30504719</v>
      </c>
      <c r="G395" s="298">
        <f>IFERROR(__xludf.DUMMYFUNCTION("""COMPUTED_VALUE"""),0.0)</f>
        <v>0</v>
      </c>
      <c r="H395" s="223">
        <f>IFERROR(__xludf.DUMMYFUNCTION("""COMPUTED_VALUE"""),414.08831781000004)</f>
        <v>414.0883178</v>
      </c>
      <c r="I395" s="298"/>
      <c r="J395" s="223" t="str">
        <f>IFERROR(__xludf.DUMMYFUNCTION("""COMPUTED_VALUE"""),"50% Deposit Prepaid
")</f>
        <v>50% Deposit Prepaid
</v>
      </c>
      <c r="K395" s="317">
        <f>IFERROR(__xludf.DUMMYFUNCTION("""COMPUTED_VALUE"""),2022.0)</f>
        <v>2022</v>
      </c>
      <c r="L395" s="298"/>
      <c r="M395" s="223"/>
      <c r="N395" s="223"/>
      <c r="O395" s="223"/>
      <c r="P395" s="223"/>
      <c r="Q395" s="223"/>
      <c r="R395" s="223"/>
      <c r="S395" s="223"/>
      <c r="T395" s="223"/>
      <c r="U395" s="223"/>
      <c r="V395" s="223"/>
      <c r="W395" s="223"/>
      <c r="X395" s="223"/>
      <c r="Y395" s="223"/>
      <c r="Z395" s="223"/>
    </row>
    <row r="396">
      <c r="A396" s="223" t="str">
        <f>IFERROR(__xludf.DUMMYFUNCTION("""COMPUTED_VALUE"""),"Moloco : Initial Streamlined Search Ad Setup")</f>
        <v>Moloco : Initial Streamlined Search Ad Setup</v>
      </c>
      <c r="B396" s="223" t="str">
        <f>IFERROR(__xludf.DUMMYFUNCTION("""COMPUTED_VALUE"""),"Moloco")</f>
        <v>Moloco</v>
      </c>
      <c r="C396" s="223" t="str">
        <f>IFERROR(__xludf.DUMMYFUNCTION("""COMPUTED_VALUE"""),"Initial Streamlined Search Ad Setup")</f>
        <v>Initial Streamlined Search Ad Setup</v>
      </c>
      <c r="D396" s="316">
        <f>IFERROR(__xludf.DUMMYFUNCTION("""COMPUTED_VALUE"""),44771.0)</f>
        <v>44771</v>
      </c>
      <c r="E396" s="298">
        <f>IFERROR(__xludf.DUMMYFUNCTION("""COMPUTED_VALUE"""),427.88349)</f>
        <v>427.88349</v>
      </c>
      <c r="F396" s="298">
        <f>IFERROR(__xludf.DUMMYFUNCTION("""COMPUTED_VALUE"""),16.14795084)</f>
        <v>16.14795084</v>
      </c>
      <c r="G396" s="298">
        <f>IFERROR(__xludf.DUMMYFUNCTION("""COMPUTED_VALUE"""),0.0)</f>
        <v>0</v>
      </c>
      <c r="H396" s="223">
        <f>IFERROR(__xludf.DUMMYFUNCTION("""COMPUTED_VALUE"""),411.73553916)</f>
        <v>411.7355392</v>
      </c>
      <c r="I396" s="298"/>
      <c r="J396" s="223" t="str">
        <f>IFERROR(__xludf.DUMMYFUNCTION("""COMPUTED_VALUE"""),"50% Final Payment")</f>
        <v>50% Final Payment</v>
      </c>
      <c r="K396" s="317">
        <f>IFERROR(__xludf.DUMMYFUNCTION("""COMPUTED_VALUE"""),2022.0)</f>
        <v>2022</v>
      </c>
      <c r="L396" s="298"/>
      <c r="M396" s="223"/>
      <c r="N396" s="223"/>
      <c r="O396" s="223"/>
      <c r="P396" s="223"/>
      <c r="Q396" s="223"/>
      <c r="R396" s="223"/>
      <c r="S396" s="223"/>
      <c r="T396" s="223"/>
      <c r="U396" s="223"/>
      <c r="V396" s="223"/>
      <c r="W396" s="223"/>
      <c r="X396" s="223"/>
      <c r="Y396" s="223"/>
      <c r="Z396" s="223"/>
    </row>
    <row r="397">
      <c r="A397" s="223" t="str">
        <f>IFERROR(__xludf.DUMMYFUNCTION("""COMPUTED_VALUE"""),"Maka Health : Quick Site")</f>
        <v>Maka Health : Quick Site</v>
      </c>
      <c r="B397" s="223" t="str">
        <f>IFERROR(__xludf.DUMMYFUNCTION("""COMPUTED_VALUE"""),"Maka Health")</f>
        <v>Maka Health</v>
      </c>
      <c r="C397" s="223" t="str">
        <f>IFERROR(__xludf.DUMMYFUNCTION("""COMPUTED_VALUE"""),"Quick Site")</f>
        <v>Quick Site</v>
      </c>
      <c r="D397" s="316">
        <f>IFERROR(__xludf.DUMMYFUNCTION("""COMPUTED_VALUE"""),44742.0)</f>
        <v>44742</v>
      </c>
      <c r="E397" s="298">
        <f>IFERROR(__xludf.DUMMYFUNCTION("""COMPUTED_VALUE"""),1500.0)</f>
        <v>1500</v>
      </c>
      <c r="F397" s="298">
        <f>IFERROR(__xludf.DUMMYFUNCTION("""COMPUTED_VALUE"""),46.67)</f>
        <v>46.67</v>
      </c>
      <c r="G397" s="298">
        <f>IFERROR(__xludf.DUMMYFUNCTION("""COMPUTED_VALUE"""),0.0)</f>
        <v>0</v>
      </c>
      <c r="H397" s="223">
        <f>IFERROR(__xludf.DUMMYFUNCTION("""COMPUTED_VALUE"""),1453.33)</f>
        <v>1453.33</v>
      </c>
      <c r="I397" s="298"/>
      <c r="J397" s="223" t="str">
        <f>IFERROR(__xludf.DUMMYFUNCTION("""COMPUTED_VALUE"""),"One-Time")</f>
        <v>One-Time</v>
      </c>
      <c r="K397" s="317">
        <f>IFERROR(__xludf.DUMMYFUNCTION("""COMPUTED_VALUE"""),2022.0)</f>
        <v>2022</v>
      </c>
      <c r="L397" s="298"/>
      <c r="M397" s="223"/>
      <c r="N397" s="223"/>
      <c r="O397" s="223"/>
      <c r="P397" s="223"/>
      <c r="Q397" s="223"/>
      <c r="R397" s="223"/>
      <c r="S397" s="223"/>
      <c r="T397" s="223"/>
      <c r="U397" s="223"/>
      <c r="V397" s="223"/>
      <c r="W397" s="223"/>
      <c r="X397" s="223"/>
      <c r="Y397" s="223"/>
      <c r="Z397" s="223"/>
    </row>
    <row r="398">
      <c r="A398" s="223" t="str">
        <f>IFERROR(__xludf.DUMMYFUNCTION("""COMPUTED_VALUE"""),"C360 : Johns Hopkins University PPC Setup")</f>
        <v>C360 : Johns Hopkins University PPC Setup</v>
      </c>
      <c r="B398" s="223" t="str">
        <f>IFERROR(__xludf.DUMMYFUNCTION("""COMPUTED_VALUE"""),"C360")</f>
        <v>C360</v>
      </c>
      <c r="C398" s="223" t="str">
        <f>IFERROR(__xludf.DUMMYFUNCTION("""COMPUTED_VALUE"""),"Johns Hopkins University PPC Setup")</f>
        <v>Johns Hopkins University PPC Setup</v>
      </c>
      <c r="D398" s="316">
        <f>IFERROR(__xludf.DUMMYFUNCTION("""COMPUTED_VALUE"""),44742.0)</f>
        <v>44742</v>
      </c>
      <c r="E398" s="298">
        <f>IFERROR(__xludf.DUMMYFUNCTION("""COMPUTED_VALUE"""),1251.0)</f>
        <v>1251</v>
      </c>
      <c r="F398" s="298">
        <f>IFERROR(__xludf.DUMMYFUNCTION("""COMPUTED_VALUE"""),0.0)</f>
        <v>0</v>
      </c>
      <c r="G398" s="298">
        <f>IFERROR(__xludf.DUMMYFUNCTION("""COMPUTED_VALUE"""),0.0)</f>
        <v>0</v>
      </c>
      <c r="H398" s="223">
        <f>IFERROR(__xludf.DUMMYFUNCTION("""COMPUTED_VALUE"""),1251.0)</f>
        <v>1251</v>
      </c>
      <c r="I398" s="298"/>
      <c r="J398" s="223" t="str">
        <f>IFERROR(__xludf.DUMMYFUNCTION("""COMPUTED_VALUE"""),"One-Time")</f>
        <v>One-Time</v>
      </c>
      <c r="K398" s="317">
        <f>IFERROR(__xludf.DUMMYFUNCTION("""COMPUTED_VALUE"""),2022.0)</f>
        <v>2022</v>
      </c>
      <c r="L398" s="298"/>
      <c r="M398" s="223"/>
      <c r="N398" s="223"/>
      <c r="O398" s="223"/>
      <c r="P398" s="223"/>
      <c r="Q398" s="223"/>
      <c r="R398" s="223"/>
      <c r="S398" s="223"/>
      <c r="T398" s="223"/>
      <c r="U398" s="223"/>
      <c r="V398" s="223"/>
      <c r="W398" s="223"/>
      <c r="X398" s="223"/>
      <c r="Y398" s="223"/>
      <c r="Z398" s="223"/>
    </row>
    <row r="399">
      <c r="A399" s="223" t="str">
        <f>IFERROR(__xludf.DUMMYFUNCTION("""COMPUTED_VALUE"""),"C360 : Johns Hopkins University PPC Management")</f>
        <v>C360 : Johns Hopkins University PPC Management</v>
      </c>
      <c r="B399" s="223" t="str">
        <f>IFERROR(__xludf.DUMMYFUNCTION("""COMPUTED_VALUE"""),"C360")</f>
        <v>C360</v>
      </c>
      <c r="C399" s="223" t="str">
        <f>IFERROR(__xludf.DUMMYFUNCTION("""COMPUTED_VALUE"""),"Johns Hopkins University PPC Management")</f>
        <v>Johns Hopkins University PPC Management</v>
      </c>
      <c r="D399" s="316">
        <f>IFERROR(__xludf.DUMMYFUNCTION("""COMPUTED_VALUE"""),44771.0)</f>
        <v>44771</v>
      </c>
      <c r="E399" s="298">
        <f>IFERROR(__xludf.DUMMYFUNCTION("""COMPUTED_VALUE"""),874.44)</f>
        <v>874.44</v>
      </c>
      <c r="F399" s="298">
        <f>IFERROR(__xludf.DUMMYFUNCTION("""COMPUTED_VALUE"""),0.0)</f>
        <v>0</v>
      </c>
      <c r="G399" s="298">
        <f>IFERROR(__xludf.DUMMYFUNCTION("""COMPUTED_VALUE"""),0.0)</f>
        <v>0</v>
      </c>
      <c r="H399" s="223">
        <f>IFERROR(__xludf.DUMMYFUNCTION("""COMPUTED_VALUE"""),874.44)</f>
        <v>874.44</v>
      </c>
      <c r="I399" s="298"/>
      <c r="J399" s="223" t="str">
        <f>IFERROR(__xludf.DUMMYFUNCTION("""COMPUTED_VALUE"""),"Monthly")</f>
        <v>Monthly</v>
      </c>
      <c r="K399" s="317">
        <f>IFERROR(__xludf.DUMMYFUNCTION("""COMPUTED_VALUE"""),2022.0)</f>
        <v>2022</v>
      </c>
      <c r="L399" s="298"/>
      <c r="M399" s="223"/>
      <c r="N399" s="223"/>
      <c r="O399" s="223"/>
      <c r="P399" s="223"/>
      <c r="Q399" s="223"/>
      <c r="R399" s="223"/>
      <c r="S399" s="223"/>
      <c r="T399" s="223"/>
      <c r="U399" s="223"/>
      <c r="V399" s="223"/>
      <c r="W399" s="223"/>
      <c r="X399" s="223"/>
      <c r="Y399" s="223"/>
      <c r="Z399" s="223"/>
    </row>
    <row r="400">
      <c r="A400" s="223" t="str">
        <f>IFERROR(__xludf.DUMMYFUNCTION("""COMPUTED_VALUE"""),"C360 : Johns Hopkins University PPC Management")</f>
        <v>C360 : Johns Hopkins University PPC Management</v>
      </c>
      <c r="B400" s="223" t="str">
        <f>IFERROR(__xludf.DUMMYFUNCTION("""COMPUTED_VALUE"""),"C360")</f>
        <v>C360</v>
      </c>
      <c r="C400" s="223" t="str">
        <f>IFERROR(__xludf.DUMMYFUNCTION("""COMPUTED_VALUE"""),"Johns Hopkins University PPC Management")</f>
        <v>Johns Hopkins University PPC Management</v>
      </c>
      <c r="D400" s="316">
        <f>IFERROR(__xludf.DUMMYFUNCTION("""COMPUTED_VALUE"""),44804.0)</f>
        <v>44804</v>
      </c>
      <c r="E400" s="298">
        <f>IFERROR(__xludf.DUMMYFUNCTION("""COMPUTED_VALUE"""),927.5699999999999)</f>
        <v>927.57</v>
      </c>
      <c r="F400" s="298">
        <f>IFERROR(__xludf.DUMMYFUNCTION("""COMPUTED_VALUE"""),0.0)</f>
        <v>0</v>
      </c>
      <c r="G400" s="298">
        <f>IFERROR(__xludf.DUMMYFUNCTION("""COMPUTED_VALUE"""),0.0)</f>
        <v>0</v>
      </c>
      <c r="H400" s="223">
        <f>IFERROR(__xludf.DUMMYFUNCTION("""COMPUTED_VALUE"""),927.5699999999999)</f>
        <v>927.57</v>
      </c>
      <c r="I400" s="298"/>
      <c r="J400" s="223" t="str">
        <f>IFERROR(__xludf.DUMMYFUNCTION("""COMPUTED_VALUE"""),"Monthly")</f>
        <v>Monthly</v>
      </c>
      <c r="K400" s="317">
        <f>IFERROR(__xludf.DUMMYFUNCTION("""COMPUTED_VALUE"""),2022.0)</f>
        <v>2022</v>
      </c>
      <c r="L400" s="298"/>
      <c r="M400" s="223"/>
      <c r="N400" s="223"/>
      <c r="O400" s="223"/>
      <c r="P400" s="223"/>
      <c r="Q400" s="223"/>
      <c r="R400" s="223"/>
      <c r="S400" s="223"/>
      <c r="T400" s="223"/>
      <c r="U400" s="223"/>
      <c r="V400" s="223"/>
      <c r="W400" s="223"/>
      <c r="X400" s="223"/>
      <c r="Y400" s="223"/>
      <c r="Z400" s="223"/>
    </row>
    <row r="401">
      <c r="A401" s="223" t="str">
        <f>IFERROR(__xludf.DUMMYFUNCTION("""COMPUTED_VALUE"""),"C360 : Johns Hopkins University PPC Management")</f>
        <v>C360 : Johns Hopkins University PPC Management</v>
      </c>
      <c r="B401" s="223" t="str">
        <f>IFERROR(__xludf.DUMMYFUNCTION("""COMPUTED_VALUE"""),"C360")</f>
        <v>C360</v>
      </c>
      <c r="C401" s="223" t="str">
        <f>IFERROR(__xludf.DUMMYFUNCTION("""COMPUTED_VALUE"""),"Johns Hopkins University PPC Management")</f>
        <v>Johns Hopkins University PPC Management</v>
      </c>
      <c r="D401" s="316">
        <f>IFERROR(__xludf.DUMMYFUNCTION("""COMPUTED_VALUE"""),44834.0)</f>
        <v>44834</v>
      </c>
      <c r="E401" s="298">
        <f>IFERROR(__xludf.DUMMYFUNCTION("""COMPUTED_VALUE"""),700.0)</f>
        <v>700</v>
      </c>
      <c r="F401" s="298"/>
      <c r="G401" s="298">
        <f>IFERROR(__xludf.DUMMYFUNCTION("""COMPUTED_VALUE"""),0.0)</f>
        <v>0</v>
      </c>
      <c r="H401" s="223">
        <f>IFERROR(__xludf.DUMMYFUNCTION("""COMPUTED_VALUE"""),700.0)</f>
        <v>700</v>
      </c>
      <c r="I401" s="298"/>
      <c r="J401" s="223" t="str">
        <f>IFERROR(__xludf.DUMMYFUNCTION("""COMPUTED_VALUE"""),"Monthly")</f>
        <v>Monthly</v>
      </c>
      <c r="K401" s="317">
        <f>IFERROR(__xludf.DUMMYFUNCTION("""COMPUTED_VALUE"""),2022.0)</f>
        <v>2022</v>
      </c>
      <c r="L401" s="298"/>
      <c r="M401" s="223"/>
      <c r="N401" s="223"/>
      <c r="O401" s="223"/>
      <c r="P401" s="223"/>
      <c r="Q401" s="223"/>
      <c r="R401" s="223"/>
      <c r="S401" s="223"/>
      <c r="T401" s="223"/>
      <c r="U401" s="223"/>
      <c r="V401" s="223"/>
      <c r="W401" s="223"/>
      <c r="X401" s="223"/>
      <c r="Y401" s="223"/>
      <c r="Z401" s="223"/>
    </row>
    <row r="402">
      <c r="A402" s="223" t="str">
        <f>IFERROR(__xludf.DUMMYFUNCTION("""COMPUTED_VALUE"""),"C360 : Johns Hopkins University PPC Management")</f>
        <v>C360 : Johns Hopkins University PPC Management</v>
      </c>
      <c r="B402" s="223" t="str">
        <f>IFERROR(__xludf.DUMMYFUNCTION("""COMPUTED_VALUE"""),"C360")</f>
        <v>C360</v>
      </c>
      <c r="C402" s="223" t="str">
        <f>IFERROR(__xludf.DUMMYFUNCTION("""COMPUTED_VALUE"""),"Johns Hopkins University PPC Management")</f>
        <v>Johns Hopkins University PPC Management</v>
      </c>
      <c r="D402" s="316">
        <f>IFERROR(__xludf.DUMMYFUNCTION("""COMPUTED_VALUE"""),44865.0)</f>
        <v>44865</v>
      </c>
      <c r="E402" s="298">
        <f>IFERROR(__xludf.DUMMYFUNCTION("""COMPUTED_VALUE"""),909.72)</f>
        <v>909.72</v>
      </c>
      <c r="F402" s="298">
        <f>IFERROR(__xludf.DUMMYFUNCTION("""COMPUTED_VALUE"""),0.0)</f>
        <v>0</v>
      </c>
      <c r="G402" s="298">
        <f>IFERROR(__xludf.DUMMYFUNCTION("""COMPUTED_VALUE"""),0.0)</f>
        <v>0</v>
      </c>
      <c r="H402" s="223">
        <f>IFERROR(__xludf.DUMMYFUNCTION("""COMPUTED_VALUE"""),909.72)</f>
        <v>909.72</v>
      </c>
      <c r="I402" s="298"/>
      <c r="J402" s="223" t="str">
        <f>IFERROR(__xludf.DUMMYFUNCTION("""COMPUTED_VALUE"""),"Monthly")</f>
        <v>Monthly</v>
      </c>
      <c r="K402" s="317">
        <f>IFERROR(__xludf.DUMMYFUNCTION("""COMPUTED_VALUE"""),2022.0)</f>
        <v>2022</v>
      </c>
      <c r="L402" s="298"/>
      <c r="M402" s="223"/>
      <c r="N402" s="223"/>
      <c r="O402" s="223"/>
      <c r="P402" s="223"/>
      <c r="Q402" s="223"/>
      <c r="R402" s="223"/>
      <c r="S402" s="223"/>
      <c r="T402" s="223"/>
      <c r="U402" s="223"/>
      <c r="V402" s="223"/>
      <c r="W402" s="223"/>
      <c r="X402" s="223"/>
      <c r="Y402" s="223"/>
      <c r="Z402" s="223"/>
    </row>
    <row r="403">
      <c r="A403" s="223" t="str">
        <f>IFERROR(__xludf.DUMMYFUNCTION("""COMPUTED_VALUE"""),"C360 : Johns Hopkins University PPC Management")</f>
        <v>C360 : Johns Hopkins University PPC Management</v>
      </c>
      <c r="B403" s="223" t="str">
        <f>IFERROR(__xludf.DUMMYFUNCTION("""COMPUTED_VALUE"""),"C360")</f>
        <v>C360</v>
      </c>
      <c r="C403" s="223" t="str">
        <f>IFERROR(__xludf.DUMMYFUNCTION("""COMPUTED_VALUE"""),"Johns Hopkins University PPC Management")</f>
        <v>Johns Hopkins University PPC Management</v>
      </c>
      <c r="D403" s="316">
        <f>IFERROR(__xludf.DUMMYFUNCTION("""COMPUTED_VALUE"""),44895.0)</f>
        <v>44895</v>
      </c>
      <c r="E403" s="298">
        <f>IFERROR(__xludf.DUMMYFUNCTION("""COMPUTED_VALUE"""),921.62)</f>
        <v>921.62</v>
      </c>
      <c r="F403" s="298">
        <f>IFERROR(__xludf.DUMMYFUNCTION("""COMPUTED_VALUE"""),0.0)</f>
        <v>0</v>
      </c>
      <c r="G403" s="298">
        <f>IFERROR(__xludf.DUMMYFUNCTION("""COMPUTED_VALUE"""),0.0)</f>
        <v>0</v>
      </c>
      <c r="H403" s="223">
        <f>IFERROR(__xludf.DUMMYFUNCTION("""COMPUTED_VALUE"""),921.62)</f>
        <v>921.62</v>
      </c>
      <c r="I403" s="298"/>
      <c r="J403" s="223" t="str">
        <f>IFERROR(__xludf.DUMMYFUNCTION("""COMPUTED_VALUE"""),"Monthly")</f>
        <v>Monthly</v>
      </c>
      <c r="K403" s="317">
        <f>IFERROR(__xludf.DUMMYFUNCTION("""COMPUTED_VALUE"""),2022.0)</f>
        <v>2022</v>
      </c>
      <c r="L403" s="298"/>
      <c r="M403" s="223"/>
      <c r="N403" s="223"/>
      <c r="O403" s="223"/>
      <c r="P403" s="223"/>
      <c r="Q403" s="223"/>
      <c r="R403" s="223"/>
      <c r="S403" s="223"/>
      <c r="T403" s="223"/>
      <c r="U403" s="223"/>
      <c r="V403" s="223"/>
      <c r="W403" s="223"/>
      <c r="X403" s="223"/>
      <c r="Y403" s="223"/>
      <c r="Z403" s="223"/>
    </row>
    <row r="404">
      <c r="A404" s="223" t="str">
        <f>IFERROR(__xludf.DUMMYFUNCTION("""COMPUTED_VALUE"""),"C360 : Johns Hopkins University PPC Management")</f>
        <v>C360 : Johns Hopkins University PPC Management</v>
      </c>
      <c r="B404" s="223" t="str">
        <f>IFERROR(__xludf.DUMMYFUNCTION("""COMPUTED_VALUE"""),"C360")</f>
        <v>C360</v>
      </c>
      <c r="C404" s="223" t="str">
        <f>IFERROR(__xludf.DUMMYFUNCTION("""COMPUTED_VALUE"""),"Johns Hopkins University PPC Management")</f>
        <v>Johns Hopkins University PPC Management</v>
      </c>
      <c r="D404" s="316">
        <f>IFERROR(__xludf.DUMMYFUNCTION("""COMPUTED_VALUE"""),44925.0)</f>
        <v>44925</v>
      </c>
      <c r="E404" s="298">
        <f>IFERROR(__xludf.DUMMYFUNCTION("""COMPUTED_VALUE"""),908.6700000000001)</f>
        <v>908.67</v>
      </c>
      <c r="F404" s="298">
        <f>IFERROR(__xludf.DUMMYFUNCTION("""COMPUTED_VALUE"""),0.0)</f>
        <v>0</v>
      </c>
      <c r="G404" s="298">
        <f>IFERROR(__xludf.DUMMYFUNCTION("""COMPUTED_VALUE"""),0.0)</f>
        <v>0</v>
      </c>
      <c r="H404" s="223">
        <f>IFERROR(__xludf.DUMMYFUNCTION("""COMPUTED_VALUE"""),908.6700000000001)</f>
        <v>908.67</v>
      </c>
      <c r="I404" s="298"/>
      <c r="J404" s="223" t="str">
        <f>IFERROR(__xludf.DUMMYFUNCTION("""COMPUTED_VALUE"""),"Monthly")</f>
        <v>Monthly</v>
      </c>
      <c r="K404" s="317">
        <f>IFERROR(__xludf.DUMMYFUNCTION("""COMPUTED_VALUE"""),2022.0)</f>
        <v>2022</v>
      </c>
      <c r="L404" s="298"/>
      <c r="M404" s="223"/>
      <c r="N404" s="223"/>
      <c r="O404" s="223"/>
      <c r="P404" s="223"/>
      <c r="Q404" s="223"/>
      <c r="R404" s="223"/>
      <c r="S404" s="223"/>
      <c r="T404" s="223"/>
      <c r="U404" s="223"/>
      <c r="V404" s="223"/>
      <c r="W404" s="223"/>
      <c r="X404" s="223"/>
      <c r="Y404" s="223"/>
      <c r="Z404" s="223"/>
    </row>
    <row r="405">
      <c r="A405" s="223" t="str">
        <f>IFERROR(__xludf.DUMMYFUNCTION("""COMPUTED_VALUE"""),"C360 : Johns Hopkins University PPC Management")</f>
        <v>C360 : Johns Hopkins University PPC Management</v>
      </c>
      <c r="B405" s="223" t="str">
        <f>IFERROR(__xludf.DUMMYFUNCTION("""COMPUTED_VALUE"""),"C360")</f>
        <v>C360</v>
      </c>
      <c r="C405" s="223" t="str">
        <f>IFERROR(__xludf.DUMMYFUNCTION("""COMPUTED_VALUE"""),"Johns Hopkins University PPC Management")</f>
        <v>Johns Hopkins University PPC Management</v>
      </c>
      <c r="D405" s="316">
        <f>IFERROR(__xludf.DUMMYFUNCTION("""COMPUTED_VALUE"""),44957.0)</f>
        <v>44957</v>
      </c>
      <c r="E405" s="298">
        <f>IFERROR(__xludf.DUMMYFUNCTION("""COMPUTED_VALUE"""),921.9699999999999)</f>
        <v>921.97</v>
      </c>
      <c r="F405" s="298">
        <f>IFERROR(__xludf.DUMMYFUNCTION("""COMPUTED_VALUE"""),0.0)</f>
        <v>0</v>
      </c>
      <c r="G405" s="298">
        <f>IFERROR(__xludf.DUMMYFUNCTION("""COMPUTED_VALUE"""),0.0)</f>
        <v>0</v>
      </c>
      <c r="H405" s="223">
        <f>IFERROR(__xludf.DUMMYFUNCTION("""COMPUTED_VALUE"""),921.9699999999999)</f>
        <v>921.97</v>
      </c>
      <c r="I405" s="298"/>
      <c r="J405" s="223" t="str">
        <f>IFERROR(__xludf.DUMMYFUNCTION("""COMPUTED_VALUE"""),"Monthly")</f>
        <v>Monthly</v>
      </c>
      <c r="K405" s="317">
        <f>IFERROR(__xludf.DUMMYFUNCTION("""COMPUTED_VALUE"""),2023.0)</f>
        <v>2023</v>
      </c>
      <c r="L405" s="298"/>
      <c r="M405" s="223"/>
      <c r="N405" s="223"/>
      <c r="O405" s="223"/>
      <c r="P405" s="223"/>
      <c r="Q405" s="223"/>
      <c r="R405" s="223"/>
      <c r="S405" s="223"/>
      <c r="T405" s="223"/>
      <c r="U405" s="223"/>
      <c r="V405" s="223"/>
      <c r="W405" s="223"/>
      <c r="X405" s="223"/>
      <c r="Y405" s="223"/>
      <c r="Z405" s="223"/>
    </row>
    <row r="406">
      <c r="A406" s="223" t="str">
        <f>IFERROR(__xludf.DUMMYFUNCTION("""COMPUTED_VALUE"""),"Anook Athletics : Monthly Services")</f>
        <v>Anook Athletics : Monthly Services</v>
      </c>
      <c r="B406" s="223" t="str">
        <f>IFERROR(__xludf.DUMMYFUNCTION("""COMPUTED_VALUE"""),"Anook Athletics")</f>
        <v>Anook Athletics</v>
      </c>
      <c r="C406" s="223" t="str">
        <f>IFERROR(__xludf.DUMMYFUNCTION("""COMPUTED_VALUE"""),"Monthly Services")</f>
        <v>Monthly Services</v>
      </c>
      <c r="D406" s="316">
        <f>IFERROR(__xludf.DUMMYFUNCTION("""COMPUTED_VALUE"""),44742.0)</f>
        <v>44742</v>
      </c>
      <c r="E406" s="298">
        <f>IFERROR(__xludf.DUMMYFUNCTION("""COMPUTED_VALUE"""),800.0)</f>
        <v>800</v>
      </c>
      <c r="F406" s="298">
        <f>IFERROR(__xludf.DUMMYFUNCTION("""COMPUTED_VALUE"""),24.89)</f>
        <v>24.89</v>
      </c>
      <c r="G406" s="298">
        <f>IFERROR(__xludf.DUMMYFUNCTION("""COMPUTED_VALUE"""),0.0)</f>
        <v>0</v>
      </c>
      <c r="H406" s="223">
        <f>IFERROR(__xludf.DUMMYFUNCTION("""COMPUTED_VALUE"""),775.11)</f>
        <v>775.11</v>
      </c>
      <c r="I406" s="298"/>
      <c r="J406" s="223" t="str">
        <f>IFERROR(__xludf.DUMMYFUNCTION("""COMPUTED_VALUE"""),"Monthly")</f>
        <v>Monthly</v>
      </c>
      <c r="K406" s="317">
        <f>IFERROR(__xludf.DUMMYFUNCTION("""COMPUTED_VALUE"""),2022.06)</f>
        <v>2022.06</v>
      </c>
      <c r="L406" s="298"/>
      <c r="M406" s="223"/>
      <c r="N406" s="223"/>
      <c r="O406" s="223"/>
      <c r="P406" s="223"/>
      <c r="Q406" s="223"/>
      <c r="R406" s="223"/>
      <c r="S406" s="223"/>
      <c r="T406" s="223"/>
      <c r="U406" s="223"/>
      <c r="V406" s="223"/>
      <c r="W406" s="223"/>
      <c r="X406" s="223"/>
      <c r="Y406" s="223"/>
      <c r="Z406" s="223"/>
    </row>
    <row r="407">
      <c r="A407" s="223" t="str">
        <f>IFERROR(__xludf.DUMMYFUNCTION("""COMPUTED_VALUE"""),"Availed Technologies : Monthly Services")</f>
        <v>Availed Technologies : Monthly Services</v>
      </c>
      <c r="B407" s="223" t="str">
        <f>IFERROR(__xludf.DUMMYFUNCTION("""COMPUTED_VALUE"""),"Availed Technologies")</f>
        <v>Availed Technologies</v>
      </c>
      <c r="C407" s="223" t="str">
        <f>IFERROR(__xludf.DUMMYFUNCTION("""COMPUTED_VALUE"""),"Monthly Services")</f>
        <v>Monthly Services</v>
      </c>
      <c r="D407" s="316">
        <f>IFERROR(__xludf.DUMMYFUNCTION("""COMPUTED_VALUE"""),44742.0)</f>
        <v>44742</v>
      </c>
      <c r="E407" s="298">
        <f>IFERROR(__xludf.DUMMYFUNCTION("""COMPUTED_VALUE"""),750.0)</f>
        <v>750</v>
      </c>
      <c r="F407" s="298">
        <f>IFERROR(__xludf.DUMMYFUNCTION("""COMPUTED_VALUE"""),23.33)</f>
        <v>23.33</v>
      </c>
      <c r="G407" s="298">
        <f>IFERROR(__xludf.DUMMYFUNCTION("""COMPUTED_VALUE"""),0.0)</f>
        <v>0</v>
      </c>
      <c r="H407" s="223">
        <f>IFERROR(__xludf.DUMMYFUNCTION("""COMPUTED_VALUE"""),726.67)</f>
        <v>726.67</v>
      </c>
      <c r="I407" s="298"/>
      <c r="J407" s="223" t="str">
        <f>IFERROR(__xludf.DUMMYFUNCTION("""COMPUTED_VALUE"""),"Monthly")</f>
        <v>Monthly</v>
      </c>
      <c r="K407" s="317">
        <f>IFERROR(__xludf.DUMMYFUNCTION("""COMPUTED_VALUE"""),2022.06)</f>
        <v>2022.06</v>
      </c>
      <c r="L407" s="298"/>
      <c r="M407" s="223"/>
      <c r="N407" s="223"/>
      <c r="O407" s="223"/>
      <c r="P407" s="223"/>
      <c r="Q407" s="223"/>
      <c r="R407" s="223"/>
      <c r="S407" s="223"/>
      <c r="T407" s="223"/>
      <c r="U407" s="223"/>
      <c r="V407" s="223"/>
      <c r="W407" s="223"/>
      <c r="X407" s="223"/>
      <c r="Y407" s="223"/>
      <c r="Z407" s="223"/>
    </row>
    <row r="408">
      <c r="A408" s="223" t="str">
        <f>IFERROR(__xludf.DUMMYFUNCTION("""COMPUTED_VALUE"""),"BookKing (Pacific Tier) : Monthly Services")</f>
        <v>BookKing (Pacific Tier) : Monthly Services</v>
      </c>
      <c r="B408" s="223" t="str">
        <f>IFERROR(__xludf.DUMMYFUNCTION("""COMPUTED_VALUE"""),"BookKing (Pacific Tier)")</f>
        <v>BookKing (Pacific Tier)</v>
      </c>
      <c r="C408" s="223" t="str">
        <f>IFERROR(__xludf.DUMMYFUNCTION("""COMPUTED_VALUE"""),"Monthly Services")</f>
        <v>Monthly Services</v>
      </c>
      <c r="D408" s="316">
        <f>IFERROR(__xludf.DUMMYFUNCTION("""COMPUTED_VALUE"""),44742.0)</f>
        <v>44742</v>
      </c>
      <c r="E408" s="298">
        <f>IFERROR(__xludf.DUMMYFUNCTION("""COMPUTED_VALUE"""),900.0)</f>
        <v>900</v>
      </c>
      <c r="F408" s="298">
        <f>IFERROR(__xludf.DUMMYFUNCTION("""COMPUTED_VALUE"""),0.0)</f>
        <v>0</v>
      </c>
      <c r="G408" s="298">
        <f>IFERROR(__xludf.DUMMYFUNCTION("""COMPUTED_VALUE"""),0.0)</f>
        <v>0</v>
      </c>
      <c r="H408" s="223">
        <f>IFERROR(__xludf.DUMMYFUNCTION("""COMPUTED_VALUE"""),900.0)</f>
        <v>900</v>
      </c>
      <c r="I408" s="298"/>
      <c r="J408" s="223" t="str">
        <f>IFERROR(__xludf.DUMMYFUNCTION("""COMPUTED_VALUE"""),"Monthly")</f>
        <v>Monthly</v>
      </c>
      <c r="K408" s="317">
        <f>IFERROR(__xludf.DUMMYFUNCTION("""COMPUTED_VALUE"""),2022.06)</f>
        <v>2022.06</v>
      </c>
      <c r="L408" s="298"/>
      <c r="M408" s="223"/>
      <c r="N408" s="223"/>
      <c r="O408" s="223"/>
      <c r="P408" s="223"/>
      <c r="Q408" s="223"/>
      <c r="R408" s="223"/>
      <c r="S408" s="223"/>
      <c r="T408" s="223"/>
      <c r="U408" s="223"/>
      <c r="V408" s="223"/>
      <c r="W408" s="223"/>
      <c r="X408" s="223"/>
      <c r="Y408" s="223"/>
      <c r="Z408" s="223"/>
    </row>
    <row r="409">
      <c r="A409" s="223" t="str">
        <f>IFERROR(__xludf.DUMMYFUNCTION("""COMPUTED_VALUE"""),"Bratopia : Monthly Services")</f>
        <v>Bratopia : Monthly Services</v>
      </c>
      <c r="B409" s="223" t="str">
        <f>IFERROR(__xludf.DUMMYFUNCTION("""COMPUTED_VALUE"""),"Bratopia")</f>
        <v>Bratopia</v>
      </c>
      <c r="C409" s="223" t="str">
        <f>IFERROR(__xludf.DUMMYFUNCTION("""COMPUTED_VALUE"""),"Monthly Services")</f>
        <v>Monthly Services</v>
      </c>
      <c r="D409" s="316">
        <f>IFERROR(__xludf.DUMMYFUNCTION("""COMPUTED_VALUE"""),44742.0)</f>
        <v>44742</v>
      </c>
      <c r="E409" s="298">
        <f>IFERROR(__xludf.DUMMYFUNCTION("""COMPUTED_VALUE"""),1550.0)</f>
        <v>1550</v>
      </c>
      <c r="F409" s="298">
        <f>IFERROR(__xludf.DUMMYFUNCTION("""COMPUTED_VALUE"""),48.22)</f>
        <v>48.22</v>
      </c>
      <c r="G409" s="298">
        <f>IFERROR(__xludf.DUMMYFUNCTION("""COMPUTED_VALUE"""),0.0)</f>
        <v>0</v>
      </c>
      <c r="H409" s="223">
        <f>IFERROR(__xludf.DUMMYFUNCTION("""COMPUTED_VALUE"""),1501.78)</f>
        <v>1501.78</v>
      </c>
      <c r="I409" s="298"/>
      <c r="J409" s="223" t="str">
        <f>IFERROR(__xludf.DUMMYFUNCTION("""COMPUTED_VALUE"""),"Monthly")</f>
        <v>Monthly</v>
      </c>
      <c r="K409" s="317">
        <f>IFERROR(__xludf.DUMMYFUNCTION("""COMPUTED_VALUE"""),2022.06)</f>
        <v>2022.06</v>
      </c>
      <c r="L409" s="298"/>
      <c r="M409" s="223"/>
      <c r="N409" s="223"/>
      <c r="O409" s="223"/>
      <c r="P409" s="223"/>
      <c r="Q409" s="223"/>
      <c r="R409" s="223"/>
      <c r="S409" s="223"/>
      <c r="T409" s="223"/>
      <c r="U409" s="223"/>
      <c r="V409" s="223"/>
      <c r="W409" s="223"/>
      <c r="X409" s="223"/>
      <c r="Y409" s="223"/>
      <c r="Z409" s="223"/>
    </row>
    <row r="410">
      <c r="A410" s="223" t="str">
        <f>IFERROR(__xludf.DUMMYFUNCTION("""COMPUTED_VALUE"""),"Community Financials : Monthly Services")</f>
        <v>Community Financials : Monthly Services</v>
      </c>
      <c r="B410" s="223" t="str">
        <f>IFERROR(__xludf.DUMMYFUNCTION("""COMPUTED_VALUE"""),"Community Financials")</f>
        <v>Community Financials</v>
      </c>
      <c r="C410" s="223" t="str">
        <f>IFERROR(__xludf.DUMMYFUNCTION("""COMPUTED_VALUE"""),"Monthly Services")</f>
        <v>Monthly Services</v>
      </c>
      <c r="D410" s="316">
        <f>IFERROR(__xludf.DUMMYFUNCTION("""COMPUTED_VALUE"""),44742.0)</f>
        <v>44742</v>
      </c>
      <c r="E410" s="298">
        <f>IFERROR(__xludf.DUMMYFUNCTION("""COMPUTED_VALUE"""),1871.712)</f>
        <v>1871.712</v>
      </c>
      <c r="F410" s="298">
        <f>IFERROR(__xludf.DUMMYFUNCTION("""COMPUTED_VALUE"""),69.6276864)</f>
        <v>69.6276864</v>
      </c>
      <c r="G410" s="298">
        <f>IFERROR(__xludf.DUMMYFUNCTION("""COMPUTED_VALUE"""),360.41686272000004)</f>
        <v>360.4168627</v>
      </c>
      <c r="H410" s="223">
        <f>IFERROR(__xludf.DUMMYFUNCTION("""COMPUTED_VALUE"""),1441.6674508800002)</f>
        <v>1441.667451</v>
      </c>
      <c r="I410" s="298"/>
      <c r="J410" s="223" t="str">
        <f>IFERROR(__xludf.DUMMYFUNCTION("""COMPUTED_VALUE"""),"Monthly")</f>
        <v>Monthly</v>
      </c>
      <c r="K410" s="317">
        <f>IFERROR(__xludf.DUMMYFUNCTION("""COMPUTED_VALUE"""),2022.06)</f>
        <v>2022.06</v>
      </c>
      <c r="L410" s="298"/>
      <c r="M410" s="223"/>
      <c r="N410" s="223"/>
      <c r="O410" s="223"/>
      <c r="P410" s="223"/>
      <c r="Q410" s="223"/>
      <c r="R410" s="223"/>
      <c r="S410" s="223"/>
      <c r="T410" s="223"/>
      <c r="U410" s="223"/>
      <c r="V410" s="223"/>
      <c r="W410" s="223"/>
      <c r="X410" s="223"/>
      <c r="Y410" s="223"/>
      <c r="Z410" s="223"/>
    </row>
    <row r="411">
      <c r="A411" s="223" t="str">
        <f>IFERROR(__xludf.DUMMYFUNCTION("""COMPUTED_VALUE"""),"Diversified Health : Monthly Services")</f>
        <v>Diversified Health : Monthly Services</v>
      </c>
      <c r="B411" s="223" t="str">
        <f>IFERROR(__xludf.DUMMYFUNCTION("""COMPUTED_VALUE"""),"Diversified Health")</f>
        <v>Diversified Health</v>
      </c>
      <c r="C411" s="223" t="str">
        <f>IFERROR(__xludf.DUMMYFUNCTION("""COMPUTED_VALUE"""),"Monthly Services")</f>
        <v>Monthly Services</v>
      </c>
      <c r="D411" s="316">
        <f>IFERROR(__xludf.DUMMYFUNCTION("""COMPUTED_VALUE"""),44742.0)</f>
        <v>44742</v>
      </c>
      <c r="E411" s="298">
        <f>IFERROR(__xludf.DUMMYFUNCTION("""COMPUTED_VALUE"""),1000.0)</f>
        <v>1000</v>
      </c>
      <c r="F411" s="298">
        <f>IFERROR(__xludf.DUMMYFUNCTION("""COMPUTED_VALUE"""),0.0)</f>
        <v>0</v>
      </c>
      <c r="G411" s="298">
        <f>IFERROR(__xludf.DUMMYFUNCTION("""COMPUTED_VALUE"""),0.0)</f>
        <v>0</v>
      </c>
      <c r="H411" s="223">
        <f>IFERROR(__xludf.DUMMYFUNCTION("""COMPUTED_VALUE"""),1000.0)</f>
        <v>1000</v>
      </c>
      <c r="I411" s="298"/>
      <c r="J411" s="223" t="str">
        <f>IFERROR(__xludf.DUMMYFUNCTION("""COMPUTED_VALUE"""),"Monthly")</f>
        <v>Monthly</v>
      </c>
      <c r="K411" s="317">
        <f>IFERROR(__xludf.DUMMYFUNCTION("""COMPUTED_VALUE"""),2022.06)</f>
        <v>2022.06</v>
      </c>
      <c r="L411" s="298"/>
      <c r="M411" s="223"/>
      <c r="N411" s="223"/>
      <c r="O411" s="223"/>
      <c r="P411" s="223"/>
      <c r="Q411" s="223"/>
      <c r="R411" s="223"/>
      <c r="S411" s="223"/>
      <c r="T411" s="223"/>
      <c r="U411" s="223"/>
      <c r="V411" s="223"/>
      <c r="W411" s="223"/>
      <c r="X411" s="223"/>
      <c r="Y411" s="223"/>
      <c r="Z411" s="223"/>
    </row>
    <row r="412">
      <c r="A412" s="223" t="str">
        <f>IFERROR(__xludf.DUMMYFUNCTION("""COMPUTED_VALUE"""),"Giga Tires : Monthly Services")</f>
        <v>Giga Tires : Monthly Services</v>
      </c>
      <c r="B412" s="223" t="str">
        <f>IFERROR(__xludf.DUMMYFUNCTION("""COMPUTED_VALUE"""),"Giga Tires")</f>
        <v>Giga Tires</v>
      </c>
      <c r="C412" s="223" t="str">
        <f>IFERROR(__xludf.DUMMYFUNCTION("""COMPUTED_VALUE"""),"Monthly Services")</f>
        <v>Monthly Services</v>
      </c>
      <c r="D412" s="316">
        <f>IFERROR(__xludf.DUMMYFUNCTION("""COMPUTED_VALUE"""),44742.0)</f>
        <v>44742</v>
      </c>
      <c r="E412" s="298">
        <f>IFERROR(__xludf.DUMMYFUNCTION("""COMPUTED_VALUE"""),150.0)</f>
        <v>150</v>
      </c>
      <c r="F412" s="298">
        <f>IFERROR(__xludf.DUMMYFUNCTION("""COMPUTED_VALUE"""),6.13)</f>
        <v>6.13</v>
      </c>
      <c r="G412" s="298">
        <f>IFERROR(__xludf.DUMMYFUNCTION("""COMPUTED_VALUE"""),0.0)</f>
        <v>0</v>
      </c>
      <c r="H412" s="223">
        <f>IFERROR(__xludf.DUMMYFUNCTION("""COMPUTED_VALUE"""),143.87)</f>
        <v>143.87</v>
      </c>
      <c r="I412" s="298"/>
      <c r="J412" s="223" t="str">
        <f>IFERROR(__xludf.DUMMYFUNCTION("""COMPUTED_VALUE"""),"Monthly")</f>
        <v>Monthly</v>
      </c>
      <c r="K412" s="317">
        <f>IFERROR(__xludf.DUMMYFUNCTION("""COMPUTED_VALUE"""),2022.06)</f>
        <v>2022.06</v>
      </c>
      <c r="L412" s="298"/>
      <c r="M412" s="223"/>
      <c r="N412" s="223"/>
      <c r="O412" s="223"/>
      <c r="P412" s="223"/>
      <c r="Q412" s="223"/>
      <c r="R412" s="223"/>
      <c r="S412" s="223"/>
      <c r="T412" s="223"/>
      <c r="U412" s="223"/>
      <c r="V412" s="223"/>
      <c r="W412" s="223"/>
      <c r="X412" s="223"/>
      <c r="Y412" s="223"/>
      <c r="Z412" s="223"/>
    </row>
    <row r="413">
      <c r="A413" s="223" t="str">
        <f>IFERROR(__xludf.DUMMYFUNCTION("""COMPUTED_VALUE"""),"Hastings House : Monthly Services")</f>
        <v>Hastings House : Monthly Services</v>
      </c>
      <c r="B413" s="223" t="str">
        <f>IFERROR(__xludf.DUMMYFUNCTION("""COMPUTED_VALUE"""),"Hastings House")</f>
        <v>Hastings House</v>
      </c>
      <c r="C413" s="223" t="str">
        <f>IFERROR(__xludf.DUMMYFUNCTION("""COMPUTED_VALUE"""),"Monthly Services")</f>
        <v>Monthly Services</v>
      </c>
      <c r="D413" s="316">
        <f>IFERROR(__xludf.DUMMYFUNCTION("""COMPUTED_VALUE"""),44742.0)</f>
        <v>44742</v>
      </c>
      <c r="E413" s="298">
        <f>IFERROR(__xludf.DUMMYFUNCTION("""COMPUTED_VALUE"""),1500.0)</f>
        <v>1500</v>
      </c>
      <c r="F413" s="298">
        <f>IFERROR(__xludf.DUMMYFUNCTION("""COMPUTED_VALUE"""),46.67)</f>
        <v>46.67</v>
      </c>
      <c r="G413" s="298">
        <f>IFERROR(__xludf.DUMMYFUNCTION("""COMPUTED_VALUE"""),217.99949999999998)</f>
        <v>217.9995</v>
      </c>
      <c r="H413" s="223">
        <f>IFERROR(__xludf.DUMMYFUNCTION("""COMPUTED_VALUE"""),1235.3305)</f>
        <v>1235.3305</v>
      </c>
      <c r="I413" s="298"/>
      <c r="J413" s="223" t="str">
        <f>IFERROR(__xludf.DUMMYFUNCTION("""COMPUTED_VALUE"""),"Monthly")</f>
        <v>Monthly</v>
      </c>
      <c r="K413" s="317">
        <f>IFERROR(__xludf.DUMMYFUNCTION("""COMPUTED_VALUE"""),2022.06)</f>
        <v>2022.06</v>
      </c>
      <c r="L413" s="298"/>
      <c r="M413" s="223"/>
      <c r="N413" s="223"/>
      <c r="O413" s="223"/>
      <c r="P413" s="223"/>
      <c r="Q413" s="223"/>
      <c r="R413" s="223"/>
      <c r="S413" s="223"/>
      <c r="T413" s="223"/>
      <c r="U413" s="223"/>
      <c r="V413" s="223"/>
      <c r="W413" s="223"/>
      <c r="X413" s="223"/>
      <c r="Y413" s="223"/>
      <c r="Z413" s="223"/>
    </row>
    <row r="414">
      <c r="A414" s="223" t="str">
        <f>IFERROR(__xludf.DUMMYFUNCTION("""COMPUTED_VALUE"""),"HSJ Lawyers : Monthly Services")</f>
        <v>HSJ Lawyers : Monthly Services</v>
      </c>
      <c r="B414" s="223" t="str">
        <f>IFERROR(__xludf.DUMMYFUNCTION("""COMPUTED_VALUE"""),"HSJ Lawyers")</f>
        <v>HSJ Lawyers</v>
      </c>
      <c r="C414" s="223" t="str">
        <f>IFERROR(__xludf.DUMMYFUNCTION("""COMPUTED_VALUE"""),"Monthly Services")</f>
        <v>Monthly Services</v>
      </c>
      <c r="D414" s="316">
        <f>IFERROR(__xludf.DUMMYFUNCTION("""COMPUTED_VALUE"""),44742.0)</f>
        <v>44742</v>
      </c>
      <c r="E414" s="298">
        <f>IFERROR(__xludf.DUMMYFUNCTION("""COMPUTED_VALUE"""),800.0)</f>
        <v>800</v>
      </c>
      <c r="F414" s="298">
        <f>IFERROR(__xludf.DUMMYFUNCTION("""COMPUTED_VALUE"""),0.0)</f>
        <v>0</v>
      </c>
      <c r="G414" s="298">
        <f>IFERROR(__xludf.DUMMYFUNCTION("""COMPUTED_VALUE"""),0.0)</f>
        <v>0</v>
      </c>
      <c r="H414" s="223">
        <f>IFERROR(__xludf.DUMMYFUNCTION("""COMPUTED_VALUE"""),800.0)</f>
        <v>800</v>
      </c>
      <c r="I414" s="298"/>
      <c r="J414" s="223" t="str">
        <f>IFERROR(__xludf.DUMMYFUNCTION("""COMPUTED_VALUE"""),"Monthly")</f>
        <v>Monthly</v>
      </c>
      <c r="K414" s="317">
        <f>IFERROR(__xludf.DUMMYFUNCTION("""COMPUTED_VALUE"""),2022.06)</f>
        <v>2022.06</v>
      </c>
      <c r="L414" s="298"/>
      <c r="M414" s="223"/>
      <c r="N414" s="223"/>
      <c r="O414" s="223"/>
      <c r="P414" s="223"/>
      <c r="Q414" s="223"/>
      <c r="R414" s="223"/>
      <c r="S414" s="223"/>
      <c r="T414" s="223"/>
      <c r="U414" s="223"/>
      <c r="V414" s="223"/>
      <c r="W414" s="223"/>
      <c r="X414" s="223"/>
      <c r="Y414" s="223"/>
      <c r="Z414" s="223"/>
    </row>
    <row r="415">
      <c r="A415" s="223" t="str">
        <f>IFERROR(__xludf.DUMMYFUNCTION("""COMPUTED_VALUE"""),"MortgagePal : Monthly Services")</f>
        <v>MortgagePal : Monthly Services</v>
      </c>
      <c r="B415" s="223" t="str">
        <f>IFERROR(__xludf.DUMMYFUNCTION("""COMPUTED_VALUE"""),"MortgagePal")</f>
        <v>MortgagePal</v>
      </c>
      <c r="C415" s="223" t="str">
        <f>IFERROR(__xludf.DUMMYFUNCTION("""COMPUTED_VALUE"""),"Monthly Services")</f>
        <v>Monthly Services</v>
      </c>
      <c r="D415" s="316">
        <f>IFERROR(__xludf.DUMMYFUNCTION("""COMPUTED_VALUE"""),44742.0)</f>
        <v>44742</v>
      </c>
      <c r="E415" s="298">
        <f>IFERROR(__xludf.DUMMYFUNCTION("""COMPUTED_VALUE"""),500.0)</f>
        <v>500</v>
      </c>
      <c r="F415" s="298">
        <f>IFERROR(__xludf.DUMMYFUNCTION("""COMPUTED_VALUE"""),15.53)</f>
        <v>15.53</v>
      </c>
      <c r="G415" s="298">
        <f>IFERROR(__xludf.DUMMYFUNCTION("""COMPUTED_VALUE"""),0.0)</f>
        <v>0</v>
      </c>
      <c r="H415" s="223">
        <f>IFERROR(__xludf.DUMMYFUNCTION("""COMPUTED_VALUE"""),484.47)</f>
        <v>484.47</v>
      </c>
      <c r="I415" s="298"/>
      <c r="J415" s="223" t="str">
        <f>IFERROR(__xludf.DUMMYFUNCTION("""COMPUTED_VALUE"""),"Monthly")</f>
        <v>Monthly</v>
      </c>
      <c r="K415" s="317">
        <f>IFERROR(__xludf.DUMMYFUNCTION("""COMPUTED_VALUE"""),2022.06)</f>
        <v>2022.06</v>
      </c>
      <c r="L415" s="298"/>
      <c r="M415" s="223"/>
      <c r="N415" s="223"/>
      <c r="O415" s="223"/>
      <c r="P415" s="223"/>
      <c r="Q415" s="223"/>
      <c r="R415" s="223"/>
      <c r="S415" s="223"/>
      <c r="T415" s="223"/>
      <c r="U415" s="223"/>
      <c r="V415" s="223"/>
      <c r="W415" s="223"/>
      <c r="X415" s="223"/>
      <c r="Y415" s="223"/>
      <c r="Z415" s="223"/>
    </row>
    <row r="416">
      <c r="A416" s="223" t="str">
        <f>IFERROR(__xludf.DUMMYFUNCTION("""COMPUTED_VALUE"""),"Olivia Shoppe : Monthly Services")</f>
        <v>Olivia Shoppe : Monthly Services</v>
      </c>
      <c r="B416" s="223" t="str">
        <f>IFERROR(__xludf.DUMMYFUNCTION("""COMPUTED_VALUE"""),"Olivia Shoppe")</f>
        <v>Olivia Shoppe</v>
      </c>
      <c r="C416" s="223" t="str">
        <f>IFERROR(__xludf.DUMMYFUNCTION("""COMPUTED_VALUE"""),"Monthly Services")</f>
        <v>Monthly Services</v>
      </c>
      <c r="D416" s="316">
        <f>IFERROR(__xludf.DUMMYFUNCTION("""COMPUTED_VALUE"""),44742.0)</f>
        <v>44742</v>
      </c>
      <c r="E416" s="298">
        <f>IFERROR(__xludf.DUMMYFUNCTION("""COMPUTED_VALUE"""),808.36405)</f>
        <v>808.36405</v>
      </c>
      <c r="F416" s="298">
        <f>IFERROR(__xludf.DUMMYFUNCTION("""COMPUTED_VALUE"""),30.00896081)</f>
        <v>30.00896081</v>
      </c>
      <c r="G416" s="298">
        <f>IFERROR(__xludf.DUMMYFUNCTION("""COMPUTED_VALUE"""),0.0)</f>
        <v>0</v>
      </c>
      <c r="H416" s="223">
        <f>IFERROR(__xludf.DUMMYFUNCTION("""COMPUTED_VALUE"""),778.3550891900001)</f>
        <v>778.3550892</v>
      </c>
      <c r="I416" s="298"/>
      <c r="J416" s="223" t="str">
        <f>IFERROR(__xludf.DUMMYFUNCTION("""COMPUTED_VALUE"""),"Monthly")</f>
        <v>Monthly</v>
      </c>
      <c r="K416" s="317">
        <f>IFERROR(__xludf.DUMMYFUNCTION("""COMPUTED_VALUE"""),2022.06)</f>
        <v>2022.06</v>
      </c>
      <c r="L416" s="298"/>
      <c r="M416" s="223"/>
      <c r="N416" s="223"/>
      <c r="O416" s="223"/>
      <c r="P416" s="223"/>
      <c r="Q416" s="223"/>
      <c r="R416" s="223"/>
      <c r="S416" s="223"/>
      <c r="T416" s="223"/>
      <c r="U416" s="223"/>
      <c r="V416" s="223"/>
      <c r="W416" s="223"/>
      <c r="X416" s="223"/>
      <c r="Y416" s="223"/>
      <c r="Z416" s="223"/>
    </row>
    <row r="417">
      <c r="A417" s="223" t="str">
        <f>IFERROR(__xludf.DUMMYFUNCTION("""COMPUTED_VALUE"""),"PMDI : Monthly Services")</f>
        <v>PMDI : Monthly Services</v>
      </c>
      <c r="B417" s="223" t="str">
        <f>IFERROR(__xludf.DUMMYFUNCTION("""COMPUTED_VALUE"""),"PMDI")</f>
        <v>PMDI</v>
      </c>
      <c r="C417" s="223" t="str">
        <f>IFERROR(__xludf.DUMMYFUNCTION("""COMPUTED_VALUE"""),"Monthly Services")</f>
        <v>Monthly Services</v>
      </c>
      <c r="D417" s="316">
        <f>IFERROR(__xludf.DUMMYFUNCTION("""COMPUTED_VALUE"""),44742.0)</f>
        <v>44742</v>
      </c>
      <c r="E417" s="298">
        <f>IFERROR(__xludf.DUMMYFUNCTION("""COMPUTED_VALUE"""),375.0)</f>
        <v>375</v>
      </c>
      <c r="F417" s="298">
        <f>IFERROR(__xludf.DUMMYFUNCTION("""COMPUTED_VALUE"""),0.0)</f>
        <v>0</v>
      </c>
      <c r="G417" s="298">
        <f>IFERROR(__xludf.DUMMYFUNCTION("""COMPUTED_VALUE"""),0.0)</f>
        <v>0</v>
      </c>
      <c r="H417" s="223">
        <f>IFERROR(__xludf.DUMMYFUNCTION("""COMPUTED_VALUE"""),375.0)</f>
        <v>375</v>
      </c>
      <c r="I417" s="298"/>
      <c r="J417" s="223" t="str">
        <f>IFERROR(__xludf.DUMMYFUNCTION("""COMPUTED_VALUE"""),"Monthly")</f>
        <v>Monthly</v>
      </c>
      <c r="K417" s="317">
        <f>IFERROR(__xludf.DUMMYFUNCTION("""COMPUTED_VALUE"""),2022.06)</f>
        <v>2022.06</v>
      </c>
      <c r="L417" s="298"/>
      <c r="M417" s="223"/>
      <c r="N417" s="223"/>
      <c r="O417" s="223"/>
      <c r="P417" s="223"/>
      <c r="Q417" s="223"/>
      <c r="R417" s="223"/>
      <c r="S417" s="223"/>
      <c r="T417" s="223"/>
      <c r="U417" s="223"/>
      <c r="V417" s="223"/>
      <c r="W417" s="223"/>
      <c r="X417" s="223"/>
      <c r="Y417" s="223"/>
      <c r="Z417" s="223"/>
    </row>
    <row r="418">
      <c r="A418" s="223" t="str">
        <f>IFERROR(__xludf.DUMMYFUNCTION("""COMPUTED_VALUE"""),"Prime Engineering : Monthly Services")</f>
        <v>Prime Engineering : Monthly Services</v>
      </c>
      <c r="B418" s="223" t="str">
        <f>IFERROR(__xludf.DUMMYFUNCTION("""COMPUTED_VALUE"""),"Prime Engineering")</f>
        <v>Prime Engineering</v>
      </c>
      <c r="C418" s="223" t="str">
        <f>IFERROR(__xludf.DUMMYFUNCTION("""COMPUTED_VALUE"""),"Monthly Services")</f>
        <v>Monthly Services</v>
      </c>
      <c r="D418" s="316">
        <f>IFERROR(__xludf.DUMMYFUNCTION("""COMPUTED_VALUE"""),44742.0)</f>
        <v>44742</v>
      </c>
      <c r="E418" s="298">
        <f>IFERROR(__xludf.DUMMYFUNCTION("""COMPUTED_VALUE"""),500.0)</f>
        <v>500</v>
      </c>
      <c r="F418" s="298">
        <f>IFERROR(__xludf.DUMMYFUNCTION("""COMPUTED_VALUE"""),0.0)</f>
        <v>0</v>
      </c>
      <c r="G418" s="298">
        <f>IFERROR(__xludf.DUMMYFUNCTION("""COMPUTED_VALUE"""),0.0)</f>
        <v>0</v>
      </c>
      <c r="H418" s="223">
        <f>IFERROR(__xludf.DUMMYFUNCTION("""COMPUTED_VALUE"""),500.0)</f>
        <v>500</v>
      </c>
      <c r="I418" s="298"/>
      <c r="J418" s="223" t="str">
        <f>IFERROR(__xludf.DUMMYFUNCTION("""COMPUTED_VALUE"""),"Monthly")</f>
        <v>Monthly</v>
      </c>
      <c r="K418" s="317">
        <f>IFERROR(__xludf.DUMMYFUNCTION("""COMPUTED_VALUE"""),2022.06)</f>
        <v>2022.06</v>
      </c>
      <c r="L418" s="298"/>
      <c r="M418" s="223"/>
      <c r="N418" s="223"/>
      <c r="O418" s="223"/>
      <c r="P418" s="223"/>
      <c r="Q418" s="223"/>
      <c r="R418" s="223"/>
      <c r="S418" s="223"/>
      <c r="T418" s="223"/>
      <c r="U418" s="223"/>
      <c r="V418" s="223"/>
      <c r="W418" s="223"/>
      <c r="X418" s="223"/>
      <c r="Y418" s="223"/>
      <c r="Z418" s="223"/>
    </row>
    <row r="419">
      <c r="A419" s="223" t="str">
        <f>IFERROR(__xludf.DUMMYFUNCTION("""COMPUTED_VALUE"""),"Rama Meditation Society : Premium Hosting + Support")</f>
        <v>Rama Meditation Society : Premium Hosting + Support</v>
      </c>
      <c r="B419" s="223" t="str">
        <f>IFERROR(__xludf.DUMMYFUNCTION("""COMPUTED_VALUE"""),"Rama Meditation Society")</f>
        <v>Rama Meditation Society</v>
      </c>
      <c r="C419" s="223" t="str">
        <f>IFERROR(__xludf.DUMMYFUNCTION("""COMPUTED_VALUE"""),"Premium Hosting + Support")</f>
        <v>Premium Hosting + Support</v>
      </c>
      <c r="D419" s="316">
        <f>IFERROR(__xludf.DUMMYFUNCTION("""COMPUTED_VALUE"""),44742.0)</f>
        <v>44742</v>
      </c>
      <c r="E419" s="298">
        <f>IFERROR(__xludf.DUMMYFUNCTION("""COMPUTED_VALUE"""),374.3424)</f>
        <v>374.3424</v>
      </c>
      <c r="F419" s="298">
        <f>IFERROR(__xludf.DUMMYFUNCTION("""COMPUTED_VALUE"""),14.2250112)</f>
        <v>14.2250112</v>
      </c>
      <c r="G419" s="298">
        <f>IFERROR(__xludf.DUMMYFUNCTION("""COMPUTED_VALUE"""),0.0)</f>
        <v>0</v>
      </c>
      <c r="H419" s="223">
        <f>IFERROR(__xludf.DUMMYFUNCTION("""COMPUTED_VALUE"""),360.1173888)</f>
        <v>360.1173888</v>
      </c>
      <c r="I419" s="298"/>
      <c r="J419" s="223" t="str">
        <f>IFERROR(__xludf.DUMMYFUNCTION("""COMPUTED_VALUE"""),"Monthly")</f>
        <v>Monthly</v>
      </c>
      <c r="K419" s="317">
        <f>IFERROR(__xludf.DUMMYFUNCTION("""COMPUTED_VALUE"""),2022.06)</f>
        <v>2022.06</v>
      </c>
      <c r="L419" s="298"/>
      <c r="M419" s="223"/>
      <c r="N419" s="223"/>
      <c r="O419" s="223"/>
      <c r="P419" s="223"/>
      <c r="Q419" s="223"/>
      <c r="R419" s="223"/>
      <c r="S419" s="223"/>
      <c r="T419" s="223"/>
      <c r="U419" s="223"/>
      <c r="V419" s="223"/>
      <c r="W419" s="223"/>
      <c r="X419" s="223"/>
      <c r="Y419" s="223"/>
      <c r="Z419" s="223"/>
    </row>
    <row r="420">
      <c r="A420" s="223" t="str">
        <f>IFERROR(__xludf.DUMMYFUNCTION("""COMPUTED_VALUE"""),"Red Seal : Monthly Services")</f>
        <v>Red Seal : Monthly Services</v>
      </c>
      <c r="B420" s="223" t="str">
        <f>IFERROR(__xludf.DUMMYFUNCTION("""COMPUTED_VALUE"""),"Red Seal")</f>
        <v>Red Seal</v>
      </c>
      <c r="C420" s="223" t="str">
        <f>IFERROR(__xludf.DUMMYFUNCTION("""COMPUTED_VALUE"""),"Monthly Services")</f>
        <v>Monthly Services</v>
      </c>
      <c r="D420" s="316">
        <f>IFERROR(__xludf.DUMMYFUNCTION("""COMPUTED_VALUE"""),44742.0)</f>
        <v>44742</v>
      </c>
      <c r="E420" s="298">
        <f>IFERROR(__xludf.DUMMYFUNCTION("""COMPUTED_VALUE"""),250.0)</f>
        <v>250</v>
      </c>
      <c r="F420" s="298">
        <f>IFERROR(__xludf.DUMMYFUNCTION("""COMPUTED_VALUE"""),0.0)</f>
        <v>0</v>
      </c>
      <c r="G420" s="298">
        <f>IFERROR(__xludf.DUMMYFUNCTION("""COMPUTED_VALUE"""),0.0)</f>
        <v>0</v>
      </c>
      <c r="H420" s="223">
        <f>IFERROR(__xludf.DUMMYFUNCTION("""COMPUTED_VALUE"""),250.0)</f>
        <v>250</v>
      </c>
      <c r="I420" s="298"/>
      <c r="J420" s="223" t="str">
        <f>IFERROR(__xludf.DUMMYFUNCTION("""COMPUTED_VALUE"""),"Monthly")</f>
        <v>Monthly</v>
      </c>
      <c r="K420" s="317">
        <f>IFERROR(__xludf.DUMMYFUNCTION("""COMPUTED_VALUE"""),2022.06)</f>
        <v>2022.06</v>
      </c>
      <c r="L420" s="298"/>
      <c r="M420" s="223"/>
      <c r="N420" s="223"/>
      <c r="O420" s="223"/>
      <c r="P420" s="223"/>
      <c r="Q420" s="223"/>
      <c r="R420" s="223"/>
      <c r="S420" s="223"/>
      <c r="T420" s="223"/>
      <c r="U420" s="223"/>
      <c r="V420" s="223"/>
      <c r="W420" s="223"/>
      <c r="X420" s="223"/>
      <c r="Y420" s="223"/>
      <c r="Z420" s="223"/>
    </row>
    <row r="421">
      <c r="A421" s="223" t="str">
        <f>IFERROR(__xludf.DUMMYFUNCTION("""COMPUTED_VALUE"""),"Service First : Monthly Services")</f>
        <v>Service First : Monthly Services</v>
      </c>
      <c r="B421" s="223" t="str">
        <f>IFERROR(__xludf.DUMMYFUNCTION("""COMPUTED_VALUE"""),"Service First")</f>
        <v>Service First</v>
      </c>
      <c r="C421" s="223" t="str">
        <f>IFERROR(__xludf.DUMMYFUNCTION("""COMPUTED_VALUE"""),"Monthly Services")</f>
        <v>Monthly Services</v>
      </c>
      <c r="D421" s="316">
        <f>IFERROR(__xludf.DUMMYFUNCTION("""COMPUTED_VALUE"""),44742.0)</f>
        <v>44742</v>
      </c>
      <c r="E421" s="298">
        <f>IFERROR(__xludf.DUMMYFUNCTION("""COMPUTED_VALUE"""),300.0)</f>
        <v>300</v>
      </c>
      <c r="F421" s="298">
        <f>IFERROR(__xludf.DUMMYFUNCTION("""COMPUTED_VALUE"""),9.33)</f>
        <v>9.33</v>
      </c>
      <c r="G421" s="298">
        <f>IFERROR(__xludf.DUMMYFUNCTION("""COMPUTED_VALUE"""),0.0)</f>
        <v>0</v>
      </c>
      <c r="H421" s="223">
        <f>IFERROR(__xludf.DUMMYFUNCTION("""COMPUTED_VALUE"""),290.67)</f>
        <v>290.67</v>
      </c>
      <c r="I421" s="298"/>
      <c r="J421" s="223" t="str">
        <f>IFERROR(__xludf.DUMMYFUNCTION("""COMPUTED_VALUE"""),"Monthly")</f>
        <v>Monthly</v>
      </c>
      <c r="K421" s="317">
        <f>IFERROR(__xludf.DUMMYFUNCTION("""COMPUTED_VALUE"""),2022.06)</f>
        <v>2022.06</v>
      </c>
      <c r="L421" s="298"/>
      <c r="M421" s="223"/>
      <c r="N421" s="223"/>
      <c r="O421" s="223"/>
      <c r="P421" s="223"/>
      <c r="Q421" s="223"/>
      <c r="R421" s="223"/>
      <c r="S421" s="223"/>
      <c r="T421" s="223"/>
      <c r="U421" s="223"/>
      <c r="V421" s="223"/>
      <c r="W421" s="223"/>
      <c r="X421" s="223"/>
      <c r="Y421" s="223"/>
      <c r="Z421" s="223"/>
    </row>
    <row r="422">
      <c r="A422" s="223" t="str">
        <f>IFERROR(__xludf.DUMMYFUNCTION("""COMPUTED_VALUE"""),"Spraggs : Monthly Services")</f>
        <v>Spraggs : Monthly Services</v>
      </c>
      <c r="B422" s="223" t="str">
        <f>IFERROR(__xludf.DUMMYFUNCTION("""COMPUTED_VALUE"""),"Spraggs")</f>
        <v>Spraggs</v>
      </c>
      <c r="C422" s="223" t="str">
        <f>IFERROR(__xludf.DUMMYFUNCTION("""COMPUTED_VALUE"""),"Monthly Services")</f>
        <v>Monthly Services</v>
      </c>
      <c r="D422" s="316">
        <f>IFERROR(__xludf.DUMMYFUNCTION("""COMPUTED_VALUE"""),44742.0)</f>
        <v>44742</v>
      </c>
      <c r="E422" s="298">
        <f>IFERROR(__xludf.DUMMYFUNCTION("""COMPUTED_VALUE"""),2500.0)</f>
        <v>2500</v>
      </c>
      <c r="F422" s="298">
        <f>IFERROR(__xludf.DUMMYFUNCTION("""COMPUTED_VALUE"""),77.78)</f>
        <v>77.78</v>
      </c>
      <c r="G422" s="298">
        <f>IFERROR(__xludf.DUMMYFUNCTION("""COMPUTED_VALUE"""),0.0)</f>
        <v>0</v>
      </c>
      <c r="H422" s="223">
        <f>IFERROR(__xludf.DUMMYFUNCTION("""COMPUTED_VALUE"""),2422.22)</f>
        <v>2422.22</v>
      </c>
      <c r="I422" s="298"/>
      <c r="J422" s="223" t="str">
        <f>IFERROR(__xludf.DUMMYFUNCTION("""COMPUTED_VALUE"""),"Monthly")</f>
        <v>Monthly</v>
      </c>
      <c r="K422" s="317">
        <f>IFERROR(__xludf.DUMMYFUNCTION("""COMPUTED_VALUE"""),2022.06)</f>
        <v>2022.06</v>
      </c>
      <c r="L422" s="298"/>
      <c r="M422" s="223"/>
      <c r="N422" s="223"/>
      <c r="O422" s="223"/>
      <c r="P422" s="223"/>
      <c r="Q422" s="223"/>
      <c r="R422" s="223"/>
      <c r="S422" s="223"/>
      <c r="T422" s="223"/>
      <c r="U422" s="223"/>
      <c r="V422" s="223"/>
      <c r="W422" s="223"/>
      <c r="X422" s="223"/>
      <c r="Y422" s="223"/>
      <c r="Z422" s="223"/>
    </row>
    <row r="423">
      <c r="A423" s="223" t="str">
        <f>IFERROR(__xludf.DUMMYFUNCTION("""COMPUTED_VALUE"""),"Tires Easy : Monthly Services for Tires-Easy.com")</f>
        <v>Tires Easy : Monthly Services for Tires-Easy.com</v>
      </c>
      <c r="B423" s="223" t="str">
        <f>IFERROR(__xludf.DUMMYFUNCTION("""COMPUTED_VALUE"""),"Tires Easy")</f>
        <v>Tires Easy</v>
      </c>
      <c r="C423" s="223" t="str">
        <f>IFERROR(__xludf.DUMMYFUNCTION("""COMPUTED_VALUE"""),"Monthly Services for Tires-Easy.com")</f>
        <v>Monthly Services for Tires-Easy.com</v>
      </c>
      <c r="D423" s="316">
        <f>IFERROR(__xludf.DUMMYFUNCTION("""COMPUTED_VALUE"""),44742.0)</f>
        <v>44742</v>
      </c>
      <c r="E423" s="298">
        <f>IFERROR(__xludf.DUMMYFUNCTION("""COMPUTED_VALUE"""),896.81544)</f>
        <v>896.81544</v>
      </c>
      <c r="F423" s="298">
        <f>IFERROR(__xludf.DUMMYFUNCTION("""COMPUTED_VALUE"""),33.555844379999996)</f>
        <v>33.55584438</v>
      </c>
      <c r="G423" s="298">
        <f>IFERROR(__xludf.DUMMYFUNCTION("""COMPUTED_VALUE"""),0.0)</f>
        <v>0</v>
      </c>
      <c r="H423" s="223">
        <f>IFERROR(__xludf.DUMMYFUNCTION("""COMPUTED_VALUE"""),863.25959562)</f>
        <v>863.2595956</v>
      </c>
      <c r="I423" s="298"/>
      <c r="J423" s="223" t="str">
        <f>IFERROR(__xludf.DUMMYFUNCTION("""COMPUTED_VALUE"""),"Monthly")</f>
        <v>Monthly</v>
      </c>
      <c r="K423" s="317">
        <f>IFERROR(__xludf.DUMMYFUNCTION("""COMPUTED_VALUE"""),2022.06)</f>
        <v>2022.06</v>
      </c>
      <c r="L423" s="298"/>
      <c r="M423" s="223"/>
      <c r="N423" s="223"/>
      <c r="O423" s="223"/>
      <c r="P423" s="223"/>
      <c r="Q423" s="223"/>
      <c r="R423" s="223"/>
      <c r="S423" s="223"/>
      <c r="T423" s="223"/>
      <c r="U423" s="223"/>
      <c r="V423" s="223"/>
      <c r="W423" s="223"/>
      <c r="X423" s="223"/>
      <c r="Y423" s="223"/>
      <c r="Z423" s="223"/>
    </row>
    <row r="424">
      <c r="A424" s="223" t="str">
        <f>IFERROR(__xludf.DUMMYFUNCTION("""COMPUTED_VALUE"""),"TisBest : Monthly Services")</f>
        <v>TisBest : Monthly Services</v>
      </c>
      <c r="B424" s="223" t="str">
        <f>IFERROR(__xludf.DUMMYFUNCTION("""COMPUTED_VALUE"""),"TisBest")</f>
        <v>TisBest</v>
      </c>
      <c r="C424" s="223" t="str">
        <f>IFERROR(__xludf.DUMMYFUNCTION("""COMPUTED_VALUE"""),"Monthly Services")</f>
        <v>Monthly Services</v>
      </c>
      <c r="D424" s="316">
        <f>IFERROR(__xludf.DUMMYFUNCTION("""COMPUTED_VALUE"""),44742.0)</f>
        <v>44742</v>
      </c>
      <c r="E424" s="298">
        <f>IFERROR(__xludf.DUMMYFUNCTION("""COMPUTED_VALUE"""),5612.9535)</f>
        <v>5612.9535</v>
      </c>
      <c r="F424" s="298">
        <f>IFERROR(__xludf.DUMMYFUNCTION("""COMPUTED_VALUE"""),208.0534764)</f>
        <v>208.0534764</v>
      </c>
      <c r="G424" s="298">
        <f>IFERROR(__xludf.DUMMYFUNCTION("""COMPUTED_VALUE"""),1080.98000472)</f>
        <v>1080.980005</v>
      </c>
      <c r="H424" s="223">
        <f>IFERROR(__xludf.DUMMYFUNCTION("""COMPUTED_VALUE"""),4323.92001888)</f>
        <v>4323.920019</v>
      </c>
      <c r="I424" s="298"/>
      <c r="J424" s="223" t="str">
        <f>IFERROR(__xludf.DUMMYFUNCTION("""COMPUTED_VALUE"""),"Monthly")</f>
        <v>Monthly</v>
      </c>
      <c r="K424" s="317">
        <f>IFERROR(__xludf.DUMMYFUNCTION("""COMPUTED_VALUE"""),2022.06)</f>
        <v>2022.06</v>
      </c>
      <c r="L424" s="298"/>
      <c r="M424" s="223"/>
      <c r="N424" s="223"/>
      <c r="O424" s="223"/>
      <c r="P424" s="223"/>
      <c r="Q424" s="223"/>
      <c r="R424" s="223"/>
      <c r="S424" s="223"/>
      <c r="T424" s="223"/>
      <c r="U424" s="223"/>
      <c r="V424" s="223"/>
      <c r="W424" s="223"/>
      <c r="X424" s="223"/>
      <c r="Y424" s="223"/>
      <c r="Z424" s="223"/>
    </row>
    <row r="425">
      <c r="A425" s="223" t="str">
        <f>IFERROR(__xludf.DUMMYFUNCTION("""COMPUTED_VALUE"""),"Tuscany : Monthly Services")</f>
        <v>Tuscany : Monthly Services</v>
      </c>
      <c r="B425" s="223" t="str">
        <f>IFERROR(__xludf.DUMMYFUNCTION("""COMPUTED_VALUE"""),"Tuscany")</f>
        <v>Tuscany</v>
      </c>
      <c r="C425" s="223" t="str">
        <f>IFERROR(__xludf.DUMMYFUNCTION("""COMPUTED_VALUE"""),"Monthly Services")</f>
        <v>Monthly Services</v>
      </c>
      <c r="D425" s="316">
        <f>IFERROR(__xludf.DUMMYFUNCTION("""COMPUTED_VALUE"""),44742.0)</f>
        <v>44742</v>
      </c>
      <c r="E425" s="298">
        <f>IFERROR(__xludf.DUMMYFUNCTION("""COMPUTED_VALUE"""),2514.025)</f>
        <v>2514.025</v>
      </c>
      <c r="F425" s="298">
        <f>IFERROR(__xludf.DUMMYFUNCTION("""COMPUTED_VALUE"""),0.0)</f>
        <v>0</v>
      </c>
      <c r="G425" s="298">
        <f>IFERROR(__xludf.DUMMYFUNCTION("""COMPUTED_VALUE"""),0.0)</f>
        <v>0</v>
      </c>
      <c r="H425" s="223">
        <f>IFERROR(__xludf.DUMMYFUNCTION("""COMPUTED_VALUE"""),2514.025)</f>
        <v>2514.025</v>
      </c>
      <c r="I425" s="298"/>
      <c r="J425" s="223" t="str">
        <f>IFERROR(__xludf.DUMMYFUNCTION("""COMPUTED_VALUE"""),"Monthly")</f>
        <v>Monthly</v>
      </c>
      <c r="K425" s="317">
        <f>IFERROR(__xludf.DUMMYFUNCTION("""COMPUTED_VALUE"""),2022.06)</f>
        <v>2022.06</v>
      </c>
      <c r="L425" s="298"/>
      <c r="M425" s="223"/>
      <c r="N425" s="223"/>
      <c r="O425" s="223"/>
      <c r="P425" s="223"/>
      <c r="Q425" s="223"/>
      <c r="R425" s="223"/>
      <c r="S425" s="223"/>
      <c r="T425" s="223"/>
      <c r="U425" s="223"/>
      <c r="V425" s="223"/>
      <c r="W425" s="223"/>
      <c r="X425" s="223"/>
      <c r="Y425" s="223"/>
      <c r="Z425" s="223"/>
    </row>
    <row r="426">
      <c r="A426" s="223" t="str">
        <f>IFERROR(__xludf.DUMMYFUNCTION("""COMPUTED_VALUE"""),"Venetian : Monthly Services")</f>
        <v>Venetian : Monthly Services</v>
      </c>
      <c r="B426" s="223" t="str">
        <f>IFERROR(__xludf.DUMMYFUNCTION("""COMPUTED_VALUE"""),"Venetian")</f>
        <v>Venetian</v>
      </c>
      <c r="C426" s="223" t="str">
        <f>IFERROR(__xludf.DUMMYFUNCTION("""COMPUTED_VALUE"""),"Monthly Services")</f>
        <v>Monthly Services</v>
      </c>
      <c r="D426" s="316">
        <f>IFERROR(__xludf.DUMMYFUNCTION("""COMPUTED_VALUE"""),44742.0)</f>
        <v>44742</v>
      </c>
      <c r="E426" s="298">
        <f>IFERROR(__xludf.DUMMYFUNCTION("""COMPUTED_VALUE"""),2514.025)</f>
        <v>2514.025</v>
      </c>
      <c r="F426" s="298">
        <f>IFERROR(__xludf.DUMMYFUNCTION("""COMPUTED_VALUE"""),0.0)</f>
        <v>0</v>
      </c>
      <c r="G426" s="298">
        <f>IFERROR(__xludf.DUMMYFUNCTION("""COMPUTED_VALUE"""),0.0)</f>
        <v>0</v>
      </c>
      <c r="H426" s="223">
        <f>IFERROR(__xludf.DUMMYFUNCTION("""COMPUTED_VALUE"""),2514.025)</f>
        <v>2514.025</v>
      </c>
      <c r="I426" s="298"/>
      <c r="J426" s="223" t="str">
        <f>IFERROR(__xludf.DUMMYFUNCTION("""COMPUTED_VALUE"""),"Monthly")</f>
        <v>Monthly</v>
      </c>
      <c r="K426" s="317">
        <f>IFERROR(__xludf.DUMMYFUNCTION("""COMPUTED_VALUE"""),2022.06)</f>
        <v>2022.06</v>
      </c>
      <c r="L426" s="298"/>
      <c r="M426" s="223"/>
      <c r="N426" s="223"/>
      <c r="O426" s="223"/>
      <c r="P426" s="223"/>
      <c r="Q426" s="223"/>
      <c r="R426" s="223"/>
      <c r="S426" s="223"/>
      <c r="T426" s="223"/>
      <c r="U426" s="223"/>
      <c r="V426" s="223"/>
      <c r="W426" s="223"/>
      <c r="X426" s="223"/>
      <c r="Y426" s="223"/>
      <c r="Z426" s="223"/>
    </row>
    <row r="427">
      <c r="A427" s="223" t="str">
        <f>IFERROR(__xludf.DUMMYFUNCTION("""COMPUTED_VALUE"""),"Wallack's Art Supplies : Monthly Services")</f>
        <v>Wallack's Art Supplies : Monthly Services</v>
      </c>
      <c r="B427" s="223" t="str">
        <f>IFERROR(__xludf.DUMMYFUNCTION("""COMPUTED_VALUE"""),"Wallack's Art Supplies")</f>
        <v>Wallack's Art Supplies</v>
      </c>
      <c r="C427" s="223" t="str">
        <f>IFERROR(__xludf.DUMMYFUNCTION("""COMPUTED_VALUE"""),"Monthly Services")</f>
        <v>Monthly Services</v>
      </c>
      <c r="D427" s="316">
        <f>IFERROR(__xludf.DUMMYFUNCTION("""COMPUTED_VALUE"""),44742.0)</f>
        <v>44742</v>
      </c>
      <c r="E427" s="298">
        <f>IFERROR(__xludf.DUMMYFUNCTION("""COMPUTED_VALUE"""),700.0)</f>
        <v>700</v>
      </c>
      <c r="F427" s="298">
        <f>IFERROR(__xludf.DUMMYFUNCTION("""COMPUTED_VALUE"""),0.0)</f>
        <v>0</v>
      </c>
      <c r="G427" s="298">
        <f>IFERROR(__xludf.DUMMYFUNCTION("""COMPUTED_VALUE"""),0.0)</f>
        <v>0</v>
      </c>
      <c r="H427" s="223">
        <f>IFERROR(__xludf.DUMMYFUNCTION("""COMPUTED_VALUE"""),700.0)</f>
        <v>700</v>
      </c>
      <c r="I427" s="298"/>
      <c r="J427" s="223" t="str">
        <f>IFERROR(__xludf.DUMMYFUNCTION("""COMPUTED_VALUE"""),"Monthly")</f>
        <v>Monthly</v>
      </c>
      <c r="K427" s="317">
        <f>IFERROR(__xludf.DUMMYFUNCTION("""COMPUTED_VALUE"""),2022.06)</f>
        <v>2022.06</v>
      </c>
      <c r="L427" s="298"/>
      <c r="M427" s="223"/>
      <c r="N427" s="223"/>
      <c r="O427" s="223"/>
      <c r="P427" s="223"/>
      <c r="Q427" s="223"/>
      <c r="R427" s="223"/>
      <c r="S427" s="223"/>
      <c r="T427" s="223"/>
      <c r="U427" s="223"/>
      <c r="V427" s="223"/>
      <c r="W427" s="223"/>
      <c r="X427" s="223"/>
      <c r="Y427" s="223"/>
      <c r="Z427" s="223"/>
    </row>
    <row r="428">
      <c r="A428" s="223" t="str">
        <f>IFERROR(__xludf.DUMMYFUNCTION("""COMPUTED_VALUE"""),"Howard Fine Jewellers : Ongoing PPC and SEO Support")</f>
        <v>Howard Fine Jewellers : Ongoing PPC and SEO Support</v>
      </c>
      <c r="B428" s="223" t="str">
        <f>IFERROR(__xludf.DUMMYFUNCTION("""COMPUTED_VALUE"""),"Howard Fine Jewellers")</f>
        <v>Howard Fine Jewellers</v>
      </c>
      <c r="C428" s="223" t="str">
        <f>IFERROR(__xludf.DUMMYFUNCTION("""COMPUTED_VALUE"""),"Ongoing PPC and SEO Support")</f>
        <v>Ongoing PPC and SEO Support</v>
      </c>
      <c r="D428" s="316">
        <f>IFERROR(__xludf.DUMMYFUNCTION("""COMPUTED_VALUE"""),44742.0)</f>
        <v>44742</v>
      </c>
      <c r="E428" s="298">
        <f>IFERROR(__xludf.DUMMYFUNCTION("""COMPUTED_VALUE"""),1450.0)</f>
        <v>1450</v>
      </c>
      <c r="F428" s="298">
        <f>IFERROR(__xludf.DUMMYFUNCTION("""COMPUTED_VALUE"""),48.55)</f>
        <v>48.55</v>
      </c>
      <c r="G428" s="298">
        <f>IFERROR(__xludf.DUMMYFUNCTION("""COMPUTED_VALUE"""),0.0)</f>
        <v>0</v>
      </c>
      <c r="H428" s="223">
        <f>IFERROR(__xludf.DUMMYFUNCTION("""COMPUTED_VALUE"""),1401.45)</f>
        <v>1401.45</v>
      </c>
      <c r="I428" s="298"/>
      <c r="J428" s="223" t="str">
        <f>IFERROR(__xludf.DUMMYFUNCTION("""COMPUTED_VALUE"""),"Monthly")</f>
        <v>Monthly</v>
      </c>
      <c r="K428" s="317">
        <f>IFERROR(__xludf.DUMMYFUNCTION("""COMPUTED_VALUE"""),2022.06)</f>
        <v>2022.06</v>
      </c>
      <c r="L428" s="298"/>
      <c r="M428" s="223"/>
      <c r="N428" s="223"/>
      <c r="O428" s="223"/>
      <c r="P428" s="223"/>
      <c r="Q428" s="223"/>
      <c r="R428" s="223"/>
      <c r="S428" s="223"/>
      <c r="T428" s="223"/>
      <c r="U428" s="223"/>
      <c r="V428" s="223"/>
      <c r="W428" s="223"/>
      <c r="X428" s="223"/>
      <c r="Y428" s="223"/>
      <c r="Z428" s="223"/>
    </row>
    <row r="429">
      <c r="A429" s="223" t="str">
        <f>IFERROR(__xludf.DUMMYFUNCTION("""COMPUTED_VALUE"""),"Bevridge : PPC, Analytics &amp; Landing Page work")</f>
        <v>Bevridge : PPC, Analytics &amp; Landing Page work</v>
      </c>
      <c r="B429" s="223" t="str">
        <f>IFERROR(__xludf.DUMMYFUNCTION("""COMPUTED_VALUE"""),"Bevridge")</f>
        <v>Bevridge</v>
      </c>
      <c r="C429" s="223" t="str">
        <f>IFERROR(__xludf.DUMMYFUNCTION("""COMPUTED_VALUE"""),"PPC, Analytics &amp; Landing Page work")</f>
        <v>PPC, Analytics &amp; Landing Page work</v>
      </c>
      <c r="D429" s="316">
        <f>IFERROR(__xludf.DUMMYFUNCTION("""COMPUTED_VALUE"""),44740.0)</f>
        <v>44740</v>
      </c>
      <c r="E429" s="298">
        <f>IFERROR(__xludf.DUMMYFUNCTION("""COMPUTED_VALUE"""),3235.6699959999996)</f>
        <v>3235.669996</v>
      </c>
      <c r="F429" s="298">
        <f>IFERROR(__xludf.DUMMYFUNCTION("""COMPUTED_VALUE"""),0.0)</f>
        <v>0</v>
      </c>
      <c r="G429" s="298">
        <f>IFERROR(__xludf.DUMMYFUNCTION("""COMPUTED_VALUE"""),0.0)</f>
        <v>0</v>
      </c>
      <c r="H429" s="223">
        <f>IFERROR(__xludf.DUMMYFUNCTION("""COMPUTED_VALUE"""),3235.6699959999996)</f>
        <v>3235.669996</v>
      </c>
      <c r="I429" s="298"/>
      <c r="J429" s="223" t="str">
        <f>IFERROR(__xludf.DUMMYFUNCTION("""COMPUTED_VALUE"""),"Deposit ($2600)   Second Invoice ($1775)  Final Invoice ($1775)")</f>
        <v>Deposit ($2600)   Second Invoice ($1775)  Final Invoice ($1775)</v>
      </c>
      <c r="K429" s="317">
        <f>IFERROR(__xludf.DUMMYFUNCTION("""COMPUTED_VALUE"""),2022.0)</f>
        <v>2022</v>
      </c>
      <c r="L429" s="298"/>
      <c r="M429" s="223"/>
      <c r="N429" s="223"/>
      <c r="O429" s="223"/>
      <c r="P429" s="223"/>
      <c r="Q429" s="223"/>
      <c r="R429" s="223"/>
      <c r="S429" s="223"/>
      <c r="T429" s="223"/>
      <c r="U429" s="223"/>
      <c r="V429" s="223"/>
      <c r="W429" s="223"/>
      <c r="X429" s="223"/>
      <c r="Y429" s="223"/>
      <c r="Z429" s="223"/>
    </row>
    <row r="430">
      <c r="A430" s="223" t="str">
        <f>IFERROR(__xludf.DUMMYFUNCTION("""COMPUTED_VALUE"""),"Bevridge : PPC, Analytics &amp; Landing Page work")</f>
        <v>Bevridge : PPC, Analytics &amp; Landing Page work</v>
      </c>
      <c r="B430" s="223" t="str">
        <f>IFERROR(__xludf.DUMMYFUNCTION("""COMPUTED_VALUE"""),"Bevridge")</f>
        <v>Bevridge</v>
      </c>
      <c r="C430" s="223" t="str">
        <f>IFERROR(__xludf.DUMMYFUNCTION("""COMPUTED_VALUE"""),"PPC, Analytics &amp; Landing Page work")</f>
        <v>PPC, Analytics &amp; Landing Page work</v>
      </c>
      <c r="D430" s="316">
        <f>IFERROR(__xludf.DUMMYFUNCTION("""COMPUTED_VALUE"""),44796.0)</f>
        <v>44796</v>
      </c>
      <c r="E430" s="298">
        <f>IFERROR(__xludf.DUMMYFUNCTION("""COMPUTED_VALUE"""),2234.659325)</f>
        <v>2234.659325</v>
      </c>
      <c r="F430" s="298">
        <f>IFERROR(__xludf.DUMMYFUNCTION("""COMPUTED_VALUE"""),83.06637874)</f>
        <v>83.06637874</v>
      </c>
      <c r="G430" s="298">
        <f>IFERROR(__xludf.DUMMYFUNCTION("""COMPUTED_VALUE"""),0.0)</f>
        <v>0</v>
      </c>
      <c r="H430" s="223">
        <f>IFERROR(__xludf.DUMMYFUNCTION("""COMPUTED_VALUE"""),2151.59294626)</f>
        <v>2151.592946</v>
      </c>
      <c r="I430" s="298"/>
      <c r="J430" s="223" t="str">
        <f>IFERROR(__xludf.DUMMYFUNCTION("""COMPUTED_VALUE"""),"Second Invoice ($1775)  ")</f>
        <v>Second Invoice ($1775)  </v>
      </c>
      <c r="K430" s="317">
        <f>IFERROR(__xludf.DUMMYFUNCTION("""COMPUTED_VALUE"""),2022.0)</f>
        <v>2022</v>
      </c>
      <c r="L430" s="298"/>
      <c r="M430" s="223"/>
      <c r="N430" s="223"/>
      <c r="O430" s="223"/>
      <c r="P430" s="223"/>
      <c r="Q430" s="223"/>
      <c r="R430" s="223"/>
      <c r="S430" s="223"/>
      <c r="T430" s="223"/>
      <c r="U430" s="223"/>
      <c r="V430" s="223"/>
      <c r="W430" s="223"/>
      <c r="X430" s="223"/>
      <c r="Y430" s="223"/>
      <c r="Z430" s="223"/>
    </row>
    <row r="431">
      <c r="A431" s="223" t="str">
        <f>IFERROR(__xludf.DUMMYFUNCTION("""COMPUTED_VALUE"""),"Bevridge : PPC, Analytics &amp; Landing Page work")</f>
        <v>Bevridge : PPC, Analytics &amp; Landing Page work</v>
      </c>
      <c r="B431" s="223" t="str">
        <f>IFERROR(__xludf.DUMMYFUNCTION("""COMPUTED_VALUE"""),"Bevridge")</f>
        <v>Bevridge</v>
      </c>
      <c r="C431" s="223" t="str">
        <f>IFERROR(__xludf.DUMMYFUNCTION("""COMPUTED_VALUE"""),"PPC, Analytics &amp; Landing Page work")</f>
        <v>PPC, Analytics &amp; Landing Page work</v>
      </c>
      <c r="D431" s="316">
        <f>IFERROR(__xludf.DUMMYFUNCTION("""COMPUTED_VALUE"""),44804.0)</f>
        <v>44804</v>
      </c>
      <c r="E431" s="298">
        <f>IFERROR(__xludf.DUMMYFUNCTION("""COMPUTED_VALUE"""),1775.0)</f>
        <v>1775</v>
      </c>
      <c r="F431" s="298"/>
      <c r="G431" s="298">
        <f>IFERROR(__xludf.DUMMYFUNCTION("""COMPUTED_VALUE"""),0.0)</f>
        <v>0</v>
      </c>
      <c r="H431" s="223">
        <f>IFERROR(__xludf.DUMMYFUNCTION("""COMPUTED_VALUE"""),1775.0)</f>
        <v>1775</v>
      </c>
      <c r="I431" s="298"/>
      <c r="J431" s="223" t="str">
        <f>IFERROR(__xludf.DUMMYFUNCTION("""COMPUTED_VALUE"""),"Final Invoice ($1775)")</f>
        <v>Final Invoice ($1775)</v>
      </c>
      <c r="K431" s="317">
        <f>IFERROR(__xludf.DUMMYFUNCTION("""COMPUTED_VALUE"""),2022.0)</f>
        <v>2022</v>
      </c>
      <c r="L431" s="298"/>
      <c r="M431" s="223"/>
      <c r="N431" s="223"/>
      <c r="O431" s="223"/>
      <c r="P431" s="223"/>
      <c r="Q431" s="223"/>
      <c r="R431" s="223"/>
      <c r="S431" s="223"/>
      <c r="T431" s="223"/>
      <c r="U431" s="223"/>
      <c r="V431" s="223"/>
      <c r="W431" s="223"/>
      <c r="X431" s="223"/>
      <c r="Y431" s="223"/>
      <c r="Z431" s="223"/>
    </row>
    <row r="432">
      <c r="A432" s="223" t="str">
        <f>IFERROR(__xludf.DUMMYFUNCTION("""COMPUTED_VALUE"""),"Moloco : Website Review")</f>
        <v>Moloco : Website Review</v>
      </c>
      <c r="B432" s="223" t="str">
        <f>IFERROR(__xludf.DUMMYFUNCTION("""COMPUTED_VALUE"""),"Moloco")</f>
        <v>Moloco</v>
      </c>
      <c r="C432" s="223" t="str">
        <f>IFERROR(__xludf.DUMMYFUNCTION("""COMPUTED_VALUE"""),"Website Review")</f>
        <v>Website Review</v>
      </c>
      <c r="D432" s="316">
        <f>IFERROR(__xludf.DUMMYFUNCTION("""COMPUTED_VALUE"""),44753.0)</f>
        <v>44753</v>
      </c>
      <c r="E432" s="298">
        <f>IFERROR(__xludf.DUMMYFUNCTION("""COMPUTED_VALUE"""),501.83920000000006)</f>
        <v>501.8392</v>
      </c>
      <c r="F432" s="298">
        <f>IFERROR(__xludf.DUMMYFUNCTION("""COMPUTED_VALUE"""),18.9444298)</f>
        <v>18.9444298</v>
      </c>
      <c r="G432" s="298">
        <f>IFERROR(__xludf.DUMMYFUNCTION("""COMPUTED_VALUE"""),0.0)</f>
        <v>0</v>
      </c>
      <c r="H432" s="223">
        <f>IFERROR(__xludf.DUMMYFUNCTION("""COMPUTED_VALUE"""),482.89477020000004)</f>
        <v>482.8947702</v>
      </c>
      <c r="I432" s="298"/>
      <c r="J432" s="223" t="str">
        <f>IFERROR(__xludf.DUMMYFUNCTION("""COMPUTED_VALUE"""),"50% Deposit Prepaid
50% Final")</f>
        <v>50% Deposit Prepaid
50% Final</v>
      </c>
      <c r="K432" s="317">
        <f>IFERROR(__xludf.DUMMYFUNCTION("""COMPUTED_VALUE"""),2022.0)</f>
        <v>2022</v>
      </c>
      <c r="L432" s="298"/>
      <c r="M432" s="223"/>
      <c r="N432" s="223"/>
      <c r="O432" s="223"/>
      <c r="P432" s="223"/>
      <c r="Q432" s="223"/>
      <c r="R432" s="223"/>
      <c r="S432" s="223"/>
      <c r="T432" s="223"/>
      <c r="U432" s="223"/>
      <c r="V432" s="223"/>
      <c r="W432" s="223"/>
      <c r="X432" s="223"/>
      <c r="Y432" s="223"/>
      <c r="Z432" s="223"/>
    </row>
    <row r="433">
      <c r="A433" s="223" t="str">
        <f>IFERROR(__xludf.DUMMYFUNCTION("""COMPUTED_VALUE"""),"Moloco : Website Review")</f>
        <v>Moloco : Website Review</v>
      </c>
      <c r="B433" s="223" t="str">
        <f>IFERROR(__xludf.DUMMYFUNCTION("""COMPUTED_VALUE"""),"Moloco")</f>
        <v>Moloco</v>
      </c>
      <c r="C433" s="223" t="str">
        <f>IFERROR(__xludf.DUMMYFUNCTION("""COMPUTED_VALUE"""),"Website Review")</f>
        <v>Website Review</v>
      </c>
      <c r="D433" s="316">
        <f>IFERROR(__xludf.DUMMYFUNCTION("""COMPUTED_VALUE"""),44771.0)</f>
        <v>44771</v>
      </c>
      <c r="E433" s="298">
        <f>IFERROR(__xludf.DUMMYFUNCTION("""COMPUTED_VALUE"""),496.09680000000003)</f>
        <v>496.0968</v>
      </c>
      <c r="F433" s="298">
        <f>IFERROR(__xludf.DUMMYFUNCTION("""COMPUTED_VALUE"""),18.7276542)</f>
        <v>18.7276542</v>
      </c>
      <c r="G433" s="298">
        <f>IFERROR(__xludf.DUMMYFUNCTION("""COMPUTED_VALUE"""),0.0)</f>
        <v>0</v>
      </c>
      <c r="H433" s="223">
        <f>IFERROR(__xludf.DUMMYFUNCTION("""COMPUTED_VALUE"""),477.3691458)</f>
        <v>477.3691458</v>
      </c>
      <c r="I433" s="298"/>
      <c r="J433" s="223" t="str">
        <f>IFERROR(__xludf.DUMMYFUNCTION("""COMPUTED_VALUE"""),"50% Deposit Prepaid
50% Final")</f>
        <v>50% Deposit Prepaid
50% Final</v>
      </c>
      <c r="K433" s="317">
        <f>IFERROR(__xludf.DUMMYFUNCTION("""COMPUTED_VALUE"""),2022.0)</f>
        <v>2022</v>
      </c>
      <c r="L433" s="298"/>
      <c r="M433" s="223"/>
      <c r="N433" s="223"/>
      <c r="O433" s="223"/>
      <c r="P433" s="223"/>
      <c r="Q433" s="223"/>
      <c r="R433" s="223"/>
      <c r="S433" s="223"/>
      <c r="T433" s="223"/>
      <c r="U433" s="223"/>
      <c r="V433" s="223"/>
      <c r="W433" s="223"/>
      <c r="X433" s="223"/>
      <c r="Y433" s="223"/>
      <c r="Z433" s="223"/>
    </row>
    <row r="434">
      <c r="A434" s="223" t="str">
        <f>IFERROR(__xludf.DUMMYFUNCTION("""COMPUTED_VALUE"""),"Continuity Programs Inc. : Website Relaunch and SEO Review")</f>
        <v>Continuity Programs Inc. : Website Relaunch and SEO Review</v>
      </c>
      <c r="B434" s="223" t="str">
        <f>IFERROR(__xludf.DUMMYFUNCTION("""COMPUTED_VALUE"""),"Continuity Programs Inc.")</f>
        <v>Continuity Programs Inc.</v>
      </c>
      <c r="C434" s="223" t="str">
        <f>IFERROR(__xludf.DUMMYFUNCTION("""COMPUTED_VALUE"""),"Website Relaunch and SEO Review")</f>
        <v>Website Relaunch and SEO Review</v>
      </c>
      <c r="D434" s="316">
        <f>IFERROR(__xludf.DUMMYFUNCTION("""COMPUTED_VALUE"""),44753.0)</f>
        <v>44753</v>
      </c>
      <c r="E434" s="298">
        <f>IFERROR(__xludf.DUMMYFUNCTION("""COMPUTED_VALUE"""),2392.3983000000003)</f>
        <v>2392.3983</v>
      </c>
      <c r="F434" s="298">
        <f>IFERROR(__xludf.DUMMYFUNCTION("""COMPUTED_VALUE"""),88.8964842)</f>
        <v>88.8964842</v>
      </c>
      <c r="G434" s="298">
        <f>IFERROR(__xludf.DUMMYFUNCTION("""COMPUTED_VALUE"""),460.70036316000005)</f>
        <v>460.7003632</v>
      </c>
      <c r="H434" s="223">
        <f>IFERROR(__xludf.DUMMYFUNCTION("""COMPUTED_VALUE"""),1842.8014526400002)</f>
        <v>1842.801453</v>
      </c>
      <c r="I434" s="298"/>
      <c r="J434" s="223" t="str">
        <f>IFERROR(__xludf.DUMMYFUNCTION("""COMPUTED_VALUE"""),"50% Deposit Prepaid
50% Final")</f>
        <v>50% Deposit Prepaid
50% Final</v>
      </c>
      <c r="K434" s="317">
        <f>IFERROR(__xludf.DUMMYFUNCTION("""COMPUTED_VALUE"""),2022.0)</f>
        <v>2022</v>
      </c>
      <c r="L434" s="298"/>
      <c r="M434" s="223"/>
      <c r="N434" s="223"/>
      <c r="O434" s="223"/>
      <c r="P434" s="223"/>
      <c r="Q434" s="223"/>
      <c r="R434" s="223"/>
      <c r="S434" s="223"/>
      <c r="T434" s="223"/>
      <c r="U434" s="223"/>
      <c r="V434" s="223"/>
      <c r="W434" s="223"/>
      <c r="X434" s="223"/>
      <c r="Y434" s="223"/>
      <c r="Z434" s="223"/>
    </row>
    <row r="435">
      <c r="A435" s="223" t="str">
        <f>IFERROR(__xludf.DUMMYFUNCTION("""COMPUTED_VALUE"""),"Continuity Programs Inc. : Website Relaunch and SEO Review")</f>
        <v>Continuity Programs Inc. : Website Relaunch and SEO Review</v>
      </c>
      <c r="B435" s="223" t="str">
        <f>IFERROR(__xludf.DUMMYFUNCTION("""COMPUTED_VALUE"""),"Continuity Programs Inc.")</f>
        <v>Continuity Programs Inc.</v>
      </c>
      <c r="C435" s="223" t="str">
        <f>IFERROR(__xludf.DUMMYFUNCTION("""COMPUTED_VALUE"""),"Website Relaunch and SEO Review")</f>
        <v>Website Relaunch and SEO Review</v>
      </c>
      <c r="D435" s="316">
        <f>IFERROR(__xludf.DUMMYFUNCTION("""COMPUTED_VALUE"""),44796.0)</f>
        <v>44796</v>
      </c>
      <c r="E435" s="298">
        <f>IFERROR(__xludf.DUMMYFUNCTION("""COMPUTED_VALUE"""),2416.5416)</f>
        <v>2416.5416</v>
      </c>
      <c r="F435" s="298">
        <f>IFERROR(__xludf.DUMMYFUNCTION("""COMPUTED_VALUE"""),89.7935984)</f>
        <v>89.7935984</v>
      </c>
      <c r="G435" s="298">
        <f>IFERROR(__xludf.DUMMYFUNCTION("""COMPUTED_VALUE"""),465.34960032000004)</f>
        <v>465.3496003</v>
      </c>
      <c r="H435" s="223">
        <f>IFERROR(__xludf.DUMMYFUNCTION("""COMPUTED_VALUE"""),1861.39840128)</f>
        <v>1861.398401</v>
      </c>
      <c r="I435" s="298"/>
      <c r="J435" s="223" t="str">
        <f>IFERROR(__xludf.DUMMYFUNCTION("""COMPUTED_VALUE"""),"50% Deposit Prepaid
50% Final")</f>
        <v>50% Deposit Prepaid
50% Final</v>
      </c>
      <c r="K435" s="317">
        <f>IFERROR(__xludf.DUMMYFUNCTION("""COMPUTED_VALUE"""),2022.0)</f>
        <v>2022</v>
      </c>
      <c r="L435" s="298"/>
      <c r="M435" s="223"/>
      <c r="N435" s="223"/>
      <c r="O435" s="223"/>
      <c r="P435" s="223"/>
      <c r="Q435" s="223"/>
      <c r="R435" s="223"/>
      <c r="S435" s="223"/>
      <c r="T435" s="223"/>
      <c r="U435" s="223"/>
      <c r="V435" s="223"/>
      <c r="W435" s="223"/>
      <c r="X435" s="223"/>
      <c r="Y435" s="223"/>
      <c r="Z435" s="223"/>
    </row>
    <row r="436">
      <c r="A436" s="223" t="str">
        <f>IFERROR(__xludf.DUMMYFUNCTION("""COMPUTED_VALUE"""),"Arazy Group : Monthly Services")</f>
        <v>Arazy Group : Monthly Services</v>
      </c>
      <c r="B436" s="223" t="str">
        <f>IFERROR(__xludf.DUMMYFUNCTION("""COMPUTED_VALUE"""),"Arazy Group")</f>
        <v>Arazy Group</v>
      </c>
      <c r="C436" s="223" t="str">
        <f>IFERROR(__xludf.DUMMYFUNCTION("""COMPUTED_VALUE"""),"Monthly Services")</f>
        <v>Monthly Services</v>
      </c>
      <c r="D436" s="316">
        <f>IFERROR(__xludf.DUMMYFUNCTION("""COMPUTED_VALUE"""),44757.0)</f>
        <v>44757</v>
      </c>
      <c r="E436" s="298">
        <f>IFERROR(__xludf.DUMMYFUNCTION("""COMPUTED_VALUE"""),650.0)</f>
        <v>650</v>
      </c>
      <c r="F436" s="298">
        <f>IFERROR(__xludf.DUMMYFUNCTION("""COMPUTED_VALUE"""),20.09)</f>
        <v>20.09</v>
      </c>
      <c r="G436" s="298">
        <f>IFERROR(__xludf.DUMMYFUNCTION("""COMPUTED_VALUE"""),0.0)</f>
        <v>0</v>
      </c>
      <c r="H436" s="223">
        <f>IFERROR(__xludf.DUMMYFUNCTION("""COMPUTED_VALUE"""),629.91)</f>
        <v>629.91</v>
      </c>
      <c r="I436" s="298"/>
      <c r="J436" s="223" t="str">
        <f>IFERROR(__xludf.DUMMYFUNCTION("""COMPUTED_VALUE"""),"Monthly")</f>
        <v>Monthly</v>
      </c>
      <c r="K436" s="317">
        <f>IFERROR(__xludf.DUMMYFUNCTION("""COMPUTED_VALUE"""),2022.07)</f>
        <v>2022.07</v>
      </c>
      <c r="L436" s="298"/>
      <c r="M436" s="223"/>
      <c r="N436" s="223"/>
      <c r="O436" s="223"/>
      <c r="P436" s="223"/>
      <c r="Q436" s="223"/>
      <c r="R436" s="223"/>
      <c r="S436" s="223"/>
      <c r="T436" s="223"/>
      <c r="U436" s="223"/>
      <c r="V436" s="223"/>
      <c r="W436" s="223"/>
      <c r="X436" s="223"/>
      <c r="Y436" s="223"/>
      <c r="Z436" s="223"/>
    </row>
    <row r="437">
      <c r="A437" s="223" t="str">
        <f>IFERROR(__xludf.DUMMYFUNCTION("""COMPUTED_VALUE"""),"Booginhead : Monthly Services")</f>
        <v>Booginhead : Monthly Services</v>
      </c>
      <c r="B437" s="223" t="str">
        <f>IFERROR(__xludf.DUMMYFUNCTION("""COMPUTED_VALUE"""),"Booginhead")</f>
        <v>Booginhead</v>
      </c>
      <c r="C437" s="223" t="str">
        <f>IFERROR(__xludf.DUMMYFUNCTION("""COMPUTED_VALUE"""),"Monthly Services")</f>
        <v>Monthly Services</v>
      </c>
      <c r="D437" s="316">
        <f>IFERROR(__xludf.DUMMYFUNCTION("""COMPUTED_VALUE"""),44757.0)</f>
        <v>44757</v>
      </c>
      <c r="E437" s="298">
        <f>IFERROR(__xludf.DUMMYFUNCTION("""COMPUTED_VALUE"""),1637.7867999999999)</f>
        <v>1637.7868</v>
      </c>
      <c r="F437" s="298">
        <f>IFERROR(__xludf.DUMMYFUNCTION("""COMPUTED_VALUE"""),60.976062399999996)</f>
        <v>60.9760624</v>
      </c>
      <c r="G437" s="298">
        <f>IFERROR(__xludf.DUMMYFUNCTION("""COMPUTED_VALUE"""),315.36214752)</f>
        <v>315.3621475</v>
      </c>
      <c r="H437" s="223">
        <f>IFERROR(__xludf.DUMMYFUNCTION("""COMPUTED_VALUE"""),1261.4485900799998)</f>
        <v>1261.44859</v>
      </c>
      <c r="I437" s="298"/>
      <c r="J437" s="223" t="str">
        <f>IFERROR(__xludf.DUMMYFUNCTION("""COMPUTED_VALUE"""),"Monthly")</f>
        <v>Monthly</v>
      </c>
      <c r="K437" s="317">
        <f>IFERROR(__xludf.DUMMYFUNCTION("""COMPUTED_VALUE"""),2022.07)</f>
        <v>2022.07</v>
      </c>
      <c r="L437" s="298"/>
      <c r="M437" s="223"/>
      <c r="N437" s="223"/>
      <c r="O437" s="223"/>
      <c r="P437" s="223"/>
      <c r="Q437" s="223"/>
      <c r="R437" s="223"/>
      <c r="S437" s="223"/>
      <c r="T437" s="223"/>
      <c r="U437" s="223"/>
      <c r="V437" s="223"/>
      <c r="W437" s="223"/>
      <c r="X437" s="223"/>
      <c r="Y437" s="223"/>
      <c r="Z437" s="223"/>
    </row>
    <row r="438">
      <c r="A438" s="223" t="str">
        <f>IFERROR(__xludf.DUMMYFUNCTION("""COMPUTED_VALUE"""),"New Growth Ecommerce Inc : Monthly Services")</f>
        <v>New Growth Ecommerce Inc : Monthly Services</v>
      </c>
      <c r="B438" s="223" t="str">
        <f>IFERROR(__xludf.DUMMYFUNCTION("""COMPUTED_VALUE"""),"New Growth Ecommerce Inc")</f>
        <v>New Growth Ecommerce Inc</v>
      </c>
      <c r="C438" s="223" t="str">
        <f>IFERROR(__xludf.DUMMYFUNCTION("""COMPUTED_VALUE"""),"Monthly Services")</f>
        <v>Monthly Services</v>
      </c>
      <c r="D438" s="316">
        <f>IFERROR(__xludf.DUMMYFUNCTION("""COMPUTED_VALUE"""),44757.0)</f>
        <v>44757</v>
      </c>
      <c r="E438" s="298">
        <f>IFERROR(__xludf.DUMMYFUNCTION("""COMPUTED_VALUE"""),5000.0)</f>
        <v>5000</v>
      </c>
      <c r="F438" s="298">
        <f>IFERROR(__xludf.DUMMYFUNCTION("""COMPUTED_VALUE"""),0.0)</f>
        <v>0</v>
      </c>
      <c r="G438" s="298">
        <f>IFERROR(__xludf.DUMMYFUNCTION("""COMPUTED_VALUE"""),0.0)</f>
        <v>0</v>
      </c>
      <c r="H438" s="223">
        <f>IFERROR(__xludf.DUMMYFUNCTION("""COMPUTED_VALUE"""),5000.0)</f>
        <v>5000</v>
      </c>
      <c r="I438" s="298"/>
      <c r="J438" s="223" t="str">
        <f>IFERROR(__xludf.DUMMYFUNCTION("""COMPUTED_VALUE"""),"Monthly")</f>
        <v>Monthly</v>
      </c>
      <c r="K438" s="317">
        <f>IFERROR(__xludf.DUMMYFUNCTION("""COMPUTED_VALUE"""),2022.07)</f>
        <v>2022.07</v>
      </c>
      <c r="L438" s="298"/>
      <c r="M438" s="223"/>
      <c r="N438" s="223"/>
      <c r="O438" s="223"/>
      <c r="P438" s="223"/>
      <c r="Q438" s="223"/>
      <c r="R438" s="223"/>
      <c r="S438" s="223"/>
      <c r="T438" s="223"/>
      <c r="U438" s="223"/>
      <c r="V438" s="223"/>
      <c r="W438" s="223"/>
      <c r="X438" s="223"/>
      <c r="Y438" s="223"/>
      <c r="Z438" s="223"/>
    </row>
    <row r="439">
      <c r="A439" s="223" t="str">
        <f>IFERROR(__xludf.DUMMYFUNCTION("""COMPUTED_VALUE"""),"OA Region 6 : Monthly Services")</f>
        <v>OA Region 6 : Monthly Services</v>
      </c>
      <c r="B439" s="223" t="str">
        <f>IFERROR(__xludf.DUMMYFUNCTION("""COMPUTED_VALUE"""),"OA Region 6")</f>
        <v>OA Region 6</v>
      </c>
      <c r="C439" s="223" t="str">
        <f>IFERROR(__xludf.DUMMYFUNCTION("""COMPUTED_VALUE"""),"Monthly Services")</f>
        <v>Monthly Services</v>
      </c>
      <c r="D439" s="316">
        <f>IFERROR(__xludf.DUMMYFUNCTION("""COMPUTED_VALUE"""),44757.0)</f>
        <v>44757</v>
      </c>
      <c r="E439" s="298">
        <f>IFERROR(__xludf.DUMMYFUNCTION("""COMPUTED_VALUE"""),436.56305)</f>
        <v>436.56305</v>
      </c>
      <c r="F439" s="298">
        <f>IFERROR(__xludf.DUMMYFUNCTION("""COMPUTED_VALUE"""),16.52702975)</f>
        <v>16.52702975</v>
      </c>
      <c r="G439" s="298">
        <f>IFERROR(__xludf.DUMMYFUNCTION("""COMPUTED_VALUE"""),0.0)</f>
        <v>0</v>
      </c>
      <c r="H439" s="223">
        <f>IFERROR(__xludf.DUMMYFUNCTION("""COMPUTED_VALUE"""),420.03602025)</f>
        <v>420.0360203</v>
      </c>
      <c r="I439" s="298"/>
      <c r="J439" s="223" t="str">
        <f>IFERROR(__xludf.DUMMYFUNCTION("""COMPUTED_VALUE"""),"Monthly")</f>
        <v>Monthly</v>
      </c>
      <c r="K439" s="317">
        <f>IFERROR(__xludf.DUMMYFUNCTION("""COMPUTED_VALUE"""),2022.07)</f>
        <v>2022.07</v>
      </c>
      <c r="L439" s="298"/>
      <c r="M439" s="223"/>
      <c r="N439" s="223"/>
      <c r="O439" s="223"/>
      <c r="P439" s="223"/>
      <c r="Q439" s="223"/>
      <c r="R439" s="223"/>
      <c r="S439" s="223"/>
      <c r="T439" s="223"/>
      <c r="U439" s="223"/>
      <c r="V439" s="223"/>
      <c r="W439" s="223"/>
      <c r="X439" s="223"/>
      <c r="Y439" s="223"/>
      <c r="Z439" s="223"/>
    </row>
    <row r="440">
      <c r="A440" s="223" t="str">
        <f>IFERROR(__xludf.DUMMYFUNCTION("""COMPUTED_VALUE"""),"Tofino Resort + Marina : Monthly Services")</f>
        <v>Tofino Resort + Marina : Monthly Services</v>
      </c>
      <c r="B440" s="223" t="str">
        <f>IFERROR(__xludf.DUMMYFUNCTION("""COMPUTED_VALUE"""),"Tofino Resort + Marina")</f>
        <v>Tofino Resort + Marina</v>
      </c>
      <c r="C440" s="223" t="str">
        <f>IFERROR(__xludf.DUMMYFUNCTION("""COMPUTED_VALUE"""),"Monthly Services")</f>
        <v>Monthly Services</v>
      </c>
      <c r="D440" s="316">
        <f>IFERROR(__xludf.DUMMYFUNCTION("""COMPUTED_VALUE"""),44757.0)</f>
        <v>44757</v>
      </c>
      <c r="E440" s="298">
        <f>IFERROR(__xludf.DUMMYFUNCTION("""COMPUTED_VALUE"""),1600.0)</f>
        <v>1600</v>
      </c>
      <c r="F440" s="298">
        <f>IFERROR(__xludf.DUMMYFUNCTION("""COMPUTED_VALUE"""),49.78)</f>
        <v>49.78</v>
      </c>
      <c r="G440" s="298">
        <f>IFERROR(__xludf.DUMMYFUNCTION("""COMPUTED_VALUE"""),0.0)</f>
        <v>0</v>
      </c>
      <c r="H440" s="223">
        <f>IFERROR(__xludf.DUMMYFUNCTION("""COMPUTED_VALUE"""),1550.22)</f>
        <v>1550.22</v>
      </c>
      <c r="I440" s="298"/>
      <c r="J440" s="223" t="str">
        <f>IFERROR(__xludf.DUMMYFUNCTION("""COMPUTED_VALUE"""),"Monthly")</f>
        <v>Monthly</v>
      </c>
      <c r="K440" s="317">
        <f>IFERROR(__xludf.DUMMYFUNCTION("""COMPUTED_VALUE"""),2022.07)</f>
        <v>2022.07</v>
      </c>
      <c r="L440" s="298"/>
      <c r="M440" s="223"/>
      <c r="N440" s="223"/>
      <c r="O440" s="223"/>
      <c r="P440" s="223"/>
      <c r="Q440" s="223"/>
      <c r="R440" s="223"/>
      <c r="S440" s="223"/>
      <c r="T440" s="223"/>
      <c r="U440" s="223"/>
      <c r="V440" s="223"/>
      <c r="W440" s="223"/>
      <c r="X440" s="223"/>
      <c r="Y440" s="223"/>
      <c r="Z440" s="223"/>
    </row>
    <row r="441">
      <c r="A441" s="223" t="str">
        <f>IFERROR(__xludf.DUMMYFUNCTION("""COMPUTED_VALUE"""),"Viridian : Monthly Services")</f>
        <v>Viridian : Monthly Services</v>
      </c>
      <c r="B441" s="223" t="str">
        <f>IFERROR(__xludf.DUMMYFUNCTION("""COMPUTED_VALUE"""),"Viridian")</f>
        <v>Viridian</v>
      </c>
      <c r="C441" s="223" t="str">
        <f>IFERROR(__xludf.DUMMYFUNCTION("""COMPUTED_VALUE"""),"Monthly Services")</f>
        <v>Monthly Services</v>
      </c>
      <c r="D441" s="316">
        <f>IFERROR(__xludf.DUMMYFUNCTION("""COMPUTED_VALUE"""),44757.0)</f>
        <v>44757</v>
      </c>
      <c r="E441" s="298">
        <f>IFERROR(__xludf.DUMMYFUNCTION("""COMPUTED_VALUE"""),900.0)</f>
        <v>900</v>
      </c>
      <c r="F441" s="298">
        <f>IFERROR(__xludf.DUMMYFUNCTION("""COMPUTED_VALUE"""),0.0)</f>
        <v>0</v>
      </c>
      <c r="G441" s="298">
        <f>IFERROR(__xludf.DUMMYFUNCTION("""COMPUTED_VALUE"""),0.0)</f>
        <v>0</v>
      </c>
      <c r="H441" s="223">
        <f>IFERROR(__xludf.DUMMYFUNCTION("""COMPUTED_VALUE"""),900.0)</f>
        <v>900</v>
      </c>
      <c r="I441" s="298"/>
      <c r="J441" s="223" t="str">
        <f>IFERROR(__xludf.DUMMYFUNCTION("""COMPUTED_VALUE"""),"Monthly")</f>
        <v>Monthly</v>
      </c>
      <c r="K441" s="317">
        <f>IFERROR(__xludf.DUMMYFUNCTION("""COMPUTED_VALUE"""),2022.07)</f>
        <v>2022.07</v>
      </c>
      <c r="L441" s="298"/>
      <c r="M441" s="223"/>
      <c r="N441" s="223"/>
      <c r="O441" s="223"/>
      <c r="P441" s="223"/>
      <c r="Q441" s="223"/>
      <c r="R441" s="223"/>
      <c r="S441" s="223"/>
      <c r="T441" s="223"/>
      <c r="U441" s="223"/>
      <c r="V441" s="223"/>
      <c r="W441" s="223"/>
      <c r="X441" s="223"/>
      <c r="Y441" s="223"/>
      <c r="Z441" s="223"/>
    </row>
    <row r="442">
      <c r="A442" s="223" t="str">
        <f>IFERROR(__xludf.DUMMYFUNCTION("""COMPUTED_VALUE"""),"FIKSE Wheels : Monthly Services")</f>
        <v>FIKSE Wheels : Monthly Services</v>
      </c>
      <c r="B442" s="223" t="str">
        <f>IFERROR(__xludf.DUMMYFUNCTION("""COMPUTED_VALUE"""),"FIKSE Wheels")</f>
        <v>FIKSE Wheels</v>
      </c>
      <c r="C442" s="223" t="str">
        <f>IFERROR(__xludf.DUMMYFUNCTION("""COMPUTED_VALUE"""),"Monthly Services")</f>
        <v>Monthly Services</v>
      </c>
      <c r="D442" s="316">
        <f>IFERROR(__xludf.DUMMYFUNCTION("""COMPUTED_VALUE"""),44757.0)</f>
        <v>44757</v>
      </c>
      <c r="E442" s="298">
        <f>IFERROR(__xludf.DUMMYFUNCTION("""COMPUTED_VALUE"""),500.0)</f>
        <v>500</v>
      </c>
      <c r="F442" s="298">
        <f>IFERROR(__xludf.DUMMYFUNCTION("""COMPUTED_VALUE"""),0.0)</f>
        <v>0</v>
      </c>
      <c r="G442" s="298">
        <f>IFERROR(__xludf.DUMMYFUNCTION("""COMPUTED_VALUE"""),0.0)</f>
        <v>0</v>
      </c>
      <c r="H442" s="223">
        <f>IFERROR(__xludf.DUMMYFUNCTION("""COMPUTED_VALUE"""),500.0)</f>
        <v>500</v>
      </c>
      <c r="I442" s="298"/>
      <c r="J442" s="223" t="str">
        <f>IFERROR(__xludf.DUMMYFUNCTION("""COMPUTED_VALUE"""),"Monthly")</f>
        <v>Monthly</v>
      </c>
      <c r="K442" s="317">
        <f>IFERROR(__xludf.DUMMYFUNCTION("""COMPUTED_VALUE"""),2022.07)</f>
        <v>2022.07</v>
      </c>
      <c r="L442" s="298"/>
      <c r="M442" s="223"/>
      <c r="N442" s="223"/>
      <c r="O442" s="223"/>
      <c r="P442" s="223"/>
      <c r="Q442" s="223"/>
      <c r="R442" s="223"/>
      <c r="S442" s="223"/>
      <c r="T442" s="223"/>
      <c r="U442" s="223"/>
      <c r="V442" s="223"/>
      <c r="W442" s="223"/>
      <c r="X442" s="223"/>
      <c r="Y442" s="223"/>
      <c r="Z442" s="223"/>
    </row>
    <row r="443">
      <c r="A443" s="223" t="str">
        <f>IFERROR(__xludf.DUMMYFUNCTION("""COMPUTED_VALUE"""),"Canyon's Construction : Enhanced Hosting &amp; WordPress Support")</f>
        <v>Canyon's Construction : Enhanced Hosting &amp; WordPress Support</v>
      </c>
      <c r="B443" s="223" t="str">
        <f>IFERROR(__xludf.DUMMYFUNCTION("""COMPUTED_VALUE"""),"Canyon's Construction")</f>
        <v>Canyon's Construction</v>
      </c>
      <c r="C443" s="223" t="str">
        <f>IFERROR(__xludf.DUMMYFUNCTION("""COMPUTED_VALUE"""),"Enhanced Hosting &amp; WordPress Support")</f>
        <v>Enhanced Hosting &amp; WordPress Support</v>
      </c>
      <c r="D443" s="316">
        <f>IFERROR(__xludf.DUMMYFUNCTION("""COMPUTED_VALUE"""),44757.0)</f>
        <v>44757</v>
      </c>
      <c r="E443" s="298">
        <f>IFERROR(__xludf.DUMMYFUNCTION("""COMPUTED_VALUE"""),352.23803999999996)</f>
        <v>352.23804</v>
      </c>
      <c r="F443" s="298">
        <f>IFERROR(__xludf.DUMMYFUNCTION("""COMPUTED_VALUE"""),13.410205379999999)</f>
        <v>13.41020538</v>
      </c>
      <c r="G443" s="298">
        <f>IFERROR(__xludf.DUMMYFUNCTION("""COMPUTED_VALUE"""),67.765566924)</f>
        <v>67.76556692</v>
      </c>
      <c r="H443" s="223">
        <f>IFERROR(__xludf.DUMMYFUNCTION("""COMPUTED_VALUE"""),271.062267696)</f>
        <v>271.0622677</v>
      </c>
      <c r="I443" s="298"/>
      <c r="J443" s="223" t="str">
        <f>IFERROR(__xludf.DUMMYFUNCTION("""COMPUTED_VALUE"""),"Monthly")</f>
        <v>Monthly</v>
      </c>
      <c r="K443" s="317">
        <f>IFERROR(__xludf.DUMMYFUNCTION("""COMPUTED_VALUE"""),2022.07)</f>
        <v>2022.07</v>
      </c>
      <c r="L443" s="298"/>
      <c r="M443" s="223"/>
      <c r="N443" s="223"/>
      <c r="O443" s="223"/>
      <c r="P443" s="223"/>
      <c r="Q443" s="223"/>
      <c r="R443" s="223"/>
      <c r="S443" s="223"/>
      <c r="T443" s="223"/>
      <c r="U443" s="223"/>
      <c r="V443" s="223"/>
      <c r="W443" s="223"/>
      <c r="X443" s="223"/>
      <c r="Y443" s="223"/>
      <c r="Z443" s="223"/>
    </row>
    <row r="444">
      <c r="A444" s="223" t="str">
        <f>IFERROR(__xludf.DUMMYFUNCTION("""COMPUTED_VALUE"""),"ASASoft : Other Projects")</f>
        <v>ASASoft : Other Projects</v>
      </c>
      <c r="B444" s="223" t="str">
        <f>IFERROR(__xludf.DUMMYFUNCTION("""COMPUTED_VALUE"""),"ASASoft")</f>
        <v>ASASoft</v>
      </c>
      <c r="C444" s="223" t="str">
        <f>IFERROR(__xludf.DUMMYFUNCTION("""COMPUTED_VALUE"""),"Other Projects")</f>
        <v>Other Projects</v>
      </c>
      <c r="D444" s="316">
        <f>IFERROR(__xludf.DUMMYFUNCTION("""COMPUTED_VALUE"""),44757.0)</f>
        <v>44757</v>
      </c>
      <c r="E444" s="298">
        <f>IFERROR(__xludf.DUMMYFUNCTION("""COMPUTED_VALUE"""),560.0)</f>
        <v>560</v>
      </c>
      <c r="F444" s="298">
        <f>IFERROR(__xludf.DUMMYFUNCTION("""COMPUTED_VALUE"""),17.42)</f>
        <v>17.42</v>
      </c>
      <c r="G444" s="298">
        <f>IFERROR(__xludf.DUMMYFUNCTION("""COMPUTED_VALUE"""),0.0)</f>
        <v>0</v>
      </c>
      <c r="H444" s="223">
        <f>IFERROR(__xludf.DUMMYFUNCTION("""COMPUTED_VALUE"""),542.58)</f>
        <v>542.58</v>
      </c>
      <c r="I444" s="298"/>
      <c r="J444" s="223" t="str">
        <f>IFERROR(__xludf.DUMMYFUNCTION("""COMPUTED_VALUE"""),"One-Time Prepaid")</f>
        <v>One-Time Prepaid</v>
      </c>
      <c r="K444" s="317">
        <f>IFERROR(__xludf.DUMMYFUNCTION("""COMPUTED_VALUE"""),2022.0)</f>
        <v>2022</v>
      </c>
      <c r="L444" s="298"/>
      <c r="M444" s="223"/>
      <c r="N444" s="223"/>
      <c r="O444" s="223"/>
      <c r="P444" s="223"/>
      <c r="Q444" s="223"/>
      <c r="R444" s="223"/>
      <c r="S444" s="223"/>
      <c r="T444" s="223"/>
      <c r="U444" s="223"/>
      <c r="V444" s="223"/>
      <c r="W444" s="223"/>
      <c r="X444" s="223"/>
      <c r="Y444" s="223"/>
      <c r="Z444" s="223"/>
    </row>
    <row r="445">
      <c r="A445" s="223" t="str">
        <f>IFERROR(__xludf.DUMMYFUNCTION("""COMPUTED_VALUE"""),"Anavara : Other Projects")</f>
        <v>Anavara : Other Projects</v>
      </c>
      <c r="B445" s="223" t="str">
        <f>IFERROR(__xludf.DUMMYFUNCTION("""COMPUTED_VALUE"""),"Anavara")</f>
        <v>Anavara</v>
      </c>
      <c r="C445" s="223" t="str">
        <f>IFERROR(__xludf.DUMMYFUNCTION("""COMPUTED_VALUE"""),"Other Projects")</f>
        <v>Other Projects</v>
      </c>
      <c r="D445" s="316">
        <f>IFERROR(__xludf.DUMMYFUNCTION("""COMPUTED_VALUE"""),44771.0)</f>
        <v>44771</v>
      </c>
      <c r="E445" s="298">
        <f>IFERROR(__xludf.DUMMYFUNCTION("""COMPUTED_VALUE"""),900.0)</f>
        <v>900</v>
      </c>
      <c r="F445" s="298">
        <f>IFERROR(__xludf.DUMMYFUNCTION("""COMPUTED_VALUE"""),28.0)</f>
        <v>28</v>
      </c>
      <c r="G445" s="298">
        <f>IFERROR(__xludf.DUMMYFUNCTION("""COMPUTED_VALUE"""),0.0)</f>
        <v>0</v>
      </c>
      <c r="H445" s="223">
        <f>IFERROR(__xludf.DUMMYFUNCTION("""COMPUTED_VALUE"""),872.0)</f>
        <v>872</v>
      </c>
      <c r="I445" s="298"/>
      <c r="J445" s="223" t="str">
        <f>IFERROR(__xludf.DUMMYFUNCTION("""COMPUTED_VALUE"""),"One-Time")</f>
        <v>One-Time</v>
      </c>
      <c r="K445" s="317">
        <f>IFERROR(__xludf.DUMMYFUNCTION("""COMPUTED_VALUE"""),2022.0)</f>
        <v>2022</v>
      </c>
      <c r="L445" s="298"/>
      <c r="M445" s="223"/>
      <c r="N445" s="223"/>
      <c r="O445" s="223"/>
      <c r="P445" s="223"/>
      <c r="Q445" s="223"/>
      <c r="R445" s="223"/>
      <c r="S445" s="223"/>
      <c r="T445" s="223"/>
      <c r="U445" s="223"/>
      <c r="V445" s="223"/>
      <c r="W445" s="223"/>
      <c r="X445" s="223"/>
      <c r="Y445" s="223"/>
      <c r="Z445" s="223"/>
    </row>
    <row r="446">
      <c r="A446" s="223" t="str">
        <f>IFERROR(__xludf.DUMMYFUNCTION("""COMPUTED_VALUE"""),"Loud+Clear : Hourly Work")</f>
        <v>Loud+Clear : Hourly Work</v>
      </c>
      <c r="B446" s="223" t="str">
        <f>IFERROR(__xludf.DUMMYFUNCTION("""COMPUTED_VALUE"""),"Loud+Clear")</f>
        <v>Loud+Clear</v>
      </c>
      <c r="C446" s="223" t="str">
        <f>IFERROR(__xludf.DUMMYFUNCTION("""COMPUTED_VALUE"""),"Hourly Work")</f>
        <v>Hourly Work</v>
      </c>
      <c r="D446" s="316">
        <f>IFERROR(__xludf.DUMMYFUNCTION("""COMPUTED_VALUE"""),44771.0)</f>
        <v>44771</v>
      </c>
      <c r="E446" s="298">
        <f>IFERROR(__xludf.DUMMYFUNCTION("""COMPUTED_VALUE"""),1182.5)</f>
        <v>1182.5</v>
      </c>
      <c r="F446" s="298">
        <f>IFERROR(__xludf.DUMMYFUNCTION("""COMPUTED_VALUE"""),39.59)</f>
        <v>39.59</v>
      </c>
      <c r="G446" s="298">
        <f>IFERROR(__xludf.DUMMYFUNCTION("""COMPUTED_VALUE"""),0.0)</f>
        <v>0</v>
      </c>
      <c r="H446" s="223">
        <f>IFERROR(__xludf.DUMMYFUNCTION("""COMPUTED_VALUE"""),1142.91)</f>
        <v>1142.91</v>
      </c>
      <c r="I446" s="298"/>
      <c r="J446" s="223" t="str">
        <f>IFERROR(__xludf.DUMMYFUNCTION("""COMPUTED_VALUE"""),"One-Time")</f>
        <v>One-Time</v>
      </c>
      <c r="K446" s="317">
        <f>IFERROR(__xludf.DUMMYFUNCTION("""COMPUTED_VALUE"""),2022.0)</f>
        <v>2022</v>
      </c>
      <c r="L446" s="298"/>
      <c r="M446" s="223"/>
      <c r="N446" s="223"/>
      <c r="O446" s="223"/>
      <c r="P446" s="223"/>
      <c r="Q446" s="223"/>
      <c r="R446" s="223"/>
      <c r="S446" s="223"/>
      <c r="T446" s="223"/>
      <c r="U446" s="223"/>
      <c r="V446" s="223"/>
      <c r="W446" s="223"/>
      <c r="X446" s="223"/>
      <c r="Y446" s="223"/>
      <c r="Z446" s="223"/>
    </row>
    <row r="447">
      <c r="A447" s="223" t="str">
        <f>IFERROR(__xludf.DUMMYFUNCTION("""COMPUTED_VALUE"""),"Anavara : PPC Work")</f>
        <v>Anavara : PPC Work</v>
      </c>
      <c r="B447" s="223" t="str">
        <f>IFERROR(__xludf.DUMMYFUNCTION("""COMPUTED_VALUE"""),"Anavara")</f>
        <v>Anavara</v>
      </c>
      <c r="C447" s="223" t="str">
        <f>IFERROR(__xludf.DUMMYFUNCTION("""COMPUTED_VALUE"""),"PPC Work")</f>
        <v>PPC Work</v>
      </c>
      <c r="D447" s="316">
        <f>IFERROR(__xludf.DUMMYFUNCTION("""COMPUTED_VALUE"""),44788.0)</f>
        <v>44788</v>
      </c>
      <c r="E447" s="298">
        <f>IFERROR(__xludf.DUMMYFUNCTION("""COMPUTED_VALUE"""),1300.0)</f>
        <v>1300</v>
      </c>
      <c r="F447" s="298">
        <f>IFERROR(__xludf.DUMMYFUNCTION("""COMPUTED_VALUE"""),40.44)</f>
        <v>40.44</v>
      </c>
      <c r="G447" s="298">
        <f>IFERROR(__xludf.DUMMYFUNCTION("""COMPUTED_VALUE"""),0.0)</f>
        <v>0</v>
      </c>
      <c r="H447" s="223">
        <f>IFERROR(__xludf.DUMMYFUNCTION("""COMPUTED_VALUE"""),1259.56)</f>
        <v>1259.56</v>
      </c>
      <c r="I447" s="298"/>
      <c r="J447" s="223" t="str">
        <f>IFERROR(__xludf.DUMMYFUNCTION("""COMPUTED_VALUE"""),"One-Time")</f>
        <v>One-Time</v>
      </c>
      <c r="K447" s="317">
        <f>IFERROR(__xludf.DUMMYFUNCTION("""COMPUTED_VALUE"""),2022.08)</f>
        <v>2022.08</v>
      </c>
      <c r="L447" s="298"/>
      <c r="M447" s="223"/>
      <c r="N447" s="223"/>
      <c r="O447" s="223"/>
      <c r="P447" s="223"/>
      <c r="Q447" s="223"/>
      <c r="R447" s="223"/>
      <c r="S447" s="223"/>
      <c r="T447" s="223"/>
      <c r="U447" s="223"/>
      <c r="V447" s="223"/>
      <c r="W447" s="223"/>
      <c r="X447" s="223"/>
      <c r="Y447" s="223"/>
      <c r="Z447" s="223"/>
    </row>
    <row r="448">
      <c r="A448" s="223" t="str">
        <f>IFERROR(__xludf.DUMMYFUNCTION("""COMPUTED_VALUE"""),"Bevridge : Graphic Work")</f>
        <v>Bevridge : Graphic Work</v>
      </c>
      <c r="B448" s="223" t="str">
        <f>IFERROR(__xludf.DUMMYFUNCTION("""COMPUTED_VALUE"""),"Bevridge")</f>
        <v>Bevridge</v>
      </c>
      <c r="C448" s="223" t="str">
        <f>IFERROR(__xludf.DUMMYFUNCTION("""COMPUTED_VALUE"""),"Graphic Work")</f>
        <v>Graphic Work</v>
      </c>
      <c r="D448" s="316">
        <f>IFERROR(__xludf.DUMMYFUNCTION("""COMPUTED_VALUE"""),44771.0)</f>
        <v>44771</v>
      </c>
      <c r="E448" s="298">
        <f>IFERROR(__xludf.DUMMYFUNCTION("""COMPUTED_VALUE"""),702.340000002)</f>
        <v>702.34</v>
      </c>
      <c r="F448" s="298">
        <f>IFERROR(__xludf.DUMMYFUNCTION("""COMPUTED_VALUE"""),0.0)</f>
        <v>0</v>
      </c>
      <c r="G448" s="298">
        <f>IFERROR(__xludf.DUMMYFUNCTION("""COMPUTED_VALUE"""),0.0)</f>
        <v>0</v>
      </c>
      <c r="H448" s="223">
        <f>IFERROR(__xludf.DUMMYFUNCTION("""COMPUTED_VALUE"""),702.340000002)</f>
        <v>702.34</v>
      </c>
      <c r="I448" s="298"/>
      <c r="J448" s="223" t="str">
        <f>IFERROR(__xludf.DUMMYFUNCTION("""COMPUTED_VALUE"""),"One-Time")</f>
        <v>One-Time</v>
      </c>
      <c r="K448" s="317">
        <f>IFERROR(__xludf.DUMMYFUNCTION("""COMPUTED_VALUE"""),2022.0)</f>
        <v>2022</v>
      </c>
      <c r="L448" s="298"/>
      <c r="M448" s="223"/>
      <c r="N448" s="223"/>
      <c r="O448" s="223"/>
      <c r="P448" s="223"/>
      <c r="Q448" s="223"/>
      <c r="R448" s="223"/>
      <c r="S448" s="223"/>
      <c r="T448" s="223"/>
      <c r="U448" s="223"/>
      <c r="V448" s="223"/>
      <c r="W448" s="223"/>
      <c r="X448" s="223"/>
      <c r="Y448" s="223"/>
      <c r="Z448" s="223"/>
    </row>
    <row r="449">
      <c r="A449" s="223" t="str">
        <f>IFERROR(__xludf.DUMMYFUNCTION("""COMPUTED_VALUE"""),"Anook Athletics : Monthly Services")</f>
        <v>Anook Athletics : Monthly Services</v>
      </c>
      <c r="B449" s="223" t="str">
        <f>IFERROR(__xludf.DUMMYFUNCTION("""COMPUTED_VALUE"""),"Anook Athletics")</f>
        <v>Anook Athletics</v>
      </c>
      <c r="C449" s="223" t="str">
        <f>IFERROR(__xludf.DUMMYFUNCTION("""COMPUTED_VALUE"""),"Monthly Services")</f>
        <v>Monthly Services</v>
      </c>
      <c r="D449" s="316">
        <f>IFERROR(__xludf.DUMMYFUNCTION("""COMPUTED_VALUE"""),44771.0)</f>
        <v>44771</v>
      </c>
      <c r="E449" s="298">
        <f>IFERROR(__xludf.DUMMYFUNCTION("""COMPUTED_VALUE"""),800.0)</f>
        <v>800</v>
      </c>
      <c r="F449" s="298">
        <f>IFERROR(__xludf.DUMMYFUNCTION("""COMPUTED_VALUE"""),24.89)</f>
        <v>24.89</v>
      </c>
      <c r="G449" s="298">
        <f>IFERROR(__xludf.DUMMYFUNCTION("""COMPUTED_VALUE"""),0.0)</f>
        <v>0</v>
      </c>
      <c r="H449" s="223">
        <f>IFERROR(__xludf.DUMMYFUNCTION("""COMPUTED_VALUE"""),775.11)</f>
        <v>775.11</v>
      </c>
      <c r="I449" s="298"/>
      <c r="J449" s="223" t="str">
        <f>IFERROR(__xludf.DUMMYFUNCTION("""COMPUTED_VALUE"""),"Monthly")</f>
        <v>Monthly</v>
      </c>
      <c r="K449" s="317">
        <f>IFERROR(__xludf.DUMMYFUNCTION("""COMPUTED_VALUE"""),2022.07)</f>
        <v>2022.07</v>
      </c>
      <c r="L449" s="298"/>
      <c r="M449" s="223"/>
      <c r="N449" s="223"/>
      <c r="O449" s="223"/>
      <c r="P449" s="223"/>
      <c r="Q449" s="223"/>
      <c r="R449" s="223"/>
      <c r="S449" s="223"/>
      <c r="T449" s="223"/>
      <c r="U449" s="223"/>
      <c r="V449" s="223"/>
      <c r="W449" s="223"/>
      <c r="X449" s="223"/>
      <c r="Y449" s="223"/>
      <c r="Z449" s="223"/>
    </row>
    <row r="450">
      <c r="A450" s="223" t="str">
        <f>IFERROR(__xludf.DUMMYFUNCTION("""COMPUTED_VALUE"""),"Availed Technologies : Monthly Services")</f>
        <v>Availed Technologies : Monthly Services</v>
      </c>
      <c r="B450" s="223" t="str">
        <f>IFERROR(__xludf.DUMMYFUNCTION("""COMPUTED_VALUE"""),"Availed Technologies")</f>
        <v>Availed Technologies</v>
      </c>
      <c r="C450" s="223" t="str">
        <f>IFERROR(__xludf.DUMMYFUNCTION("""COMPUTED_VALUE"""),"Monthly Services")</f>
        <v>Monthly Services</v>
      </c>
      <c r="D450" s="316">
        <f>IFERROR(__xludf.DUMMYFUNCTION("""COMPUTED_VALUE"""),44771.0)</f>
        <v>44771</v>
      </c>
      <c r="E450" s="298">
        <f>IFERROR(__xludf.DUMMYFUNCTION("""COMPUTED_VALUE"""),750.0)</f>
        <v>750</v>
      </c>
      <c r="F450" s="298">
        <f>IFERROR(__xludf.DUMMYFUNCTION("""COMPUTED_VALUE"""),23.33)</f>
        <v>23.33</v>
      </c>
      <c r="G450" s="298">
        <f>IFERROR(__xludf.DUMMYFUNCTION("""COMPUTED_VALUE"""),0.0)</f>
        <v>0</v>
      </c>
      <c r="H450" s="223">
        <f>IFERROR(__xludf.DUMMYFUNCTION("""COMPUTED_VALUE"""),726.67)</f>
        <v>726.67</v>
      </c>
      <c r="I450" s="298"/>
      <c r="J450" s="223" t="str">
        <f>IFERROR(__xludf.DUMMYFUNCTION("""COMPUTED_VALUE"""),"Monthly")</f>
        <v>Monthly</v>
      </c>
      <c r="K450" s="317">
        <f>IFERROR(__xludf.DUMMYFUNCTION("""COMPUTED_VALUE"""),2022.07)</f>
        <v>2022.07</v>
      </c>
      <c r="L450" s="298"/>
      <c r="M450" s="223"/>
      <c r="N450" s="223"/>
      <c r="O450" s="223"/>
      <c r="P450" s="223"/>
      <c r="Q450" s="223"/>
      <c r="R450" s="223"/>
      <c r="S450" s="223"/>
      <c r="T450" s="223"/>
      <c r="U450" s="223"/>
      <c r="V450" s="223"/>
      <c r="W450" s="223"/>
      <c r="X450" s="223"/>
      <c r="Y450" s="223"/>
      <c r="Z450" s="223"/>
    </row>
    <row r="451">
      <c r="A451" s="223" t="str">
        <f>IFERROR(__xludf.DUMMYFUNCTION("""COMPUTED_VALUE"""),"BookKing (Pacific Tier) : Monthly Services")</f>
        <v>BookKing (Pacific Tier) : Monthly Services</v>
      </c>
      <c r="B451" s="223" t="str">
        <f>IFERROR(__xludf.DUMMYFUNCTION("""COMPUTED_VALUE"""),"BookKing (Pacific Tier)")</f>
        <v>BookKing (Pacific Tier)</v>
      </c>
      <c r="C451" s="223" t="str">
        <f>IFERROR(__xludf.DUMMYFUNCTION("""COMPUTED_VALUE"""),"Monthly Services")</f>
        <v>Monthly Services</v>
      </c>
      <c r="D451" s="316">
        <f>IFERROR(__xludf.DUMMYFUNCTION("""COMPUTED_VALUE"""),44771.0)</f>
        <v>44771</v>
      </c>
      <c r="E451" s="298">
        <f>IFERROR(__xludf.DUMMYFUNCTION("""COMPUTED_VALUE"""),900.0)</f>
        <v>900</v>
      </c>
      <c r="F451" s="298">
        <f>IFERROR(__xludf.DUMMYFUNCTION("""COMPUTED_VALUE"""),0.0)</f>
        <v>0</v>
      </c>
      <c r="G451" s="298">
        <f>IFERROR(__xludf.DUMMYFUNCTION("""COMPUTED_VALUE"""),0.0)</f>
        <v>0</v>
      </c>
      <c r="H451" s="223">
        <f>IFERROR(__xludf.DUMMYFUNCTION("""COMPUTED_VALUE"""),900.0)</f>
        <v>900</v>
      </c>
      <c r="I451" s="298"/>
      <c r="J451" s="223" t="str">
        <f>IFERROR(__xludf.DUMMYFUNCTION("""COMPUTED_VALUE"""),"Monthly")</f>
        <v>Monthly</v>
      </c>
      <c r="K451" s="317">
        <f>IFERROR(__xludf.DUMMYFUNCTION("""COMPUTED_VALUE"""),2022.07)</f>
        <v>2022.07</v>
      </c>
      <c r="L451" s="298"/>
      <c r="M451" s="223"/>
      <c r="N451" s="223"/>
      <c r="O451" s="223"/>
      <c r="P451" s="223"/>
      <c r="Q451" s="223"/>
      <c r="R451" s="223"/>
      <c r="S451" s="223"/>
      <c r="T451" s="223"/>
      <c r="U451" s="223"/>
      <c r="V451" s="223"/>
      <c r="W451" s="223"/>
      <c r="X451" s="223"/>
      <c r="Y451" s="223"/>
      <c r="Z451" s="223"/>
    </row>
    <row r="452">
      <c r="A452" s="223" t="str">
        <f>IFERROR(__xludf.DUMMYFUNCTION("""COMPUTED_VALUE"""),"Bratopia : Monthly Services")</f>
        <v>Bratopia : Monthly Services</v>
      </c>
      <c r="B452" s="223" t="str">
        <f>IFERROR(__xludf.DUMMYFUNCTION("""COMPUTED_VALUE"""),"Bratopia")</f>
        <v>Bratopia</v>
      </c>
      <c r="C452" s="223" t="str">
        <f>IFERROR(__xludf.DUMMYFUNCTION("""COMPUTED_VALUE"""),"Monthly Services")</f>
        <v>Monthly Services</v>
      </c>
      <c r="D452" s="316">
        <f>IFERROR(__xludf.DUMMYFUNCTION("""COMPUTED_VALUE"""),44771.0)</f>
        <v>44771</v>
      </c>
      <c r="E452" s="298">
        <f>IFERROR(__xludf.DUMMYFUNCTION("""COMPUTED_VALUE"""),1550.0)</f>
        <v>1550</v>
      </c>
      <c r="F452" s="298">
        <f>IFERROR(__xludf.DUMMYFUNCTION("""COMPUTED_VALUE"""),48.22)</f>
        <v>48.22</v>
      </c>
      <c r="G452" s="298">
        <f>IFERROR(__xludf.DUMMYFUNCTION("""COMPUTED_VALUE"""),0.0)</f>
        <v>0</v>
      </c>
      <c r="H452" s="223">
        <f>IFERROR(__xludf.DUMMYFUNCTION("""COMPUTED_VALUE"""),1501.78)</f>
        <v>1501.78</v>
      </c>
      <c r="I452" s="298"/>
      <c r="J452" s="223" t="str">
        <f>IFERROR(__xludf.DUMMYFUNCTION("""COMPUTED_VALUE"""),"Monthly")</f>
        <v>Monthly</v>
      </c>
      <c r="K452" s="317">
        <f>IFERROR(__xludf.DUMMYFUNCTION("""COMPUTED_VALUE"""),2022.07)</f>
        <v>2022.07</v>
      </c>
      <c r="L452" s="298"/>
      <c r="M452" s="223"/>
      <c r="N452" s="223"/>
      <c r="O452" s="223"/>
      <c r="P452" s="223"/>
      <c r="Q452" s="223"/>
      <c r="R452" s="223"/>
      <c r="S452" s="223"/>
      <c r="T452" s="223"/>
      <c r="U452" s="223"/>
      <c r="V452" s="223"/>
      <c r="W452" s="223"/>
      <c r="X452" s="223"/>
      <c r="Y452" s="223"/>
      <c r="Z452" s="223"/>
    </row>
    <row r="453">
      <c r="A453" s="223" t="str">
        <f>IFERROR(__xludf.DUMMYFUNCTION("""COMPUTED_VALUE"""),"Diversified Health : Monthly Services")</f>
        <v>Diversified Health : Monthly Services</v>
      </c>
      <c r="B453" s="223" t="str">
        <f>IFERROR(__xludf.DUMMYFUNCTION("""COMPUTED_VALUE"""),"Diversified Health")</f>
        <v>Diversified Health</v>
      </c>
      <c r="C453" s="223" t="str">
        <f>IFERROR(__xludf.DUMMYFUNCTION("""COMPUTED_VALUE"""),"Monthly Services")</f>
        <v>Monthly Services</v>
      </c>
      <c r="D453" s="316">
        <f>IFERROR(__xludf.DUMMYFUNCTION("""COMPUTED_VALUE"""),44771.0)</f>
        <v>44771</v>
      </c>
      <c r="E453" s="298">
        <f>IFERROR(__xludf.DUMMYFUNCTION("""COMPUTED_VALUE"""),1000.0)</f>
        <v>1000</v>
      </c>
      <c r="F453" s="298">
        <f>IFERROR(__xludf.DUMMYFUNCTION("""COMPUTED_VALUE"""),0.0)</f>
        <v>0</v>
      </c>
      <c r="G453" s="298">
        <f>IFERROR(__xludf.DUMMYFUNCTION("""COMPUTED_VALUE"""),0.0)</f>
        <v>0</v>
      </c>
      <c r="H453" s="223">
        <f>IFERROR(__xludf.DUMMYFUNCTION("""COMPUTED_VALUE"""),1000.0)</f>
        <v>1000</v>
      </c>
      <c r="I453" s="298"/>
      <c r="J453" s="223" t="str">
        <f>IFERROR(__xludf.DUMMYFUNCTION("""COMPUTED_VALUE"""),"Monthly")</f>
        <v>Monthly</v>
      </c>
      <c r="K453" s="317">
        <f>IFERROR(__xludf.DUMMYFUNCTION("""COMPUTED_VALUE"""),2022.07)</f>
        <v>2022.07</v>
      </c>
      <c r="L453" s="298"/>
      <c r="M453" s="223"/>
      <c r="N453" s="223"/>
      <c r="O453" s="223"/>
      <c r="P453" s="223"/>
      <c r="Q453" s="223"/>
      <c r="R453" s="223"/>
      <c r="S453" s="223"/>
      <c r="T453" s="223"/>
      <c r="U453" s="223"/>
      <c r="V453" s="223"/>
      <c r="W453" s="223"/>
      <c r="X453" s="223"/>
      <c r="Y453" s="223"/>
      <c r="Z453" s="223"/>
    </row>
    <row r="454">
      <c r="A454" s="223" t="str">
        <f>IFERROR(__xludf.DUMMYFUNCTION("""COMPUTED_VALUE"""),"Giga Tires : Monthly Services")</f>
        <v>Giga Tires : Monthly Services</v>
      </c>
      <c r="B454" s="223" t="str">
        <f>IFERROR(__xludf.DUMMYFUNCTION("""COMPUTED_VALUE"""),"Giga Tires")</f>
        <v>Giga Tires</v>
      </c>
      <c r="C454" s="223" t="str">
        <f>IFERROR(__xludf.DUMMYFUNCTION("""COMPUTED_VALUE"""),"Monthly Services")</f>
        <v>Monthly Services</v>
      </c>
      <c r="D454" s="316">
        <f>IFERROR(__xludf.DUMMYFUNCTION("""COMPUTED_VALUE"""),44771.0)</f>
        <v>44771</v>
      </c>
      <c r="E454" s="298">
        <f>IFERROR(__xludf.DUMMYFUNCTION("""COMPUTED_VALUE"""),412.5)</f>
        <v>412.5</v>
      </c>
      <c r="F454" s="298">
        <f>IFERROR(__xludf.DUMMYFUNCTION("""COMPUTED_VALUE"""),16.33)</f>
        <v>16.33</v>
      </c>
      <c r="G454" s="298">
        <f>IFERROR(__xludf.DUMMYFUNCTION("""COMPUTED_VALUE"""),0.0)</f>
        <v>0</v>
      </c>
      <c r="H454" s="223">
        <f>IFERROR(__xludf.DUMMYFUNCTION("""COMPUTED_VALUE"""),396.17)</f>
        <v>396.17</v>
      </c>
      <c r="I454" s="298"/>
      <c r="J454" s="223" t="str">
        <f>IFERROR(__xludf.DUMMYFUNCTION("""COMPUTED_VALUE"""),"Monthly")</f>
        <v>Monthly</v>
      </c>
      <c r="K454" s="317">
        <f>IFERROR(__xludf.DUMMYFUNCTION("""COMPUTED_VALUE"""),2022.07)</f>
        <v>2022.07</v>
      </c>
      <c r="L454" s="298"/>
      <c r="M454" s="223"/>
      <c r="N454" s="223"/>
      <c r="O454" s="223"/>
      <c r="P454" s="223"/>
      <c r="Q454" s="223"/>
      <c r="R454" s="223"/>
      <c r="S454" s="223"/>
      <c r="T454" s="223"/>
      <c r="U454" s="223"/>
      <c r="V454" s="223"/>
      <c r="W454" s="223"/>
      <c r="X454" s="223"/>
      <c r="Y454" s="223"/>
      <c r="Z454" s="223"/>
    </row>
    <row r="455">
      <c r="A455" s="223" t="str">
        <f>IFERROR(__xludf.DUMMYFUNCTION("""COMPUTED_VALUE"""),"Hastings House : Monthly Services")</f>
        <v>Hastings House : Monthly Services</v>
      </c>
      <c r="B455" s="223" t="str">
        <f>IFERROR(__xludf.DUMMYFUNCTION("""COMPUTED_VALUE"""),"Hastings House")</f>
        <v>Hastings House</v>
      </c>
      <c r="C455" s="223" t="str">
        <f>IFERROR(__xludf.DUMMYFUNCTION("""COMPUTED_VALUE"""),"Monthly Services")</f>
        <v>Monthly Services</v>
      </c>
      <c r="D455" s="316">
        <f>IFERROR(__xludf.DUMMYFUNCTION("""COMPUTED_VALUE"""),44771.0)</f>
        <v>44771</v>
      </c>
      <c r="E455" s="298">
        <f>IFERROR(__xludf.DUMMYFUNCTION("""COMPUTED_VALUE"""),1500.0)</f>
        <v>1500</v>
      </c>
      <c r="F455" s="298">
        <f>IFERROR(__xludf.DUMMYFUNCTION("""COMPUTED_VALUE"""),46.67)</f>
        <v>46.67</v>
      </c>
      <c r="G455" s="298">
        <f>IFERROR(__xludf.DUMMYFUNCTION("""COMPUTED_VALUE"""),217.99949999999998)</f>
        <v>217.9995</v>
      </c>
      <c r="H455" s="223">
        <f>IFERROR(__xludf.DUMMYFUNCTION("""COMPUTED_VALUE"""),1235.3305)</f>
        <v>1235.3305</v>
      </c>
      <c r="I455" s="298"/>
      <c r="J455" s="223" t="str">
        <f>IFERROR(__xludf.DUMMYFUNCTION("""COMPUTED_VALUE"""),"Monthly")</f>
        <v>Monthly</v>
      </c>
      <c r="K455" s="317">
        <f>IFERROR(__xludf.DUMMYFUNCTION("""COMPUTED_VALUE"""),2022.07)</f>
        <v>2022.07</v>
      </c>
      <c r="L455" s="298"/>
      <c r="M455" s="223"/>
      <c r="N455" s="223"/>
      <c r="O455" s="223"/>
      <c r="P455" s="223"/>
      <c r="Q455" s="223"/>
      <c r="R455" s="223"/>
      <c r="S455" s="223"/>
      <c r="T455" s="223"/>
      <c r="U455" s="223"/>
      <c r="V455" s="223"/>
      <c r="W455" s="223"/>
      <c r="X455" s="223"/>
      <c r="Y455" s="223"/>
      <c r="Z455" s="223"/>
    </row>
    <row r="456">
      <c r="A456" s="223" t="str">
        <f>IFERROR(__xludf.DUMMYFUNCTION("""COMPUTED_VALUE"""),"HSJ Lawyers : Monthly Services")</f>
        <v>HSJ Lawyers : Monthly Services</v>
      </c>
      <c r="B456" s="223" t="str">
        <f>IFERROR(__xludf.DUMMYFUNCTION("""COMPUTED_VALUE"""),"HSJ Lawyers")</f>
        <v>HSJ Lawyers</v>
      </c>
      <c r="C456" s="223" t="str">
        <f>IFERROR(__xludf.DUMMYFUNCTION("""COMPUTED_VALUE"""),"Monthly Services")</f>
        <v>Monthly Services</v>
      </c>
      <c r="D456" s="316">
        <f>IFERROR(__xludf.DUMMYFUNCTION("""COMPUTED_VALUE"""),44771.0)</f>
        <v>44771</v>
      </c>
      <c r="E456" s="298">
        <f>IFERROR(__xludf.DUMMYFUNCTION("""COMPUTED_VALUE"""),800.0)</f>
        <v>800</v>
      </c>
      <c r="F456" s="298">
        <f>IFERROR(__xludf.DUMMYFUNCTION("""COMPUTED_VALUE"""),0.0)</f>
        <v>0</v>
      </c>
      <c r="G456" s="298">
        <f>IFERROR(__xludf.DUMMYFUNCTION("""COMPUTED_VALUE"""),0.0)</f>
        <v>0</v>
      </c>
      <c r="H456" s="223">
        <f>IFERROR(__xludf.DUMMYFUNCTION("""COMPUTED_VALUE"""),800.0)</f>
        <v>800</v>
      </c>
      <c r="I456" s="298"/>
      <c r="J456" s="223" t="str">
        <f>IFERROR(__xludf.DUMMYFUNCTION("""COMPUTED_VALUE"""),"Monthly")</f>
        <v>Monthly</v>
      </c>
      <c r="K456" s="317">
        <f>IFERROR(__xludf.DUMMYFUNCTION("""COMPUTED_VALUE"""),2022.07)</f>
        <v>2022.07</v>
      </c>
      <c r="L456" s="298"/>
      <c r="M456" s="223"/>
      <c r="N456" s="223"/>
      <c r="O456" s="223"/>
      <c r="P456" s="223"/>
      <c r="Q456" s="223"/>
      <c r="R456" s="223"/>
      <c r="S456" s="223"/>
      <c r="T456" s="223"/>
      <c r="U456" s="223"/>
      <c r="V456" s="223"/>
      <c r="W456" s="223"/>
      <c r="X456" s="223"/>
      <c r="Y456" s="223"/>
      <c r="Z456" s="223"/>
    </row>
    <row r="457">
      <c r="A457" s="223" t="str">
        <f>IFERROR(__xludf.DUMMYFUNCTION("""COMPUTED_VALUE"""),"MortgagePal : Monthly Services")</f>
        <v>MortgagePal : Monthly Services</v>
      </c>
      <c r="B457" s="223" t="str">
        <f>IFERROR(__xludf.DUMMYFUNCTION("""COMPUTED_VALUE"""),"MortgagePal")</f>
        <v>MortgagePal</v>
      </c>
      <c r="C457" s="223" t="str">
        <f>IFERROR(__xludf.DUMMYFUNCTION("""COMPUTED_VALUE"""),"Monthly Services")</f>
        <v>Monthly Services</v>
      </c>
      <c r="D457" s="316">
        <f>IFERROR(__xludf.DUMMYFUNCTION("""COMPUTED_VALUE"""),44771.0)</f>
        <v>44771</v>
      </c>
      <c r="E457" s="298">
        <f>IFERROR(__xludf.DUMMYFUNCTION("""COMPUTED_VALUE"""),500.0)</f>
        <v>500</v>
      </c>
      <c r="F457" s="298">
        <f>IFERROR(__xludf.DUMMYFUNCTION("""COMPUTED_VALUE"""),15.53)</f>
        <v>15.53</v>
      </c>
      <c r="G457" s="298">
        <f>IFERROR(__xludf.DUMMYFUNCTION("""COMPUTED_VALUE"""),0.0)</f>
        <v>0</v>
      </c>
      <c r="H457" s="223">
        <f>IFERROR(__xludf.DUMMYFUNCTION("""COMPUTED_VALUE"""),484.47)</f>
        <v>484.47</v>
      </c>
      <c r="I457" s="298"/>
      <c r="J457" s="223" t="str">
        <f>IFERROR(__xludf.DUMMYFUNCTION("""COMPUTED_VALUE"""),"Monthly")</f>
        <v>Monthly</v>
      </c>
      <c r="K457" s="317">
        <f>IFERROR(__xludf.DUMMYFUNCTION("""COMPUTED_VALUE"""),2022.07)</f>
        <v>2022.07</v>
      </c>
      <c r="L457" s="298"/>
      <c r="M457" s="223"/>
      <c r="N457" s="223"/>
      <c r="O457" s="223"/>
      <c r="P457" s="223"/>
      <c r="Q457" s="223"/>
      <c r="R457" s="223"/>
      <c r="S457" s="223"/>
      <c r="T457" s="223"/>
      <c r="U457" s="223"/>
      <c r="V457" s="223"/>
      <c r="W457" s="223"/>
      <c r="X457" s="223"/>
      <c r="Y457" s="223"/>
      <c r="Z457" s="223"/>
    </row>
    <row r="458">
      <c r="A458" s="223" t="str">
        <f>IFERROR(__xludf.DUMMYFUNCTION("""COMPUTED_VALUE"""),"PMDI : Monthly Services")</f>
        <v>PMDI : Monthly Services</v>
      </c>
      <c r="B458" s="223" t="str">
        <f>IFERROR(__xludf.DUMMYFUNCTION("""COMPUTED_VALUE"""),"PMDI")</f>
        <v>PMDI</v>
      </c>
      <c r="C458" s="223" t="str">
        <f>IFERROR(__xludf.DUMMYFUNCTION("""COMPUTED_VALUE"""),"Monthly Services")</f>
        <v>Monthly Services</v>
      </c>
      <c r="D458" s="316">
        <f>IFERROR(__xludf.DUMMYFUNCTION("""COMPUTED_VALUE"""),44771.0)</f>
        <v>44771</v>
      </c>
      <c r="E458" s="298">
        <f>IFERROR(__xludf.DUMMYFUNCTION("""COMPUTED_VALUE"""),375.0)</f>
        <v>375</v>
      </c>
      <c r="F458" s="298">
        <f>IFERROR(__xludf.DUMMYFUNCTION("""COMPUTED_VALUE"""),0.0)</f>
        <v>0</v>
      </c>
      <c r="G458" s="298">
        <f>IFERROR(__xludf.DUMMYFUNCTION("""COMPUTED_VALUE"""),0.0)</f>
        <v>0</v>
      </c>
      <c r="H458" s="223">
        <f>IFERROR(__xludf.DUMMYFUNCTION("""COMPUTED_VALUE"""),375.0)</f>
        <v>375</v>
      </c>
      <c r="I458" s="298"/>
      <c r="J458" s="223" t="str">
        <f>IFERROR(__xludf.DUMMYFUNCTION("""COMPUTED_VALUE"""),"Monthly")</f>
        <v>Monthly</v>
      </c>
      <c r="K458" s="317">
        <f>IFERROR(__xludf.DUMMYFUNCTION("""COMPUTED_VALUE"""),2022.07)</f>
        <v>2022.07</v>
      </c>
      <c r="L458" s="298"/>
      <c r="M458" s="223"/>
      <c r="N458" s="223"/>
      <c r="O458" s="223"/>
      <c r="P458" s="223"/>
      <c r="Q458" s="223"/>
      <c r="R458" s="223"/>
      <c r="S458" s="223"/>
      <c r="T458" s="223"/>
      <c r="U458" s="223"/>
      <c r="V458" s="223"/>
      <c r="W458" s="223"/>
      <c r="X458" s="223"/>
      <c r="Y458" s="223"/>
      <c r="Z458" s="223"/>
    </row>
    <row r="459">
      <c r="A459" s="223" t="str">
        <f>IFERROR(__xludf.DUMMYFUNCTION("""COMPUTED_VALUE"""),"Prime Engineering : Monthly Services")</f>
        <v>Prime Engineering : Monthly Services</v>
      </c>
      <c r="B459" s="223" t="str">
        <f>IFERROR(__xludf.DUMMYFUNCTION("""COMPUTED_VALUE"""),"Prime Engineering")</f>
        <v>Prime Engineering</v>
      </c>
      <c r="C459" s="223" t="str">
        <f>IFERROR(__xludf.DUMMYFUNCTION("""COMPUTED_VALUE"""),"Monthly Services")</f>
        <v>Monthly Services</v>
      </c>
      <c r="D459" s="316">
        <f>IFERROR(__xludf.DUMMYFUNCTION("""COMPUTED_VALUE"""),44771.0)</f>
        <v>44771</v>
      </c>
      <c r="E459" s="298">
        <f>IFERROR(__xludf.DUMMYFUNCTION("""COMPUTED_VALUE"""),500.0)</f>
        <v>500</v>
      </c>
      <c r="F459" s="298">
        <f>IFERROR(__xludf.DUMMYFUNCTION("""COMPUTED_VALUE"""),0.0)</f>
        <v>0</v>
      </c>
      <c r="G459" s="298">
        <f>IFERROR(__xludf.DUMMYFUNCTION("""COMPUTED_VALUE"""),0.0)</f>
        <v>0</v>
      </c>
      <c r="H459" s="223">
        <f>IFERROR(__xludf.DUMMYFUNCTION("""COMPUTED_VALUE"""),500.0)</f>
        <v>500</v>
      </c>
      <c r="I459" s="298"/>
      <c r="J459" s="223" t="str">
        <f>IFERROR(__xludf.DUMMYFUNCTION("""COMPUTED_VALUE"""),"Monthly")</f>
        <v>Monthly</v>
      </c>
      <c r="K459" s="317">
        <f>IFERROR(__xludf.DUMMYFUNCTION("""COMPUTED_VALUE"""),2022.07)</f>
        <v>2022.07</v>
      </c>
      <c r="L459" s="298"/>
      <c r="M459" s="223"/>
      <c r="N459" s="223"/>
      <c r="O459" s="223"/>
      <c r="P459" s="223"/>
      <c r="Q459" s="223"/>
      <c r="R459" s="223"/>
      <c r="S459" s="223"/>
      <c r="T459" s="223"/>
      <c r="U459" s="223"/>
      <c r="V459" s="223"/>
      <c r="W459" s="223"/>
      <c r="X459" s="223"/>
      <c r="Y459" s="223"/>
      <c r="Z459" s="223"/>
    </row>
    <row r="460">
      <c r="A460" s="223" t="str">
        <f>IFERROR(__xludf.DUMMYFUNCTION("""COMPUTED_VALUE"""),"Rama Meditation Society : Premium Hosting + Support")</f>
        <v>Rama Meditation Society : Premium Hosting + Support</v>
      </c>
      <c r="B460" s="223" t="str">
        <f>IFERROR(__xludf.DUMMYFUNCTION("""COMPUTED_VALUE"""),"Rama Meditation Society")</f>
        <v>Rama Meditation Society</v>
      </c>
      <c r="C460" s="223" t="str">
        <f>IFERROR(__xludf.DUMMYFUNCTION("""COMPUTED_VALUE"""),"Premium Hosting + Support")</f>
        <v>Premium Hosting + Support</v>
      </c>
      <c r="D460" s="316">
        <f>IFERROR(__xludf.DUMMYFUNCTION("""COMPUTED_VALUE"""),44771.0)</f>
        <v>44771</v>
      </c>
      <c r="E460" s="298">
        <f>IFERROR(__xludf.DUMMYFUNCTION("""COMPUTED_VALUE"""),372.24719999999996)</f>
        <v>372.2472</v>
      </c>
      <c r="F460" s="298">
        <f>IFERROR(__xludf.DUMMYFUNCTION("""COMPUTED_VALUE"""),14.1453936)</f>
        <v>14.1453936</v>
      </c>
      <c r="G460" s="298">
        <f>IFERROR(__xludf.DUMMYFUNCTION("""COMPUTED_VALUE"""),0.0)</f>
        <v>0</v>
      </c>
      <c r="H460" s="223">
        <f>IFERROR(__xludf.DUMMYFUNCTION("""COMPUTED_VALUE"""),358.1018064)</f>
        <v>358.1018064</v>
      </c>
      <c r="I460" s="298"/>
      <c r="J460" s="223" t="str">
        <f>IFERROR(__xludf.DUMMYFUNCTION("""COMPUTED_VALUE"""),"Monthly")</f>
        <v>Monthly</v>
      </c>
      <c r="K460" s="317">
        <f>IFERROR(__xludf.DUMMYFUNCTION("""COMPUTED_VALUE"""),2022.07)</f>
        <v>2022.07</v>
      </c>
      <c r="L460" s="298"/>
      <c r="M460" s="223"/>
      <c r="N460" s="223"/>
      <c r="O460" s="223"/>
      <c r="P460" s="223"/>
      <c r="Q460" s="223"/>
      <c r="R460" s="223"/>
      <c r="S460" s="223"/>
      <c r="T460" s="223"/>
      <c r="U460" s="223"/>
      <c r="V460" s="223"/>
      <c r="W460" s="223"/>
      <c r="X460" s="223"/>
      <c r="Y460" s="223"/>
      <c r="Z460" s="223"/>
    </row>
    <row r="461">
      <c r="A461" s="223" t="str">
        <f>IFERROR(__xludf.DUMMYFUNCTION("""COMPUTED_VALUE"""),"Red Seal : Monthly Services")</f>
        <v>Red Seal : Monthly Services</v>
      </c>
      <c r="B461" s="223" t="str">
        <f>IFERROR(__xludf.DUMMYFUNCTION("""COMPUTED_VALUE"""),"Red Seal")</f>
        <v>Red Seal</v>
      </c>
      <c r="C461" s="223" t="str">
        <f>IFERROR(__xludf.DUMMYFUNCTION("""COMPUTED_VALUE"""),"Monthly Services")</f>
        <v>Monthly Services</v>
      </c>
      <c r="D461" s="316">
        <f>IFERROR(__xludf.DUMMYFUNCTION("""COMPUTED_VALUE"""),44771.0)</f>
        <v>44771</v>
      </c>
      <c r="E461" s="298">
        <f>IFERROR(__xludf.DUMMYFUNCTION("""COMPUTED_VALUE"""),1150.0)</f>
        <v>1150</v>
      </c>
      <c r="F461" s="298">
        <f>IFERROR(__xludf.DUMMYFUNCTION("""COMPUTED_VALUE"""),0.0)</f>
        <v>0</v>
      </c>
      <c r="G461" s="298">
        <f>IFERROR(__xludf.DUMMYFUNCTION("""COMPUTED_VALUE"""),0.0)</f>
        <v>0</v>
      </c>
      <c r="H461" s="223">
        <f>IFERROR(__xludf.DUMMYFUNCTION("""COMPUTED_VALUE"""),1150.0)</f>
        <v>1150</v>
      </c>
      <c r="I461" s="298"/>
      <c r="J461" s="223" t="str">
        <f>IFERROR(__xludf.DUMMYFUNCTION("""COMPUTED_VALUE"""),"Monthly")</f>
        <v>Monthly</v>
      </c>
      <c r="K461" s="317">
        <f>IFERROR(__xludf.DUMMYFUNCTION("""COMPUTED_VALUE"""),2022.07)</f>
        <v>2022.07</v>
      </c>
      <c r="L461" s="298"/>
      <c r="M461" s="223"/>
      <c r="N461" s="223"/>
      <c r="O461" s="223"/>
      <c r="P461" s="223"/>
      <c r="Q461" s="223"/>
      <c r="R461" s="223"/>
      <c r="S461" s="223"/>
      <c r="T461" s="223"/>
      <c r="U461" s="223"/>
      <c r="V461" s="223"/>
      <c r="W461" s="223"/>
      <c r="X461" s="223"/>
      <c r="Y461" s="223"/>
      <c r="Z461" s="223"/>
    </row>
    <row r="462">
      <c r="A462" s="223" t="str">
        <f>IFERROR(__xludf.DUMMYFUNCTION("""COMPUTED_VALUE"""),"Service First : Monthly Services")</f>
        <v>Service First : Monthly Services</v>
      </c>
      <c r="B462" s="223" t="str">
        <f>IFERROR(__xludf.DUMMYFUNCTION("""COMPUTED_VALUE"""),"Service First")</f>
        <v>Service First</v>
      </c>
      <c r="C462" s="223" t="str">
        <f>IFERROR(__xludf.DUMMYFUNCTION("""COMPUTED_VALUE"""),"Monthly Services")</f>
        <v>Monthly Services</v>
      </c>
      <c r="D462" s="316">
        <f>IFERROR(__xludf.DUMMYFUNCTION("""COMPUTED_VALUE"""),44771.0)</f>
        <v>44771</v>
      </c>
      <c r="E462" s="298">
        <f>IFERROR(__xludf.DUMMYFUNCTION("""COMPUTED_VALUE"""),300.0)</f>
        <v>300</v>
      </c>
      <c r="F462" s="298">
        <f>IFERROR(__xludf.DUMMYFUNCTION("""COMPUTED_VALUE"""),9.33)</f>
        <v>9.33</v>
      </c>
      <c r="G462" s="298">
        <f>IFERROR(__xludf.DUMMYFUNCTION("""COMPUTED_VALUE"""),0.0)</f>
        <v>0</v>
      </c>
      <c r="H462" s="223">
        <f>IFERROR(__xludf.DUMMYFUNCTION("""COMPUTED_VALUE"""),290.67)</f>
        <v>290.67</v>
      </c>
      <c r="I462" s="298"/>
      <c r="J462" s="223" t="str">
        <f>IFERROR(__xludf.DUMMYFUNCTION("""COMPUTED_VALUE"""),"Monthly")</f>
        <v>Monthly</v>
      </c>
      <c r="K462" s="317">
        <f>IFERROR(__xludf.DUMMYFUNCTION("""COMPUTED_VALUE"""),2022.07)</f>
        <v>2022.07</v>
      </c>
      <c r="L462" s="298"/>
      <c r="M462" s="223"/>
      <c r="N462" s="223"/>
      <c r="O462" s="223"/>
      <c r="P462" s="223"/>
      <c r="Q462" s="223"/>
      <c r="R462" s="223"/>
      <c r="S462" s="223"/>
      <c r="T462" s="223"/>
      <c r="U462" s="223"/>
      <c r="V462" s="223"/>
      <c r="W462" s="223"/>
      <c r="X462" s="223"/>
      <c r="Y462" s="223"/>
      <c r="Z462" s="223"/>
    </row>
    <row r="463">
      <c r="A463" s="223" t="str">
        <f>IFERROR(__xludf.DUMMYFUNCTION("""COMPUTED_VALUE"""),"Spraggs : Monthly Services")</f>
        <v>Spraggs : Monthly Services</v>
      </c>
      <c r="B463" s="223" t="str">
        <f>IFERROR(__xludf.DUMMYFUNCTION("""COMPUTED_VALUE"""),"Spraggs")</f>
        <v>Spraggs</v>
      </c>
      <c r="C463" s="223" t="str">
        <f>IFERROR(__xludf.DUMMYFUNCTION("""COMPUTED_VALUE"""),"Monthly Services")</f>
        <v>Monthly Services</v>
      </c>
      <c r="D463" s="316">
        <f>IFERROR(__xludf.DUMMYFUNCTION("""COMPUTED_VALUE"""),44771.0)</f>
        <v>44771</v>
      </c>
      <c r="E463" s="298">
        <f>IFERROR(__xludf.DUMMYFUNCTION("""COMPUTED_VALUE"""),2500.0)</f>
        <v>2500</v>
      </c>
      <c r="F463" s="298">
        <f>IFERROR(__xludf.DUMMYFUNCTION("""COMPUTED_VALUE"""),77.78)</f>
        <v>77.78</v>
      </c>
      <c r="G463" s="298">
        <f>IFERROR(__xludf.DUMMYFUNCTION("""COMPUTED_VALUE"""),0.0)</f>
        <v>0</v>
      </c>
      <c r="H463" s="223">
        <f>IFERROR(__xludf.DUMMYFUNCTION("""COMPUTED_VALUE"""),2422.22)</f>
        <v>2422.22</v>
      </c>
      <c r="I463" s="298"/>
      <c r="J463" s="223" t="str">
        <f>IFERROR(__xludf.DUMMYFUNCTION("""COMPUTED_VALUE"""),"Monthly")</f>
        <v>Monthly</v>
      </c>
      <c r="K463" s="317">
        <f>IFERROR(__xludf.DUMMYFUNCTION("""COMPUTED_VALUE"""),2022.07)</f>
        <v>2022.07</v>
      </c>
      <c r="L463" s="298"/>
      <c r="M463" s="223"/>
      <c r="N463" s="223"/>
      <c r="O463" s="223"/>
      <c r="P463" s="223"/>
      <c r="Q463" s="223"/>
      <c r="R463" s="223"/>
      <c r="S463" s="223"/>
      <c r="T463" s="223"/>
      <c r="U463" s="223"/>
      <c r="V463" s="223"/>
      <c r="W463" s="223"/>
      <c r="X463" s="223"/>
      <c r="Y463" s="223"/>
      <c r="Z463" s="223"/>
    </row>
    <row r="464">
      <c r="A464" s="223" t="str">
        <f>IFERROR(__xludf.DUMMYFUNCTION("""COMPUTED_VALUE"""),"Tires Easy : Monthly Services for Tires-Easy.com")</f>
        <v>Tires Easy : Monthly Services for Tires-Easy.com</v>
      </c>
      <c r="B464" s="223" t="str">
        <f>IFERROR(__xludf.DUMMYFUNCTION("""COMPUTED_VALUE"""),"Tires Easy")</f>
        <v>Tires Easy</v>
      </c>
      <c r="C464" s="223" t="str">
        <f>IFERROR(__xludf.DUMMYFUNCTION("""COMPUTED_VALUE"""),"Monthly Services for Tires-Easy.com")</f>
        <v>Monthly Services for Tires-Easy.com</v>
      </c>
      <c r="D464" s="316">
        <f>IFERROR(__xludf.DUMMYFUNCTION("""COMPUTED_VALUE"""),44771.0)</f>
        <v>44771</v>
      </c>
      <c r="E464" s="298">
        <f>IFERROR(__xludf.DUMMYFUNCTION("""COMPUTED_VALUE"""),1394.589564)</f>
        <v>1394.589564</v>
      </c>
      <c r="F464" s="298">
        <f>IFERROR(__xludf.DUMMYFUNCTION("""COMPUTED_VALUE"""),51.98592974)</f>
        <v>51.98592974</v>
      </c>
      <c r="G464" s="298">
        <f>IFERROR(__xludf.DUMMYFUNCTION("""COMPUTED_VALUE"""),0.0)</f>
        <v>0</v>
      </c>
      <c r="H464" s="223">
        <f>IFERROR(__xludf.DUMMYFUNCTION("""COMPUTED_VALUE"""),1342.60363426)</f>
        <v>1342.603634</v>
      </c>
      <c r="I464" s="298"/>
      <c r="J464" s="223" t="str">
        <f>IFERROR(__xludf.DUMMYFUNCTION("""COMPUTED_VALUE"""),"Monthly")</f>
        <v>Monthly</v>
      </c>
      <c r="K464" s="317">
        <f>IFERROR(__xludf.DUMMYFUNCTION("""COMPUTED_VALUE"""),2022.07)</f>
        <v>2022.07</v>
      </c>
      <c r="L464" s="298"/>
      <c r="M464" s="223"/>
      <c r="N464" s="223"/>
      <c r="O464" s="223"/>
      <c r="P464" s="223"/>
      <c r="Q464" s="223"/>
      <c r="R464" s="223"/>
      <c r="S464" s="223"/>
      <c r="T464" s="223"/>
      <c r="U464" s="223"/>
      <c r="V464" s="223"/>
      <c r="W464" s="223"/>
      <c r="X464" s="223"/>
      <c r="Y464" s="223"/>
      <c r="Z464" s="223"/>
    </row>
    <row r="465">
      <c r="A465" s="223" t="str">
        <f>IFERROR(__xludf.DUMMYFUNCTION("""COMPUTED_VALUE"""),"TisBest : Monthly Services")</f>
        <v>TisBest : Monthly Services</v>
      </c>
      <c r="B465" s="223" t="str">
        <f>IFERROR(__xludf.DUMMYFUNCTION("""COMPUTED_VALUE"""),"TisBest")</f>
        <v>TisBest</v>
      </c>
      <c r="C465" s="223" t="str">
        <f>IFERROR(__xludf.DUMMYFUNCTION("""COMPUTED_VALUE"""),"Monthly Services")</f>
        <v>Monthly Services</v>
      </c>
      <c r="D465" s="316">
        <f>IFERROR(__xludf.DUMMYFUNCTION("""COMPUTED_VALUE"""),44771.0)</f>
        <v>44771</v>
      </c>
      <c r="E465" s="298">
        <f>IFERROR(__xludf.DUMMYFUNCTION("""COMPUTED_VALUE"""),5722.38)</f>
        <v>5722.38</v>
      </c>
      <c r="F465" s="298">
        <f>IFERROR(__xludf.DUMMYFUNCTION("""COMPUTED_VALUE"""),212.14691520000002)</f>
        <v>212.1469152</v>
      </c>
      <c r="G465" s="298">
        <f>IFERROR(__xludf.DUMMYFUNCTION("""COMPUTED_VALUE"""),1102.0466169600002)</f>
        <v>1102.046617</v>
      </c>
      <c r="H465" s="223">
        <f>IFERROR(__xludf.DUMMYFUNCTION("""COMPUTED_VALUE"""),4408.18646784)</f>
        <v>4408.186468</v>
      </c>
      <c r="I465" s="298"/>
      <c r="J465" s="223" t="str">
        <f>IFERROR(__xludf.DUMMYFUNCTION("""COMPUTED_VALUE"""),"Monthly")</f>
        <v>Monthly</v>
      </c>
      <c r="K465" s="317">
        <f>IFERROR(__xludf.DUMMYFUNCTION("""COMPUTED_VALUE"""),2022.07)</f>
        <v>2022.07</v>
      </c>
      <c r="L465" s="298"/>
      <c r="M465" s="223"/>
      <c r="N465" s="223"/>
      <c r="O465" s="223"/>
      <c r="P465" s="223"/>
      <c r="Q465" s="223"/>
      <c r="R465" s="223"/>
      <c r="S465" s="223"/>
      <c r="T465" s="223"/>
      <c r="U465" s="223"/>
      <c r="V465" s="223"/>
      <c r="W465" s="223"/>
      <c r="X465" s="223"/>
      <c r="Y465" s="223"/>
      <c r="Z465" s="223"/>
    </row>
    <row r="466">
      <c r="A466" s="223" t="str">
        <f>IFERROR(__xludf.DUMMYFUNCTION("""COMPUTED_VALUE"""),"Tuscany : Monthly Services")</f>
        <v>Tuscany : Monthly Services</v>
      </c>
      <c r="B466" s="223" t="str">
        <f>IFERROR(__xludf.DUMMYFUNCTION("""COMPUTED_VALUE"""),"Tuscany")</f>
        <v>Tuscany</v>
      </c>
      <c r="C466" s="223" t="str">
        <f>IFERROR(__xludf.DUMMYFUNCTION("""COMPUTED_VALUE"""),"Monthly Services")</f>
        <v>Monthly Services</v>
      </c>
      <c r="D466" s="316">
        <f>IFERROR(__xludf.DUMMYFUNCTION("""COMPUTED_VALUE"""),44771.0)</f>
        <v>44771</v>
      </c>
      <c r="E466" s="298">
        <f>IFERROR(__xludf.DUMMYFUNCTION("""COMPUTED_VALUE"""),2519.225)</f>
        <v>2519.225</v>
      </c>
      <c r="F466" s="298">
        <f>IFERROR(__xludf.DUMMYFUNCTION("""COMPUTED_VALUE"""),0.0)</f>
        <v>0</v>
      </c>
      <c r="G466" s="298">
        <f>IFERROR(__xludf.DUMMYFUNCTION("""COMPUTED_VALUE"""),0.0)</f>
        <v>0</v>
      </c>
      <c r="H466" s="223">
        <f>IFERROR(__xludf.DUMMYFUNCTION("""COMPUTED_VALUE"""),2519.225)</f>
        <v>2519.225</v>
      </c>
      <c r="I466" s="298"/>
      <c r="J466" s="223" t="str">
        <f>IFERROR(__xludf.DUMMYFUNCTION("""COMPUTED_VALUE"""),"Monthly")</f>
        <v>Monthly</v>
      </c>
      <c r="K466" s="317">
        <f>IFERROR(__xludf.DUMMYFUNCTION("""COMPUTED_VALUE"""),2022.07)</f>
        <v>2022.07</v>
      </c>
      <c r="L466" s="298"/>
      <c r="M466" s="223"/>
      <c r="N466" s="223"/>
      <c r="O466" s="223"/>
      <c r="P466" s="223"/>
      <c r="Q466" s="223"/>
      <c r="R466" s="223"/>
      <c r="S466" s="223"/>
      <c r="T466" s="223"/>
      <c r="U466" s="223"/>
      <c r="V466" s="223"/>
      <c r="W466" s="223"/>
      <c r="X466" s="223"/>
      <c r="Y466" s="223"/>
      <c r="Z466" s="223"/>
    </row>
    <row r="467">
      <c r="A467" s="223" t="str">
        <f>IFERROR(__xludf.DUMMYFUNCTION("""COMPUTED_VALUE"""),"Venetian : Monthly Services")</f>
        <v>Venetian : Monthly Services</v>
      </c>
      <c r="B467" s="223" t="str">
        <f>IFERROR(__xludf.DUMMYFUNCTION("""COMPUTED_VALUE"""),"Venetian")</f>
        <v>Venetian</v>
      </c>
      <c r="C467" s="223" t="str">
        <f>IFERROR(__xludf.DUMMYFUNCTION("""COMPUTED_VALUE"""),"Monthly Services")</f>
        <v>Monthly Services</v>
      </c>
      <c r="D467" s="316">
        <f>IFERROR(__xludf.DUMMYFUNCTION("""COMPUTED_VALUE"""),44771.0)</f>
        <v>44771</v>
      </c>
      <c r="E467" s="298">
        <f>IFERROR(__xludf.DUMMYFUNCTION("""COMPUTED_VALUE"""),2519.225)</f>
        <v>2519.225</v>
      </c>
      <c r="F467" s="298">
        <f>IFERROR(__xludf.DUMMYFUNCTION("""COMPUTED_VALUE"""),0.0)</f>
        <v>0</v>
      </c>
      <c r="G467" s="298">
        <f>IFERROR(__xludf.DUMMYFUNCTION("""COMPUTED_VALUE"""),0.0)</f>
        <v>0</v>
      </c>
      <c r="H467" s="223">
        <f>IFERROR(__xludf.DUMMYFUNCTION("""COMPUTED_VALUE"""),2519.225)</f>
        <v>2519.225</v>
      </c>
      <c r="I467" s="298"/>
      <c r="J467" s="223" t="str">
        <f>IFERROR(__xludf.DUMMYFUNCTION("""COMPUTED_VALUE"""),"Monthly")</f>
        <v>Monthly</v>
      </c>
      <c r="K467" s="317">
        <f>IFERROR(__xludf.DUMMYFUNCTION("""COMPUTED_VALUE"""),2022.07)</f>
        <v>2022.07</v>
      </c>
      <c r="L467" s="298"/>
      <c r="M467" s="223"/>
      <c r="N467" s="223"/>
      <c r="O467" s="223"/>
      <c r="P467" s="223"/>
      <c r="Q467" s="223"/>
      <c r="R467" s="223"/>
      <c r="S467" s="223"/>
      <c r="T467" s="223"/>
      <c r="U467" s="223"/>
      <c r="V467" s="223"/>
      <c r="W467" s="223"/>
      <c r="X467" s="223"/>
      <c r="Y467" s="223"/>
      <c r="Z467" s="223"/>
    </row>
    <row r="468">
      <c r="A468" s="223" t="str">
        <f>IFERROR(__xludf.DUMMYFUNCTION("""COMPUTED_VALUE"""),"Wallack's Art Supplies : Monthly Services")</f>
        <v>Wallack's Art Supplies : Monthly Services</v>
      </c>
      <c r="B468" s="223" t="str">
        <f>IFERROR(__xludf.DUMMYFUNCTION("""COMPUTED_VALUE"""),"Wallack's Art Supplies")</f>
        <v>Wallack's Art Supplies</v>
      </c>
      <c r="C468" s="223" t="str">
        <f>IFERROR(__xludf.DUMMYFUNCTION("""COMPUTED_VALUE"""),"Monthly Services")</f>
        <v>Monthly Services</v>
      </c>
      <c r="D468" s="316">
        <f>IFERROR(__xludf.DUMMYFUNCTION("""COMPUTED_VALUE"""),44771.0)</f>
        <v>44771</v>
      </c>
      <c r="E468" s="298">
        <f>IFERROR(__xludf.DUMMYFUNCTION("""COMPUTED_VALUE"""),700.0)</f>
        <v>700</v>
      </c>
      <c r="F468" s="298">
        <f>IFERROR(__xludf.DUMMYFUNCTION("""COMPUTED_VALUE"""),0.0)</f>
        <v>0</v>
      </c>
      <c r="G468" s="298">
        <f>IFERROR(__xludf.DUMMYFUNCTION("""COMPUTED_VALUE"""),0.0)</f>
        <v>0</v>
      </c>
      <c r="H468" s="223">
        <f>IFERROR(__xludf.DUMMYFUNCTION("""COMPUTED_VALUE"""),700.0)</f>
        <v>700</v>
      </c>
      <c r="I468" s="298"/>
      <c r="J468" s="223" t="str">
        <f>IFERROR(__xludf.DUMMYFUNCTION("""COMPUTED_VALUE"""),"Monthly")</f>
        <v>Monthly</v>
      </c>
      <c r="K468" s="317">
        <f>IFERROR(__xludf.DUMMYFUNCTION("""COMPUTED_VALUE"""),2022.07)</f>
        <v>2022.07</v>
      </c>
      <c r="L468" s="298"/>
      <c r="M468" s="223"/>
      <c r="N468" s="223"/>
      <c r="O468" s="223"/>
      <c r="P468" s="223"/>
      <c r="Q468" s="223"/>
      <c r="R468" s="223"/>
      <c r="S468" s="223"/>
      <c r="T468" s="223"/>
      <c r="U468" s="223"/>
      <c r="V468" s="223"/>
      <c r="W468" s="223"/>
      <c r="X468" s="223"/>
      <c r="Y468" s="223"/>
      <c r="Z468" s="223"/>
    </row>
    <row r="469">
      <c r="A469" s="223" t="str">
        <f>IFERROR(__xludf.DUMMYFUNCTION("""COMPUTED_VALUE"""),"Howard Fine Jewellers : Ongoing PPC and SEO Support")</f>
        <v>Howard Fine Jewellers : Ongoing PPC and SEO Support</v>
      </c>
      <c r="B469" s="223" t="str">
        <f>IFERROR(__xludf.DUMMYFUNCTION("""COMPUTED_VALUE"""),"Howard Fine Jewellers")</f>
        <v>Howard Fine Jewellers</v>
      </c>
      <c r="C469" s="223" t="str">
        <f>IFERROR(__xludf.DUMMYFUNCTION("""COMPUTED_VALUE"""),"Ongoing PPC and SEO Support")</f>
        <v>Ongoing PPC and SEO Support</v>
      </c>
      <c r="D469" s="316">
        <f>IFERROR(__xludf.DUMMYFUNCTION("""COMPUTED_VALUE"""),44771.0)</f>
        <v>44771</v>
      </c>
      <c r="E469" s="298">
        <f>IFERROR(__xludf.DUMMYFUNCTION("""COMPUTED_VALUE"""),1450.0)</f>
        <v>1450</v>
      </c>
      <c r="F469" s="298">
        <f>IFERROR(__xludf.DUMMYFUNCTION("""COMPUTED_VALUE"""),48.55)</f>
        <v>48.55</v>
      </c>
      <c r="G469" s="298">
        <f>IFERROR(__xludf.DUMMYFUNCTION("""COMPUTED_VALUE"""),0.0)</f>
        <v>0</v>
      </c>
      <c r="H469" s="223">
        <f>IFERROR(__xludf.DUMMYFUNCTION("""COMPUTED_VALUE"""),1401.45)</f>
        <v>1401.45</v>
      </c>
      <c r="I469" s="298"/>
      <c r="J469" s="223" t="str">
        <f>IFERROR(__xludf.DUMMYFUNCTION("""COMPUTED_VALUE"""),"Monthly")</f>
        <v>Monthly</v>
      </c>
      <c r="K469" s="317">
        <f>IFERROR(__xludf.DUMMYFUNCTION("""COMPUTED_VALUE"""),2022.07)</f>
        <v>2022.07</v>
      </c>
      <c r="L469" s="298"/>
      <c r="M469" s="223"/>
      <c r="N469" s="223"/>
      <c r="O469" s="223"/>
      <c r="P469" s="223"/>
      <c r="Q469" s="223"/>
      <c r="R469" s="223"/>
      <c r="S469" s="223"/>
      <c r="T469" s="223"/>
      <c r="U469" s="223"/>
      <c r="V469" s="223"/>
      <c r="W469" s="223"/>
      <c r="X469" s="223"/>
      <c r="Y469" s="223"/>
      <c r="Z469" s="223"/>
    </row>
    <row r="470">
      <c r="A470" s="223" t="str">
        <f>IFERROR(__xludf.DUMMYFUNCTION("""COMPUTED_VALUE"""),"Arazy Group : Monthly Services")</f>
        <v>Arazy Group : Monthly Services</v>
      </c>
      <c r="B470" s="223" t="str">
        <f>IFERROR(__xludf.DUMMYFUNCTION("""COMPUTED_VALUE"""),"Arazy Group")</f>
        <v>Arazy Group</v>
      </c>
      <c r="C470" s="223" t="str">
        <f>IFERROR(__xludf.DUMMYFUNCTION("""COMPUTED_VALUE"""),"Monthly Services")</f>
        <v>Monthly Services</v>
      </c>
      <c r="D470" s="316">
        <f>IFERROR(__xludf.DUMMYFUNCTION("""COMPUTED_VALUE"""),44788.0)</f>
        <v>44788</v>
      </c>
      <c r="E470" s="298">
        <f>IFERROR(__xludf.DUMMYFUNCTION("""COMPUTED_VALUE"""),650.0)</f>
        <v>650</v>
      </c>
      <c r="F470" s="298">
        <f>IFERROR(__xludf.DUMMYFUNCTION("""COMPUTED_VALUE"""),20.09)</f>
        <v>20.09</v>
      </c>
      <c r="G470" s="298">
        <f>IFERROR(__xludf.DUMMYFUNCTION("""COMPUTED_VALUE"""),0.0)</f>
        <v>0</v>
      </c>
      <c r="H470" s="223">
        <f>IFERROR(__xludf.DUMMYFUNCTION("""COMPUTED_VALUE"""),629.91)</f>
        <v>629.91</v>
      </c>
      <c r="I470" s="298"/>
      <c r="J470" s="223" t="str">
        <f>IFERROR(__xludf.DUMMYFUNCTION("""COMPUTED_VALUE"""),"Monthly")</f>
        <v>Monthly</v>
      </c>
      <c r="K470" s="317">
        <f>IFERROR(__xludf.DUMMYFUNCTION("""COMPUTED_VALUE"""),2022.08)</f>
        <v>2022.08</v>
      </c>
      <c r="L470" s="298"/>
      <c r="M470" s="223"/>
      <c r="N470" s="223"/>
      <c r="O470" s="223"/>
      <c r="P470" s="223"/>
      <c r="Q470" s="223"/>
      <c r="R470" s="223"/>
      <c r="S470" s="223"/>
      <c r="T470" s="223"/>
      <c r="U470" s="223"/>
      <c r="V470" s="223"/>
      <c r="W470" s="223"/>
      <c r="X470" s="223"/>
      <c r="Y470" s="223"/>
      <c r="Z470" s="223"/>
    </row>
    <row r="471">
      <c r="A471" s="223" t="str">
        <f>IFERROR(__xludf.DUMMYFUNCTION("""COMPUTED_VALUE"""),"Booginhead : Monthly Services")</f>
        <v>Booginhead : Monthly Services</v>
      </c>
      <c r="B471" s="223" t="str">
        <f>IFERROR(__xludf.DUMMYFUNCTION("""COMPUTED_VALUE"""),"Booginhead")</f>
        <v>Booginhead</v>
      </c>
      <c r="C471" s="223" t="str">
        <f>IFERROR(__xludf.DUMMYFUNCTION("""COMPUTED_VALUE"""),"Monthly Services")</f>
        <v>Monthly Services</v>
      </c>
      <c r="D471" s="316">
        <f>IFERROR(__xludf.DUMMYFUNCTION("""COMPUTED_VALUE"""),44788.0)</f>
        <v>44788</v>
      </c>
      <c r="E471" s="298">
        <f>IFERROR(__xludf.DUMMYFUNCTION("""COMPUTED_VALUE"""),1610.0448000000001)</f>
        <v>1610.0448</v>
      </c>
      <c r="F471" s="298">
        <f>IFERROR(__xludf.DUMMYFUNCTION("""COMPUTED_VALUE"""),59.9432064)</f>
        <v>59.9432064</v>
      </c>
      <c r="G471" s="298">
        <f>IFERROR(__xludf.DUMMYFUNCTION("""COMPUTED_VALUE"""),310.02031872000003)</f>
        <v>310.0203187</v>
      </c>
      <c r="H471" s="223">
        <f>IFERROR(__xludf.DUMMYFUNCTION("""COMPUTED_VALUE"""),1240.0812748800001)</f>
        <v>1240.081275</v>
      </c>
      <c r="I471" s="298"/>
      <c r="J471" s="223" t="str">
        <f>IFERROR(__xludf.DUMMYFUNCTION("""COMPUTED_VALUE"""),"Monthly")</f>
        <v>Monthly</v>
      </c>
      <c r="K471" s="317">
        <f>IFERROR(__xludf.DUMMYFUNCTION("""COMPUTED_VALUE"""),2022.08)</f>
        <v>2022.08</v>
      </c>
      <c r="L471" s="298"/>
      <c r="M471" s="223"/>
      <c r="N471" s="223"/>
      <c r="O471" s="223"/>
      <c r="P471" s="223"/>
      <c r="Q471" s="223"/>
      <c r="R471" s="223"/>
      <c r="S471" s="223"/>
      <c r="T471" s="223"/>
      <c r="U471" s="223"/>
      <c r="V471" s="223"/>
      <c r="W471" s="223"/>
      <c r="X471" s="223"/>
      <c r="Y471" s="223"/>
      <c r="Z471" s="223"/>
    </row>
    <row r="472">
      <c r="A472" s="223" t="str">
        <f>IFERROR(__xludf.DUMMYFUNCTION("""COMPUTED_VALUE"""),"New Growth Ecommerce Inc : Monthly Services")</f>
        <v>New Growth Ecommerce Inc : Monthly Services</v>
      </c>
      <c r="B472" s="223" t="str">
        <f>IFERROR(__xludf.DUMMYFUNCTION("""COMPUTED_VALUE"""),"New Growth Ecommerce Inc")</f>
        <v>New Growth Ecommerce Inc</v>
      </c>
      <c r="C472" s="223" t="str">
        <f>IFERROR(__xludf.DUMMYFUNCTION("""COMPUTED_VALUE"""),"Monthly Services")</f>
        <v>Monthly Services</v>
      </c>
      <c r="D472" s="316">
        <f>IFERROR(__xludf.DUMMYFUNCTION("""COMPUTED_VALUE"""),44788.0)</f>
        <v>44788</v>
      </c>
      <c r="E472" s="298">
        <f>IFERROR(__xludf.DUMMYFUNCTION("""COMPUTED_VALUE"""),5000.0)</f>
        <v>5000</v>
      </c>
      <c r="F472" s="298">
        <f>IFERROR(__xludf.DUMMYFUNCTION("""COMPUTED_VALUE"""),0.0)</f>
        <v>0</v>
      </c>
      <c r="G472" s="298">
        <f>IFERROR(__xludf.DUMMYFUNCTION("""COMPUTED_VALUE"""),0.0)</f>
        <v>0</v>
      </c>
      <c r="H472" s="223">
        <f>IFERROR(__xludf.DUMMYFUNCTION("""COMPUTED_VALUE"""),5000.0)</f>
        <v>5000</v>
      </c>
      <c r="I472" s="298"/>
      <c r="J472" s="223" t="str">
        <f>IFERROR(__xludf.DUMMYFUNCTION("""COMPUTED_VALUE"""),"Monthly")</f>
        <v>Monthly</v>
      </c>
      <c r="K472" s="317">
        <f>IFERROR(__xludf.DUMMYFUNCTION("""COMPUTED_VALUE"""),2022.08)</f>
        <v>2022.08</v>
      </c>
      <c r="L472" s="298"/>
      <c r="M472" s="223"/>
      <c r="N472" s="223"/>
      <c r="O472" s="223"/>
      <c r="P472" s="223"/>
      <c r="Q472" s="223"/>
      <c r="R472" s="223"/>
      <c r="S472" s="223"/>
      <c r="T472" s="223"/>
      <c r="U472" s="223"/>
      <c r="V472" s="223"/>
      <c r="W472" s="223"/>
      <c r="X472" s="223"/>
      <c r="Y472" s="223"/>
      <c r="Z472" s="223"/>
    </row>
    <row r="473">
      <c r="A473" s="223" t="str">
        <f>IFERROR(__xludf.DUMMYFUNCTION("""COMPUTED_VALUE"""),"OA Region 6 : Monthly Services")</f>
        <v>OA Region 6 : Monthly Services</v>
      </c>
      <c r="B473" s="223" t="str">
        <f>IFERROR(__xludf.DUMMYFUNCTION("""COMPUTED_VALUE"""),"OA Region 6")</f>
        <v>OA Region 6</v>
      </c>
      <c r="C473" s="223" t="str">
        <f>IFERROR(__xludf.DUMMYFUNCTION("""COMPUTED_VALUE"""),"Monthly Services")</f>
        <v>Monthly Services</v>
      </c>
      <c r="D473" s="316">
        <f>IFERROR(__xludf.DUMMYFUNCTION("""COMPUTED_VALUE"""),44788.0)</f>
        <v>44788</v>
      </c>
      <c r="E473" s="298">
        <f>IFERROR(__xludf.DUMMYFUNCTION("""COMPUTED_VALUE"""),445.15240000000006)</f>
        <v>445.1524</v>
      </c>
      <c r="F473" s="298">
        <f>IFERROR(__xludf.DUMMYFUNCTION("""COMPUTED_VALUE"""),16.852198)</f>
        <v>16.852198</v>
      </c>
      <c r="G473" s="298">
        <f>IFERROR(__xludf.DUMMYFUNCTION("""COMPUTED_VALUE"""),0.0)</f>
        <v>0</v>
      </c>
      <c r="H473" s="223">
        <f>IFERROR(__xludf.DUMMYFUNCTION("""COMPUTED_VALUE"""),428.30020200000007)</f>
        <v>428.300202</v>
      </c>
      <c r="I473" s="298"/>
      <c r="J473" s="223" t="str">
        <f>IFERROR(__xludf.DUMMYFUNCTION("""COMPUTED_VALUE"""),"Monthly")</f>
        <v>Monthly</v>
      </c>
      <c r="K473" s="317">
        <f>IFERROR(__xludf.DUMMYFUNCTION("""COMPUTED_VALUE"""),2022.08)</f>
        <v>2022.08</v>
      </c>
      <c r="L473" s="298"/>
      <c r="M473" s="223"/>
      <c r="N473" s="223"/>
      <c r="O473" s="223"/>
      <c r="P473" s="223"/>
      <c r="Q473" s="223"/>
      <c r="R473" s="223"/>
      <c r="S473" s="223"/>
      <c r="T473" s="223"/>
      <c r="U473" s="223"/>
      <c r="V473" s="223"/>
      <c r="W473" s="223"/>
      <c r="X473" s="223"/>
      <c r="Y473" s="223"/>
      <c r="Z473" s="223"/>
    </row>
    <row r="474">
      <c r="A474" s="223" t="str">
        <f>IFERROR(__xludf.DUMMYFUNCTION("""COMPUTED_VALUE"""),"Tofino Resort + Marina : Monthly Services")</f>
        <v>Tofino Resort + Marina : Monthly Services</v>
      </c>
      <c r="B474" s="223" t="str">
        <f>IFERROR(__xludf.DUMMYFUNCTION("""COMPUTED_VALUE"""),"Tofino Resort + Marina")</f>
        <v>Tofino Resort + Marina</v>
      </c>
      <c r="C474" s="223" t="str">
        <f>IFERROR(__xludf.DUMMYFUNCTION("""COMPUTED_VALUE"""),"Monthly Services")</f>
        <v>Monthly Services</v>
      </c>
      <c r="D474" s="316">
        <f>IFERROR(__xludf.DUMMYFUNCTION("""COMPUTED_VALUE"""),44788.0)</f>
        <v>44788</v>
      </c>
      <c r="E474" s="298">
        <f>IFERROR(__xludf.DUMMYFUNCTION("""COMPUTED_VALUE"""),1600.0)</f>
        <v>1600</v>
      </c>
      <c r="F474" s="298">
        <f>IFERROR(__xludf.DUMMYFUNCTION("""COMPUTED_VALUE"""),49.78)</f>
        <v>49.78</v>
      </c>
      <c r="G474" s="298">
        <f>IFERROR(__xludf.DUMMYFUNCTION("""COMPUTED_VALUE"""),0.0)</f>
        <v>0</v>
      </c>
      <c r="H474" s="223">
        <f>IFERROR(__xludf.DUMMYFUNCTION("""COMPUTED_VALUE"""),1550.22)</f>
        <v>1550.22</v>
      </c>
      <c r="I474" s="298"/>
      <c r="J474" s="223" t="str">
        <f>IFERROR(__xludf.DUMMYFUNCTION("""COMPUTED_VALUE"""),"Monthly")</f>
        <v>Monthly</v>
      </c>
      <c r="K474" s="317">
        <f>IFERROR(__xludf.DUMMYFUNCTION("""COMPUTED_VALUE"""),2022.08)</f>
        <v>2022.08</v>
      </c>
      <c r="L474" s="298"/>
      <c r="M474" s="223"/>
      <c r="N474" s="223"/>
      <c r="O474" s="223"/>
      <c r="P474" s="223"/>
      <c r="Q474" s="223"/>
      <c r="R474" s="223"/>
      <c r="S474" s="223"/>
      <c r="T474" s="223"/>
      <c r="U474" s="223"/>
      <c r="V474" s="223"/>
      <c r="W474" s="223"/>
      <c r="X474" s="223"/>
      <c r="Y474" s="223"/>
      <c r="Z474" s="223"/>
    </row>
    <row r="475">
      <c r="A475" s="223" t="str">
        <f>IFERROR(__xludf.DUMMYFUNCTION("""COMPUTED_VALUE"""),"Viridian : Monthly Services")</f>
        <v>Viridian : Monthly Services</v>
      </c>
      <c r="B475" s="223" t="str">
        <f>IFERROR(__xludf.DUMMYFUNCTION("""COMPUTED_VALUE"""),"Viridian")</f>
        <v>Viridian</v>
      </c>
      <c r="C475" s="223" t="str">
        <f>IFERROR(__xludf.DUMMYFUNCTION("""COMPUTED_VALUE"""),"Monthly Services")</f>
        <v>Monthly Services</v>
      </c>
      <c r="D475" s="316">
        <f>IFERROR(__xludf.DUMMYFUNCTION("""COMPUTED_VALUE"""),44788.0)</f>
        <v>44788</v>
      </c>
      <c r="E475" s="298">
        <f>IFERROR(__xludf.DUMMYFUNCTION("""COMPUTED_VALUE"""),900.0)</f>
        <v>900</v>
      </c>
      <c r="F475" s="298">
        <f>IFERROR(__xludf.DUMMYFUNCTION("""COMPUTED_VALUE"""),0.0)</f>
        <v>0</v>
      </c>
      <c r="G475" s="298">
        <f>IFERROR(__xludf.DUMMYFUNCTION("""COMPUTED_VALUE"""),0.0)</f>
        <v>0</v>
      </c>
      <c r="H475" s="223">
        <f>IFERROR(__xludf.DUMMYFUNCTION("""COMPUTED_VALUE"""),900.0)</f>
        <v>900</v>
      </c>
      <c r="I475" s="298"/>
      <c r="J475" s="223" t="str">
        <f>IFERROR(__xludf.DUMMYFUNCTION("""COMPUTED_VALUE"""),"Monthly")</f>
        <v>Monthly</v>
      </c>
      <c r="K475" s="317">
        <f>IFERROR(__xludf.DUMMYFUNCTION("""COMPUTED_VALUE"""),2022.08)</f>
        <v>2022.08</v>
      </c>
      <c r="L475" s="298"/>
      <c r="M475" s="223"/>
      <c r="N475" s="223"/>
      <c r="O475" s="223"/>
      <c r="P475" s="223"/>
      <c r="Q475" s="223"/>
      <c r="R475" s="223"/>
      <c r="S475" s="223"/>
      <c r="T475" s="223"/>
      <c r="U475" s="223"/>
      <c r="V475" s="223"/>
      <c r="W475" s="223"/>
      <c r="X475" s="223"/>
      <c r="Y475" s="223"/>
      <c r="Z475" s="223"/>
    </row>
    <row r="476">
      <c r="A476" s="223" t="str">
        <f>IFERROR(__xludf.DUMMYFUNCTION("""COMPUTED_VALUE"""),"FIKSE Wheels : Google Ongoing Monthly Search Ad Work")</f>
        <v>FIKSE Wheels : Google Ongoing Monthly Search Ad Work</v>
      </c>
      <c r="B476" s="223" t="str">
        <f>IFERROR(__xludf.DUMMYFUNCTION("""COMPUTED_VALUE"""),"FIKSE Wheels")</f>
        <v>FIKSE Wheels</v>
      </c>
      <c r="C476" s="223" t="str">
        <f>IFERROR(__xludf.DUMMYFUNCTION("""COMPUTED_VALUE"""),"Google Ongoing Monthly Search Ad Work")</f>
        <v>Google Ongoing Monthly Search Ad Work</v>
      </c>
      <c r="D476" s="316">
        <f>IFERROR(__xludf.DUMMYFUNCTION("""COMPUTED_VALUE"""),44788.0)</f>
        <v>44788</v>
      </c>
      <c r="E476" s="298">
        <f>IFERROR(__xludf.DUMMYFUNCTION("""COMPUTED_VALUE"""),500.0)</f>
        <v>500</v>
      </c>
      <c r="F476" s="298">
        <f>IFERROR(__xludf.DUMMYFUNCTION("""COMPUTED_VALUE"""),15.56)</f>
        <v>15.56</v>
      </c>
      <c r="G476" s="298">
        <f>IFERROR(__xludf.DUMMYFUNCTION("""COMPUTED_VALUE"""),0.0)</f>
        <v>0</v>
      </c>
      <c r="H476" s="223">
        <f>IFERROR(__xludf.DUMMYFUNCTION("""COMPUTED_VALUE"""),484.44)</f>
        <v>484.44</v>
      </c>
      <c r="I476" s="298"/>
      <c r="J476" s="223" t="str">
        <f>IFERROR(__xludf.DUMMYFUNCTION("""COMPUTED_VALUE"""),"Monthly")</f>
        <v>Monthly</v>
      </c>
      <c r="K476" s="317">
        <f>IFERROR(__xludf.DUMMYFUNCTION("""COMPUTED_VALUE"""),2022.08)</f>
        <v>2022.08</v>
      </c>
      <c r="L476" s="298"/>
      <c r="M476" s="223"/>
      <c r="N476" s="223"/>
      <c r="O476" s="223"/>
      <c r="P476" s="223"/>
      <c r="Q476" s="223"/>
      <c r="R476" s="223"/>
      <c r="S476" s="223"/>
      <c r="T476" s="223"/>
      <c r="U476" s="223"/>
      <c r="V476" s="223"/>
      <c r="W476" s="223"/>
      <c r="X476" s="223"/>
      <c r="Y476" s="223"/>
      <c r="Z476" s="223"/>
    </row>
    <row r="477">
      <c r="A477" s="223" t="str">
        <f>IFERROR(__xludf.DUMMYFUNCTION("""COMPUTED_VALUE"""),"Canyon's Construction : Enhanced Hosting &amp; WordPress Support")</f>
        <v>Canyon's Construction : Enhanced Hosting &amp; WordPress Support</v>
      </c>
      <c r="B477" s="223" t="str">
        <f>IFERROR(__xludf.DUMMYFUNCTION("""COMPUTED_VALUE"""),"Canyon's Construction")</f>
        <v>Canyon's Construction</v>
      </c>
      <c r="C477" s="223" t="str">
        <f>IFERROR(__xludf.DUMMYFUNCTION("""COMPUTED_VALUE"""),"Enhanced Hosting &amp; WordPress Support")</f>
        <v>Enhanced Hosting &amp; WordPress Support</v>
      </c>
      <c r="D477" s="316">
        <f>IFERROR(__xludf.DUMMYFUNCTION("""COMPUTED_VALUE"""),44788.0)</f>
        <v>44788</v>
      </c>
      <c r="E477" s="298">
        <f>IFERROR(__xludf.DUMMYFUNCTION("""COMPUTED_VALUE"""),362.74895999999995)</f>
        <v>362.74896</v>
      </c>
      <c r="F477" s="298">
        <f>IFERROR(__xludf.DUMMYFUNCTION("""COMPUTED_VALUE"""),13.81037112)</f>
        <v>13.81037112</v>
      </c>
      <c r="G477" s="298">
        <f>IFERROR(__xludf.DUMMYFUNCTION("""COMPUTED_VALUE"""),69.787717776)</f>
        <v>69.78771778</v>
      </c>
      <c r="H477" s="223">
        <f>IFERROR(__xludf.DUMMYFUNCTION("""COMPUTED_VALUE"""),279.150871104)</f>
        <v>279.1508711</v>
      </c>
      <c r="I477" s="298"/>
      <c r="J477" s="223" t="str">
        <f>IFERROR(__xludf.DUMMYFUNCTION("""COMPUTED_VALUE"""),"Monthly")</f>
        <v>Monthly</v>
      </c>
      <c r="K477" s="317">
        <f>IFERROR(__xludf.DUMMYFUNCTION("""COMPUTED_VALUE"""),2022.08)</f>
        <v>2022.08</v>
      </c>
      <c r="L477" s="298"/>
      <c r="M477" s="223"/>
      <c r="N477" s="223"/>
      <c r="O477" s="223"/>
      <c r="P477" s="223"/>
      <c r="Q477" s="223"/>
      <c r="R477" s="223"/>
      <c r="S477" s="223"/>
      <c r="T477" s="223"/>
      <c r="U477" s="223"/>
      <c r="V477" s="223"/>
      <c r="W477" s="223"/>
      <c r="X477" s="223"/>
      <c r="Y477" s="223"/>
      <c r="Z477" s="223"/>
    </row>
    <row r="478">
      <c r="A478" s="223" t="str">
        <f>IFERROR(__xludf.DUMMYFUNCTION("""COMPUTED_VALUE"""),"Moloco : Monthly PPC")</f>
        <v>Moloco : Monthly PPC</v>
      </c>
      <c r="B478" s="223" t="str">
        <f>IFERROR(__xludf.DUMMYFUNCTION("""COMPUTED_VALUE"""),"Moloco")</f>
        <v>Moloco</v>
      </c>
      <c r="C478" s="223" t="str">
        <f>IFERROR(__xludf.DUMMYFUNCTION("""COMPUTED_VALUE"""),"Monthly PPC")</f>
        <v>Monthly PPC</v>
      </c>
      <c r="D478" s="316">
        <f>IFERROR(__xludf.DUMMYFUNCTION("""COMPUTED_VALUE"""),44788.0)</f>
        <v>44788</v>
      </c>
      <c r="E478" s="298">
        <f>IFERROR(__xludf.DUMMYFUNCTION("""COMPUTED_VALUE"""),749.4996)</f>
        <v>749.4996</v>
      </c>
      <c r="F478" s="298">
        <f>IFERROR(__xludf.DUMMYFUNCTION("""COMPUTED_VALUE"""),28.106235)</f>
        <v>28.106235</v>
      </c>
      <c r="G478" s="298">
        <f>IFERROR(__xludf.DUMMYFUNCTION("""COMPUTED_VALUE"""),0.0)</f>
        <v>0</v>
      </c>
      <c r="H478" s="223">
        <f>IFERROR(__xludf.DUMMYFUNCTION("""COMPUTED_VALUE"""),721.393365)</f>
        <v>721.393365</v>
      </c>
      <c r="I478" s="298"/>
      <c r="J478" s="223" t="str">
        <f>IFERROR(__xludf.DUMMYFUNCTION("""COMPUTED_VALUE"""),"Monthly")</f>
        <v>Monthly</v>
      </c>
      <c r="K478" s="317">
        <f>IFERROR(__xludf.DUMMYFUNCTION("""COMPUTED_VALUE"""),2022.08)</f>
        <v>2022.08</v>
      </c>
      <c r="L478" s="298"/>
      <c r="M478" s="223"/>
      <c r="N478" s="223"/>
      <c r="O478" s="223"/>
      <c r="P478" s="223"/>
      <c r="Q478" s="223"/>
      <c r="R478" s="223"/>
      <c r="S478" s="223"/>
      <c r="T478" s="223"/>
      <c r="U478" s="223"/>
      <c r="V478" s="223"/>
      <c r="W478" s="223"/>
      <c r="X478" s="223"/>
      <c r="Y478" s="223"/>
      <c r="Z478" s="223"/>
    </row>
    <row r="479">
      <c r="A479" s="223" t="str">
        <f>IFERROR(__xludf.DUMMYFUNCTION("""COMPUTED_VALUE"""),"Charli AI : PPC Work")</f>
        <v>Charli AI : PPC Work</v>
      </c>
      <c r="B479" s="223" t="str">
        <f>IFERROR(__xludf.DUMMYFUNCTION("""COMPUTED_VALUE"""),"Charli AI")</f>
        <v>Charli AI</v>
      </c>
      <c r="C479" s="223" t="str">
        <f>IFERROR(__xludf.DUMMYFUNCTION("""COMPUTED_VALUE"""),"PPC Work")</f>
        <v>PPC Work</v>
      </c>
      <c r="D479" s="316">
        <f>IFERROR(__xludf.DUMMYFUNCTION("""COMPUTED_VALUE"""),44788.0)</f>
        <v>44788</v>
      </c>
      <c r="E479" s="298">
        <f>IFERROR(__xludf.DUMMYFUNCTION("""COMPUTED_VALUE"""),450.0)</f>
        <v>450</v>
      </c>
      <c r="F479" s="298">
        <f>IFERROR(__xludf.DUMMYFUNCTION("""COMPUTED_VALUE"""),14.0)</f>
        <v>14</v>
      </c>
      <c r="G479" s="298">
        <f>IFERROR(__xludf.DUMMYFUNCTION("""COMPUTED_VALUE"""),0.0)</f>
        <v>0</v>
      </c>
      <c r="H479" s="223">
        <f>IFERROR(__xludf.DUMMYFUNCTION("""COMPUTED_VALUE"""),436.0)</f>
        <v>436</v>
      </c>
      <c r="I479" s="298"/>
      <c r="J479" s="223" t="str">
        <f>IFERROR(__xludf.DUMMYFUNCTION("""COMPUTED_VALUE"""),"One-Time")</f>
        <v>One-Time</v>
      </c>
      <c r="K479" s="317">
        <f>IFERROR(__xludf.DUMMYFUNCTION("""COMPUTED_VALUE"""),2022.08)</f>
        <v>2022.08</v>
      </c>
      <c r="L479" s="298"/>
      <c r="M479" s="223"/>
      <c r="N479" s="223"/>
      <c r="O479" s="223"/>
      <c r="P479" s="223"/>
      <c r="Q479" s="223"/>
      <c r="R479" s="223"/>
      <c r="S479" s="223"/>
      <c r="T479" s="223"/>
      <c r="U479" s="223"/>
      <c r="V479" s="223"/>
      <c r="W479" s="223"/>
      <c r="X479" s="223"/>
      <c r="Y479" s="223"/>
      <c r="Z479" s="223"/>
    </row>
    <row r="480">
      <c r="A480" s="223" t="str">
        <f>IFERROR(__xludf.DUMMYFUNCTION("""COMPUTED_VALUE"""),"Anook Athletics : Monthly Services")</f>
        <v>Anook Athletics : Monthly Services</v>
      </c>
      <c r="B480" s="223" t="str">
        <f>IFERROR(__xludf.DUMMYFUNCTION("""COMPUTED_VALUE"""),"Anook Athletics")</f>
        <v>Anook Athletics</v>
      </c>
      <c r="C480" s="223" t="str">
        <f>IFERROR(__xludf.DUMMYFUNCTION("""COMPUTED_VALUE"""),"Monthly Services")</f>
        <v>Monthly Services</v>
      </c>
      <c r="D480" s="316">
        <f>IFERROR(__xludf.DUMMYFUNCTION("""COMPUTED_VALUE"""),44804.0)</f>
        <v>44804</v>
      </c>
      <c r="E480" s="298">
        <f>IFERROR(__xludf.DUMMYFUNCTION("""COMPUTED_VALUE"""),800.0)</f>
        <v>800</v>
      </c>
      <c r="F480" s="298">
        <f>IFERROR(__xludf.DUMMYFUNCTION("""COMPUTED_VALUE"""),24.89)</f>
        <v>24.89</v>
      </c>
      <c r="G480" s="298">
        <f>IFERROR(__xludf.DUMMYFUNCTION("""COMPUTED_VALUE"""),0.0)</f>
        <v>0</v>
      </c>
      <c r="H480" s="223">
        <f>IFERROR(__xludf.DUMMYFUNCTION("""COMPUTED_VALUE"""),775.11)</f>
        <v>775.11</v>
      </c>
      <c r="I480" s="298"/>
      <c r="J480" s="223" t="str">
        <f>IFERROR(__xludf.DUMMYFUNCTION("""COMPUTED_VALUE"""),"Monthly")</f>
        <v>Monthly</v>
      </c>
      <c r="K480" s="317">
        <f>IFERROR(__xludf.DUMMYFUNCTION("""COMPUTED_VALUE"""),2022.08)</f>
        <v>2022.08</v>
      </c>
      <c r="L480" s="298"/>
      <c r="M480" s="223"/>
      <c r="N480" s="223"/>
      <c r="O480" s="223"/>
      <c r="P480" s="223"/>
      <c r="Q480" s="223"/>
      <c r="R480" s="223"/>
      <c r="S480" s="223"/>
      <c r="T480" s="223"/>
      <c r="U480" s="223"/>
      <c r="V480" s="223"/>
      <c r="W480" s="223"/>
      <c r="X480" s="223"/>
      <c r="Y480" s="223"/>
      <c r="Z480" s="223"/>
    </row>
    <row r="481">
      <c r="A481" s="223" t="str">
        <f>IFERROR(__xludf.DUMMYFUNCTION("""COMPUTED_VALUE"""),"Availed Technologies : Monthly Services")</f>
        <v>Availed Technologies : Monthly Services</v>
      </c>
      <c r="B481" s="223" t="str">
        <f>IFERROR(__xludf.DUMMYFUNCTION("""COMPUTED_VALUE"""),"Availed Technologies")</f>
        <v>Availed Technologies</v>
      </c>
      <c r="C481" s="223" t="str">
        <f>IFERROR(__xludf.DUMMYFUNCTION("""COMPUTED_VALUE"""),"Monthly Services")</f>
        <v>Monthly Services</v>
      </c>
      <c r="D481" s="316">
        <f>IFERROR(__xludf.DUMMYFUNCTION("""COMPUTED_VALUE"""),44804.0)</f>
        <v>44804</v>
      </c>
      <c r="E481" s="298">
        <f>IFERROR(__xludf.DUMMYFUNCTION("""COMPUTED_VALUE"""),750.0)</f>
        <v>750</v>
      </c>
      <c r="F481" s="298">
        <f>IFERROR(__xludf.DUMMYFUNCTION("""COMPUTED_VALUE"""),23.33)</f>
        <v>23.33</v>
      </c>
      <c r="G481" s="298">
        <f>IFERROR(__xludf.DUMMYFUNCTION("""COMPUTED_VALUE"""),0.0)</f>
        <v>0</v>
      </c>
      <c r="H481" s="223">
        <f>IFERROR(__xludf.DUMMYFUNCTION("""COMPUTED_VALUE"""),726.67)</f>
        <v>726.67</v>
      </c>
      <c r="I481" s="298"/>
      <c r="J481" s="223" t="str">
        <f>IFERROR(__xludf.DUMMYFUNCTION("""COMPUTED_VALUE"""),"Monthly")</f>
        <v>Monthly</v>
      </c>
      <c r="K481" s="317">
        <f>IFERROR(__xludf.DUMMYFUNCTION("""COMPUTED_VALUE"""),2022.08)</f>
        <v>2022.08</v>
      </c>
      <c r="L481" s="298"/>
      <c r="M481" s="223"/>
      <c r="N481" s="223"/>
      <c r="O481" s="223"/>
      <c r="P481" s="223"/>
      <c r="Q481" s="223"/>
      <c r="R481" s="223"/>
      <c r="S481" s="223"/>
      <c r="T481" s="223"/>
      <c r="U481" s="223"/>
      <c r="V481" s="223"/>
      <c r="W481" s="223"/>
      <c r="X481" s="223"/>
      <c r="Y481" s="223"/>
      <c r="Z481" s="223"/>
    </row>
    <row r="482">
      <c r="A482" s="223" t="str">
        <f>IFERROR(__xludf.DUMMYFUNCTION("""COMPUTED_VALUE"""),"BookKing (Pacific Tier) : Monthly Services")</f>
        <v>BookKing (Pacific Tier) : Monthly Services</v>
      </c>
      <c r="B482" s="223" t="str">
        <f>IFERROR(__xludf.DUMMYFUNCTION("""COMPUTED_VALUE"""),"BookKing (Pacific Tier)")</f>
        <v>BookKing (Pacific Tier)</v>
      </c>
      <c r="C482" s="223" t="str">
        <f>IFERROR(__xludf.DUMMYFUNCTION("""COMPUTED_VALUE"""),"Monthly Services")</f>
        <v>Monthly Services</v>
      </c>
      <c r="D482" s="316">
        <f>IFERROR(__xludf.DUMMYFUNCTION("""COMPUTED_VALUE"""),44804.0)</f>
        <v>44804</v>
      </c>
      <c r="E482" s="298">
        <f>IFERROR(__xludf.DUMMYFUNCTION("""COMPUTED_VALUE"""),900.0)</f>
        <v>900</v>
      </c>
      <c r="F482" s="298">
        <f>IFERROR(__xludf.DUMMYFUNCTION("""COMPUTED_VALUE"""),0.0)</f>
        <v>0</v>
      </c>
      <c r="G482" s="298">
        <f>IFERROR(__xludf.DUMMYFUNCTION("""COMPUTED_VALUE"""),0.0)</f>
        <v>0</v>
      </c>
      <c r="H482" s="223">
        <f>IFERROR(__xludf.DUMMYFUNCTION("""COMPUTED_VALUE"""),900.0)</f>
        <v>900</v>
      </c>
      <c r="I482" s="298"/>
      <c r="J482" s="223" t="str">
        <f>IFERROR(__xludf.DUMMYFUNCTION("""COMPUTED_VALUE"""),"Monthly")</f>
        <v>Monthly</v>
      </c>
      <c r="K482" s="317">
        <f>IFERROR(__xludf.DUMMYFUNCTION("""COMPUTED_VALUE"""),2022.08)</f>
        <v>2022.08</v>
      </c>
      <c r="L482" s="298"/>
      <c r="M482" s="223"/>
      <c r="N482" s="223"/>
      <c r="O482" s="223"/>
      <c r="P482" s="223"/>
      <c r="Q482" s="223"/>
      <c r="R482" s="223"/>
      <c r="S482" s="223"/>
      <c r="T482" s="223"/>
      <c r="U482" s="223"/>
      <c r="V482" s="223"/>
      <c r="W482" s="223"/>
      <c r="X482" s="223"/>
      <c r="Y482" s="223"/>
      <c r="Z482" s="223"/>
    </row>
    <row r="483">
      <c r="A483" s="223" t="str">
        <f>IFERROR(__xludf.DUMMYFUNCTION("""COMPUTED_VALUE"""),"Bratopia : Monthly Services")</f>
        <v>Bratopia : Monthly Services</v>
      </c>
      <c r="B483" s="223" t="str">
        <f>IFERROR(__xludf.DUMMYFUNCTION("""COMPUTED_VALUE"""),"Bratopia")</f>
        <v>Bratopia</v>
      </c>
      <c r="C483" s="223" t="str">
        <f>IFERROR(__xludf.DUMMYFUNCTION("""COMPUTED_VALUE"""),"Monthly Services")</f>
        <v>Monthly Services</v>
      </c>
      <c r="D483" s="316">
        <f>IFERROR(__xludf.DUMMYFUNCTION("""COMPUTED_VALUE"""),44804.0)</f>
        <v>44804</v>
      </c>
      <c r="E483" s="298">
        <f>IFERROR(__xludf.DUMMYFUNCTION("""COMPUTED_VALUE"""),1550.0)</f>
        <v>1550</v>
      </c>
      <c r="F483" s="298">
        <f>IFERROR(__xludf.DUMMYFUNCTION("""COMPUTED_VALUE"""),48.22)</f>
        <v>48.22</v>
      </c>
      <c r="G483" s="298">
        <f>IFERROR(__xludf.DUMMYFUNCTION("""COMPUTED_VALUE"""),0.0)</f>
        <v>0</v>
      </c>
      <c r="H483" s="223">
        <f>IFERROR(__xludf.DUMMYFUNCTION("""COMPUTED_VALUE"""),1501.78)</f>
        <v>1501.78</v>
      </c>
      <c r="I483" s="298"/>
      <c r="J483" s="223" t="str">
        <f>IFERROR(__xludf.DUMMYFUNCTION("""COMPUTED_VALUE"""),"Monthly")</f>
        <v>Monthly</v>
      </c>
      <c r="K483" s="317">
        <f>IFERROR(__xludf.DUMMYFUNCTION("""COMPUTED_VALUE"""),2022.08)</f>
        <v>2022.08</v>
      </c>
      <c r="L483" s="298"/>
      <c r="M483" s="223"/>
      <c r="N483" s="223"/>
      <c r="O483" s="223"/>
      <c r="P483" s="223"/>
      <c r="Q483" s="223"/>
      <c r="R483" s="223"/>
      <c r="S483" s="223"/>
      <c r="T483" s="223"/>
      <c r="U483" s="223"/>
      <c r="V483" s="223"/>
      <c r="W483" s="223"/>
      <c r="X483" s="223"/>
      <c r="Y483" s="223"/>
      <c r="Z483" s="223"/>
    </row>
    <row r="484">
      <c r="A484" s="223" t="str">
        <f>IFERROR(__xludf.DUMMYFUNCTION("""COMPUTED_VALUE"""),"Diversified Health : Monthly Services")</f>
        <v>Diversified Health : Monthly Services</v>
      </c>
      <c r="B484" s="223" t="str">
        <f>IFERROR(__xludf.DUMMYFUNCTION("""COMPUTED_VALUE"""),"Diversified Health")</f>
        <v>Diversified Health</v>
      </c>
      <c r="C484" s="223" t="str">
        <f>IFERROR(__xludf.DUMMYFUNCTION("""COMPUTED_VALUE"""),"Monthly Services")</f>
        <v>Monthly Services</v>
      </c>
      <c r="D484" s="316">
        <f>IFERROR(__xludf.DUMMYFUNCTION("""COMPUTED_VALUE"""),44804.0)</f>
        <v>44804</v>
      </c>
      <c r="E484" s="298">
        <f>IFERROR(__xludf.DUMMYFUNCTION("""COMPUTED_VALUE"""),1000.0)</f>
        <v>1000</v>
      </c>
      <c r="F484" s="298">
        <f>IFERROR(__xludf.DUMMYFUNCTION("""COMPUTED_VALUE"""),0.0)</f>
        <v>0</v>
      </c>
      <c r="G484" s="298">
        <f>IFERROR(__xludf.DUMMYFUNCTION("""COMPUTED_VALUE"""),0.0)</f>
        <v>0</v>
      </c>
      <c r="H484" s="223">
        <f>IFERROR(__xludf.DUMMYFUNCTION("""COMPUTED_VALUE"""),1000.0)</f>
        <v>1000</v>
      </c>
      <c r="I484" s="298"/>
      <c r="J484" s="223" t="str">
        <f>IFERROR(__xludf.DUMMYFUNCTION("""COMPUTED_VALUE"""),"Monthly")</f>
        <v>Monthly</v>
      </c>
      <c r="K484" s="317">
        <f>IFERROR(__xludf.DUMMYFUNCTION("""COMPUTED_VALUE"""),2022.08)</f>
        <v>2022.08</v>
      </c>
      <c r="L484" s="298"/>
      <c r="M484" s="223"/>
      <c r="N484" s="223"/>
      <c r="O484" s="223"/>
      <c r="P484" s="223"/>
      <c r="Q484" s="223"/>
      <c r="R484" s="223"/>
      <c r="S484" s="223"/>
      <c r="T484" s="223"/>
      <c r="U484" s="223"/>
      <c r="V484" s="223"/>
      <c r="W484" s="223"/>
      <c r="X484" s="223"/>
      <c r="Y484" s="223"/>
      <c r="Z484" s="223"/>
    </row>
    <row r="485">
      <c r="A485" s="223" t="str">
        <f>IFERROR(__xludf.DUMMYFUNCTION("""COMPUTED_VALUE"""),"Hastings House : Monthly Services")</f>
        <v>Hastings House : Monthly Services</v>
      </c>
      <c r="B485" s="223" t="str">
        <f>IFERROR(__xludf.DUMMYFUNCTION("""COMPUTED_VALUE"""),"Hastings House")</f>
        <v>Hastings House</v>
      </c>
      <c r="C485" s="223" t="str">
        <f>IFERROR(__xludf.DUMMYFUNCTION("""COMPUTED_VALUE"""),"Monthly Services")</f>
        <v>Monthly Services</v>
      </c>
      <c r="D485" s="316">
        <f>IFERROR(__xludf.DUMMYFUNCTION("""COMPUTED_VALUE"""),44804.0)</f>
        <v>44804</v>
      </c>
      <c r="E485" s="298">
        <f>IFERROR(__xludf.DUMMYFUNCTION("""COMPUTED_VALUE"""),1500.0)</f>
        <v>1500</v>
      </c>
      <c r="F485" s="298">
        <f>IFERROR(__xludf.DUMMYFUNCTION("""COMPUTED_VALUE"""),46.67)</f>
        <v>46.67</v>
      </c>
      <c r="G485" s="298">
        <f>IFERROR(__xludf.DUMMYFUNCTION("""COMPUTED_VALUE"""),217.99949999999998)</f>
        <v>217.9995</v>
      </c>
      <c r="H485" s="223">
        <f>IFERROR(__xludf.DUMMYFUNCTION("""COMPUTED_VALUE"""),1235.3305)</f>
        <v>1235.3305</v>
      </c>
      <c r="I485" s="298"/>
      <c r="J485" s="223" t="str">
        <f>IFERROR(__xludf.DUMMYFUNCTION("""COMPUTED_VALUE"""),"Monthly")</f>
        <v>Monthly</v>
      </c>
      <c r="K485" s="317">
        <f>IFERROR(__xludf.DUMMYFUNCTION("""COMPUTED_VALUE"""),2022.08)</f>
        <v>2022.08</v>
      </c>
      <c r="L485" s="298"/>
      <c r="M485" s="223"/>
      <c r="N485" s="223"/>
      <c r="O485" s="223"/>
      <c r="P485" s="223"/>
      <c r="Q485" s="223"/>
      <c r="R485" s="223"/>
      <c r="S485" s="223"/>
      <c r="T485" s="223"/>
      <c r="U485" s="223"/>
      <c r="V485" s="223"/>
      <c r="W485" s="223"/>
      <c r="X485" s="223"/>
      <c r="Y485" s="223"/>
      <c r="Z485" s="223"/>
    </row>
    <row r="486">
      <c r="A486" s="223" t="str">
        <f>IFERROR(__xludf.DUMMYFUNCTION("""COMPUTED_VALUE"""),"HSJ Lawyers : Monthly Services")</f>
        <v>HSJ Lawyers : Monthly Services</v>
      </c>
      <c r="B486" s="223" t="str">
        <f>IFERROR(__xludf.DUMMYFUNCTION("""COMPUTED_VALUE"""),"HSJ Lawyers")</f>
        <v>HSJ Lawyers</v>
      </c>
      <c r="C486" s="223" t="str">
        <f>IFERROR(__xludf.DUMMYFUNCTION("""COMPUTED_VALUE"""),"Monthly Services")</f>
        <v>Monthly Services</v>
      </c>
      <c r="D486" s="316">
        <f>IFERROR(__xludf.DUMMYFUNCTION("""COMPUTED_VALUE"""),44804.0)</f>
        <v>44804</v>
      </c>
      <c r="E486" s="298">
        <f>IFERROR(__xludf.DUMMYFUNCTION("""COMPUTED_VALUE"""),800.0)</f>
        <v>800</v>
      </c>
      <c r="F486" s="298">
        <f>IFERROR(__xludf.DUMMYFUNCTION("""COMPUTED_VALUE"""),0.0)</f>
        <v>0</v>
      </c>
      <c r="G486" s="298">
        <f>IFERROR(__xludf.DUMMYFUNCTION("""COMPUTED_VALUE"""),0.0)</f>
        <v>0</v>
      </c>
      <c r="H486" s="223">
        <f>IFERROR(__xludf.DUMMYFUNCTION("""COMPUTED_VALUE"""),800.0)</f>
        <v>800</v>
      </c>
      <c r="I486" s="298"/>
      <c r="J486" s="223" t="str">
        <f>IFERROR(__xludf.DUMMYFUNCTION("""COMPUTED_VALUE"""),"Monthly")</f>
        <v>Monthly</v>
      </c>
      <c r="K486" s="317">
        <f>IFERROR(__xludf.DUMMYFUNCTION("""COMPUTED_VALUE"""),2022.08)</f>
        <v>2022.08</v>
      </c>
      <c r="L486" s="298"/>
      <c r="M486" s="223"/>
      <c r="N486" s="223"/>
      <c r="O486" s="223"/>
      <c r="P486" s="223"/>
      <c r="Q486" s="223"/>
      <c r="R486" s="223"/>
      <c r="S486" s="223"/>
      <c r="T486" s="223"/>
      <c r="U486" s="223"/>
      <c r="V486" s="223"/>
      <c r="W486" s="223"/>
      <c r="X486" s="223"/>
      <c r="Y486" s="223"/>
      <c r="Z486" s="223"/>
    </row>
    <row r="487">
      <c r="A487" s="223" t="str">
        <f>IFERROR(__xludf.DUMMYFUNCTION("""COMPUTED_VALUE"""),"MortgagePal : Monthly Services")</f>
        <v>MortgagePal : Monthly Services</v>
      </c>
      <c r="B487" s="223" t="str">
        <f>IFERROR(__xludf.DUMMYFUNCTION("""COMPUTED_VALUE"""),"MortgagePal")</f>
        <v>MortgagePal</v>
      </c>
      <c r="C487" s="223" t="str">
        <f>IFERROR(__xludf.DUMMYFUNCTION("""COMPUTED_VALUE"""),"Monthly Services")</f>
        <v>Monthly Services</v>
      </c>
      <c r="D487" s="316">
        <f>IFERROR(__xludf.DUMMYFUNCTION("""COMPUTED_VALUE"""),44804.0)</f>
        <v>44804</v>
      </c>
      <c r="E487" s="298">
        <f>IFERROR(__xludf.DUMMYFUNCTION("""COMPUTED_VALUE"""),500.0)</f>
        <v>500</v>
      </c>
      <c r="F487" s="298">
        <f>IFERROR(__xludf.DUMMYFUNCTION("""COMPUTED_VALUE"""),15.53)</f>
        <v>15.53</v>
      </c>
      <c r="G487" s="298">
        <f>IFERROR(__xludf.DUMMYFUNCTION("""COMPUTED_VALUE"""),0.0)</f>
        <v>0</v>
      </c>
      <c r="H487" s="223">
        <f>IFERROR(__xludf.DUMMYFUNCTION("""COMPUTED_VALUE"""),484.47)</f>
        <v>484.47</v>
      </c>
      <c r="I487" s="298"/>
      <c r="J487" s="223" t="str">
        <f>IFERROR(__xludf.DUMMYFUNCTION("""COMPUTED_VALUE"""),"Monthly")</f>
        <v>Monthly</v>
      </c>
      <c r="K487" s="317">
        <f>IFERROR(__xludf.DUMMYFUNCTION("""COMPUTED_VALUE"""),2022.08)</f>
        <v>2022.08</v>
      </c>
      <c r="L487" s="298"/>
      <c r="M487" s="223"/>
      <c r="N487" s="223"/>
      <c r="O487" s="223"/>
      <c r="P487" s="223"/>
      <c r="Q487" s="223"/>
      <c r="R487" s="223"/>
      <c r="S487" s="223"/>
      <c r="T487" s="223"/>
      <c r="U487" s="223"/>
      <c r="V487" s="223"/>
      <c r="W487" s="223"/>
      <c r="X487" s="223"/>
      <c r="Y487" s="223"/>
      <c r="Z487" s="223"/>
    </row>
    <row r="488">
      <c r="A488" s="223" t="str">
        <f>IFERROR(__xludf.DUMMYFUNCTION("""COMPUTED_VALUE"""),"PMDI : Monthly Services")</f>
        <v>PMDI : Monthly Services</v>
      </c>
      <c r="B488" s="223" t="str">
        <f>IFERROR(__xludf.DUMMYFUNCTION("""COMPUTED_VALUE"""),"PMDI")</f>
        <v>PMDI</v>
      </c>
      <c r="C488" s="223" t="str">
        <f>IFERROR(__xludf.DUMMYFUNCTION("""COMPUTED_VALUE"""),"Monthly Services")</f>
        <v>Monthly Services</v>
      </c>
      <c r="D488" s="316">
        <f>IFERROR(__xludf.DUMMYFUNCTION("""COMPUTED_VALUE"""),44804.0)</f>
        <v>44804</v>
      </c>
      <c r="E488" s="298">
        <f>IFERROR(__xludf.DUMMYFUNCTION("""COMPUTED_VALUE"""),375.0)</f>
        <v>375</v>
      </c>
      <c r="F488" s="298">
        <f>IFERROR(__xludf.DUMMYFUNCTION("""COMPUTED_VALUE"""),0.0)</f>
        <v>0</v>
      </c>
      <c r="G488" s="298">
        <f>IFERROR(__xludf.DUMMYFUNCTION("""COMPUTED_VALUE"""),0.0)</f>
        <v>0</v>
      </c>
      <c r="H488" s="223">
        <f>IFERROR(__xludf.DUMMYFUNCTION("""COMPUTED_VALUE"""),375.0)</f>
        <v>375</v>
      </c>
      <c r="I488" s="298"/>
      <c r="J488" s="223" t="str">
        <f>IFERROR(__xludf.DUMMYFUNCTION("""COMPUTED_VALUE"""),"Monthly")</f>
        <v>Monthly</v>
      </c>
      <c r="K488" s="317">
        <f>IFERROR(__xludf.DUMMYFUNCTION("""COMPUTED_VALUE"""),2022.08)</f>
        <v>2022.08</v>
      </c>
      <c r="L488" s="298"/>
      <c r="M488" s="223"/>
      <c r="N488" s="223"/>
      <c r="O488" s="223"/>
      <c r="P488" s="223"/>
      <c r="Q488" s="223"/>
      <c r="R488" s="223"/>
      <c r="S488" s="223"/>
      <c r="T488" s="223"/>
      <c r="U488" s="223"/>
      <c r="V488" s="223"/>
      <c r="W488" s="223"/>
      <c r="X488" s="223"/>
      <c r="Y488" s="223"/>
      <c r="Z488" s="223"/>
    </row>
    <row r="489">
      <c r="A489" s="223" t="str">
        <f>IFERROR(__xludf.DUMMYFUNCTION("""COMPUTED_VALUE"""),"Prime Engineering : Monthly Services")</f>
        <v>Prime Engineering : Monthly Services</v>
      </c>
      <c r="B489" s="223" t="str">
        <f>IFERROR(__xludf.DUMMYFUNCTION("""COMPUTED_VALUE"""),"Prime Engineering")</f>
        <v>Prime Engineering</v>
      </c>
      <c r="C489" s="223" t="str">
        <f>IFERROR(__xludf.DUMMYFUNCTION("""COMPUTED_VALUE"""),"Monthly Services")</f>
        <v>Monthly Services</v>
      </c>
      <c r="D489" s="316">
        <f>IFERROR(__xludf.DUMMYFUNCTION("""COMPUTED_VALUE"""),44804.0)</f>
        <v>44804</v>
      </c>
      <c r="E489" s="298">
        <f>IFERROR(__xludf.DUMMYFUNCTION("""COMPUTED_VALUE"""),500.0)</f>
        <v>500</v>
      </c>
      <c r="F489" s="298">
        <f>IFERROR(__xludf.DUMMYFUNCTION("""COMPUTED_VALUE"""),0.0)</f>
        <v>0</v>
      </c>
      <c r="G489" s="298">
        <f>IFERROR(__xludf.DUMMYFUNCTION("""COMPUTED_VALUE"""),0.0)</f>
        <v>0</v>
      </c>
      <c r="H489" s="223">
        <f>IFERROR(__xludf.DUMMYFUNCTION("""COMPUTED_VALUE"""),500.0)</f>
        <v>500</v>
      </c>
      <c r="I489" s="298"/>
      <c r="J489" s="223" t="str">
        <f>IFERROR(__xludf.DUMMYFUNCTION("""COMPUTED_VALUE"""),"Monthly")</f>
        <v>Monthly</v>
      </c>
      <c r="K489" s="317">
        <f>IFERROR(__xludf.DUMMYFUNCTION("""COMPUTED_VALUE"""),2022.08)</f>
        <v>2022.08</v>
      </c>
      <c r="L489" s="298"/>
      <c r="M489" s="223"/>
      <c r="N489" s="223"/>
      <c r="O489" s="223"/>
      <c r="P489" s="223"/>
      <c r="Q489" s="223"/>
      <c r="R489" s="223"/>
      <c r="S489" s="223"/>
      <c r="T489" s="223"/>
      <c r="U489" s="223"/>
      <c r="V489" s="223"/>
      <c r="W489" s="223"/>
      <c r="X489" s="223"/>
      <c r="Y489" s="223"/>
      <c r="Z489" s="223"/>
    </row>
    <row r="490">
      <c r="A490" s="223" t="str">
        <f>IFERROR(__xludf.DUMMYFUNCTION("""COMPUTED_VALUE"""),"Rama Meditation Society : Premium Hosting + Support")</f>
        <v>Rama Meditation Society : Premium Hosting + Support</v>
      </c>
      <c r="B490" s="223" t="str">
        <f>IFERROR(__xludf.DUMMYFUNCTION("""COMPUTED_VALUE"""),"Rama Meditation Society")</f>
        <v>Rama Meditation Society</v>
      </c>
      <c r="C490" s="223" t="str">
        <f>IFERROR(__xludf.DUMMYFUNCTION("""COMPUTED_VALUE"""),"Premium Hosting + Support")</f>
        <v>Premium Hosting + Support</v>
      </c>
      <c r="D490" s="316">
        <f>IFERROR(__xludf.DUMMYFUNCTION("""COMPUTED_VALUE"""),44804.0)</f>
        <v>44804</v>
      </c>
      <c r="E490" s="298">
        <f>IFERROR(__xludf.DUMMYFUNCTION("""COMPUTED_VALUE"""),381.55920000000003)</f>
        <v>381.5592</v>
      </c>
      <c r="F490" s="298">
        <f>IFERROR(__xludf.DUMMYFUNCTION("""COMPUTED_VALUE"""),14.499249600000002)</f>
        <v>14.4992496</v>
      </c>
      <c r="G490" s="298">
        <f>IFERROR(__xludf.DUMMYFUNCTION("""COMPUTED_VALUE"""),0.0)</f>
        <v>0</v>
      </c>
      <c r="H490" s="223">
        <f>IFERROR(__xludf.DUMMYFUNCTION("""COMPUTED_VALUE"""),367.05995040000005)</f>
        <v>367.0599504</v>
      </c>
      <c r="I490" s="298"/>
      <c r="J490" s="223" t="str">
        <f>IFERROR(__xludf.DUMMYFUNCTION("""COMPUTED_VALUE"""),"Monthly")</f>
        <v>Monthly</v>
      </c>
      <c r="K490" s="317">
        <f>IFERROR(__xludf.DUMMYFUNCTION("""COMPUTED_VALUE"""),2022.08)</f>
        <v>2022.08</v>
      </c>
      <c r="L490" s="298"/>
      <c r="M490" s="223"/>
      <c r="N490" s="223"/>
      <c r="O490" s="223"/>
      <c r="P490" s="223"/>
      <c r="Q490" s="223"/>
      <c r="R490" s="223"/>
      <c r="S490" s="223"/>
      <c r="T490" s="223"/>
      <c r="U490" s="223"/>
      <c r="V490" s="223"/>
      <c r="W490" s="223"/>
      <c r="X490" s="223"/>
      <c r="Y490" s="223"/>
      <c r="Z490" s="223"/>
    </row>
    <row r="491">
      <c r="A491" s="223" t="str">
        <f>IFERROR(__xludf.DUMMYFUNCTION("""COMPUTED_VALUE"""),"Red Seal : Monthly Services")</f>
        <v>Red Seal : Monthly Services</v>
      </c>
      <c r="B491" s="223" t="str">
        <f>IFERROR(__xludf.DUMMYFUNCTION("""COMPUTED_VALUE"""),"Red Seal")</f>
        <v>Red Seal</v>
      </c>
      <c r="C491" s="223" t="str">
        <f>IFERROR(__xludf.DUMMYFUNCTION("""COMPUTED_VALUE"""),"Monthly Services")</f>
        <v>Monthly Services</v>
      </c>
      <c r="D491" s="316">
        <f>IFERROR(__xludf.DUMMYFUNCTION("""COMPUTED_VALUE"""),44804.0)</f>
        <v>44804</v>
      </c>
      <c r="E491" s="298">
        <f>IFERROR(__xludf.DUMMYFUNCTION("""COMPUTED_VALUE"""),1150.0)</f>
        <v>1150</v>
      </c>
      <c r="F491" s="298">
        <f>IFERROR(__xludf.DUMMYFUNCTION("""COMPUTED_VALUE"""),0.0)</f>
        <v>0</v>
      </c>
      <c r="G491" s="298">
        <f>IFERROR(__xludf.DUMMYFUNCTION("""COMPUTED_VALUE"""),0.0)</f>
        <v>0</v>
      </c>
      <c r="H491" s="223">
        <f>IFERROR(__xludf.DUMMYFUNCTION("""COMPUTED_VALUE"""),1150.0)</f>
        <v>1150</v>
      </c>
      <c r="I491" s="298"/>
      <c r="J491" s="223" t="str">
        <f>IFERROR(__xludf.DUMMYFUNCTION("""COMPUTED_VALUE"""),"Monthly")</f>
        <v>Monthly</v>
      </c>
      <c r="K491" s="317">
        <f>IFERROR(__xludf.DUMMYFUNCTION("""COMPUTED_VALUE"""),2022.08)</f>
        <v>2022.08</v>
      </c>
      <c r="L491" s="298"/>
      <c r="M491" s="223"/>
      <c r="N491" s="223"/>
      <c r="O491" s="223"/>
      <c r="P491" s="223"/>
      <c r="Q491" s="223"/>
      <c r="R491" s="223"/>
      <c r="S491" s="223"/>
      <c r="T491" s="223"/>
      <c r="U491" s="223"/>
      <c r="V491" s="223"/>
      <c r="W491" s="223"/>
      <c r="X491" s="223"/>
      <c r="Y491" s="223"/>
      <c r="Z491" s="223"/>
    </row>
    <row r="492">
      <c r="A492" s="223" t="str">
        <f>IFERROR(__xludf.DUMMYFUNCTION("""COMPUTED_VALUE"""),"Service First : Monthly Services")</f>
        <v>Service First : Monthly Services</v>
      </c>
      <c r="B492" s="223" t="str">
        <f>IFERROR(__xludf.DUMMYFUNCTION("""COMPUTED_VALUE"""),"Service First")</f>
        <v>Service First</v>
      </c>
      <c r="C492" s="223" t="str">
        <f>IFERROR(__xludf.DUMMYFUNCTION("""COMPUTED_VALUE"""),"Monthly Services")</f>
        <v>Monthly Services</v>
      </c>
      <c r="D492" s="316">
        <f>IFERROR(__xludf.DUMMYFUNCTION("""COMPUTED_VALUE"""),44804.0)</f>
        <v>44804</v>
      </c>
      <c r="E492" s="298">
        <f>IFERROR(__xludf.DUMMYFUNCTION("""COMPUTED_VALUE"""),300.0)</f>
        <v>300</v>
      </c>
      <c r="F492" s="298">
        <f>IFERROR(__xludf.DUMMYFUNCTION("""COMPUTED_VALUE"""),9.33)</f>
        <v>9.33</v>
      </c>
      <c r="G492" s="298">
        <f>IFERROR(__xludf.DUMMYFUNCTION("""COMPUTED_VALUE"""),0.0)</f>
        <v>0</v>
      </c>
      <c r="H492" s="223">
        <f>IFERROR(__xludf.DUMMYFUNCTION("""COMPUTED_VALUE"""),290.67)</f>
        <v>290.67</v>
      </c>
      <c r="I492" s="298"/>
      <c r="J492" s="223" t="str">
        <f>IFERROR(__xludf.DUMMYFUNCTION("""COMPUTED_VALUE"""),"Monthly")</f>
        <v>Monthly</v>
      </c>
      <c r="K492" s="317">
        <f>IFERROR(__xludf.DUMMYFUNCTION("""COMPUTED_VALUE"""),2022.08)</f>
        <v>2022.08</v>
      </c>
      <c r="L492" s="298"/>
      <c r="M492" s="223"/>
      <c r="N492" s="223"/>
      <c r="O492" s="223"/>
      <c r="P492" s="223"/>
      <c r="Q492" s="223"/>
      <c r="R492" s="223"/>
      <c r="S492" s="223"/>
      <c r="T492" s="223"/>
      <c r="U492" s="223"/>
      <c r="V492" s="223"/>
      <c r="W492" s="223"/>
      <c r="X492" s="223"/>
      <c r="Y492" s="223"/>
      <c r="Z492" s="223"/>
    </row>
    <row r="493">
      <c r="A493" s="223" t="str">
        <f>IFERROR(__xludf.DUMMYFUNCTION("""COMPUTED_VALUE"""),"Spraggs : Monthly Services")</f>
        <v>Spraggs : Monthly Services</v>
      </c>
      <c r="B493" s="223" t="str">
        <f>IFERROR(__xludf.DUMMYFUNCTION("""COMPUTED_VALUE"""),"Spraggs")</f>
        <v>Spraggs</v>
      </c>
      <c r="C493" s="223" t="str">
        <f>IFERROR(__xludf.DUMMYFUNCTION("""COMPUTED_VALUE"""),"Monthly Services")</f>
        <v>Monthly Services</v>
      </c>
      <c r="D493" s="316">
        <f>IFERROR(__xludf.DUMMYFUNCTION("""COMPUTED_VALUE"""),44804.0)</f>
        <v>44804</v>
      </c>
      <c r="E493" s="298">
        <f>IFERROR(__xludf.DUMMYFUNCTION("""COMPUTED_VALUE"""),2500.0)</f>
        <v>2500</v>
      </c>
      <c r="F493" s="298">
        <f>IFERROR(__xludf.DUMMYFUNCTION("""COMPUTED_VALUE"""),77.78)</f>
        <v>77.78</v>
      </c>
      <c r="G493" s="298">
        <f>IFERROR(__xludf.DUMMYFUNCTION("""COMPUTED_VALUE"""),0.0)</f>
        <v>0</v>
      </c>
      <c r="H493" s="223">
        <f>IFERROR(__xludf.DUMMYFUNCTION("""COMPUTED_VALUE"""),2422.22)</f>
        <v>2422.22</v>
      </c>
      <c r="I493" s="298"/>
      <c r="J493" s="223" t="str">
        <f>IFERROR(__xludf.DUMMYFUNCTION("""COMPUTED_VALUE"""),"Monthly")</f>
        <v>Monthly</v>
      </c>
      <c r="K493" s="317">
        <f>IFERROR(__xludf.DUMMYFUNCTION("""COMPUTED_VALUE"""),2022.08)</f>
        <v>2022.08</v>
      </c>
      <c r="L493" s="298"/>
      <c r="M493" s="223"/>
      <c r="N493" s="223"/>
      <c r="O493" s="223"/>
      <c r="P493" s="223"/>
      <c r="Q493" s="223"/>
      <c r="R493" s="223"/>
      <c r="S493" s="223"/>
      <c r="T493" s="223"/>
      <c r="U493" s="223"/>
      <c r="V493" s="223"/>
      <c r="W493" s="223"/>
      <c r="X493" s="223"/>
      <c r="Y493" s="223"/>
      <c r="Z493" s="223"/>
    </row>
    <row r="494">
      <c r="A494" s="223" t="str">
        <f>IFERROR(__xludf.DUMMYFUNCTION("""COMPUTED_VALUE"""),"TisBest : Monthly Services")</f>
        <v>TisBest : Monthly Services</v>
      </c>
      <c r="B494" s="223" t="str">
        <f>IFERROR(__xludf.DUMMYFUNCTION("""COMPUTED_VALUE"""),"TisBest")</f>
        <v>TisBest</v>
      </c>
      <c r="C494" s="223" t="str">
        <f>IFERROR(__xludf.DUMMYFUNCTION("""COMPUTED_VALUE"""),"Monthly Services")</f>
        <v>Monthly Services</v>
      </c>
      <c r="D494" s="316">
        <f>IFERROR(__xludf.DUMMYFUNCTION("""COMPUTED_VALUE"""),44804.0)</f>
        <v>44804</v>
      </c>
      <c r="E494" s="298">
        <f>IFERROR(__xludf.DUMMYFUNCTION("""COMPUTED_VALUE"""),6012.787499999999)</f>
        <v>6012.7875</v>
      </c>
      <c r="F494" s="298">
        <f>IFERROR(__xludf.DUMMYFUNCTION("""COMPUTED_VALUE"""),222.87399)</f>
        <v>222.87399</v>
      </c>
      <c r="G494" s="298">
        <f>IFERROR(__xludf.DUMMYFUNCTION("""COMPUTED_VALUE"""),1157.982702)</f>
        <v>1157.982702</v>
      </c>
      <c r="H494" s="223">
        <f>IFERROR(__xludf.DUMMYFUNCTION("""COMPUTED_VALUE"""),4631.930807999999)</f>
        <v>4631.930808</v>
      </c>
      <c r="I494" s="298"/>
      <c r="J494" s="223" t="str">
        <f>IFERROR(__xludf.DUMMYFUNCTION("""COMPUTED_VALUE"""),"Monthly")</f>
        <v>Monthly</v>
      </c>
      <c r="K494" s="317">
        <f>IFERROR(__xludf.DUMMYFUNCTION("""COMPUTED_VALUE"""),2022.08)</f>
        <v>2022.08</v>
      </c>
      <c r="L494" s="298"/>
      <c r="M494" s="223"/>
      <c r="N494" s="223"/>
      <c r="O494" s="223"/>
      <c r="P494" s="223"/>
      <c r="Q494" s="223"/>
      <c r="R494" s="223"/>
      <c r="S494" s="223"/>
      <c r="T494" s="223"/>
      <c r="U494" s="223"/>
      <c r="V494" s="223"/>
      <c r="W494" s="223"/>
      <c r="X494" s="223"/>
      <c r="Y494" s="223"/>
      <c r="Z494" s="223"/>
    </row>
    <row r="495">
      <c r="A495" s="223" t="str">
        <f>IFERROR(__xludf.DUMMYFUNCTION("""COMPUTED_VALUE"""),"Tuscany : Monthly Services")</f>
        <v>Tuscany : Monthly Services</v>
      </c>
      <c r="B495" s="223" t="str">
        <f>IFERROR(__xludf.DUMMYFUNCTION("""COMPUTED_VALUE"""),"Tuscany")</f>
        <v>Tuscany</v>
      </c>
      <c r="C495" s="223" t="str">
        <f>IFERROR(__xludf.DUMMYFUNCTION("""COMPUTED_VALUE"""),"Monthly Services")</f>
        <v>Monthly Services</v>
      </c>
      <c r="D495" s="316">
        <f>IFERROR(__xludf.DUMMYFUNCTION("""COMPUTED_VALUE"""),44804.0)</f>
        <v>44804</v>
      </c>
      <c r="E495" s="298">
        <f>IFERROR(__xludf.DUMMYFUNCTION("""COMPUTED_VALUE"""),2519.225)</f>
        <v>2519.225</v>
      </c>
      <c r="F495" s="298">
        <f>IFERROR(__xludf.DUMMYFUNCTION("""COMPUTED_VALUE"""),0.0)</f>
        <v>0</v>
      </c>
      <c r="G495" s="298">
        <f>IFERROR(__xludf.DUMMYFUNCTION("""COMPUTED_VALUE"""),0.0)</f>
        <v>0</v>
      </c>
      <c r="H495" s="223">
        <f>IFERROR(__xludf.DUMMYFUNCTION("""COMPUTED_VALUE"""),2519.225)</f>
        <v>2519.225</v>
      </c>
      <c r="I495" s="298"/>
      <c r="J495" s="223" t="str">
        <f>IFERROR(__xludf.DUMMYFUNCTION("""COMPUTED_VALUE"""),"Monthly")</f>
        <v>Monthly</v>
      </c>
      <c r="K495" s="317">
        <f>IFERROR(__xludf.DUMMYFUNCTION("""COMPUTED_VALUE"""),2022.08)</f>
        <v>2022.08</v>
      </c>
      <c r="L495" s="298"/>
      <c r="M495" s="223"/>
      <c r="N495" s="223"/>
      <c r="O495" s="223"/>
      <c r="P495" s="223"/>
      <c r="Q495" s="223"/>
      <c r="R495" s="223"/>
      <c r="S495" s="223"/>
      <c r="T495" s="223"/>
      <c r="U495" s="223"/>
      <c r="V495" s="223"/>
      <c r="W495" s="223"/>
      <c r="X495" s="223"/>
      <c r="Y495" s="223"/>
      <c r="Z495" s="223"/>
    </row>
    <row r="496">
      <c r="A496" s="223" t="str">
        <f>IFERROR(__xludf.DUMMYFUNCTION("""COMPUTED_VALUE"""),"Venetian : Monthly Services")</f>
        <v>Venetian : Monthly Services</v>
      </c>
      <c r="B496" s="223" t="str">
        <f>IFERROR(__xludf.DUMMYFUNCTION("""COMPUTED_VALUE"""),"Venetian")</f>
        <v>Venetian</v>
      </c>
      <c r="C496" s="223" t="str">
        <f>IFERROR(__xludf.DUMMYFUNCTION("""COMPUTED_VALUE"""),"Monthly Services")</f>
        <v>Monthly Services</v>
      </c>
      <c r="D496" s="316">
        <f>IFERROR(__xludf.DUMMYFUNCTION("""COMPUTED_VALUE"""),44804.0)</f>
        <v>44804</v>
      </c>
      <c r="E496" s="298">
        <f>IFERROR(__xludf.DUMMYFUNCTION("""COMPUTED_VALUE"""),2519.225)</f>
        <v>2519.225</v>
      </c>
      <c r="F496" s="298">
        <f>IFERROR(__xludf.DUMMYFUNCTION("""COMPUTED_VALUE"""),0.0)</f>
        <v>0</v>
      </c>
      <c r="G496" s="298">
        <f>IFERROR(__xludf.DUMMYFUNCTION("""COMPUTED_VALUE"""),0.0)</f>
        <v>0</v>
      </c>
      <c r="H496" s="223">
        <f>IFERROR(__xludf.DUMMYFUNCTION("""COMPUTED_VALUE"""),2519.225)</f>
        <v>2519.225</v>
      </c>
      <c r="I496" s="298"/>
      <c r="J496" s="223" t="str">
        <f>IFERROR(__xludf.DUMMYFUNCTION("""COMPUTED_VALUE"""),"Monthly")</f>
        <v>Monthly</v>
      </c>
      <c r="K496" s="317">
        <f>IFERROR(__xludf.DUMMYFUNCTION("""COMPUTED_VALUE"""),2022.08)</f>
        <v>2022.08</v>
      </c>
      <c r="L496" s="298"/>
      <c r="M496" s="223"/>
      <c r="N496" s="223"/>
      <c r="O496" s="223"/>
      <c r="P496" s="223"/>
      <c r="Q496" s="223"/>
      <c r="R496" s="223"/>
      <c r="S496" s="223"/>
      <c r="T496" s="223"/>
      <c r="U496" s="223"/>
      <c r="V496" s="223"/>
      <c r="W496" s="223"/>
      <c r="X496" s="223"/>
      <c r="Y496" s="223"/>
      <c r="Z496" s="223"/>
    </row>
    <row r="497">
      <c r="A497" s="223" t="str">
        <f>IFERROR(__xludf.DUMMYFUNCTION("""COMPUTED_VALUE"""),"Wallack's Art Supplies : Monthly Services")</f>
        <v>Wallack's Art Supplies : Monthly Services</v>
      </c>
      <c r="B497" s="223" t="str">
        <f>IFERROR(__xludf.DUMMYFUNCTION("""COMPUTED_VALUE"""),"Wallack's Art Supplies")</f>
        <v>Wallack's Art Supplies</v>
      </c>
      <c r="C497" s="223" t="str">
        <f>IFERROR(__xludf.DUMMYFUNCTION("""COMPUTED_VALUE"""),"Monthly Services")</f>
        <v>Monthly Services</v>
      </c>
      <c r="D497" s="316">
        <f>IFERROR(__xludf.DUMMYFUNCTION("""COMPUTED_VALUE"""),44804.0)</f>
        <v>44804</v>
      </c>
      <c r="E497" s="298">
        <f>IFERROR(__xludf.DUMMYFUNCTION("""COMPUTED_VALUE"""),700.0)</f>
        <v>700</v>
      </c>
      <c r="F497" s="298">
        <f>IFERROR(__xludf.DUMMYFUNCTION("""COMPUTED_VALUE"""),0.0)</f>
        <v>0</v>
      </c>
      <c r="G497" s="298">
        <f>IFERROR(__xludf.DUMMYFUNCTION("""COMPUTED_VALUE"""),0.0)</f>
        <v>0</v>
      </c>
      <c r="H497" s="223">
        <f>IFERROR(__xludf.DUMMYFUNCTION("""COMPUTED_VALUE"""),700.0)</f>
        <v>700</v>
      </c>
      <c r="I497" s="298"/>
      <c r="J497" s="223" t="str">
        <f>IFERROR(__xludf.DUMMYFUNCTION("""COMPUTED_VALUE"""),"Monthly")</f>
        <v>Monthly</v>
      </c>
      <c r="K497" s="317">
        <f>IFERROR(__xludf.DUMMYFUNCTION("""COMPUTED_VALUE"""),2022.08)</f>
        <v>2022.08</v>
      </c>
      <c r="L497" s="298"/>
      <c r="M497" s="223"/>
      <c r="N497" s="223"/>
      <c r="O497" s="223"/>
      <c r="P497" s="223"/>
      <c r="Q497" s="223"/>
      <c r="R497" s="223"/>
      <c r="S497" s="223"/>
      <c r="T497" s="223"/>
      <c r="U497" s="223"/>
      <c r="V497" s="223"/>
      <c r="W497" s="223"/>
      <c r="X497" s="223"/>
      <c r="Y497" s="223"/>
      <c r="Z497" s="223"/>
    </row>
    <row r="498">
      <c r="A498" s="223" t="str">
        <f>IFERROR(__xludf.DUMMYFUNCTION("""COMPUTED_VALUE"""),"Howard Fine Jewellers : Ongoing PPC and SEO Support")</f>
        <v>Howard Fine Jewellers : Ongoing PPC and SEO Support</v>
      </c>
      <c r="B498" s="223" t="str">
        <f>IFERROR(__xludf.DUMMYFUNCTION("""COMPUTED_VALUE"""),"Howard Fine Jewellers")</f>
        <v>Howard Fine Jewellers</v>
      </c>
      <c r="C498" s="223" t="str">
        <f>IFERROR(__xludf.DUMMYFUNCTION("""COMPUTED_VALUE"""),"Ongoing PPC and SEO Support")</f>
        <v>Ongoing PPC and SEO Support</v>
      </c>
      <c r="D498" s="316">
        <f>IFERROR(__xludf.DUMMYFUNCTION("""COMPUTED_VALUE"""),44804.0)</f>
        <v>44804</v>
      </c>
      <c r="E498" s="298">
        <f>IFERROR(__xludf.DUMMYFUNCTION("""COMPUTED_VALUE"""),1450.0)</f>
        <v>1450</v>
      </c>
      <c r="F498" s="298">
        <f>IFERROR(__xludf.DUMMYFUNCTION("""COMPUTED_VALUE"""),48.55)</f>
        <v>48.55</v>
      </c>
      <c r="G498" s="298">
        <f>IFERROR(__xludf.DUMMYFUNCTION("""COMPUTED_VALUE"""),0.0)</f>
        <v>0</v>
      </c>
      <c r="H498" s="223">
        <f>IFERROR(__xludf.DUMMYFUNCTION("""COMPUTED_VALUE"""),1401.45)</f>
        <v>1401.45</v>
      </c>
      <c r="I498" s="298"/>
      <c r="J498" s="223" t="str">
        <f>IFERROR(__xludf.DUMMYFUNCTION("""COMPUTED_VALUE"""),"Monthly")</f>
        <v>Monthly</v>
      </c>
      <c r="K498" s="317">
        <f>IFERROR(__xludf.DUMMYFUNCTION("""COMPUTED_VALUE"""),2022.08)</f>
        <v>2022.08</v>
      </c>
      <c r="L498" s="298"/>
      <c r="M498" s="223"/>
      <c r="N498" s="223"/>
      <c r="O498" s="223"/>
      <c r="P498" s="223"/>
      <c r="Q498" s="223"/>
      <c r="R498" s="223"/>
      <c r="S498" s="223"/>
      <c r="T498" s="223"/>
      <c r="U498" s="223"/>
      <c r="V498" s="223"/>
      <c r="W498" s="223"/>
      <c r="X498" s="223"/>
      <c r="Y498" s="223"/>
      <c r="Z498" s="223"/>
    </row>
    <row r="499">
      <c r="A499" s="223" t="str">
        <f>IFERROR(__xludf.DUMMYFUNCTION("""COMPUTED_VALUE"""),"Villa del Mar : Website Rebuild")</f>
        <v>Villa del Mar : Website Rebuild</v>
      </c>
      <c r="B499" s="223" t="str">
        <f>IFERROR(__xludf.DUMMYFUNCTION("""COMPUTED_VALUE"""),"Villa del Mar")</f>
        <v>Villa del Mar</v>
      </c>
      <c r="C499" s="223" t="str">
        <f>IFERROR(__xludf.DUMMYFUNCTION("""COMPUTED_VALUE"""),"Website Rebuild")</f>
        <v>Website Rebuild</v>
      </c>
      <c r="D499" s="316">
        <f>IFERROR(__xludf.DUMMYFUNCTION("""COMPUTED_VALUE"""),44796.0)</f>
        <v>44796</v>
      </c>
      <c r="E499" s="298">
        <f>IFERROR(__xludf.DUMMYFUNCTION("""COMPUTED_VALUE"""),3625.099999999998)</f>
        <v>3625.1</v>
      </c>
      <c r="F499" s="298">
        <f>IFERROR(__xludf.DUMMYFUNCTION("""COMPUTED_VALUE"""),0.0)</f>
        <v>0</v>
      </c>
      <c r="G499" s="298">
        <f>IFERROR(__xludf.DUMMYFUNCTION("""COMPUTED_VALUE"""),0.0)</f>
        <v>0</v>
      </c>
      <c r="H499" s="223">
        <f>IFERROR(__xludf.DUMMYFUNCTION("""COMPUTED_VALUE"""),3625.099999999998)</f>
        <v>3625.1</v>
      </c>
      <c r="I499" s="298"/>
      <c r="J499" s="223" t="str">
        <f>IFERROR(__xludf.DUMMYFUNCTION("""COMPUTED_VALUE"""),"One-Time")</f>
        <v>One-Time</v>
      </c>
      <c r="K499" s="317">
        <f>IFERROR(__xludf.DUMMYFUNCTION("""COMPUTED_VALUE"""),2022.0)</f>
        <v>2022</v>
      </c>
      <c r="L499" s="298"/>
      <c r="M499" s="223"/>
      <c r="N499" s="223"/>
      <c r="O499" s="223"/>
      <c r="P499" s="223"/>
      <c r="Q499" s="223"/>
      <c r="R499" s="223"/>
      <c r="S499" s="223"/>
      <c r="T499" s="223"/>
      <c r="U499" s="223"/>
      <c r="V499" s="223"/>
      <c r="W499" s="223"/>
      <c r="X499" s="223"/>
      <c r="Y499" s="223"/>
      <c r="Z499" s="223"/>
    </row>
    <row r="500">
      <c r="A500" s="223" t="str">
        <f>IFERROR(__xludf.DUMMYFUNCTION("""COMPUTED_VALUE"""),"Villa del Mar : Website Rebuild")</f>
        <v>Villa del Mar : Website Rebuild</v>
      </c>
      <c r="B500" s="223" t="str">
        <f>IFERROR(__xludf.DUMMYFUNCTION("""COMPUTED_VALUE"""),"Villa del Mar")</f>
        <v>Villa del Mar</v>
      </c>
      <c r="C500" s="223" t="str">
        <f>IFERROR(__xludf.DUMMYFUNCTION("""COMPUTED_VALUE"""),"Website Rebuild")</f>
        <v>Website Rebuild</v>
      </c>
      <c r="D500" s="316">
        <f>IFERROR(__xludf.DUMMYFUNCTION("""COMPUTED_VALUE"""),44849.0)</f>
        <v>44849</v>
      </c>
      <c r="E500" s="298">
        <f>IFERROR(__xludf.DUMMYFUNCTION("""COMPUTED_VALUE"""),3922.0760000000005)</f>
        <v>3922.076</v>
      </c>
      <c r="F500" s="298">
        <f>IFERROR(__xludf.DUMMYFUNCTION("""COMPUTED_VALUE"""),125.02)</f>
        <v>125.02</v>
      </c>
      <c r="G500" s="298">
        <f>IFERROR(__xludf.DUMMYFUNCTION("""COMPUTED_VALUE"""),0.0)</f>
        <v>0</v>
      </c>
      <c r="H500" s="223">
        <f>IFERROR(__xludf.DUMMYFUNCTION("""COMPUTED_VALUE"""),3797.0560000000005)</f>
        <v>3797.056</v>
      </c>
      <c r="I500" s="298"/>
      <c r="J500" s="223" t="str">
        <f>IFERROR(__xludf.DUMMYFUNCTION("""COMPUTED_VALUE"""),"One-Time")</f>
        <v>One-Time</v>
      </c>
      <c r="K500" s="317">
        <f>IFERROR(__xludf.DUMMYFUNCTION("""COMPUTED_VALUE"""),2022.0)</f>
        <v>2022</v>
      </c>
      <c r="L500" s="298"/>
      <c r="M500" s="223"/>
      <c r="N500" s="223"/>
      <c r="O500" s="223"/>
      <c r="P500" s="223"/>
      <c r="Q500" s="223"/>
      <c r="R500" s="223"/>
      <c r="S500" s="223"/>
      <c r="T500" s="223"/>
      <c r="U500" s="223"/>
      <c r="V500" s="223"/>
      <c r="W500" s="223"/>
      <c r="X500" s="223"/>
      <c r="Y500" s="223"/>
      <c r="Z500" s="223"/>
    </row>
    <row r="501">
      <c r="A501" s="223" t="str">
        <f>IFERROR(__xludf.DUMMYFUNCTION("""COMPUTED_VALUE"""),"The Sands : The Sands Quick Rebuild")</f>
        <v>The Sands : The Sands Quick Rebuild</v>
      </c>
      <c r="B501" s="223" t="str">
        <f>IFERROR(__xludf.DUMMYFUNCTION("""COMPUTED_VALUE"""),"The Sands")</f>
        <v>The Sands</v>
      </c>
      <c r="C501" s="223" t="str">
        <f>IFERROR(__xludf.DUMMYFUNCTION("""COMPUTED_VALUE"""),"The Sands Quick Rebuild")</f>
        <v>The Sands Quick Rebuild</v>
      </c>
      <c r="D501" s="316">
        <f>IFERROR(__xludf.DUMMYFUNCTION("""COMPUTED_VALUE"""),44813.0)</f>
        <v>44813</v>
      </c>
      <c r="E501" s="298">
        <f>IFERROR(__xludf.DUMMYFUNCTION("""COMPUTED_VALUE"""),1846.5247811975999)</f>
        <v>1846.524781</v>
      </c>
      <c r="F501" s="298">
        <f>IFERROR(__xludf.DUMMYFUNCTION("""COMPUTED_VALUE"""),0.0)</f>
        <v>0</v>
      </c>
      <c r="G501" s="298">
        <f>IFERROR(__xludf.DUMMYFUNCTION("""COMPUTED_VALUE"""),0.0)</f>
        <v>0</v>
      </c>
      <c r="H501" s="223">
        <f>IFERROR(__xludf.DUMMYFUNCTION("""COMPUTED_VALUE"""),1846.5247811975999)</f>
        <v>1846.524781</v>
      </c>
      <c r="I501" s="298"/>
      <c r="J501" s="223" t="str">
        <f>IFERROR(__xludf.DUMMYFUNCTION("""COMPUTED_VALUE"""),"One-Time")</f>
        <v>One-Time</v>
      </c>
      <c r="K501" s="317">
        <f>IFERROR(__xludf.DUMMYFUNCTION("""COMPUTED_VALUE"""),2022.0)</f>
        <v>2022</v>
      </c>
      <c r="L501" s="298"/>
      <c r="M501" s="223"/>
      <c r="N501" s="223"/>
      <c r="O501" s="223"/>
      <c r="P501" s="223"/>
      <c r="Q501" s="223"/>
      <c r="R501" s="223"/>
      <c r="S501" s="223"/>
      <c r="T501" s="223"/>
      <c r="U501" s="223"/>
      <c r="V501" s="223"/>
      <c r="W501" s="223"/>
      <c r="X501" s="223"/>
      <c r="Y501" s="223"/>
      <c r="Z501" s="223"/>
    </row>
    <row r="502">
      <c r="A502" s="223" t="str">
        <f>IFERROR(__xludf.DUMMYFUNCTION("""COMPUTED_VALUE"""),"The Sands : The Sands Quick Rebuild")</f>
        <v>The Sands : The Sands Quick Rebuild</v>
      </c>
      <c r="B502" s="223" t="str">
        <f>IFERROR(__xludf.DUMMYFUNCTION("""COMPUTED_VALUE"""),"The Sands")</f>
        <v>The Sands</v>
      </c>
      <c r="C502" s="223" t="str">
        <f>IFERROR(__xludf.DUMMYFUNCTION("""COMPUTED_VALUE"""),"The Sands Quick Rebuild")</f>
        <v>The Sands Quick Rebuild</v>
      </c>
      <c r="D502" s="316">
        <f>IFERROR(__xludf.DUMMYFUNCTION("""COMPUTED_VALUE"""),44833.0)</f>
        <v>44833</v>
      </c>
      <c r="E502" s="298">
        <f>IFERROR(__xludf.DUMMYFUNCTION("""COMPUTED_VALUE"""),1822.0199999988001)</f>
        <v>1822.02</v>
      </c>
      <c r="F502" s="298">
        <f>IFERROR(__xludf.DUMMYFUNCTION("""COMPUTED_VALUE"""),0.0)</f>
        <v>0</v>
      </c>
      <c r="G502" s="298">
        <f>IFERROR(__xludf.DUMMYFUNCTION("""COMPUTED_VALUE"""),0.0)</f>
        <v>0</v>
      </c>
      <c r="H502" s="223">
        <f>IFERROR(__xludf.DUMMYFUNCTION("""COMPUTED_VALUE"""),1822.0199999988001)</f>
        <v>1822.02</v>
      </c>
      <c r="I502" s="298"/>
      <c r="J502" s="223" t="str">
        <f>IFERROR(__xludf.DUMMYFUNCTION("""COMPUTED_VALUE"""),"One-Time")</f>
        <v>One-Time</v>
      </c>
      <c r="K502" s="317">
        <f>IFERROR(__xludf.DUMMYFUNCTION("""COMPUTED_VALUE"""),2022.0)</f>
        <v>2022</v>
      </c>
      <c r="L502" s="298"/>
      <c r="M502" s="223"/>
      <c r="N502" s="223"/>
      <c r="O502" s="223"/>
      <c r="P502" s="223"/>
      <c r="Q502" s="223"/>
      <c r="R502" s="223"/>
      <c r="S502" s="223"/>
      <c r="T502" s="223"/>
      <c r="U502" s="223"/>
      <c r="V502" s="223"/>
      <c r="W502" s="223"/>
      <c r="X502" s="223"/>
      <c r="Y502" s="223"/>
      <c r="Z502" s="223"/>
    </row>
    <row r="503">
      <c r="A503" s="223" t="str">
        <f>IFERROR(__xludf.DUMMYFUNCTION("""COMPUTED_VALUE"""),"The Sands : Sands Owners Site Rebuild")</f>
        <v>The Sands : Sands Owners Site Rebuild</v>
      </c>
      <c r="B503" s="223" t="str">
        <f>IFERROR(__xludf.DUMMYFUNCTION("""COMPUTED_VALUE"""),"The Sands")</f>
        <v>The Sands</v>
      </c>
      <c r="C503" s="223" t="str">
        <f>IFERROR(__xludf.DUMMYFUNCTION("""COMPUTED_VALUE"""),"Sands Owners Site Rebuild")</f>
        <v>Sands Owners Site Rebuild</v>
      </c>
      <c r="D503" s="316">
        <f>IFERROR(__xludf.DUMMYFUNCTION("""COMPUTED_VALUE"""),44813.0)</f>
        <v>44813</v>
      </c>
      <c r="E503" s="298">
        <f>IFERROR(__xludf.DUMMYFUNCTION("""COMPUTED_VALUE"""),702.9983631273719)</f>
        <v>702.9983631</v>
      </c>
      <c r="F503" s="298">
        <f>IFERROR(__xludf.DUMMYFUNCTION("""COMPUTED_VALUE"""),0.0)</f>
        <v>0</v>
      </c>
      <c r="G503" s="298">
        <f>IFERROR(__xludf.DUMMYFUNCTION("""COMPUTED_VALUE"""),0.0)</f>
        <v>0</v>
      </c>
      <c r="H503" s="223">
        <f>IFERROR(__xludf.DUMMYFUNCTION("""COMPUTED_VALUE"""),702.9983631273719)</f>
        <v>702.9983631</v>
      </c>
      <c r="I503" s="298"/>
      <c r="J503" s="223" t="str">
        <f>IFERROR(__xludf.DUMMYFUNCTION("""COMPUTED_VALUE"""),"One-Time")</f>
        <v>One-Time</v>
      </c>
      <c r="K503" s="317">
        <f>IFERROR(__xludf.DUMMYFUNCTION("""COMPUTED_VALUE"""),2022.0)</f>
        <v>2022</v>
      </c>
      <c r="L503" s="298"/>
      <c r="M503" s="223"/>
      <c r="N503" s="223"/>
      <c r="O503" s="223"/>
      <c r="P503" s="223"/>
      <c r="Q503" s="223"/>
      <c r="R503" s="223"/>
      <c r="S503" s="223"/>
      <c r="T503" s="223"/>
      <c r="U503" s="223"/>
      <c r="V503" s="223"/>
      <c r="W503" s="223"/>
      <c r="X503" s="223"/>
      <c r="Y503" s="223"/>
      <c r="Z503" s="223"/>
    </row>
    <row r="504">
      <c r="A504" s="223" t="str">
        <f>IFERROR(__xludf.DUMMYFUNCTION("""COMPUTED_VALUE"""),"The Sands : Sands Owners Site Rebuild")</f>
        <v>The Sands : Sands Owners Site Rebuild</v>
      </c>
      <c r="B504" s="223" t="str">
        <f>IFERROR(__xludf.DUMMYFUNCTION("""COMPUTED_VALUE"""),"The Sands")</f>
        <v>The Sands</v>
      </c>
      <c r="C504" s="223" t="str">
        <f>IFERROR(__xludf.DUMMYFUNCTION("""COMPUTED_VALUE"""),"Sands Owners Site Rebuild")</f>
        <v>Sands Owners Site Rebuild</v>
      </c>
      <c r="D504" s="316"/>
      <c r="E504" s="298">
        <f>IFERROR(__xludf.DUMMYFUNCTION("""COMPUTED_VALUE"""),533.0)</f>
        <v>533</v>
      </c>
      <c r="F504" s="298"/>
      <c r="G504" s="298">
        <f>IFERROR(__xludf.DUMMYFUNCTION("""COMPUTED_VALUE"""),0.0)</f>
        <v>0</v>
      </c>
      <c r="H504" s="223">
        <f>IFERROR(__xludf.DUMMYFUNCTION("""COMPUTED_VALUE"""),533.0)</f>
        <v>533</v>
      </c>
      <c r="I504" s="298"/>
      <c r="J504" s="223" t="str">
        <f>IFERROR(__xludf.DUMMYFUNCTION("""COMPUTED_VALUE"""),"One-Time")</f>
        <v>One-Time</v>
      </c>
      <c r="K504" s="317"/>
      <c r="L504" s="298"/>
      <c r="M504" s="223"/>
      <c r="N504" s="223"/>
      <c r="O504" s="223"/>
      <c r="P504" s="223"/>
      <c r="Q504" s="223"/>
      <c r="R504" s="223"/>
      <c r="S504" s="223"/>
      <c r="T504" s="223"/>
      <c r="U504" s="223"/>
      <c r="V504" s="223"/>
      <c r="W504" s="223"/>
      <c r="X504" s="223"/>
      <c r="Y504" s="223"/>
      <c r="Z504" s="223"/>
    </row>
    <row r="505">
      <c r="A505" s="223" t="str">
        <f>IFERROR(__xludf.DUMMYFUNCTION("""COMPUTED_VALUE"""),"The Palms : Palms Owners Site Rebuild")</f>
        <v>The Palms : Palms Owners Site Rebuild</v>
      </c>
      <c r="B505" s="223" t="str">
        <f>IFERROR(__xludf.DUMMYFUNCTION("""COMPUTED_VALUE"""),"The Palms")</f>
        <v>The Palms</v>
      </c>
      <c r="C505" s="223" t="str">
        <f>IFERROR(__xludf.DUMMYFUNCTION("""COMPUTED_VALUE"""),"Palms Owners Site Rebuild")</f>
        <v>Palms Owners Site Rebuild</v>
      </c>
      <c r="D505" s="316">
        <f>IFERROR(__xludf.DUMMYFUNCTION("""COMPUTED_VALUE"""),44813.0)</f>
        <v>44813</v>
      </c>
      <c r="E505" s="298">
        <f>IFERROR(__xludf.DUMMYFUNCTION("""COMPUTED_VALUE"""),718.711968)</f>
        <v>718.711968</v>
      </c>
      <c r="F505" s="298">
        <f>IFERROR(__xludf.DUMMYFUNCTION("""COMPUTED_VALUE"""),0.0)</f>
        <v>0</v>
      </c>
      <c r="G505" s="298">
        <f>IFERROR(__xludf.DUMMYFUNCTION("""COMPUTED_VALUE"""),0.0)</f>
        <v>0</v>
      </c>
      <c r="H505" s="223">
        <f>IFERROR(__xludf.DUMMYFUNCTION("""COMPUTED_VALUE"""),718.711968)</f>
        <v>718.711968</v>
      </c>
      <c r="I505" s="298"/>
      <c r="J505" s="223" t="str">
        <f>IFERROR(__xludf.DUMMYFUNCTION("""COMPUTED_VALUE"""),"One-Time")</f>
        <v>One-Time</v>
      </c>
      <c r="K505" s="317">
        <f>IFERROR(__xludf.DUMMYFUNCTION("""COMPUTED_VALUE"""),2022.0)</f>
        <v>2022</v>
      </c>
      <c r="L505" s="298"/>
      <c r="M505" s="223"/>
      <c r="N505" s="223"/>
      <c r="O505" s="223"/>
      <c r="P505" s="223"/>
      <c r="Q505" s="223"/>
      <c r="R505" s="223"/>
      <c r="S505" s="223"/>
      <c r="T505" s="223"/>
      <c r="U505" s="223"/>
      <c r="V505" s="223"/>
      <c r="W505" s="223"/>
      <c r="X505" s="223"/>
      <c r="Y505" s="223"/>
      <c r="Z505" s="223"/>
    </row>
    <row r="506">
      <c r="A506" s="223" t="str">
        <f>IFERROR(__xludf.DUMMYFUNCTION("""COMPUTED_VALUE"""),"The Palms : Palms Owners Site Rebuild")</f>
        <v>The Palms : Palms Owners Site Rebuild</v>
      </c>
      <c r="B506" s="223" t="str">
        <f>IFERROR(__xludf.DUMMYFUNCTION("""COMPUTED_VALUE"""),"The Palms")</f>
        <v>The Palms</v>
      </c>
      <c r="C506" s="223" t="str">
        <f>IFERROR(__xludf.DUMMYFUNCTION("""COMPUTED_VALUE"""),"Palms Owners Site Rebuild")</f>
        <v>Palms Owners Site Rebuild</v>
      </c>
      <c r="D506" s="316"/>
      <c r="E506" s="298">
        <f>IFERROR(__xludf.DUMMYFUNCTION("""COMPUTED_VALUE"""),1066.0)</f>
        <v>1066</v>
      </c>
      <c r="F506" s="298"/>
      <c r="G506" s="298">
        <f>IFERROR(__xludf.DUMMYFUNCTION("""COMPUTED_VALUE"""),0.0)</f>
        <v>0</v>
      </c>
      <c r="H506" s="223">
        <f>IFERROR(__xludf.DUMMYFUNCTION("""COMPUTED_VALUE"""),1066.0)</f>
        <v>1066</v>
      </c>
      <c r="I506" s="298"/>
      <c r="J506" s="223" t="str">
        <f>IFERROR(__xludf.DUMMYFUNCTION("""COMPUTED_VALUE"""),"One-Time")</f>
        <v>One-Time</v>
      </c>
      <c r="K506" s="317"/>
      <c r="L506" s="298"/>
      <c r="M506" s="223"/>
      <c r="N506" s="223"/>
      <c r="O506" s="223"/>
      <c r="P506" s="223"/>
      <c r="Q506" s="223"/>
      <c r="R506" s="223"/>
      <c r="S506" s="223"/>
      <c r="T506" s="223"/>
      <c r="U506" s="223"/>
      <c r="V506" s="223"/>
      <c r="W506" s="223"/>
      <c r="X506" s="223"/>
      <c r="Y506" s="223"/>
      <c r="Z506" s="223"/>
    </row>
    <row r="507">
      <c r="A507" s="223" t="str">
        <f>IFERROR(__xludf.DUMMYFUNCTION("""COMPUTED_VALUE"""),"The Shore Club : Shore Club Owners Site Rebuild")</f>
        <v>The Shore Club : Shore Club Owners Site Rebuild</v>
      </c>
      <c r="B507" s="223" t="str">
        <f>IFERROR(__xludf.DUMMYFUNCTION("""COMPUTED_VALUE"""),"The Shore Club")</f>
        <v>The Shore Club</v>
      </c>
      <c r="C507" s="223" t="str">
        <f>IFERROR(__xludf.DUMMYFUNCTION("""COMPUTED_VALUE"""),"Shore Club Owners Site Rebuild")</f>
        <v>Shore Club Owners Site Rebuild</v>
      </c>
      <c r="D507" s="316">
        <f>IFERROR(__xludf.DUMMYFUNCTION("""COMPUTED_VALUE"""),44813.0)</f>
        <v>44813</v>
      </c>
      <c r="E507" s="298">
        <f>IFERROR(__xludf.DUMMYFUNCTION("""COMPUTED_VALUE"""),706.8656279999999)</f>
        <v>706.865628</v>
      </c>
      <c r="F507" s="298">
        <f>IFERROR(__xludf.DUMMYFUNCTION("""COMPUTED_VALUE"""),0.0)</f>
        <v>0</v>
      </c>
      <c r="G507" s="298">
        <f>IFERROR(__xludf.DUMMYFUNCTION("""COMPUTED_VALUE"""),0.0)</f>
        <v>0</v>
      </c>
      <c r="H507" s="223">
        <f>IFERROR(__xludf.DUMMYFUNCTION("""COMPUTED_VALUE"""),706.8656279999999)</f>
        <v>706.865628</v>
      </c>
      <c r="I507" s="298"/>
      <c r="J507" s="223" t="str">
        <f>IFERROR(__xludf.DUMMYFUNCTION("""COMPUTED_VALUE"""),"One-Time")</f>
        <v>One-Time</v>
      </c>
      <c r="K507" s="317">
        <f>IFERROR(__xludf.DUMMYFUNCTION("""COMPUTED_VALUE"""),2022.0)</f>
        <v>2022</v>
      </c>
      <c r="L507" s="298"/>
      <c r="M507" s="223"/>
      <c r="N507" s="223"/>
      <c r="O507" s="223"/>
      <c r="P507" s="223"/>
      <c r="Q507" s="223"/>
      <c r="R507" s="223"/>
      <c r="S507" s="223"/>
      <c r="T507" s="223"/>
      <c r="U507" s="223"/>
      <c r="V507" s="223"/>
      <c r="W507" s="223"/>
      <c r="X507" s="223"/>
      <c r="Y507" s="223"/>
      <c r="Z507" s="223"/>
    </row>
    <row r="508">
      <c r="A508" s="223" t="str">
        <f>IFERROR(__xludf.DUMMYFUNCTION("""COMPUTED_VALUE"""),"The Shore Club : Shore Club Owners Site Rebuild")</f>
        <v>The Shore Club : Shore Club Owners Site Rebuild</v>
      </c>
      <c r="B508" s="223" t="str">
        <f>IFERROR(__xludf.DUMMYFUNCTION("""COMPUTED_VALUE"""),"The Shore Club")</f>
        <v>The Shore Club</v>
      </c>
      <c r="C508" s="223" t="str">
        <f>IFERROR(__xludf.DUMMYFUNCTION("""COMPUTED_VALUE"""),"Shore Club Owners Site Rebuild")</f>
        <v>Shore Club Owners Site Rebuild</v>
      </c>
      <c r="D508" s="316"/>
      <c r="E508" s="298">
        <f>IFERROR(__xludf.DUMMYFUNCTION("""COMPUTED_VALUE"""),1066.0)</f>
        <v>1066</v>
      </c>
      <c r="F508" s="298"/>
      <c r="G508" s="298">
        <f>IFERROR(__xludf.DUMMYFUNCTION("""COMPUTED_VALUE"""),0.0)</f>
        <v>0</v>
      </c>
      <c r="H508" s="223">
        <f>IFERROR(__xludf.DUMMYFUNCTION("""COMPUTED_VALUE"""),1066.0)</f>
        <v>1066</v>
      </c>
      <c r="I508" s="298"/>
      <c r="J508" s="223" t="str">
        <f>IFERROR(__xludf.DUMMYFUNCTION("""COMPUTED_VALUE"""),"One-Time")</f>
        <v>One-Time</v>
      </c>
      <c r="K508" s="317"/>
      <c r="L508" s="298"/>
      <c r="M508" s="223"/>
      <c r="N508" s="223"/>
      <c r="O508" s="223"/>
      <c r="P508" s="223"/>
      <c r="Q508" s="223"/>
      <c r="R508" s="223"/>
      <c r="S508" s="223"/>
      <c r="T508" s="223"/>
      <c r="U508" s="223"/>
      <c r="V508" s="223"/>
      <c r="W508" s="223"/>
      <c r="X508" s="223"/>
      <c r="Y508" s="223"/>
      <c r="Z508" s="223"/>
    </row>
    <row r="509">
      <c r="A509" s="223" t="str">
        <f>IFERROR(__xludf.DUMMYFUNCTION("""COMPUTED_VALUE"""),"The Sands : 10 Hour General Support Block")</f>
        <v>The Sands : 10 Hour General Support Block</v>
      </c>
      <c r="B509" s="223" t="str">
        <f>IFERROR(__xludf.DUMMYFUNCTION("""COMPUTED_VALUE"""),"The Sands")</f>
        <v>The Sands</v>
      </c>
      <c r="C509" s="223" t="str">
        <f>IFERROR(__xludf.DUMMYFUNCTION("""COMPUTED_VALUE"""),"10 Hour General Support Block")</f>
        <v>10 Hour General Support Block</v>
      </c>
      <c r="D509" s="316">
        <f>IFERROR(__xludf.DUMMYFUNCTION("""COMPUTED_VALUE"""),44813.0)</f>
        <v>44813</v>
      </c>
      <c r="E509" s="298">
        <f>IFERROR(__xludf.DUMMYFUNCTION("""COMPUTED_VALUE"""),437.4549101284343)</f>
        <v>437.4549101</v>
      </c>
      <c r="F509" s="298">
        <f>IFERROR(__xludf.DUMMYFUNCTION("""COMPUTED_VALUE"""),0.0)</f>
        <v>0</v>
      </c>
      <c r="G509" s="298">
        <f>IFERROR(__xludf.DUMMYFUNCTION("""COMPUTED_VALUE"""),0.0)</f>
        <v>0</v>
      </c>
      <c r="H509" s="223">
        <f>IFERROR(__xludf.DUMMYFUNCTION("""COMPUTED_VALUE"""),437.4549101284343)</f>
        <v>437.4549101</v>
      </c>
      <c r="I509" s="298"/>
      <c r="J509" s="223" t="str">
        <f>IFERROR(__xludf.DUMMYFUNCTION("""COMPUTED_VALUE"""),"One-Time")</f>
        <v>One-Time</v>
      </c>
      <c r="K509" s="317">
        <f>IFERROR(__xludf.DUMMYFUNCTION("""COMPUTED_VALUE"""),2022.0)</f>
        <v>2022</v>
      </c>
      <c r="L509" s="298"/>
      <c r="M509" s="223"/>
      <c r="N509" s="223"/>
      <c r="O509" s="223"/>
      <c r="P509" s="223"/>
      <c r="Q509" s="223"/>
      <c r="R509" s="223"/>
      <c r="S509" s="223"/>
      <c r="T509" s="223"/>
      <c r="U509" s="223"/>
      <c r="V509" s="223"/>
      <c r="W509" s="223"/>
      <c r="X509" s="223"/>
      <c r="Y509" s="223"/>
      <c r="Z509" s="223"/>
    </row>
    <row r="510">
      <c r="A510" s="223" t="str">
        <f>IFERROR(__xludf.DUMMYFUNCTION("""COMPUTED_VALUE"""),"The Palms : 10 Hour General Support Block")</f>
        <v>The Palms : 10 Hour General Support Block</v>
      </c>
      <c r="B510" s="223" t="str">
        <f>IFERROR(__xludf.DUMMYFUNCTION("""COMPUTED_VALUE"""),"The Palms")</f>
        <v>The Palms</v>
      </c>
      <c r="C510" s="223" t="str">
        <f>IFERROR(__xludf.DUMMYFUNCTION("""COMPUTED_VALUE"""),"10 Hour General Support Block")</f>
        <v>10 Hour General Support Block</v>
      </c>
      <c r="D510" s="316">
        <f>IFERROR(__xludf.DUMMYFUNCTION("""COMPUTED_VALUE"""),44813.0)</f>
        <v>44813</v>
      </c>
      <c r="E510" s="298">
        <f>IFERROR(__xludf.DUMMYFUNCTION("""COMPUTED_VALUE"""),439.6816620000001)</f>
        <v>439.681662</v>
      </c>
      <c r="F510" s="298">
        <f>IFERROR(__xludf.DUMMYFUNCTION("""COMPUTED_VALUE"""),0.0)</f>
        <v>0</v>
      </c>
      <c r="G510" s="298">
        <f>IFERROR(__xludf.DUMMYFUNCTION("""COMPUTED_VALUE"""),0.0)</f>
        <v>0</v>
      </c>
      <c r="H510" s="223">
        <f>IFERROR(__xludf.DUMMYFUNCTION("""COMPUTED_VALUE"""),439.6816620000001)</f>
        <v>439.681662</v>
      </c>
      <c r="I510" s="298"/>
      <c r="J510" s="223" t="str">
        <f>IFERROR(__xludf.DUMMYFUNCTION("""COMPUTED_VALUE"""),"One-Time")</f>
        <v>One-Time</v>
      </c>
      <c r="K510" s="317">
        <f>IFERROR(__xludf.DUMMYFUNCTION("""COMPUTED_VALUE"""),2022.0)</f>
        <v>2022</v>
      </c>
      <c r="L510" s="298"/>
      <c r="M510" s="223"/>
      <c r="N510" s="223"/>
      <c r="O510" s="223"/>
      <c r="P510" s="223"/>
      <c r="Q510" s="223"/>
      <c r="R510" s="223"/>
      <c r="S510" s="223"/>
      <c r="T510" s="223"/>
      <c r="U510" s="223"/>
      <c r="V510" s="223"/>
      <c r="W510" s="223"/>
      <c r="X510" s="223"/>
      <c r="Y510" s="223"/>
      <c r="Z510" s="223"/>
    </row>
    <row r="511">
      <c r="A511" s="223" t="str">
        <f>IFERROR(__xludf.DUMMYFUNCTION("""COMPUTED_VALUE"""),"The Shore Club : 10 Hour General Support Block")</f>
        <v>The Shore Club : 10 Hour General Support Block</v>
      </c>
      <c r="B511" s="223" t="str">
        <f>IFERROR(__xludf.DUMMYFUNCTION("""COMPUTED_VALUE"""),"The Shore Club")</f>
        <v>The Shore Club</v>
      </c>
      <c r="C511" s="223" t="str">
        <f>IFERROR(__xludf.DUMMYFUNCTION("""COMPUTED_VALUE"""),"10 Hour General Support Block")</f>
        <v>10 Hour General Support Block</v>
      </c>
      <c r="D511" s="316">
        <f>IFERROR(__xludf.DUMMYFUNCTION("""COMPUTED_VALUE"""),44813.0)</f>
        <v>44813</v>
      </c>
      <c r="E511" s="298">
        <f>IFERROR(__xludf.DUMMYFUNCTION("""COMPUTED_VALUE"""),444.05957400000005)</f>
        <v>444.059574</v>
      </c>
      <c r="F511" s="298">
        <f>IFERROR(__xludf.DUMMYFUNCTION("""COMPUTED_VALUE"""),0.0)</f>
        <v>0</v>
      </c>
      <c r="G511" s="298">
        <f>IFERROR(__xludf.DUMMYFUNCTION("""COMPUTED_VALUE"""),0.0)</f>
        <v>0</v>
      </c>
      <c r="H511" s="223">
        <f>IFERROR(__xludf.DUMMYFUNCTION("""COMPUTED_VALUE"""),444.05957400000005)</f>
        <v>444.059574</v>
      </c>
      <c r="I511" s="298"/>
      <c r="J511" s="223" t="str">
        <f>IFERROR(__xludf.DUMMYFUNCTION("""COMPUTED_VALUE"""),"One-Time")</f>
        <v>One-Time</v>
      </c>
      <c r="K511" s="317">
        <f>IFERROR(__xludf.DUMMYFUNCTION("""COMPUTED_VALUE"""),2022.0)</f>
        <v>2022</v>
      </c>
      <c r="L511" s="298"/>
      <c r="M511" s="223"/>
      <c r="N511" s="223"/>
      <c r="O511" s="223"/>
      <c r="P511" s="223"/>
      <c r="Q511" s="223"/>
      <c r="R511" s="223"/>
      <c r="S511" s="223"/>
      <c r="T511" s="223"/>
      <c r="U511" s="223"/>
      <c r="V511" s="223"/>
      <c r="W511" s="223"/>
      <c r="X511" s="223"/>
      <c r="Y511" s="223"/>
      <c r="Z511" s="223"/>
    </row>
    <row r="512">
      <c r="A512" s="223" t="str">
        <f>IFERROR(__xludf.DUMMYFUNCTION("""COMPUTED_VALUE"""),"The Sands : Technical Transition Project")</f>
        <v>The Sands : Technical Transition Project</v>
      </c>
      <c r="B512" s="223" t="str">
        <f>IFERROR(__xludf.DUMMYFUNCTION("""COMPUTED_VALUE"""),"The Sands")</f>
        <v>The Sands</v>
      </c>
      <c r="C512" s="223" t="str">
        <f>IFERROR(__xludf.DUMMYFUNCTION("""COMPUTED_VALUE"""),"Technical Transition Project")</f>
        <v>Technical Transition Project</v>
      </c>
      <c r="D512" s="316">
        <f>IFERROR(__xludf.DUMMYFUNCTION("""COMPUTED_VALUE"""),44813.0)</f>
        <v>44813</v>
      </c>
      <c r="E512" s="298">
        <f>IFERROR(__xludf.DUMMYFUNCTION("""COMPUTED_VALUE"""),307.76292317474855)</f>
        <v>307.7629232</v>
      </c>
      <c r="F512" s="298">
        <f>IFERROR(__xludf.DUMMYFUNCTION("""COMPUTED_VALUE"""),0.0)</f>
        <v>0</v>
      </c>
      <c r="G512" s="298">
        <f>IFERROR(__xludf.DUMMYFUNCTION("""COMPUTED_VALUE"""),0.0)</f>
        <v>0</v>
      </c>
      <c r="H512" s="223">
        <f>IFERROR(__xludf.DUMMYFUNCTION("""COMPUTED_VALUE"""),307.76292317474855)</f>
        <v>307.7629232</v>
      </c>
      <c r="I512" s="298"/>
      <c r="J512" s="223" t="str">
        <f>IFERROR(__xludf.DUMMYFUNCTION("""COMPUTED_VALUE"""),"One-Time")</f>
        <v>One-Time</v>
      </c>
      <c r="K512" s="317">
        <f>IFERROR(__xludf.DUMMYFUNCTION("""COMPUTED_VALUE"""),2022.0)</f>
        <v>2022</v>
      </c>
      <c r="L512" s="298"/>
      <c r="M512" s="223"/>
      <c r="N512" s="223"/>
      <c r="O512" s="223"/>
      <c r="P512" s="223"/>
      <c r="Q512" s="223"/>
      <c r="R512" s="223"/>
      <c r="S512" s="223"/>
      <c r="T512" s="223"/>
      <c r="U512" s="223"/>
      <c r="V512" s="223"/>
      <c r="W512" s="223"/>
      <c r="X512" s="223"/>
      <c r="Y512" s="223"/>
      <c r="Z512" s="223"/>
    </row>
    <row r="513">
      <c r="A513" s="223" t="str">
        <f>IFERROR(__xludf.DUMMYFUNCTION("""COMPUTED_VALUE"""),"The Palms : Technical Transition Project")</f>
        <v>The Palms : Technical Transition Project</v>
      </c>
      <c r="B513" s="223" t="str">
        <f>IFERROR(__xludf.DUMMYFUNCTION("""COMPUTED_VALUE"""),"The Palms")</f>
        <v>The Palms</v>
      </c>
      <c r="C513" s="223" t="str">
        <f>IFERROR(__xludf.DUMMYFUNCTION("""COMPUTED_VALUE"""),"Technical Transition Project")</f>
        <v>Technical Transition Project</v>
      </c>
      <c r="D513" s="316">
        <f>IFERROR(__xludf.DUMMYFUNCTION("""COMPUTED_VALUE"""),44813.0)</f>
        <v>44813</v>
      </c>
      <c r="E513" s="298">
        <f>IFERROR(__xludf.DUMMYFUNCTION("""COMPUTED_VALUE"""),309.32558100000006)</f>
        <v>309.325581</v>
      </c>
      <c r="F513" s="298">
        <f>IFERROR(__xludf.DUMMYFUNCTION("""COMPUTED_VALUE"""),0.0)</f>
        <v>0</v>
      </c>
      <c r="G513" s="298">
        <f>IFERROR(__xludf.DUMMYFUNCTION("""COMPUTED_VALUE"""),0.0)</f>
        <v>0</v>
      </c>
      <c r="H513" s="223">
        <f>IFERROR(__xludf.DUMMYFUNCTION("""COMPUTED_VALUE"""),309.32558100000006)</f>
        <v>309.325581</v>
      </c>
      <c r="I513" s="298"/>
      <c r="J513" s="223" t="str">
        <f>IFERROR(__xludf.DUMMYFUNCTION("""COMPUTED_VALUE"""),"One-Time")</f>
        <v>One-Time</v>
      </c>
      <c r="K513" s="317">
        <f>IFERROR(__xludf.DUMMYFUNCTION("""COMPUTED_VALUE"""),2022.0)</f>
        <v>2022</v>
      </c>
      <c r="L513" s="298"/>
      <c r="M513" s="223"/>
      <c r="N513" s="223"/>
      <c r="O513" s="223"/>
      <c r="P513" s="223"/>
      <c r="Q513" s="223"/>
      <c r="R513" s="223"/>
      <c r="S513" s="223"/>
      <c r="T513" s="223"/>
      <c r="U513" s="223"/>
      <c r="V513" s="223"/>
      <c r="W513" s="223"/>
      <c r="X513" s="223"/>
      <c r="Y513" s="223"/>
      <c r="Z513" s="223"/>
    </row>
    <row r="514">
      <c r="A514" s="223" t="str">
        <f>IFERROR(__xludf.DUMMYFUNCTION("""COMPUTED_VALUE"""),"The Shore Club : Technical Transition Project")</f>
        <v>The Shore Club : Technical Transition Project</v>
      </c>
      <c r="B514" s="223" t="str">
        <f>IFERROR(__xludf.DUMMYFUNCTION("""COMPUTED_VALUE"""),"The Shore Club")</f>
        <v>The Shore Club</v>
      </c>
      <c r="C514" s="223" t="str">
        <f>IFERROR(__xludf.DUMMYFUNCTION("""COMPUTED_VALUE"""),"Technical Transition Project")</f>
        <v>Technical Transition Project</v>
      </c>
      <c r="D514" s="316">
        <f>IFERROR(__xludf.DUMMYFUNCTION("""COMPUTED_VALUE"""),44813.0)</f>
        <v>44813</v>
      </c>
      <c r="E514" s="298">
        <f>IFERROR(__xludf.DUMMYFUNCTION("""COMPUTED_VALUE"""),312.40553700000004)</f>
        <v>312.405537</v>
      </c>
      <c r="F514" s="298">
        <f>IFERROR(__xludf.DUMMYFUNCTION("""COMPUTED_VALUE"""),0.0)</f>
        <v>0</v>
      </c>
      <c r="G514" s="298">
        <f>IFERROR(__xludf.DUMMYFUNCTION("""COMPUTED_VALUE"""),0.0)</f>
        <v>0</v>
      </c>
      <c r="H514" s="223">
        <f>IFERROR(__xludf.DUMMYFUNCTION("""COMPUTED_VALUE"""),312.40553700000004)</f>
        <v>312.405537</v>
      </c>
      <c r="I514" s="298"/>
      <c r="J514" s="223" t="str">
        <f>IFERROR(__xludf.DUMMYFUNCTION("""COMPUTED_VALUE"""),"One-Time")</f>
        <v>One-Time</v>
      </c>
      <c r="K514" s="317">
        <f>IFERROR(__xludf.DUMMYFUNCTION("""COMPUTED_VALUE"""),2022.0)</f>
        <v>2022</v>
      </c>
      <c r="L514" s="298"/>
      <c r="M514" s="223"/>
      <c r="N514" s="223"/>
      <c r="O514" s="223"/>
      <c r="P514" s="223"/>
      <c r="Q514" s="223"/>
      <c r="R514" s="223"/>
      <c r="S514" s="223"/>
      <c r="T514" s="223"/>
      <c r="U514" s="223"/>
      <c r="V514" s="223"/>
      <c r="W514" s="223"/>
      <c r="X514" s="223"/>
      <c r="Y514" s="223"/>
      <c r="Z514" s="223"/>
    </row>
    <row r="515">
      <c r="A515" s="223" t="str">
        <f>IFERROR(__xludf.DUMMYFUNCTION("""COMPUTED_VALUE"""),"The Sands : Website Hosting")</f>
        <v>The Sands : Website Hosting</v>
      </c>
      <c r="B515" s="223" t="str">
        <f>IFERROR(__xludf.DUMMYFUNCTION("""COMPUTED_VALUE"""),"The Sands")</f>
        <v>The Sands</v>
      </c>
      <c r="C515" s="223" t="str">
        <f>IFERROR(__xludf.DUMMYFUNCTION("""COMPUTED_VALUE"""),"Website Hosting")</f>
        <v>Website Hosting</v>
      </c>
      <c r="D515" s="316">
        <f>IFERROR(__xludf.DUMMYFUNCTION("""COMPUTED_VALUE"""),44813.0)</f>
        <v>44813</v>
      </c>
      <c r="E515" s="298">
        <f>IFERROR(__xludf.DUMMYFUNCTION("""COMPUTED_VALUE"""),492.38902236906284)</f>
        <v>492.3890224</v>
      </c>
      <c r="F515" s="298">
        <f>IFERROR(__xludf.DUMMYFUNCTION("""COMPUTED_VALUE"""),0.0)</f>
        <v>0</v>
      </c>
      <c r="G515" s="298">
        <f>IFERROR(__xludf.DUMMYFUNCTION("""COMPUTED_VALUE"""),0.0)</f>
        <v>0</v>
      </c>
      <c r="H515" s="223">
        <f>IFERROR(__xludf.DUMMYFUNCTION("""COMPUTED_VALUE"""),492.38902236906284)</f>
        <v>492.3890224</v>
      </c>
      <c r="I515" s="298"/>
      <c r="J515" s="223" t="str">
        <f>IFERROR(__xludf.DUMMYFUNCTION("""COMPUTED_VALUE"""),"One-Time Prepaid")</f>
        <v>One-Time Prepaid</v>
      </c>
      <c r="K515" s="317">
        <f>IFERROR(__xludf.DUMMYFUNCTION("""COMPUTED_VALUE"""),2022.0)</f>
        <v>2022</v>
      </c>
      <c r="L515" s="298"/>
      <c r="M515" s="223"/>
      <c r="N515" s="223"/>
      <c r="O515" s="223"/>
      <c r="P515" s="223"/>
      <c r="Q515" s="223"/>
      <c r="R515" s="223"/>
      <c r="S515" s="223"/>
      <c r="T515" s="223"/>
      <c r="U515" s="223"/>
      <c r="V515" s="223"/>
      <c r="W515" s="223"/>
      <c r="X515" s="223"/>
      <c r="Y515" s="223"/>
      <c r="Z515" s="223"/>
    </row>
    <row r="516">
      <c r="A516" s="223" t="str">
        <f>IFERROR(__xludf.DUMMYFUNCTION("""COMPUTED_VALUE"""),"The Palms : Website Hosting")</f>
        <v>The Palms : Website Hosting</v>
      </c>
      <c r="B516" s="223" t="str">
        <f>IFERROR(__xludf.DUMMYFUNCTION("""COMPUTED_VALUE"""),"The Palms")</f>
        <v>The Palms</v>
      </c>
      <c r="C516" s="223" t="str">
        <f>IFERROR(__xludf.DUMMYFUNCTION("""COMPUTED_VALUE"""),"Website Hosting")</f>
        <v>Website Hosting</v>
      </c>
      <c r="D516" s="316">
        <f>IFERROR(__xludf.DUMMYFUNCTION("""COMPUTED_VALUE"""),44813.0)</f>
        <v>44813</v>
      </c>
      <c r="E516" s="298">
        <f>IFERROR(__xludf.DUMMYFUNCTION("""COMPUTED_VALUE"""),494.910324)</f>
        <v>494.910324</v>
      </c>
      <c r="F516" s="298">
        <f>IFERROR(__xludf.DUMMYFUNCTION("""COMPUTED_VALUE"""),0.0)</f>
        <v>0</v>
      </c>
      <c r="G516" s="298">
        <f>IFERROR(__xludf.DUMMYFUNCTION("""COMPUTED_VALUE"""),0.0)</f>
        <v>0</v>
      </c>
      <c r="H516" s="223">
        <f>IFERROR(__xludf.DUMMYFUNCTION("""COMPUTED_VALUE"""),494.910324)</f>
        <v>494.910324</v>
      </c>
      <c r="I516" s="298"/>
      <c r="J516" s="223" t="str">
        <f>IFERROR(__xludf.DUMMYFUNCTION("""COMPUTED_VALUE"""),"One-Time Prepaid")</f>
        <v>One-Time Prepaid</v>
      </c>
      <c r="K516" s="317">
        <f>IFERROR(__xludf.DUMMYFUNCTION("""COMPUTED_VALUE"""),2022.0)</f>
        <v>2022</v>
      </c>
      <c r="L516" s="298"/>
      <c r="M516" s="223"/>
      <c r="N516" s="223"/>
      <c r="O516" s="223"/>
      <c r="P516" s="223"/>
      <c r="Q516" s="223"/>
      <c r="R516" s="223"/>
      <c r="S516" s="223"/>
      <c r="T516" s="223"/>
      <c r="U516" s="223"/>
      <c r="V516" s="223"/>
      <c r="W516" s="223"/>
      <c r="X516" s="223"/>
      <c r="Y516" s="223"/>
      <c r="Z516" s="223"/>
    </row>
    <row r="517">
      <c r="A517" s="223" t="str">
        <f>IFERROR(__xludf.DUMMYFUNCTION("""COMPUTED_VALUE"""),"The Shore Club : Website Hosting")</f>
        <v>The Shore Club : Website Hosting</v>
      </c>
      <c r="B517" s="223" t="str">
        <f>IFERROR(__xludf.DUMMYFUNCTION("""COMPUTED_VALUE"""),"The Shore Club")</f>
        <v>The Shore Club</v>
      </c>
      <c r="C517" s="223" t="str">
        <f>IFERROR(__xludf.DUMMYFUNCTION("""COMPUTED_VALUE"""),"Website Hosting")</f>
        <v>Website Hosting</v>
      </c>
      <c r="D517" s="316">
        <f>IFERROR(__xludf.DUMMYFUNCTION("""COMPUTED_VALUE"""),44813.0)</f>
        <v>44813</v>
      </c>
      <c r="E517" s="298">
        <f>IFERROR(__xludf.DUMMYFUNCTION("""COMPUTED_VALUE"""),499.838148)</f>
        <v>499.838148</v>
      </c>
      <c r="F517" s="298">
        <f>IFERROR(__xludf.DUMMYFUNCTION("""COMPUTED_VALUE"""),0.0)</f>
        <v>0</v>
      </c>
      <c r="G517" s="298">
        <f>IFERROR(__xludf.DUMMYFUNCTION("""COMPUTED_VALUE"""),0.0)</f>
        <v>0</v>
      </c>
      <c r="H517" s="223">
        <f>IFERROR(__xludf.DUMMYFUNCTION("""COMPUTED_VALUE"""),499.838148)</f>
        <v>499.838148</v>
      </c>
      <c r="I517" s="298"/>
      <c r="J517" s="223" t="str">
        <f>IFERROR(__xludf.DUMMYFUNCTION("""COMPUTED_VALUE"""),"One-Time Prepaid")</f>
        <v>One-Time Prepaid</v>
      </c>
      <c r="K517" s="317">
        <f>IFERROR(__xludf.DUMMYFUNCTION("""COMPUTED_VALUE"""),2022.0)</f>
        <v>2022</v>
      </c>
      <c r="L517" s="298"/>
      <c r="M517" s="223"/>
      <c r="N517" s="223"/>
      <c r="O517" s="223"/>
      <c r="P517" s="223"/>
      <c r="Q517" s="223"/>
      <c r="R517" s="223"/>
      <c r="S517" s="223"/>
      <c r="T517" s="223"/>
      <c r="U517" s="223"/>
      <c r="V517" s="223"/>
      <c r="W517" s="223"/>
      <c r="X517" s="223"/>
      <c r="Y517" s="223"/>
      <c r="Z517" s="223"/>
    </row>
    <row r="518">
      <c r="A518" s="223" t="str">
        <f>IFERROR(__xludf.DUMMYFUNCTION("""COMPUTED_VALUE"""),"The Palms : Annual Website Hosting ")</f>
        <v>The Palms : Annual Website Hosting </v>
      </c>
      <c r="B518" s="223" t="str">
        <f>IFERROR(__xludf.DUMMYFUNCTION("""COMPUTED_VALUE"""),"The Palms")</f>
        <v>The Palms</v>
      </c>
      <c r="C518" s="223" t="str">
        <f>IFERROR(__xludf.DUMMYFUNCTION("""COMPUTED_VALUE"""),"Annual Website Hosting")</f>
        <v>Annual Website Hosting</v>
      </c>
      <c r="D518" s="316">
        <f>IFERROR(__xludf.DUMMYFUNCTION("""COMPUTED_VALUE"""),44910.0)</f>
        <v>44910</v>
      </c>
      <c r="E518" s="298">
        <f>IFERROR(__xludf.DUMMYFUNCTION("""COMPUTED_VALUE"""),850.890816)</f>
        <v>850.890816</v>
      </c>
      <c r="F518" s="298">
        <f>IFERROR(__xludf.DUMMYFUNCTION("""COMPUTED_VALUE"""),0.0)</f>
        <v>0</v>
      </c>
      <c r="G518" s="298">
        <f>IFERROR(__xludf.DUMMYFUNCTION("""COMPUTED_VALUE"""),0.0)</f>
        <v>0</v>
      </c>
      <c r="H518" s="223">
        <f>IFERROR(__xludf.DUMMYFUNCTION("""COMPUTED_VALUE"""),850.890816)</f>
        <v>850.890816</v>
      </c>
      <c r="I518" s="298"/>
      <c r="J518" s="223" t="str">
        <f>IFERROR(__xludf.DUMMYFUNCTION("""COMPUTED_VALUE"""),"One-Time Prepaid")</f>
        <v>One-Time Prepaid</v>
      </c>
      <c r="K518" s="317">
        <f>IFERROR(__xludf.DUMMYFUNCTION("""COMPUTED_VALUE"""),2022.0)</f>
        <v>2022</v>
      </c>
      <c r="L518" s="298"/>
      <c r="M518" s="223"/>
      <c r="N518" s="223"/>
      <c r="O518" s="223"/>
      <c r="P518" s="223"/>
      <c r="Q518" s="223"/>
      <c r="R518" s="223"/>
      <c r="S518" s="223"/>
      <c r="T518" s="223"/>
      <c r="U518" s="223"/>
      <c r="V518" s="223"/>
      <c r="W518" s="223"/>
      <c r="X518" s="223"/>
      <c r="Y518" s="223"/>
      <c r="Z518" s="223"/>
    </row>
    <row r="519">
      <c r="A519" s="223" t="str">
        <f>IFERROR(__xludf.DUMMYFUNCTION("""COMPUTED_VALUE"""),"The Sands : Annual Website Hosting")</f>
        <v>The Sands : Annual Website Hosting</v>
      </c>
      <c r="B519" s="223" t="str">
        <f>IFERROR(__xludf.DUMMYFUNCTION("""COMPUTED_VALUE"""),"The Sands")</f>
        <v>The Sands</v>
      </c>
      <c r="C519" s="223" t="str">
        <f>IFERROR(__xludf.DUMMYFUNCTION("""COMPUTED_VALUE"""),"Annual Website Hosting")</f>
        <v>Annual Website Hosting</v>
      </c>
      <c r="D519" s="316">
        <f>IFERROR(__xludf.DUMMYFUNCTION("""COMPUTED_VALUE"""),44910.0)</f>
        <v>44910</v>
      </c>
      <c r="E519" s="298">
        <f>IFERROR(__xludf.DUMMYFUNCTION("""COMPUTED_VALUE"""),1466.63465832)</f>
        <v>1466.634658</v>
      </c>
      <c r="F519" s="298">
        <f>IFERROR(__xludf.DUMMYFUNCTION("""COMPUTED_VALUE"""),0.0)</f>
        <v>0</v>
      </c>
      <c r="G519" s="298">
        <f>IFERROR(__xludf.DUMMYFUNCTION("""COMPUTED_VALUE"""),0.0)</f>
        <v>0</v>
      </c>
      <c r="H519" s="223">
        <f>IFERROR(__xludf.DUMMYFUNCTION("""COMPUTED_VALUE"""),1466.63465832)</f>
        <v>1466.634658</v>
      </c>
      <c r="I519" s="298"/>
      <c r="J519" s="223" t="str">
        <f>IFERROR(__xludf.DUMMYFUNCTION("""COMPUTED_VALUE"""),"One-Time Prepaid")</f>
        <v>One-Time Prepaid</v>
      </c>
      <c r="K519" s="317">
        <f>IFERROR(__xludf.DUMMYFUNCTION("""COMPUTED_VALUE"""),2022.0)</f>
        <v>2022</v>
      </c>
      <c r="L519" s="298"/>
      <c r="M519" s="223"/>
      <c r="N519" s="223"/>
      <c r="O519" s="223"/>
      <c r="P519" s="223"/>
      <c r="Q519" s="223"/>
      <c r="R519" s="223"/>
      <c r="S519" s="223"/>
      <c r="T519" s="223"/>
      <c r="U519" s="223"/>
      <c r="V519" s="223"/>
      <c r="W519" s="223"/>
      <c r="X519" s="223"/>
      <c r="Y519" s="223"/>
      <c r="Z519" s="223"/>
    </row>
    <row r="520">
      <c r="A520" s="223" t="str">
        <f>IFERROR(__xludf.DUMMYFUNCTION("""COMPUTED_VALUE"""),"The Shore Club : Annual Website Hosting")</f>
        <v>The Shore Club : Annual Website Hosting</v>
      </c>
      <c r="B520" s="223" t="str">
        <f>IFERROR(__xludf.DUMMYFUNCTION("""COMPUTED_VALUE"""),"The Shore Club")</f>
        <v>The Shore Club</v>
      </c>
      <c r="C520" s="223" t="str">
        <f>IFERROR(__xludf.DUMMYFUNCTION("""COMPUTED_VALUE"""),"Annual Website Hosting")</f>
        <v>Annual Website Hosting</v>
      </c>
      <c r="D520" s="316">
        <f>IFERROR(__xludf.DUMMYFUNCTION("""COMPUTED_VALUE"""),44910.0)</f>
        <v>44910</v>
      </c>
      <c r="E520" s="298">
        <f>IFERROR(__xludf.DUMMYFUNCTION("""COMPUTED_VALUE"""),1463.675724)</f>
        <v>1463.675724</v>
      </c>
      <c r="F520" s="298">
        <f>IFERROR(__xludf.DUMMYFUNCTION("""COMPUTED_VALUE"""),0.0)</f>
        <v>0</v>
      </c>
      <c r="G520" s="298">
        <f>IFERROR(__xludf.DUMMYFUNCTION("""COMPUTED_VALUE"""),0.0)</f>
        <v>0</v>
      </c>
      <c r="H520" s="223">
        <f>IFERROR(__xludf.DUMMYFUNCTION("""COMPUTED_VALUE"""),1463.675724)</f>
        <v>1463.675724</v>
      </c>
      <c r="I520" s="298"/>
      <c r="J520" s="223" t="str">
        <f>IFERROR(__xludf.DUMMYFUNCTION("""COMPUTED_VALUE"""),"One-Time Prepaid")</f>
        <v>One-Time Prepaid</v>
      </c>
      <c r="K520" s="317">
        <f>IFERROR(__xludf.DUMMYFUNCTION("""COMPUTED_VALUE"""),2022.0)</f>
        <v>2022</v>
      </c>
      <c r="L520" s="298"/>
      <c r="M520" s="223"/>
      <c r="N520" s="223"/>
      <c r="O520" s="223"/>
      <c r="P520" s="223"/>
      <c r="Q520" s="223"/>
      <c r="R520" s="223"/>
      <c r="S520" s="223"/>
      <c r="T520" s="223"/>
      <c r="U520" s="223"/>
      <c r="V520" s="223"/>
      <c r="W520" s="223"/>
      <c r="X520" s="223"/>
      <c r="Y520" s="223"/>
      <c r="Z520" s="223"/>
    </row>
    <row r="521">
      <c r="A521" s="223" t="str">
        <f>IFERROR(__xludf.DUMMYFUNCTION("""COMPUTED_VALUE"""),"Maka Health : Quick Site")</f>
        <v>Maka Health : Quick Site</v>
      </c>
      <c r="B521" s="223" t="str">
        <f>IFERROR(__xludf.DUMMYFUNCTION("""COMPUTED_VALUE"""),"Maka Health")</f>
        <v>Maka Health</v>
      </c>
      <c r="C521" s="223" t="str">
        <f>IFERROR(__xludf.DUMMYFUNCTION("""COMPUTED_VALUE"""),"Quick Site")</f>
        <v>Quick Site</v>
      </c>
      <c r="D521" s="316">
        <f>IFERROR(__xludf.DUMMYFUNCTION("""COMPUTED_VALUE"""),44813.0)</f>
        <v>44813</v>
      </c>
      <c r="E521" s="298">
        <f>IFERROR(__xludf.DUMMYFUNCTION("""COMPUTED_VALUE"""),500.0)</f>
        <v>500</v>
      </c>
      <c r="F521" s="298">
        <f>IFERROR(__xludf.DUMMYFUNCTION("""COMPUTED_VALUE"""),15.56)</f>
        <v>15.56</v>
      </c>
      <c r="G521" s="298">
        <f>IFERROR(__xludf.DUMMYFUNCTION("""COMPUTED_VALUE"""),0.0)</f>
        <v>0</v>
      </c>
      <c r="H521" s="223">
        <f>IFERROR(__xludf.DUMMYFUNCTION("""COMPUTED_VALUE"""),484.44)</f>
        <v>484.44</v>
      </c>
      <c r="I521" s="298"/>
      <c r="J521" s="223" t="str">
        <f>IFERROR(__xludf.DUMMYFUNCTION("""COMPUTED_VALUE"""),"One-Time")</f>
        <v>One-Time</v>
      </c>
      <c r="K521" s="317">
        <f>IFERROR(__xludf.DUMMYFUNCTION("""COMPUTED_VALUE"""),2022.0)</f>
        <v>2022</v>
      </c>
      <c r="L521" s="298"/>
      <c r="M521" s="223"/>
      <c r="N521" s="223"/>
      <c r="O521" s="223"/>
      <c r="P521" s="223"/>
      <c r="Q521" s="223"/>
      <c r="R521" s="223"/>
      <c r="S521" s="223"/>
      <c r="T521" s="223"/>
      <c r="U521" s="223"/>
      <c r="V521" s="223"/>
      <c r="W521" s="223"/>
      <c r="X521" s="223"/>
      <c r="Y521" s="223"/>
      <c r="Z521" s="223"/>
    </row>
    <row r="522">
      <c r="A522" s="223" t="str">
        <f>IFERROR(__xludf.DUMMYFUNCTION("""COMPUTED_VALUE"""),"MortgagePal : 5 Hour Support Block")</f>
        <v>MortgagePal : 5 Hour Support Block</v>
      </c>
      <c r="B522" s="223" t="str">
        <f>IFERROR(__xludf.DUMMYFUNCTION("""COMPUTED_VALUE"""),"MortgagePal")</f>
        <v>MortgagePal</v>
      </c>
      <c r="C522" s="223" t="str">
        <f>IFERROR(__xludf.DUMMYFUNCTION("""COMPUTED_VALUE"""),"5 Hour Support Block")</f>
        <v>5 Hour Support Block</v>
      </c>
      <c r="D522" s="316">
        <f>IFERROR(__xludf.DUMMYFUNCTION("""COMPUTED_VALUE"""),44813.0)</f>
        <v>44813</v>
      </c>
      <c r="E522" s="298">
        <f>IFERROR(__xludf.DUMMYFUNCTION("""COMPUTED_VALUE"""),599.0)</f>
        <v>599</v>
      </c>
      <c r="F522" s="298">
        <f>IFERROR(__xludf.DUMMYFUNCTION("""COMPUTED_VALUE"""),18.64)</f>
        <v>18.64</v>
      </c>
      <c r="G522" s="298">
        <f>IFERROR(__xludf.DUMMYFUNCTION("""COMPUTED_VALUE"""),0.0)</f>
        <v>0</v>
      </c>
      <c r="H522" s="223">
        <f>IFERROR(__xludf.DUMMYFUNCTION("""COMPUTED_VALUE"""),580.36)</f>
        <v>580.36</v>
      </c>
      <c r="I522" s="298"/>
      <c r="J522" s="223" t="str">
        <f>IFERROR(__xludf.DUMMYFUNCTION("""COMPUTED_VALUE"""),"One-Time")</f>
        <v>One-Time</v>
      </c>
      <c r="K522" s="317">
        <f>IFERROR(__xludf.DUMMYFUNCTION("""COMPUTED_VALUE"""),2022.0)</f>
        <v>2022</v>
      </c>
      <c r="L522" s="298"/>
      <c r="M522" s="223"/>
      <c r="N522" s="223"/>
      <c r="O522" s="223"/>
      <c r="P522" s="223"/>
      <c r="Q522" s="223"/>
      <c r="R522" s="223"/>
      <c r="S522" s="223"/>
      <c r="T522" s="223"/>
      <c r="U522" s="223"/>
      <c r="V522" s="223"/>
      <c r="W522" s="223"/>
      <c r="X522" s="223"/>
      <c r="Y522" s="223"/>
      <c r="Z522" s="223"/>
    </row>
    <row r="523">
      <c r="A523" s="223" t="str">
        <f>IFERROR(__xludf.DUMMYFUNCTION("""COMPUTED_VALUE"""),"Anavara : Other Projects")</f>
        <v>Anavara : Other Projects</v>
      </c>
      <c r="B523" s="223" t="str">
        <f>IFERROR(__xludf.DUMMYFUNCTION("""COMPUTED_VALUE"""),"Anavara")</f>
        <v>Anavara</v>
      </c>
      <c r="C523" s="223" t="str">
        <f>IFERROR(__xludf.DUMMYFUNCTION("""COMPUTED_VALUE"""),"Other Projects")</f>
        <v>Other Projects</v>
      </c>
      <c r="D523" s="316">
        <f>IFERROR(__xludf.DUMMYFUNCTION("""COMPUTED_VALUE"""),44895.0)</f>
        <v>44895</v>
      </c>
      <c r="E523" s="298">
        <f>IFERROR(__xludf.DUMMYFUNCTION("""COMPUTED_VALUE"""),550.0)</f>
        <v>550</v>
      </c>
      <c r="F523" s="298">
        <f>IFERROR(__xludf.DUMMYFUNCTION("""COMPUTED_VALUE"""),17.11)</f>
        <v>17.11</v>
      </c>
      <c r="G523" s="298">
        <f>IFERROR(__xludf.DUMMYFUNCTION("""COMPUTED_VALUE"""),0.0)</f>
        <v>0</v>
      </c>
      <c r="H523" s="223">
        <f>IFERROR(__xludf.DUMMYFUNCTION("""COMPUTED_VALUE"""),532.89)</f>
        <v>532.89</v>
      </c>
      <c r="I523" s="298"/>
      <c r="J523" s="223" t="str">
        <f>IFERROR(__xludf.DUMMYFUNCTION("""COMPUTED_VALUE"""),"One-Time")</f>
        <v>One-Time</v>
      </c>
      <c r="K523" s="317">
        <f>IFERROR(__xludf.DUMMYFUNCTION("""COMPUTED_VALUE"""),2022.0)</f>
        <v>2022</v>
      </c>
      <c r="L523" s="298"/>
      <c r="M523" s="223"/>
      <c r="N523" s="223"/>
      <c r="O523" s="223"/>
      <c r="P523" s="223"/>
      <c r="Q523" s="223"/>
      <c r="R523" s="223"/>
      <c r="S523" s="223"/>
      <c r="T523" s="223"/>
      <c r="U523" s="223"/>
      <c r="V523" s="223"/>
      <c r="W523" s="223"/>
      <c r="X523" s="223"/>
      <c r="Y523" s="223"/>
      <c r="Z523" s="223"/>
    </row>
    <row r="524">
      <c r="A524" s="223" t="str">
        <f>IFERROR(__xludf.DUMMYFUNCTION("""COMPUTED_VALUE"""),"Starfish Medical : 5 Hour Support Block")</f>
        <v>Starfish Medical : 5 Hour Support Block</v>
      </c>
      <c r="B524" s="223" t="str">
        <f>IFERROR(__xludf.DUMMYFUNCTION("""COMPUTED_VALUE"""),"Starfish Medical")</f>
        <v>Starfish Medical</v>
      </c>
      <c r="C524" s="223" t="str">
        <f>IFERROR(__xludf.DUMMYFUNCTION("""COMPUTED_VALUE"""),"5 Hour Support Block")</f>
        <v>5 Hour Support Block</v>
      </c>
      <c r="D524" s="316">
        <f>IFERROR(__xludf.DUMMYFUNCTION("""COMPUTED_VALUE"""),44819.0)</f>
        <v>44819</v>
      </c>
      <c r="E524" s="298">
        <f>IFERROR(__xludf.DUMMYFUNCTION("""COMPUTED_VALUE"""),600.0)</f>
        <v>600</v>
      </c>
      <c r="F524" s="298">
        <f>IFERROR(__xludf.DUMMYFUNCTION("""COMPUTED_VALUE"""),0.0)</f>
        <v>0</v>
      </c>
      <c r="G524" s="298">
        <f>IFERROR(__xludf.DUMMYFUNCTION("""COMPUTED_VALUE"""),0.0)</f>
        <v>0</v>
      </c>
      <c r="H524" s="223">
        <f>IFERROR(__xludf.DUMMYFUNCTION("""COMPUTED_VALUE"""),600.0)</f>
        <v>600</v>
      </c>
      <c r="I524" s="298"/>
      <c r="J524" s="223" t="str">
        <f>IFERROR(__xludf.DUMMYFUNCTION("""COMPUTED_VALUE"""),"One-Time Prepaid")</f>
        <v>One-Time Prepaid</v>
      </c>
      <c r="K524" s="317">
        <f>IFERROR(__xludf.DUMMYFUNCTION("""COMPUTED_VALUE"""),2022.0)</f>
        <v>2022</v>
      </c>
      <c r="L524" s="298"/>
      <c r="M524" s="223"/>
      <c r="N524" s="223"/>
      <c r="O524" s="223"/>
      <c r="P524" s="223"/>
      <c r="Q524" s="223"/>
      <c r="R524" s="223"/>
      <c r="S524" s="223"/>
      <c r="T524" s="223"/>
      <c r="U524" s="223"/>
      <c r="V524" s="223"/>
      <c r="W524" s="223"/>
      <c r="X524" s="223"/>
      <c r="Y524" s="223"/>
      <c r="Z524" s="223"/>
    </row>
    <row r="525">
      <c r="A525" s="223" t="str">
        <f>IFERROR(__xludf.DUMMYFUNCTION("""COMPUTED_VALUE"""),"Turks and Caicos Reservations : General Projects")</f>
        <v>Turks and Caicos Reservations : General Projects</v>
      </c>
      <c r="B525" s="223" t="str">
        <f>IFERROR(__xludf.DUMMYFUNCTION("""COMPUTED_VALUE"""),"Turks and Caicos Reservations")</f>
        <v>Turks and Caicos Reservations</v>
      </c>
      <c r="C525" s="223" t="str">
        <f>IFERROR(__xludf.DUMMYFUNCTION("""COMPUTED_VALUE"""),"General Projects")</f>
        <v>General Projects</v>
      </c>
      <c r="D525" s="316">
        <f>IFERROR(__xludf.DUMMYFUNCTION("""COMPUTED_VALUE"""),44819.0)</f>
        <v>44819</v>
      </c>
      <c r="E525" s="298">
        <f>IFERROR(__xludf.DUMMYFUNCTION("""COMPUTED_VALUE"""),1135.74875)</f>
        <v>1135.74875</v>
      </c>
      <c r="F525" s="298">
        <f>IFERROR(__xludf.DUMMYFUNCTION("""COMPUTED_VALUE"""),44.69505375)</f>
        <v>44.69505375</v>
      </c>
      <c r="G525" s="298">
        <f>IFERROR(__xludf.DUMMYFUNCTION("""COMPUTED_VALUE"""),0.0)</f>
        <v>0</v>
      </c>
      <c r="H525" s="223">
        <f>IFERROR(__xludf.DUMMYFUNCTION("""COMPUTED_VALUE"""),1091.05369625)</f>
        <v>1091.053696</v>
      </c>
      <c r="I525" s="298"/>
      <c r="J525" s="223" t="str">
        <f>IFERROR(__xludf.DUMMYFUNCTION("""COMPUTED_VALUE"""),"One-Time")</f>
        <v>One-Time</v>
      </c>
      <c r="K525" s="317">
        <f>IFERROR(__xludf.DUMMYFUNCTION("""COMPUTED_VALUE"""),2022.0)</f>
        <v>2022</v>
      </c>
      <c r="L525" s="298"/>
      <c r="M525" s="223"/>
      <c r="N525" s="223"/>
      <c r="O525" s="223"/>
      <c r="P525" s="223"/>
      <c r="Q525" s="223"/>
      <c r="R525" s="223"/>
      <c r="S525" s="223"/>
      <c r="T525" s="223"/>
      <c r="U525" s="223"/>
      <c r="V525" s="223"/>
      <c r="W525" s="223"/>
      <c r="X525" s="223"/>
      <c r="Y525" s="223"/>
      <c r="Z525" s="223"/>
    </row>
    <row r="526">
      <c r="A526" s="223" t="str">
        <f>IFERROR(__xludf.DUMMYFUNCTION("""COMPUTED_VALUE"""),"Bevridge : Click. Sip. Learn. Campaign")</f>
        <v>Bevridge : Click. Sip. Learn. Campaign</v>
      </c>
      <c r="B526" s="223" t="str">
        <f>IFERROR(__xludf.DUMMYFUNCTION("""COMPUTED_VALUE"""),"Bevridge")</f>
        <v>Bevridge</v>
      </c>
      <c r="C526" s="223" t="str">
        <f>IFERROR(__xludf.DUMMYFUNCTION("""COMPUTED_VALUE"""),"Click. Sip. Learn. Campaign")</f>
        <v>Click. Sip. Learn. Campaign</v>
      </c>
      <c r="D526" s="316">
        <f>IFERROR(__xludf.DUMMYFUNCTION("""COMPUTED_VALUE"""),44819.0)</f>
        <v>44819</v>
      </c>
      <c r="E526" s="298">
        <f>IFERROR(__xludf.DUMMYFUNCTION("""COMPUTED_VALUE"""),3354.8432255000002)</f>
        <v>3354.843226</v>
      </c>
      <c r="F526" s="298">
        <f>IFERROR(__xludf.DUMMYFUNCTION("""COMPUTED_VALUE"""),0.0)</f>
        <v>0</v>
      </c>
      <c r="G526" s="298">
        <f>IFERROR(__xludf.DUMMYFUNCTION("""COMPUTED_VALUE"""),0.0)</f>
        <v>0</v>
      </c>
      <c r="H526" s="223">
        <f>IFERROR(__xludf.DUMMYFUNCTION("""COMPUTED_VALUE"""),3354.8432255000002)</f>
        <v>3354.843226</v>
      </c>
      <c r="I526" s="298"/>
      <c r="J526" s="223" t="str">
        <f>IFERROR(__xludf.DUMMYFUNCTION("""COMPUTED_VALUE"""),"Monthly")</f>
        <v>Monthly</v>
      </c>
      <c r="K526" s="317">
        <f>IFERROR(__xludf.DUMMYFUNCTION("""COMPUTED_VALUE"""),2022.0)</f>
        <v>2022</v>
      </c>
      <c r="L526" s="298"/>
      <c r="M526" s="223"/>
      <c r="N526" s="223"/>
      <c r="O526" s="223"/>
      <c r="P526" s="223"/>
      <c r="Q526" s="223"/>
      <c r="R526" s="223"/>
      <c r="S526" s="223"/>
      <c r="T526" s="223"/>
      <c r="U526" s="223"/>
      <c r="V526" s="223"/>
      <c r="W526" s="223"/>
      <c r="X526" s="223"/>
      <c r="Y526" s="223"/>
      <c r="Z526" s="223"/>
    </row>
    <row r="527">
      <c r="A527" s="223" t="str">
        <f>IFERROR(__xludf.DUMMYFUNCTION("""COMPUTED_VALUE"""),"Bevridge : Click. Sip. Learn. Campaign")</f>
        <v>Bevridge : Click. Sip. Learn. Campaign</v>
      </c>
      <c r="B527" s="223" t="str">
        <f>IFERROR(__xludf.DUMMYFUNCTION("""COMPUTED_VALUE"""),"Bevridge")</f>
        <v>Bevridge</v>
      </c>
      <c r="C527" s="223" t="str">
        <f>IFERROR(__xludf.DUMMYFUNCTION("""COMPUTED_VALUE"""),"Click. Sip. Learn. Campaign")</f>
        <v>Click. Sip. Learn. Campaign</v>
      </c>
      <c r="D527" s="316">
        <f>IFERROR(__xludf.DUMMYFUNCTION("""COMPUTED_VALUE"""),44849.0)</f>
        <v>44849</v>
      </c>
      <c r="E527" s="298">
        <f>IFERROR(__xludf.DUMMYFUNCTION("""COMPUTED_VALUE"""),1926.0696765)</f>
        <v>1926.069677</v>
      </c>
      <c r="F527" s="298">
        <f>IFERROR(__xludf.DUMMYFUNCTION("""COMPUTED_VALUE"""),0.0)</f>
        <v>0</v>
      </c>
      <c r="G527" s="298">
        <f>IFERROR(__xludf.DUMMYFUNCTION("""COMPUTED_VALUE"""),0.0)</f>
        <v>0</v>
      </c>
      <c r="H527" s="223">
        <f>IFERROR(__xludf.DUMMYFUNCTION("""COMPUTED_VALUE"""),1926.0696765)</f>
        <v>1926.069677</v>
      </c>
      <c r="I527" s="298"/>
      <c r="J527" s="223" t="str">
        <f>IFERROR(__xludf.DUMMYFUNCTION("""COMPUTED_VALUE"""),"Monthly")</f>
        <v>Monthly</v>
      </c>
      <c r="K527" s="317">
        <f>IFERROR(__xludf.DUMMYFUNCTION("""COMPUTED_VALUE"""),2022.0)</f>
        <v>2022</v>
      </c>
      <c r="L527" s="298"/>
      <c r="M527" s="223"/>
      <c r="N527" s="223"/>
      <c r="O527" s="223"/>
      <c r="P527" s="223"/>
      <c r="Q527" s="223"/>
      <c r="R527" s="223"/>
      <c r="S527" s="223"/>
      <c r="T527" s="223"/>
      <c r="U527" s="223"/>
      <c r="V527" s="223"/>
      <c r="W527" s="223"/>
      <c r="X527" s="223"/>
      <c r="Y527" s="223"/>
      <c r="Z527" s="223"/>
    </row>
    <row r="528">
      <c r="A528" s="223" t="str">
        <f>IFERROR(__xludf.DUMMYFUNCTION("""COMPUTED_VALUE"""),"Bevridge : Click. Sip. Learn. Campaign")</f>
        <v>Bevridge : Click. Sip. Learn. Campaign</v>
      </c>
      <c r="B528" s="223" t="str">
        <f>IFERROR(__xludf.DUMMYFUNCTION("""COMPUTED_VALUE"""),"Bevridge")</f>
        <v>Bevridge</v>
      </c>
      <c r="C528" s="223" t="str">
        <f>IFERROR(__xludf.DUMMYFUNCTION("""COMPUTED_VALUE"""),"Click. Sip. Learn. Campaign")</f>
        <v>Click. Sip. Learn. Campaign</v>
      </c>
      <c r="D528" s="316">
        <f>IFERROR(__xludf.DUMMYFUNCTION("""COMPUTED_VALUE"""),44880.0)</f>
        <v>44880</v>
      </c>
      <c r="E528" s="298">
        <f>IFERROR(__xludf.DUMMYFUNCTION("""COMPUTED_VALUE"""),1932.6899999999998)</f>
        <v>1932.69</v>
      </c>
      <c r="F528" s="298">
        <f>IFERROR(__xludf.DUMMYFUNCTION("""COMPUTED_VALUE"""),0.0)</f>
        <v>0</v>
      </c>
      <c r="G528" s="298">
        <f>IFERROR(__xludf.DUMMYFUNCTION("""COMPUTED_VALUE"""),0.0)</f>
        <v>0</v>
      </c>
      <c r="H528" s="223">
        <f>IFERROR(__xludf.DUMMYFUNCTION("""COMPUTED_VALUE"""),1932.6899999999998)</f>
        <v>1932.69</v>
      </c>
      <c r="I528" s="298"/>
      <c r="J528" s="223" t="str">
        <f>IFERROR(__xludf.DUMMYFUNCTION("""COMPUTED_VALUE"""),"Monthly")</f>
        <v>Monthly</v>
      </c>
      <c r="K528" s="317">
        <f>IFERROR(__xludf.DUMMYFUNCTION("""COMPUTED_VALUE"""),2022.0)</f>
        <v>2022</v>
      </c>
      <c r="L528" s="298"/>
      <c r="M528" s="223"/>
      <c r="N528" s="223"/>
      <c r="O528" s="223"/>
      <c r="P528" s="223"/>
      <c r="Q528" s="223"/>
      <c r="R528" s="223"/>
      <c r="S528" s="223"/>
      <c r="T528" s="223"/>
      <c r="U528" s="223"/>
      <c r="V528" s="223"/>
      <c r="W528" s="223"/>
      <c r="X528" s="223"/>
      <c r="Y528" s="223"/>
      <c r="Z528" s="223"/>
    </row>
    <row r="529">
      <c r="A529" s="223" t="str">
        <f>IFERROR(__xludf.DUMMYFUNCTION("""COMPUTED_VALUE"""),"Bevridge : Click. Sip. Learn. Campaign")</f>
        <v>Bevridge : Click. Sip. Learn. Campaign</v>
      </c>
      <c r="B529" s="223" t="str">
        <f>IFERROR(__xludf.DUMMYFUNCTION("""COMPUTED_VALUE"""),"Bevridge")</f>
        <v>Bevridge</v>
      </c>
      <c r="C529" s="223" t="str">
        <f>IFERROR(__xludf.DUMMYFUNCTION("""COMPUTED_VALUE"""),"Click. Sip. Learn. Campaign")</f>
        <v>Click. Sip. Learn. Campaign</v>
      </c>
      <c r="D529" s="316"/>
      <c r="E529" s="298">
        <f>IFERROR(__xludf.DUMMYFUNCTION("""COMPUTED_VALUE"""),1500.0)</f>
        <v>1500</v>
      </c>
      <c r="F529" s="298"/>
      <c r="G529" s="298">
        <f>IFERROR(__xludf.DUMMYFUNCTION("""COMPUTED_VALUE"""),0.0)</f>
        <v>0</v>
      </c>
      <c r="H529" s="223">
        <f>IFERROR(__xludf.DUMMYFUNCTION("""COMPUTED_VALUE"""),1500.0)</f>
        <v>1500</v>
      </c>
      <c r="I529" s="298"/>
      <c r="J529" s="223" t="str">
        <f>IFERROR(__xludf.DUMMYFUNCTION("""COMPUTED_VALUE"""),"Monthly")</f>
        <v>Monthly</v>
      </c>
      <c r="K529" s="317"/>
      <c r="L529" s="298"/>
      <c r="M529" s="223"/>
      <c r="N529" s="223"/>
      <c r="O529" s="223"/>
      <c r="P529" s="223"/>
      <c r="Q529" s="223"/>
      <c r="R529" s="223"/>
      <c r="S529" s="223"/>
      <c r="T529" s="223"/>
      <c r="U529" s="223"/>
      <c r="V529" s="223"/>
      <c r="W529" s="223"/>
      <c r="X529" s="223"/>
      <c r="Y529" s="223"/>
      <c r="Z529" s="223"/>
    </row>
    <row r="530">
      <c r="A530" s="223" t="str">
        <f>IFERROR(__xludf.DUMMYFUNCTION("""COMPUTED_VALUE"""),"Bevridge : SEO Project")</f>
        <v>Bevridge : SEO Project</v>
      </c>
      <c r="B530" s="223" t="str">
        <f>IFERROR(__xludf.DUMMYFUNCTION("""COMPUTED_VALUE"""),"Bevridge")</f>
        <v>Bevridge</v>
      </c>
      <c r="C530" s="223" t="str">
        <f>IFERROR(__xludf.DUMMYFUNCTION("""COMPUTED_VALUE"""),"SEO Project")</f>
        <v>SEO Project</v>
      </c>
      <c r="D530" s="316"/>
      <c r="E530" s="298">
        <f>IFERROR(__xludf.DUMMYFUNCTION("""COMPUTED_VALUE"""),850.0)</f>
        <v>850</v>
      </c>
      <c r="F530" s="298"/>
      <c r="G530" s="298">
        <f>IFERROR(__xludf.DUMMYFUNCTION("""COMPUTED_VALUE"""),0.0)</f>
        <v>0</v>
      </c>
      <c r="H530" s="223">
        <f>IFERROR(__xludf.DUMMYFUNCTION("""COMPUTED_VALUE"""),850.0)</f>
        <v>850</v>
      </c>
      <c r="I530" s="298"/>
      <c r="J530" s="223" t="str">
        <f>IFERROR(__xludf.DUMMYFUNCTION("""COMPUTED_VALUE"""),"One-Time")</f>
        <v>One-Time</v>
      </c>
      <c r="K530" s="317"/>
      <c r="L530" s="298"/>
      <c r="M530" s="223"/>
      <c r="N530" s="223"/>
      <c r="O530" s="223"/>
      <c r="P530" s="223"/>
      <c r="Q530" s="223"/>
      <c r="R530" s="223"/>
      <c r="S530" s="223"/>
      <c r="T530" s="223"/>
      <c r="U530" s="223"/>
      <c r="V530" s="223"/>
      <c r="W530" s="223"/>
      <c r="X530" s="223"/>
      <c r="Y530" s="223"/>
      <c r="Z530" s="223"/>
    </row>
    <row r="531">
      <c r="A531" s="223" t="str">
        <f>IFERROR(__xludf.DUMMYFUNCTION("""COMPUTED_VALUE"""),"The Palms : Payment Gateway")</f>
        <v>The Palms : Payment Gateway</v>
      </c>
      <c r="B531" s="223" t="str">
        <f>IFERROR(__xludf.DUMMYFUNCTION("""COMPUTED_VALUE"""),"The Palms")</f>
        <v>The Palms</v>
      </c>
      <c r="C531" s="223" t="str">
        <f>IFERROR(__xludf.DUMMYFUNCTION("""COMPUTED_VALUE"""),"Payment Gateway")</f>
        <v>Payment Gateway</v>
      </c>
      <c r="D531" s="316">
        <f>IFERROR(__xludf.DUMMYFUNCTION("""COMPUTED_VALUE"""),44819.0)</f>
        <v>44819</v>
      </c>
      <c r="E531" s="298">
        <f>IFERROR(__xludf.DUMMYFUNCTION("""COMPUTED_VALUE"""),675.2)</f>
        <v>675.2</v>
      </c>
      <c r="F531" s="298">
        <f>IFERROR(__xludf.DUMMYFUNCTION("""COMPUTED_VALUE"""),0.0)</f>
        <v>0</v>
      </c>
      <c r="G531" s="298">
        <f>IFERROR(__xludf.DUMMYFUNCTION("""COMPUTED_VALUE"""),0.0)</f>
        <v>0</v>
      </c>
      <c r="H531" s="223">
        <f>IFERROR(__xludf.DUMMYFUNCTION("""COMPUTED_VALUE"""),675.2)</f>
        <v>675.2</v>
      </c>
      <c r="I531" s="298"/>
      <c r="J531" s="223" t="str">
        <f>IFERROR(__xludf.DUMMYFUNCTION("""COMPUTED_VALUE"""),"One-Time")</f>
        <v>One-Time</v>
      </c>
      <c r="K531" s="317">
        <f>IFERROR(__xludf.DUMMYFUNCTION("""COMPUTED_VALUE"""),2022.0)</f>
        <v>2022</v>
      </c>
      <c r="L531" s="298"/>
      <c r="M531" s="223"/>
      <c r="N531" s="223"/>
      <c r="O531" s="223"/>
      <c r="P531" s="223"/>
      <c r="Q531" s="223"/>
      <c r="R531" s="223"/>
      <c r="S531" s="223"/>
      <c r="T531" s="223"/>
      <c r="U531" s="223"/>
      <c r="V531" s="223"/>
      <c r="W531" s="223"/>
      <c r="X531" s="223"/>
      <c r="Y531" s="223"/>
      <c r="Z531" s="223"/>
    </row>
    <row r="532">
      <c r="A532" s="223" t="str">
        <f>IFERROR(__xludf.DUMMYFUNCTION("""COMPUTED_VALUE"""),"Arazy Group : Monthly Services")</f>
        <v>Arazy Group : Monthly Services</v>
      </c>
      <c r="B532" s="223" t="str">
        <f>IFERROR(__xludf.DUMMYFUNCTION("""COMPUTED_VALUE"""),"Arazy Group")</f>
        <v>Arazy Group</v>
      </c>
      <c r="C532" s="223" t="str">
        <f>IFERROR(__xludf.DUMMYFUNCTION("""COMPUTED_VALUE"""),"Monthly Services")</f>
        <v>Monthly Services</v>
      </c>
      <c r="D532" s="316">
        <f>IFERROR(__xludf.DUMMYFUNCTION("""COMPUTED_VALUE"""),44819.0)</f>
        <v>44819</v>
      </c>
      <c r="E532" s="298">
        <f>IFERROR(__xludf.DUMMYFUNCTION("""COMPUTED_VALUE"""),650.0)</f>
        <v>650</v>
      </c>
      <c r="F532" s="298">
        <f>IFERROR(__xludf.DUMMYFUNCTION("""COMPUTED_VALUE"""),20.09)</f>
        <v>20.09</v>
      </c>
      <c r="G532" s="298">
        <f>IFERROR(__xludf.DUMMYFUNCTION("""COMPUTED_VALUE"""),0.0)</f>
        <v>0</v>
      </c>
      <c r="H532" s="223">
        <f>IFERROR(__xludf.DUMMYFUNCTION("""COMPUTED_VALUE"""),629.91)</f>
        <v>629.91</v>
      </c>
      <c r="I532" s="298"/>
      <c r="J532" s="223" t="str">
        <f>IFERROR(__xludf.DUMMYFUNCTION("""COMPUTED_VALUE"""),"Monthly")</f>
        <v>Monthly</v>
      </c>
      <c r="K532" s="317">
        <f>IFERROR(__xludf.DUMMYFUNCTION("""COMPUTED_VALUE"""),2022.09)</f>
        <v>2022.09</v>
      </c>
      <c r="L532" s="298"/>
      <c r="M532" s="223"/>
      <c r="N532" s="223"/>
      <c r="O532" s="223"/>
      <c r="P532" s="223"/>
      <c r="Q532" s="223"/>
      <c r="R532" s="223"/>
      <c r="S532" s="223"/>
      <c r="T532" s="223"/>
      <c r="U532" s="223"/>
      <c r="V532" s="223"/>
      <c r="W532" s="223"/>
      <c r="X532" s="223"/>
      <c r="Y532" s="223"/>
      <c r="Z532" s="223"/>
    </row>
    <row r="533">
      <c r="A533" s="223" t="str">
        <f>IFERROR(__xludf.DUMMYFUNCTION("""COMPUTED_VALUE"""),"Booginhead : Monthly Services")</f>
        <v>Booginhead : Monthly Services</v>
      </c>
      <c r="B533" s="223" t="str">
        <f>IFERROR(__xludf.DUMMYFUNCTION("""COMPUTED_VALUE"""),"Booginhead")</f>
        <v>Booginhead</v>
      </c>
      <c r="C533" s="223" t="str">
        <f>IFERROR(__xludf.DUMMYFUNCTION("""COMPUTED_VALUE"""),"Monthly Services")</f>
        <v>Monthly Services</v>
      </c>
      <c r="D533" s="316">
        <f>IFERROR(__xludf.DUMMYFUNCTION("""COMPUTED_VALUE"""),44819.0)</f>
        <v>44819</v>
      </c>
      <c r="E533" s="298">
        <f>IFERROR(__xludf.DUMMYFUNCTION("""COMPUTED_VALUE"""),1658.4672)</f>
        <v>1658.4672</v>
      </c>
      <c r="F533" s="298">
        <f>IFERROR(__xludf.DUMMYFUNCTION("""COMPUTED_VALUE"""),61.7460096)</f>
        <v>61.7460096</v>
      </c>
      <c r="G533" s="298">
        <f>IFERROR(__xludf.DUMMYFUNCTION("""COMPUTED_VALUE"""),319.34423808)</f>
        <v>319.3442381</v>
      </c>
      <c r="H533" s="223">
        <f>IFERROR(__xludf.DUMMYFUNCTION("""COMPUTED_VALUE"""),1277.37695232)</f>
        <v>1277.376952</v>
      </c>
      <c r="I533" s="298"/>
      <c r="J533" s="223" t="str">
        <f>IFERROR(__xludf.DUMMYFUNCTION("""COMPUTED_VALUE"""),"Monthly")</f>
        <v>Monthly</v>
      </c>
      <c r="K533" s="317">
        <f>IFERROR(__xludf.DUMMYFUNCTION("""COMPUTED_VALUE"""),2022.09)</f>
        <v>2022.09</v>
      </c>
      <c r="L533" s="298"/>
      <c r="M533" s="223"/>
      <c r="N533" s="223"/>
      <c r="O533" s="223"/>
      <c r="P533" s="223"/>
      <c r="Q533" s="223"/>
      <c r="R533" s="223"/>
      <c r="S533" s="223"/>
      <c r="T533" s="223"/>
      <c r="U533" s="223"/>
      <c r="V533" s="223"/>
      <c r="W533" s="223"/>
      <c r="X533" s="223"/>
      <c r="Y533" s="223"/>
      <c r="Z533" s="223"/>
    </row>
    <row r="534">
      <c r="A534" s="223" t="str">
        <f>IFERROR(__xludf.DUMMYFUNCTION("""COMPUTED_VALUE"""),"New Growth Ecommerce Inc : Monthly Services")</f>
        <v>New Growth Ecommerce Inc : Monthly Services</v>
      </c>
      <c r="B534" s="223" t="str">
        <f>IFERROR(__xludf.DUMMYFUNCTION("""COMPUTED_VALUE"""),"New Growth Ecommerce Inc")</f>
        <v>New Growth Ecommerce Inc</v>
      </c>
      <c r="C534" s="223" t="str">
        <f>IFERROR(__xludf.DUMMYFUNCTION("""COMPUTED_VALUE"""),"Monthly Services")</f>
        <v>Monthly Services</v>
      </c>
      <c r="D534" s="316">
        <f>IFERROR(__xludf.DUMMYFUNCTION("""COMPUTED_VALUE"""),44819.0)</f>
        <v>44819</v>
      </c>
      <c r="E534" s="298">
        <f>IFERROR(__xludf.DUMMYFUNCTION("""COMPUTED_VALUE"""),5000.0)</f>
        <v>5000</v>
      </c>
      <c r="F534" s="298">
        <f>IFERROR(__xludf.DUMMYFUNCTION("""COMPUTED_VALUE"""),0.0)</f>
        <v>0</v>
      </c>
      <c r="G534" s="298">
        <f>IFERROR(__xludf.DUMMYFUNCTION("""COMPUTED_VALUE"""),0.0)</f>
        <v>0</v>
      </c>
      <c r="H534" s="223">
        <f>IFERROR(__xludf.DUMMYFUNCTION("""COMPUTED_VALUE"""),5000.0)</f>
        <v>5000</v>
      </c>
      <c r="I534" s="298"/>
      <c r="J534" s="223" t="str">
        <f>IFERROR(__xludf.DUMMYFUNCTION("""COMPUTED_VALUE"""),"Monthly")</f>
        <v>Monthly</v>
      </c>
      <c r="K534" s="317">
        <f>IFERROR(__xludf.DUMMYFUNCTION("""COMPUTED_VALUE"""),2022.09)</f>
        <v>2022.09</v>
      </c>
      <c r="L534" s="298"/>
      <c r="M534" s="223"/>
      <c r="N534" s="223"/>
      <c r="O534" s="223"/>
      <c r="P534" s="223"/>
      <c r="Q534" s="223"/>
      <c r="R534" s="223"/>
      <c r="S534" s="223"/>
      <c r="T534" s="223"/>
      <c r="U534" s="223"/>
      <c r="V534" s="223"/>
      <c r="W534" s="223"/>
      <c r="X534" s="223"/>
      <c r="Y534" s="223"/>
      <c r="Z534" s="223"/>
    </row>
    <row r="535">
      <c r="A535" s="223" t="str">
        <f>IFERROR(__xludf.DUMMYFUNCTION("""COMPUTED_VALUE"""),"OA Region 6 : Monthly Services")</f>
        <v>OA Region 6 : Monthly Services</v>
      </c>
      <c r="B535" s="223" t="str">
        <f>IFERROR(__xludf.DUMMYFUNCTION("""COMPUTED_VALUE"""),"OA Region 6")</f>
        <v>OA Region 6</v>
      </c>
      <c r="C535" s="223" t="str">
        <f>IFERROR(__xludf.DUMMYFUNCTION("""COMPUTED_VALUE"""),"Monthly Services")</f>
        <v>Monthly Services</v>
      </c>
      <c r="D535" s="316">
        <f>IFERROR(__xludf.DUMMYFUNCTION("""COMPUTED_VALUE"""),44819.0)</f>
        <v>44819</v>
      </c>
      <c r="E535" s="298">
        <f>IFERROR(__xludf.DUMMYFUNCTION("""COMPUTED_VALUE"""),467.66124999999994)</f>
        <v>467.66125</v>
      </c>
      <c r="F535" s="298">
        <f>IFERROR(__xludf.DUMMYFUNCTION("""COMPUTED_VALUE"""),17.70431875)</f>
        <v>17.70431875</v>
      </c>
      <c r="G535" s="298">
        <f>IFERROR(__xludf.DUMMYFUNCTION("""COMPUTED_VALUE"""),0.0)</f>
        <v>0</v>
      </c>
      <c r="H535" s="223">
        <f>IFERROR(__xludf.DUMMYFUNCTION("""COMPUTED_VALUE"""),449.9569312499999)</f>
        <v>449.9569313</v>
      </c>
      <c r="I535" s="298"/>
      <c r="J535" s="223" t="str">
        <f>IFERROR(__xludf.DUMMYFUNCTION("""COMPUTED_VALUE"""),"Monthly")</f>
        <v>Monthly</v>
      </c>
      <c r="K535" s="317">
        <f>IFERROR(__xludf.DUMMYFUNCTION("""COMPUTED_VALUE"""),2022.09)</f>
        <v>2022.09</v>
      </c>
      <c r="L535" s="298"/>
      <c r="M535" s="223"/>
      <c r="N535" s="223"/>
      <c r="O535" s="223"/>
      <c r="P535" s="223"/>
      <c r="Q535" s="223"/>
      <c r="R535" s="223"/>
      <c r="S535" s="223"/>
      <c r="T535" s="223"/>
      <c r="U535" s="223"/>
      <c r="V535" s="223"/>
      <c r="W535" s="223"/>
      <c r="X535" s="223"/>
      <c r="Y535" s="223"/>
      <c r="Z535" s="223"/>
    </row>
    <row r="536">
      <c r="A536" s="223" t="str">
        <f>IFERROR(__xludf.DUMMYFUNCTION("""COMPUTED_VALUE"""),"Tofino Resort + Marina : Monthly Services")</f>
        <v>Tofino Resort + Marina : Monthly Services</v>
      </c>
      <c r="B536" s="223" t="str">
        <f>IFERROR(__xludf.DUMMYFUNCTION("""COMPUTED_VALUE"""),"Tofino Resort + Marina")</f>
        <v>Tofino Resort + Marina</v>
      </c>
      <c r="C536" s="223" t="str">
        <f>IFERROR(__xludf.DUMMYFUNCTION("""COMPUTED_VALUE"""),"Monthly Services")</f>
        <v>Monthly Services</v>
      </c>
      <c r="D536" s="316">
        <f>IFERROR(__xludf.DUMMYFUNCTION("""COMPUTED_VALUE"""),44819.0)</f>
        <v>44819</v>
      </c>
      <c r="E536" s="298">
        <f>IFERROR(__xludf.DUMMYFUNCTION("""COMPUTED_VALUE"""),1600.0)</f>
        <v>1600</v>
      </c>
      <c r="F536" s="298">
        <f>IFERROR(__xludf.DUMMYFUNCTION("""COMPUTED_VALUE"""),49.78)</f>
        <v>49.78</v>
      </c>
      <c r="G536" s="298">
        <f>IFERROR(__xludf.DUMMYFUNCTION("""COMPUTED_VALUE"""),0.0)</f>
        <v>0</v>
      </c>
      <c r="H536" s="223">
        <f>IFERROR(__xludf.DUMMYFUNCTION("""COMPUTED_VALUE"""),1550.22)</f>
        <v>1550.22</v>
      </c>
      <c r="I536" s="298"/>
      <c r="J536" s="223" t="str">
        <f>IFERROR(__xludf.DUMMYFUNCTION("""COMPUTED_VALUE"""),"Monthly")</f>
        <v>Monthly</v>
      </c>
      <c r="K536" s="317">
        <f>IFERROR(__xludf.DUMMYFUNCTION("""COMPUTED_VALUE"""),2022.09)</f>
        <v>2022.09</v>
      </c>
      <c r="L536" s="298"/>
      <c r="M536" s="223"/>
      <c r="N536" s="223"/>
      <c r="O536" s="223"/>
      <c r="P536" s="223"/>
      <c r="Q536" s="223"/>
      <c r="R536" s="223"/>
      <c r="S536" s="223"/>
      <c r="T536" s="223"/>
      <c r="U536" s="223"/>
      <c r="V536" s="223"/>
      <c r="W536" s="223"/>
      <c r="X536" s="223"/>
      <c r="Y536" s="223"/>
      <c r="Z536" s="223"/>
    </row>
    <row r="537">
      <c r="A537" s="223" t="str">
        <f>IFERROR(__xludf.DUMMYFUNCTION("""COMPUTED_VALUE"""),"Viridian : Monthly Services")</f>
        <v>Viridian : Monthly Services</v>
      </c>
      <c r="B537" s="223" t="str">
        <f>IFERROR(__xludf.DUMMYFUNCTION("""COMPUTED_VALUE"""),"Viridian")</f>
        <v>Viridian</v>
      </c>
      <c r="C537" s="223" t="str">
        <f>IFERROR(__xludf.DUMMYFUNCTION("""COMPUTED_VALUE"""),"Monthly Services")</f>
        <v>Monthly Services</v>
      </c>
      <c r="D537" s="316">
        <f>IFERROR(__xludf.DUMMYFUNCTION("""COMPUTED_VALUE"""),44819.0)</f>
        <v>44819</v>
      </c>
      <c r="E537" s="298">
        <f>IFERROR(__xludf.DUMMYFUNCTION("""COMPUTED_VALUE"""),900.0)</f>
        <v>900</v>
      </c>
      <c r="F537" s="298">
        <f>IFERROR(__xludf.DUMMYFUNCTION("""COMPUTED_VALUE"""),0.0)</f>
        <v>0</v>
      </c>
      <c r="G537" s="298">
        <f>IFERROR(__xludf.DUMMYFUNCTION("""COMPUTED_VALUE"""),0.0)</f>
        <v>0</v>
      </c>
      <c r="H537" s="223">
        <f>IFERROR(__xludf.DUMMYFUNCTION("""COMPUTED_VALUE"""),900.0)</f>
        <v>900</v>
      </c>
      <c r="I537" s="298"/>
      <c r="J537" s="223" t="str">
        <f>IFERROR(__xludf.DUMMYFUNCTION("""COMPUTED_VALUE"""),"Monthly")</f>
        <v>Monthly</v>
      </c>
      <c r="K537" s="317">
        <f>IFERROR(__xludf.DUMMYFUNCTION("""COMPUTED_VALUE"""),2022.09)</f>
        <v>2022.09</v>
      </c>
      <c r="L537" s="298"/>
      <c r="M537" s="223"/>
      <c r="N537" s="223"/>
      <c r="O537" s="223"/>
      <c r="P537" s="223"/>
      <c r="Q537" s="223"/>
      <c r="R537" s="223"/>
      <c r="S537" s="223"/>
      <c r="T537" s="223"/>
      <c r="U537" s="223"/>
      <c r="V537" s="223"/>
      <c r="W537" s="223"/>
      <c r="X537" s="223"/>
      <c r="Y537" s="223"/>
      <c r="Z537" s="223"/>
    </row>
    <row r="538">
      <c r="A538" s="223" t="str">
        <f>IFERROR(__xludf.DUMMYFUNCTION("""COMPUTED_VALUE"""),"FIKSE Wheels : Monthly Services")</f>
        <v>FIKSE Wheels : Monthly Services</v>
      </c>
      <c r="B538" s="223" t="str">
        <f>IFERROR(__xludf.DUMMYFUNCTION("""COMPUTED_VALUE"""),"FIKSE Wheels")</f>
        <v>FIKSE Wheels</v>
      </c>
      <c r="C538" s="223" t="str">
        <f>IFERROR(__xludf.DUMMYFUNCTION("""COMPUTED_VALUE"""),"Monthly Services")</f>
        <v>Monthly Services</v>
      </c>
      <c r="D538" s="316">
        <f>IFERROR(__xludf.DUMMYFUNCTION("""COMPUTED_VALUE"""),44819.0)</f>
        <v>44819</v>
      </c>
      <c r="E538" s="298">
        <f>IFERROR(__xludf.DUMMYFUNCTION("""COMPUTED_VALUE"""),500.0)</f>
        <v>500</v>
      </c>
      <c r="F538" s="298">
        <f>IFERROR(__xludf.DUMMYFUNCTION("""COMPUTED_VALUE"""),0.0)</f>
        <v>0</v>
      </c>
      <c r="G538" s="298">
        <f>IFERROR(__xludf.DUMMYFUNCTION("""COMPUTED_VALUE"""),0.0)</f>
        <v>0</v>
      </c>
      <c r="H538" s="223">
        <f>IFERROR(__xludf.DUMMYFUNCTION("""COMPUTED_VALUE"""),500.0)</f>
        <v>500</v>
      </c>
      <c r="I538" s="298"/>
      <c r="J538" s="223" t="str">
        <f>IFERROR(__xludf.DUMMYFUNCTION("""COMPUTED_VALUE"""),"Monthly")</f>
        <v>Monthly</v>
      </c>
      <c r="K538" s="317">
        <f>IFERROR(__xludf.DUMMYFUNCTION("""COMPUTED_VALUE"""),2022.09)</f>
        <v>2022.09</v>
      </c>
      <c r="L538" s="298"/>
      <c r="M538" s="223"/>
      <c r="N538" s="223"/>
      <c r="O538" s="223"/>
      <c r="P538" s="223"/>
      <c r="Q538" s="223"/>
      <c r="R538" s="223"/>
      <c r="S538" s="223"/>
      <c r="T538" s="223"/>
      <c r="U538" s="223"/>
      <c r="V538" s="223"/>
      <c r="W538" s="223"/>
      <c r="X538" s="223"/>
      <c r="Y538" s="223"/>
      <c r="Z538" s="223"/>
    </row>
    <row r="539">
      <c r="A539" s="223" t="str">
        <f>IFERROR(__xludf.DUMMYFUNCTION("""COMPUTED_VALUE"""),"Canyon's Construction : Enhanced Hosting &amp; WordPress Support")</f>
        <v>Canyon's Construction : Enhanced Hosting &amp; WordPress Support</v>
      </c>
      <c r="B539" s="223" t="str">
        <f>IFERROR(__xludf.DUMMYFUNCTION("""COMPUTED_VALUE"""),"Canyon's Construction")</f>
        <v>Canyon's Construction</v>
      </c>
      <c r="C539" s="223" t="str">
        <f>IFERROR(__xludf.DUMMYFUNCTION("""COMPUTED_VALUE"""),"Enhanced Hosting &amp; WordPress Support")</f>
        <v>Enhanced Hosting &amp; WordPress Support</v>
      </c>
      <c r="D539" s="316">
        <f>IFERROR(__xludf.DUMMYFUNCTION("""COMPUTED_VALUE"""),44819.0)</f>
        <v>44819</v>
      </c>
      <c r="E539" s="298">
        <f>IFERROR(__xludf.DUMMYFUNCTION("""COMPUTED_VALUE"""),372.55372)</f>
        <v>372.55372</v>
      </c>
      <c r="F539" s="298">
        <f>IFERROR(__xludf.DUMMYFUNCTION("""COMPUTED_VALUE"""),14.18365234)</f>
        <v>14.18365234</v>
      </c>
      <c r="G539" s="298">
        <f>IFERROR(__xludf.DUMMYFUNCTION("""COMPUTED_VALUE"""),71.674013532)</f>
        <v>71.67401353</v>
      </c>
      <c r="H539" s="223">
        <f>IFERROR(__xludf.DUMMYFUNCTION("""COMPUTED_VALUE"""),286.696054128)</f>
        <v>286.6960541</v>
      </c>
      <c r="I539" s="298"/>
      <c r="J539" s="223" t="str">
        <f>IFERROR(__xludf.DUMMYFUNCTION("""COMPUTED_VALUE"""),"Monthly")</f>
        <v>Monthly</v>
      </c>
      <c r="K539" s="317">
        <f>IFERROR(__xludf.DUMMYFUNCTION("""COMPUTED_VALUE"""),2022.09)</f>
        <v>2022.09</v>
      </c>
      <c r="L539" s="298"/>
      <c r="M539" s="223"/>
      <c r="N539" s="223"/>
      <c r="O539" s="223"/>
      <c r="P539" s="223"/>
      <c r="Q539" s="223"/>
      <c r="R539" s="223"/>
      <c r="S539" s="223"/>
      <c r="T539" s="223"/>
      <c r="U539" s="223"/>
      <c r="V539" s="223"/>
      <c r="W539" s="223"/>
      <c r="X539" s="223"/>
      <c r="Y539" s="223"/>
      <c r="Z539" s="223"/>
    </row>
    <row r="540">
      <c r="A540" s="223" t="str">
        <f>IFERROR(__xludf.DUMMYFUNCTION("""COMPUTED_VALUE"""),"Moloco : Monthly PPC")</f>
        <v>Moloco : Monthly PPC</v>
      </c>
      <c r="B540" s="223" t="str">
        <f>IFERROR(__xludf.DUMMYFUNCTION("""COMPUTED_VALUE"""),"Moloco")</f>
        <v>Moloco</v>
      </c>
      <c r="C540" s="223" t="str">
        <f>IFERROR(__xludf.DUMMYFUNCTION("""COMPUTED_VALUE"""),"Monthly PPC")</f>
        <v>Monthly PPC</v>
      </c>
      <c r="D540" s="316">
        <f>IFERROR(__xludf.DUMMYFUNCTION("""COMPUTED_VALUE"""),44819.0)</f>
        <v>44819</v>
      </c>
      <c r="E540" s="298">
        <f>IFERROR(__xludf.DUMMYFUNCTION("""COMPUTED_VALUE"""),777.3191999999999)</f>
        <v>777.3192</v>
      </c>
      <c r="F540" s="298">
        <f>IFERROR(__xludf.DUMMYFUNCTION("""COMPUTED_VALUE"""),29.149469999999997)</f>
        <v>29.14947</v>
      </c>
      <c r="G540" s="298">
        <f>IFERROR(__xludf.DUMMYFUNCTION("""COMPUTED_VALUE"""),0.0)</f>
        <v>0</v>
      </c>
      <c r="H540" s="223">
        <f>IFERROR(__xludf.DUMMYFUNCTION("""COMPUTED_VALUE"""),748.16973)</f>
        <v>748.16973</v>
      </c>
      <c r="I540" s="298"/>
      <c r="J540" s="223" t="str">
        <f>IFERROR(__xludf.DUMMYFUNCTION("""COMPUTED_VALUE"""),"Monthly")</f>
        <v>Monthly</v>
      </c>
      <c r="K540" s="317">
        <f>IFERROR(__xludf.DUMMYFUNCTION("""COMPUTED_VALUE"""),2022.09)</f>
        <v>2022.09</v>
      </c>
      <c r="L540" s="298"/>
      <c r="M540" s="223"/>
      <c r="N540" s="223"/>
      <c r="O540" s="223"/>
      <c r="P540" s="223"/>
      <c r="Q540" s="223"/>
      <c r="R540" s="223"/>
      <c r="S540" s="223"/>
      <c r="T540" s="223"/>
      <c r="U540" s="223"/>
      <c r="V540" s="223"/>
      <c r="W540" s="223"/>
      <c r="X540" s="223"/>
      <c r="Y540" s="223"/>
      <c r="Z540" s="223"/>
    </row>
    <row r="541">
      <c r="A541" s="223" t="str">
        <f>IFERROR(__xludf.DUMMYFUNCTION("""COMPUTED_VALUE"""),"Villa del Mar : Enhanced Hosting &amp; WordPress Support")</f>
        <v>Villa del Mar : Enhanced Hosting &amp; WordPress Support</v>
      </c>
      <c r="B541" s="223" t="str">
        <f>IFERROR(__xludf.DUMMYFUNCTION("""COMPUTED_VALUE"""),"Villa del Mar")</f>
        <v>Villa del Mar</v>
      </c>
      <c r="C541" s="223" t="str">
        <f>IFERROR(__xludf.DUMMYFUNCTION("""COMPUTED_VALUE"""),"Enhanced Hosting &amp; WordPress Support")</f>
        <v>Enhanced Hosting &amp; WordPress Support</v>
      </c>
      <c r="D541" s="316">
        <f>IFERROR(__xludf.DUMMYFUNCTION("""COMPUTED_VALUE"""),44849.0)</f>
        <v>44849</v>
      </c>
      <c r="E541" s="298">
        <f>IFERROR(__xludf.DUMMYFUNCTION("""COMPUTED_VALUE"""),378.6832)</f>
        <v>378.6832</v>
      </c>
      <c r="F541" s="298">
        <f>IFERROR(__xludf.DUMMYFUNCTION("""COMPUTED_VALUE"""),0.0)</f>
        <v>0</v>
      </c>
      <c r="G541" s="298">
        <f>IFERROR(__xludf.DUMMYFUNCTION("""COMPUTED_VALUE"""),0.0)</f>
        <v>0</v>
      </c>
      <c r="H541" s="223">
        <f>IFERROR(__xludf.DUMMYFUNCTION("""COMPUTED_VALUE"""),378.6832)</f>
        <v>378.6832</v>
      </c>
      <c r="I541" s="298"/>
      <c r="J541" s="223" t="str">
        <f>IFERROR(__xludf.DUMMYFUNCTION("""COMPUTED_VALUE"""),"Monthly")</f>
        <v>Monthly</v>
      </c>
      <c r="K541" s="317">
        <f>IFERROR(__xludf.DUMMYFUNCTION("""COMPUTED_VALUE"""),2022.1)</f>
        <v>2022.1</v>
      </c>
      <c r="L541" s="298"/>
      <c r="M541" s="223"/>
      <c r="N541" s="223"/>
      <c r="O541" s="223"/>
      <c r="P541" s="223"/>
      <c r="Q541" s="223"/>
      <c r="R541" s="223"/>
      <c r="S541" s="223"/>
      <c r="T541" s="223"/>
      <c r="U541" s="223"/>
      <c r="V541" s="223"/>
      <c r="W541" s="223"/>
      <c r="X541" s="223"/>
      <c r="Y541" s="223"/>
      <c r="Z541" s="223"/>
    </row>
    <row r="542">
      <c r="A542" s="223" t="str">
        <f>IFERROR(__xludf.DUMMYFUNCTION("""COMPUTED_VALUE"""),"Anavara : Enhanced Hosting &amp; WordPress Support")</f>
        <v>Anavara : Enhanced Hosting &amp; WordPress Support</v>
      </c>
      <c r="B542" s="223" t="str">
        <f>IFERROR(__xludf.DUMMYFUNCTION("""COMPUTED_VALUE"""),"Anavara")</f>
        <v>Anavara</v>
      </c>
      <c r="C542" s="223" t="str">
        <f>IFERROR(__xludf.DUMMYFUNCTION("""COMPUTED_VALUE"""),"Enhanced Hosting &amp; WordPress Support")</f>
        <v>Enhanced Hosting &amp; WordPress Support</v>
      </c>
      <c r="D542" s="316">
        <f>IFERROR(__xludf.DUMMYFUNCTION("""COMPUTED_VALUE"""),44819.0)</f>
        <v>44819</v>
      </c>
      <c r="E542" s="298">
        <f>IFERROR(__xludf.DUMMYFUNCTION("""COMPUTED_VALUE"""),280.0)</f>
        <v>280</v>
      </c>
      <c r="F542" s="298">
        <f>IFERROR(__xludf.DUMMYFUNCTION("""COMPUTED_VALUE"""),8.71)</f>
        <v>8.71</v>
      </c>
      <c r="G542" s="298">
        <f>IFERROR(__xludf.DUMMYFUNCTION("""COMPUTED_VALUE"""),0.0)</f>
        <v>0</v>
      </c>
      <c r="H542" s="223">
        <f>IFERROR(__xludf.DUMMYFUNCTION("""COMPUTED_VALUE"""),271.29)</f>
        <v>271.29</v>
      </c>
      <c r="I542" s="298"/>
      <c r="J542" s="223" t="str">
        <f>IFERROR(__xludf.DUMMYFUNCTION("""COMPUTED_VALUE"""),"Monthly")</f>
        <v>Monthly</v>
      </c>
      <c r="K542" s="317">
        <f>IFERROR(__xludf.DUMMYFUNCTION("""COMPUTED_VALUE"""),2022.09)</f>
        <v>2022.09</v>
      </c>
      <c r="L542" s="298"/>
      <c r="M542" s="223"/>
      <c r="N542" s="223"/>
      <c r="O542" s="223"/>
      <c r="P542" s="223"/>
      <c r="Q542" s="223"/>
      <c r="R542" s="223"/>
      <c r="S542" s="223"/>
      <c r="T542" s="223"/>
      <c r="U542" s="223"/>
      <c r="V542" s="223"/>
      <c r="W542" s="223"/>
      <c r="X542" s="223"/>
      <c r="Y542" s="223"/>
      <c r="Z542" s="223"/>
    </row>
    <row r="543">
      <c r="A543" s="223" t="str">
        <f>IFERROR(__xludf.DUMMYFUNCTION("""COMPUTED_VALUE"""),"Continuity Programs Inc. : Website Rebuild")</f>
        <v>Continuity Programs Inc. : Website Rebuild</v>
      </c>
      <c r="B543" s="223" t="str">
        <f>IFERROR(__xludf.DUMMYFUNCTION("""COMPUTED_VALUE"""),"Continuity Programs Inc.")</f>
        <v>Continuity Programs Inc.</v>
      </c>
      <c r="C543" s="223" t="str">
        <f>IFERROR(__xludf.DUMMYFUNCTION("""COMPUTED_VALUE"""),"Website Rebuild")</f>
        <v>Website Rebuild</v>
      </c>
      <c r="D543" s="316">
        <f>IFERROR(__xludf.DUMMYFUNCTION("""COMPUTED_VALUE"""),44819.0)</f>
        <v>44819</v>
      </c>
      <c r="E543" s="298">
        <f>IFERROR(__xludf.DUMMYFUNCTION("""COMPUTED_VALUE"""),5900.995000000001)</f>
        <v>5900.995</v>
      </c>
      <c r="F543" s="298">
        <f>IFERROR(__xludf.DUMMYFUNCTION("""COMPUTED_VALUE"""),218.7216625)</f>
        <v>218.7216625</v>
      </c>
      <c r="G543" s="298">
        <f>IFERROR(__xludf.DUMMYFUNCTION("""COMPUTED_VALUE"""),1136.4546675000001)</f>
        <v>1136.454668</v>
      </c>
      <c r="H543" s="223">
        <f>IFERROR(__xludf.DUMMYFUNCTION("""COMPUTED_VALUE"""),4545.818670000001)</f>
        <v>4545.81867</v>
      </c>
      <c r="I543" s="298"/>
      <c r="J543" s="223" t="str">
        <f>IFERROR(__xludf.DUMMYFUNCTION("""COMPUTED_VALUE"""),"One-Time")</f>
        <v>One-Time</v>
      </c>
      <c r="K543" s="317">
        <f>IFERROR(__xludf.DUMMYFUNCTION("""COMPUTED_VALUE"""),2022.0)</f>
        <v>2022</v>
      </c>
      <c r="L543" s="298"/>
      <c r="M543" s="223"/>
      <c r="N543" s="223"/>
      <c r="O543" s="223"/>
      <c r="P543" s="223"/>
      <c r="Q543" s="223"/>
      <c r="R543" s="223"/>
      <c r="S543" s="223"/>
      <c r="T543" s="223"/>
      <c r="U543" s="223"/>
      <c r="V543" s="223"/>
      <c r="W543" s="223"/>
      <c r="X543" s="223"/>
      <c r="Y543" s="223"/>
      <c r="Z543" s="223"/>
    </row>
    <row r="544">
      <c r="A544" s="223" t="str">
        <f>IFERROR(__xludf.DUMMYFUNCTION("""COMPUTED_VALUE"""),"Continuity Programs Inc. : Website Rebuild")</f>
        <v>Continuity Programs Inc. : Website Rebuild</v>
      </c>
      <c r="B544" s="223" t="str">
        <f>IFERROR(__xludf.DUMMYFUNCTION("""COMPUTED_VALUE"""),"Continuity Programs Inc.")</f>
        <v>Continuity Programs Inc.</v>
      </c>
      <c r="C544" s="223" t="str">
        <f>IFERROR(__xludf.DUMMYFUNCTION("""COMPUTED_VALUE"""),"Website Rebuild")</f>
        <v>Website Rebuild</v>
      </c>
      <c r="D544" s="316">
        <f>IFERROR(__xludf.DUMMYFUNCTION("""COMPUTED_VALUE"""),44888.0)</f>
        <v>44888</v>
      </c>
      <c r="E544" s="298">
        <f>IFERROR(__xludf.DUMMYFUNCTION("""COMPUTED_VALUE"""),6040.2094)</f>
        <v>6040.2094</v>
      </c>
      <c r="F544" s="298">
        <f>IFERROR(__xludf.DUMMYFUNCTION("""COMPUTED_VALUE"""),223.8816745)</f>
        <v>223.8816745</v>
      </c>
      <c r="G544" s="298">
        <f>IFERROR(__xludf.DUMMYFUNCTION("""COMPUTED_VALUE"""),1163.2655450999998)</f>
        <v>1163.265545</v>
      </c>
      <c r="H544" s="223">
        <f>IFERROR(__xludf.DUMMYFUNCTION("""COMPUTED_VALUE"""),4653.062180399999)</f>
        <v>4653.06218</v>
      </c>
      <c r="I544" s="298"/>
      <c r="J544" s="223" t="str">
        <f>IFERROR(__xludf.DUMMYFUNCTION("""COMPUTED_VALUE"""),"One-Time")</f>
        <v>One-Time</v>
      </c>
      <c r="K544" s="317">
        <f>IFERROR(__xludf.DUMMYFUNCTION("""COMPUTED_VALUE"""),2022.0)</f>
        <v>2022</v>
      </c>
      <c r="L544" s="298"/>
      <c r="M544" s="223"/>
      <c r="N544" s="223"/>
      <c r="O544" s="223"/>
      <c r="P544" s="223"/>
      <c r="Q544" s="223"/>
      <c r="R544" s="223"/>
      <c r="S544" s="223"/>
      <c r="T544" s="223"/>
      <c r="U544" s="223"/>
      <c r="V544" s="223"/>
      <c r="W544" s="223"/>
      <c r="X544" s="223"/>
      <c r="Y544" s="223"/>
      <c r="Z544" s="223"/>
    </row>
    <row r="545">
      <c r="A545" s="223" t="str">
        <f>IFERROR(__xludf.DUMMYFUNCTION("""COMPUTED_VALUE"""),"Villa del Mar : eBlast")</f>
        <v>Villa del Mar : eBlast</v>
      </c>
      <c r="B545" s="223" t="str">
        <f>IFERROR(__xludf.DUMMYFUNCTION("""COMPUTED_VALUE"""),"Villa del Mar")</f>
        <v>Villa del Mar</v>
      </c>
      <c r="C545" s="223" t="str">
        <f>IFERROR(__xludf.DUMMYFUNCTION("""COMPUTED_VALUE"""),"eBlast")</f>
        <v>eBlast</v>
      </c>
      <c r="D545" s="316">
        <f>IFERROR(__xludf.DUMMYFUNCTION("""COMPUTED_VALUE"""),44833.0)</f>
        <v>44833</v>
      </c>
      <c r="E545" s="298">
        <f>IFERROR(__xludf.DUMMYFUNCTION("""COMPUTED_VALUE"""),873.3204999999999)</f>
        <v>873.3205</v>
      </c>
      <c r="F545" s="298">
        <f>IFERROR(__xludf.DUMMYFUNCTION("""COMPUTED_VALUE"""),25.63)</f>
        <v>25.63</v>
      </c>
      <c r="G545" s="298">
        <f>IFERROR(__xludf.DUMMYFUNCTION("""COMPUTED_VALUE"""),0.0)</f>
        <v>0</v>
      </c>
      <c r="H545" s="223">
        <f>IFERROR(__xludf.DUMMYFUNCTION("""COMPUTED_VALUE"""),847.6904999999999)</f>
        <v>847.6905</v>
      </c>
      <c r="I545" s="298"/>
      <c r="J545" s="223" t="str">
        <f>IFERROR(__xludf.DUMMYFUNCTION("""COMPUTED_VALUE"""),"One-Time")</f>
        <v>One-Time</v>
      </c>
      <c r="K545" s="317">
        <f>IFERROR(__xludf.DUMMYFUNCTION("""COMPUTED_VALUE"""),2022.0)</f>
        <v>2022</v>
      </c>
      <c r="L545" s="298"/>
      <c r="M545" s="223"/>
      <c r="N545" s="223"/>
      <c r="O545" s="223"/>
      <c r="P545" s="223"/>
      <c r="Q545" s="223"/>
      <c r="R545" s="223"/>
      <c r="S545" s="223"/>
      <c r="T545" s="223"/>
      <c r="U545" s="223"/>
      <c r="V545" s="223"/>
      <c r="W545" s="223"/>
      <c r="X545" s="223"/>
      <c r="Y545" s="223"/>
      <c r="Z545" s="223"/>
    </row>
    <row r="546">
      <c r="A546" s="223" t="str">
        <f>IFERROR(__xludf.DUMMYFUNCTION("""COMPUTED_VALUE"""),"Anook Athletics : Monthly Services")</f>
        <v>Anook Athletics : Monthly Services</v>
      </c>
      <c r="B546" s="223" t="str">
        <f>IFERROR(__xludf.DUMMYFUNCTION("""COMPUTED_VALUE"""),"Anook Athletics")</f>
        <v>Anook Athletics</v>
      </c>
      <c r="C546" s="223" t="str">
        <f>IFERROR(__xludf.DUMMYFUNCTION("""COMPUTED_VALUE"""),"Monthly Services")</f>
        <v>Monthly Services</v>
      </c>
      <c r="D546" s="316">
        <f>IFERROR(__xludf.DUMMYFUNCTION("""COMPUTED_VALUE"""),44833.0)</f>
        <v>44833</v>
      </c>
      <c r="E546" s="298">
        <f>IFERROR(__xludf.DUMMYFUNCTION("""COMPUTED_VALUE"""),800.0)</f>
        <v>800</v>
      </c>
      <c r="F546" s="298">
        <f>IFERROR(__xludf.DUMMYFUNCTION("""COMPUTED_VALUE"""),24.89)</f>
        <v>24.89</v>
      </c>
      <c r="G546" s="298">
        <f>IFERROR(__xludf.DUMMYFUNCTION("""COMPUTED_VALUE"""),0.0)</f>
        <v>0</v>
      </c>
      <c r="H546" s="223">
        <f>IFERROR(__xludf.DUMMYFUNCTION("""COMPUTED_VALUE"""),775.11)</f>
        <v>775.11</v>
      </c>
      <c r="I546" s="298"/>
      <c r="J546" s="223" t="str">
        <f>IFERROR(__xludf.DUMMYFUNCTION("""COMPUTED_VALUE"""),"Monthly")</f>
        <v>Monthly</v>
      </c>
      <c r="K546" s="317">
        <f>IFERROR(__xludf.DUMMYFUNCTION("""COMPUTED_VALUE"""),2022.09)</f>
        <v>2022.09</v>
      </c>
      <c r="L546" s="298"/>
      <c r="M546" s="223"/>
      <c r="N546" s="223"/>
      <c r="O546" s="223"/>
      <c r="P546" s="223"/>
      <c r="Q546" s="223"/>
      <c r="R546" s="223"/>
      <c r="S546" s="223"/>
      <c r="T546" s="223"/>
      <c r="U546" s="223"/>
      <c r="V546" s="223"/>
      <c r="W546" s="223"/>
      <c r="X546" s="223"/>
      <c r="Y546" s="223"/>
      <c r="Z546" s="223"/>
    </row>
    <row r="547">
      <c r="A547" s="223" t="str">
        <f>IFERROR(__xludf.DUMMYFUNCTION("""COMPUTED_VALUE"""),"Availed Technologies : Monthly Services")</f>
        <v>Availed Technologies : Monthly Services</v>
      </c>
      <c r="B547" s="223" t="str">
        <f>IFERROR(__xludf.DUMMYFUNCTION("""COMPUTED_VALUE"""),"Availed Technologies")</f>
        <v>Availed Technologies</v>
      </c>
      <c r="C547" s="223" t="str">
        <f>IFERROR(__xludf.DUMMYFUNCTION("""COMPUTED_VALUE"""),"Monthly Services")</f>
        <v>Monthly Services</v>
      </c>
      <c r="D547" s="316">
        <f>IFERROR(__xludf.DUMMYFUNCTION("""COMPUTED_VALUE"""),44834.0)</f>
        <v>44834</v>
      </c>
      <c r="E547" s="298">
        <f>IFERROR(__xludf.DUMMYFUNCTION("""COMPUTED_VALUE"""),750.0)</f>
        <v>750</v>
      </c>
      <c r="F547" s="298">
        <f>IFERROR(__xludf.DUMMYFUNCTION("""COMPUTED_VALUE"""),23.33)</f>
        <v>23.33</v>
      </c>
      <c r="G547" s="298">
        <f>IFERROR(__xludf.DUMMYFUNCTION("""COMPUTED_VALUE"""),0.0)</f>
        <v>0</v>
      </c>
      <c r="H547" s="223">
        <f>IFERROR(__xludf.DUMMYFUNCTION("""COMPUTED_VALUE"""),726.67)</f>
        <v>726.67</v>
      </c>
      <c r="I547" s="298"/>
      <c r="J547" s="223" t="str">
        <f>IFERROR(__xludf.DUMMYFUNCTION("""COMPUTED_VALUE"""),"Monthly")</f>
        <v>Monthly</v>
      </c>
      <c r="K547" s="317">
        <f>IFERROR(__xludf.DUMMYFUNCTION("""COMPUTED_VALUE"""),2022.09)</f>
        <v>2022.09</v>
      </c>
      <c r="L547" s="298"/>
      <c r="M547" s="223"/>
      <c r="N547" s="223"/>
      <c r="O547" s="223"/>
      <c r="P547" s="223"/>
      <c r="Q547" s="223"/>
      <c r="R547" s="223"/>
      <c r="S547" s="223"/>
      <c r="T547" s="223"/>
      <c r="U547" s="223"/>
      <c r="V547" s="223"/>
      <c r="W547" s="223"/>
      <c r="X547" s="223"/>
      <c r="Y547" s="223"/>
      <c r="Z547" s="223"/>
    </row>
    <row r="548">
      <c r="A548" s="223" t="str">
        <f>IFERROR(__xludf.DUMMYFUNCTION("""COMPUTED_VALUE"""),"Bratopia : Monthly Services")</f>
        <v>Bratopia : Monthly Services</v>
      </c>
      <c r="B548" s="223" t="str">
        <f>IFERROR(__xludf.DUMMYFUNCTION("""COMPUTED_VALUE"""),"Bratopia")</f>
        <v>Bratopia</v>
      </c>
      <c r="C548" s="223" t="str">
        <f>IFERROR(__xludf.DUMMYFUNCTION("""COMPUTED_VALUE"""),"Monthly Services")</f>
        <v>Monthly Services</v>
      </c>
      <c r="D548" s="316">
        <f>IFERROR(__xludf.DUMMYFUNCTION("""COMPUTED_VALUE"""),44833.0)</f>
        <v>44833</v>
      </c>
      <c r="E548" s="298">
        <f>IFERROR(__xludf.DUMMYFUNCTION("""COMPUTED_VALUE"""),1550.0)</f>
        <v>1550</v>
      </c>
      <c r="F548" s="298">
        <f>IFERROR(__xludf.DUMMYFUNCTION("""COMPUTED_VALUE"""),48.22)</f>
        <v>48.22</v>
      </c>
      <c r="G548" s="298">
        <f>IFERROR(__xludf.DUMMYFUNCTION("""COMPUTED_VALUE"""),0.0)</f>
        <v>0</v>
      </c>
      <c r="H548" s="223">
        <f>IFERROR(__xludf.DUMMYFUNCTION("""COMPUTED_VALUE"""),1501.78)</f>
        <v>1501.78</v>
      </c>
      <c r="I548" s="298"/>
      <c r="J548" s="223" t="str">
        <f>IFERROR(__xludf.DUMMYFUNCTION("""COMPUTED_VALUE"""),"Monthly")</f>
        <v>Monthly</v>
      </c>
      <c r="K548" s="317">
        <f>IFERROR(__xludf.DUMMYFUNCTION("""COMPUTED_VALUE"""),2022.09)</f>
        <v>2022.09</v>
      </c>
      <c r="L548" s="298"/>
      <c r="M548" s="223"/>
      <c r="N548" s="223"/>
      <c r="O548" s="223"/>
      <c r="P548" s="223"/>
      <c r="Q548" s="223"/>
      <c r="R548" s="223"/>
      <c r="S548" s="223"/>
      <c r="T548" s="223"/>
      <c r="U548" s="223"/>
      <c r="V548" s="223"/>
      <c r="W548" s="223"/>
      <c r="X548" s="223"/>
      <c r="Y548" s="223"/>
      <c r="Z548" s="223"/>
    </row>
    <row r="549">
      <c r="A549" s="223" t="str">
        <f>IFERROR(__xludf.DUMMYFUNCTION("""COMPUTED_VALUE"""),"Diversified Health : Monthly Services")</f>
        <v>Diversified Health : Monthly Services</v>
      </c>
      <c r="B549" s="223" t="str">
        <f>IFERROR(__xludf.DUMMYFUNCTION("""COMPUTED_VALUE"""),"Diversified Health")</f>
        <v>Diversified Health</v>
      </c>
      <c r="C549" s="223" t="str">
        <f>IFERROR(__xludf.DUMMYFUNCTION("""COMPUTED_VALUE"""),"Monthly Services")</f>
        <v>Monthly Services</v>
      </c>
      <c r="D549" s="316">
        <f>IFERROR(__xludf.DUMMYFUNCTION("""COMPUTED_VALUE"""),44833.0)</f>
        <v>44833</v>
      </c>
      <c r="E549" s="298">
        <f>IFERROR(__xludf.DUMMYFUNCTION("""COMPUTED_VALUE"""),1000.0)</f>
        <v>1000</v>
      </c>
      <c r="F549" s="298">
        <f>IFERROR(__xludf.DUMMYFUNCTION("""COMPUTED_VALUE"""),0.0)</f>
        <v>0</v>
      </c>
      <c r="G549" s="298">
        <f>IFERROR(__xludf.DUMMYFUNCTION("""COMPUTED_VALUE"""),0.0)</f>
        <v>0</v>
      </c>
      <c r="H549" s="223">
        <f>IFERROR(__xludf.DUMMYFUNCTION("""COMPUTED_VALUE"""),1000.0)</f>
        <v>1000</v>
      </c>
      <c r="I549" s="298"/>
      <c r="J549" s="223" t="str">
        <f>IFERROR(__xludf.DUMMYFUNCTION("""COMPUTED_VALUE"""),"Monthly")</f>
        <v>Monthly</v>
      </c>
      <c r="K549" s="317">
        <f>IFERROR(__xludf.DUMMYFUNCTION("""COMPUTED_VALUE"""),2022.09)</f>
        <v>2022.09</v>
      </c>
      <c r="L549" s="298"/>
      <c r="M549" s="223"/>
      <c r="N549" s="223"/>
      <c r="O549" s="223"/>
      <c r="P549" s="223"/>
      <c r="Q549" s="223"/>
      <c r="R549" s="223"/>
      <c r="S549" s="223"/>
      <c r="T549" s="223"/>
      <c r="U549" s="223"/>
      <c r="V549" s="223"/>
      <c r="W549" s="223"/>
      <c r="X549" s="223"/>
      <c r="Y549" s="223"/>
      <c r="Z549" s="223"/>
    </row>
    <row r="550">
      <c r="A550" s="223" t="str">
        <f>IFERROR(__xludf.DUMMYFUNCTION("""COMPUTED_VALUE"""),"Hastings House : Monthly Services")</f>
        <v>Hastings House : Monthly Services</v>
      </c>
      <c r="B550" s="223" t="str">
        <f>IFERROR(__xludf.DUMMYFUNCTION("""COMPUTED_VALUE"""),"Hastings House")</f>
        <v>Hastings House</v>
      </c>
      <c r="C550" s="223" t="str">
        <f>IFERROR(__xludf.DUMMYFUNCTION("""COMPUTED_VALUE"""),"Monthly Services")</f>
        <v>Monthly Services</v>
      </c>
      <c r="D550" s="316">
        <f>IFERROR(__xludf.DUMMYFUNCTION("""COMPUTED_VALUE"""),44833.0)</f>
        <v>44833</v>
      </c>
      <c r="E550" s="298">
        <f>IFERROR(__xludf.DUMMYFUNCTION("""COMPUTED_VALUE"""),1500.0)</f>
        <v>1500</v>
      </c>
      <c r="F550" s="298">
        <f>IFERROR(__xludf.DUMMYFUNCTION("""COMPUTED_VALUE"""),46.67)</f>
        <v>46.67</v>
      </c>
      <c r="G550" s="298">
        <f>IFERROR(__xludf.DUMMYFUNCTION("""COMPUTED_VALUE"""),217.99949999999998)</f>
        <v>217.9995</v>
      </c>
      <c r="H550" s="223">
        <f>IFERROR(__xludf.DUMMYFUNCTION("""COMPUTED_VALUE"""),1235.3305)</f>
        <v>1235.3305</v>
      </c>
      <c r="I550" s="298"/>
      <c r="J550" s="223" t="str">
        <f>IFERROR(__xludf.DUMMYFUNCTION("""COMPUTED_VALUE"""),"Monthly")</f>
        <v>Monthly</v>
      </c>
      <c r="K550" s="317">
        <f>IFERROR(__xludf.DUMMYFUNCTION("""COMPUTED_VALUE"""),2022.09)</f>
        <v>2022.09</v>
      </c>
      <c r="L550" s="298"/>
      <c r="M550" s="223"/>
      <c r="N550" s="223"/>
      <c r="O550" s="223"/>
      <c r="P550" s="223"/>
      <c r="Q550" s="223"/>
      <c r="R550" s="223"/>
      <c r="S550" s="223"/>
      <c r="T550" s="223"/>
      <c r="U550" s="223"/>
      <c r="V550" s="223"/>
      <c r="W550" s="223"/>
      <c r="X550" s="223"/>
      <c r="Y550" s="223"/>
      <c r="Z550" s="223"/>
    </row>
    <row r="551">
      <c r="A551" s="223" t="str">
        <f>IFERROR(__xludf.DUMMYFUNCTION("""COMPUTED_VALUE"""),"HSJ Lawyers : Monthly Services")</f>
        <v>HSJ Lawyers : Monthly Services</v>
      </c>
      <c r="B551" s="223" t="str">
        <f>IFERROR(__xludf.DUMMYFUNCTION("""COMPUTED_VALUE"""),"HSJ Lawyers")</f>
        <v>HSJ Lawyers</v>
      </c>
      <c r="C551" s="223" t="str">
        <f>IFERROR(__xludf.DUMMYFUNCTION("""COMPUTED_VALUE"""),"Monthly Services")</f>
        <v>Monthly Services</v>
      </c>
      <c r="D551" s="316">
        <f>IFERROR(__xludf.DUMMYFUNCTION("""COMPUTED_VALUE"""),44833.0)</f>
        <v>44833</v>
      </c>
      <c r="E551" s="298">
        <f>IFERROR(__xludf.DUMMYFUNCTION("""COMPUTED_VALUE"""),800.0)</f>
        <v>800</v>
      </c>
      <c r="F551" s="298">
        <f>IFERROR(__xludf.DUMMYFUNCTION("""COMPUTED_VALUE"""),0.0)</f>
        <v>0</v>
      </c>
      <c r="G551" s="298">
        <f>IFERROR(__xludf.DUMMYFUNCTION("""COMPUTED_VALUE"""),0.0)</f>
        <v>0</v>
      </c>
      <c r="H551" s="223">
        <f>IFERROR(__xludf.DUMMYFUNCTION("""COMPUTED_VALUE"""),800.0)</f>
        <v>800</v>
      </c>
      <c r="I551" s="298"/>
      <c r="J551" s="223" t="str">
        <f>IFERROR(__xludf.DUMMYFUNCTION("""COMPUTED_VALUE"""),"Monthly")</f>
        <v>Monthly</v>
      </c>
      <c r="K551" s="317">
        <f>IFERROR(__xludf.DUMMYFUNCTION("""COMPUTED_VALUE"""),2022.09)</f>
        <v>2022.09</v>
      </c>
      <c r="L551" s="298"/>
      <c r="M551" s="223"/>
      <c r="N551" s="223"/>
      <c r="O551" s="223"/>
      <c r="P551" s="223"/>
      <c r="Q551" s="223"/>
      <c r="R551" s="223"/>
      <c r="S551" s="223"/>
      <c r="T551" s="223"/>
      <c r="U551" s="223"/>
      <c r="V551" s="223"/>
      <c r="W551" s="223"/>
      <c r="X551" s="223"/>
      <c r="Y551" s="223"/>
      <c r="Z551" s="223"/>
    </row>
    <row r="552">
      <c r="A552" s="223" t="str">
        <f>IFERROR(__xludf.DUMMYFUNCTION("""COMPUTED_VALUE"""),"MortgagePal : Monthly Services")</f>
        <v>MortgagePal : Monthly Services</v>
      </c>
      <c r="B552" s="223" t="str">
        <f>IFERROR(__xludf.DUMMYFUNCTION("""COMPUTED_VALUE"""),"MortgagePal")</f>
        <v>MortgagePal</v>
      </c>
      <c r="C552" s="223" t="str">
        <f>IFERROR(__xludf.DUMMYFUNCTION("""COMPUTED_VALUE"""),"Monthly Services")</f>
        <v>Monthly Services</v>
      </c>
      <c r="D552" s="316">
        <f>IFERROR(__xludf.DUMMYFUNCTION("""COMPUTED_VALUE"""),44834.0)</f>
        <v>44834</v>
      </c>
      <c r="E552" s="298">
        <f>IFERROR(__xludf.DUMMYFUNCTION("""COMPUTED_VALUE"""),500.0)</f>
        <v>500</v>
      </c>
      <c r="F552" s="298">
        <f>IFERROR(__xludf.DUMMYFUNCTION("""COMPUTED_VALUE"""),15.53)</f>
        <v>15.53</v>
      </c>
      <c r="G552" s="298">
        <f>IFERROR(__xludf.DUMMYFUNCTION("""COMPUTED_VALUE"""),0.0)</f>
        <v>0</v>
      </c>
      <c r="H552" s="223">
        <f>IFERROR(__xludf.DUMMYFUNCTION("""COMPUTED_VALUE"""),484.47)</f>
        <v>484.47</v>
      </c>
      <c r="I552" s="298"/>
      <c r="J552" s="223" t="str">
        <f>IFERROR(__xludf.DUMMYFUNCTION("""COMPUTED_VALUE"""),"Monthly")</f>
        <v>Monthly</v>
      </c>
      <c r="K552" s="317">
        <f>IFERROR(__xludf.DUMMYFUNCTION("""COMPUTED_VALUE"""),2022.09)</f>
        <v>2022.09</v>
      </c>
      <c r="L552" s="298"/>
      <c r="M552" s="223"/>
      <c r="N552" s="223"/>
      <c r="O552" s="223"/>
      <c r="P552" s="223"/>
      <c r="Q552" s="223"/>
      <c r="R552" s="223"/>
      <c r="S552" s="223"/>
      <c r="T552" s="223"/>
      <c r="U552" s="223"/>
      <c r="V552" s="223"/>
      <c r="W552" s="223"/>
      <c r="X552" s="223"/>
      <c r="Y552" s="223"/>
      <c r="Z552" s="223"/>
    </row>
    <row r="553">
      <c r="A553" s="223" t="str">
        <f>IFERROR(__xludf.DUMMYFUNCTION("""COMPUTED_VALUE"""),"PMDI : Monthly Services")</f>
        <v>PMDI : Monthly Services</v>
      </c>
      <c r="B553" s="223" t="str">
        <f>IFERROR(__xludf.DUMMYFUNCTION("""COMPUTED_VALUE"""),"PMDI")</f>
        <v>PMDI</v>
      </c>
      <c r="C553" s="223" t="str">
        <f>IFERROR(__xludf.DUMMYFUNCTION("""COMPUTED_VALUE"""),"Monthly Services")</f>
        <v>Monthly Services</v>
      </c>
      <c r="D553" s="316">
        <f>IFERROR(__xludf.DUMMYFUNCTION("""COMPUTED_VALUE"""),44833.0)</f>
        <v>44833</v>
      </c>
      <c r="E553" s="298">
        <f>IFERROR(__xludf.DUMMYFUNCTION("""COMPUTED_VALUE"""),375.0)</f>
        <v>375</v>
      </c>
      <c r="F553" s="298">
        <f>IFERROR(__xludf.DUMMYFUNCTION("""COMPUTED_VALUE"""),0.0)</f>
        <v>0</v>
      </c>
      <c r="G553" s="298">
        <f>IFERROR(__xludf.DUMMYFUNCTION("""COMPUTED_VALUE"""),0.0)</f>
        <v>0</v>
      </c>
      <c r="H553" s="223">
        <f>IFERROR(__xludf.DUMMYFUNCTION("""COMPUTED_VALUE"""),375.0)</f>
        <v>375</v>
      </c>
      <c r="I553" s="298"/>
      <c r="J553" s="223" t="str">
        <f>IFERROR(__xludf.DUMMYFUNCTION("""COMPUTED_VALUE"""),"Monthly")</f>
        <v>Monthly</v>
      </c>
      <c r="K553" s="317">
        <f>IFERROR(__xludf.DUMMYFUNCTION("""COMPUTED_VALUE"""),2022.09)</f>
        <v>2022.09</v>
      </c>
      <c r="L553" s="298"/>
      <c r="M553" s="223"/>
      <c r="N553" s="223"/>
      <c r="O553" s="223"/>
      <c r="P553" s="223"/>
      <c r="Q553" s="223"/>
      <c r="R553" s="223"/>
      <c r="S553" s="223"/>
      <c r="T553" s="223"/>
      <c r="U553" s="223"/>
      <c r="V553" s="223"/>
      <c r="W553" s="223"/>
      <c r="X553" s="223"/>
      <c r="Y553" s="223"/>
      <c r="Z553" s="223"/>
    </row>
    <row r="554">
      <c r="A554" s="223" t="str">
        <f>IFERROR(__xludf.DUMMYFUNCTION("""COMPUTED_VALUE"""),"Prime Engineering : Monthly Services")</f>
        <v>Prime Engineering : Monthly Services</v>
      </c>
      <c r="B554" s="223" t="str">
        <f>IFERROR(__xludf.DUMMYFUNCTION("""COMPUTED_VALUE"""),"Prime Engineering")</f>
        <v>Prime Engineering</v>
      </c>
      <c r="C554" s="223" t="str">
        <f>IFERROR(__xludf.DUMMYFUNCTION("""COMPUTED_VALUE"""),"Monthly Services")</f>
        <v>Monthly Services</v>
      </c>
      <c r="D554" s="316">
        <f>IFERROR(__xludf.DUMMYFUNCTION("""COMPUTED_VALUE"""),44833.0)</f>
        <v>44833</v>
      </c>
      <c r="E554" s="298">
        <f>IFERROR(__xludf.DUMMYFUNCTION("""COMPUTED_VALUE"""),500.0)</f>
        <v>500</v>
      </c>
      <c r="F554" s="298">
        <f>IFERROR(__xludf.DUMMYFUNCTION("""COMPUTED_VALUE"""),0.0)</f>
        <v>0</v>
      </c>
      <c r="G554" s="298">
        <f>IFERROR(__xludf.DUMMYFUNCTION("""COMPUTED_VALUE"""),0.0)</f>
        <v>0</v>
      </c>
      <c r="H554" s="223">
        <f>IFERROR(__xludf.DUMMYFUNCTION("""COMPUTED_VALUE"""),500.0)</f>
        <v>500</v>
      </c>
      <c r="I554" s="298"/>
      <c r="J554" s="223" t="str">
        <f>IFERROR(__xludf.DUMMYFUNCTION("""COMPUTED_VALUE"""),"Monthly")</f>
        <v>Monthly</v>
      </c>
      <c r="K554" s="317">
        <f>IFERROR(__xludf.DUMMYFUNCTION("""COMPUTED_VALUE"""),2022.09)</f>
        <v>2022.09</v>
      </c>
      <c r="L554" s="298"/>
      <c r="M554" s="223"/>
      <c r="N554" s="223"/>
      <c r="O554" s="223"/>
      <c r="P554" s="223"/>
      <c r="Q554" s="223"/>
      <c r="R554" s="223"/>
      <c r="S554" s="223"/>
      <c r="T554" s="223"/>
      <c r="U554" s="223"/>
      <c r="V554" s="223"/>
      <c r="W554" s="223"/>
      <c r="X554" s="223"/>
      <c r="Y554" s="223"/>
      <c r="Z554" s="223"/>
    </row>
    <row r="555">
      <c r="A555" s="223" t="str">
        <f>IFERROR(__xludf.DUMMYFUNCTION("""COMPUTED_VALUE"""),"Rama Meditation Society : Premium Hosting + Support")</f>
        <v>Rama Meditation Society : Premium Hosting + Support</v>
      </c>
      <c r="B555" s="223" t="str">
        <f>IFERROR(__xludf.DUMMYFUNCTION("""COMPUTED_VALUE"""),"Rama Meditation Society")</f>
        <v>Rama Meditation Society</v>
      </c>
      <c r="C555" s="223" t="str">
        <f>IFERROR(__xludf.DUMMYFUNCTION("""COMPUTED_VALUE"""),"Premium Hosting + Support")</f>
        <v>Premium Hosting + Support</v>
      </c>
      <c r="D555" s="316">
        <f>IFERROR(__xludf.DUMMYFUNCTION("""COMPUTED_VALUE"""),44833.0)</f>
        <v>44833</v>
      </c>
      <c r="E555" s="298">
        <f>IFERROR(__xludf.DUMMYFUNCTION("""COMPUTED_VALUE"""),400.85249999999996)</f>
        <v>400.8525</v>
      </c>
      <c r="F555" s="298">
        <f>IFERROR(__xludf.DUMMYFUNCTION("""COMPUTED_VALUE"""),15.232394999999999)</f>
        <v>15.232395</v>
      </c>
      <c r="G555" s="298">
        <f>IFERROR(__xludf.DUMMYFUNCTION("""COMPUTED_VALUE"""),0.0)</f>
        <v>0</v>
      </c>
      <c r="H555" s="223">
        <f>IFERROR(__xludf.DUMMYFUNCTION("""COMPUTED_VALUE"""),385.62010499999997)</f>
        <v>385.620105</v>
      </c>
      <c r="I555" s="298"/>
      <c r="J555" s="223" t="str">
        <f>IFERROR(__xludf.DUMMYFUNCTION("""COMPUTED_VALUE"""),"Monthly")</f>
        <v>Monthly</v>
      </c>
      <c r="K555" s="317">
        <f>IFERROR(__xludf.DUMMYFUNCTION("""COMPUTED_VALUE"""),2022.09)</f>
        <v>2022.09</v>
      </c>
      <c r="L555" s="298"/>
      <c r="M555" s="223"/>
      <c r="N555" s="223"/>
      <c r="O555" s="223"/>
      <c r="P555" s="223"/>
      <c r="Q555" s="223"/>
      <c r="R555" s="223"/>
      <c r="S555" s="223"/>
      <c r="T555" s="223"/>
      <c r="U555" s="223"/>
      <c r="V555" s="223"/>
      <c r="W555" s="223"/>
      <c r="X555" s="223"/>
      <c r="Y555" s="223"/>
      <c r="Z555" s="223"/>
    </row>
    <row r="556">
      <c r="A556" s="223" t="str">
        <f>IFERROR(__xludf.DUMMYFUNCTION("""COMPUTED_VALUE"""),"Red Seal : Monthly Services")</f>
        <v>Red Seal : Monthly Services</v>
      </c>
      <c r="B556" s="223" t="str">
        <f>IFERROR(__xludf.DUMMYFUNCTION("""COMPUTED_VALUE"""),"Red Seal")</f>
        <v>Red Seal</v>
      </c>
      <c r="C556" s="223" t="str">
        <f>IFERROR(__xludf.DUMMYFUNCTION("""COMPUTED_VALUE"""),"Monthly Services")</f>
        <v>Monthly Services</v>
      </c>
      <c r="D556" s="316">
        <f>IFERROR(__xludf.DUMMYFUNCTION("""COMPUTED_VALUE"""),44833.0)</f>
        <v>44833</v>
      </c>
      <c r="E556" s="298">
        <f>IFERROR(__xludf.DUMMYFUNCTION("""COMPUTED_VALUE"""),1150.0)</f>
        <v>1150</v>
      </c>
      <c r="F556" s="298">
        <f>IFERROR(__xludf.DUMMYFUNCTION("""COMPUTED_VALUE"""),0.0)</f>
        <v>0</v>
      </c>
      <c r="G556" s="298">
        <f>IFERROR(__xludf.DUMMYFUNCTION("""COMPUTED_VALUE"""),0.0)</f>
        <v>0</v>
      </c>
      <c r="H556" s="223">
        <f>IFERROR(__xludf.DUMMYFUNCTION("""COMPUTED_VALUE"""),1150.0)</f>
        <v>1150</v>
      </c>
      <c r="I556" s="298"/>
      <c r="J556" s="223" t="str">
        <f>IFERROR(__xludf.DUMMYFUNCTION("""COMPUTED_VALUE"""),"Monthly")</f>
        <v>Monthly</v>
      </c>
      <c r="K556" s="317">
        <f>IFERROR(__xludf.DUMMYFUNCTION("""COMPUTED_VALUE"""),2022.09)</f>
        <v>2022.09</v>
      </c>
      <c r="L556" s="298"/>
      <c r="M556" s="223"/>
      <c r="N556" s="223"/>
      <c r="O556" s="223"/>
      <c r="P556" s="223"/>
      <c r="Q556" s="223"/>
      <c r="R556" s="223"/>
      <c r="S556" s="223"/>
      <c r="T556" s="223"/>
      <c r="U556" s="223"/>
      <c r="V556" s="223"/>
      <c r="W556" s="223"/>
      <c r="X556" s="223"/>
      <c r="Y556" s="223"/>
      <c r="Z556" s="223"/>
    </row>
    <row r="557">
      <c r="A557" s="223" t="str">
        <f>IFERROR(__xludf.DUMMYFUNCTION("""COMPUTED_VALUE"""),"Service First : Monthly Services")</f>
        <v>Service First : Monthly Services</v>
      </c>
      <c r="B557" s="223" t="str">
        <f>IFERROR(__xludf.DUMMYFUNCTION("""COMPUTED_VALUE"""),"Service First")</f>
        <v>Service First</v>
      </c>
      <c r="C557" s="223" t="str">
        <f>IFERROR(__xludf.DUMMYFUNCTION("""COMPUTED_VALUE"""),"Monthly Services")</f>
        <v>Monthly Services</v>
      </c>
      <c r="D557" s="316">
        <f>IFERROR(__xludf.DUMMYFUNCTION("""COMPUTED_VALUE"""),44833.0)</f>
        <v>44833</v>
      </c>
      <c r="E557" s="298">
        <f>IFERROR(__xludf.DUMMYFUNCTION("""COMPUTED_VALUE"""),300.0)</f>
        <v>300</v>
      </c>
      <c r="F557" s="298">
        <f>IFERROR(__xludf.DUMMYFUNCTION("""COMPUTED_VALUE"""),9.33)</f>
        <v>9.33</v>
      </c>
      <c r="G557" s="298">
        <f>IFERROR(__xludf.DUMMYFUNCTION("""COMPUTED_VALUE"""),0.0)</f>
        <v>0</v>
      </c>
      <c r="H557" s="223">
        <f>IFERROR(__xludf.DUMMYFUNCTION("""COMPUTED_VALUE"""),290.67)</f>
        <v>290.67</v>
      </c>
      <c r="I557" s="298"/>
      <c r="J557" s="223" t="str">
        <f>IFERROR(__xludf.DUMMYFUNCTION("""COMPUTED_VALUE"""),"Monthly")</f>
        <v>Monthly</v>
      </c>
      <c r="K557" s="317">
        <f>IFERROR(__xludf.DUMMYFUNCTION("""COMPUTED_VALUE"""),2022.09)</f>
        <v>2022.09</v>
      </c>
      <c r="L557" s="298"/>
      <c r="M557" s="223"/>
      <c r="N557" s="223"/>
      <c r="O557" s="223"/>
      <c r="P557" s="223"/>
      <c r="Q557" s="223"/>
      <c r="R557" s="223"/>
      <c r="S557" s="223"/>
      <c r="T557" s="223"/>
      <c r="U557" s="223"/>
      <c r="V557" s="223"/>
      <c r="W557" s="223"/>
      <c r="X557" s="223"/>
      <c r="Y557" s="223"/>
      <c r="Z557" s="223"/>
    </row>
    <row r="558">
      <c r="A558" s="223" t="str">
        <f>IFERROR(__xludf.DUMMYFUNCTION("""COMPUTED_VALUE"""),"Spraggs : Monthly Services")</f>
        <v>Spraggs : Monthly Services</v>
      </c>
      <c r="B558" s="223" t="str">
        <f>IFERROR(__xludf.DUMMYFUNCTION("""COMPUTED_VALUE"""),"Spraggs")</f>
        <v>Spraggs</v>
      </c>
      <c r="C558" s="223" t="str">
        <f>IFERROR(__xludf.DUMMYFUNCTION("""COMPUTED_VALUE"""),"Monthly Services")</f>
        <v>Monthly Services</v>
      </c>
      <c r="D558" s="316">
        <f>IFERROR(__xludf.DUMMYFUNCTION("""COMPUTED_VALUE"""),44833.0)</f>
        <v>44833</v>
      </c>
      <c r="E558" s="298">
        <f>IFERROR(__xludf.DUMMYFUNCTION("""COMPUTED_VALUE"""),2500.0)</f>
        <v>2500</v>
      </c>
      <c r="F558" s="298">
        <f>IFERROR(__xludf.DUMMYFUNCTION("""COMPUTED_VALUE"""),77.78)</f>
        <v>77.78</v>
      </c>
      <c r="G558" s="298">
        <f>IFERROR(__xludf.DUMMYFUNCTION("""COMPUTED_VALUE"""),0.0)</f>
        <v>0</v>
      </c>
      <c r="H558" s="223">
        <f>IFERROR(__xludf.DUMMYFUNCTION("""COMPUTED_VALUE"""),2422.22)</f>
        <v>2422.22</v>
      </c>
      <c r="I558" s="298"/>
      <c r="J558" s="223" t="str">
        <f>IFERROR(__xludf.DUMMYFUNCTION("""COMPUTED_VALUE"""),"Monthly")</f>
        <v>Monthly</v>
      </c>
      <c r="K558" s="317">
        <f>IFERROR(__xludf.DUMMYFUNCTION("""COMPUTED_VALUE"""),2022.09)</f>
        <v>2022.09</v>
      </c>
      <c r="L558" s="298"/>
      <c r="M558" s="223"/>
      <c r="N558" s="223"/>
      <c r="O558" s="223"/>
      <c r="P558" s="223"/>
      <c r="Q558" s="223"/>
      <c r="R558" s="223"/>
      <c r="S558" s="223"/>
      <c r="T558" s="223"/>
      <c r="U558" s="223"/>
      <c r="V558" s="223"/>
      <c r="W558" s="223"/>
      <c r="X558" s="223"/>
      <c r="Y558" s="223"/>
      <c r="Z558" s="223"/>
    </row>
    <row r="559">
      <c r="A559" s="223" t="str">
        <f>IFERROR(__xludf.DUMMYFUNCTION("""COMPUTED_VALUE"""),"TisBest : Monthly Services")</f>
        <v>TisBest : Monthly Services</v>
      </c>
      <c r="B559" s="223" t="str">
        <f>IFERROR(__xludf.DUMMYFUNCTION("""COMPUTED_VALUE"""),"TisBest")</f>
        <v>TisBest</v>
      </c>
      <c r="C559" s="223" t="str">
        <f>IFERROR(__xludf.DUMMYFUNCTION("""COMPUTED_VALUE"""),"Monthly Services")</f>
        <v>Monthly Services</v>
      </c>
      <c r="D559" s="316">
        <f>IFERROR(__xludf.DUMMYFUNCTION("""COMPUTED_VALUE"""),44833.0)</f>
        <v>44833</v>
      </c>
      <c r="E559" s="298">
        <f>IFERROR(__xludf.DUMMYFUNCTION("""COMPUTED_VALUE"""),5811.561)</f>
        <v>5811.561</v>
      </c>
      <c r="F559" s="298">
        <f>IFERROR(__xludf.DUMMYFUNCTION("""COMPUTED_VALUE"""),215.41519440000002)</f>
        <v>215.4151944</v>
      </c>
      <c r="G559" s="298">
        <f>IFERROR(__xludf.DUMMYFUNCTION("""COMPUTED_VALUE"""),1119.2291611199998)</f>
        <v>1119.229161</v>
      </c>
      <c r="H559" s="223">
        <f>IFERROR(__xludf.DUMMYFUNCTION("""COMPUTED_VALUE"""),4476.916644479999)</f>
        <v>4476.916644</v>
      </c>
      <c r="I559" s="298"/>
      <c r="J559" s="223" t="str">
        <f>IFERROR(__xludf.DUMMYFUNCTION("""COMPUTED_VALUE"""),"Monthly")</f>
        <v>Monthly</v>
      </c>
      <c r="K559" s="317">
        <f>IFERROR(__xludf.DUMMYFUNCTION("""COMPUTED_VALUE"""),2022.09)</f>
        <v>2022.09</v>
      </c>
      <c r="L559" s="298"/>
      <c r="M559" s="223"/>
      <c r="N559" s="223"/>
      <c r="O559" s="223"/>
      <c r="P559" s="223"/>
      <c r="Q559" s="223"/>
      <c r="R559" s="223"/>
      <c r="S559" s="223"/>
      <c r="T559" s="223"/>
      <c r="U559" s="223"/>
      <c r="V559" s="223"/>
      <c r="W559" s="223"/>
      <c r="X559" s="223"/>
      <c r="Y559" s="223"/>
      <c r="Z559" s="223"/>
    </row>
    <row r="560">
      <c r="A560" s="223" t="str">
        <f>IFERROR(__xludf.DUMMYFUNCTION("""COMPUTED_VALUE"""),"Tuscany : Monthly Services")</f>
        <v>Tuscany : Monthly Services</v>
      </c>
      <c r="B560" s="223" t="str">
        <f>IFERROR(__xludf.DUMMYFUNCTION("""COMPUTED_VALUE"""),"Tuscany")</f>
        <v>Tuscany</v>
      </c>
      <c r="C560" s="223" t="str">
        <f>IFERROR(__xludf.DUMMYFUNCTION("""COMPUTED_VALUE"""),"Monthly Services")</f>
        <v>Monthly Services</v>
      </c>
      <c r="D560" s="316">
        <f>IFERROR(__xludf.DUMMYFUNCTION("""COMPUTED_VALUE"""),44833.0)</f>
        <v>44833</v>
      </c>
      <c r="E560" s="298">
        <f>IFERROR(__xludf.DUMMYFUNCTION("""COMPUTED_VALUE"""),2584.825)</f>
        <v>2584.825</v>
      </c>
      <c r="F560" s="298">
        <f>IFERROR(__xludf.DUMMYFUNCTION("""COMPUTED_VALUE"""),0.0)</f>
        <v>0</v>
      </c>
      <c r="G560" s="298">
        <f>IFERROR(__xludf.DUMMYFUNCTION("""COMPUTED_VALUE"""),0.0)</f>
        <v>0</v>
      </c>
      <c r="H560" s="223">
        <f>IFERROR(__xludf.DUMMYFUNCTION("""COMPUTED_VALUE"""),2584.825)</f>
        <v>2584.825</v>
      </c>
      <c r="I560" s="298"/>
      <c r="J560" s="223" t="str">
        <f>IFERROR(__xludf.DUMMYFUNCTION("""COMPUTED_VALUE"""),"Monthly")</f>
        <v>Monthly</v>
      </c>
      <c r="K560" s="317">
        <f>IFERROR(__xludf.DUMMYFUNCTION("""COMPUTED_VALUE"""),2022.09)</f>
        <v>2022.09</v>
      </c>
      <c r="L560" s="298"/>
      <c r="M560" s="223"/>
      <c r="N560" s="223"/>
      <c r="O560" s="223"/>
      <c r="P560" s="223"/>
      <c r="Q560" s="223"/>
      <c r="R560" s="223"/>
      <c r="S560" s="223"/>
      <c r="T560" s="223"/>
      <c r="U560" s="223"/>
      <c r="V560" s="223"/>
      <c r="W560" s="223"/>
      <c r="X560" s="223"/>
      <c r="Y560" s="223"/>
      <c r="Z560" s="223"/>
    </row>
    <row r="561">
      <c r="A561" s="223" t="str">
        <f>IFERROR(__xludf.DUMMYFUNCTION("""COMPUTED_VALUE"""),"Venetian : Monthly Services")</f>
        <v>Venetian : Monthly Services</v>
      </c>
      <c r="B561" s="223" t="str">
        <f>IFERROR(__xludf.DUMMYFUNCTION("""COMPUTED_VALUE"""),"Venetian")</f>
        <v>Venetian</v>
      </c>
      <c r="C561" s="223" t="str">
        <f>IFERROR(__xludf.DUMMYFUNCTION("""COMPUTED_VALUE"""),"Monthly Services")</f>
        <v>Monthly Services</v>
      </c>
      <c r="D561" s="316">
        <f>IFERROR(__xludf.DUMMYFUNCTION("""COMPUTED_VALUE"""),44833.0)</f>
        <v>44833</v>
      </c>
      <c r="E561" s="298">
        <f>IFERROR(__xludf.DUMMYFUNCTION("""COMPUTED_VALUE"""),2584.825)</f>
        <v>2584.825</v>
      </c>
      <c r="F561" s="298">
        <f>IFERROR(__xludf.DUMMYFUNCTION("""COMPUTED_VALUE"""),0.0)</f>
        <v>0</v>
      </c>
      <c r="G561" s="298">
        <f>IFERROR(__xludf.DUMMYFUNCTION("""COMPUTED_VALUE"""),0.0)</f>
        <v>0</v>
      </c>
      <c r="H561" s="223">
        <f>IFERROR(__xludf.DUMMYFUNCTION("""COMPUTED_VALUE"""),2584.825)</f>
        <v>2584.825</v>
      </c>
      <c r="I561" s="298"/>
      <c r="J561" s="223" t="str">
        <f>IFERROR(__xludf.DUMMYFUNCTION("""COMPUTED_VALUE"""),"Monthly")</f>
        <v>Monthly</v>
      </c>
      <c r="K561" s="317">
        <f>IFERROR(__xludf.DUMMYFUNCTION("""COMPUTED_VALUE"""),2022.09)</f>
        <v>2022.09</v>
      </c>
      <c r="L561" s="298"/>
      <c r="M561" s="223"/>
      <c r="N561" s="223"/>
      <c r="O561" s="223"/>
      <c r="P561" s="223"/>
      <c r="Q561" s="223"/>
      <c r="R561" s="223"/>
      <c r="S561" s="223"/>
      <c r="T561" s="223"/>
      <c r="U561" s="223"/>
      <c r="V561" s="223"/>
      <c r="W561" s="223"/>
      <c r="X561" s="223"/>
      <c r="Y561" s="223"/>
      <c r="Z561" s="223"/>
    </row>
    <row r="562">
      <c r="A562" s="223" t="str">
        <f>IFERROR(__xludf.DUMMYFUNCTION("""COMPUTED_VALUE"""),"Wallack's Art Supplies : Monthly Services")</f>
        <v>Wallack's Art Supplies : Monthly Services</v>
      </c>
      <c r="B562" s="223" t="str">
        <f>IFERROR(__xludf.DUMMYFUNCTION("""COMPUTED_VALUE"""),"Wallack's Art Supplies")</f>
        <v>Wallack's Art Supplies</v>
      </c>
      <c r="C562" s="223" t="str">
        <f>IFERROR(__xludf.DUMMYFUNCTION("""COMPUTED_VALUE"""),"Monthly Services")</f>
        <v>Monthly Services</v>
      </c>
      <c r="D562" s="316">
        <f>IFERROR(__xludf.DUMMYFUNCTION("""COMPUTED_VALUE"""),44833.0)</f>
        <v>44833</v>
      </c>
      <c r="E562" s="298">
        <f>IFERROR(__xludf.DUMMYFUNCTION("""COMPUTED_VALUE"""),700.0)</f>
        <v>700</v>
      </c>
      <c r="F562" s="298">
        <f>IFERROR(__xludf.DUMMYFUNCTION("""COMPUTED_VALUE"""),0.0)</f>
        <v>0</v>
      </c>
      <c r="G562" s="298">
        <f>IFERROR(__xludf.DUMMYFUNCTION("""COMPUTED_VALUE"""),0.0)</f>
        <v>0</v>
      </c>
      <c r="H562" s="223">
        <f>IFERROR(__xludf.DUMMYFUNCTION("""COMPUTED_VALUE"""),700.0)</f>
        <v>700</v>
      </c>
      <c r="I562" s="298"/>
      <c r="J562" s="223" t="str">
        <f>IFERROR(__xludf.DUMMYFUNCTION("""COMPUTED_VALUE"""),"Monthly")</f>
        <v>Monthly</v>
      </c>
      <c r="K562" s="317">
        <f>IFERROR(__xludf.DUMMYFUNCTION("""COMPUTED_VALUE"""),2022.09)</f>
        <v>2022.09</v>
      </c>
      <c r="L562" s="298"/>
      <c r="M562" s="223"/>
      <c r="N562" s="223"/>
      <c r="O562" s="223"/>
      <c r="P562" s="223"/>
      <c r="Q562" s="223"/>
      <c r="R562" s="223"/>
      <c r="S562" s="223"/>
      <c r="T562" s="223"/>
      <c r="U562" s="223"/>
      <c r="V562" s="223"/>
      <c r="W562" s="223"/>
      <c r="X562" s="223"/>
      <c r="Y562" s="223"/>
      <c r="Z562" s="223"/>
    </row>
    <row r="563">
      <c r="A563" s="223" t="str">
        <f>IFERROR(__xludf.DUMMYFUNCTION("""COMPUTED_VALUE"""),"Howard Fine Jewellers : Ongoing PPC and SEO Support")</f>
        <v>Howard Fine Jewellers : Ongoing PPC and SEO Support</v>
      </c>
      <c r="B563" s="223" t="str">
        <f>IFERROR(__xludf.DUMMYFUNCTION("""COMPUTED_VALUE"""),"Howard Fine Jewellers")</f>
        <v>Howard Fine Jewellers</v>
      </c>
      <c r="C563" s="223" t="str">
        <f>IFERROR(__xludf.DUMMYFUNCTION("""COMPUTED_VALUE"""),"Ongoing PPC and SEO Support")</f>
        <v>Ongoing PPC and SEO Support</v>
      </c>
      <c r="D563" s="316">
        <f>IFERROR(__xludf.DUMMYFUNCTION("""COMPUTED_VALUE"""),44833.0)</f>
        <v>44833</v>
      </c>
      <c r="E563" s="298">
        <f>IFERROR(__xludf.DUMMYFUNCTION("""COMPUTED_VALUE"""),1450.0)</f>
        <v>1450</v>
      </c>
      <c r="F563" s="298">
        <f>IFERROR(__xludf.DUMMYFUNCTION("""COMPUTED_VALUE"""),48.55)</f>
        <v>48.55</v>
      </c>
      <c r="G563" s="298">
        <f>IFERROR(__xludf.DUMMYFUNCTION("""COMPUTED_VALUE"""),0.0)</f>
        <v>0</v>
      </c>
      <c r="H563" s="223">
        <f>IFERROR(__xludf.DUMMYFUNCTION("""COMPUTED_VALUE"""),1401.45)</f>
        <v>1401.45</v>
      </c>
      <c r="I563" s="298"/>
      <c r="J563" s="223" t="str">
        <f>IFERROR(__xludf.DUMMYFUNCTION("""COMPUTED_VALUE"""),"Monthly")</f>
        <v>Monthly</v>
      </c>
      <c r="K563" s="317">
        <f>IFERROR(__xludf.DUMMYFUNCTION("""COMPUTED_VALUE"""),2022.09)</f>
        <v>2022.09</v>
      </c>
      <c r="L563" s="298"/>
      <c r="M563" s="223"/>
      <c r="N563" s="223"/>
      <c r="O563" s="223"/>
      <c r="P563" s="223"/>
      <c r="Q563" s="223"/>
      <c r="R563" s="223"/>
      <c r="S563" s="223"/>
      <c r="T563" s="223"/>
      <c r="U563" s="223"/>
      <c r="V563" s="223"/>
      <c r="W563" s="223"/>
      <c r="X563" s="223"/>
      <c r="Y563" s="223"/>
      <c r="Z563" s="223"/>
    </row>
    <row r="564">
      <c r="A564" s="223" t="str">
        <f>IFERROR(__xludf.DUMMYFUNCTION("""COMPUTED_VALUE"""),"Sacred Deathcare : Website Rebuild")</f>
        <v>Sacred Deathcare : Website Rebuild</v>
      </c>
      <c r="B564" s="223" t="str">
        <f>IFERROR(__xludf.DUMMYFUNCTION("""COMPUTED_VALUE"""),"Sacred Deathcare")</f>
        <v>Sacred Deathcare</v>
      </c>
      <c r="C564" s="223" t="str">
        <f>IFERROR(__xludf.DUMMYFUNCTION("""COMPUTED_VALUE"""),"Website Rebuild")</f>
        <v>Website Rebuild</v>
      </c>
      <c r="D564" s="316">
        <f>IFERROR(__xludf.DUMMYFUNCTION("""COMPUTED_VALUE"""),44833.0)</f>
        <v>44833</v>
      </c>
      <c r="E564" s="298">
        <f>IFERROR(__xludf.DUMMYFUNCTION("""COMPUTED_VALUE"""),1850.0)</f>
        <v>1850</v>
      </c>
      <c r="F564" s="298">
        <f>IFERROR(__xludf.DUMMYFUNCTION("""COMPUTED_VALUE"""),57.56)</f>
        <v>57.56</v>
      </c>
      <c r="G564" s="298">
        <f>IFERROR(__xludf.DUMMYFUNCTION("""COMPUTED_VALUE"""),0.0)</f>
        <v>0</v>
      </c>
      <c r="H564" s="223">
        <f>IFERROR(__xludf.DUMMYFUNCTION("""COMPUTED_VALUE"""),1792.44)</f>
        <v>1792.44</v>
      </c>
      <c r="I564" s="298"/>
      <c r="J564" s="223" t="str">
        <f>IFERROR(__xludf.DUMMYFUNCTION("""COMPUTED_VALUE"""),"One-Time")</f>
        <v>One-Time</v>
      </c>
      <c r="K564" s="317">
        <f>IFERROR(__xludf.DUMMYFUNCTION("""COMPUTED_VALUE"""),2022.0)</f>
        <v>2022</v>
      </c>
      <c r="L564" s="298"/>
      <c r="M564" s="223"/>
      <c r="N564" s="223"/>
      <c r="O564" s="223"/>
      <c r="P564" s="223"/>
      <c r="Q564" s="223"/>
      <c r="R564" s="223"/>
      <c r="S564" s="223"/>
      <c r="T564" s="223"/>
      <c r="U564" s="223"/>
      <c r="V564" s="223"/>
      <c r="W564" s="223"/>
      <c r="X564" s="223"/>
      <c r="Y564" s="223"/>
      <c r="Z564" s="223"/>
    </row>
    <row r="565">
      <c r="A565" s="223" t="str">
        <f>IFERROR(__xludf.DUMMYFUNCTION("""COMPUTED_VALUE"""),"Sacred Deathcare : Website Rebuild")</f>
        <v>Sacred Deathcare : Website Rebuild</v>
      </c>
      <c r="B565" s="223" t="str">
        <f>IFERROR(__xludf.DUMMYFUNCTION("""COMPUTED_VALUE"""),"Sacred Deathcare")</f>
        <v>Sacred Deathcare</v>
      </c>
      <c r="C565" s="223" t="str">
        <f>IFERROR(__xludf.DUMMYFUNCTION("""COMPUTED_VALUE"""),"Website Rebuild")</f>
        <v>Website Rebuild</v>
      </c>
      <c r="D565" s="316">
        <f>IFERROR(__xludf.DUMMYFUNCTION("""COMPUTED_VALUE"""),44880.0)</f>
        <v>44880</v>
      </c>
      <c r="E565" s="298">
        <f>IFERROR(__xludf.DUMMYFUNCTION("""COMPUTED_VALUE"""),1850.0)</f>
        <v>1850</v>
      </c>
      <c r="F565" s="298">
        <f>IFERROR(__xludf.DUMMYFUNCTION("""COMPUTED_VALUE"""),57.56)</f>
        <v>57.56</v>
      </c>
      <c r="G565" s="298">
        <f>IFERROR(__xludf.DUMMYFUNCTION("""COMPUTED_VALUE"""),0.0)</f>
        <v>0</v>
      </c>
      <c r="H565" s="223">
        <f>IFERROR(__xludf.DUMMYFUNCTION("""COMPUTED_VALUE"""),1792.44)</f>
        <v>1792.44</v>
      </c>
      <c r="I565" s="298"/>
      <c r="J565" s="223" t="str">
        <f>IFERROR(__xludf.DUMMYFUNCTION("""COMPUTED_VALUE"""),"One-Time")</f>
        <v>One-Time</v>
      </c>
      <c r="K565" s="317">
        <f>IFERROR(__xludf.DUMMYFUNCTION("""COMPUTED_VALUE"""),2022.0)</f>
        <v>2022</v>
      </c>
      <c r="L565" s="298"/>
      <c r="M565" s="223"/>
      <c r="N565" s="223"/>
      <c r="O565" s="223"/>
      <c r="P565" s="223"/>
      <c r="Q565" s="223"/>
      <c r="R565" s="223"/>
      <c r="S565" s="223"/>
      <c r="T565" s="223"/>
      <c r="U565" s="223"/>
      <c r="V565" s="223"/>
      <c r="W565" s="223"/>
      <c r="X565" s="223"/>
      <c r="Y565" s="223"/>
      <c r="Z565" s="223"/>
    </row>
    <row r="566">
      <c r="A566" s="223" t="str">
        <f>IFERROR(__xludf.DUMMYFUNCTION("""COMPUTED_VALUE"""),"Booginhead : Monthly Services")</f>
        <v>Booginhead : Monthly Services</v>
      </c>
      <c r="B566" s="223" t="str">
        <f>IFERROR(__xludf.DUMMYFUNCTION("""COMPUTED_VALUE"""),"Booginhead")</f>
        <v>Booginhead</v>
      </c>
      <c r="C566" s="223" t="str">
        <f>IFERROR(__xludf.DUMMYFUNCTION("""COMPUTED_VALUE"""),"Monthly Services")</f>
        <v>Monthly Services</v>
      </c>
      <c r="D566" s="316">
        <f>IFERROR(__xludf.DUMMYFUNCTION("""COMPUTED_VALUE"""),44849.0)</f>
        <v>44849</v>
      </c>
      <c r="E566" s="298">
        <f>IFERROR(__xludf.DUMMYFUNCTION("""COMPUTED_VALUE"""),1729.7137)</f>
        <v>1729.7137</v>
      </c>
      <c r="F566" s="298">
        <f>IFERROR(__xludf.DUMMYFUNCTION("""COMPUTED_VALUE"""),64.3985716)</f>
        <v>64.3985716</v>
      </c>
      <c r="G566" s="298">
        <f>IFERROR(__xludf.DUMMYFUNCTION("""COMPUTED_VALUE"""),333.06302568)</f>
        <v>333.0630257</v>
      </c>
      <c r="H566" s="223">
        <f>IFERROR(__xludf.DUMMYFUNCTION("""COMPUTED_VALUE"""),1332.25210272)</f>
        <v>1332.252103</v>
      </c>
      <c r="I566" s="298"/>
      <c r="J566" s="223" t="str">
        <f>IFERROR(__xludf.DUMMYFUNCTION("""COMPUTED_VALUE"""),"Monthly")</f>
        <v>Monthly</v>
      </c>
      <c r="K566" s="317">
        <f>IFERROR(__xludf.DUMMYFUNCTION("""COMPUTED_VALUE"""),2022.1)</f>
        <v>2022.1</v>
      </c>
      <c r="L566" s="298"/>
      <c r="M566" s="223"/>
      <c r="N566" s="223"/>
      <c r="O566" s="223"/>
      <c r="P566" s="223"/>
      <c r="Q566" s="223"/>
      <c r="R566" s="223"/>
      <c r="S566" s="223"/>
      <c r="T566" s="223"/>
      <c r="U566" s="223"/>
      <c r="V566" s="223"/>
      <c r="W566" s="223"/>
      <c r="X566" s="223"/>
      <c r="Y566" s="223"/>
      <c r="Z566" s="223"/>
    </row>
    <row r="567">
      <c r="A567" s="223" t="str">
        <f>IFERROR(__xludf.DUMMYFUNCTION("""COMPUTED_VALUE"""),"New Growth Ecommerce Inc : Monthly Services")</f>
        <v>New Growth Ecommerce Inc : Monthly Services</v>
      </c>
      <c r="B567" s="223" t="str">
        <f>IFERROR(__xludf.DUMMYFUNCTION("""COMPUTED_VALUE"""),"New Growth Ecommerce Inc")</f>
        <v>New Growth Ecommerce Inc</v>
      </c>
      <c r="C567" s="223" t="str">
        <f>IFERROR(__xludf.DUMMYFUNCTION("""COMPUTED_VALUE"""),"Monthly Services")</f>
        <v>Monthly Services</v>
      </c>
      <c r="D567" s="316">
        <f>IFERROR(__xludf.DUMMYFUNCTION("""COMPUTED_VALUE"""),44849.0)</f>
        <v>44849</v>
      </c>
      <c r="E567" s="298">
        <f>IFERROR(__xludf.DUMMYFUNCTION("""COMPUTED_VALUE"""),5000.0)</f>
        <v>5000</v>
      </c>
      <c r="F567" s="298">
        <f>IFERROR(__xludf.DUMMYFUNCTION("""COMPUTED_VALUE"""),0.0)</f>
        <v>0</v>
      </c>
      <c r="G567" s="298">
        <f>IFERROR(__xludf.DUMMYFUNCTION("""COMPUTED_VALUE"""),0.0)</f>
        <v>0</v>
      </c>
      <c r="H567" s="223">
        <f>IFERROR(__xludf.DUMMYFUNCTION("""COMPUTED_VALUE"""),5000.0)</f>
        <v>5000</v>
      </c>
      <c r="I567" s="298"/>
      <c r="J567" s="223" t="str">
        <f>IFERROR(__xludf.DUMMYFUNCTION("""COMPUTED_VALUE"""),"Monthly")</f>
        <v>Monthly</v>
      </c>
      <c r="K567" s="317">
        <f>IFERROR(__xludf.DUMMYFUNCTION("""COMPUTED_VALUE"""),2022.1)</f>
        <v>2022.1</v>
      </c>
      <c r="L567" s="298"/>
      <c r="M567" s="223"/>
      <c r="N567" s="223"/>
      <c r="O567" s="223"/>
      <c r="P567" s="223"/>
      <c r="Q567" s="223"/>
      <c r="R567" s="223"/>
      <c r="S567" s="223"/>
      <c r="T567" s="223"/>
      <c r="U567" s="223"/>
      <c r="V567" s="223"/>
      <c r="W567" s="223"/>
      <c r="X567" s="223"/>
      <c r="Y567" s="223"/>
      <c r="Z567" s="223"/>
    </row>
    <row r="568">
      <c r="A568" s="223" t="str">
        <f>IFERROR(__xludf.DUMMYFUNCTION("""COMPUTED_VALUE"""),"OA Region 6 : Monthly Services")</f>
        <v>OA Region 6 : Monthly Services</v>
      </c>
      <c r="B568" s="223" t="str">
        <f>IFERROR(__xludf.DUMMYFUNCTION("""COMPUTED_VALUE"""),"OA Region 6")</f>
        <v>OA Region 6</v>
      </c>
      <c r="C568" s="223" t="str">
        <f>IFERROR(__xludf.DUMMYFUNCTION("""COMPUTED_VALUE"""),"Monthly Services")</f>
        <v>Monthly Services</v>
      </c>
      <c r="D568" s="316">
        <f>IFERROR(__xludf.DUMMYFUNCTION("""COMPUTED_VALUE"""),44849.0)</f>
        <v>44849</v>
      </c>
      <c r="E568" s="298">
        <f>IFERROR(__xludf.DUMMYFUNCTION("""COMPUTED_VALUE"""),451.99)</f>
        <v>451.99</v>
      </c>
      <c r="F568" s="298">
        <f>IFERROR(__xludf.DUMMYFUNCTION("""COMPUTED_VALUE"""),17.111050000000002)</f>
        <v>17.11105</v>
      </c>
      <c r="G568" s="298">
        <f>IFERROR(__xludf.DUMMYFUNCTION("""COMPUTED_VALUE"""),0.0)</f>
        <v>0</v>
      </c>
      <c r="H568" s="223">
        <f>IFERROR(__xludf.DUMMYFUNCTION("""COMPUTED_VALUE"""),434.87895000000003)</f>
        <v>434.87895</v>
      </c>
      <c r="I568" s="298"/>
      <c r="J568" s="223" t="str">
        <f>IFERROR(__xludf.DUMMYFUNCTION("""COMPUTED_VALUE"""),"Monthly")</f>
        <v>Monthly</v>
      </c>
      <c r="K568" s="317">
        <f>IFERROR(__xludf.DUMMYFUNCTION("""COMPUTED_VALUE"""),2022.1)</f>
        <v>2022.1</v>
      </c>
      <c r="L568" s="298"/>
      <c r="M568" s="223"/>
      <c r="N568" s="223"/>
      <c r="O568" s="223"/>
      <c r="P568" s="223"/>
      <c r="Q568" s="223"/>
      <c r="R568" s="223"/>
      <c r="S568" s="223"/>
      <c r="T568" s="223"/>
      <c r="U568" s="223"/>
      <c r="V568" s="223"/>
      <c r="W568" s="223"/>
      <c r="X568" s="223"/>
      <c r="Y568" s="223"/>
      <c r="Z568" s="223"/>
    </row>
    <row r="569">
      <c r="A569" s="223" t="str">
        <f>IFERROR(__xludf.DUMMYFUNCTION("""COMPUTED_VALUE"""),"Tofino Resort + Marina : Monthly Services")</f>
        <v>Tofino Resort + Marina : Monthly Services</v>
      </c>
      <c r="B569" s="223" t="str">
        <f>IFERROR(__xludf.DUMMYFUNCTION("""COMPUTED_VALUE"""),"Tofino Resort + Marina")</f>
        <v>Tofino Resort + Marina</v>
      </c>
      <c r="C569" s="223" t="str">
        <f>IFERROR(__xludf.DUMMYFUNCTION("""COMPUTED_VALUE"""),"Monthly Services")</f>
        <v>Monthly Services</v>
      </c>
      <c r="D569" s="316">
        <f>IFERROR(__xludf.DUMMYFUNCTION("""COMPUTED_VALUE"""),44849.0)</f>
        <v>44849</v>
      </c>
      <c r="E569" s="298">
        <f>IFERROR(__xludf.DUMMYFUNCTION("""COMPUTED_VALUE"""),1600.0)</f>
        <v>1600</v>
      </c>
      <c r="F569" s="298">
        <f>IFERROR(__xludf.DUMMYFUNCTION("""COMPUTED_VALUE"""),49.78)</f>
        <v>49.78</v>
      </c>
      <c r="G569" s="298">
        <f>IFERROR(__xludf.DUMMYFUNCTION("""COMPUTED_VALUE"""),0.0)</f>
        <v>0</v>
      </c>
      <c r="H569" s="223">
        <f>IFERROR(__xludf.DUMMYFUNCTION("""COMPUTED_VALUE"""),1550.22)</f>
        <v>1550.22</v>
      </c>
      <c r="I569" s="298"/>
      <c r="J569" s="223" t="str">
        <f>IFERROR(__xludf.DUMMYFUNCTION("""COMPUTED_VALUE"""),"Monthly")</f>
        <v>Monthly</v>
      </c>
      <c r="K569" s="317">
        <f>IFERROR(__xludf.DUMMYFUNCTION("""COMPUTED_VALUE"""),2022.1)</f>
        <v>2022.1</v>
      </c>
      <c r="L569" s="298"/>
      <c r="M569" s="223"/>
      <c r="N569" s="223"/>
      <c r="O569" s="223"/>
      <c r="P569" s="223"/>
      <c r="Q569" s="223"/>
      <c r="R569" s="223"/>
      <c r="S569" s="223"/>
      <c r="T569" s="223"/>
      <c r="U569" s="223"/>
      <c r="V569" s="223"/>
      <c r="W569" s="223"/>
      <c r="X569" s="223"/>
      <c r="Y569" s="223"/>
      <c r="Z569" s="223"/>
    </row>
    <row r="570">
      <c r="A570" s="223" t="str">
        <f>IFERROR(__xludf.DUMMYFUNCTION("""COMPUTED_VALUE"""),"Viridian : Monthly Services")</f>
        <v>Viridian : Monthly Services</v>
      </c>
      <c r="B570" s="223" t="str">
        <f>IFERROR(__xludf.DUMMYFUNCTION("""COMPUTED_VALUE"""),"Viridian")</f>
        <v>Viridian</v>
      </c>
      <c r="C570" s="223" t="str">
        <f>IFERROR(__xludf.DUMMYFUNCTION("""COMPUTED_VALUE"""),"Monthly Services")</f>
        <v>Monthly Services</v>
      </c>
      <c r="D570" s="316">
        <f>IFERROR(__xludf.DUMMYFUNCTION("""COMPUTED_VALUE"""),44849.0)</f>
        <v>44849</v>
      </c>
      <c r="E570" s="298">
        <f>IFERROR(__xludf.DUMMYFUNCTION("""COMPUTED_VALUE"""),900.0)</f>
        <v>900</v>
      </c>
      <c r="F570" s="298">
        <f>IFERROR(__xludf.DUMMYFUNCTION("""COMPUTED_VALUE"""),0.0)</f>
        <v>0</v>
      </c>
      <c r="G570" s="298">
        <f>IFERROR(__xludf.DUMMYFUNCTION("""COMPUTED_VALUE"""),0.0)</f>
        <v>0</v>
      </c>
      <c r="H570" s="223">
        <f>IFERROR(__xludf.DUMMYFUNCTION("""COMPUTED_VALUE"""),900.0)</f>
        <v>900</v>
      </c>
      <c r="I570" s="298"/>
      <c r="J570" s="223" t="str">
        <f>IFERROR(__xludf.DUMMYFUNCTION("""COMPUTED_VALUE"""),"Monthly")</f>
        <v>Monthly</v>
      </c>
      <c r="K570" s="317">
        <f>IFERROR(__xludf.DUMMYFUNCTION("""COMPUTED_VALUE"""),2022.1)</f>
        <v>2022.1</v>
      </c>
      <c r="L570" s="298"/>
      <c r="M570" s="223"/>
      <c r="N570" s="223"/>
      <c r="O570" s="223"/>
      <c r="P570" s="223"/>
      <c r="Q570" s="223"/>
      <c r="R570" s="223"/>
      <c r="S570" s="223"/>
      <c r="T570" s="223"/>
      <c r="U570" s="223"/>
      <c r="V570" s="223"/>
      <c r="W570" s="223"/>
      <c r="X570" s="223"/>
      <c r="Y570" s="223"/>
      <c r="Z570" s="223"/>
    </row>
    <row r="571">
      <c r="A571" s="223" t="str">
        <f>IFERROR(__xludf.DUMMYFUNCTION("""COMPUTED_VALUE"""),"FIKSE Wheels : Monthly Services")</f>
        <v>FIKSE Wheels : Monthly Services</v>
      </c>
      <c r="B571" s="223" t="str">
        <f>IFERROR(__xludf.DUMMYFUNCTION("""COMPUTED_VALUE"""),"FIKSE Wheels")</f>
        <v>FIKSE Wheels</v>
      </c>
      <c r="C571" s="223" t="str">
        <f>IFERROR(__xludf.DUMMYFUNCTION("""COMPUTED_VALUE"""),"Monthly Services")</f>
        <v>Monthly Services</v>
      </c>
      <c r="D571" s="316">
        <f>IFERROR(__xludf.DUMMYFUNCTION("""COMPUTED_VALUE"""),44849.0)</f>
        <v>44849</v>
      </c>
      <c r="E571" s="298">
        <f>IFERROR(__xludf.DUMMYFUNCTION("""COMPUTED_VALUE"""),500.0)</f>
        <v>500</v>
      </c>
      <c r="F571" s="298">
        <f>IFERROR(__xludf.DUMMYFUNCTION("""COMPUTED_VALUE"""),0.0)</f>
        <v>0</v>
      </c>
      <c r="G571" s="298">
        <f>IFERROR(__xludf.DUMMYFUNCTION("""COMPUTED_VALUE"""),0.0)</f>
        <v>0</v>
      </c>
      <c r="H571" s="223">
        <f>IFERROR(__xludf.DUMMYFUNCTION("""COMPUTED_VALUE"""),500.0)</f>
        <v>500</v>
      </c>
      <c r="I571" s="298"/>
      <c r="J571" s="223" t="str">
        <f>IFERROR(__xludf.DUMMYFUNCTION("""COMPUTED_VALUE"""),"Monthly")</f>
        <v>Monthly</v>
      </c>
      <c r="K571" s="317">
        <f>IFERROR(__xludf.DUMMYFUNCTION("""COMPUTED_VALUE"""),2022.1)</f>
        <v>2022.1</v>
      </c>
      <c r="L571" s="298"/>
      <c r="M571" s="223"/>
      <c r="N571" s="223"/>
      <c r="O571" s="223"/>
      <c r="P571" s="223"/>
      <c r="Q571" s="223"/>
      <c r="R571" s="223"/>
      <c r="S571" s="223"/>
      <c r="T571" s="223"/>
      <c r="U571" s="223"/>
      <c r="V571" s="223"/>
      <c r="W571" s="223"/>
      <c r="X571" s="223"/>
      <c r="Y571" s="223"/>
      <c r="Z571" s="223"/>
    </row>
    <row r="572">
      <c r="A572" s="223" t="str">
        <f>IFERROR(__xludf.DUMMYFUNCTION("""COMPUTED_VALUE"""),"Canyon's Construction : Enhanced Hosting &amp; WordPress Support")</f>
        <v>Canyon's Construction : Enhanced Hosting &amp; WordPress Support</v>
      </c>
      <c r="B572" s="223" t="str">
        <f>IFERROR(__xludf.DUMMYFUNCTION("""COMPUTED_VALUE"""),"Canyon's Construction")</f>
        <v>Canyon's Construction</v>
      </c>
      <c r="C572" s="223" t="str">
        <f>IFERROR(__xludf.DUMMYFUNCTION("""COMPUTED_VALUE"""),"Enhanced Hosting &amp; WordPress Support")</f>
        <v>Enhanced Hosting &amp; WordPress Support</v>
      </c>
      <c r="D572" s="316">
        <f>IFERROR(__xludf.DUMMYFUNCTION("""COMPUTED_VALUE"""),44849.0)</f>
        <v>44849</v>
      </c>
      <c r="E572" s="298">
        <f>IFERROR(__xludf.DUMMYFUNCTION("""COMPUTED_VALUE"""),364.16128)</f>
        <v>364.16128</v>
      </c>
      <c r="F572" s="298">
        <f>IFERROR(__xludf.DUMMYFUNCTION("""COMPUTED_VALUE"""),13.669053759999999)</f>
        <v>13.66905376</v>
      </c>
      <c r="G572" s="298">
        <f>IFERROR(__xludf.DUMMYFUNCTION("""COMPUTED_VALUE"""),70.098445248)</f>
        <v>70.09844525</v>
      </c>
      <c r="H572" s="223">
        <f>IFERROR(__xludf.DUMMYFUNCTION("""COMPUTED_VALUE"""),280.39378099199996)</f>
        <v>280.393781</v>
      </c>
      <c r="I572" s="298"/>
      <c r="J572" s="223" t="str">
        <f>IFERROR(__xludf.DUMMYFUNCTION("""COMPUTED_VALUE"""),"Monthly")</f>
        <v>Monthly</v>
      </c>
      <c r="K572" s="317">
        <f>IFERROR(__xludf.DUMMYFUNCTION("""COMPUTED_VALUE"""),2022.1)</f>
        <v>2022.1</v>
      </c>
      <c r="L572" s="298"/>
      <c r="M572" s="223"/>
      <c r="N572" s="223"/>
      <c r="O572" s="223"/>
      <c r="P572" s="223"/>
      <c r="Q572" s="223"/>
      <c r="R572" s="223"/>
      <c r="S572" s="223"/>
      <c r="T572" s="223"/>
      <c r="U572" s="223"/>
      <c r="V572" s="223"/>
      <c r="W572" s="223"/>
      <c r="X572" s="223"/>
      <c r="Y572" s="223"/>
      <c r="Z572" s="223"/>
    </row>
    <row r="573">
      <c r="A573" s="223" t="str">
        <f>IFERROR(__xludf.DUMMYFUNCTION("""COMPUTED_VALUE"""),"Moloco : Monthly PPC")</f>
        <v>Moloco : Monthly PPC</v>
      </c>
      <c r="B573" s="223" t="str">
        <f>IFERROR(__xludf.DUMMYFUNCTION("""COMPUTED_VALUE"""),"Moloco")</f>
        <v>Moloco</v>
      </c>
      <c r="C573" s="223" t="str">
        <f>IFERROR(__xludf.DUMMYFUNCTION("""COMPUTED_VALUE"""),"Monthly PPC")</f>
        <v>Monthly PPC</v>
      </c>
      <c r="D573" s="316">
        <f>IFERROR(__xludf.DUMMYFUNCTION("""COMPUTED_VALUE"""),44849.0)</f>
        <v>44849</v>
      </c>
      <c r="E573" s="298">
        <f>IFERROR(__xludf.DUMMYFUNCTION("""COMPUTED_VALUE"""),773.9436)</f>
        <v>773.9436</v>
      </c>
      <c r="F573" s="298">
        <f>IFERROR(__xludf.DUMMYFUNCTION("""COMPUTED_VALUE"""),29.022885)</f>
        <v>29.022885</v>
      </c>
      <c r="G573" s="298">
        <f>IFERROR(__xludf.DUMMYFUNCTION("""COMPUTED_VALUE"""),0.0)</f>
        <v>0</v>
      </c>
      <c r="H573" s="223">
        <f>IFERROR(__xludf.DUMMYFUNCTION("""COMPUTED_VALUE"""),744.920715)</f>
        <v>744.920715</v>
      </c>
      <c r="I573" s="298"/>
      <c r="J573" s="223" t="str">
        <f>IFERROR(__xludf.DUMMYFUNCTION("""COMPUTED_VALUE"""),"Monthly")</f>
        <v>Monthly</v>
      </c>
      <c r="K573" s="317">
        <f>IFERROR(__xludf.DUMMYFUNCTION("""COMPUTED_VALUE"""),2022.1)</f>
        <v>2022.1</v>
      </c>
      <c r="L573" s="298"/>
      <c r="M573" s="223"/>
      <c r="N573" s="223"/>
      <c r="O573" s="223"/>
      <c r="P573" s="223"/>
      <c r="Q573" s="223"/>
      <c r="R573" s="223"/>
      <c r="S573" s="223"/>
      <c r="T573" s="223"/>
      <c r="U573" s="223"/>
      <c r="V573" s="223"/>
      <c r="W573" s="223"/>
      <c r="X573" s="223"/>
      <c r="Y573" s="223"/>
      <c r="Z573" s="223"/>
    </row>
    <row r="574">
      <c r="A574" s="223" t="str">
        <f>IFERROR(__xludf.DUMMYFUNCTION("""COMPUTED_VALUE"""),"Anavara : Enhanced Hosting &amp; WordPress Support")</f>
        <v>Anavara : Enhanced Hosting &amp; WordPress Support</v>
      </c>
      <c r="B574" s="223" t="str">
        <f>IFERROR(__xludf.DUMMYFUNCTION("""COMPUTED_VALUE"""),"Anavara")</f>
        <v>Anavara</v>
      </c>
      <c r="C574" s="223" t="str">
        <f>IFERROR(__xludf.DUMMYFUNCTION("""COMPUTED_VALUE"""),"Enhanced Hosting &amp; WordPress Support")</f>
        <v>Enhanced Hosting &amp; WordPress Support</v>
      </c>
      <c r="D574" s="316">
        <f>IFERROR(__xludf.DUMMYFUNCTION("""COMPUTED_VALUE"""),44849.0)</f>
        <v>44849</v>
      </c>
      <c r="E574" s="298">
        <f>IFERROR(__xludf.DUMMYFUNCTION("""COMPUTED_VALUE"""),280.0)</f>
        <v>280</v>
      </c>
      <c r="F574" s="298">
        <f>IFERROR(__xludf.DUMMYFUNCTION("""COMPUTED_VALUE"""),8.71)</f>
        <v>8.71</v>
      </c>
      <c r="G574" s="298">
        <f>IFERROR(__xludf.DUMMYFUNCTION("""COMPUTED_VALUE"""),0.0)</f>
        <v>0</v>
      </c>
      <c r="H574" s="223">
        <f>IFERROR(__xludf.DUMMYFUNCTION("""COMPUTED_VALUE"""),271.29)</f>
        <v>271.29</v>
      </c>
      <c r="I574" s="298"/>
      <c r="J574" s="223" t="str">
        <f>IFERROR(__xludf.DUMMYFUNCTION("""COMPUTED_VALUE"""),"Monthly")</f>
        <v>Monthly</v>
      </c>
      <c r="K574" s="317">
        <f>IFERROR(__xludf.DUMMYFUNCTION("""COMPUTED_VALUE"""),2022.1)</f>
        <v>2022.1</v>
      </c>
      <c r="L574" s="298"/>
      <c r="M574" s="223"/>
      <c r="N574" s="223"/>
      <c r="O574" s="223"/>
      <c r="P574" s="223"/>
      <c r="Q574" s="223"/>
      <c r="R574" s="223"/>
      <c r="S574" s="223"/>
      <c r="T574" s="223"/>
      <c r="U574" s="223"/>
      <c r="V574" s="223"/>
      <c r="W574" s="223"/>
      <c r="X574" s="223"/>
      <c r="Y574" s="223"/>
      <c r="Z574" s="223"/>
    </row>
    <row r="575">
      <c r="A575" s="223" t="str">
        <f>IFERROR(__xludf.DUMMYFUNCTION("""COMPUTED_VALUE"""),"YogiTunes : 3 Month Ads Engagement")</f>
        <v>YogiTunes : 3 Month Ads Engagement</v>
      </c>
      <c r="B575" s="223" t="str">
        <f>IFERROR(__xludf.DUMMYFUNCTION("""COMPUTED_VALUE"""),"YogiTunes")</f>
        <v>YogiTunes</v>
      </c>
      <c r="C575" s="223" t="str">
        <f>IFERROR(__xludf.DUMMYFUNCTION("""COMPUTED_VALUE"""),"3 Month Ads Engagement")</f>
        <v>3 Month Ads Engagement</v>
      </c>
      <c r="D575" s="316">
        <f>IFERROR(__xludf.DUMMYFUNCTION("""COMPUTED_VALUE"""),44849.0)</f>
        <v>44849</v>
      </c>
      <c r="E575" s="298">
        <f>IFERROR(__xludf.DUMMYFUNCTION("""COMPUTED_VALUE"""),1233.33)</f>
        <v>1233.33</v>
      </c>
      <c r="F575" s="298">
        <f>IFERROR(__xludf.DUMMYFUNCTION("""COMPUTED_VALUE"""),38.37)</f>
        <v>38.37</v>
      </c>
      <c r="G575" s="298">
        <f>IFERROR(__xludf.DUMMYFUNCTION("""COMPUTED_VALUE"""),0.0)</f>
        <v>0</v>
      </c>
      <c r="H575" s="223">
        <f>IFERROR(__xludf.DUMMYFUNCTION("""COMPUTED_VALUE"""),1194.96)</f>
        <v>1194.96</v>
      </c>
      <c r="I575" s="298"/>
      <c r="J575" s="223" t="str">
        <f>IFERROR(__xludf.DUMMYFUNCTION("""COMPUTED_VALUE"""),"One time / 3 months")</f>
        <v>One time / 3 months</v>
      </c>
      <c r="K575" s="317">
        <f>IFERROR(__xludf.DUMMYFUNCTION("""COMPUTED_VALUE"""),2022.0)</f>
        <v>2022</v>
      </c>
      <c r="L575" s="298"/>
      <c r="M575" s="223"/>
      <c r="N575" s="223"/>
      <c r="O575" s="223"/>
      <c r="P575" s="223"/>
      <c r="Q575" s="223"/>
      <c r="R575" s="223"/>
      <c r="S575" s="223"/>
      <c r="T575" s="223"/>
      <c r="U575" s="223"/>
      <c r="V575" s="223"/>
      <c r="W575" s="223"/>
      <c r="X575" s="223"/>
      <c r="Y575" s="223"/>
      <c r="Z575" s="223"/>
    </row>
    <row r="576">
      <c r="A576" s="223" t="str">
        <f>IFERROR(__xludf.DUMMYFUNCTION("""COMPUTED_VALUE"""),"YogiTunes : 3 Month Ads Engagement")</f>
        <v>YogiTunes : 3 Month Ads Engagement</v>
      </c>
      <c r="B576" s="223" t="str">
        <f>IFERROR(__xludf.DUMMYFUNCTION("""COMPUTED_VALUE"""),"YogiTunes")</f>
        <v>YogiTunes</v>
      </c>
      <c r="C576" s="223" t="str">
        <f>IFERROR(__xludf.DUMMYFUNCTION("""COMPUTED_VALUE"""),"3 Month Ads Engagement")</f>
        <v>3 Month Ads Engagement</v>
      </c>
      <c r="D576" s="316">
        <f>IFERROR(__xludf.DUMMYFUNCTION("""COMPUTED_VALUE"""),44880.0)</f>
        <v>44880</v>
      </c>
      <c r="E576" s="298">
        <f>IFERROR(__xludf.DUMMYFUNCTION("""COMPUTED_VALUE"""),1233.33)</f>
        <v>1233.33</v>
      </c>
      <c r="F576" s="298">
        <f>IFERROR(__xludf.DUMMYFUNCTION("""COMPUTED_VALUE"""),38.37)</f>
        <v>38.37</v>
      </c>
      <c r="G576" s="298">
        <f>IFERROR(__xludf.DUMMYFUNCTION("""COMPUTED_VALUE"""),0.0)</f>
        <v>0</v>
      </c>
      <c r="H576" s="223">
        <f>IFERROR(__xludf.DUMMYFUNCTION("""COMPUTED_VALUE"""),1194.96)</f>
        <v>1194.96</v>
      </c>
      <c r="I576" s="298"/>
      <c r="J576" s="223" t="str">
        <f>IFERROR(__xludf.DUMMYFUNCTION("""COMPUTED_VALUE"""),"One time / 3 months")</f>
        <v>One time / 3 months</v>
      </c>
      <c r="K576" s="317">
        <f>IFERROR(__xludf.DUMMYFUNCTION("""COMPUTED_VALUE"""),2022.0)</f>
        <v>2022</v>
      </c>
      <c r="L576" s="298"/>
      <c r="M576" s="223"/>
      <c r="N576" s="223"/>
      <c r="O576" s="223"/>
      <c r="P576" s="223"/>
      <c r="Q576" s="223"/>
      <c r="R576" s="223"/>
      <c r="S576" s="223"/>
      <c r="T576" s="223"/>
      <c r="U576" s="223"/>
      <c r="V576" s="223"/>
      <c r="W576" s="223"/>
      <c r="X576" s="223"/>
      <c r="Y576" s="223"/>
      <c r="Z576" s="223"/>
    </row>
    <row r="577">
      <c r="A577" s="223" t="str">
        <f>IFERROR(__xludf.DUMMYFUNCTION("""COMPUTED_VALUE"""),"YogiTunes : 3 Month Ads Engagement")</f>
        <v>YogiTunes : 3 Month Ads Engagement</v>
      </c>
      <c r="B577" s="223" t="str">
        <f>IFERROR(__xludf.DUMMYFUNCTION("""COMPUTED_VALUE"""),"YogiTunes")</f>
        <v>YogiTunes</v>
      </c>
      <c r="C577" s="223" t="str">
        <f>IFERROR(__xludf.DUMMYFUNCTION("""COMPUTED_VALUE"""),"3 Month Ads Engagement")</f>
        <v>3 Month Ads Engagement</v>
      </c>
      <c r="D577" s="316">
        <f>IFERROR(__xludf.DUMMYFUNCTION("""COMPUTED_VALUE"""),44910.0)</f>
        <v>44910</v>
      </c>
      <c r="E577" s="298">
        <f>IFERROR(__xludf.DUMMYFUNCTION("""COMPUTED_VALUE"""),1233.34)</f>
        <v>1233.34</v>
      </c>
      <c r="F577" s="298"/>
      <c r="G577" s="298">
        <f>IFERROR(__xludf.DUMMYFUNCTION("""COMPUTED_VALUE"""),0.0)</f>
        <v>0</v>
      </c>
      <c r="H577" s="223">
        <f>IFERROR(__xludf.DUMMYFUNCTION("""COMPUTED_VALUE"""),1233.34)</f>
        <v>1233.34</v>
      </c>
      <c r="I577" s="298"/>
      <c r="J577" s="223" t="str">
        <f>IFERROR(__xludf.DUMMYFUNCTION("""COMPUTED_VALUE"""),"One time / 3 months")</f>
        <v>One time / 3 months</v>
      </c>
      <c r="K577" s="317">
        <f>IFERROR(__xludf.DUMMYFUNCTION("""COMPUTED_VALUE"""),2022.0)</f>
        <v>2022</v>
      </c>
      <c r="L577" s="298"/>
      <c r="M577" s="223"/>
      <c r="N577" s="223"/>
      <c r="O577" s="223"/>
      <c r="P577" s="223"/>
      <c r="Q577" s="223"/>
      <c r="R577" s="223"/>
      <c r="S577" s="223"/>
      <c r="T577" s="223"/>
      <c r="U577" s="223"/>
      <c r="V577" s="223"/>
      <c r="W577" s="223"/>
      <c r="X577" s="223"/>
      <c r="Y577" s="223"/>
      <c r="Z577" s="223"/>
    </row>
    <row r="578">
      <c r="A578" s="223" t="str">
        <f>IFERROR(__xludf.DUMMYFUNCTION("""COMPUTED_VALUE"""),"Classic LifeCare : First Month Ads Setup")</f>
        <v>Classic LifeCare : First Month Ads Setup</v>
      </c>
      <c r="B578" s="223" t="str">
        <f>IFERROR(__xludf.DUMMYFUNCTION("""COMPUTED_VALUE"""),"Classic LifeCare")</f>
        <v>Classic LifeCare</v>
      </c>
      <c r="C578" s="223" t="str">
        <f>IFERROR(__xludf.DUMMYFUNCTION("""COMPUTED_VALUE"""),"First Month Ads Setup")</f>
        <v>First Month Ads Setup</v>
      </c>
      <c r="D578" s="316">
        <f>IFERROR(__xludf.DUMMYFUNCTION("""COMPUTED_VALUE"""),44849.0)</f>
        <v>44849</v>
      </c>
      <c r="E578" s="298">
        <f>IFERROR(__xludf.DUMMYFUNCTION("""COMPUTED_VALUE"""),507.5)</f>
        <v>507.5</v>
      </c>
      <c r="F578" s="298">
        <f>IFERROR(__xludf.DUMMYFUNCTION("""COMPUTED_VALUE"""),0.0)</f>
        <v>0</v>
      </c>
      <c r="G578" s="298">
        <f>IFERROR(__xludf.DUMMYFUNCTION("""COMPUTED_VALUE"""),0.0)</f>
        <v>0</v>
      </c>
      <c r="H578" s="223">
        <f>IFERROR(__xludf.DUMMYFUNCTION("""COMPUTED_VALUE"""),507.5)</f>
        <v>507.5</v>
      </c>
      <c r="I578" s="298"/>
      <c r="J578" s="223" t="str">
        <f>IFERROR(__xludf.DUMMYFUNCTION("""COMPUTED_VALUE"""),"One-Time Prepaid")</f>
        <v>One-Time Prepaid</v>
      </c>
      <c r="K578" s="317">
        <f>IFERROR(__xludf.DUMMYFUNCTION("""COMPUTED_VALUE"""),2022.0)</f>
        <v>2022</v>
      </c>
      <c r="L578" s="298"/>
      <c r="M578" s="223"/>
      <c r="N578" s="223"/>
      <c r="O578" s="223"/>
      <c r="P578" s="223"/>
      <c r="Q578" s="223"/>
      <c r="R578" s="223"/>
      <c r="S578" s="223"/>
      <c r="T578" s="223"/>
      <c r="U578" s="223"/>
      <c r="V578" s="223"/>
      <c r="W578" s="223"/>
      <c r="X578" s="223"/>
      <c r="Y578" s="223"/>
      <c r="Z578" s="223"/>
    </row>
    <row r="579">
      <c r="A579" s="223" t="str">
        <f>IFERROR(__xludf.DUMMYFUNCTION("""COMPUTED_VALUE"""),"Classic LifeCare : First Month Ads Setup")</f>
        <v>Classic LifeCare : First Month Ads Setup</v>
      </c>
      <c r="B579" s="223" t="str">
        <f>IFERROR(__xludf.DUMMYFUNCTION("""COMPUTED_VALUE"""),"Classic LifeCare")</f>
        <v>Classic LifeCare</v>
      </c>
      <c r="C579" s="223" t="str">
        <f>IFERROR(__xludf.DUMMYFUNCTION("""COMPUTED_VALUE"""),"First Month Ads Setup")</f>
        <v>First Month Ads Setup</v>
      </c>
      <c r="D579" s="316">
        <f>IFERROR(__xludf.DUMMYFUNCTION("""COMPUTED_VALUE"""),44895.0)</f>
        <v>44895</v>
      </c>
      <c r="E579" s="298">
        <f>IFERROR(__xludf.DUMMYFUNCTION("""COMPUTED_VALUE"""),767.5)</f>
        <v>767.5</v>
      </c>
      <c r="F579" s="298">
        <f>IFERROR(__xludf.DUMMYFUNCTION("""COMPUTED_VALUE"""),23.88)</f>
        <v>23.88</v>
      </c>
      <c r="G579" s="298">
        <f>IFERROR(__xludf.DUMMYFUNCTION("""COMPUTED_VALUE"""),0.0)</f>
        <v>0</v>
      </c>
      <c r="H579" s="223">
        <f>IFERROR(__xludf.DUMMYFUNCTION("""COMPUTED_VALUE"""),743.62)</f>
        <v>743.62</v>
      </c>
      <c r="I579" s="298"/>
      <c r="J579" s="223" t="str">
        <f>IFERROR(__xludf.DUMMYFUNCTION("""COMPUTED_VALUE"""),"One-Time Prepaid")</f>
        <v>One-Time Prepaid</v>
      </c>
      <c r="K579" s="317">
        <f>IFERROR(__xludf.DUMMYFUNCTION("""COMPUTED_VALUE"""),2022.0)</f>
        <v>2022</v>
      </c>
      <c r="L579" s="298"/>
      <c r="M579" s="223"/>
      <c r="N579" s="223"/>
      <c r="O579" s="223"/>
      <c r="P579" s="223"/>
      <c r="Q579" s="223"/>
      <c r="R579" s="223"/>
      <c r="S579" s="223"/>
      <c r="T579" s="223"/>
      <c r="U579" s="223"/>
      <c r="V579" s="223"/>
      <c r="W579" s="223"/>
      <c r="X579" s="223"/>
      <c r="Y579" s="223"/>
      <c r="Z579" s="223"/>
    </row>
    <row r="580">
      <c r="A580" s="223" t="str">
        <f>IFERROR(__xludf.DUMMYFUNCTION("""COMPUTED_VALUE"""),"Ultimate Tools : Monthly SEO &amp; PPC Management")</f>
        <v>Ultimate Tools : Monthly SEO &amp; PPC Management</v>
      </c>
      <c r="B580" s="223" t="str">
        <f>IFERROR(__xludf.DUMMYFUNCTION("""COMPUTED_VALUE"""),"Ultimate Tools")</f>
        <v>Ultimate Tools</v>
      </c>
      <c r="C580" s="223" t="str">
        <f>IFERROR(__xludf.DUMMYFUNCTION("""COMPUTED_VALUE"""),"Monthly SEO &amp; PPC Management")</f>
        <v>Monthly SEO &amp; PPC Management</v>
      </c>
      <c r="D580" s="316">
        <f>IFERROR(__xludf.DUMMYFUNCTION("""COMPUTED_VALUE"""),44849.0)</f>
        <v>44849</v>
      </c>
      <c r="E580" s="298">
        <f>IFERROR(__xludf.DUMMYFUNCTION("""COMPUTED_VALUE"""),1250.0)</f>
        <v>1250</v>
      </c>
      <c r="F580" s="298">
        <f>IFERROR(__xludf.DUMMYFUNCTION("""COMPUTED_VALUE"""),38.89)</f>
        <v>38.89</v>
      </c>
      <c r="G580" s="298">
        <f>IFERROR(__xludf.DUMMYFUNCTION("""COMPUTED_VALUE"""),0.0)</f>
        <v>0</v>
      </c>
      <c r="H580" s="223">
        <f>IFERROR(__xludf.DUMMYFUNCTION("""COMPUTED_VALUE"""),1211.11)</f>
        <v>1211.11</v>
      </c>
      <c r="I580" s="298"/>
      <c r="J580" s="223" t="str">
        <f>IFERROR(__xludf.DUMMYFUNCTION("""COMPUTED_VALUE"""),"One-Time Prepaid")</f>
        <v>One-Time Prepaid</v>
      </c>
      <c r="K580" s="317">
        <f>IFERROR(__xludf.DUMMYFUNCTION("""COMPUTED_VALUE"""),2022.1)</f>
        <v>2022.1</v>
      </c>
      <c r="L580" s="298"/>
      <c r="M580" s="223"/>
      <c r="N580" s="223"/>
      <c r="O580" s="223"/>
      <c r="P580" s="223"/>
      <c r="Q580" s="223"/>
      <c r="R580" s="223"/>
      <c r="S580" s="223"/>
      <c r="T580" s="223"/>
      <c r="U580" s="223"/>
      <c r="V580" s="223"/>
      <c r="W580" s="223"/>
      <c r="X580" s="223"/>
      <c r="Y580" s="223"/>
      <c r="Z580" s="223"/>
    </row>
    <row r="581">
      <c r="A581" s="223" t="str">
        <f>IFERROR(__xludf.DUMMYFUNCTION("""COMPUTED_VALUE"""),"Ultimate Tools : Monthly SEO &amp; PPC Management")</f>
        <v>Ultimate Tools : Monthly SEO &amp; PPC Management</v>
      </c>
      <c r="B581" s="223" t="str">
        <f>IFERROR(__xludf.DUMMYFUNCTION("""COMPUTED_VALUE"""),"Ultimate Tools")</f>
        <v>Ultimate Tools</v>
      </c>
      <c r="C581" s="223" t="str">
        <f>IFERROR(__xludf.DUMMYFUNCTION("""COMPUTED_VALUE"""),"Monthly SEO &amp; PPC Management")</f>
        <v>Monthly SEO &amp; PPC Management</v>
      </c>
      <c r="D581" s="316">
        <f>IFERROR(__xludf.DUMMYFUNCTION("""COMPUTED_VALUE"""),44895.0)</f>
        <v>44895</v>
      </c>
      <c r="E581" s="298">
        <f>IFERROR(__xludf.DUMMYFUNCTION("""COMPUTED_VALUE"""),1250.0)</f>
        <v>1250</v>
      </c>
      <c r="F581" s="298">
        <f>IFERROR(__xludf.DUMMYFUNCTION("""COMPUTED_VALUE"""),38.89)</f>
        <v>38.89</v>
      </c>
      <c r="G581" s="298">
        <f>IFERROR(__xludf.DUMMYFUNCTION("""COMPUTED_VALUE"""),0.0)</f>
        <v>0</v>
      </c>
      <c r="H581" s="223">
        <f>IFERROR(__xludf.DUMMYFUNCTION("""COMPUTED_VALUE"""),1211.11)</f>
        <v>1211.11</v>
      </c>
      <c r="I581" s="298"/>
      <c r="J581" s="223" t="str">
        <f>IFERROR(__xludf.DUMMYFUNCTION("""COMPUTED_VALUE"""),"One-Time Prepaid")</f>
        <v>One-Time Prepaid</v>
      </c>
      <c r="K581" s="317">
        <f>IFERROR(__xludf.DUMMYFUNCTION("""COMPUTED_VALUE"""),2022.11)</f>
        <v>2022.11</v>
      </c>
      <c r="L581" s="298"/>
      <c r="M581" s="223"/>
      <c r="N581" s="223"/>
      <c r="O581" s="223"/>
      <c r="P581" s="223"/>
      <c r="Q581" s="223"/>
      <c r="R581" s="223"/>
      <c r="S581" s="223"/>
      <c r="T581" s="223"/>
      <c r="U581" s="223"/>
      <c r="V581" s="223"/>
      <c r="W581" s="223"/>
      <c r="X581" s="223"/>
      <c r="Y581" s="223"/>
      <c r="Z581" s="223"/>
    </row>
    <row r="582">
      <c r="A582" s="223" t="str">
        <f>IFERROR(__xludf.DUMMYFUNCTION("""COMPUTED_VALUE"""),"Tugwell : Quarterly PPC Mgmt")</f>
        <v>Tugwell : Quarterly PPC Mgmt</v>
      </c>
      <c r="B582" s="223" t="str">
        <f>IFERROR(__xludf.DUMMYFUNCTION("""COMPUTED_VALUE"""),"Tugwell")</f>
        <v>Tugwell</v>
      </c>
      <c r="C582" s="223" t="str">
        <f>IFERROR(__xludf.DUMMYFUNCTION("""COMPUTED_VALUE"""),"Quarterly PPC Mgmt")</f>
        <v>Quarterly PPC Mgmt</v>
      </c>
      <c r="D582" s="316">
        <f>IFERROR(__xludf.DUMMYFUNCTION("""COMPUTED_VALUE"""),44865.0)</f>
        <v>44865</v>
      </c>
      <c r="E582" s="298">
        <f>IFERROR(__xludf.DUMMYFUNCTION("""COMPUTED_VALUE"""),400.0)</f>
        <v>400</v>
      </c>
      <c r="F582" s="298">
        <f>IFERROR(__xludf.DUMMYFUNCTION("""COMPUTED_VALUE"""),12.44)</f>
        <v>12.44</v>
      </c>
      <c r="G582" s="298">
        <f>IFERROR(__xludf.DUMMYFUNCTION("""COMPUTED_VALUE"""),0.0)</f>
        <v>0</v>
      </c>
      <c r="H582" s="223">
        <f>IFERROR(__xludf.DUMMYFUNCTION("""COMPUTED_VALUE"""),387.56)</f>
        <v>387.56</v>
      </c>
      <c r="I582" s="298"/>
      <c r="J582" s="223" t="str">
        <f>IFERROR(__xludf.DUMMYFUNCTION("""COMPUTED_VALUE"""),"Quarterly")</f>
        <v>Quarterly</v>
      </c>
      <c r="K582" s="317">
        <f>IFERROR(__xludf.DUMMYFUNCTION("""COMPUTED_VALUE"""),2022.0)</f>
        <v>2022</v>
      </c>
      <c r="L582" s="298"/>
      <c r="M582" s="223"/>
      <c r="N582" s="223"/>
      <c r="O582" s="223"/>
      <c r="P582" s="223"/>
      <c r="Q582" s="223"/>
      <c r="R582" s="223"/>
      <c r="S582" s="223"/>
      <c r="T582" s="223"/>
      <c r="U582" s="223"/>
      <c r="V582" s="223"/>
      <c r="W582" s="223"/>
      <c r="X582" s="223"/>
      <c r="Y582" s="223"/>
      <c r="Z582" s="223"/>
    </row>
    <row r="583">
      <c r="A583" s="223" t="str">
        <f>IFERROR(__xludf.DUMMYFUNCTION("""COMPUTED_VALUE"""),"Dinning Hunter : 5 Hour Support Block")</f>
        <v>Dinning Hunter : 5 Hour Support Block</v>
      </c>
      <c r="B583" s="223" t="str">
        <f>IFERROR(__xludf.DUMMYFUNCTION("""COMPUTED_VALUE"""),"Dinning Hunter")</f>
        <v>Dinning Hunter</v>
      </c>
      <c r="C583" s="223" t="str">
        <f>IFERROR(__xludf.DUMMYFUNCTION("""COMPUTED_VALUE"""),"5 Hour Support Block")</f>
        <v>5 Hour Support Block</v>
      </c>
      <c r="D583" s="316">
        <f>IFERROR(__xludf.DUMMYFUNCTION("""COMPUTED_VALUE"""),44861.0)</f>
        <v>44861</v>
      </c>
      <c r="E583" s="298">
        <f>IFERROR(__xludf.DUMMYFUNCTION("""COMPUTED_VALUE"""),599.0)</f>
        <v>599</v>
      </c>
      <c r="F583" s="298">
        <f>IFERROR(__xludf.DUMMYFUNCTION("""COMPUTED_VALUE"""),0.0)</f>
        <v>0</v>
      </c>
      <c r="G583" s="298">
        <f>IFERROR(__xludf.DUMMYFUNCTION("""COMPUTED_VALUE"""),0.0)</f>
        <v>0</v>
      </c>
      <c r="H583" s="223">
        <f>IFERROR(__xludf.DUMMYFUNCTION("""COMPUTED_VALUE"""),599.0)</f>
        <v>599</v>
      </c>
      <c r="I583" s="298"/>
      <c r="J583" s="223" t="str">
        <f>IFERROR(__xludf.DUMMYFUNCTION("""COMPUTED_VALUE"""),"One-Time")</f>
        <v>One-Time</v>
      </c>
      <c r="K583" s="317">
        <f>IFERROR(__xludf.DUMMYFUNCTION("""COMPUTED_VALUE"""),2022.0)</f>
        <v>2022</v>
      </c>
      <c r="L583" s="298"/>
      <c r="M583" s="223"/>
      <c r="N583" s="223"/>
      <c r="O583" s="223"/>
      <c r="P583" s="223"/>
      <c r="Q583" s="223"/>
      <c r="R583" s="223"/>
      <c r="S583" s="223"/>
      <c r="T583" s="223"/>
      <c r="U583" s="223"/>
      <c r="V583" s="223"/>
      <c r="W583" s="223"/>
      <c r="X583" s="223"/>
      <c r="Y583" s="223"/>
      <c r="Z583" s="223"/>
    </row>
    <row r="584">
      <c r="A584" s="223" t="str">
        <f>IFERROR(__xludf.DUMMYFUNCTION("""COMPUTED_VALUE"""),"Customer First Design : Markey Machinery")</f>
        <v>Customer First Design : Markey Machinery</v>
      </c>
      <c r="B584" s="223" t="str">
        <f>IFERROR(__xludf.DUMMYFUNCTION("""COMPUTED_VALUE"""),"Customer First Design")</f>
        <v>Customer First Design</v>
      </c>
      <c r="C584" s="223" t="str">
        <f>IFERROR(__xludf.DUMMYFUNCTION("""COMPUTED_VALUE"""),"Markey Machinery")</f>
        <v>Markey Machinery</v>
      </c>
      <c r="D584" s="316">
        <f>IFERROR(__xludf.DUMMYFUNCTION("""COMPUTED_VALUE"""),44861.0)</f>
        <v>44861</v>
      </c>
      <c r="E584" s="298">
        <f>IFERROR(__xludf.DUMMYFUNCTION("""COMPUTED_VALUE"""),8062.580005999999)</f>
        <v>8062.580006</v>
      </c>
      <c r="F584" s="298">
        <f>IFERROR(__xludf.DUMMYFUNCTION("""COMPUTED_VALUE"""),246.00000599999998)</f>
        <v>246.000006</v>
      </c>
      <c r="G584" s="298">
        <f>IFERROR(__xludf.DUMMYFUNCTION("""COMPUTED_VALUE"""),1563.3159999999998)</f>
        <v>1563.316</v>
      </c>
      <c r="H584" s="223">
        <f>IFERROR(__xludf.DUMMYFUNCTION("""COMPUTED_VALUE"""),6253.263999999999)</f>
        <v>6253.264</v>
      </c>
      <c r="I584" s="298"/>
      <c r="J584" s="223" t="str">
        <f>IFERROR(__xludf.DUMMYFUNCTION("""COMPUTED_VALUE"""),"One-Time")</f>
        <v>One-Time</v>
      </c>
      <c r="K584" s="317">
        <f>IFERROR(__xludf.DUMMYFUNCTION("""COMPUTED_VALUE"""),2022.0)</f>
        <v>2022</v>
      </c>
      <c r="L584" s="298"/>
      <c r="M584" s="223"/>
      <c r="N584" s="223"/>
      <c r="O584" s="223"/>
      <c r="P584" s="223"/>
      <c r="Q584" s="223"/>
      <c r="R584" s="223"/>
      <c r="S584" s="223"/>
      <c r="T584" s="223"/>
      <c r="U584" s="223"/>
      <c r="V584" s="223"/>
      <c r="W584" s="223"/>
      <c r="X584" s="223"/>
      <c r="Y584" s="223"/>
      <c r="Z584" s="223"/>
    </row>
    <row r="585">
      <c r="A585" s="223" t="str">
        <f>IFERROR(__xludf.DUMMYFUNCTION("""COMPUTED_VALUE"""),"Anook Athletics : Monthly Services")</f>
        <v>Anook Athletics : Monthly Services</v>
      </c>
      <c r="B585" s="223" t="str">
        <f>IFERROR(__xludf.DUMMYFUNCTION("""COMPUTED_VALUE"""),"Anook Athletics")</f>
        <v>Anook Athletics</v>
      </c>
      <c r="C585" s="223" t="str">
        <f>IFERROR(__xludf.DUMMYFUNCTION("""COMPUTED_VALUE"""),"Monthly Services")</f>
        <v>Monthly Services</v>
      </c>
      <c r="D585" s="316">
        <f>IFERROR(__xludf.DUMMYFUNCTION("""COMPUTED_VALUE"""),44865.0)</f>
        <v>44865</v>
      </c>
      <c r="E585" s="298">
        <f>IFERROR(__xludf.DUMMYFUNCTION("""COMPUTED_VALUE"""),800.0)</f>
        <v>800</v>
      </c>
      <c r="F585" s="298">
        <f>IFERROR(__xludf.DUMMYFUNCTION("""COMPUTED_VALUE"""),24.89)</f>
        <v>24.89</v>
      </c>
      <c r="G585" s="298">
        <f>IFERROR(__xludf.DUMMYFUNCTION("""COMPUTED_VALUE"""),0.0)</f>
        <v>0</v>
      </c>
      <c r="H585" s="223">
        <f>IFERROR(__xludf.DUMMYFUNCTION("""COMPUTED_VALUE"""),775.11)</f>
        <v>775.11</v>
      </c>
      <c r="I585" s="298"/>
      <c r="J585" s="223" t="str">
        <f>IFERROR(__xludf.DUMMYFUNCTION("""COMPUTED_VALUE"""),"Monthly")</f>
        <v>Monthly</v>
      </c>
      <c r="K585" s="317">
        <f>IFERROR(__xludf.DUMMYFUNCTION("""COMPUTED_VALUE"""),2022.1)</f>
        <v>2022.1</v>
      </c>
      <c r="L585" s="298"/>
      <c r="M585" s="223"/>
      <c r="N585" s="223"/>
      <c r="O585" s="223"/>
      <c r="P585" s="223"/>
      <c r="Q585" s="223"/>
      <c r="R585" s="223"/>
      <c r="S585" s="223"/>
      <c r="T585" s="223"/>
      <c r="U585" s="223"/>
      <c r="V585" s="223"/>
      <c r="W585" s="223"/>
      <c r="X585" s="223"/>
      <c r="Y585" s="223"/>
      <c r="Z585" s="223"/>
    </row>
    <row r="586">
      <c r="A586" s="223" t="str">
        <f>IFERROR(__xludf.DUMMYFUNCTION("""COMPUTED_VALUE"""),"Availed Technologies : Monthly Services")</f>
        <v>Availed Technologies : Monthly Services</v>
      </c>
      <c r="B586" s="223" t="str">
        <f>IFERROR(__xludf.DUMMYFUNCTION("""COMPUTED_VALUE"""),"Availed Technologies")</f>
        <v>Availed Technologies</v>
      </c>
      <c r="C586" s="223" t="str">
        <f>IFERROR(__xludf.DUMMYFUNCTION("""COMPUTED_VALUE"""),"Monthly Services")</f>
        <v>Monthly Services</v>
      </c>
      <c r="D586" s="316">
        <f>IFERROR(__xludf.DUMMYFUNCTION("""COMPUTED_VALUE"""),44865.0)</f>
        <v>44865</v>
      </c>
      <c r="E586" s="298">
        <f>IFERROR(__xludf.DUMMYFUNCTION("""COMPUTED_VALUE"""),750.0)</f>
        <v>750</v>
      </c>
      <c r="F586" s="298">
        <f>IFERROR(__xludf.DUMMYFUNCTION("""COMPUTED_VALUE"""),23.33)</f>
        <v>23.33</v>
      </c>
      <c r="G586" s="298">
        <f>IFERROR(__xludf.DUMMYFUNCTION("""COMPUTED_VALUE"""),0.0)</f>
        <v>0</v>
      </c>
      <c r="H586" s="223">
        <f>IFERROR(__xludf.DUMMYFUNCTION("""COMPUTED_VALUE"""),726.67)</f>
        <v>726.67</v>
      </c>
      <c r="I586" s="298"/>
      <c r="J586" s="223" t="str">
        <f>IFERROR(__xludf.DUMMYFUNCTION("""COMPUTED_VALUE"""),"Monthly")</f>
        <v>Monthly</v>
      </c>
      <c r="K586" s="317">
        <f>IFERROR(__xludf.DUMMYFUNCTION("""COMPUTED_VALUE"""),2022.1)</f>
        <v>2022.1</v>
      </c>
      <c r="L586" s="298"/>
      <c r="M586" s="223"/>
      <c r="N586" s="223"/>
      <c r="O586" s="223"/>
      <c r="P586" s="223"/>
      <c r="Q586" s="223"/>
      <c r="R586" s="223"/>
      <c r="S586" s="223"/>
      <c r="T586" s="223"/>
      <c r="U586" s="223"/>
      <c r="V586" s="223"/>
      <c r="W586" s="223"/>
      <c r="X586" s="223"/>
      <c r="Y586" s="223"/>
      <c r="Z586" s="223"/>
    </row>
    <row r="587">
      <c r="A587" s="223" t="str">
        <f>IFERROR(__xludf.DUMMYFUNCTION("""COMPUTED_VALUE"""),"Bratopia : Monthly Services")</f>
        <v>Bratopia : Monthly Services</v>
      </c>
      <c r="B587" s="223" t="str">
        <f>IFERROR(__xludf.DUMMYFUNCTION("""COMPUTED_VALUE"""),"Bratopia")</f>
        <v>Bratopia</v>
      </c>
      <c r="C587" s="223" t="str">
        <f>IFERROR(__xludf.DUMMYFUNCTION("""COMPUTED_VALUE"""),"Monthly Services")</f>
        <v>Monthly Services</v>
      </c>
      <c r="D587" s="316">
        <f>IFERROR(__xludf.DUMMYFUNCTION("""COMPUTED_VALUE"""),44865.0)</f>
        <v>44865</v>
      </c>
      <c r="E587" s="298">
        <f>IFERROR(__xludf.DUMMYFUNCTION("""COMPUTED_VALUE"""),1550.0)</f>
        <v>1550</v>
      </c>
      <c r="F587" s="298">
        <f>IFERROR(__xludf.DUMMYFUNCTION("""COMPUTED_VALUE"""),48.22)</f>
        <v>48.22</v>
      </c>
      <c r="G587" s="298">
        <f>IFERROR(__xludf.DUMMYFUNCTION("""COMPUTED_VALUE"""),0.0)</f>
        <v>0</v>
      </c>
      <c r="H587" s="223">
        <f>IFERROR(__xludf.DUMMYFUNCTION("""COMPUTED_VALUE"""),1501.78)</f>
        <v>1501.78</v>
      </c>
      <c r="I587" s="298"/>
      <c r="J587" s="223" t="str">
        <f>IFERROR(__xludf.DUMMYFUNCTION("""COMPUTED_VALUE"""),"Monthly")</f>
        <v>Monthly</v>
      </c>
      <c r="K587" s="317">
        <f>IFERROR(__xludf.DUMMYFUNCTION("""COMPUTED_VALUE"""),2022.1)</f>
        <v>2022.1</v>
      </c>
      <c r="L587" s="298"/>
      <c r="M587" s="223"/>
      <c r="N587" s="223"/>
      <c r="O587" s="223"/>
      <c r="P587" s="223"/>
      <c r="Q587" s="223"/>
      <c r="R587" s="223"/>
      <c r="S587" s="223"/>
      <c r="T587" s="223"/>
      <c r="U587" s="223"/>
      <c r="V587" s="223"/>
      <c r="W587" s="223"/>
      <c r="X587" s="223"/>
      <c r="Y587" s="223"/>
      <c r="Z587" s="223"/>
    </row>
    <row r="588">
      <c r="A588" s="223" t="str">
        <f>IFERROR(__xludf.DUMMYFUNCTION("""COMPUTED_VALUE"""),"Diversified Health : Monthly Services")</f>
        <v>Diversified Health : Monthly Services</v>
      </c>
      <c r="B588" s="223" t="str">
        <f>IFERROR(__xludf.DUMMYFUNCTION("""COMPUTED_VALUE"""),"Diversified Health")</f>
        <v>Diversified Health</v>
      </c>
      <c r="C588" s="223" t="str">
        <f>IFERROR(__xludf.DUMMYFUNCTION("""COMPUTED_VALUE"""),"Monthly Services")</f>
        <v>Monthly Services</v>
      </c>
      <c r="D588" s="316">
        <f>IFERROR(__xludf.DUMMYFUNCTION("""COMPUTED_VALUE"""),44865.0)</f>
        <v>44865</v>
      </c>
      <c r="E588" s="298">
        <f>IFERROR(__xludf.DUMMYFUNCTION("""COMPUTED_VALUE"""),1000.0)</f>
        <v>1000</v>
      </c>
      <c r="F588" s="298">
        <f>IFERROR(__xludf.DUMMYFUNCTION("""COMPUTED_VALUE"""),0.0)</f>
        <v>0</v>
      </c>
      <c r="G588" s="298">
        <f>IFERROR(__xludf.DUMMYFUNCTION("""COMPUTED_VALUE"""),0.0)</f>
        <v>0</v>
      </c>
      <c r="H588" s="223">
        <f>IFERROR(__xludf.DUMMYFUNCTION("""COMPUTED_VALUE"""),1000.0)</f>
        <v>1000</v>
      </c>
      <c r="I588" s="298"/>
      <c r="J588" s="223" t="str">
        <f>IFERROR(__xludf.DUMMYFUNCTION("""COMPUTED_VALUE"""),"Monthly")</f>
        <v>Monthly</v>
      </c>
      <c r="K588" s="317">
        <f>IFERROR(__xludf.DUMMYFUNCTION("""COMPUTED_VALUE"""),2022.1)</f>
        <v>2022.1</v>
      </c>
      <c r="L588" s="298"/>
      <c r="M588" s="223"/>
      <c r="N588" s="223"/>
      <c r="O588" s="223"/>
      <c r="P588" s="223"/>
      <c r="Q588" s="223"/>
      <c r="R588" s="223"/>
      <c r="S588" s="223"/>
      <c r="T588" s="223"/>
      <c r="U588" s="223"/>
      <c r="V588" s="223"/>
      <c r="W588" s="223"/>
      <c r="X588" s="223"/>
      <c r="Y588" s="223"/>
      <c r="Z588" s="223"/>
    </row>
    <row r="589">
      <c r="A589" s="223" t="str">
        <f>IFERROR(__xludf.DUMMYFUNCTION("""COMPUTED_VALUE"""),"Hastings House : Monthly Services")</f>
        <v>Hastings House : Monthly Services</v>
      </c>
      <c r="B589" s="223" t="str">
        <f>IFERROR(__xludf.DUMMYFUNCTION("""COMPUTED_VALUE"""),"Hastings House")</f>
        <v>Hastings House</v>
      </c>
      <c r="C589" s="223" t="str">
        <f>IFERROR(__xludf.DUMMYFUNCTION("""COMPUTED_VALUE"""),"Monthly Services")</f>
        <v>Monthly Services</v>
      </c>
      <c r="D589" s="316">
        <f>IFERROR(__xludf.DUMMYFUNCTION("""COMPUTED_VALUE"""),44865.0)</f>
        <v>44865</v>
      </c>
      <c r="E589" s="298">
        <f>IFERROR(__xludf.DUMMYFUNCTION("""COMPUTED_VALUE"""),1500.0)</f>
        <v>1500</v>
      </c>
      <c r="F589" s="298">
        <f>IFERROR(__xludf.DUMMYFUNCTION("""COMPUTED_VALUE"""),46.67)</f>
        <v>46.67</v>
      </c>
      <c r="G589" s="298">
        <f>IFERROR(__xludf.DUMMYFUNCTION("""COMPUTED_VALUE"""),217.99949999999998)</f>
        <v>217.9995</v>
      </c>
      <c r="H589" s="223">
        <f>IFERROR(__xludf.DUMMYFUNCTION("""COMPUTED_VALUE"""),1235.3305)</f>
        <v>1235.3305</v>
      </c>
      <c r="I589" s="298"/>
      <c r="J589" s="223" t="str">
        <f>IFERROR(__xludf.DUMMYFUNCTION("""COMPUTED_VALUE"""),"Monthly")</f>
        <v>Monthly</v>
      </c>
      <c r="K589" s="317">
        <f>IFERROR(__xludf.DUMMYFUNCTION("""COMPUTED_VALUE"""),2022.1)</f>
        <v>2022.1</v>
      </c>
      <c r="L589" s="298"/>
      <c r="M589" s="223"/>
      <c r="N589" s="223"/>
      <c r="O589" s="223"/>
      <c r="P589" s="223"/>
      <c r="Q589" s="223"/>
      <c r="R589" s="223"/>
      <c r="S589" s="223"/>
      <c r="T589" s="223"/>
      <c r="U589" s="223"/>
      <c r="V589" s="223"/>
      <c r="W589" s="223"/>
      <c r="X589" s="223"/>
      <c r="Y589" s="223"/>
      <c r="Z589" s="223"/>
    </row>
    <row r="590">
      <c r="A590" s="223" t="str">
        <f>IFERROR(__xludf.DUMMYFUNCTION("""COMPUTED_VALUE"""),"HSJ Lawyers : Monthly Services")</f>
        <v>HSJ Lawyers : Monthly Services</v>
      </c>
      <c r="B590" s="223" t="str">
        <f>IFERROR(__xludf.DUMMYFUNCTION("""COMPUTED_VALUE"""),"HSJ Lawyers")</f>
        <v>HSJ Lawyers</v>
      </c>
      <c r="C590" s="223" t="str">
        <f>IFERROR(__xludf.DUMMYFUNCTION("""COMPUTED_VALUE"""),"Monthly Services")</f>
        <v>Monthly Services</v>
      </c>
      <c r="D590" s="316">
        <f>IFERROR(__xludf.DUMMYFUNCTION("""COMPUTED_VALUE"""),44865.0)</f>
        <v>44865</v>
      </c>
      <c r="E590" s="298">
        <f>IFERROR(__xludf.DUMMYFUNCTION("""COMPUTED_VALUE"""),800.0)</f>
        <v>800</v>
      </c>
      <c r="F590" s="298">
        <f>IFERROR(__xludf.DUMMYFUNCTION("""COMPUTED_VALUE"""),0.0)</f>
        <v>0</v>
      </c>
      <c r="G590" s="298">
        <f>IFERROR(__xludf.DUMMYFUNCTION("""COMPUTED_VALUE"""),0.0)</f>
        <v>0</v>
      </c>
      <c r="H590" s="223">
        <f>IFERROR(__xludf.DUMMYFUNCTION("""COMPUTED_VALUE"""),800.0)</f>
        <v>800</v>
      </c>
      <c r="I590" s="298"/>
      <c r="J590" s="223" t="str">
        <f>IFERROR(__xludf.DUMMYFUNCTION("""COMPUTED_VALUE"""),"Monthly")</f>
        <v>Monthly</v>
      </c>
      <c r="K590" s="317">
        <f>IFERROR(__xludf.DUMMYFUNCTION("""COMPUTED_VALUE"""),2022.1)</f>
        <v>2022.1</v>
      </c>
      <c r="L590" s="298"/>
      <c r="M590" s="223"/>
      <c r="N590" s="223"/>
      <c r="O590" s="223"/>
      <c r="P590" s="223"/>
      <c r="Q590" s="223"/>
      <c r="R590" s="223"/>
      <c r="S590" s="223"/>
      <c r="T590" s="223"/>
      <c r="U590" s="223"/>
      <c r="V590" s="223"/>
      <c r="W590" s="223"/>
      <c r="X590" s="223"/>
      <c r="Y590" s="223"/>
      <c r="Z590" s="223"/>
    </row>
    <row r="591">
      <c r="A591" s="223" t="str">
        <f>IFERROR(__xludf.DUMMYFUNCTION("""COMPUTED_VALUE"""),"MortgagePal : Monthly Services")</f>
        <v>MortgagePal : Monthly Services</v>
      </c>
      <c r="B591" s="223" t="str">
        <f>IFERROR(__xludf.DUMMYFUNCTION("""COMPUTED_VALUE"""),"MortgagePal")</f>
        <v>MortgagePal</v>
      </c>
      <c r="C591" s="223" t="str">
        <f>IFERROR(__xludf.DUMMYFUNCTION("""COMPUTED_VALUE"""),"Monthly Services")</f>
        <v>Monthly Services</v>
      </c>
      <c r="D591" s="316">
        <f>IFERROR(__xludf.DUMMYFUNCTION("""COMPUTED_VALUE"""),44865.0)</f>
        <v>44865</v>
      </c>
      <c r="E591" s="298">
        <f>IFERROR(__xludf.DUMMYFUNCTION("""COMPUTED_VALUE"""),500.0)</f>
        <v>500</v>
      </c>
      <c r="F591" s="298">
        <f>IFERROR(__xludf.DUMMYFUNCTION("""COMPUTED_VALUE"""),15.56)</f>
        <v>15.56</v>
      </c>
      <c r="G591" s="298">
        <f>IFERROR(__xludf.DUMMYFUNCTION("""COMPUTED_VALUE"""),0.0)</f>
        <v>0</v>
      </c>
      <c r="H591" s="223">
        <f>IFERROR(__xludf.DUMMYFUNCTION("""COMPUTED_VALUE"""),484.44)</f>
        <v>484.44</v>
      </c>
      <c r="I591" s="298"/>
      <c r="J591" s="223" t="str">
        <f>IFERROR(__xludf.DUMMYFUNCTION("""COMPUTED_VALUE"""),"Monthly")</f>
        <v>Monthly</v>
      </c>
      <c r="K591" s="317">
        <f>IFERROR(__xludf.DUMMYFUNCTION("""COMPUTED_VALUE"""),2022.1)</f>
        <v>2022.1</v>
      </c>
      <c r="L591" s="298"/>
      <c r="M591" s="223"/>
      <c r="N591" s="223"/>
      <c r="O591" s="223"/>
      <c r="P591" s="223"/>
      <c r="Q591" s="223"/>
      <c r="R591" s="223"/>
      <c r="S591" s="223"/>
      <c r="T591" s="223"/>
      <c r="U591" s="223"/>
      <c r="V591" s="223"/>
      <c r="W591" s="223"/>
      <c r="X591" s="223"/>
      <c r="Y591" s="223"/>
      <c r="Z591" s="223"/>
    </row>
    <row r="592">
      <c r="A592" s="223" t="str">
        <f>IFERROR(__xludf.DUMMYFUNCTION("""COMPUTED_VALUE"""),"PMDI : Monthly Services")</f>
        <v>PMDI : Monthly Services</v>
      </c>
      <c r="B592" s="223" t="str">
        <f>IFERROR(__xludf.DUMMYFUNCTION("""COMPUTED_VALUE"""),"PMDI")</f>
        <v>PMDI</v>
      </c>
      <c r="C592" s="223" t="str">
        <f>IFERROR(__xludf.DUMMYFUNCTION("""COMPUTED_VALUE"""),"Monthly Services")</f>
        <v>Monthly Services</v>
      </c>
      <c r="D592" s="316">
        <f>IFERROR(__xludf.DUMMYFUNCTION("""COMPUTED_VALUE"""),44865.0)</f>
        <v>44865</v>
      </c>
      <c r="E592" s="298">
        <f>IFERROR(__xludf.DUMMYFUNCTION("""COMPUTED_VALUE"""),375.0)</f>
        <v>375</v>
      </c>
      <c r="F592" s="298">
        <f>IFERROR(__xludf.DUMMYFUNCTION("""COMPUTED_VALUE"""),0.0)</f>
        <v>0</v>
      </c>
      <c r="G592" s="298">
        <f>IFERROR(__xludf.DUMMYFUNCTION("""COMPUTED_VALUE"""),0.0)</f>
        <v>0</v>
      </c>
      <c r="H592" s="223">
        <f>IFERROR(__xludf.DUMMYFUNCTION("""COMPUTED_VALUE"""),375.0)</f>
        <v>375</v>
      </c>
      <c r="I592" s="298"/>
      <c r="J592" s="223" t="str">
        <f>IFERROR(__xludf.DUMMYFUNCTION("""COMPUTED_VALUE"""),"Monthly")</f>
        <v>Monthly</v>
      </c>
      <c r="K592" s="317">
        <f>IFERROR(__xludf.DUMMYFUNCTION("""COMPUTED_VALUE"""),2022.1)</f>
        <v>2022.1</v>
      </c>
      <c r="L592" s="298"/>
      <c r="M592" s="223"/>
      <c r="N592" s="223"/>
      <c r="O592" s="223"/>
      <c r="P592" s="223"/>
      <c r="Q592" s="223"/>
      <c r="R592" s="223"/>
      <c r="S592" s="223"/>
      <c r="T592" s="223"/>
      <c r="U592" s="223"/>
      <c r="V592" s="223"/>
      <c r="W592" s="223"/>
      <c r="X592" s="223"/>
      <c r="Y592" s="223"/>
      <c r="Z592" s="223"/>
    </row>
    <row r="593">
      <c r="A593" s="223" t="str">
        <f>IFERROR(__xludf.DUMMYFUNCTION("""COMPUTED_VALUE"""),"Rama Meditation Society : Premium Hosting + Support")</f>
        <v>Rama Meditation Society : Premium Hosting + Support</v>
      </c>
      <c r="B593" s="223" t="str">
        <f>IFERROR(__xludf.DUMMYFUNCTION("""COMPUTED_VALUE"""),"Rama Meditation Society")</f>
        <v>Rama Meditation Society</v>
      </c>
      <c r="C593" s="223" t="str">
        <f>IFERROR(__xludf.DUMMYFUNCTION("""COMPUTED_VALUE"""),"Premium Hosting + Support")</f>
        <v>Premium Hosting + Support</v>
      </c>
      <c r="D593" s="316">
        <f>IFERROR(__xludf.DUMMYFUNCTION("""COMPUTED_VALUE"""),44865.0)</f>
        <v>44865</v>
      </c>
      <c r="E593" s="298">
        <f>IFERROR(__xludf.DUMMYFUNCTION("""COMPUTED_VALUE"""),393.4902)</f>
        <v>393.4902</v>
      </c>
      <c r="F593" s="298">
        <f>IFERROR(__xludf.DUMMYFUNCTION("""COMPUTED_VALUE"""),14.9526276)</f>
        <v>14.9526276</v>
      </c>
      <c r="G593" s="298">
        <f>IFERROR(__xludf.DUMMYFUNCTION("""COMPUTED_VALUE"""),0.0)</f>
        <v>0</v>
      </c>
      <c r="H593" s="223">
        <f>IFERROR(__xludf.DUMMYFUNCTION("""COMPUTED_VALUE"""),378.53757240000004)</f>
        <v>378.5375724</v>
      </c>
      <c r="I593" s="298"/>
      <c r="J593" s="223" t="str">
        <f>IFERROR(__xludf.DUMMYFUNCTION("""COMPUTED_VALUE"""),"Monthly")</f>
        <v>Monthly</v>
      </c>
      <c r="K593" s="317">
        <f>IFERROR(__xludf.DUMMYFUNCTION("""COMPUTED_VALUE"""),2022.1)</f>
        <v>2022.1</v>
      </c>
      <c r="L593" s="298"/>
      <c r="M593" s="223"/>
      <c r="N593" s="223"/>
      <c r="O593" s="223"/>
      <c r="P593" s="223"/>
      <c r="Q593" s="223"/>
      <c r="R593" s="223"/>
      <c r="S593" s="223"/>
      <c r="T593" s="223"/>
      <c r="U593" s="223"/>
      <c r="V593" s="223"/>
      <c r="W593" s="223"/>
      <c r="X593" s="223"/>
      <c r="Y593" s="223"/>
      <c r="Z593" s="223"/>
    </row>
    <row r="594">
      <c r="A594" s="223" t="str">
        <f>IFERROR(__xludf.DUMMYFUNCTION("""COMPUTED_VALUE"""),"Red Seal : Monthly Services")</f>
        <v>Red Seal : Monthly Services</v>
      </c>
      <c r="B594" s="223" t="str">
        <f>IFERROR(__xludf.DUMMYFUNCTION("""COMPUTED_VALUE"""),"Red Seal")</f>
        <v>Red Seal</v>
      </c>
      <c r="C594" s="223" t="str">
        <f>IFERROR(__xludf.DUMMYFUNCTION("""COMPUTED_VALUE"""),"Monthly Services")</f>
        <v>Monthly Services</v>
      </c>
      <c r="D594" s="316">
        <f>IFERROR(__xludf.DUMMYFUNCTION("""COMPUTED_VALUE"""),44865.0)</f>
        <v>44865</v>
      </c>
      <c r="E594" s="298">
        <f>IFERROR(__xludf.DUMMYFUNCTION("""COMPUTED_VALUE"""),1150.0)</f>
        <v>1150</v>
      </c>
      <c r="F594" s="298">
        <f>IFERROR(__xludf.DUMMYFUNCTION("""COMPUTED_VALUE"""),0.0)</f>
        <v>0</v>
      </c>
      <c r="G594" s="298">
        <f>IFERROR(__xludf.DUMMYFUNCTION("""COMPUTED_VALUE"""),0.0)</f>
        <v>0</v>
      </c>
      <c r="H594" s="223">
        <f>IFERROR(__xludf.DUMMYFUNCTION("""COMPUTED_VALUE"""),1150.0)</f>
        <v>1150</v>
      </c>
      <c r="I594" s="298"/>
      <c r="J594" s="223" t="str">
        <f>IFERROR(__xludf.DUMMYFUNCTION("""COMPUTED_VALUE"""),"Monthly")</f>
        <v>Monthly</v>
      </c>
      <c r="K594" s="317">
        <f>IFERROR(__xludf.DUMMYFUNCTION("""COMPUTED_VALUE"""),2022.1)</f>
        <v>2022.1</v>
      </c>
      <c r="L594" s="298"/>
      <c r="M594" s="223"/>
      <c r="N594" s="223"/>
      <c r="O594" s="223"/>
      <c r="P594" s="223"/>
      <c r="Q594" s="223"/>
      <c r="R594" s="223"/>
      <c r="S594" s="223"/>
      <c r="T594" s="223"/>
      <c r="U594" s="223"/>
      <c r="V594" s="223"/>
      <c r="W594" s="223"/>
      <c r="X594" s="223"/>
      <c r="Y594" s="223"/>
      <c r="Z594" s="223"/>
    </row>
    <row r="595">
      <c r="A595" s="223" t="str">
        <f>IFERROR(__xludf.DUMMYFUNCTION("""COMPUTED_VALUE"""),"Service First : Monthly Services")</f>
        <v>Service First : Monthly Services</v>
      </c>
      <c r="B595" s="223" t="str">
        <f>IFERROR(__xludf.DUMMYFUNCTION("""COMPUTED_VALUE"""),"Service First")</f>
        <v>Service First</v>
      </c>
      <c r="C595" s="223" t="str">
        <f>IFERROR(__xludf.DUMMYFUNCTION("""COMPUTED_VALUE"""),"Monthly Services")</f>
        <v>Monthly Services</v>
      </c>
      <c r="D595" s="316">
        <f>IFERROR(__xludf.DUMMYFUNCTION("""COMPUTED_VALUE"""),44865.0)</f>
        <v>44865</v>
      </c>
      <c r="E595" s="298">
        <f>IFERROR(__xludf.DUMMYFUNCTION("""COMPUTED_VALUE"""),300.0)</f>
        <v>300</v>
      </c>
      <c r="F595" s="298">
        <f>IFERROR(__xludf.DUMMYFUNCTION("""COMPUTED_VALUE"""),9.33)</f>
        <v>9.33</v>
      </c>
      <c r="G595" s="298">
        <f>IFERROR(__xludf.DUMMYFUNCTION("""COMPUTED_VALUE"""),0.0)</f>
        <v>0</v>
      </c>
      <c r="H595" s="223">
        <f>IFERROR(__xludf.DUMMYFUNCTION("""COMPUTED_VALUE"""),290.67)</f>
        <v>290.67</v>
      </c>
      <c r="I595" s="298"/>
      <c r="J595" s="223" t="str">
        <f>IFERROR(__xludf.DUMMYFUNCTION("""COMPUTED_VALUE"""),"Monthly")</f>
        <v>Monthly</v>
      </c>
      <c r="K595" s="317">
        <f>IFERROR(__xludf.DUMMYFUNCTION("""COMPUTED_VALUE"""),2022.1)</f>
        <v>2022.1</v>
      </c>
      <c r="L595" s="298"/>
      <c r="M595" s="223"/>
      <c r="N595" s="223"/>
      <c r="O595" s="223"/>
      <c r="P595" s="223"/>
      <c r="Q595" s="223"/>
      <c r="R595" s="223"/>
      <c r="S595" s="223"/>
      <c r="T595" s="223"/>
      <c r="U595" s="223"/>
      <c r="V595" s="223"/>
      <c r="W595" s="223"/>
      <c r="X595" s="223"/>
      <c r="Y595" s="223"/>
      <c r="Z595" s="223"/>
    </row>
    <row r="596">
      <c r="A596" s="223" t="str">
        <f>IFERROR(__xludf.DUMMYFUNCTION("""COMPUTED_VALUE"""),"Spraggs : Monthly Services")</f>
        <v>Spraggs : Monthly Services</v>
      </c>
      <c r="B596" s="223" t="str">
        <f>IFERROR(__xludf.DUMMYFUNCTION("""COMPUTED_VALUE"""),"Spraggs")</f>
        <v>Spraggs</v>
      </c>
      <c r="C596" s="223" t="str">
        <f>IFERROR(__xludf.DUMMYFUNCTION("""COMPUTED_VALUE"""),"Monthly Services")</f>
        <v>Monthly Services</v>
      </c>
      <c r="D596" s="316">
        <f>IFERROR(__xludf.DUMMYFUNCTION("""COMPUTED_VALUE"""),44865.0)</f>
        <v>44865</v>
      </c>
      <c r="E596" s="298">
        <f>IFERROR(__xludf.DUMMYFUNCTION("""COMPUTED_VALUE"""),2500.0)</f>
        <v>2500</v>
      </c>
      <c r="F596" s="298">
        <f>IFERROR(__xludf.DUMMYFUNCTION("""COMPUTED_VALUE"""),77.78)</f>
        <v>77.78</v>
      </c>
      <c r="G596" s="298">
        <f>IFERROR(__xludf.DUMMYFUNCTION("""COMPUTED_VALUE"""),0.0)</f>
        <v>0</v>
      </c>
      <c r="H596" s="223">
        <f>IFERROR(__xludf.DUMMYFUNCTION("""COMPUTED_VALUE"""),2422.22)</f>
        <v>2422.22</v>
      </c>
      <c r="I596" s="298"/>
      <c r="J596" s="223" t="str">
        <f>IFERROR(__xludf.DUMMYFUNCTION("""COMPUTED_VALUE"""),"Monthly")</f>
        <v>Monthly</v>
      </c>
      <c r="K596" s="317">
        <f>IFERROR(__xludf.DUMMYFUNCTION("""COMPUTED_VALUE"""),2022.1)</f>
        <v>2022.1</v>
      </c>
      <c r="L596" s="298"/>
      <c r="M596" s="223"/>
      <c r="N596" s="223"/>
      <c r="O596" s="223"/>
      <c r="P596" s="223"/>
      <c r="Q596" s="223"/>
      <c r="R596" s="223"/>
      <c r="S596" s="223"/>
      <c r="T596" s="223"/>
      <c r="U596" s="223"/>
      <c r="V596" s="223"/>
      <c r="W596" s="223"/>
      <c r="X596" s="223"/>
      <c r="Y596" s="223"/>
      <c r="Z596" s="223"/>
    </row>
    <row r="597">
      <c r="A597" s="223" t="str">
        <f>IFERROR(__xludf.DUMMYFUNCTION("""COMPUTED_VALUE"""),"TisBest : Monthly Services")</f>
        <v>TisBest : Monthly Services</v>
      </c>
      <c r="B597" s="223" t="str">
        <f>IFERROR(__xludf.DUMMYFUNCTION("""COMPUTED_VALUE"""),"TisBest")</f>
        <v>TisBest</v>
      </c>
      <c r="C597" s="223" t="str">
        <f>IFERROR(__xludf.DUMMYFUNCTION("""COMPUTED_VALUE"""),"Monthly Services")</f>
        <v>Monthly Services</v>
      </c>
      <c r="D597" s="316">
        <f>IFERROR(__xludf.DUMMYFUNCTION("""COMPUTED_VALUE"""),44865.0)</f>
        <v>44865</v>
      </c>
      <c r="E597" s="298">
        <f>IFERROR(__xludf.DUMMYFUNCTION("""COMPUTED_VALUE"""),5811.561)</f>
        <v>5811.561</v>
      </c>
      <c r="F597" s="298">
        <f>IFERROR(__xludf.DUMMYFUNCTION("""COMPUTED_VALUE"""),215.41519440000002)</f>
        <v>215.4151944</v>
      </c>
      <c r="G597" s="298">
        <f>IFERROR(__xludf.DUMMYFUNCTION("""COMPUTED_VALUE"""),1119.2291611199998)</f>
        <v>1119.229161</v>
      </c>
      <c r="H597" s="223">
        <f>IFERROR(__xludf.DUMMYFUNCTION("""COMPUTED_VALUE"""),4476.916644479999)</f>
        <v>4476.916644</v>
      </c>
      <c r="I597" s="298"/>
      <c r="J597" s="223" t="str">
        <f>IFERROR(__xludf.DUMMYFUNCTION("""COMPUTED_VALUE"""),"Monthly")</f>
        <v>Monthly</v>
      </c>
      <c r="K597" s="317">
        <f>IFERROR(__xludf.DUMMYFUNCTION("""COMPUTED_VALUE"""),2022.1)</f>
        <v>2022.1</v>
      </c>
      <c r="L597" s="298"/>
      <c r="M597" s="223"/>
      <c r="N597" s="223"/>
      <c r="O597" s="223"/>
      <c r="P597" s="223"/>
      <c r="Q597" s="223"/>
      <c r="R597" s="223"/>
      <c r="S597" s="223"/>
      <c r="T597" s="223"/>
      <c r="U597" s="223"/>
      <c r="V597" s="223"/>
      <c r="W597" s="223"/>
      <c r="X597" s="223"/>
      <c r="Y597" s="223"/>
      <c r="Z597" s="223"/>
    </row>
    <row r="598">
      <c r="A598" s="223" t="str">
        <f>IFERROR(__xludf.DUMMYFUNCTION("""COMPUTED_VALUE"""),"Tuscany : Monthly Services")</f>
        <v>Tuscany : Monthly Services</v>
      </c>
      <c r="B598" s="223" t="str">
        <f>IFERROR(__xludf.DUMMYFUNCTION("""COMPUTED_VALUE"""),"Tuscany")</f>
        <v>Tuscany</v>
      </c>
      <c r="C598" s="223" t="str">
        <f>IFERROR(__xludf.DUMMYFUNCTION("""COMPUTED_VALUE"""),"Monthly Services")</f>
        <v>Monthly Services</v>
      </c>
      <c r="D598" s="316">
        <f>IFERROR(__xludf.DUMMYFUNCTION("""COMPUTED_VALUE"""),44865.0)</f>
        <v>44865</v>
      </c>
      <c r="E598" s="298">
        <f>IFERROR(__xludf.DUMMYFUNCTION("""COMPUTED_VALUE"""),2584.825)</f>
        <v>2584.825</v>
      </c>
      <c r="F598" s="298">
        <f>IFERROR(__xludf.DUMMYFUNCTION("""COMPUTED_VALUE"""),0.0)</f>
        <v>0</v>
      </c>
      <c r="G598" s="298">
        <f>IFERROR(__xludf.DUMMYFUNCTION("""COMPUTED_VALUE"""),0.0)</f>
        <v>0</v>
      </c>
      <c r="H598" s="223">
        <f>IFERROR(__xludf.DUMMYFUNCTION("""COMPUTED_VALUE"""),2584.825)</f>
        <v>2584.825</v>
      </c>
      <c r="I598" s="298"/>
      <c r="J598" s="223" t="str">
        <f>IFERROR(__xludf.DUMMYFUNCTION("""COMPUTED_VALUE"""),"Monthly")</f>
        <v>Monthly</v>
      </c>
      <c r="K598" s="317">
        <f>IFERROR(__xludf.DUMMYFUNCTION("""COMPUTED_VALUE"""),2022.1)</f>
        <v>2022.1</v>
      </c>
      <c r="L598" s="298"/>
      <c r="M598" s="223"/>
      <c r="N598" s="223"/>
      <c r="O598" s="223"/>
      <c r="P598" s="223"/>
      <c r="Q598" s="223"/>
      <c r="R598" s="223"/>
      <c r="S598" s="223"/>
      <c r="T598" s="223"/>
      <c r="U598" s="223"/>
      <c r="V598" s="223"/>
      <c r="W598" s="223"/>
      <c r="X598" s="223"/>
      <c r="Y598" s="223"/>
      <c r="Z598" s="223"/>
    </row>
    <row r="599">
      <c r="A599" s="223" t="str">
        <f>IFERROR(__xludf.DUMMYFUNCTION("""COMPUTED_VALUE"""),"Venetian : Monthly Services")</f>
        <v>Venetian : Monthly Services</v>
      </c>
      <c r="B599" s="223" t="str">
        <f>IFERROR(__xludf.DUMMYFUNCTION("""COMPUTED_VALUE"""),"Venetian")</f>
        <v>Venetian</v>
      </c>
      <c r="C599" s="223" t="str">
        <f>IFERROR(__xludf.DUMMYFUNCTION("""COMPUTED_VALUE"""),"Monthly Services")</f>
        <v>Monthly Services</v>
      </c>
      <c r="D599" s="316">
        <f>IFERROR(__xludf.DUMMYFUNCTION("""COMPUTED_VALUE"""),44865.0)</f>
        <v>44865</v>
      </c>
      <c r="E599" s="298">
        <f>IFERROR(__xludf.DUMMYFUNCTION("""COMPUTED_VALUE"""),2584.825)</f>
        <v>2584.825</v>
      </c>
      <c r="F599" s="298">
        <f>IFERROR(__xludf.DUMMYFUNCTION("""COMPUTED_VALUE"""),0.0)</f>
        <v>0</v>
      </c>
      <c r="G599" s="298">
        <f>IFERROR(__xludf.DUMMYFUNCTION("""COMPUTED_VALUE"""),0.0)</f>
        <v>0</v>
      </c>
      <c r="H599" s="223">
        <f>IFERROR(__xludf.DUMMYFUNCTION("""COMPUTED_VALUE"""),2584.825)</f>
        <v>2584.825</v>
      </c>
      <c r="I599" s="298"/>
      <c r="J599" s="223" t="str">
        <f>IFERROR(__xludf.DUMMYFUNCTION("""COMPUTED_VALUE"""),"Monthly")</f>
        <v>Monthly</v>
      </c>
      <c r="K599" s="317">
        <f>IFERROR(__xludf.DUMMYFUNCTION("""COMPUTED_VALUE"""),2022.1)</f>
        <v>2022.1</v>
      </c>
      <c r="L599" s="298"/>
      <c r="M599" s="223"/>
      <c r="N599" s="223"/>
      <c r="O599" s="223"/>
      <c r="P599" s="223"/>
      <c r="Q599" s="223"/>
      <c r="R599" s="223"/>
      <c r="S599" s="223"/>
      <c r="T599" s="223"/>
      <c r="U599" s="223"/>
      <c r="V599" s="223"/>
      <c r="W599" s="223"/>
      <c r="X599" s="223"/>
      <c r="Y599" s="223"/>
      <c r="Z599" s="223"/>
    </row>
    <row r="600">
      <c r="A600" s="223" t="str">
        <f>IFERROR(__xludf.DUMMYFUNCTION("""COMPUTED_VALUE"""),"Wallack's Art Supplies : Monthly Services")</f>
        <v>Wallack's Art Supplies : Monthly Services</v>
      </c>
      <c r="B600" s="223" t="str">
        <f>IFERROR(__xludf.DUMMYFUNCTION("""COMPUTED_VALUE"""),"Wallack's Art Supplies")</f>
        <v>Wallack's Art Supplies</v>
      </c>
      <c r="C600" s="223" t="str">
        <f>IFERROR(__xludf.DUMMYFUNCTION("""COMPUTED_VALUE"""),"Monthly Services")</f>
        <v>Monthly Services</v>
      </c>
      <c r="D600" s="316">
        <f>IFERROR(__xludf.DUMMYFUNCTION("""COMPUTED_VALUE"""),44865.0)</f>
        <v>44865</v>
      </c>
      <c r="E600" s="298">
        <f>IFERROR(__xludf.DUMMYFUNCTION("""COMPUTED_VALUE"""),700.0)</f>
        <v>700</v>
      </c>
      <c r="F600" s="298">
        <f>IFERROR(__xludf.DUMMYFUNCTION("""COMPUTED_VALUE"""),0.0)</f>
        <v>0</v>
      </c>
      <c r="G600" s="298">
        <f>IFERROR(__xludf.DUMMYFUNCTION("""COMPUTED_VALUE"""),0.0)</f>
        <v>0</v>
      </c>
      <c r="H600" s="223">
        <f>IFERROR(__xludf.DUMMYFUNCTION("""COMPUTED_VALUE"""),700.0)</f>
        <v>700</v>
      </c>
      <c r="I600" s="298"/>
      <c r="J600" s="223" t="str">
        <f>IFERROR(__xludf.DUMMYFUNCTION("""COMPUTED_VALUE"""),"Monthly")</f>
        <v>Monthly</v>
      </c>
      <c r="K600" s="317">
        <f>IFERROR(__xludf.DUMMYFUNCTION("""COMPUTED_VALUE"""),2022.1)</f>
        <v>2022.1</v>
      </c>
      <c r="L600" s="298"/>
      <c r="M600" s="223"/>
      <c r="N600" s="223"/>
      <c r="O600" s="223"/>
      <c r="P600" s="223"/>
      <c r="Q600" s="223"/>
      <c r="R600" s="223"/>
      <c r="S600" s="223"/>
      <c r="T600" s="223"/>
      <c r="U600" s="223"/>
      <c r="V600" s="223"/>
      <c r="W600" s="223"/>
      <c r="X600" s="223"/>
      <c r="Y600" s="223"/>
      <c r="Z600" s="223"/>
    </row>
    <row r="601">
      <c r="A601" s="223" t="str">
        <f>IFERROR(__xludf.DUMMYFUNCTION("""COMPUTED_VALUE"""),"Howard Fine Jewellers : Ongoing PPC and SEO Support")</f>
        <v>Howard Fine Jewellers : Ongoing PPC and SEO Support</v>
      </c>
      <c r="B601" s="223" t="str">
        <f>IFERROR(__xludf.DUMMYFUNCTION("""COMPUTED_VALUE"""),"Howard Fine Jewellers")</f>
        <v>Howard Fine Jewellers</v>
      </c>
      <c r="C601" s="223" t="str">
        <f>IFERROR(__xludf.DUMMYFUNCTION("""COMPUTED_VALUE"""),"Ongoing PPC and SEO Support")</f>
        <v>Ongoing PPC and SEO Support</v>
      </c>
      <c r="D601" s="316">
        <f>IFERROR(__xludf.DUMMYFUNCTION("""COMPUTED_VALUE"""),44865.0)</f>
        <v>44865</v>
      </c>
      <c r="E601" s="298">
        <f>IFERROR(__xludf.DUMMYFUNCTION("""COMPUTED_VALUE"""),1450.0)</f>
        <v>1450</v>
      </c>
      <c r="F601" s="298">
        <f>IFERROR(__xludf.DUMMYFUNCTION("""COMPUTED_VALUE"""),48.55)</f>
        <v>48.55</v>
      </c>
      <c r="G601" s="298">
        <f>IFERROR(__xludf.DUMMYFUNCTION("""COMPUTED_VALUE"""),0.0)</f>
        <v>0</v>
      </c>
      <c r="H601" s="223">
        <f>IFERROR(__xludf.DUMMYFUNCTION("""COMPUTED_VALUE"""),1401.45)</f>
        <v>1401.45</v>
      </c>
      <c r="I601" s="298"/>
      <c r="J601" s="223" t="str">
        <f>IFERROR(__xludf.DUMMYFUNCTION("""COMPUTED_VALUE"""),"Monthly")</f>
        <v>Monthly</v>
      </c>
      <c r="K601" s="317">
        <f>IFERROR(__xludf.DUMMYFUNCTION("""COMPUTED_VALUE"""),2022.1)</f>
        <v>2022.1</v>
      </c>
      <c r="L601" s="298"/>
      <c r="M601" s="223"/>
      <c r="N601" s="223"/>
      <c r="O601" s="223"/>
      <c r="P601" s="223"/>
      <c r="Q601" s="223"/>
      <c r="R601" s="223"/>
      <c r="S601" s="223"/>
      <c r="T601" s="223"/>
      <c r="U601" s="223"/>
      <c r="V601" s="223"/>
      <c r="W601" s="223"/>
      <c r="X601" s="223"/>
      <c r="Y601" s="223"/>
      <c r="Z601" s="223"/>
    </row>
    <row r="602">
      <c r="A602" s="223" t="str">
        <f>IFERROR(__xludf.DUMMYFUNCTION("""COMPUTED_VALUE"""),"Spring Activator : Ads and Analytics kickoff plus site support ")</f>
        <v>Spring Activator : Ads and Analytics kickoff plus site support </v>
      </c>
      <c r="B602" s="223" t="str">
        <f>IFERROR(__xludf.DUMMYFUNCTION("""COMPUTED_VALUE"""),"Spring Activator")</f>
        <v>Spring Activator</v>
      </c>
      <c r="C602" s="223" t="str">
        <f>IFERROR(__xludf.DUMMYFUNCTION("""COMPUTED_VALUE"""),"Ads and Analytics kickoff plus site support")</f>
        <v>Ads and Analytics kickoff plus site support</v>
      </c>
      <c r="D602" s="316">
        <f>IFERROR(__xludf.DUMMYFUNCTION("""COMPUTED_VALUE"""),44865.0)</f>
        <v>44865</v>
      </c>
      <c r="E602" s="298">
        <f>IFERROR(__xludf.DUMMYFUNCTION("""COMPUTED_VALUE"""),975.0)</f>
        <v>975</v>
      </c>
      <c r="F602" s="298">
        <f>IFERROR(__xludf.DUMMYFUNCTION("""COMPUTED_VALUE"""),30.33)</f>
        <v>30.33</v>
      </c>
      <c r="G602" s="298">
        <f>IFERROR(__xludf.DUMMYFUNCTION("""COMPUTED_VALUE"""),0.0)</f>
        <v>0</v>
      </c>
      <c r="H602" s="223">
        <f>IFERROR(__xludf.DUMMYFUNCTION("""COMPUTED_VALUE"""),944.67)</f>
        <v>944.67</v>
      </c>
      <c r="I602" s="298"/>
      <c r="J602" s="223" t="str">
        <f>IFERROR(__xludf.DUMMYFUNCTION("""COMPUTED_VALUE"""),"50% Deposit Prepaid
50% Final")</f>
        <v>50% Deposit Prepaid
50% Final</v>
      </c>
      <c r="K602" s="317">
        <f>IFERROR(__xludf.DUMMYFUNCTION("""COMPUTED_VALUE"""),2022.0)</f>
        <v>2022</v>
      </c>
      <c r="L602" s="298"/>
      <c r="M602" s="223"/>
      <c r="N602" s="223"/>
      <c r="O602" s="223"/>
      <c r="P602" s="223"/>
      <c r="Q602" s="223"/>
      <c r="R602" s="223"/>
      <c r="S602" s="223"/>
      <c r="T602" s="223"/>
      <c r="U602" s="223"/>
      <c r="V602" s="223"/>
      <c r="W602" s="223"/>
      <c r="X602" s="223"/>
      <c r="Y602" s="223"/>
      <c r="Z602" s="223"/>
    </row>
    <row r="603">
      <c r="A603" s="223" t="str">
        <f>IFERROR(__xludf.DUMMYFUNCTION("""COMPUTED_VALUE"""),"Spring Activator : Ads and Analytics kickoff plus site support ")</f>
        <v>Spring Activator : Ads and Analytics kickoff plus site support </v>
      </c>
      <c r="B603" s="223" t="str">
        <f>IFERROR(__xludf.DUMMYFUNCTION("""COMPUTED_VALUE"""),"Spring Activator")</f>
        <v>Spring Activator</v>
      </c>
      <c r="C603" s="223" t="str">
        <f>IFERROR(__xludf.DUMMYFUNCTION("""COMPUTED_VALUE"""),"Ads and Analytics kickoff plus site support")</f>
        <v>Ads and Analytics kickoff plus site support</v>
      </c>
      <c r="D603" s="316">
        <f>IFERROR(__xludf.DUMMYFUNCTION("""COMPUTED_VALUE"""),44895.0)</f>
        <v>44895</v>
      </c>
      <c r="E603" s="298">
        <f>IFERROR(__xludf.DUMMYFUNCTION("""COMPUTED_VALUE"""),975.0)</f>
        <v>975</v>
      </c>
      <c r="F603" s="298">
        <f>IFERROR(__xludf.DUMMYFUNCTION("""COMPUTED_VALUE"""),30.33)</f>
        <v>30.33</v>
      </c>
      <c r="G603" s="298">
        <f>IFERROR(__xludf.DUMMYFUNCTION("""COMPUTED_VALUE"""),0.0)</f>
        <v>0</v>
      </c>
      <c r="H603" s="223">
        <f>IFERROR(__xludf.DUMMYFUNCTION("""COMPUTED_VALUE"""),944.67)</f>
        <v>944.67</v>
      </c>
      <c r="I603" s="298"/>
      <c r="J603" s="223" t="str">
        <f>IFERROR(__xludf.DUMMYFUNCTION("""COMPUTED_VALUE"""),"50% Deposit Prepaid
50% Final")</f>
        <v>50% Deposit Prepaid
50% Final</v>
      </c>
      <c r="K603" s="317">
        <f>IFERROR(__xludf.DUMMYFUNCTION("""COMPUTED_VALUE"""),2022.0)</f>
        <v>2022</v>
      </c>
      <c r="L603" s="298"/>
      <c r="M603" s="223"/>
      <c r="N603" s="223"/>
      <c r="O603" s="223"/>
      <c r="P603" s="223"/>
      <c r="Q603" s="223"/>
      <c r="R603" s="223"/>
      <c r="S603" s="223"/>
      <c r="T603" s="223"/>
      <c r="U603" s="223"/>
      <c r="V603" s="223"/>
      <c r="W603" s="223"/>
      <c r="X603" s="223"/>
      <c r="Y603" s="223"/>
      <c r="Z603" s="223"/>
    </row>
    <row r="604">
      <c r="A604" s="223" t="str">
        <f>IFERROR(__xludf.DUMMYFUNCTION("""COMPUTED_VALUE"""),"Advisicon : Case Study Project")</f>
        <v>Advisicon : Case Study Project</v>
      </c>
      <c r="B604" s="223" t="str">
        <f>IFERROR(__xludf.DUMMYFUNCTION("""COMPUTED_VALUE"""),"Advisicon")</f>
        <v>Advisicon</v>
      </c>
      <c r="C604" s="223" t="str">
        <f>IFERROR(__xludf.DUMMYFUNCTION("""COMPUTED_VALUE"""),"Case Study Project")</f>
        <v>Case Study Project</v>
      </c>
      <c r="D604" s="316">
        <f>IFERROR(__xludf.DUMMYFUNCTION("""COMPUTED_VALUE"""),44865.0)</f>
        <v>44865</v>
      </c>
      <c r="E604" s="298">
        <f>IFERROR(__xludf.DUMMYFUNCTION("""COMPUTED_VALUE"""),1130.1599999999999)</f>
        <v>1130.16</v>
      </c>
      <c r="F604" s="298">
        <f>IFERROR(__xludf.DUMMYFUNCTION("""COMPUTED_VALUE"""),0.0)</f>
        <v>0</v>
      </c>
      <c r="G604" s="298">
        <f>IFERROR(__xludf.DUMMYFUNCTION("""COMPUTED_VALUE"""),0.0)</f>
        <v>0</v>
      </c>
      <c r="H604" s="223">
        <f>IFERROR(__xludf.DUMMYFUNCTION("""COMPUTED_VALUE"""),1130.1599999999999)</f>
        <v>1130.16</v>
      </c>
      <c r="I604" s="298"/>
      <c r="J604" s="223" t="str">
        <f>IFERROR(__xludf.DUMMYFUNCTION("""COMPUTED_VALUE"""),"One-Time Prepaid")</f>
        <v>One-Time Prepaid</v>
      </c>
      <c r="K604" s="317">
        <f>IFERROR(__xludf.DUMMYFUNCTION("""COMPUTED_VALUE"""),2022.0)</f>
        <v>2022</v>
      </c>
      <c r="L604" s="298"/>
      <c r="M604" s="223"/>
      <c r="N604" s="223"/>
      <c r="O604" s="223"/>
      <c r="P604" s="223"/>
      <c r="Q604" s="223"/>
      <c r="R604" s="223"/>
      <c r="S604" s="223"/>
      <c r="T604" s="223"/>
      <c r="U604" s="223"/>
      <c r="V604" s="223"/>
      <c r="W604" s="223"/>
      <c r="X604" s="223"/>
      <c r="Y604" s="223"/>
      <c r="Z604" s="223"/>
    </row>
    <row r="605">
      <c r="A605" s="223" t="str">
        <f>IFERROR(__xludf.DUMMYFUNCTION("""COMPUTED_VALUE"""),"MJM Architect : Website Updates and Analytics")</f>
        <v>MJM Architect : Website Updates and Analytics</v>
      </c>
      <c r="B605" s="223" t="str">
        <f>IFERROR(__xludf.DUMMYFUNCTION("""COMPUTED_VALUE"""),"MJM Architect")</f>
        <v>MJM Architect</v>
      </c>
      <c r="C605" s="223" t="str">
        <f>IFERROR(__xludf.DUMMYFUNCTION("""COMPUTED_VALUE"""),"Website Updates and Analytics")</f>
        <v>Website Updates and Analytics</v>
      </c>
      <c r="D605" s="316">
        <f>IFERROR(__xludf.DUMMYFUNCTION("""COMPUTED_VALUE"""),44865.0)</f>
        <v>44865</v>
      </c>
      <c r="E605" s="298">
        <f>IFERROR(__xludf.DUMMYFUNCTION("""COMPUTED_VALUE"""),1200.0)</f>
        <v>1200</v>
      </c>
      <c r="F605" s="298">
        <f>IFERROR(__xludf.DUMMYFUNCTION("""COMPUTED_VALUE"""),0.0)</f>
        <v>0</v>
      </c>
      <c r="G605" s="298">
        <f>IFERROR(__xludf.DUMMYFUNCTION("""COMPUTED_VALUE"""),0.0)</f>
        <v>0</v>
      </c>
      <c r="H605" s="223">
        <f>IFERROR(__xludf.DUMMYFUNCTION("""COMPUTED_VALUE"""),1200.0)</f>
        <v>1200</v>
      </c>
      <c r="I605" s="298"/>
      <c r="J605" s="223" t="str">
        <f>IFERROR(__xludf.DUMMYFUNCTION("""COMPUTED_VALUE"""),"50% Deposit Prepaid
50% Final")</f>
        <v>50% Deposit Prepaid
50% Final</v>
      </c>
      <c r="K605" s="317">
        <f>IFERROR(__xludf.DUMMYFUNCTION("""COMPUTED_VALUE"""),2022.0)</f>
        <v>2022</v>
      </c>
      <c r="L605" s="298"/>
      <c r="M605" s="223"/>
      <c r="N605" s="223"/>
      <c r="O605" s="223"/>
      <c r="P605" s="223"/>
      <c r="Q605" s="223"/>
      <c r="R605" s="223"/>
      <c r="S605" s="223"/>
      <c r="T605" s="223"/>
      <c r="U605" s="223"/>
      <c r="V605" s="223"/>
      <c r="W605" s="223"/>
      <c r="X605" s="223"/>
      <c r="Y605" s="223"/>
      <c r="Z605" s="223"/>
    </row>
    <row r="606">
      <c r="A606" s="223" t="str">
        <f>IFERROR(__xludf.DUMMYFUNCTION("""COMPUTED_VALUE"""),"MJM Architect : Website Updates and Analytics")</f>
        <v>MJM Architect : Website Updates and Analytics</v>
      </c>
      <c r="B606" s="223" t="str">
        <f>IFERROR(__xludf.DUMMYFUNCTION("""COMPUTED_VALUE"""),"MJM Architect")</f>
        <v>MJM Architect</v>
      </c>
      <c r="C606" s="223" t="str">
        <f>IFERROR(__xludf.DUMMYFUNCTION("""COMPUTED_VALUE"""),"Website Updates and Analytics")</f>
        <v>Website Updates and Analytics</v>
      </c>
      <c r="D606" s="316">
        <f>IFERROR(__xludf.DUMMYFUNCTION("""COMPUTED_VALUE"""),44949.0)</f>
        <v>44949</v>
      </c>
      <c r="E606" s="298">
        <f>IFERROR(__xludf.DUMMYFUNCTION("""COMPUTED_VALUE"""),1200.0)</f>
        <v>1200</v>
      </c>
      <c r="F606" s="298">
        <f>IFERROR(__xludf.DUMMYFUNCTION("""COMPUTED_VALUE"""),37.33)</f>
        <v>37.33</v>
      </c>
      <c r="G606" s="298">
        <f>IFERROR(__xludf.DUMMYFUNCTION("""COMPUTED_VALUE"""),0.0)</f>
        <v>0</v>
      </c>
      <c r="H606" s="223">
        <f>IFERROR(__xludf.DUMMYFUNCTION("""COMPUTED_VALUE"""),1162.67)</f>
        <v>1162.67</v>
      </c>
      <c r="I606" s="298"/>
      <c r="J606" s="223" t="str">
        <f>IFERROR(__xludf.DUMMYFUNCTION("""COMPUTED_VALUE"""),"50% Deposit Prepaid
50% Final")</f>
        <v>50% Deposit Prepaid
50% Final</v>
      </c>
      <c r="K606" s="317">
        <f>IFERROR(__xludf.DUMMYFUNCTION("""COMPUTED_VALUE"""),2023.0)</f>
        <v>2023</v>
      </c>
      <c r="L606" s="298"/>
      <c r="M606" s="223"/>
      <c r="N606" s="223"/>
      <c r="O606" s="223"/>
      <c r="P606" s="223"/>
      <c r="Q606" s="223"/>
      <c r="R606" s="223"/>
      <c r="S606" s="223"/>
      <c r="T606" s="223"/>
      <c r="U606" s="223"/>
      <c r="V606" s="223"/>
      <c r="W606" s="223"/>
      <c r="X606" s="223"/>
      <c r="Y606" s="223"/>
      <c r="Z606" s="223"/>
    </row>
    <row r="607">
      <c r="A607" s="223" t="str">
        <f>IFERROR(__xludf.DUMMYFUNCTION("""COMPUTED_VALUE"""),"Advisicon : Quarterly Website Maintenance Support")</f>
        <v>Advisicon : Quarterly Website Maintenance Support</v>
      </c>
      <c r="B607" s="223" t="str">
        <f>IFERROR(__xludf.DUMMYFUNCTION("""COMPUTED_VALUE"""),"Advisicon")</f>
        <v>Advisicon</v>
      </c>
      <c r="C607" s="223" t="str">
        <f>IFERROR(__xludf.DUMMYFUNCTION("""COMPUTED_VALUE"""),"Quarterly Website Maintenance Support")</f>
        <v>Quarterly Website Maintenance Support</v>
      </c>
      <c r="D607" s="316">
        <f>IFERROR(__xludf.DUMMYFUNCTION("""COMPUTED_VALUE"""),44957.0)</f>
        <v>44957</v>
      </c>
      <c r="E607" s="298">
        <f>IFERROR(__xludf.DUMMYFUNCTION("""COMPUTED_VALUE"""),201.48)</f>
        <v>201.48</v>
      </c>
      <c r="F607" s="298">
        <f>IFERROR(__xludf.DUMMYFUNCTION("""COMPUTED_VALUE"""),0.0)</f>
        <v>0</v>
      </c>
      <c r="G607" s="298">
        <f>IFERROR(__xludf.DUMMYFUNCTION("""COMPUTED_VALUE"""),0.0)</f>
        <v>0</v>
      </c>
      <c r="H607" s="223">
        <f>IFERROR(__xludf.DUMMYFUNCTION("""COMPUTED_VALUE"""),201.48)</f>
        <v>201.48</v>
      </c>
      <c r="I607" s="298"/>
      <c r="J607" s="223" t="str">
        <f>IFERROR(__xludf.DUMMYFUNCTION("""COMPUTED_VALUE"""),"Quarterly")</f>
        <v>Quarterly</v>
      </c>
      <c r="K607" s="317">
        <f>IFERROR(__xludf.DUMMYFUNCTION("""COMPUTED_VALUE"""),2023.0)</f>
        <v>2023</v>
      </c>
      <c r="L607" s="298"/>
      <c r="M607" s="223"/>
      <c r="N607" s="223"/>
      <c r="O607" s="223"/>
      <c r="P607" s="223"/>
      <c r="Q607" s="223"/>
      <c r="R607" s="223"/>
      <c r="S607" s="223"/>
      <c r="T607" s="223"/>
      <c r="U607" s="223"/>
      <c r="V607" s="223"/>
      <c r="W607" s="223"/>
      <c r="X607" s="223"/>
      <c r="Y607" s="223"/>
      <c r="Z607" s="223"/>
    </row>
    <row r="608">
      <c r="A608" s="223" t="str">
        <f>IFERROR(__xludf.DUMMYFUNCTION("""COMPUTED_VALUE"""),"Crescent Spur Heli-Skiing : Google Search Campaigns")</f>
        <v>Crescent Spur Heli-Skiing : Google Search Campaigns</v>
      </c>
      <c r="B608" s="223" t="str">
        <f>IFERROR(__xludf.DUMMYFUNCTION("""COMPUTED_VALUE"""),"Crescent Spur Heli-Skiing")</f>
        <v>Crescent Spur Heli-Skiing</v>
      </c>
      <c r="C608" s="223" t="str">
        <f>IFERROR(__xludf.DUMMYFUNCTION("""COMPUTED_VALUE"""),"Google Search Campaigns")</f>
        <v>Google Search Campaigns</v>
      </c>
      <c r="D608" s="316">
        <f>IFERROR(__xludf.DUMMYFUNCTION("""COMPUTED_VALUE"""),44872.0)</f>
        <v>44872</v>
      </c>
      <c r="E608" s="298">
        <f>IFERROR(__xludf.DUMMYFUNCTION("""COMPUTED_VALUE"""),1129.33)</f>
        <v>1129.33</v>
      </c>
      <c r="F608" s="298">
        <f>IFERROR(__xludf.DUMMYFUNCTION("""COMPUTED_VALUE"""),35.14)</f>
        <v>35.14</v>
      </c>
      <c r="G608" s="298">
        <f>IFERROR(__xludf.DUMMYFUNCTION("""COMPUTED_VALUE"""),0.0)</f>
        <v>0</v>
      </c>
      <c r="H608" s="223">
        <f>IFERROR(__xludf.DUMMYFUNCTION("""COMPUTED_VALUE"""),1094.1899999999998)</f>
        <v>1094.19</v>
      </c>
      <c r="I608" s="298"/>
      <c r="J608" s="223" t="str">
        <f>IFERROR(__xludf.DUMMYFUNCTION("""COMPUTED_VALUE"""),"1/3 Deposit Prepaid
1/3 of Remainder Milestone
1/3 of Remainder Milestone Final")</f>
        <v>1/3 Deposit Prepaid
1/3 of Remainder Milestone
1/3 of Remainder Milestone Final</v>
      </c>
      <c r="K608" s="317">
        <f>IFERROR(__xludf.DUMMYFUNCTION("""COMPUTED_VALUE"""),2022.0)</f>
        <v>2022</v>
      </c>
      <c r="L608" s="298"/>
      <c r="M608" s="223"/>
      <c r="N608" s="223"/>
      <c r="O608" s="223"/>
      <c r="P608" s="223"/>
      <c r="Q608" s="223"/>
      <c r="R608" s="223"/>
      <c r="S608" s="223"/>
      <c r="T608" s="223"/>
      <c r="U608" s="223"/>
      <c r="V608" s="223"/>
      <c r="W608" s="223"/>
      <c r="X608" s="223"/>
      <c r="Y608" s="223"/>
      <c r="Z608" s="223"/>
    </row>
    <row r="609">
      <c r="A609" s="223" t="str">
        <f>IFERROR(__xludf.DUMMYFUNCTION("""COMPUTED_VALUE"""),"Crescent Spur Heli-Skiing : Google Search Campaigns")</f>
        <v>Crescent Spur Heli-Skiing : Google Search Campaigns</v>
      </c>
      <c r="B609" s="223" t="str">
        <f>IFERROR(__xludf.DUMMYFUNCTION("""COMPUTED_VALUE"""),"Crescent Spur Heli-Skiing")</f>
        <v>Crescent Spur Heli-Skiing</v>
      </c>
      <c r="C609" s="223" t="str">
        <f>IFERROR(__xludf.DUMMYFUNCTION("""COMPUTED_VALUE"""),"Google Search Campaigns")</f>
        <v>Google Search Campaigns</v>
      </c>
      <c r="D609" s="316">
        <f>IFERROR(__xludf.DUMMYFUNCTION("""COMPUTED_VALUE"""),44895.0)</f>
        <v>44895</v>
      </c>
      <c r="E609" s="298">
        <f>IFERROR(__xludf.DUMMYFUNCTION("""COMPUTED_VALUE"""),1129.33)</f>
        <v>1129.33</v>
      </c>
      <c r="F609" s="298">
        <f>IFERROR(__xludf.DUMMYFUNCTION("""COMPUTED_VALUE"""),35.14)</f>
        <v>35.14</v>
      </c>
      <c r="G609" s="298">
        <f>IFERROR(__xludf.DUMMYFUNCTION("""COMPUTED_VALUE"""),0.0)</f>
        <v>0</v>
      </c>
      <c r="H609" s="223">
        <f>IFERROR(__xludf.DUMMYFUNCTION("""COMPUTED_VALUE"""),1094.1899999999998)</f>
        <v>1094.19</v>
      </c>
      <c r="I609" s="298"/>
      <c r="J609" s="223" t="str">
        <f>IFERROR(__xludf.DUMMYFUNCTION("""COMPUTED_VALUE"""),"1/3 Deposit Prepaid
1/3 of Remainder Milestone
1/3 of Remainder Milestone Final")</f>
        <v>1/3 Deposit Prepaid
1/3 of Remainder Milestone
1/3 of Remainder Milestone Final</v>
      </c>
      <c r="K609" s="317">
        <f>IFERROR(__xludf.DUMMYFUNCTION("""COMPUTED_VALUE"""),2022.0)</f>
        <v>2022</v>
      </c>
      <c r="L609" s="298"/>
      <c r="M609" s="223"/>
      <c r="N609" s="223"/>
      <c r="O609" s="223"/>
      <c r="P609" s="223"/>
      <c r="Q609" s="223"/>
      <c r="R609" s="223"/>
      <c r="S609" s="223"/>
      <c r="T609" s="223"/>
      <c r="U609" s="223"/>
      <c r="V609" s="223"/>
      <c r="W609" s="223"/>
      <c r="X609" s="223"/>
      <c r="Y609" s="223"/>
      <c r="Z609" s="223"/>
    </row>
    <row r="610">
      <c r="A610" s="223" t="str">
        <f>IFERROR(__xludf.DUMMYFUNCTION("""COMPUTED_VALUE"""),"Crescent Spur Heli-Skiing : Google Search Campaigns")</f>
        <v>Crescent Spur Heli-Skiing : Google Search Campaigns</v>
      </c>
      <c r="B610" s="223" t="str">
        <f>IFERROR(__xludf.DUMMYFUNCTION("""COMPUTED_VALUE"""),"Crescent Spur Heli-Skiing")</f>
        <v>Crescent Spur Heli-Skiing</v>
      </c>
      <c r="C610" s="223" t="str">
        <f>IFERROR(__xludf.DUMMYFUNCTION("""COMPUTED_VALUE"""),"Google Search Campaigns")</f>
        <v>Google Search Campaigns</v>
      </c>
      <c r="D610" s="316">
        <f>IFERROR(__xludf.DUMMYFUNCTION("""COMPUTED_VALUE"""),44925.0)</f>
        <v>44925</v>
      </c>
      <c r="E610" s="298">
        <f>IFERROR(__xludf.DUMMYFUNCTION("""COMPUTED_VALUE"""),1129.34)</f>
        <v>1129.34</v>
      </c>
      <c r="F610" s="298">
        <f>IFERROR(__xludf.DUMMYFUNCTION("""COMPUTED_VALUE"""),35.14)</f>
        <v>35.14</v>
      </c>
      <c r="G610" s="298">
        <f>IFERROR(__xludf.DUMMYFUNCTION("""COMPUTED_VALUE"""),0.0)</f>
        <v>0</v>
      </c>
      <c r="H610" s="223">
        <f>IFERROR(__xludf.DUMMYFUNCTION("""COMPUTED_VALUE"""),1094.1999999999998)</f>
        <v>1094.2</v>
      </c>
      <c r="I610" s="298"/>
      <c r="J610" s="223" t="str">
        <f>IFERROR(__xludf.DUMMYFUNCTION("""COMPUTED_VALUE"""),"1/3 Deposit Prepaid
1/3 of Remainder Milestone
1/3 of Remainder Milestone Final")</f>
        <v>1/3 Deposit Prepaid
1/3 of Remainder Milestone
1/3 of Remainder Milestone Final</v>
      </c>
      <c r="K610" s="317">
        <f>IFERROR(__xludf.DUMMYFUNCTION("""COMPUTED_VALUE"""),2022.0)</f>
        <v>2022</v>
      </c>
      <c r="L610" s="298"/>
      <c r="M610" s="223"/>
      <c r="N610" s="223"/>
      <c r="O610" s="223"/>
      <c r="P610" s="223"/>
      <c r="Q610" s="223"/>
      <c r="R610" s="223"/>
      <c r="S610" s="223"/>
      <c r="T610" s="223"/>
      <c r="U610" s="223"/>
      <c r="V610" s="223"/>
      <c r="W610" s="223"/>
      <c r="X610" s="223"/>
      <c r="Y610" s="223"/>
      <c r="Z610" s="223"/>
    </row>
    <row r="611">
      <c r="A611" s="223" t="str">
        <f>IFERROR(__xludf.DUMMYFUNCTION("""COMPUTED_VALUE"""),"Crisp Media : Google PPC Mgmt")</f>
        <v>Crisp Media : Google PPC Mgmt</v>
      </c>
      <c r="B611" s="223" t="str">
        <f>IFERROR(__xludf.DUMMYFUNCTION("""COMPUTED_VALUE"""),"Crisp Media")</f>
        <v>Crisp Media</v>
      </c>
      <c r="C611" s="223" t="str">
        <f>IFERROR(__xludf.DUMMYFUNCTION("""COMPUTED_VALUE"""),"Google PPC Mgmt")</f>
        <v>Google PPC Mgmt</v>
      </c>
      <c r="D611" s="316">
        <f>IFERROR(__xludf.DUMMYFUNCTION("""COMPUTED_VALUE"""),44880.0)</f>
        <v>44880</v>
      </c>
      <c r="E611" s="298">
        <f>IFERROR(__xludf.DUMMYFUNCTION("""COMPUTED_VALUE"""),2400.0)</f>
        <v>2400</v>
      </c>
      <c r="F611" s="298">
        <f>IFERROR(__xludf.DUMMYFUNCTION("""COMPUTED_VALUE"""),74.67)</f>
        <v>74.67</v>
      </c>
      <c r="G611" s="298">
        <f>IFERROR(__xludf.DUMMYFUNCTION("""COMPUTED_VALUE"""),0.0)</f>
        <v>0</v>
      </c>
      <c r="H611" s="223">
        <f>IFERROR(__xludf.DUMMYFUNCTION("""COMPUTED_VALUE"""),2325.33)</f>
        <v>2325.33</v>
      </c>
      <c r="I611" s="298"/>
      <c r="J611" s="223" t="str">
        <f>IFERROR(__xludf.DUMMYFUNCTION("""COMPUTED_VALUE"""),"One-Time")</f>
        <v>One-Time</v>
      </c>
      <c r="K611" s="317">
        <f>IFERROR(__xludf.DUMMYFUNCTION("""COMPUTED_VALUE"""),2022.0)</f>
        <v>2022</v>
      </c>
      <c r="L611" s="298"/>
      <c r="M611" s="223"/>
      <c r="N611" s="223"/>
      <c r="O611" s="223"/>
      <c r="P611" s="223"/>
      <c r="Q611" s="223"/>
      <c r="R611" s="223"/>
      <c r="S611" s="223"/>
      <c r="T611" s="223"/>
      <c r="U611" s="223"/>
      <c r="V611" s="223"/>
      <c r="W611" s="223"/>
      <c r="X611" s="223"/>
      <c r="Y611" s="223"/>
      <c r="Z611" s="223"/>
    </row>
    <row r="612">
      <c r="A612" s="223" t="str">
        <f>IFERROR(__xludf.DUMMYFUNCTION("""COMPUTED_VALUE"""),"Crisp Media : Monthly Genus Google PPC Mgmt")</f>
        <v>Crisp Media : Monthly Genus Google PPC Mgmt</v>
      </c>
      <c r="B612" s="223" t="str">
        <f>IFERROR(__xludf.DUMMYFUNCTION("""COMPUTED_VALUE"""),"Crisp Media")</f>
        <v>Crisp Media</v>
      </c>
      <c r="C612" s="223" t="str">
        <f>IFERROR(__xludf.DUMMYFUNCTION("""COMPUTED_VALUE"""),"Monthly Genus Google PPC Mgmt")</f>
        <v>Monthly Genus Google PPC Mgmt</v>
      </c>
      <c r="D612" s="316">
        <f>IFERROR(__xludf.DUMMYFUNCTION("""COMPUTED_VALUE"""),44895.0)</f>
        <v>44895</v>
      </c>
      <c r="E612" s="298">
        <f>IFERROR(__xludf.DUMMYFUNCTION("""COMPUTED_VALUE"""),600.0)</f>
        <v>600</v>
      </c>
      <c r="F612" s="298">
        <f>IFERROR(__xludf.DUMMYFUNCTION("""COMPUTED_VALUE"""),18.67)</f>
        <v>18.67</v>
      </c>
      <c r="G612" s="298">
        <f>IFERROR(__xludf.DUMMYFUNCTION("""COMPUTED_VALUE"""),0.0)</f>
        <v>0</v>
      </c>
      <c r="H612" s="223">
        <f>IFERROR(__xludf.DUMMYFUNCTION("""COMPUTED_VALUE"""),581.33)</f>
        <v>581.33</v>
      </c>
      <c r="I612" s="298"/>
      <c r="J612" s="223" t="str">
        <f>IFERROR(__xludf.DUMMYFUNCTION("""COMPUTED_VALUE"""),"Monthly")</f>
        <v>Monthly</v>
      </c>
      <c r="K612" s="317">
        <f>IFERROR(__xludf.DUMMYFUNCTION("""COMPUTED_VALUE"""),2022.11)</f>
        <v>2022.11</v>
      </c>
      <c r="L612" s="298"/>
      <c r="M612" s="223"/>
      <c r="N612" s="223"/>
      <c r="O612" s="223"/>
      <c r="P612" s="223"/>
      <c r="Q612" s="223"/>
      <c r="R612" s="223"/>
      <c r="S612" s="223"/>
      <c r="T612" s="223"/>
      <c r="U612" s="223"/>
      <c r="V612" s="223"/>
      <c r="W612" s="223"/>
      <c r="X612" s="223"/>
      <c r="Y612" s="223"/>
      <c r="Z612" s="223"/>
    </row>
    <row r="613">
      <c r="A613" s="223" t="str">
        <f>IFERROR(__xludf.DUMMYFUNCTION("""COMPUTED_VALUE"""),"Booginhead : Monthly Services")</f>
        <v>Booginhead : Monthly Services</v>
      </c>
      <c r="B613" s="223" t="str">
        <f>IFERROR(__xludf.DUMMYFUNCTION("""COMPUTED_VALUE"""),"Booginhead")</f>
        <v>Booginhead</v>
      </c>
      <c r="C613" s="223" t="str">
        <f>IFERROR(__xludf.DUMMYFUNCTION("""COMPUTED_VALUE"""),"Monthly Services")</f>
        <v>Monthly Services</v>
      </c>
      <c r="D613" s="316">
        <f>IFERROR(__xludf.DUMMYFUNCTION("""COMPUTED_VALUE"""),44880.0)</f>
        <v>44880</v>
      </c>
      <c r="E613" s="298">
        <f>IFERROR(__xludf.DUMMYFUNCTION("""COMPUTED_VALUE"""),1667.6725000000001)</f>
        <v>1667.6725</v>
      </c>
      <c r="F613" s="298">
        <f>IFERROR(__xludf.DUMMYFUNCTION("""COMPUTED_VALUE"""),62.088730000000005)</f>
        <v>62.08873</v>
      </c>
      <c r="G613" s="298">
        <f>IFERROR(__xludf.DUMMYFUNCTION("""COMPUTED_VALUE"""),321.11675400000007)</f>
        <v>321.116754</v>
      </c>
      <c r="H613" s="223">
        <f>IFERROR(__xludf.DUMMYFUNCTION("""COMPUTED_VALUE"""),1284.467016)</f>
        <v>1284.467016</v>
      </c>
      <c r="I613" s="298"/>
      <c r="J613" s="223" t="str">
        <f>IFERROR(__xludf.DUMMYFUNCTION("""COMPUTED_VALUE"""),"Monthly")</f>
        <v>Monthly</v>
      </c>
      <c r="K613" s="317">
        <f>IFERROR(__xludf.DUMMYFUNCTION("""COMPUTED_VALUE"""),2022.11)</f>
        <v>2022.11</v>
      </c>
      <c r="L613" s="298"/>
      <c r="M613" s="223"/>
      <c r="N613" s="223"/>
      <c r="O613" s="223"/>
      <c r="P613" s="223"/>
      <c r="Q613" s="223"/>
      <c r="R613" s="223"/>
      <c r="S613" s="223"/>
      <c r="T613" s="223"/>
      <c r="U613" s="223"/>
      <c r="V613" s="223"/>
      <c r="W613" s="223"/>
      <c r="X613" s="223"/>
      <c r="Y613" s="223"/>
      <c r="Z613" s="223"/>
    </row>
    <row r="614">
      <c r="A614" s="223" t="str">
        <f>IFERROR(__xludf.DUMMYFUNCTION("""COMPUTED_VALUE"""),"New Growth Ecommerce Inc : Monthly Services")</f>
        <v>New Growth Ecommerce Inc : Monthly Services</v>
      </c>
      <c r="B614" s="223" t="str">
        <f>IFERROR(__xludf.DUMMYFUNCTION("""COMPUTED_VALUE"""),"New Growth Ecommerce Inc")</f>
        <v>New Growth Ecommerce Inc</v>
      </c>
      <c r="C614" s="223" t="str">
        <f>IFERROR(__xludf.DUMMYFUNCTION("""COMPUTED_VALUE"""),"Monthly Services")</f>
        <v>Monthly Services</v>
      </c>
      <c r="D614" s="316">
        <f>IFERROR(__xludf.DUMMYFUNCTION("""COMPUTED_VALUE"""),44880.0)</f>
        <v>44880</v>
      </c>
      <c r="E614" s="298">
        <f>IFERROR(__xludf.DUMMYFUNCTION("""COMPUTED_VALUE"""),5000.0)</f>
        <v>5000</v>
      </c>
      <c r="F614" s="298">
        <f>IFERROR(__xludf.DUMMYFUNCTION("""COMPUTED_VALUE"""),0.0)</f>
        <v>0</v>
      </c>
      <c r="G614" s="298">
        <f>IFERROR(__xludf.DUMMYFUNCTION("""COMPUTED_VALUE"""),0.0)</f>
        <v>0</v>
      </c>
      <c r="H614" s="223">
        <f>IFERROR(__xludf.DUMMYFUNCTION("""COMPUTED_VALUE"""),5000.0)</f>
        <v>5000</v>
      </c>
      <c r="I614" s="298"/>
      <c r="J614" s="223" t="str">
        <f>IFERROR(__xludf.DUMMYFUNCTION("""COMPUTED_VALUE"""),"Monthly")</f>
        <v>Monthly</v>
      </c>
      <c r="K614" s="317">
        <f>IFERROR(__xludf.DUMMYFUNCTION("""COMPUTED_VALUE"""),2022.11)</f>
        <v>2022.11</v>
      </c>
      <c r="L614" s="298"/>
      <c r="M614" s="223"/>
      <c r="N614" s="223"/>
      <c r="O614" s="223"/>
      <c r="P614" s="223"/>
      <c r="Q614" s="223"/>
      <c r="R614" s="223"/>
      <c r="S614" s="223"/>
      <c r="T614" s="223"/>
      <c r="U614" s="223"/>
      <c r="V614" s="223"/>
      <c r="W614" s="223"/>
      <c r="X614" s="223"/>
      <c r="Y614" s="223"/>
      <c r="Z614" s="223"/>
    </row>
    <row r="615">
      <c r="A615" s="223" t="str">
        <f>IFERROR(__xludf.DUMMYFUNCTION("""COMPUTED_VALUE"""),"OA Region 6 : Monthly Services")</f>
        <v>OA Region 6 : Monthly Services</v>
      </c>
      <c r="B615" s="223" t="str">
        <f>IFERROR(__xludf.DUMMYFUNCTION("""COMPUTED_VALUE"""),"OA Region 6")</f>
        <v>OA Region 6</v>
      </c>
      <c r="C615" s="223" t="str">
        <f>IFERROR(__xludf.DUMMYFUNCTION("""COMPUTED_VALUE"""),"Monthly Services")</f>
        <v>Monthly Services</v>
      </c>
      <c r="D615" s="316">
        <f>IFERROR(__xludf.DUMMYFUNCTION("""COMPUTED_VALUE"""),44880.0)</f>
        <v>44880</v>
      </c>
      <c r="E615" s="298">
        <f>IFERROR(__xludf.DUMMYFUNCTION("""COMPUTED_VALUE"""),473.2805)</f>
        <v>473.2805</v>
      </c>
      <c r="F615" s="298">
        <f>IFERROR(__xludf.DUMMYFUNCTION("""COMPUTED_VALUE"""),17.9170475)</f>
        <v>17.9170475</v>
      </c>
      <c r="G615" s="298">
        <f>IFERROR(__xludf.DUMMYFUNCTION("""COMPUTED_VALUE"""),0.0)</f>
        <v>0</v>
      </c>
      <c r="H615" s="223">
        <f>IFERROR(__xludf.DUMMYFUNCTION("""COMPUTED_VALUE"""),455.3634525)</f>
        <v>455.3634525</v>
      </c>
      <c r="I615" s="298"/>
      <c r="J615" s="223" t="str">
        <f>IFERROR(__xludf.DUMMYFUNCTION("""COMPUTED_VALUE"""),"Monthly")</f>
        <v>Monthly</v>
      </c>
      <c r="K615" s="317">
        <f>IFERROR(__xludf.DUMMYFUNCTION("""COMPUTED_VALUE"""),2022.11)</f>
        <v>2022.11</v>
      </c>
      <c r="L615" s="298"/>
      <c r="M615" s="223"/>
      <c r="N615" s="223"/>
      <c r="O615" s="223"/>
      <c r="P615" s="223"/>
      <c r="Q615" s="223"/>
      <c r="R615" s="223"/>
      <c r="S615" s="223"/>
      <c r="T615" s="223"/>
      <c r="U615" s="223"/>
      <c r="V615" s="223"/>
      <c r="W615" s="223"/>
      <c r="X615" s="223"/>
      <c r="Y615" s="223"/>
      <c r="Z615" s="223"/>
    </row>
    <row r="616">
      <c r="A616" s="223" t="str">
        <f>IFERROR(__xludf.DUMMYFUNCTION("""COMPUTED_VALUE"""),"Tofino Resort + Marina : Monthly Services")</f>
        <v>Tofino Resort + Marina : Monthly Services</v>
      </c>
      <c r="B616" s="223" t="str">
        <f>IFERROR(__xludf.DUMMYFUNCTION("""COMPUTED_VALUE"""),"Tofino Resort + Marina")</f>
        <v>Tofino Resort + Marina</v>
      </c>
      <c r="C616" s="223" t="str">
        <f>IFERROR(__xludf.DUMMYFUNCTION("""COMPUTED_VALUE"""),"Monthly Services")</f>
        <v>Monthly Services</v>
      </c>
      <c r="D616" s="316">
        <f>IFERROR(__xludf.DUMMYFUNCTION("""COMPUTED_VALUE"""),44880.0)</f>
        <v>44880</v>
      </c>
      <c r="E616" s="298">
        <f>IFERROR(__xludf.DUMMYFUNCTION("""COMPUTED_VALUE"""),1600.0)</f>
        <v>1600</v>
      </c>
      <c r="F616" s="298">
        <f>IFERROR(__xludf.DUMMYFUNCTION("""COMPUTED_VALUE"""),49.78)</f>
        <v>49.78</v>
      </c>
      <c r="G616" s="298">
        <f>IFERROR(__xludf.DUMMYFUNCTION("""COMPUTED_VALUE"""),0.0)</f>
        <v>0</v>
      </c>
      <c r="H616" s="223">
        <f>IFERROR(__xludf.DUMMYFUNCTION("""COMPUTED_VALUE"""),1550.22)</f>
        <v>1550.22</v>
      </c>
      <c r="I616" s="298"/>
      <c r="J616" s="223" t="str">
        <f>IFERROR(__xludf.DUMMYFUNCTION("""COMPUTED_VALUE"""),"Monthly")</f>
        <v>Monthly</v>
      </c>
      <c r="K616" s="317">
        <f>IFERROR(__xludf.DUMMYFUNCTION("""COMPUTED_VALUE"""),2022.11)</f>
        <v>2022.11</v>
      </c>
      <c r="L616" s="298"/>
      <c r="M616" s="223"/>
      <c r="N616" s="223"/>
      <c r="O616" s="223"/>
      <c r="P616" s="223"/>
      <c r="Q616" s="223"/>
      <c r="R616" s="223"/>
      <c r="S616" s="223"/>
      <c r="T616" s="223"/>
      <c r="U616" s="223"/>
      <c r="V616" s="223"/>
      <c r="W616" s="223"/>
      <c r="X616" s="223"/>
      <c r="Y616" s="223"/>
      <c r="Z616" s="223"/>
    </row>
    <row r="617">
      <c r="A617" s="223" t="str">
        <f>IFERROR(__xludf.DUMMYFUNCTION("""COMPUTED_VALUE"""),"Viridian : Monthly Services")</f>
        <v>Viridian : Monthly Services</v>
      </c>
      <c r="B617" s="223" t="str">
        <f>IFERROR(__xludf.DUMMYFUNCTION("""COMPUTED_VALUE"""),"Viridian")</f>
        <v>Viridian</v>
      </c>
      <c r="C617" s="223" t="str">
        <f>IFERROR(__xludf.DUMMYFUNCTION("""COMPUTED_VALUE"""),"Monthly Services")</f>
        <v>Monthly Services</v>
      </c>
      <c r="D617" s="316">
        <f>IFERROR(__xludf.DUMMYFUNCTION("""COMPUTED_VALUE"""),44880.0)</f>
        <v>44880</v>
      </c>
      <c r="E617" s="298">
        <f>IFERROR(__xludf.DUMMYFUNCTION("""COMPUTED_VALUE"""),900.0)</f>
        <v>900</v>
      </c>
      <c r="F617" s="298">
        <f>IFERROR(__xludf.DUMMYFUNCTION("""COMPUTED_VALUE"""),0.0)</f>
        <v>0</v>
      </c>
      <c r="G617" s="298">
        <f>IFERROR(__xludf.DUMMYFUNCTION("""COMPUTED_VALUE"""),0.0)</f>
        <v>0</v>
      </c>
      <c r="H617" s="223">
        <f>IFERROR(__xludf.DUMMYFUNCTION("""COMPUTED_VALUE"""),900.0)</f>
        <v>900</v>
      </c>
      <c r="I617" s="298"/>
      <c r="J617" s="223" t="str">
        <f>IFERROR(__xludf.DUMMYFUNCTION("""COMPUTED_VALUE"""),"Monthly")</f>
        <v>Monthly</v>
      </c>
      <c r="K617" s="317">
        <f>IFERROR(__xludf.DUMMYFUNCTION("""COMPUTED_VALUE"""),2022.11)</f>
        <v>2022.11</v>
      </c>
      <c r="L617" s="298"/>
      <c r="M617" s="223"/>
      <c r="N617" s="223"/>
      <c r="O617" s="223"/>
      <c r="P617" s="223"/>
      <c r="Q617" s="223"/>
      <c r="R617" s="223"/>
      <c r="S617" s="223"/>
      <c r="T617" s="223"/>
      <c r="U617" s="223"/>
      <c r="V617" s="223"/>
      <c r="W617" s="223"/>
      <c r="X617" s="223"/>
      <c r="Y617" s="223"/>
      <c r="Z617" s="223"/>
    </row>
    <row r="618">
      <c r="A618" s="223" t="str">
        <f>IFERROR(__xludf.DUMMYFUNCTION("""COMPUTED_VALUE"""),"Canyon's Construction : Enhanced Hosting &amp; WordPress Support")</f>
        <v>Canyon's Construction : Enhanced Hosting &amp; WordPress Support</v>
      </c>
      <c r="B618" s="223" t="str">
        <f>IFERROR(__xludf.DUMMYFUNCTION("""COMPUTED_VALUE"""),"Canyon's Construction")</f>
        <v>Canyon's Construction</v>
      </c>
      <c r="C618" s="223" t="str">
        <f>IFERROR(__xludf.DUMMYFUNCTION("""COMPUTED_VALUE"""),"Enhanced Hosting &amp; WordPress Support")</f>
        <v>Enhanced Hosting &amp; WordPress Support</v>
      </c>
      <c r="D618" s="316">
        <f>IFERROR(__xludf.DUMMYFUNCTION("""COMPUTED_VALUE"""),44880.0)</f>
        <v>44880</v>
      </c>
      <c r="E618" s="298">
        <f>IFERROR(__xludf.DUMMYFUNCTION("""COMPUTED_VALUE"""),364.16128)</f>
        <v>364.16128</v>
      </c>
      <c r="F618" s="298">
        <f>IFERROR(__xludf.DUMMYFUNCTION("""COMPUTED_VALUE"""),13.669053759999999)</f>
        <v>13.66905376</v>
      </c>
      <c r="G618" s="298">
        <f>IFERROR(__xludf.DUMMYFUNCTION("""COMPUTED_VALUE"""),70.098445248)</f>
        <v>70.09844525</v>
      </c>
      <c r="H618" s="223">
        <f>IFERROR(__xludf.DUMMYFUNCTION("""COMPUTED_VALUE"""),280.39378099199996)</f>
        <v>280.393781</v>
      </c>
      <c r="I618" s="298"/>
      <c r="J618" s="223" t="str">
        <f>IFERROR(__xludf.DUMMYFUNCTION("""COMPUTED_VALUE"""),"Monthly")</f>
        <v>Monthly</v>
      </c>
      <c r="K618" s="317">
        <f>IFERROR(__xludf.DUMMYFUNCTION("""COMPUTED_VALUE"""),2022.11)</f>
        <v>2022.11</v>
      </c>
      <c r="L618" s="298"/>
      <c r="M618" s="223"/>
      <c r="N618" s="223"/>
      <c r="O618" s="223"/>
      <c r="P618" s="223"/>
      <c r="Q618" s="223"/>
      <c r="R618" s="223"/>
      <c r="S618" s="223"/>
      <c r="T618" s="223"/>
      <c r="U618" s="223"/>
      <c r="V618" s="223"/>
      <c r="W618" s="223"/>
      <c r="X618" s="223"/>
      <c r="Y618" s="223"/>
      <c r="Z618" s="223"/>
    </row>
    <row r="619">
      <c r="A619" s="223" t="str">
        <f>IFERROR(__xludf.DUMMYFUNCTION("""COMPUTED_VALUE"""),"Villa del Mar : Enhanced Hosting &amp; WordPress Support")</f>
        <v>Villa del Mar : Enhanced Hosting &amp; WordPress Support</v>
      </c>
      <c r="B619" s="223" t="str">
        <f>IFERROR(__xludf.DUMMYFUNCTION("""COMPUTED_VALUE"""),"Villa del Mar")</f>
        <v>Villa del Mar</v>
      </c>
      <c r="C619" s="223" t="str">
        <f>IFERROR(__xludf.DUMMYFUNCTION("""COMPUTED_VALUE"""),"Enhanced Hosting &amp; WordPress Support")</f>
        <v>Enhanced Hosting &amp; WordPress Support</v>
      </c>
      <c r="D619" s="316">
        <f>IFERROR(__xludf.DUMMYFUNCTION("""COMPUTED_VALUE"""),44880.0)</f>
        <v>44880</v>
      </c>
      <c r="E619" s="298">
        <f>IFERROR(__xludf.DUMMYFUNCTION("""COMPUTED_VALUE"""),373.96520000000004)</f>
        <v>373.9652</v>
      </c>
      <c r="F619" s="298">
        <f>IFERROR(__xludf.DUMMYFUNCTION("""COMPUTED_VALUE"""),11.15)</f>
        <v>11.15</v>
      </c>
      <c r="G619" s="298">
        <f>IFERROR(__xludf.DUMMYFUNCTION("""COMPUTED_VALUE"""),0.0)</f>
        <v>0</v>
      </c>
      <c r="H619" s="223">
        <f>IFERROR(__xludf.DUMMYFUNCTION("""COMPUTED_VALUE"""),362.81520000000006)</f>
        <v>362.8152</v>
      </c>
      <c r="I619" s="298"/>
      <c r="J619" s="223" t="str">
        <f>IFERROR(__xludf.DUMMYFUNCTION("""COMPUTED_VALUE"""),"Monthly")</f>
        <v>Monthly</v>
      </c>
      <c r="K619" s="317">
        <f>IFERROR(__xludf.DUMMYFUNCTION("""COMPUTED_VALUE"""),2022.11)</f>
        <v>2022.11</v>
      </c>
      <c r="L619" s="298"/>
      <c r="M619" s="223"/>
      <c r="N619" s="223"/>
      <c r="O619" s="223"/>
      <c r="P619" s="223"/>
      <c r="Q619" s="223"/>
      <c r="R619" s="223"/>
      <c r="S619" s="223"/>
      <c r="T619" s="223"/>
      <c r="U619" s="223"/>
      <c r="V619" s="223"/>
      <c r="W619" s="223"/>
      <c r="X619" s="223"/>
      <c r="Y619" s="223"/>
      <c r="Z619" s="223"/>
    </row>
    <row r="620">
      <c r="A620" s="223" t="str">
        <f>IFERROR(__xludf.DUMMYFUNCTION("""COMPUTED_VALUE"""),"Anavara : Enhanced Hosting &amp; WordPress Support")</f>
        <v>Anavara : Enhanced Hosting &amp; WordPress Support</v>
      </c>
      <c r="B620" s="223" t="str">
        <f>IFERROR(__xludf.DUMMYFUNCTION("""COMPUTED_VALUE"""),"Anavara")</f>
        <v>Anavara</v>
      </c>
      <c r="C620" s="223" t="str">
        <f>IFERROR(__xludf.DUMMYFUNCTION("""COMPUTED_VALUE"""),"Enhanced Hosting &amp; WordPress Support")</f>
        <v>Enhanced Hosting &amp; WordPress Support</v>
      </c>
      <c r="D620" s="316">
        <f>IFERROR(__xludf.DUMMYFUNCTION("""COMPUTED_VALUE"""),44880.0)</f>
        <v>44880</v>
      </c>
      <c r="E620" s="298">
        <f>IFERROR(__xludf.DUMMYFUNCTION("""COMPUTED_VALUE"""),280.0)</f>
        <v>280</v>
      </c>
      <c r="F620" s="298">
        <f>IFERROR(__xludf.DUMMYFUNCTION("""COMPUTED_VALUE"""),8.71)</f>
        <v>8.71</v>
      </c>
      <c r="G620" s="298">
        <f>IFERROR(__xludf.DUMMYFUNCTION("""COMPUTED_VALUE"""),0.0)</f>
        <v>0</v>
      </c>
      <c r="H620" s="223">
        <f>IFERROR(__xludf.DUMMYFUNCTION("""COMPUTED_VALUE"""),271.29)</f>
        <v>271.29</v>
      </c>
      <c r="I620" s="298"/>
      <c r="J620" s="223" t="str">
        <f>IFERROR(__xludf.DUMMYFUNCTION("""COMPUTED_VALUE"""),"Monthly")</f>
        <v>Monthly</v>
      </c>
      <c r="K620" s="317">
        <f>IFERROR(__xludf.DUMMYFUNCTION("""COMPUTED_VALUE"""),2022.11)</f>
        <v>2022.11</v>
      </c>
      <c r="L620" s="298"/>
      <c r="M620" s="223"/>
      <c r="N620" s="223"/>
      <c r="O620" s="223"/>
      <c r="P620" s="223"/>
      <c r="Q620" s="223"/>
      <c r="R620" s="223"/>
      <c r="S620" s="223"/>
      <c r="T620" s="223"/>
      <c r="U620" s="223"/>
      <c r="V620" s="223"/>
      <c r="W620" s="223"/>
      <c r="X620" s="223"/>
      <c r="Y620" s="223"/>
      <c r="Z620" s="223"/>
    </row>
    <row r="621">
      <c r="A621" s="223" t="str">
        <f>IFERROR(__xludf.DUMMYFUNCTION("""COMPUTED_VALUE"""),"Bratopia : Monthly Services")</f>
        <v>Bratopia : Monthly Services</v>
      </c>
      <c r="B621" s="223" t="str">
        <f>IFERROR(__xludf.DUMMYFUNCTION("""COMPUTED_VALUE"""),"Bratopia")</f>
        <v>Bratopia</v>
      </c>
      <c r="C621" s="223" t="str">
        <f>IFERROR(__xludf.DUMMYFUNCTION("""COMPUTED_VALUE"""),"Monthly Services")</f>
        <v>Monthly Services</v>
      </c>
      <c r="D621" s="316">
        <f>IFERROR(__xludf.DUMMYFUNCTION("""COMPUTED_VALUE"""),44883.0)</f>
        <v>44883</v>
      </c>
      <c r="E621" s="298">
        <f>IFERROR(__xludf.DUMMYFUNCTION("""COMPUTED_VALUE"""),500.0)</f>
        <v>500</v>
      </c>
      <c r="F621" s="298">
        <f>IFERROR(__xludf.DUMMYFUNCTION("""COMPUTED_VALUE"""),15.56)</f>
        <v>15.56</v>
      </c>
      <c r="G621" s="298">
        <f>IFERROR(__xludf.DUMMYFUNCTION("""COMPUTED_VALUE"""),0.0)</f>
        <v>0</v>
      </c>
      <c r="H621" s="223">
        <f>IFERROR(__xludf.DUMMYFUNCTION("""COMPUTED_VALUE"""),484.44)</f>
        <v>484.44</v>
      </c>
      <c r="I621" s="298"/>
      <c r="J621" s="223" t="str">
        <f>IFERROR(__xludf.DUMMYFUNCTION("""COMPUTED_VALUE"""),"Monthly")</f>
        <v>Monthly</v>
      </c>
      <c r="K621" s="317">
        <f>IFERROR(__xludf.DUMMYFUNCTION("""COMPUTED_VALUE"""),2022.11)</f>
        <v>2022.11</v>
      </c>
      <c r="L621" s="298"/>
      <c r="M621" s="223"/>
      <c r="N621" s="223"/>
      <c r="O621" s="223"/>
      <c r="P621" s="223"/>
      <c r="Q621" s="223"/>
      <c r="R621" s="223"/>
      <c r="S621" s="223"/>
      <c r="T621" s="223"/>
      <c r="U621" s="223"/>
      <c r="V621" s="223"/>
      <c r="W621" s="223"/>
      <c r="X621" s="223"/>
      <c r="Y621" s="223"/>
      <c r="Z621" s="223"/>
    </row>
    <row r="622">
      <c r="A622" s="223" t="str">
        <f>IFERROR(__xludf.DUMMYFUNCTION("""COMPUTED_VALUE"""),"The Sands : 10 Hour General Support Block")</f>
        <v>The Sands : 10 Hour General Support Block</v>
      </c>
      <c r="B622" s="223" t="str">
        <f>IFERROR(__xludf.DUMMYFUNCTION("""COMPUTED_VALUE"""),"The Sands")</f>
        <v>The Sands</v>
      </c>
      <c r="C622" s="223" t="str">
        <f>IFERROR(__xludf.DUMMYFUNCTION("""COMPUTED_VALUE"""),"10 Hour General Support Block")</f>
        <v>10 Hour General Support Block</v>
      </c>
      <c r="D622" s="316">
        <f>IFERROR(__xludf.DUMMYFUNCTION("""COMPUTED_VALUE"""),44910.0)</f>
        <v>44910</v>
      </c>
      <c r="E622" s="298">
        <f>IFERROR(__xludf.DUMMYFUNCTION("""COMPUTED_VALUE"""),1302.99429)</f>
        <v>1302.99429</v>
      </c>
      <c r="F622" s="298">
        <f>IFERROR(__xludf.DUMMYFUNCTION("""COMPUTED_VALUE"""),0.0)</f>
        <v>0</v>
      </c>
      <c r="G622" s="298">
        <f>IFERROR(__xludf.DUMMYFUNCTION("""COMPUTED_VALUE"""),0.0)</f>
        <v>0</v>
      </c>
      <c r="H622" s="223">
        <f>IFERROR(__xludf.DUMMYFUNCTION("""COMPUTED_VALUE"""),1302.99429)</f>
        <v>1302.99429</v>
      </c>
      <c r="I622" s="298"/>
      <c r="J622" s="223" t="str">
        <f>IFERROR(__xludf.DUMMYFUNCTION("""COMPUTED_VALUE"""),"One-Time")</f>
        <v>One-Time</v>
      </c>
      <c r="K622" s="317">
        <f>IFERROR(__xludf.DUMMYFUNCTION("""COMPUTED_VALUE"""),2022.0)</f>
        <v>2022</v>
      </c>
      <c r="L622" s="298"/>
      <c r="M622" s="223"/>
      <c r="N622" s="223"/>
      <c r="O622" s="223"/>
      <c r="P622" s="223"/>
      <c r="Q622" s="223"/>
      <c r="R622" s="223"/>
      <c r="S622" s="223"/>
      <c r="T622" s="223"/>
      <c r="U622" s="223"/>
      <c r="V622" s="223"/>
      <c r="W622" s="223"/>
      <c r="X622" s="223"/>
      <c r="Y622" s="223"/>
      <c r="Z622" s="223"/>
    </row>
    <row r="623">
      <c r="A623" s="223" t="str">
        <f>IFERROR(__xludf.DUMMYFUNCTION("""COMPUTED_VALUE"""),"The Shore Club : 10 Hour General Support Block")</f>
        <v>The Shore Club : 10 Hour General Support Block</v>
      </c>
      <c r="B623" s="223" t="str">
        <f>IFERROR(__xludf.DUMMYFUNCTION("""COMPUTED_VALUE"""),"The Shore Club")</f>
        <v>The Shore Club</v>
      </c>
      <c r="C623" s="223" t="str">
        <f>IFERROR(__xludf.DUMMYFUNCTION("""COMPUTED_VALUE"""),"10 Hour General Support Block")</f>
        <v>10 Hour General Support Block</v>
      </c>
      <c r="D623" s="316">
        <f>IFERROR(__xludf.DUMMYFUNCTION("""COMPUTED_VALUE"""),44910.0)</f>
        <v>44910</v>
      </c>
      <c r="E623" s="298">
        <f>IFERROR(__xludf.DUMMYFUNCTION("""COMPUTED_VALUE"""),1300.3654999999999)</f>
        <v>1300.3655</v>
      </c>
      <c r="F623" s="298">
        <f>IFERROR(__xludf.DUMMYFUNCTION("""COMPUTED_VALUE"""),0.0)</f>
        <v>0</v>
      </c>
      <c r="G623" s="298">
        <f>IFERROR(__xludf.DUMMYFUNCTION("""COMPUTED_VALUE"""),0.0)</f>
        <v>0</v>
      </c>
      <c r="H623" s="223">
        <f>IFERROR(__xludf.DUMMYFUNCTION("""COMPUTED_VALUE"""),1300.3654999999999)</f>
        <v>1300.3655</v>
      </c>
      <c r="I623" s="298"/>
      <c r="J623" s="223" t="str">
        <f>IFERROR(__xludf.DUMMYFUNCTION("""COMPUTED_VALUE"""),"One-Time")</f>
        <v>One-Time</v>
      </c>
      <c r="K623" s="317">
        <f>IFERROR(__xludf.DUMMYFUNCTION("""COMPUTED_VALUE"""),2022.0)</f>
        <v>2022</v>
      </c>
      <c r="L623" s="298"/>
      <c r="M623" s="223"/>
      <c r="N623" s="223"/>
      <c r="O623" s="223"/>
      <c r="P623" s="223"/>
      <c r="Q623" s="223"/>
      <c r="R623" s="223"/>
      <c r="S623" s="223"/>
      <c r="T623" s="223"/>
      <c r="U623" s="223"/>
      <c r="V623" s="223"/>
      <c r="W623" s="223"/>
      <c r="X623" s="223"/>
      <c r="Y623" s="223"/>
      <c r="Z623" s="223"/>
    </row>
    <row r="624">
      <c r="A624" s="223" t="str">
        <f>IFERROR(__xludf.DUMMYFUNCTION("""COMPUTED_VALUE"""),"The Palms : 10 Hour General Support Block")</f>
        <v>The Palms : 10 Hour General Support Block</v>
      </c>
      <c r="B624" s="223" t="str">
        <f>IFERROR(__xludf.DUMMYFUNCTION("""COMPUTED_VALUE"""),"The Palms")</f>
        <v>The Palms</v>
      </c>
      <c r="C624" s="223" t="str">
        <f>IFERROR(__xludf.DUMMYFUNCTION("""COMPUTED_VALUE"""),"10 Hour General Support Block")</f>
        <v>10 Hour General Support Block</v>
      </c>
      <c r="D624" s="316">
        <f>IFERROR(__xludf.DUMMYFUNCTION("""COMPUTED_VALUE"""),44939.0)</f>
        <v>44939</v>
      </c>
      <c r="E624" s="298">
        <f>IFERROR(__xludf.DUMMYFUNCTION("""COMPUTED_VALUE"""),1366.7199605)</f>
        <v>1366.719961</v>
      </c>
      <c r="F624" s="298">
        <f>IFERROR(__xludf.DUMMYFUNCTION("""COMPUTED_VALUE"""),0.0)</f>
        <v>0</v>
      </c>
      <c r="G624" s="298">
        <f>IFERROR(__xludf.DUMMYFUNCTION("""COMPUTED_VALUE"""),0.0)</f>
        <v>0</v>
      </c>
      <c r="H624" s="223">
        <f>IFERROR(__xludf.DUMMYFUNCTION("""COMPUTED_VALUE"""),1366.7199605)</f>
        <v>1366.719961</v>
      </c>
      <c r="I624" s="298"/>
      <c r="J624" s="223" t="str">
        <f>IFERROR(__xludf.DUMMYFUNCTION("""COMPUTED_VALUE"""),"One-Time")</f>
        <v>One-Time</v>
      </c>
      <c r="K624" s="317">
        <f>IFERROR(__xludf.DUMMYFUNCTION("""COMPUTED_VALUE"""),2023.0)</f>
        <v>2023</v>
      </c>
      <c r="L624" s="298"/>
      <c r="M624" s="223"/>
      <c r="N624" s="223"/>
      <c r="O624" s="223"/>
      <c r="P624" s="223"/>
      <c r="Q624" s="223"/>
      <c r="R624" s="223"/>
      <c r="S624" s="223"/>
      <c r="T624" s="223"/>
      <c r="U624" s="223"/>
      <c r="V624" s="223"/>
      <c r="W624" s="223"/>
      <c r="X624" s="223"/>
      <c r="Y624" s="223"/>
      <c r="Z624" s="223"/>
    </row>
    <row r="625">
      <c r="A625" s="223" t="str">
        <f>IFERROR(__xludf.DUMMYFUNCTION("""COMPUTED_VALUE"""),"STNVideo : SEO Audit")</f>
        <v>STNVideo : SEO Audit</v>
      </c>
      <c r="B625" s="223" t="str">
        <f>IFERROR(__xludf.DUMMYFUNCTION("""COMPUTED_VALUE"""),"STNVideo")</f>
        <v>STNVideo</v>
      </c>
      <c r="C625" s="223" t="str">
        <f>IFERROR(__xludf.DUMMYFUNCTION("""COMPUTED_VALUE"""),"SEO Audit")</f>
        <v>SEO Audit</v>
      </c>
      <c r="D625" s="316">
        <f>IFERROR(__xludf.DUMMYFUNCTION("""COMPUTED_VALUE"""),44888.0)</f>
        <v>44888</v>
      </c>
      <c r="E625" s="298">
        <f>IFERROR(__xludf.DUMMYFUNCTION("""COMPUTED_VALUE"""),600.0)</f>
        <v>600</v>
      </c>
      <c r="F625" s="298">
        <f>IFERROR(__xludf.DUMMYFUNCTION("""COMPUTED_VALUE"""),18.67)</f>
        <v>18.67</v>
      </c>
      <c r="G625" s="298">
        <f>IFERROR(__xludf.DUMMYFUNCTION("""COMPUTED_VALUE"""),0.0)</f>
        <v>0</v>
      </c>
      <c r="H625" s="223">
        <f>IFERROR(__xludf.DUMMYFUNCTION("""COMPUTED_VALUE"""),581.33)</f>
        <v>581.33</v>
      </c>
      <c r="I625" s="298"/>
      <c r="J625" s="223" t="str">
        <f>IFERROR(__xludf.DUMMYFUNCTION("""COMPUTED_VALUE"""),"One-Time")</f>
        <v>One-Time</v>
      </c>
      <c r="K625" s="317">
        <f>IFERROR(__xludf.DUMMYFUNCTION("""COMPUTED_VALUE"""),2022.0)</f>
        <v>2022</v>
      </c>
      <c r="L625" s="298"/>
      <c r="M625" s="223"/>
      <c r="N625" s="223"/>
      <c r="O625" s="223"/>
      <c r="P625" s="223"/>
      <c r="Q625" s="223"/>
      <c r="R625" s="223"/>
      <c r="S625" s="223"/>
      <c r="T625" s="223"/>
      <c r="U625" s="223"/>
      <c r="V625" s="223"/>
      <c r="W625" s="223"/>
      <c r="X625" s="223"/>
      <c r="Y625" s="223"/>
      <c r="Z625" s="223"/>
    </row>
    <row r="626">
      <c r="A626" s="223" t="str">
        <f>IFERROR(__xludf.DUMMYFUNCTION("""COMPUTED_VALUE"""),"STNVideo : SEO Audit")</f>
        <v>STNVideo : SEO Audit</v>
      </c>
      <c r="B626" s="223" t="str">
        <f>IFERROR(__xludf.DUMMYFUNCTION("""COMPUTED_VALUE"""),"STNVideo")</f>
        <v>STNVideo</v>
      </c>
      <c r="C626" s="223" t="str">
        <f>IFERROR(__xludf.DUMMYFUNCTION("""COMPUTED_VALUE"""),"SEO Audit")</f>
        <v>SEO Audit</v>
      </c>
      <c r="D626" s="316">
        <f>IFERROR(__xludf.DUMMYFUNCTION("""COMPUTED_VALUE"""),44925.0)</f>
        <v>44925</v>
      </c>
      <c r="E626" s="298">
        <f>IFERROR(__xludf.DUMMYFUNCTION("""COMPUTED_VALUE"""),600.0)</f>
        <v>600</v>
      </c>
      <c r="F626" s="298">
        <f>IFERROR(__xludf.DUMMYFUNCTION("""COMPUTED_VALUE"""),18.67)</f>
        <v>18.67</v>
      </c>
      <c r="G626" s="298">
        <f>IFERROR(__xludf.DUMMYFUNCTION("""COMPUTED_VALUE"""),0.0)</f>
        <v>0</v>
      </c>
      <c r="H626" s="223">
        <f>IFERROR(__xludf.DUMMYFUNCTION("""COMPUTED_VALUE"""),581.33)</f>
        <v>581.33</v>
      </c>
      <c r="I626" s="298"/>
      <c r="J626" s="223" t="str">
        <f>IFERROR(__xludf.DUMMYFUNCTION("""COMPUTED_VALUE"""),"One-Time")</f>
        <v>One-Time</v>
      </c>
      <c r="K626" s="317">
        <f>IFERROR(__xludf.DUMMYFUNCTION("""COMPUTED_VALUE"""),2022.0)</f>
        <v>2022</v>
      </c>
      <c r="L626" s="298"/>
      <c r="M626" s="223"/>
      <c r="N626" s="223"/>
      <c r="O626" s="223"/>
      <c r="P626" s="223"/>
      <c r="Q626" s="223"/>
      <c r="R626" s="223"/>
      <c r="S626" s="223"/>
      <c r="T626" s="223"/>
      <c r="U626" s="223"/>
      <c r="V626" s="223"/>
      <c r="W626" s="223"/>
      <c r="X626" s="223"/>
      <c r="Y626" s="223"/>
      <c r="Z626" s="223"/>
    </row>
    <row r="627">
      <c r="A627" s="223" t="str">
        <f>IFERROR(__xludf.DUMMYFUNCTION("""COMPUTED_VALUE"""),"Liz Robertson Design : Landing Page Project")</f>
        <v>Liz Robertson Design : Landing Page Project</v>
      </c>
      <c r="B627" s="223" t="str">
        <f>IFERROR(__xludf.DUMMYFUNCTION("""COMPUTED_VALUE"""),"Liz Robertson Design")</f>
        <v>Liz Robertson Design</v>
      </c>
      <c r="C627" s="223" t="str">
        <f>IFERROR(__xludf.DUMMYFUNCTION("""COMPUTED_VALUE"""),"Landing Page Project")</f>
        <v>Landing Page Project</v>
      </c>
      <c r="D627" s="316">
        <f>IFERROR(__xludf.DUMMYFUNCTION("""COMPUTED_VALUE"""),44888.0)</f>
        <v>44888</v>
      </c>
      <c r="E627" s="298">
        <f>IFERROR(__xludf.DUMMYFUNCTION("""COMPUTED_VALUE"""),910.3353)</f>
        <v>910.3353</v>
      </c>
      <c r="F627" s="298">
        <f>IFERROR(__xludf.DUMMYFUNCTION("""COMPUTED_VALUE"""),34.0725498)</f>
        <v>34.0725498</v>
      </c>
      <c r="G627" s="298">
        <f>IFERROR(__xludf.DUMMYFUNCTION("""COMPUTED_VALUE"""),0.0)</f>
        <v>0</v>
      </c>
      <c r="H627" s="223">
        <f>IFERROR(__xludf.DUMMYFUNCTION("""COMPUTED_VALUE"""),876.2627501999999)</f>
        <v>876.2627502</v>
      </c>
      <c r="I627" s="298"/>
      <c r="J627" s="223" t="str">
        <f>IFERROR(__xludf.DUMMYFUNCTION("""COMPUTED_VALUE"""),"One-Time")</f>
        <v>One-Time</v>
      </c>
      <c r="K627" s="317">
        <f>IFERROR(__xludf.DUMMYFUNCTION("""COMPUTED_VALUE"""),2022.0)</f>
        <v>2022</v>
      </c>
      <c r="L627" s="298"/>
      <c r="M627" s="223"/>
      <c r="N627" s="223"/>
      <c r="O627" s="223"/>
      <c r="P627" s="223"/>
      <c r="Q627" s="223"/>
      <c r="R627" s="223"/>
      <c r="S627" s="223"/>
      <c r="T627" s="223"/>
      <c r="U627" s="223"/>
      <c r="V627" s="223"/>
      <c r="W627" s="223"/>
      <c r="X627" s="223"/>
      <c r="Y627" s="223"/>
      <c r="Z627" s="223"/>
    </row>
    <row r="628">
      <c r="A628" s="223" t="str">
        <f>IFERROR(__xludf.DUMMYFUNCTION("""COMPUTED_VALUE"""),"Salty Waffle : Other Projects")</f>
        <v>Salty Waffle : Other Projects</v>
      </c>
      <c r="B628" s="223" t="str">
        <f>IFERROR(__xludf.DUMMYFUNCTION("""COMPUTED_VALUE"""),"Salty Waffle")</f>
        <v>Salty Waffle</v>
      </c>
      <c r="C628" s="223" t="str">
        <f>IFERROR(__xludf.DUMMYFUNCTION("""COMPUTED_VALUE"""),"Other Projects")</f>
        <v>Other Projects</v>
      </c>
      <c r="D628" s="316">
        <f>IFERROR(__xludf.DUMMYFUNCTION("""COMPUTED_VALUE"""),44895.0)</f>
        <v>44895</v>
      </c>
      <c r="E628" s="298">
        <f>IFERROR(__xludf.DUMMYFUNCTION("""COMPUTED_VALUE"""),850.0)</f>
        <v>850</v>
      </c>
      <c r="F628" s="298">
        <f>IFERROR(__xludf.DUMMYFUNCTION("""COMPUTED_VALUE"""),26.44)</f>
        <v>26.44</v>
      </c>
      <c r="G628" s="298">
        <f>IFERROR(__xludf.DUMMYFUNCTION("""COMPUTED_VALUE"""),0.0)</f>
        <v>0</v>
      </c>
      <c r="H628" s="223">
        <f>IFERROR(__xludf.DUMMYFUNCTION("""COMPUTED_VALUE"""),823.56)</f>
        <v>823.56</v>
      </c>
      <c r="I628" s="298"/>
      <c r="J628" s="223" t="str">
        <f>IFERROR(__xludf.DUMMYFUNCTION("""COMPUTED_VALUE"""),"One-Time")</f>
        <v>One-Time</v>
      </c>
      <c r="K628" s="317">
        <f>IFERROR(__xludf.DUMMYFUNCTION("""COMPUTED_VALUE"""),2022.0)</f>
        <v>2022</v>
      </c>
      <c r="L628" s="298"/>
      <c r="M628" s="223"/>
      <c r="N628" s="223"/>
      <c r="O628" s="223"/>
      <c r="P628" s="223"/>
      <c r="Q628" s="223"/>
      <c r="R628" s="223"/>
      <c r="S628" s="223"/>
      <c r="T628" s="223"/>
      <c r="U628" s="223"/>
      <c r="V628" s="223"/>
      <c r="W628" s="223"/>
      <c r="X628" s="223"/>
      <c r="Y628" s="223"/>
      <c r="Z628" s="223"/>
    </row>
    <row r="629">
      <c r="A629" s="223" t="str">
        <f>IFERROR(__xludf.DUMMYFUNCTION("""COMPUTED_VALUE"""),"Advisicon : Premium Hosting")</f>
        <v>Advisicon : Premium Hosting</v>
      </c>
      <c r="B629" s="223" t="str">
        <f>IFERROR(__xludf.DUMMYFUNCTION("""COMPUTED_VALUE"""),"Advisicon")</f>
        <v>Advisicon</v>
      </c>
      <c r="C629" s="223" t="str">
        <f>IFERROR(__xludf.DUMMYFUNCTION("""COMPUTED_VALUE"""),"Premium Hosting")</f>
        <v>Premium Hosting</v>
      </c>
      <c r="D629" s="316">
        <f>IFERROR(__xludf.DUMMYFUNCTION("""COMPUTED_VALUE"""),44910.0)</f>
        <v>44910</v>
      </c>
      <c r="E629" s="298">
        <f>IFERROR(__xludf.DUMMYFUNCTION("""COMPUTED_VALUE"""),155.20800000000003)</f>
        <v>155.208</v>
      </c>
      <c r="F629" s="298">
        <f>IFERROR(__xludf.DUMMYFUNCTION("""COMPUTED_VALUE"""),0.0)</f>
        <v>0</v>
      </c>
      <c r="G629" s="298">
        <f>IFERROR(__xludf.DUMMYFUNCTION("""COMPUTED_VALUE"""),0.0)</f>
        <v>0</v>
      </c>
      <c r="H629" s="223">
        <f>IFERROR(__xludf.DUMMYFUNCTION("""COMPUTED_VALUE"""),155.20800000000003)</f>
        <v>155.208</v>
      </c>
      <c r="I629" s="298"/>
      <c r="J629" s="223" t="str">
        <f>IFERROR(__xludf.DUMMYFUNCTION("""COMPUTED_VALUE"""),"Yearly")</f>
        <v>Yearly</v>
      </c>
      <c r="K629" s="317">
        <f>IFERROR(__xludf.DUMMYFUNCTION("""COMPUTED_VALUE"""),2022.12)</f>
        <v>2022.12</v>
      </c>
      <c r="L629" s="298"/>
      <c r="M629" s="223"/>
      <c r="N629" s="223"/>
      <c r="O629" s="223"/>
      <c r="P629" s="223"/>
      <c r="Q629" s="223"/>
      <c r="R629" s="223"/>
      <c r="S629" s="223"/>
      <c r="T629" s="223"/>
      <c r="U629" s="223"/>
      <c r="V629" s="223"/>
      <c r="W629" s="223"/>
      <c r="X629" s="223"/>
      <c r="Y629" s="223"/>
      <c r="Z629" s="223"/>
    </row>
    <row r="630">
      <c r="A630" s="223" t="str">
        <f>IFERROR(__xludf.DUMMYFUNCTION("""COMPUTED_VALUE"""),"Anook Athletics : Monthly Services")</f>
        <v>Anook Athletics : Monthly Services</v>
      </c>
      <c r="B630" s="223" t="str">
        <f>IFERROR(__xludf.DUMMYFUNCTION("""COMPUTED_VALUE"""),"Anook Athletics")</f>
        <v>Anook Athletics</v>
      </c>
      <c r="C630" s="223" t="str">
        <f>IFERROR(__xludf.DUMMYFUNCTION("""COMPUTED_VALUE"""),"Monthly Services")</f>
        <v>Monthly Services</v>
      </c>
      <c r="D630" s="316">
        <f>IFERROR(__xludf.DUMMYFUNCTION("""COMPUTED_VALUE"""),44895.0)</f>
        <v>44895</v>
      </c>
      <c r="E630" s="298">
        <f>IFERROR(__xludf.DUMMYFUNCTION("""COMPUTED_VALUE"""),800.0)</f>
        <v>800</v>
      </c>
      <c r="F630" s="298">
        <f>IFERROR(__xludf.DUMMYFUNCTION("""COMPUTED_VALUE"""),24.89)</f>
        <v>24.89</v>
      </c>
      <c r="G630" s="298">
        <f>IFERROR(__xludf.DUMMYFUNCTION("""COMPUTED_VALUE"""),0.0)</f>
        <v>0</v>
      </c>
      <c r="H630" s="223">
        <f>IFERROR(__xludf.DUMMYFUNCTION("""COMPUTED_VALUE"""),775.11)</f>
        <v>775.11</v>
      </c>
      <c r="I630" s="298"/>
      <c r="J630" s="223" t="str">
        <f>IFERROR(__xludf.DUMMYFUNCTION("""COMPUTED_VALUE"""),"Monthly")</f>
        <v>Monthly</v>
      </c>
      <c r="K630" s="317">
        <f>IFERROR(__xludf.DUMMYFUNCTION("""COMPUTED_VALUE"""),2022.11)</f>
        <v>2022.11</v>
      </c>
      <c r="L630" s="298"/>
      <c r="M630" s="223"/>
      <c r="N630" s="223"/>
      <c r="O630" s="223"/>
      <c r="P630" s="223"/>
      <c r="Q630" s="223"/>
      <c r="R630" s="223"/>
      <c r="S630" s="223"/>
      <c r="T630" s="223"/>
      <c r="U630" s="223"/>
      <c r="V630" s="223"/>
      <c r="W630" s="223"/>
      <c r="X630" s="223"/>
      <c r="Y630" s="223"/>
      <c r="Z630" s="223"/>
    </row>
    <row r="631">
      <c r="A631" s="223" t="str">
        <f>IFERROR(__xludf.DUMMYFUNCTION("""COMPUTED_VALUE"""),"Availed Technologies : Monthly Services")</f>
        <v>Availed Technologies : Monthly Services</v>
      </c>
      <c r="B631" s="223" t="str">
        <f>IFERROR(__xludf.DUMMYFUNCTION("""COMPUTED_VALUE"""),"Availed Technologies")</f>
        <v>Availed Technologies</v>
      </c>
      <c r="C631" s="223" t="str">
        <f>IFERROR(__xludf.DUMMYFUNCTION("""COMPUTED_VALUE"""),"Monthly Services")</f>
        <v>Monthly Services</v>
      </c>
      <c r="D631" s="316">
        <f>IFERROR(__xludf.DUMMYFUNCTION("""COMPUTED_VALUE"""),44895.0)</f>
        <v>44895</v>
      </c>
      <c r="E631" s="298">
        <f>IFERROR(__xludf.DUMMYFUNCTION("""COMPUTED_VALUE"""),750.0)</f>
        <v>750</v>
      </c>
      <c r="F631" s="298">
        <f>IFERROR(__xludf.DUMMYFUNCTION("""COMPUTED_VALUE"""),23.33)</f>
        <v>23.33</v>
      </c>
      <c r="G631" s="298">
        <f>IFERROR(__xludf.DUMMYFUNCTION("""COMPUTED_VALUE"""),0.0)</f>
        <v>0</v>
      </c>
      <c r="H631" s="223">
        <f>IFERROR(__xludf.DUMMYFUNCTION("""COMPUTED_VALUE"""),726.67)</f>
        <v>726.67</v>
      </c>
      <c r="I631" s="298"/>
      <c r="J631" s="223" t="str">
        <f>IFERROR(__xludf.DUMMYFUNCTION("""COMPUTED_VALUE"""),"Monthly")</f>
        <v>Monthly</v>
      </c>
      <c r="K631" s="317">
        <f>IFERROR(__xludf.DUMMYFUNCTION("""COMPUTED_VALUE"""),2022.11)</f>
        <v>2022.11</v>
      </c>
      <c r="L631" s="298"/>
      <c r="M631" s="223"/>
      <c r="N631" s="223"/>
      <c r="O631" s="223"/>
      <c r="P631" s="223"/>
      <c r="Q631" s="223"/>
      <c r="R631" s="223"/>
      <c r="S631" s="223"/>
      <c r="T631" s="223"/>
      <c r="U631" s="223"/>
      <c r="V631" s="223"/>
      <c r="W631" s="223"/>
      <c r="X631" s="223"/>
      <c r="Y631" s="223"/>
      <c r="Z631" s="223"/>
    </row>
    <row r="632">
      <c r="A632" s="223" t="str">
        <f>IFERROR(__xludf.DUMMYFUNCTION("""COMPUTED_VALUE"""),"Diversified Health : Monthly Services")</f>
        <v>Diversified Health : Monthly Services</v>
      </c>
      <c r="B632" s="223" t="str">
        <f>IFERROR(__xludf.DUMMYFUNCTION("""COMPUTED_VALUE"""),"Diversified Health")</f>
        <v>Diversified Health</v>
      </c>
      <c r="C632" s="223" t="str">
        <f>IFERROR(__xludf.DUMMYFUNCTION("""COMPUTED_VALUE"""),"Monthly Services")</f>
        <v>Monthly Services</v>
      </c>
      <c r="D632" s="316">
        <f>IFERROR(__xludf.DUMMYFUNCTION("""COMPUTED_VALUE"""),44895.0)</f>
        <v>44895</v>
      </c>
      <c r="E632" s="298">
        <f>IFERROR(__xludf.DUMMYFUNCTION("""COMPUTED_VALUE"""),1000.0)</f>
        <v>1000</v>
      </c>
      <c r="F632" s="298">
        <f>IFERROR(__xludf.DUMMYFUNCTION("""COMPUTED_VALUE"""),0.0)</f>
        <v>0</v>
      </c>
      <c r="G632" s="298">
        <f>IFERROR(__xludf.DUMMYFUNCTION("""COMPUTED_VALUE"""),0.0)</f>
        <v>0</v>
      </c>
      <c r="H632" s="223">
        <f>IFERROR(__xludf.DUMMYFUNCTION("""COMPUTED_VALUE"""),1000.0)</f>
        <v>1000</v>
      </c>
      <c r="I632" s="298"/>
      <c r="J632" s="223" t="str">
        <f>IFERROR(__xludf.DUMMYFUNCTION("""COMPUTED_VALUE"""),"Monthly")</f>
        <v>Monthly</v>
      </c>
      <c r="K632" s="317">
        <f>IFERROR(__xludf.DUMMYFUNCTION("""COMPUTED_VALUE"""),2022.11)</f>
        <v>2022.11</v>
      </c>
      <c r="L632" s="298"/>
      <c r="M632" s="223"/>
      <c r="N632" s="223"/>
      <c r="O632" s="223"/>
      <c r="P632" s="223"/>
      <c r="Q632" s="223"/>
      <c r="R632" s="223"/>
      <c r="S632" s="223"/>
      <c r="T632" s="223"/>
      <c r="U632" s="223"/>
      <c r="V632" s="223"/>
      <c r="W632" s="223"/>
      <c r="X632" s="223"/>
      <c r="Y632" s="223"/>
      <c r="Z632" s="223"/>
    </row>
    <row r="633">
      <c r="A633" s="223" t="str">
        <f>IFERROR(__xludf.DUMMYFUNCTION("""COMPUTED_VALUE"""),"Hastings House : Monthly Services")</f>
        <v>Hastings House : Monthly Services</v>
      </c>
      <c r="B633" s="223" t="str">
        <f>IFERROR(__xludf.DUMMYFUNCTION("""COMPUTED_VALUE"""),"Hastings House")</f>
        <v>Hastings House</v>
      </c>
      <c r="C633" s="223" t="str">
        <f>IFERROR(__xludf.DUMMYFUNCTION("""COMPUTED_VALUE"""),"Monthly Services")</f>
        <v>Monthly Services</v>
      </c>
      <c r="D633" s="316">
        <f>IFERROR(__xludf.DUMMYFUNCTION("""COMPUTED_VALUE"""),44895.0)</f>
        <v>44895</v>
      </c>
      <c r="E633" s="298">
        <f>IFERROR(__xludf.DUMMYFUNCTION("""COMPUTED_VALUE"""),1500.0)</f>
        <v>1500</v>
      </c>
      <c r="F633" s="298">
        <f>IFERROR(__xludf.DUMMYFUNCTION("""COMPUTED_VALUE"""),46.67)</f>
        <v>46.67</v>
      </c>
      <c r="G633" s="298">
        <f>IFERROR(__xludf.DUMMYFUNCTION("""COMPUTED_VALUE"""),217.99949999999998)</f>
        <v>217.9995</v>
      </c>
      <c r="H633" s="223">
        <f>IFERROR(__xludf.DUMMYFUNCTION("""COMPUTED_VALUE"""),1235.3305)</f>
        <v>1235.3305</v>
      </c>
      <c r="I633" s="298"/>
      <c r="J633" s="223" t="str">
        <f>IFERROR(__xludf.DUMMYFUNCTION("""COMPUTED_VALUE"""),"Monthly")</f>
        <v>Monthly</v>
      </c>
      <c r="K633" s="317">
        <f>IFERROR(__xludf.DUMMYFUNCTION("""COMPUTED_VALUE"""),2022.11)</f>
        <v>2022.11</v>
      </c>
      <c r="L633" s="298"/>
      <c r="M633" s="223"/>
      <c r="N633" s="223"/>
      <c r="O633" s="223"/>
      <c r="P633" s="223"/>
      <c r="Q633" s="223"/>
      <c r="R633" s="223"/>
      <c r="S633" s="223"/>
      <c r="T633" s="223"/>
      <c r="U633" s="223"/>
      <c r="V633" s="223"/>
      <c r="W633" s="223"/>
      <c r="X633" s="223"/>
      <c r="Y633" s="223"/>
      <c r="Z633" s="223"/>
    </row>
    <row r="634">
      <c r="A634" s="223" t="str">
        <f>IFERROR(__xludf.DUMMYFUNCTION("""COMPUTED_VALUE"""),"HSJ Lawyers : Monthly Services")</f>
        <v>HSJ Lawyers : Monthly Services</v>
      </c>
      <c r="B634" s="223" t="str">
        <f>IFERROR(__xludf.DUMMYFUNCTION("""COMPUTED_VALUE"""),"HSJ Lawyers")</f>
        <v>HSJ Lawyers</v>
      </c>
      <c r="C634" s="223" t="str">
        <f>IFERROR(__xludf.DUMMYFUNCTION("""COMPUTED_VALUE"""),"Monthly Services")</f>
        <v>Monthly Services</v>
      </c>
      <c r="D634" s="316">
        <f>IFERROR(__xludf.DUMMYFUNCTION("""COMPUTED_VALUE"""),44895.0)</f>
        <v>44895</v>
      </c>
      <c r="E634" s="298">
        <f>IFERROR(__xludf.DUMMYFUNCTION("""COMPUTED_VALUE"""),800.0)</f>
        <v>800</v>
      </c>
      <c r="F634" s="298">
        <f>IFERROR(__xludf.DUMMYFUNCTION("""COMPUTED_VALUE"""),0.0)</f>
        <v>0</v>
      </c>
      <c r="G634" s="298">
        <f>IFERROR(__xludf.DUMMYFUNCTION("""COMPUTED_VALUE"""),0.0)</f>
        <v>0</v>
      </c>
      <c r="H634" s="223">
        <f>IFERROR(__xludf.DUMMYFUNCTION("""COMPUTED_VALUE"""),800.0)</f>
        <v>800</v>
      </c>
      <c r="I634" s="298"/>
      <c r="J634" s="223" t="str">
        <f>IFERROR(__xludf.DUMMYFUNCTION("""COMPUTED_VALUE"""),"Monthly")</f>
        <v>Monthly</v>
      </c>
      <c r="K634" s="317">
        <f>IFERROR(__xludf.DUMMYFUNCTION("""COMPUTED_VALUE"""),2022.11)</f>
        <v>2022.11</v>
      </c>
      <c r="L634" s="298"/>
      <c r="M634" s="223"/>
      <c r="N634" s="223"/>
      <c r="O634" s="223"/>
      <c r="P634" s="223"/>
      <c r="Q634" s="223"/>
      <c r="R634" s="223"/>
      <c r="S634" s="223"/>
      <c r="T634" s="223"/>
      <c r="U634" s="223"/>
      <c r="V634" s="223"/>
      <c r="W634" s="223"/>
      <c r="X634" s="223"/>
      <c r="Y634" s="223"/>
      <c r="Z634" s="223"/>
    </row>
    <row r="635">
      <c r="A635" s="223" t="str">
        <f>IFERROR(__xludf.DUMMYFUNCTION("""COMPUTED_VALUE"""),"MortgagePal : Monthly Services")</f>
        <v>MortgagePal : Monthly Services</v>
      </c>
      <c r="B635" s="223" t="str">
        <f>IFERROR(__xludf.DUMMYFUNCTION("""COMPUTED_VALUE"""),"MortgagePal")</f>
        <v>MortgagePal</v>
      </c>
      <c r="C635" s="223" t="str">
        <f>IFERROR(__xludf.DUMMYFUNCTION("""COMPUTED_VALUE"""),"Monthly Services")</f>
        <v>Monthly Services</v>
      </c>
      <c r="D635" s="316">
        <f>IFERROR(__xludf.DUMMYFUNCTION("""COMPUTED_VALUE"""),44895.0)</f>
        <v>44895</v>
      </c>
      <c r="E635" s="298">
        <f>IFERROR(__xludf.DUMMYFUNCTION("""COMPUTED_VALUE"""),500.0)</f>
        <v>500</v>
      </c>
      <c r="F635" s="298">
        <f>IFERROR(__xludf.DUMMYFUNCTION("""COMPUTED_VALUE"""),15.56)</f>
        <v>15.56</v>
      </c>
      <c r="G635" s="298">
        <f>IFERROR(__xludf.DUMMYFUNCTION("""COMPUTED_VALUE"""),0.0)</f>
        <v>0</v>
      </c>
      <c r="H635" s="223">
        <f>IFERROR(__xludf.DUMMYFUNCTION("""COMPUTED_VALUE"""),484.44)</f>
        <v>484.44</v>
      </c>
      <c r="I635" s="298"/>
      <c r="J635" s="223" t="str">
        <f>IFERROR(__xludf.DUMMYFUNCTION("""COMPUTED_VALUE"""),"Monthly")</f>
        <v>Monthly</v>
      </c>
      <c r="K635" s="317">
        <f>IFERROR(__xludf.DUMMYFUNCTION("""COMPUTED_VALUE"""),2022.11)</f>
        <v>2022.11</v>
      </c>
      <c r="L635" s="298"/>
      <c r="M635" s="223"/>
      <c r="N635" s="223"/>
      <c r="O635" s="223"/>
      <c r="P635" s="223"/>
      <c r="Q635" s="223"/>
      <c r="R635" s="223"/>
      <c r="S635" s="223"/>
      <c r="T635" s="223"/>
      <c r="U635" s="223"/>
      <c r="V635" s="223"/>
      <c r="W635" s="223"/>
      <c r="X635" s="223"/>
      <c r="Y635" s="223"/>
      <c r="Z635" s="223"/>
    </row>
    <row r="636">
      <c r="A636" s="223" t="str">
        <f>IFERROR(__xludf.DUMMYFUNCTION("""COMPUTED_VALUE"""),"PMDI : Monthly Services")</f>
        <v>PMDI : Monthly Services</v>
      </c>
      <c r="B636" s="223" t="str">
        <f>IFERROR(__xludf.DUMMYFUNCTION("""COMPUTED_VALUE"""),"PMDI")</f>
        <v>PMDI</v>
      </c>
      <c r="C636" s="223" t="str">
        <f>IFERROR(__xludf.DUMMYFUNCTION("""COMPUTED_VALUE"""),"Monthly Services")</f>
        <v>Monthly Services</v>
      </c>
      <c r="D636" s="316">
        <f>IFERROR(__xludf.DUMMYFUNCTION("""COMPUTED_VALUE"""),44895.0)</f>
        <v>44895</v>
      </c>
      <c r="E636" s="298">
        <f>IFERROR(__xludf.DUMMYFUNCTION("""COMPUTED_VALUE"""),375.0)</f>
        <v>375</v>
      </c>
      <c r="F636" s="298">
        <f>IFERROR(__xludf.DUMMYFUNCTION("""COMPUTED_VALUE"""),0.0)</f>
        <v>0</v>
      </c>
      <c r="G636" s="298">
        <f>IFERROR(__xludf.DUMMYFUNCTION("""COMPUTED_VALUE"""),0.0)</f>
        <v>0</v>
      </c>
      <c r="H636" s="223">
        <f>IFERROR(__xludf.DUMMYFUNCTION("""COMPUTED_VALUE"""),375.0)</f>
        <v>375</v>
      </c>
      <c r="I636" s="298"/>
      <c r="J636" s="223" t="str">
        <f>IFERROR(__xludf.DUMMYFUNCTION("""COMPUTED_VALUE"""),"Monthly")</f>
        <v>Monthly</v>
      </c>
      <c r="K636" s="317">
        <f>IFERROR(__xludf.DUMMYFUNCTION("""COMPUTED_VALUE"""),2022.11)</f>
        <v>2022.11</v>
      </c>
      <c r="L636" s="298"/>
      <c r="M636" s="223"/>
      <c r="N636" s="223"/>
      <c r="O636" s="223"/>
      <c r="P636" s="223"/>
      <c r="Q636" s="223"/>
      <c r="R636" s="223"/>
      <c r="S636" s="223"/>
      <c r="T636" s="223"/>
      <c r="U636" s="223"/>
      <c r="V636" s="223"/>
      <c r="W636" s="223"/>
      <c r="X636" s="223"/>
      <c r="Y636" s="223"/>
      <c r="Z636" s="223"/>
    </row>
    <row r="637">
      <c r="A637" s="223" t="str">
        <f>IFERROR(__xludf.DUMMYFUNCTION("""COMPUTED_VALUE"""),"Rama Meditation Society : Premium Hosting + Support")</f>
        <v>Rama Meditation Society : Premium Hosting + Support</v>
      </c>
      <c r="B637" s="223" t="str">
        <f>IFERROR(__xludf.DUMMYFUNCTION("""COMPUTED_VALUE"""),"Rama Meditation Society")</f>
        <v>Rama Meditation Society</v>
      </c>
      <c r="C637" s="223" t="str">
        <f>IFERROR(__xludf.DUMMYFUNCTION("""COMPUTED_VALUE"""),"Premium Hosting + Support")</f>
        <v>Premium Hosting + Support</v>
      </c>
      <c r="D637" s="316">
        <f>IFERROR(__xludf.DUMMYFUNCTION("""COMPUTED_VALUE"""),44895.0)</f>
        <v>44895</v>
      </c>
      <c r="E637" s="298">
        <f>IFERROR(__xludf.DUMMYFUNCTION("""COMPUTED_VALUE"""),390.1728)</f>
        <v>390.1728</v>
      </c>
      <c r="F637" s="298">
        <f>IFERROR(__xludf.DUMMYFUNCTION("""COMPUTED_VALUE"""),14.8265664)</f>
        <v>14.8265664</v>
      </c>
      <c r="G637" s="298">
        <f>IFERROR(__xludf.DUMMYFUNCTION("""COMPUTED_VALUE"""),0.0)</f>
        <v>0</v>
      </c>
      <c r="H637" s="223">
        <f>IFERROR(__xludf.DUMMYFUNCTION("""COMPUTED_VALUE"""),375.3462336)</f>
        <v>375.3462336</v>
      </c>
      <c r="I637" s="298"/>
      <c r="J637" s="223" t="str">
        <f>IFERROR(__xludf.DUMMYFUNCTION("""COMPUTED_VALUE"""),"Monthly")</f>
        <v>Monthly</v>
      </c>
      <c r="K637" s="317">
        <f>IFERROR(__xludf.DUMMYFUNCTION("""COMPUTED_VALUE"""),2022.11)</f>
        <v>2022.11</v>
      </c>
      <c r="L637" s="298"/>
      <c r="M637" s="223"/>
      <c r="N637" s="223"/>
      <c r="O637" s="223"/>
      <c r="P637" s="223"/>
      <c r="Q637" s="223"/>
      <c r="R637" s="223"/>
      <c r="S637" s="223"/>
      <c r="T637" s="223"/>
      <c r="U637" s="223"/>
      <c r="V637" s="223"/>
      <c r="W637" s="223"/>
      <c r="X637" s="223"/>
      <c r="Y637" s="223"/>
      <c r="Z637" s="223"/>
    </row>
    <row r="638">
      <c r="A638" s="223" t="str">
        <f>IFERROR(__xludf.DUMMYFUNCTION("""COMPUTED_VALUE"""),"Red Seal : Monthly Services")</f>
        <v>Red Seal : Monthly Services</v>
      </c>
      <c r="B638" s="223" t="str">
        <f>IFERROR(__xludf.DUMMYFUNCTION("""COMPUTED_VALUE"""),"Red Seal")</f>
        <v>Red Seal</v>
      </c>
      <c r="C638" s="223" t="str">
        <f>IFERROR(__xludf.DUMMYFUNCTION("""COMPUTED_VALUE"""),"Monthly Services")</f>
        <v>Monthly Services</v>
      </c>
      <c r="D638" s="316">
        <f>IFERROR(__xludf.DUMMYFUNCTION("""COMPUTED_VALUE"""),44895.0)</f>
        <v>44895</v>
      </c>
      <c r="E638" s="298">
        <f>IFERROR(__xludf.DUMMYFUNCTION("""COMPUTED_VALUE"""),1150.0)</f>
        <v>1150</v>
      </c>
      <c r="F638" s="298">
        <f>IFERROR(__xludf.DUMMYFUNCTION("""COMPUTED_VALUE"""),0.0)</f>
        <v>0</v>
      </c>
      <c r="G638" s="298">
        <f>IFERROR(__xludf.DUMMYFUNCTION("""COMPUTED_VALUE"""),0.0)</f>
        <v>0</v>
      </c>
      <c r="H638" s="223">
        <f>IFERROR(__xludf.DUMMYFUNCTION("""COMPUTED_VALUE"""),1150.0)</f>
        <v>1150</v>
      </c>
      <c r="I638" s="298"/>
      <c r="J638" s="223" t="str">
        <f>IFERROR(__xludf.DUMMYFUNCTION("""COMPUTED_VALUE"""),"Monthly")</f>
        <v>Monthly</v>
      </c>
      <c r="K638" s="317">
        <f>IFERROR(__xludf.DUMMYFUNCTION("""COMPUTED_VALUE"""),2022.11)</f>
        <v>2022.11</v>
      </c>
      <c r="L638" s="298"/>
      <c r="M638" s="223"/>
      <c r="N638" s="223"/>
      <c r="O638" s="223"/>
      <c r="P638" s="223"/>
      <c r="Q638" s="223"/>
      <c r="R638" s="223"/>
      <c r="S638" s="223"/>
      <c r="T638" s="223"/>
      <c r="U638" s="223"/>
      <c r="V638" s="223"/>
      <c r="W638" s="223"/>
      <c r="X638" s="223"/>
      <c r="Y638" s="223"/>
      <c r="Z638" s="223"/>
    </row>
    <row r="639">
      <c r="A639" s="223" t="str">
        <f>IFERROR(__xludf.DUMMYFUNCTION("""COMPUTED_VALUE"""),"Service First : Monthly Services")</f>
        <v>Service First : Monthly Services</v>
      </c>
      <c r="B639" s="223" t="str">
        <f>IFERROR(__xludf.DUMMYFUNCTION("""COMPUTED_VALUE"""),"Service First")</f>
        <v>Service First</v>
      </c>
      <c r="C639" s="223" t="str">
        <f>IFERROR(__xludf.DUMMYFUNCTION("""COMPUTED_VALUE"""),"Monthly Services")</f>
        <v>Monthly Services</v>
      </c>
      <c r="D639" s="316">
        <f>IFERROR(__xludf.DUMMYFUNCTION("""COMPUTED_VALUE"""),44895.0)</f>
        <v>44895</v>
      </c>
      <c r="E639" s="298">
        <f>IFERROR(__xludf.DUMMYFUNCTION("""COMPUTED_VALUE"""),300.0)</f>
        <v>300</v>
      </c>
      <c r="F639" s="298">
        <f>IFERROR(__xludf.DUMMYFUNCTION("""COMPUTED_VALUE"""),9.33)</f>
        <v>9.33</v>
      </c>
      <c r="G639" s="298">
        <f>IFERROR(__xludf.DUMMYFUNCTION("""COMPUTED_VALUE"""),0.0)</f>
        <v>0</v>
      </c>
      <c r="H639" s="223">
        <f>IFERROR(__xludf.DUMMYFUNCTION("""COMPUTED_VALUE"""),290.67)</f>
        <v>290.67</v>
      </c>
      <c r="I639" s="298"/>
      <c r="J639" s="223" t="str">
        <f>IFERROR(__xludf.DUMMYFUNCTION("""COMPUTED_VALUE"""),"Monthly")</f>
        <v>Monthly</v>
      </c>
      <c r="K639" s="317">
        <f>IFERROR(__xludf.DUMMYFUNCTION("""COMPUTED_VALUE"""),2022.11)</f>
        <v>2022.11</v>
      </c>
      <c r="L639" s="298"/>
      <c r="M639" s="223"/>
      <c r="N639" s="223"/>
      <c r="O639" s="223"/>
      <c r="P639" s="223"/>
      <c r="Q639" s="223"/>
      <c r="R639" s="223"/>
      <c r="S639" s="223"/>
      <c r="T639" s="223"/>
      <c r="U639" s="223"/>
      <c r="V639" s="223"/>
      <c r="W639" s="223"/>
      <c r="X639" s="223"/>
      <c r="Y639" s="223"/>
      <c r="Z639" s="223"/>
    </row>
    <row r="640">
      <c r="A640" s="223" t="str">
        <f>IFERROR(__xludf.DUMMYFUNCTION("""COMPUTED_VALUE"""),"Spraggs : Monthly Services")</f>
        <v>Spraggs : Monthly Services</v>
      </c>
      <c r="B640" s="223" t="str">
        <f>IFERROR(__xludf.DUMMYFUNCTION("""COMPUTED_VALUE"""),"Spraggs")</f>
        <v>Spraggs</v>
      </c>
      <c r="C640" s="223" t="str">
        <f>IFERROR(__xludf.DUMMYFUNCTION("""COMPUTED_VALUE"""),"Monthly Services")</f>
        <v>Monthly Services</v>
      </c>
      <c r="D640" s="316">
        <f>IFERROR(__xludf.DUMMYFUNCTION("""COMPUTED_VALUE"""),44895.0)</f>
        <v>44895</v>
      </c>
      <c r="E640" s="298">
        <f>IFERROR(__xludf.DUMMYFUNCTION("""COMPUTED_VALUE"""),2500.0)</f>
        <v>2500</v>
      </c>
      <c r="F640" s="298">
        <f>IFERROR(__xludf.DUMMYFUNCTION("""COMPUTED_VALUE"""),77.78)</f>
        <v>77.78</v>
      </c>
      <c r="G640" s="298">
        <f>IFERROR(__xludf.DUMMYFUNCTION("""COMPUTED_VALUE"""),0.0)</f>
        <v>0</v>
      </c>
      <c r="H640" s="223">
        <f>IFERROR(__xludf.DUMMYFUNCTION("""COMPUTED_VALUE"""),2422.22)</f>
        <v>2422.22</v>
      </c>
      <c r="I640" s="298"/>
      <c r="J640" s="223" t="str">
        <f>IFERROR(__xludf.DUMMYFUNCTION("""COMPUTED_VALUE"""),"Monthly")</f>
        <v>Monthly</v>
      </c>
      <c r="K640" s="317">
        <f>IFERROR(__xludf.DUMMYFUNCTION("""COMPUTED_VALUE"""),2022.11)</f>
        <v>2022.11</v>
      </c>
      <c r="L640" s="298"/>
      <c r="M640" s="223"/>
      <c r="N640" s="223"/>
      <c r="O640" s="223"/>
      <c r="P640" s="223"/>
      <c r="Q640" s="223"/>
      <c r="R640" s="223"/>
      <c r="S640" s="223"/>
      <c r="T640" s="223"/>
      <c r="U640" s="223"/>
      <c r="V640" s="223"/>
      <c r="W640" s="223"/>
      <c r="X640" s="223"/>
      <c r="Y640" s="223"/>
      <c r="Z640" s="223"/>
    </row>
    <row r="641">
      <c r="A641" s="223" t="str">
        <f>IFERROR(__xludf.DUMMYFUNCTION("""COMPUTED_VALUE"""),"The Academy : Premium Hosting")</f>
        <v>The Academy : Premium Hosting</v>
      </c>
      <c r="B641" s="223" t="str">
        <f>IFERROR(__xludf.DUMMYFUNCTION("""COMPUTED_VALUE"""),"The Academy")</f>
        <v>The Academy</v>
      </c>
      <c r="C641" s="223" t="str">
        <f>IFERROR(__xludf.DUMMYFUNCTION("""COMPUTED_VALUE"""),"Premium Hosting")</f>
        <v>Premium Hosting</v>
      </c>
      <c r="D641" s="316">
        <f>IFERROR(__xludf.DUMMYFUNCTION("""COMPUTED_VALUE"""),44895.0)</f>
        <v>44895</v>
      </c>
      <c r="E641" s="298">
        <f>IFERROR(__xludf.DUMMYFUNCTION("""COMPUTED_VALUE"""),1092.40236)</f>
        <v>1092.40236</v>
      </c>
      <c r="F641" s="298">
        <f>IFERROR(__xludf.DUMMYFUNCTION("""COMPUTED_VALUE"""),40.80903102)</f>
        <v>40.80903102</v>
      </c>
      <c r="G641" s="298">
        <f>IFERROR(__xludf.DUMMYFUNCTION("""COMPUTED_VALUE"""),0.0)</f>
        <v>0</v>
      </c>
      <c r="H641" s="223">
        <f>IFERROR(__xludf.DUMMYFUNCTION("""COMPUTED_VALUE"""),1051.59332898)</f>
        <v>1051.593329</v>
      </c>
      <c r="I641" s="298"/>
      <c r="J641" s="223" t="str">
        <f>IFERROR(__xludf.DUMMYFUNCTION("""COMPUTED_VALUE"""),"Yearly")</f>
        <v>Yearly</v>
      </c>
      <c r="K641" s="317">
        <f>IFERROR(__xludf.DUMMYFUNCTION("""COMPUTED_VALUE"""),2022.11)</f>
        <v>2022.11</v>
      </c>
      <c r="L641" s="298"/>
      <c r="M641" s="223"/>
      <c r="N641" s="223"/>
      <c r="O641" s="223"/>
      <c r="P641" s="223"/>
      <c r="Q641" s="223"/>
      <c r="R641" s="223"/>
      <c r="S641" s="223"/>
      <c r="T641" s="223"/>
      <c r="U641" s="223"/>
      <c r="V641" s="223"/>
      <c r="W641" s="223"/>
      <c r="X641" s="223"/>
      <c r="Y641" s="223"/>
      <c r="Z641" s="223"/>
    </row>
    <row r="642">
      <c r="A642" s="223" t="str">
        <f>IFERROR(__xludf.DUMMYFUNCTION("""COMPUTED_VALUE"""),"TisBest : Monthly Services")</f>
        <v>TisBest : Monthly Services</v>
      </c>
      <c r="B642" s="223" t="str">
        <f>IFERROR(__xludf.DUMMYFUNCTION("""COMPUTED_VALUE"""),"TisBest")</f>
        <v>TisBest</v>
      </c>
      <c r="C642" s="223" t="str">
        <f>IFERROR(__xludf.DUMMYFUNCTION("""COMPUTED_VALUE"""),"Monthly Services")</f>
        <v>Monthly Services</v>
      </c>
      <c r="D642" s="316">
        <f>IFERROR(__xludf.DUMMYFUNCTION("""COMPUTED_VALUE"""),44895.0)</f>
        <v>44895</v>
      </c>
      <c r="E642" s="298">
        <f>IFERROR(__xludf.DUMMYFUNCTION("""COMPUTED_VALUE"""),5834.259)</f>
        <v>5834.259</v>
      </c>
      <c r="F642" s="298">
        <f>IFERROR(__xludf.DUMMYFUNCTION("""COMPUTED_VALUE"""),216.2565336)</f>
        <v>216.2565336</v>
      </c>
      <c r="G642" s="298">
        <f>IFERROR(__xludf.DUMMYFUNCTION("""COMPUTED_VALUE"""),1123.6004932800001)</f>
        <v>1123.600493</v>
      </c>
      <c r="H642" s="223">
        <f>IFERROR(__xludf.DUMMYFUNCTION("""COMPUTED_VALUE"""),4494.401973120001)</f>
        <v>4494.401973</v>
      </c>
      <c r="I642" s="298"/>
      <c r="J642" s="223" t="str">
        <f>IFERROR(__xludf.DUMMYFUNCTION("""COMPUTED_VALUE"""),"Monthly")</f>
        <v>Monthly</v>
      </c>
      <c r="K642" s="317">
        <f>IFERROR(__xludf.DUMMYFUNCTION("""COMPUTED_VALUE"""),2022.11)</f>
        <v>2022.11</v>
      </c>
      <c r="L642" s="298"/>
      <c r="M642" s="223"/>
      <c r="N642" s="223"/>
      <c r="O642" s="223"/>
      <c r="P642" s="223"/>
      <c r="Q642" s="223"/>
      <c r="R642" s="223"/>
      <c r="S642" s="223"/>
      <c r="T642" s="223"/>
      <c r="U642" s="223"/>
      <c r="V642" s="223"/>
      <c r="W642" s="223"/>
      <c r="X642" s="223"/>
      <c r="Y642" s="223"/>
      <c r="Z642" s="223"/>
    </row>
    <row r="643">
      <c r="A643" s="223" t="str">
        <f>IFERROR(__xludf.DUMMYFUNCTION("""COMPUTED_VALUE"""),"Tuscany : Monthly Services")</f>
        <v>Tuscany : Monthly Services</v>
      </c>
      <c r="B643" s="223" t="str">
        <f>IFERROR(__xludf.DUMMYFUNCTION("""COMPUTED_VALUE"""),"Tuscany")</f>
        <v>Tuscany</v>
      </c>
      <c r="C643" s="223" t="str">
        <f>IFERROR(__xludf.DUMMYFUNCTION("""COMPUTED_VALUE"""),"Monthly Services")</f>
        <v>Monthly Services</v>
      </c>
      <c r="D643" s="316">
        <f>IFERROR(__xludf.DUMMYFUNCTION("""COMPUTED_VALUE"""),44895.0)</f>
        <v>44895</v>
      </c>
      <c r="E643" s="298">
        <f>IFERROR(__xludf.DUMMYFUNCTION("""COMPUTED_VALUE"""),2643.85)</f>
        <v>2643.85</v>
      </c>
      <c r="F643" s="298">
        <f>IFERROR(__xludf.DUMMYFUNCTION("""COMPUTED_VALUE"""),0.0)</f>
        <v>0</v>
      </c>
      <c r="G643" s="298">
        <f>IFERROR(__xludf.DUMMYFUNCTION("""COMPUTED_VALUE"""),0.0)</f>
        <v>0</v>
      </c>
      <c r="H643" s="223">
        <f>IFERROR(__xludf.DUMMYFUNCTION("""COMPUTED_VALUE"""),2643.85)</f>
        <v>2643.85</v>
      </c>
      <c r="I643" s="298"/>
      <c r="J643" s="223" t="str">
        <f>IFERROR(__xludf.DUMMYFUNCTION("""COMPUTED_VALUE"""),"Monthly")</f>
        <v>Monthly</v>
      </c>
      <c r="K643" s="317">
        <f>IFERROR(__xludf.DUMMYFUNCTION("""COMPUTED_VALUE"""),2022.11)</f>
        <v>2022.11</v>
      </c>
      <c r="L643" s="298"/>
      <c r="M643" s="223"/>
      <c r="N643" s="223"/>
      <c r="O643" s="223"/>
      <c r="P643" s="223"/>
      <c r="Q643" s="223"/>
      <c r="R643" s="223"/>
      <c r="S643" s="223"/>
      <c r="T643" s="223"/>
      <c r="U643" s="223"/>
      <c r="V643" s="223"/>
      <c r="W643" s="223"/>
      <c r="X643" s="223"/>
      <c r="Y643" s="223"/>
      <c r="Z643" s="223"/>
    </row>
    <row r="644">
      <c r="A644" s="223" t="str">
        <f>IFERROR(__xludf.DUMMYFUNCTION("""COMPUTED_VALUE"""),"Venetian : Monthly Services")</f>
        <v>Venetian : Monthly Services</v>
      </c>
      <c r="B644" s="223" t="str">
        <f>IFERROR(__xludf.DUMMYFUNCTION("""COMPUTED_VALUE"""),"Venetian")</f>
        <v>Venetian</v>
      </c>
      <c r="C644" s="223" t="str">
        <f>IFERROR(__xludf.DUMMYFUNCTION("""COMPUTED_VALUE"""),"Monthly Services")</f>
        <v>Monthly Services</v>
      </c>
      <c r="D644" s="316">
        <f>IFERROR(__xludf.DUMMYFUNCTION("""COMPUTED_VALUE"""),44895.0)</f>
        <v>44895</v>
      </c>
      <c r="E644" s="298">
        <f>IFERROR(__xludf.DUMMYFUNCTION("""COMPUTED_VALUE"""),2643.85)</f>
        <v>2643.85</v>
      </c>
      <c r="F644" s="298">
        <f>IFERROR(__xludf.DUMMYFUNCTION("""COMPUTED_VALUE"""),0.0)</f>
        <v>0</v>
      </c>
      <c r="G644" s="298">
        <f>IFERROR(__xludf.DUMMYFUNCTION("""COMPUTED_VALUE"""),0.0)</f>
        <v>0</v>
      </c>
      <c r="H644" s="223">
        <f>IFERROR(__xludf.DUMMYFUNCTION("""COMPUTED_VALUE"""),2643.85)</f>
        <v>2643.85</v>
      </c>
      <c r="I644" s="298"/>
      <c r="J644" s="223" t="str">
        <f>IFERROR(__xludf.DUMMYFUNCTION("""COMPUTED_VALUE"""),"Monthly")</f>
        <v>Monthly</v>
      </c>
      <c r="K644" s="317">
        <f>IFERROR(__xludf.DUMMYFUNCTION("""COMPUTED_VALUE"""),2022.11)</f>
        <v>2022.11</v>
      </c>
      <c r="L644" s="298"/>
      <c r="M644" s="223"/>
      <c r="N644" s="223"/>
      <c r="O644" s="223"/>
      <c r="P644" s="223"/>
      <c r="Q644" s="223"/>
      <c r="R644" s="223"/>
      <c r="S644" s="223"/>
      <c r="T644" s="223"/>
      <c r="U644" s="223"/>
      <c r="V644" s="223"/>
      <c r="W644" s="223"/>
      <c r="X644" s="223"/>
      <c r="Y644" s="223"/>
      <c r="Z644" s="223"/>
    </row>
    <row r="645">
      <c r="A645" s="223" t="str">
        <f>IFERROR(__xludf.DUMMYFUNCTION("""COMPUTED_VALUE"""),"Wallack's Art Supplies : Monthly Services")</f>
        <v>Wallack's Art Supplies : Monthly Services</v>
      </c>
      <c r="B645" s="223" t="str">
        <f>IFERROR(__xludf.DUMMYFUNCTION("""COMPUTED_VALUE"""),"Wallack's Art Supplies")</f>
        <v>Wallack's Art Supplies</v>
      </c>
      <c r="C645" s="223" t="str">
        <f>IFERROR(__xludf.DUMMYFUNCTION("""COMPUTED_VALUE"""),"Monthly Services")</f>
        <v>Monthly Services</v>
      </c>
      <c r="D645" s="316">
        <f>IFERROR(__xludf.DUMMYFUNCTION("""COMPUTED_VALUE"""),44895.0)</f>
        <v>44895</v>
      </c>
      <c r="E645" s="298">
        <f>IFERROR(__xludf.DUMMYFUNCTION("""COMPUTED_VALUE"""),700.0)</f>
        <v>700</v>
      </c>
      <c r="F645" s="298">
        <f>IFERROR(__xludf.DUMMYFUNCTION("""COMPUTED_VALUE"""),0.0)</f>
        <v>0</v>
      </c>
      <c r="G645" s="298">
        <f>IFERROR(__xludf.DUMMYFUNCTION("""COMPUTED_VALUE"""),0.0)</f>
        <v>0</v>
      </c>
      <c r="H645" s="223">
        <f>IFERROR(__xludf.DUMMYFUNCTION("""COMPUTED_VALUE"""),700.0)</f>
        <v>700</v>
      </c>
      <c r="I645" s="298"/>
      <c r="J645" s="223" t="str">
        <f>IFERROR(__xludf.DUMMYFUNCTION("""COMPUTED_VALUE"""),"Monthly")</f>
        <v>Monthly</v>
      </c>
      <c r="K645" s="317">
        <f>IFERROR(__xludf.DUMMYFUNCTION("""COMPUTED_VALUE"""),2022.11)</f>
        <v>2022.11</v>
      </c>
      <c r="L645" s="298"/>
      <c r="M645" s="223"/>
      <c r="N645" s="223"/>
      <c r="O645" s="223"/>
      <c r="P645" s="223"/>
      <c r="Q645" s="223"/>
      <c r="R645" s="223"/>
      <c r="S645" s="223"/>
      <c r="T645" s="223"/>
      <c r="U645" s="223"/>
      <c r="V645" s="223"/>
      <c r="W645" s="223"/>
      <c r="X645" s="223"/>
      <c r="Y645" s="223"/>
      <c r="Z645" s="223"/>
    </row>
    <row r="646">
      <c r="A646" s="223" t="str">
        <f>IFERROR(__xludf.DUMMYFUNCTION("""COMPUTED_VALUE"""),"Howard Fine Jewellers : Ongoing PPC and SEO Support")</f>
        <v>Howard Fine Jewellers : Ongoing PPC and SEO Support</v>
      </c>
      <c r="B646" s="223" t="str">
        <f>IFERROR(__xludf.DUMMYFUNCTION("""COMPUTED_VALUE"""),"Howard Fine Jewellers")</f>
        <v>Howard Fine Jewellers</v>
      </c>
      <c r="C646" s="223" t="str">
        <f>IFERROR(__xludf.DUMMYFUNCTION("""COMPUTED_VALUE"""),"Ongoing PPC and SEO Support")</f>
        <v>Ongoing PPC and SEO Support</v>
      </c>
      <c r="D646" s="316">
        <f>IFERROR(__xludf.DUMMYFUNCTION("""COMPUTED_VALUE"""),44895.0)</f>
        <v>44895</v>
      </c>
      <c r="E646" s="298">
        <f>IFERROR(__xludf.DUMMYFUNCTION("""COMPUTED_VALUE"""),1450.0)</f>
        <v>1450</v>
      </c>
      <c r="F646" s="298">
        <f>IFERROR(__xludf.DUMMYFUNCTION("""COMPUTED_VALUE"""),48.55)</f>
        <v>48.55</v>
      </c>
      <c r="G646" s="298">
        <f>IFERROR(__xludf.DUMMYFUNCTION("""COMPUTED_VALUE"""),0.0)</f>
        <v>0</v>
      </c>
      <c r="H646" s="223">
        <f>IFERROR(__xludf.DUMMYFUNCTION("""COMPUTED_VALUE"""),1401.45)</f>
        <v>1401.45</v>
      </c>
      <c r="I646" s="298"/>
      <c r="J646" s="223" t="str">
        <f>IFERROR(__xludf.DUMMYFUNCTION("""COMPUTED_VALUE"""),"Monthly")</f>
        <v>Monthly</v>
      </c>
      <c r="K646" s="317">
        <f>IFERROR(__xludf.DUMMYFUNCTION("""COMPUTED_VALUE"""),2022.11)</f>
        <v>2022.11</v>
      </c>
      <c r="L646" s="298"/>
      <c r="M646" s="223"/>
      <c r="N646" s="223"/>
      <c r="O646" s="223"/>
      <c r="P646" s="223"/>
      <c r="Q646" s="223"/>
      <c r="R646" s="223"/>
      <c r="S646" s="223"/>
      <c r="T646" s="223"/>
      <c r="U646" s="223"/>
      <c r="V646" s="223"/>
      <c r="W646" s="223"/>
      <c r="X646" s="223"/>
      <c r="Y646" s="223"/>
      <c r="Z646" s="223"/>
    </row>
    <row r="647">
      <c r="A647" s="223" t="str">
        <f>IFERROR(__xludf.DUMMYFUNCTION("""COMPUTED_VALUE"""),"Service First : Annual Hosting")</f>
        <v>Service First : Annual Hosting</v>
      </c>
      <c r="B647" s="223" t="str">
        <f>IFERROR(__xludf.DUMMYFUNCTION("""COMPUTED_VALUE"""),"Service First")</f>
        <v>Service First</v>
      </c>
      <c r="C647" s="223" t="str">
        <f>IFERROR(__xludf.DUMMYFUNCTION("""COMPUTED_VALUE"""),"Annual Hosting")</f>
        <v>Annual Hosting</v>
      </c>
      <c r="D647" s="316">
        <f>IFERROR(__xludf.DUMMYFUNCTION("""COMPUTED_VALUE"""),44895.0)</f>
        <v>44895</v>
      </c>
      <c r="E647" s="298">
        <f>IFERROR(__xludf.DUMMYFUNCTION("""COMPUTED_VALUE"""),240.0)</f>
        <v>240</v>
      </c>
      <c r="F647" s="298">
        <f>IFERROR(__xludf.DUMMYFUNCTION("""COMPUTED_VALUE"""),7.47)</f>
        <v>7.47</v>
      </c>
      <c r="G647" s="298">
        <f>IFERROR(__xludf.DUMMYFUNCTION("""COMPUTED_VALUE"""),0.0)</f>
        <v>0</v>
      </c>
      <c r="H647" s="223">
        <f>IFERROR(__xludf.DUMMYFUNCTION("""COMPUTED_VALUE"""),232.53)</f>
        <v>232.53</v>
      </c>
      <c r="I647" s="298"/>
      <c r="J647" s="223" t="str">
        <f>IFERROR(__xludf.DUMMYFUNCTION("""COMPUTED_VALUE"""),"Yearly Prepaid")</f>
        <v>Yearly Prepaid</v>
      </c>
      <c r="K647" s="317">
        <f>IFERROR(__xludf.DUMMYFUNCTION("""COMPUTED_VALUE"""),2022.0)</f>
        <v>2022</v>
      </c>
      <c r="L647" s="298"/>
      <c r="M647" s="223"/>
      <c r="N647" s="223"/>
      <c r="O647" s="223"/>
      <c r="P647" s="223"/>
      <c r="Q647" s="223"/>
      <c r="R647" s="223"/>
      <c r="S647" s="223"/>
      <c r="T647" s="223"/>
      <c r="U647" s="223"/>
      <c r="V647" s="223"/>
      <c r="W647" s="223"/>
      <c r="X647" s="223"/>
      <c r="Y647" s="223"/>
      <c r="Z647" s="223"/>
    </row>
    <row r="648">
      <c r="A648" s="223" t="str">
        <f>IFERROR(__xludf.DUMMYFUNCTION("""COMPUTED_VALUE"""),"TisBest : Annual Hosting")</f>
        <v>TisBest : Annual Hosting</v>
      </c>
      <c r="B648" s="223" t="str">
        <f>IFERROR(__xludf.DUMMYFUNCTION("""COMPUTED_VALUE"""),"TisBest")</f>
        <v>TisBest</v>
      </c>
      <c r="C648" s="223" t="str">
        <f>IFERROR(__xludf.DUMMYFUNCTION("""COMPUTED_VALUE"""),"Annual Hosting")</f>
        <v>Annual Hosting</v>
      </c>
      <c r="D648" s="316">
        <f>IFERROR(__xludf.DUMMYFUNCTION("""COMPUTED_VALUE"""),44895.0)</f>
        <v>44895</v>
      </c>
      <c r="E648" s="298">
        <f>IFERROR(__xludf.DUMMYFUNCTION("""COMPUTED_VALUE"""),466.14708)</f>
        <v>466.14708</v>
      </c>
      <c r="F648" s="298">
        <f>IFERROR(__xludf.DUMMYFUNCTION("""COMPUTED_VALUE"""),17.63589786)</f>
        <v>17.63589786</v>
      </c>
      <c r="G648" s="298">
        <f>IFERROR(__xludf.DUMMYFUNCTION("""COMPUTED_VALUE"""),0.0)</f>
        <v>0</v>
      </c>
      <c r="H648" s="223">
        <f>IFERROR(__xludf.DUMMYFUNCTION("""COMPUTED_VALUE"""),448.51118214)</f>
        <v>448.5111821</v>
      </c>
      <c r="I648" s="298"/>
      <c r="J648" s="223" t="str">
        <f>IFERROR(__xludf.DUMMYFUNCTION("""COMPUTED_VALUE"""),"Yearly Prepaid")</f>
        <v>Yearly Prepaid</v>
      </c>
      <c r="K648" s="317">
        <f>IFERROR(__xludf.DUMMYFUNCTION("""COMPUTED_VALUE"""),2022.0)</f>
        <v>2022</v>
      </c>
      <c r="L648" s="298"/>
      <c r="M648" s="223"/>
      <c r="N648" s="223"/>
      <c r="O648" s="223"/>
      <c r="P648" s="223"/>
      <c r="Q648" s="223"/>
      <c r="R648" s="223"/>
      <c r="S648" s="223"/>
      <c r="T648" s="223"/>
      <c r="U648" s="223"/>
      <c r="V648" s="223"/>
      <c r="W648" s="223"/>
      <c r="X648" s="223"/>
      <c r="Y648" s="223"/>
      <c r="Z648" s="223"/>
    </row>
    <row r="649">
      <c r="A649" s="223" t="str">
        <f>IFERROR(__xludf.DUMMYFUNCTION("""COMPUTED_VALUE"""),"Sacred Deathcare : 5 Hour Support Block")</f>
        <v>Sacred Deathcare : 5 Hour Support Block</v>
      </c>
      <c r="B649" s="223" t="str">
        <f>IFERROR(__xludf.DUMMYFUNCTION("""COMPUTED_VALUE"""),"Sacred Deathcare")</f>
        <v>Sacred Deathcare</v>
      </c>
      <c r="C649" s="223" t="str">
        <f>IFERROR(__xludf.DUMMYFUNCTION("""COMPUTED_VALUE"""),"5 Hour Support Block")</f>
        <v>5 Hour Support Block</v>
      </c>
      <c r="D649" s="316">
        <f>IFERROR(__xludf.DUMMYFUNCTION("""COMPUTED_VALUE"""),44895.0)</f>
        <v>44895</v>
      </c>
      <c r="E649" s="298">
        <f>IFERROR(__xludf.DUMMYFUNCTION("""COMPUTED_VALUE"""),599.0)</f>
        <v>599</v>
      </c>
      <c r="F649" s="298">
        <f>IFERROR(__xludf.DUMMYFUNCTION("""COMPUTED_VALUE"""),18.64)</f>
        <v>18.64</v>
      </c>
      <c r="G649" s="298">
        <f>IFERROR(__xludf.DUMMYFUNCTION("""COMPUTED_VALUE"""),0.0)</f>
        <v>0</v>
      </c>
      <c r="H649" s="223">
        <f>IFERROR(__xludf.DUMMYFUNCTION("""COMPUTED_VALUE"""),580.36)</f>
        <v>580.36</v>
      </c>
      <c r="I649" s="298"/>
      <c r="J649" s="223" t="str">
        <f>IFERROR(__xludf.DUMMYFUNCTION("""COMPUTED_VALUE"""),"One-Time")</f>
        <v>One-Time</v>
      </c>
      <c r="K649" s="317">
        <f>IFERROR(__xludf.DUMMYFUNCTION("""COMPUTED_VALUE"""),2022.0)</f>
        <v>2022</v>
      </c>
      <c r="L649" s="298"/>
      <c r="M649" s="223"/>
      <c r="N649" s="223"/>
      <c r="O649" s="223"/>
      <c r="P649" s="223"/>
      <c r="Q649" s="223"/>
      <c r="R649" s="223"/>
      <c r="S649" s="223"/>
      <c r="T649" s="223"/>
      <c r="U649" s="223"/>
      <c r="V649" s="223"/>
      <c r="W649" s="223"/>
      <c r="X649" s="223"/>
      <c r="Y649" s="223"/>
      <c r="Z649" s="223"/>
    </row>
    <row r="650">
      <c r="A650" s="223" t="str">
        <f>IFERROR(__xludf.DUMMYFUNCTION("""COMPUTED_VALUE"""),"Sacred Deathcare : Other Projects")</f>
        <v>Sacred Deathcare : Other Projects</v>
      </c>
      <c r="B650" s="223" t="str">
        <f>IFERROR(__xludf.DUMMYFUNCTION("""COMPUTED_VALUE"""),"Sacred Deathcare")</f>
        <v>Sacred Deathcare</v>
      </c>
      <c r="C650" s="223" t="str">
        <f>IFERROR(__xludf.DUMMYFUNCTION("""COMPUTED_VALUE"""),"Other Projects")</f>
        <v>Other Projects</v>
      </c>
      <c r="D650" s="316">
        <f>IFERROR(__xludf.DUMMYFUNCTION("""COMPUTED_VALUE"""),44895.0)</f>
        <v>44895</v>
      </c>
      <c r="E650" s="298">
        <f>IFERROR(__xludf.DUMMYFUNCTION("""COMPUTED_VALUE"""),1090.0)</f>
        <v>1090</v>
      </c>
      <c r="F650" s="298">
        <f>IFERROR(__xludf.DUMMYFUNCTION("""COMPUTED_VALUE"""),33.91)</f>
        <v>33.91</v>
      </c>
      <c r="G650" s="298">
        <f>IFERROR(__xludf.DUMMYFUNCTION("""COMPUTED_VALUE"""),0.0)</f>
        <v>0</v>
      </c>
      <c r="H650" s="223">
        <f>IFERROR(__xludf.DUMMYFUNCTION("""COMPUTED_VALUE"""),1056.09)</f>
        <v>1056.09</v>
      </c>
      <c r="I650" s="298"/>
      <c r="J650" s="223" t="str">
        <f>IFERROR(__xludf.DUMMYFUNCTION("""COMPUTED_VALUE"""),"One-Time")</f>
        <v>One-Time</v>
      </c>
      <c r="K650" s="317">
        <f>IFERROR(__xludf.DUMMYFUNCTION("""COMPUTED_VALUE"""),2022.0)</f>
        <v>2022</v>
      </c>
      <c r="L650" s="298"/>
      <c r="M650" s="223"/>
      <c r="N650" s="223"/>
      <c r="O650" s="223"/>
      <c r="P650" s="223"/>
      <c r="Q650" s="223"/>
      <c r="R650" s="223"/>
      <c r="S650" s="223"/>
      <c r="T650" s="223"/>
      <c r="U650" s="223"/>
      <c r="V650" s="223"/>
      <c r="W650" s="223"/>
      <c r="X650" s="223"/>
      <c r="Y650" s="223"/>
      <c r="Z650" s="223"/>
    </row>
    <row r="651">
      <c r="A651" s="223" t="str">
        <f>IFERROR(__xludf.DUMMYFUNCTION("""COMPUTED_VALUE"""),"The Sands : Email Blast")</f>
        <v>The Sands : Email Blast</v>
      </c>
      <c r="B651" s="223" t="str">
        <f>IFERROR(__xludf.DUMMYFUNCTION("""COMPUTED_VALUE"""),"The Sands")</f>
        <v>The Sands</v>
      </c>
      <c r="C651" s="223" t="str">
        <f>IFERROR(__xludf.DUMMYFUNCTION("""COMPUTED_VALUE"""),"Email Blast")</f>
        <v>Email Blast</v>
      </c>
      <c r="D651" s="316">
        <f>IFERROR(__xludf.DUMMYFUNCTION("""COMPUTED_VALUE"""),44925.0)</f>
        <v>44925</v>
      </c>
      <c r="E651" s="298">
        <f>IFERROR(__xludf.DUMMYFUNCTION("""COMPUTED_VALUE"""),423.79995)</f>
        <v>423.79995</v>
      </c>
      <c r="F651" s="298">
        <f>IFERROR(__xludf.DUMMYFUNCTION("""COMPUTED_VALUE"""),0.0)</f>
        <v>0</v>
      </c>
      <c r="G651" s="298">
        <f>IFERROR(__xludf.DUMMYFUNCTION("""COMPUTED_VALUE"""),0.0)</f>
        <v>0</v>
      </c>
      <c r="H651" s="223">
        <f>IFERROR(__xludf.DUMMYFUNCTION("""COMPUTED_VALUE"""),423.79995)</f>
        <v>423.79995</v>
      </c>
      <c r="I651" s="298"/>
      <c r="J651" s="223" t="str">
        <f>IFERROR(__xludf.DUMMYFUNCTION("""COMPUTED_VALUE"""),"One-Time")</f>
        <v>One-Time</v>
      </c>
      <c r="K651" s="317">
        <f>IFERROR(__xludf.DUMMYFUNCTION("""COMPUTED_VALUE"""),2022.0)</f>
        <v>2022</v>
      </c>
      <c r="L651" s="298"/>
      <c r="M651" s="223"/>
      <c r="N651" s="223"/>
      <c r="O651" s="223"/>
      <c r="P651" s="223"/>
      <c r="Q651" s="223"/>
      <c r="R651" s="223"/>
      <c r="S651" s="223"/>
      <c r="T651" s="223"/>
      <c r="U651" s="223"/>
      <c r="V651" s="223"/>
      <c r="W651" s="223"/>
      <c r="X651" s="223"/>
      <c r="Y651" s="223"/>
      <c r="Z651" s="223"/>
    </row>
    <row r="652">
      <c r="A652" s="223" t="str">
        <f>IFERROR(__xludf.DUMMYFUNCTION("""COMPUTED_VALUE"""),"Arcwell : Arcwell Initial Reveiw")</f>
        <v>Arcwell : Arcwell Initial Reveiw</v>
      </c>
      <c r="B652" s="223" t="str">
        <f>IFERROR(__xludf.DUMMYFUNCTION("""COMPUTED_VALUE"""),"Arcwell")</f>
        <v>Arcwell</v>
      </c>
      <c r="C652" s="223" t="str">
        <f>IFERROR(__xludf.DUMMYFUNCTION("""COMPUTED_VALUE"""),"Arcwell Initial Reveiw")</f>
        <v>Arcwell Initial Reveiw</v>
      </c>
      <c r="D652" s="316">
        <f>IFERROR(__xludf.DUMMYFUNCTION("""COMPUTED_VALUE"""),44896.0)</f>
        <v>44896</v>
      </c>
      <c r="E652" s="298">
        <f>IFERROR(__xludf.DUMMYFUNCTION("""COMPUTED_VALUE"""),687.5)</f>
        <v>687.5</v>
      </c>
      <c r="F652" s="298">
        <f>IFERROR(__xludf.DUMMYFUNCTION("""COMPUTED_VALUE"""),0.0)</f>
        <v>0</v>
      </c>
      <c r="G652" s="298">
        <f>IFERROR(__xludf.DUMMYFUNCTION("""COMPUTED_VALUE"""),0.0)</f>
        <v>0</v>
      </c>
      <c r="H652" s="223">
        <f>IFERROR(__xludf.DUMMYFUNCTION("""COMPUTED_VALUE"""),687.5)</f>
        <v>687.5</v>
      </c>
      <c r="I652" s="298"/>
      <c r="J652" s="223" t="str">
        <f>IFERROR(__xludf.DUMMYFUNCTION("""COMPUTED_VALUE"""),"One-Time")</f>
        <v>One-Time</v>
      </c>
      <c r="K652" s="317">
        <f>IFERROR(__xludf.DUMMYFUNCTION("""COMPUTED_VALUE"""),2022.0)</f>
        <v>2022</v>
      </c>
      <c r="L652" s="298"/>
      <c r="M652" s="223"/>
      <c r="N652" s="223"/>
      <c r="O652" s="223"/>
      <c r="P652" s="223"/>
      <c r="Q652" s="223"/>
      <c r="R652" s="223"/>
      <c r="S652" s="223"/>
      <c r="T652" s="223"/>
      <c r="U652" s="223"/>
      <c r="V652" s="223"/>
      <c r="W652" s="223"/>
      <c r="X652" s="223"/>
      <c r="Y652" s="223"/>
      <c r="Z652" s="223"/>
    </row>
    <row r="653">
      <c r="A653" s="223" t="str">
        <f>IFERROR(__xludf.DUMMYFUNCTION("""COMPUTED_VALUE"""),"Arcwell : Arcwell Initial Reveiw")</f>
        <v>Arcwell : Arcwell Initial Reveiw</v>
      </c>
      <c r="B653" s="223" t="str">
        <f>IFERROR(__xludf.DUMMYFUNCTION("""COMPUTED_VALUE"""),"Arcwell")</f>
        <v>Arcwell</v>
      </c>
      <c r="C653" s="223" t="str">
        <f>IFERROR(__xludf.DUMMYFUNCTION("""COMPUTED_VALUE"""),"Arcwell Initial Reveiw")</f>
        <v>Arcwell Initial Reveiw</v>
      </c>
      <c r="D653" s="316">
        <f>IFERROR(__xludf.DUMMYFUNCTION("""COMPUTED_VALUE"""),44939.0)</f>
        <v>44939</v>
      </c>
      <c r="E653" s="298">
        <f>IFERROR(__xludf.DUMMYFUNCTION("""COMPUTED_VALUE"""),687.5)</f>
        <v>687.5</v>
      </c>
      <c r="F653" s="298">
        <f>IFERROR(__xludf.DUMMYFUNCTION("""COMPUTED_VALUE"""),21.39)</f>
        <v>21.39</v>
      </c>
      <c r="G653" s="298">
        <f>IFERROR(__xludf.DUMMYFUNCTION("""COMPUTED_VALUE"""),0.0)</f>
        <v>0</v>
      </c>
      <c r="H653" s="223">
        <f>IFERROR(__xludf.DUMMYFUNCTION("""COMPUTED_VALUE"""),666.11)</f>
        <v>666.11</v>
      </c>
      <c r="I653" s="298"/>
      <c r="J653" s="223" t="str">
        <f>IFERROR(__xludf.DUMMYFUNCTION("""COMPUTED_VALUE"""),"One-Time")</f>
        <v>One-Time</v>
      </c>
      <c r="K653" s="317">
        <f>IFERROR(__xludf.DUMMYFUNCTION("""COMPUTED_VALUE"""),2023.0)</f>
        <v>2023</v>
      </c>
      <c r="L653" s="298"/>
      <c r="M653" s="223"/>
      <c r="N653" s="223"/>
      <c r="O653" s="223"/>
      <c r="P653" s="223"/>
      <c r="Q653" s="223"/>
      <c r="R653" s="223"/>
      <c r="S653" s="223"/>
      <c r="T653" s="223"/>
      <c r="U653" s="223"/>
      <c r="V653" s="223"/>
      <c r="W653" s="223"/>
      <c r="X653" s="223"/>
      <c r="Y653" s="223"/>
      <c r="Z653" s="223"/>
    </row>
    <row r="654">
      <c r="A654" s="223" t="str">
        <f>IFERROR(__xludf.DUMMYFUNCTION("""COMPUTED_VALUE"""),"Canyon's Construction : PPC, LP &amp; Listings")</f>
        <v>Canyon's Construction : PPC, LP &amp; Listings</v>
      </c>
      <c r="B654" s="223" t="str">
        <f>IFERROR(__xludf.DUMMYFUNCTION("""COMPUTED_VALUE"""),"Canyon's Construction")</f>
        <v>Canyon's Construction</v>
      </c>
      <c r="C654" s="223" t="str">
        <f>IFERROR(__xludf.DUMMYFUNCTION("""COMPUTED_VALUE"""),"PPC, LP &amp; Listings")</f>
        <v>PPC, LP &amp; Listings</v>
      </c>
      <c r="D654" s="316">
        <f>IFERROR(__xludf.DUMMYFUNCTION("""COMPUTED_VALUE"""),44897.0)</f>
        <v>44897</v>
      </c>
      <c r="E654" s="298">
        <f>IFERROR(__xludf.DUMMYFUNCTION("""COMPUTED_VALUE"""),2597.47012832)</f>
        <v>2597.470128</v>
      </c>
      <c r="F654" s="298">
        <f>IFERROR(__xludf.DUMMYFUNCTION("""COMPUTED_VALUE"""),96.50734863999999)</f>
        <v>96.50734864</v>
      </c>
      <c r="G654" s="298">
        <f>IFERROR(__xludf.DUMMYFUNCTION("""COMPUTED_VALUE"""),296.7142241812352)</f>
        <v>296.7142242</v>
      </c>
      <c r="H654" s="223">
        <f>IFERROR(__xludf.DUMMYFUNCTION("""COMPUTED_VALUE"""),2204.2485554987647)</f>
        <v>2204.248555</v>
      </c>
      <c r="I654" s="298"/>
      <c r="J654" s="223" t="str">
        <f>IFERROR(__xludf.DUMMYFUNCTION("""COMPUTED_VALUE"""),"1/3 Deposit Prepaid
1/3 of Remainder Milestone
1/3 of Remainder Milestone Final")</f>
        <v>1/3 Deposit Prepaid
1/3 of Remainder Milestone
1/3 of Remainder Milestone Final</v>
      </c>
      <c r="K654" s="317">
        <f>IFERROR(__xludf.DUMMYFUNCTION("""COMPUTED_VALUE"""),2022.0)</f>
        <v>2022</v>
      </c>
      <c r="L654" s="298"/>
      <c r="M654" s="223"/>
      <c r="N654" s="223"/>
      <c r="O654" s="223"/>
      <c r="P654" s="223"/>
      <c r="Q654" s="223"/>
      <c r="R654" s="223"/>
      <c r="S654" s="223"/>
      <c r="T654" s="223"/>
      <c r="U654" s="223"/>
      <c r="V654" s="223"/>
      <c r="W654" s="223"/>
      <c r="X654" s="223"/>
      <c r="Y654" s="223"/>
      <c r="Z654" s="223"/>
    </row>
    <row r="655">
      <c r="A655" s="223" t="str">
        <f>IFERROR(__xludf.DUMMYFUNCTION("""COMPUTED_VALUE"""),"Canyon's Construction : PPC, LP &amp; Listings")</f>
        <v>Canyon's Construction : PPC, LP &amp; Listings</v>
      </c>
      <c r="B655" s="223" t="str">
        <f>IFERROR(__xludf.DUMMYFUNCTION("""COMPUTED_VALUE"""),"Canyon's Construction")</f>
        <v>Canyon's Construction</v>
      </c>
      <c r="C655" s="223" t="str">
        <f>IFERROR(__xludf.DUMMYFUNCTION("""COMPUTED_VALUE"""),"PPC, LP &amp; Listings")</f>
        <v>PPC, LP &amp; Listings</v>
      </c>
      <c r="D655" s="316">
        <f>IFERROR(__xludf.DUMMYFUNCTION("""COMPUTED_VALUE"""),44957.0)</f>
        <v>44957</v>
      </c>
      <c r="E655" s="298">
        <f>IFERROR(__xludf.DUMMYFUNCTION("""COMPUTED_VALUE"""),2554.16624178)</f>
        <v>2554.166242</v>
      </c>
      <c r="F655" s="298">
        <f>IFERROR(__xludf.DUMMYFUNCTION("""COMPUTED_VALUE"""),94.89842030999999)</f>
        <v>94.89842031</v>
      </c>
      <c r="G655" s="298">
        <f>IFERROR(__xludf.DUMMYFUNCTION("""COMPUTED_VALUE"""),291.7675343392008)</f>
        <v>291.7675343</v>
      </c>
      <c r="H655" s="223">
        <f>IFERROR(__xludf.DUMMYFUNCTION("""COMPUTED_VALUE"""),2167.5002871307993)</f>
        <v>2167.500287</v>
      </c>
      <c r="I655" s="298"/>
      <c r="J655" s="223" t="str">
        <f>IFERROR(__xludf.DUMMYFUNCTION("""COMPUTED_VALUE"""),"1/3 Deposit Prepaid
1/3 of Remainder Milestone
1/3 of Remainder Milestone Final")</f>
        <v>1/3 Deposit Prepaid
1/3 of Remainder Milestone
1/3 of Remainder Milestone Final</v>
      </c>
      <c r="K655" s="317">
        <f>IFERROR(__xludf.DUMMYFUNCTION("""COMPUTED_VALUE"""),2023.0)</f>
        <v>2023</v>
      </c>
      <c r="L655" s="298"/>
      <c r="M655" s="223"/>
      <c r="N655" s="223"/>
      <c r="O655" s="223"/>
      <c r="P655" s="223"/>
      <c r="Q655" s="223"/>
      <c r="R655" s="223"/>
      <c r="S655" s="223"/>
      <c r="T655" s="223"/>
      <c r="U655" s="223"/>
      <c r="V655" s="223"/>
      <c r="W655" s="223"/>
      <c r="X655" s="223"/>
      <c r="Y655" s="223"/>
      <c r="Z655" s="223"/>
    </row>
    <row r="656">
      <c r="A656" s="223" t="str">
        <f>IFERROR(__xludf.DUMMYFUNCTION("""COMPUTED_VALUE"""),"Canyon's Construction : PPC, LP &amp; Listings")</f>
        <v>Canyon's Construction : PPC, LP &amp; Listings</v>
      </c>
      <c r="B656" s="223" t="str">
        <f>IFERROR(__xludf.DUMMYFUNCTION("""COMPUTED_VALUE"""),"Canyon's Construction")</f>
        <v>Canyon's Construction</v>
      </c>
      <c r="C656" s="223" t="str">
        <f>IFERROR(__xludf.DUMMYFUNCTION("""COMPUTED_VALUE"""),"PPC, LP &amp; Listings")</f>
        <v>PPC, LP &amp; Listings</v>
      </c>
      <c r="D656" s="316">
        <f>IFERROR(__xludf.DUMMYFUNCTION("""COMPUTED_VALUE"""),45000.0)</f>
        <v>45000</v>
      </c>
      <c r="E656" s="298">
        <f>IFERROR(__xludf.DUMMYFUNCTION("""COMPUTED_VALUE"""),2548.83775339)</f>
        <v>2548.837753</v>
      </c>
      <c r="F656" s="298">
        <f>IFERROR(__xludf.DUMMYFUNCTION("""COMPUTED_VALUE"""),94.6509873569895)</f>
        <v>94.65098736</v>
      </c>
      <c r="G656" s="298">
        <f>IFERROR(__xludf.DUMMYFUNCTION("""COMPUTED_VALUE"""),291.1647179221564)</f>
        <v>291.1647179</v>
      </c>
      <c r="H656" s="223">
        <f>IFERROR(__xludf.DUMMYFUNCTION("""COMPUTED_VALUE"""),2163.0220481108545)</f>
        <v>2163.022048</v>
      </c>
      <c r="I656" s="298"/>
      <c r="J656" s="223" t="str">
        <f>IFERROR(__xludf.DUMMYFUNCTION("""COMPUTED_VALUE"""),"1/3 Deposit Prepaid
1/3 of Remainder Milestone
1/3 of Remainder Milestone Final")</f>
        <v>1/3 Deposit Prepaid
1/3 of Remainder Milestone
1/3 of Remainder Milestone Final</v>
      </c>
      <c r="K656" s="317">
        <f>IFERROR(__xludf.DUMMYFUNCTION("""COMPUTED_VALUE"""),2023.0)</f>
        <v>2023</v>
      </c>
      <c r="L656" s="298"/>
      <c r="M656" s="223"/>
      <c r="N656" s="223"/>
      <c r="O656" s="223"/>
      <c r="P656" s="223"/>
      <c r="Q656" s="223"/>
      <c r="R656" s="223"/>
      <c r="S656" s="223"/>
      <c r="T656" s="223"/>
      <c r="U656" s="223"/>
      <c r="V656" s="223"/>
      <c r="W656" s="223"/>
      <c r="X656" s="223"/>
      <c r="Y656" s="223"/>
      <c r="Z656" s="223"/>
    </row>
    <row r="657">
      <c r="A657" s="223" t="str">
        <f>IFERROR(__xludf.DUMMYFUNCTION("""COMPUTED_VALUE"""),"Villa del Mar : Other Projects")</f>
        <v>Villa del Mar : Other Projects</v>
      </c>
      <c r="B657" s="223" t="str">
        <f>IFERROR(__xludf.DUMMYFUNCTION("""COMPUTED_VALUE"""),"Villa del Mar")</f>
        <v>Villa del Mar</v>
      </c>
      <c r="C657" s="223" t="str">
        <f>IFERROR(__xludf.DUMMYFUNCTION("""COMPUTED_VALUE"""),"Other Projects")</f>
        <v>Other Projects</v>
      </c>
      <c r="D657" s="316">
        <f>IFERROR(__xludf.DUMMYFUNCTION("""COMPUTED_VALUE"""),44910.0)</f>
        <v>44910</v>
      </c>
      <c r="E657" s="298">
        <f>IFERROR(__xludf.DUMMYFUNCTION("""COMPUTED_VALUE"""),1015.0484)</f>
        <v>1015.0484</v>
      </c>
      <c r="F657" s="298">
        <f>IFERROR(__xludf.DUMMYFUNCTION("""COMPUTED_VALUE"""),29.43)</f>
        <v>29.43</v>
      </c>
      <c r="G657" s="298">
        <f>IFERROR(__xludf.DUMMYFUNCTION("""COMPUTED_VALUE"""),0.0)</f>
        <v>0</v>
      </c>
      <c r="H657" s="223">
        <f>IFERROR(__xludf.DUMMYFUNCTION("""COMPUTED_VALUE"""),985.6184000000001)</f>
        <v>985.6184</v>
      </c>
      <c r="I657" s="298"/>
      <c r="J657" s="223" t="str">
        <f>IFERROR(__xludf.DUMMYFUNCTION("""COMPUTED_VALUE"""),"One-Time")</f>
        <v>One-Time</v>
      </c>
      <c r="K657" s="317">
        <f>IFERROR(__xludf.DUMMYFUNCTION("""COMPUTED_VALUE"""),2022.0)</f>
        <v>2022</v>
      </c>
      <c r="L657" s="298"/>
      <c r="M657" s="223"/>
      <c r="N657" s="223"/>
      <c r="O657" s="223"/>
      <c r="P657" s="223"/>
      <c r="Q657" s="223"/>
      <c r="R657" s="223"/>
      <c r="S657" s="223"/>
      <c r="T657" s="223"/>
      <c r="U657" s="223"/>
      <c r="V657" s="223"/>
      <c r="W657" s="223"/>
      <c r="X657" s="223"/>
      <c r="Y657" s="223"/>
      <c r="Z657" s="223"/>
    </row>
    <row r="658">
      <c r="A658" s="223" t="str">
        <f>IFERROR(__xludf.DUMMYFUNCTION("""COMPUTED_VALUE"""),"Community Financials : Monthly Services")</f>
        <v>Community Financials : Monthly Services</v>
      </c>
      <c r="B658" s="223" t="str">
        <f>IFERROR(__xludf.DUMMYFUNCTION("""COMPUTED_VALUE"""),"Community Financials")</f>
        <v>Community Financials</v>
      </c>
      <c r="C658" s="223" t="str">
        <f>IFERROR(__xludf.DUMMYFUNCTION("""COMPUTED_VALUE"""),"Monthly Services")</f>
        <v>Monthly Services</v>
      </c>
      <c r="D658" s="316">
        <f>IFERROR(__xludf.DUMMYFUNCTION("""COMPUTED_VALUE"""),44902.0)</f>
        <v>44902</v>
      </c>
      <c r="E658" s="298">
        <f>IFERROR(__xludf.DUMMYFUNCTION("""COMPUTED_VALUE"""),1969.6335)</f>
        <v>1969.6335</v>
      </c>
      <c r="F658" s="298">
        <f>IFERROR(__xludf.DUMMYFUNCTION("""COMPUTED_VALUE"""),72.99461751)</f>
        <v>72.99461751</v>
      </c>
      <c r="G658" s="298">
        <f>IFERROR(__xludf.DUMMYFUNCTION("""COMPUTED_VALUE"""),379.32777649800005)</f>
        <v>379.3277765</v>
      </c>
      <c r="H658" s="223">
        <f>IFERROR(__xludf.DUMMYFUNCTION("""COMPUTED_VALUE"""),1517.311105992)</f>
        <v>1517.311106</v>
      </c>
      <c r="I658" s="298"/>
      <c r="J658" s="223" t="str">
        <f>IFERROR(__xludf.DUMMYFUNCTION("""COMPUTED_VALUE"""),"Monthly")</f>
        <v>Monthly</v>
      </c>
      <c r="K658" s="317">
        <f>IFERROR(__xludf.DUMMYFUNCTION("""COMPUTED_VALUE"""),2022.12)</f>
        <v>2022.12</v>
      </c>
      <c r="L658" s="298"/>
      <c r="M658" s="223"/>
      <c r="N658" s="223"/>
      <c r="O658" s="223"/>
      <c r="P658" s="223"/>
      <c r="Q658" s="223"/>
      <c r="R658" s="223"/>
      <c r="S658" s="223"/>
      <c r="T658" s="223"/>
      <c r="U658" s="223"/>
      <c r="V658" s="223"/>
      <c r="W658" s="223"/>
      <c r="X658" s="223"/>
      <c r="Y658" s="223"/>
      <c r="Z658" s="223"/>
    </row>
    <row r="659">
      <c r="A659" s="223" t="str">
        <f>IFERROR(__xludf.DUMMYFUNCTION("""COMPUTED_VALUE"""),"Community Financials : Monthly Services")</f>
        <v>Community Financials : Monthly Services</v>
      </c>
      <c r="B659" s="223" t="str">
        <f>IFERROR(__xludf.DUMMYFUNCTION("""COMPUTED_VALUE"""),"Community Financials")</f>
        <v>Community Financials</v>
      </c>
      <c r="C659" s="223" t="str">
        <f>IFERROR(__xludf.DUMMYFUNCTION("""COMPUTED_VALUE"""),"Monthly Services")</f>
        <v>Monthly Services</v>
      </c>
      <c r="D659" s="316">
        <f>IFERROR(__xludf.DUMMYFUNCTION("""COMPUTED_VALUE"""),44902.0)</f>
        <v>44902</v>
      </c>
      <c r="E659" s="298">
        <f>IFERROR(__xludf.DUMMYFUNCTION("""COMPUTED_VALUE"""),1969.6335)</f>
        <v>1969.6335</v>
      </c>
      <c r="F659" s="298">
        <f>IFERROR(__xludf.DUMMYFUNCTION("""COMPUTED_VALUE"""),72.99461751)</f>
        <v>72.99461751</v>
      </c>
      <c r="G659" s="298">
        <f>IFERROR(__xludf.DUMMYFUNCTION("""COMPUTED_VALUE"""),379.32777649800005)</f>
        <v>379.3277765</v>
      </c>
      <c r="H659" s="223">
        <f>IFERROR(__xludf.DUMMYFUNCTION("""COMPUTED_VALUE"""),1517.311105992)</f>
        <v>1517.311106</v>
      </c>
      <c r="I659" s="298"/>
      <c r="J659" s="223" t="str">
        <f>IFERROR(__xludf.DUMMYFUNCTION("""COMPUTED_VALUE"""),"Monthly")</f>
        <v>Monthly</v>
      </c>
      <c r="K659" s="317">
        <f>IFERROR(__xludf.DUMMYFUNCTION("""COMPUTED_VALUE"""),2022.12)</f>
        <v>2022.12</v>
      </c>
      <c r="L659" s="298"/>
      <c r="M659" s="223"/>
      <c r="N659" s="223"/>
      <c r="O659" s="223"/>
      <c r="P659" s="223"/>
      <c r="Q659" s="223"/>
      <c r="R659" s="223"/>
      <c r="S659" s="223"/>
      <c r="T659" s="223"/>
      <c r="U659" s="223"/>
      <c r="V659" s="223"/>
      <c r="W659" s="223"/>
      <c r="X659" s="223"/>
      <c r="Y659" s="223"/>
      <c r="Z659" s="223"/>
    </row>
    <row r="660">
      <c r="A660" s="223" t="str">
        <f>IFERROR(__xludf.DUMMYFUNCTION("""COMPUTED_VALUE"""),"Community Financials : Monthly Services")</f>
        <v>Community Financials : Monthly Services</v>
      </c>
      <c r="B660" s="223" t="str">
        <f>IFERROR(__xludf.DUMMYFUNCTION("""COMPUTED_VALUE"""),"Community Financials")</f>
        <v>Community Financials</v>
      </c>
      <c r="C660" s="223" t="str">
        <f>IFERROR(__xludf.DUMMYFUNCTION("""COMPUTED_VALUE"""),"Monthly Services")</f>
        <v>Monthly Services</v>
      </c>
      <c r="D660" s="316">
        <f>IFERROR(__xludf.DUMMYFUNCTION("""COMPUTED_VALUE"""),44902.0)</f>
        <v>44902</v>
      </c>
      <c r="E660" s="298">
        <f>IFERROR(__xludf.DUMMYFUNCTION("""COMPUTED_VALUE"""),1969.6335)</f>
        <v>1969.6335</v>
      </c>
      <c r="F660" s="298">
        <f>IFERROR(__xludf.DUMMYFUNCTION("""COMPUTED_VALUE"""),72.99461751)</f>
        <v>72.99461751</v>
      </c>
      <c r="G660" s="298">
        <f>IFERROR(__xludf.DUMMYFUNCTION("""COMPUTED_VALUE"""),379.32777649800005)</f>
        <v>379.3277765</v>
      </c>
      <c r="H660" s="223">
        <f>IFERROR(__xludf.DUMMYFUNCTION("""COMPUTED_VALUE"""),1517.311105992)</f>
        <v>1517.311106</v>
      </c>
      <c r="I660" s="298"/>
      <c r="J660" s="223" t="str">
        <f>IFERROR(__xludf.DUMMYFUNCTION("""COMPUTED_VALUE"""),"Monthly")</f>
        <v>Monthly</v>
      </c>
      <c r="K660" s="317">
        <f>IFERROR(__xludf.DUMMYFUNCTION("""COMPUTED_VALUE"""),2022.12)</f>
        <v>2022.12</v>
      </c>
      <c r="L660" s="298"/>
      <c r="M660" s="223"/>
      <c r="N660" s="223"/>
      <c r="O660" s="223"/>
      <c r="P660" s="223"/>
      <c r="Q660" s="223"/>
      <c r="R660" s="223"/>
      <c r="S660" s="223"/>
      <c r="T660" s="223"/>
      <c r="U660" s="223"/>
      <c r="V660" s="223"/>
      <c r="W660" s="223"/>
      <c r="X660" s="223"/>
      <c r="Y660" s="223"/>
      <c r="Z660" s="223"/>
    </row>
    <row r="661">
      <c r="A661" s="223" t="str">
        <f>IFERROR(__xludf.DUMMYFUNCTION("""COMPUTED_VALUE"""),"Community Financials : Hosting")</f>
        <v>Community Financials : Hosting</v>
      </c>
      <c r="B661" s="223" t="str">
        <f>IFERROR(__xludf.DUMMYFUNCTION("""COMPUTED_VALUE"""),"Community Financials")</f>
        <v>Community Financials</v>
      </c>
      <c r="C661" s="223" t="str">
        <f>IFERROR(__xludf.DUMMYFUNCTION("""COMPUTED_VALUE"""),"Hosting")</f>
        <v>Hosting</v>
      </c>
      <c r="D661" s="316">
        <f>IFERROR(__xludf.DUMMYFUNCTION("""COMPUTED_VALUE"""),44902.0)</f>
        <v>44902</v>
      </c>
      <c r="E661" s="298">
        <f>IFERROR(__xludf.DUMMYFUNCTION("""COMPUTED_VALUE"""),393.9267)</f>
        <v>393.9267</v>
      </c>
      <c r="F661" s="298">
        <f>IFERROR(__xludf.DUMMYFUNCTION("""COMPUTED_VALUE"""),14.61468057)</f>
        <v>14.61468057</v>
      </c>
      <c r="G661" s="298">
        <f>IFERROR(__xludf.DUMMYFUNCTION("""COMPUTED_VALUE"""),0.0)</f>
        <v>0</v>
      </c>
      <c r="H661" s="223">
        <f>IFERROR(__xludf.DUMMYFUNCTION("""COMPUTED_VALUE"""),379.31201942999996)</f>
        <v>379.3120194</v>
      </c>
      <c r="I661" s="298"/>
      <c r="J661" s="223" t="str">
        <f>IFERROR(__xludf.DUMMYFUNCTION("""COMPUTED_VALUE"""),"Yearly Prepaid")</f>
        <v>Yearly Prepaid</v>
      </c>
      <c r="K661" s="317">
        <f>IFERROR(__xludf.DUMMYFUNCTION("""COMPUTED_VALUE"""),2022.0)</f>
        <v>2022</v>
      </c>
      <c r="L661" s="298"/>
      <c r="M661" s="223"/>
      <c r="N661" s="223"/>
      <c r="O661" s="223"/>
      <c r="P661" s="223"/>
      <c r="Q661" s="223"/>
      <c r="R661" s="223"/>
      <c r="S661" s="223"/>
      <c r="T661" s="223"/>
      <c r="U661" s="223"/>
      <c r="V661" s="223"/>
      <c r="W661" s="223"/>
      <c r="X661" s="223"/>
      <c r="Y661" s="223"/>
      <c r="Z661" s="223"/>
    </row>
    <row r="662">
      <c r="A662" s="223" t="str">
        <f>IFERROR(__xludf.DUMMYFUNCTION("""COMPUTED_VALUE"""),"OA Region 6 : Hosting")</f>
        <v>OA Region 6 : Hosting</v>
      </c>
      <c r="B662" s="223" t="str">
        <f>IFERROR(__xludf.DUMMYFUNCTION("""COMPUTED_VALUE"""),"OA Region 6")</f>
        <v>OA Region 6</v>
      </c>
      <c r="C662" s="223" t="str">
        <f>IFERROR(__xludf.DUMMYFUNCTION("""COMPUTED_VALUE"""),"Hosting")</f>
        <v>Hosting</v>
      </c>
      <c r="D662" s="316">
        <f>IFERROR(__xludf.DUMMYFUNCTION("""COMPUTED_VALUE"""),44910.0)</f>
        <v>44910</v>
      </c>
      <c r="E662" s="298">
        <f>IFERROR(__xludf.DUMMYFUNCTION("""COMPUTED_VALUE"""),390.813)</f>
        <v>390.813</v>
      </c>
      <c r="F662" s="298">
        <f>IFERROR(__xludf.DUMMYFUNCTION("""COMPUTED_VALUE"""),11.38)</f>
        <v>11.38</v>
      </c>
      <c r="G662" s="298">
        <f>IFERROR(__xludf.DUMMYFUNCTION("""COMPUTED_VALUE"""),0.0)</f>
        <v>0</v>
      </c>
      <c r="H662" s="223">
        <f>IFERROR(__xludf.DUMMYFUNCTION("""COMPUTED_VALUE"""),379.433)</f>
        <v>379.433</v>
      </c>
      <c r="I662" s="298"/>
      <c r="J662" s="223" t="str">
        <f>IFERROR(__xludf.DUMMYFUNCTION("""COMPUTED_VALUE"""),"Yearly Prepaid")</f>
        <v>Yearly Prepaid</v>
      </c>
      <c r="K662" s="317">
        <f>IFERROR(__xludf.DUMMYFUNCTION("""COMPUTED_VALUE"""),2022.0)</f>
        <v>2022</v>
      </c>
      <c r="L662" s="298"/>
      <c r="M662" s="223"/>
      <c r="N662" s="223"/>
      <c r="O662" s="223"/>
      <c r="P662" s="223"/>
      <c r="Q662" s="223"/>
      <c r="R662" s="223"/>
      <c r="S662" s="223"/>
      <c r="T662" s="223"/>
      <c r="U662" s="223"/>
      <c r="V662" s="223"/>
      <c r="W662" s="223"/>
      <c r="X662" s="223"/>
      <c r="Y662" s="223"/>
      <c r="Z662" s="223"/>
    </row>
    <row r="663">
      <c r="A663" s="223" t="str">
        <f>IFERROR(__xludf.DUMMYFUNCTION("""COMPUTED_VALUE"""),"Spraggs : Hosting")</f>
        <v>Spraggs : Hosting</v>
      </c>
      <c r="B663" s="223" t="str">
        <f>IFERROR(__xludf.DUMMYFUNCTION("""COMPUTED_VALUE"""),"Spraggs")</f>
        <v>Spraggs</v>
      </c>
      <c r="C663" s="223" t="str">
        <f>IFERROR(__xludf.DUMMYFUNCTION("""COMPUTED_VALUE"""),"Hosting")</f>
        <v>Hosting</v>
      </c>
      <c r="D663" s="316">
        <f>IFERROR(__xludf.DUMMYFUNCTION("""COMPUTED_VALUE"""),44925.0)</f>
        <v>44925</v>
      </c>
      <c r="E663" s="298">
        <f>IFERROR(__xludf.DUMMYFUNCTION("""COMPUTED_VALUE"""),420.0)</f>
        <v>420</v>
      </c>
      <c r="F663" s="298">
        <f>IFERROR(__xludf.DUMMYFUNCTION("""COMPUTED_VALUE"""),13.07)</f>
        <v>13.07</v>
      </c>
      <c r="G663" s="298">
        <f>IFERROR(__xludf.DUMMYFUNCTION("""COMPUTED_VALUE"""),0.0)</f>
        <v>0</v>
      </c>
      <c r="H663" s="223">
        <f>IFERROR(__xludf.DUMMYFUNCTION("""COMPUTED_VALUE"""),406.93)</f>
        <v>406.93</v>
      </c>
      <c r="I663" s="298"/>
      <c r="J663" s="223" t="str">
        <f>IFERROR(__xludf.DUMMYFUNCTION("""COMPUTED_VALUE"""),"Yearly Prepaid")</f>
        <v>Yearly Prepaid</v>
      </c>
      <c r="K663" s="317">
        <f>IFERROR(__xludf.DUMMYFUNCTION("""COMPUTED_VALUE"""),2022.0)</f>
        <v>2022</v>
      </c>
      <c r="L663" s="298"/>
      <c r="M663" s="223"/>
      <c r="N663" s="223"/>
      <c r="O663" s="223"/>
      <c r="P663" s="223"/>
      <c r="Q663" s="223"/>
      <c r="R663" s="223"/>
      <c r="S663" s="223"/>
      <c r="T663" s="223"/>
      <c r="U663" s="223"/>
      <c r="V663" s="223"/>
      <c r="W663" s="223"/>
      <c r="X663" s="223"/>
      <c r="Y663" s="223"/>
      <c r="Z663" s="223"/>
    </row>
    <row r="664">
      <c r="A664" s="223" t="str">
        <f>IFERROR(__xludf.DUMMYFUNCTION("""COMPUTED_VALUE"""),"Booginhead : Monthly Services")</f>
        <v>Booginhead : Monthly Services</v>
      </c>
      <c r="B664" s="223" t="str">
        <f>IFERROR(__xludf.DUMMYFUNCTION("""COMPUTED_VALUE"""),"Booginhead")</f>
        <v>Booginhead</v>
      </c>
      <c r="C664" s="223" t="str">
        <f>IFERROR(__xludf.DUMMYFUNCTION("""COMPUTED_VALUE"""),"Monthly Services")</f>
        <v>Monthly Services</v>
      </c>
      <c r="D664" s="316">
        <f>IFERROR(__xludf.DUMMYFUNCTION("""COMPUTED_VALUE"""),44910.0)</f>
        <v>44910</v>
      </c>
      <c r="E664" s="298">
        <f>IFERROR(__xludf.DUMMYFUNCTION("""COMPUTED_VALUE"""),1716.9776)</f>
        <v>1716.9776</v>
      </c>
      <c r="F664" s="298">
        <f>IFERROR(__xludf.DUMMYFUNCTION("""COMPUTED_VALUE"""),63.9243968)</f>
        <v>63.9243968</v>
      </c>
      <c r="G664" s="298">
        <f>IFERROR(__xludf.DUMMYFUNCTION("""COMPUTED_VALUE"""),330.61064064)</f>
        <v>330.6106406</v>
      </c>
      <c r="H664" s="223">
        <f>IFERROR(__xludf.DUMMYFUNCTION("""COMPUTED_VALUE"""),1322.44256256)</f>
        <v>1322.442563</v>
      </c>
      <c r="I664" s="298"/>
      <c r="J664" s="223" t="str">
        <f>IFERROR(__xludf.DUMMYFUNCTION("""COMPUTED_VALUE"""),"Monthly")</f>
        <v>Monthly</v>
      </c>
      <c r="K664" s="317">
        <f>IFERROR(__xludf.DUMMYFUNCTION("""COMPUTED_VALUE"""),2022.12)</f>
        <v>2022.12</v>
      </c>
      <c r="L664" s="298"/>
      <c r="M664" s="223"/>
      <c r="N664" s="223"/>
      <c r="O664" s="223"/>
      <c r="P664" s="223"/>
      <c r="Q664" s="223"/>
      <c r="R664" s="223"/>
      <c r="S664" s="223"/>
      <c r="T664" s="223"/>
      <c r="U664" s="223"/>
      <c r="V664" s="223"/>
      <c r="W664" s="223"/>
      <c r="X664" s="223"/>
      <c r="Y664" s="223"/>
      <c r="Z664" s="223"/>
    </row>
    <row r="665">
      <c r="A665" s="223" t="str">
        <f>IFERROR(__xludf.DUMMYFUNCTION("""COMPUTED_VALUE"""),"New Growth Ecommerce Inc : Monthly Services")</f>
        <v>New Growth Ecommerce Inc : Monthly Services</v>
      </c>
      <c r="B665" s="223" t="str">
        <f>IFERROR(__xludf.DUMMYFUNCTION("""COMPUTED_VALUE"""),"New Growth Ecommerce Inc")</f>
        <v>New Growth Ecommerce Inc</v>
      </c>
      <c r="C665" s="223" t="str">
        <f>IFERROR(__xludf.DUMMYFUNCTION("""COMPUTED_VALUE"""),"Monthly Services")</f>
        <v>Monthly Services</v>
      </c>
      <c r="D665" s="316">
        <f>IFERROR(__xludf.DUMMYFUNCTION("""COMPUTED_VALUE"""),44910.0)</f>
        <v>44910</v>
      </c>
      <c r="E665" s="298">
        <f>IFERROR(__xludf.DUMMYFUNCTION("""COMPUTED_VALUE"""),5000.0)</f>
        <v>5000</v>
      </c>
      <c r="F665" s="298">
        <f>IFERROR(__xludf.DUMMYFUNCTION("""COMPUTED_VALUE"""),0.0)</f>
        <v>0</v>
      </c>
      <c r="G665" s="298">
        <f>IFERROR(__xludf.DUMMYFUNCTION("""COMPUTED_VALUE"""),0.0)</f>
        <v>0</v>
      </c>
      <c r="H665" s="223">
        <f>IFERROR(__xludf.DUMMYFUNCTION("""COMPUTED_VALUE"""),5000.0)</f>
        <v>5000</v>
      </c>
      <c r="I665" s="298"/>
      <c r="J665" s="223" t="str">
        <f>IFERROR(__xludf.DUMMYFUNCTION("""COMPUTED_VALUE"""),"Monthly")</f>
        <v>Monthly</v>
      </c>
      <c r="K665" s="317">
        <f>IFERROR(__xludf.DUMMYFUNCTION("""COMPUTED_VALUE"""),2022.12)</f>
        <v>2022.12</v>
      </c>
      <c r="L665" s="298"/>
      <c r="M665" s="223"/>
      <c r="N665" s="223"/>
      <c r="O665" s="223"/>
      <c r="P665" s="223"/>
      <c r="Q665" s="223"/>
      <c r="R665" s="223"/>
      <c r="S665" s="223"/>
      <c r="T665" s="223"/>
      <c r="U665" s="223"/>
      <c r="V665" s="223"/>
      <c r="W665" s="223"/>
      <c r="X665" s="223"/>
      <c r="Y665" s="223"/>
      <c r="Z665" s="223"/>
    </row>
    <row r="666">
      <c r="A666" s="223" t="str">
        <f>IFERROR(__xludf.DUMMYFUNCTION("""COMPUTED_VALUE"""),"OA Region 6 : Monthly Services")</f>
        <v>OA Region 6 : Monthly Services</v>
      </c>
      <c r="B666" s="223" t="str">
        <f>IFERROR(__xludf.DUMMYFUNCTION("""COMPUTED_VALUE"""),"OA Region 6")</f>
        <v>OA Region 6</v>
      </c>
      <c r="C666" s="223" t="str">
        <f>IFERROR(__xludf.DUMMYFUNCTION("""COMPUTED_VALUE"""),"Monthly Services")</f>
        <v>Monthly Services</v>
      </c>
      <c r="D666" s="316">
        <f>IFERROR(__xludf.DUMMYFUNCTION("""COMPUTED_VALUE"""),44910.0)</f>
        <v>44910</v>
      </c>
      <c r="E666" s="298">
        <f>IFERROR(__xludf.DUMMYFUNCTION("""COMPUTED_VALUE"""),455.9485)</f>
        <v>455.9485</v>
      </c>
      <c r="F666" s="298">
        <f>IFERROR(__xludf.DUMMYFUNCTION("""COMPUTED_VALUE"""),17.2869617)</f>
        <v>17.2869617</v>
      </c>
      <c r="G666" s="298">
        <f>IFERROR(__xludf.DUMMYFUNCTION("""COMPUTED_VALUE"""),0.0)</f>
        <v>0</v>
      </c>
      <c r="H666" s="223">
        <f>IFERROR(__xludf.DUMMYFUNCTION("""COMPUTED_VALUE"""),438.6615383)</f>
        <v>438.6615383</v>
      </c>
      <c r="I666" s="298"/>
      <c r="J666" s="223" t="str">
        <f>IFERROR(__xludf.DUMMYFUNCTION("""COMPUTED_VALUE"""),"Monthly")</f>
        <v>Monthly</v>
      </c>
      <c r="K666" s="317">
        <f>IFERROR(__xludf.DUMMYFUNCTION("""COMPUTED_VALUE"""),2022.12)</f>
        <v>2022.12</v>
      </c>
      <c r="L666" s="298"/>
      <c r="M666" s="223"/>
      <c r="N666" s="223"/>
      <c r="O666" s="223"/>
      <c r="P666" s="223"/>
      <c r="Q666" s="223"/>
      <c r="R666" s="223"/>
      <c r="S666" s="223"/>
      <c r="T666" s="223"/>
      <c r="U666" s="223"/>
      <c r="V666" s="223"/>
      <c r="W666" s="223"/>
      <c r="X666" s="223"/>
      <c r="Y666" s="223"/>
      <c r="Z666" s="223"/>
    </row>
    <row r="667">
      <c r="A667" s="223" t="str">
        <f>IFERROR(__xludf.DUMMYFUNCTION("""COMPUTED_VALUE"""),"Tofino Resort + Marina : Monthly Services")</f>
        <v>Tofino Resort + Marina : Monthly Services</v>
      </c>
      <c r="B667" s="223" t="str">
        <f>IFERROR(__xludf.DUMMYFUNCTION("""COMPUTED_VALUE"""),"Tofino Resort + Marina")</f>
        <v>Tofino Resort + Marina</v>
      </c>
      <c r="C667" s="223" t="str">
        <f>IFERROR(__xludf.DUMMYFUNCTION("""COMPUTED_VALUE"""),"Monthly Services")</f>
        <v>Monthly Services</v>
      </c>
      <c r="D667" s="316">
        <f>IFERROR(__xludf.DUMMYFUNCTION("""COMPUTED_VALUE"""),44910.0)</f>
        <v>44910</v>
      </c>
      <c r="E667" s="298">
        <f>IFERROR(__xludf.DUMMYFUNCTION("""COMPUTED_VALUE"""),1600.0)</f>
        <v>1600</v>
      </c>
      <c r="F667" s="298">
        <f>IFERROR(__xludf.DUMMYFUNCTION("""COMPUTED_VALUE"""),49.78)</f>
        <v>49.78</v>
      </c>
      <c r="G667" s="298">
        <f>IFERROR(__xludf.DUMMYFUNCTION("""COMPUTED_VALUE"""),0.0)</f>
        <v>0</v>
      </c>
      <c r="H667" s="223">
        <f>IFERROR(__xludf.DUMMYFUNCTION("""COMPUTED_VALUE"""),1550.22)</f>
        <v>1550.22</v>
      </c>
      <c r="I667" s="298"/>
      <c r="J667" s="223" t="str">
        <f>IFERROR(__xludf.DUMMYFUNCTION("""COMPUTED_VALUE"""),"Monthly")</f>
        <v>Monthly</v>
      </c>
      <c r="K667" s="317">
        <f>IFERROR(__xludf.DUMMYFUNCTION("""COMPUTED_VALUE"""),2022.12)</f>
        <v>2022.12</v>
      </c>
      <c r="L667" s="298"/>
      <c r="M667" s="223"/>
      <c r="N667" s="223"/>
      <c r="O667" s="223"/>
      <c r="P667" s="223"/>
      <c r="Q667" s="223"/>
      <c r="R667" s="223"/>
      <c r="S667" s="223"/>
      <c r="T667" s="223"/>
      <c r="U667" s="223"/>
      <c r="V667" s="223"/>
      <c r="W667" s="223"/>
      <c r="X667" s="223"/>
      <c r="Y667" s="223"/>
      <c r="Z667" s="223"/>
    </row>
    <row r="668">
      <c r="A668" s="223" t="str">
        <f>IFERROR(__xludf.DUMMYFUNCTION("""COMPUTED_VALUE"""),"Viridian : Monthly Services")</f>
        <v>Viridian : Monthly Services</v>
      </c>
      <c r="B668" s="223" t="str">
        <f>IFERROR(__xludf.DUMMYFUNCTION("""COMPUTED_VALUE"""),"Viridian")</f>
        <v>Viridian</v>
      </c>
      <c r="C668" s="223" t="str">
        <f>IFERROR(__xludf.DUMMYFUNCTION("""COMPUTED_VALUE"""),"Monthly Services")</f>
        <v>Monthly Services</v>
      </c>
      <c r="D668" s="316">
        <f>IFERROR(__xludf.DUMMYFUNCTION("""COMPUTED_VALUE"""),44910.0)</f>
        <v>44910</v>
      </c>
      <c r="E668" s="298">
        <f>IFERROR(__xludf.DUMMYFUNCTION("""COMPUTED_VALUE"""),900.0)</f>
        <v>900</v>
      </c>
      <c r="F668" s="298">
        <f>IFERROR(__xludf.DUMMYFUNCTION("""COMPUTED_VALUE"""),0.0)</f>
        <v>0</v>
      </c>
      <c r="G668" s="298">
        <f>IFERROR(__xludf.DUMMYFUNCTION("""COMPUTED_VALUE"""),0.0)</f>
        <v>0</v>
      </c>
      <c r="H668" s="223">
        <f>IFERROR(__xludf.DUMMYFUNCTION("""COMPUTED_VALUE"""),900.0)</f>
        <v>900</v>
      </c>
      <c r="I668" s="298"/>
      <c r="J668" s="223" t="str">
        <f>IFERROR(__xludf.DUMMYFUNCTION("""COMPUTED_VALUE"""),"Monthly")</f>
        <v>Monthly</v>
      </c>
      <c r="K668" s="317">
        <f>IFERROR(__xludf.DUMMYFUNCTION("""COMPUTED_VALUE"""),2022.12)</f>
        <v>2022.12</v>
      </c>
      <c r="L668" s="298"/>
      <c r="M668" s="223"/>
      <c r="N668" s="223"/>
      <c r="O668" s="223"/>
      <c r="P668" s="223"/>
      <c r="Q668" s="223"/>
      <c r="R668" s="223"/>
      <c r="S668" s="223"/>
      <c r="T668" s="223"/>
      <c r="U668" s="223"/>
      <c r="V668" s="223"/>
      <c r="W668" s="223"/>
      <c r="X668" s="223"/>
      <c r="Y668" s="223"/>
      <c r="Z668" s="223"/>
    </row>
    <row r="669">
      <c r="A669" s="223" t="str">
        <f>IFERROR(__xludf.DUMMYFUNCTION("""COMPUTED_VALUE"""),"Canyon's Construction : Enhanced Hosting &amp; WordPress Support")</f>
        <v>Canyon's Construction : Enhanced Hosting &amp; WordPress Support</v>
      </c>
      <c r="B669" s="223" t="str">
        <f>IFERROR(__xludf.DUMMYFUNCTION("""COMPUTED_VALUE"""),"Canyon's Construction")</f>
        <v>Canyon's Construction</v>
      </c>
      <c r="C669" s="223" t="str">
        <f>IFERROR(__xludf.DUMMYFUNCTION("""COMPUTED_VALUE"""),"Enhanced Hosting &amp; WordPress Support")</f>
        <v>Enhanced Hosting &amp; WordPress Support</v>
      </c>
      <c r="D669" s="316">
        <f>IFERROR(__xludf.DUMMYFUNCTION("""COMPUTED_VALUE"""),44910.0)</f>
        <v>44910</v>
      </c>
      <c r="E669" s="298">
        <f>IFERROR(__xludf.DUMMYFUNCTION("""COMPUTED_VALUE"""),362.39588)</f>
        <v>362.39588</v>
      </c>
      <c r="F669" s="298">
        <f>IFERROR(__xludf.DUMMYFUNCTION("""COMPUTED_VALUE"""),13.79692886)</f>
        <v>13.79692886</v>
      </c>
      <c r="G669" s="298">
        <f>IFERROR(__xludf.DUMMYFUNCTION("""COMPUTED_VALUE"""),69.71979022800001)</f>
        <v>69.71979023</v>
      </c>
      <c r="H669" s="223">
        <f>IFERROR(__xludf.DUMMYFUNCTION("""COMPUTED_VALUE"""),278.879160912)</f>
        <v>278.8791609</v>
      </c>
      <c r="I669" s="298"/>
      <c r="J669" s="223" t="str">
        <f>IFERROR(__xludf.DUMMYFUNCTION("""COMPUTED_VALUE"""),"Monthly")</f>
        <v>Monthly</v>
      </c>
      <c r="K669" s="317">
        <f>IFERROR(__xludf.DUMMYFUNCTION("""COMPUTED_VALUE"""),2022.12)</f>
        <v>2022.12</v>
      </c>
      <c r="L669" s="298"/>
      <c r="M669" s="223"/>
      <c r="N669" s="223"/>
      <c r="O669" s="223"/>
      <c r="P669" s="223"/>
      <c r="Q669" s="223"/>
      <c r="R669" s="223"/>
      <c r="S669" s="223"/>
      <c r="T669" s="223"/>
      <c r="U669" s="223"/>
      <c r="V669" s="223"/>
      <c r="W669" s="223"/>
      <c r="X669" s="223"/>
      <c r="Y669" s="223"/>
      <c r="Z669" s="223"/>
    </row>
    <row r="670">
      <c r="A670" s="223" t="str">
        <f>IFERROR(__xludf.DUMMYFUNCTION("""COMPUTED_VALUE"""),"Villa del Mar : Enhanced Hosting &amp; WordPress Support")</f>
        <v>Villa del Mar : Enhanced Hosting &amp; WordPress Support</v>
      </c>
      <c r="B670" s="223" t="str">
        <f>IFERROR(__xludf.DUMMYFUNCTION("""COMPUTED_VALUE"""),"Villa del Mar")</f>
        <v>Villa del Mar</v>
      </c>
      <c r="C670" s="223" t="str">
        <f>IFERROR(__xludf.DUMMYFUNCTION("""COMPUTED_VALUE"""),"Enhanced Hosting &amp; WordPress Support")</f>
        <v>Enhanced Hosting &amp; WordPress Support</v>
      </c>
      <c r="D670" s="316">
        <f>IFERROR(__xludf.DUMMYFUNCTION("""COMPUTED_VALUE"""),44910.0)</f>
        <v>44910</v>
      </c>
      <c r="E670" s="298">
        <f>IFERROR(__xludf.DUMMYFUNCTION("""COMPUTED_VALUE"""),373.96520000000004)</f>
        <v>373.9652</v>
      </c>
      <c r="F670" s="298">
        <f>IFERROR(__xludf.DUMMYFUNCTION("""COMPUTED_VALUE"""),11.15)</f>
        <v>11.15</v>
      </c>
      <c r="G670" s="298">
        <f>IFERROR(__xludf.DUMMYFUNCTION("""COMPUTED_VALUE"""),0.0)</f>
        <v>0</v>
      </c>
      <c r="H670" s="223">
        <f>IFERROR(__xludf.DUMMYFUNCTION("""COMPUTED_VALUE"""),362.81520000000006)</f>
        <v>362.8152</v>
      </c>
      <c r="I670" s="298"/>
      <c r="J670" s="223" t="str">
        <f>IFERROR(__xludf.DUMMYFUNCTION("""COMPUTED_VALUE"""),"Monthly")</f>
        <v>Monthly</v>
      </c>
      <c r="K670" s="317">
        <f>IFERROR(__xludf.DUMMYFUNCTION("""COMPUTED_VALUE"""),2022.12)</f>
        <v>2022.12</v>
      </c>
      <c r="L670" s="298"/>
      <c r="M670" s="223"/>
      <c r="N670" s="223"/>
      <c r="O670" s="223"/>
      <c r="P670" s="223"/>
      <c r="Q670" s="223"/>
      <c r="R670" s="223"/>
      <c r="S670" s="223"/>
      <c r="T670" s="223"/>
      <c r="U670" s="223"/>
      <c r="V670" s="223"/>
      <c r="W670" s="223"/>
      <c r="X670" s="223"/>
      <c r="Y670" s="223"/>
      <c r="Z670" s="223"/>
    </row>
    <row r="671">
      <c r="A671" s="223" t="str">
        <f>IFERROR(__xludf.DUMMYFUNCTION("""COMPUTED_VALUE"""),"Anavara : Enhanced Hosting &amp; WordPress Support")</f>
        <v>Anavara : Enhanced Hosting &amp; WordPress Support</v>
      </c>
      <c r="B671" s="223" t="str">
        <f>IFERROR(__xludf.DUMMYFUNCTION("""COMPUTED_VALUE"""),"Anavara")</f>
        <v>Anavara</v>
      </c>
      <c r="C671" s="223" t="str">
        <f>IFERROR(__xludf.DUMMYFUNCTION("""COMPUTED_VALUE"""),"Enhanced Hosting &amp; WordPress Support")</f>
        <v>Enhanced Hosting &amp; WordPress Support</v>
      </c>
      <c r="D671" s="316">
        <f>IFERROR(__xludf.DUMMYFUNCTION("""COMPUTED_VALUE"""),44910.0)</f>
        <v>44910</v>
      </c>
      <c r="E671" s="298">
        <f>IFERROR(__xludf.DUMMYFUNCTION("""COMPUTED_VALUE"""),280.0)</f>
        <v>280</v>
      </c>
      <c r="F671" s="298">
        <f>IFERROR(__xludf.DUMMYFUNCTION("""COMPUTED_VALUE"""),8.71)</f>
        <v>8.71</v>
      </c>
      <c r="G671" s="298">
        <f>IFERROR(__xludf.DUMMYFUNCTION("""COMPUTED_VALUE"""),0.0)</f>
        <v>0</v>
      </c>
      <c r="H671" s="223">
        <f>IFERROR(__xludf.DUMMYFUNCTION("""COMPUTED_VALUE"""),271.29)</f>
        <v>271.29</v>
      </c>
      <c r="I671" s="298"/>
      <c r="J671" s="223" t="str">
        <f>IFERROR(__xludf.DUMMYFUNCTION("""COMPUTED_VALUE"""),"Monthly")</f>
        <v>Monthly</v>
      </c>
      <c r="K671" s="317">
        <f>IFERROR(__xludf.DUMMYFUNCTION("""COMPUTED_VALUE"""),2022.12)</f>
        <v>2022.12</v>
      </c>
      <c r="L671" s="298"/>
      <c r="M671" s="223"/>
      <c r="N671" s="223"/>
      <c r="O671" s="223"/>
      <c r="P671" s="223"/>
      <c r="Q671" s="223"/>
      <c r="R671" s="223"/>
      <c r="S671" s="223"/>
      <c r="T671" s="223"/>
      <c r="U671" s="223"/>
      <c r="V671" s="223"/>
      <c r="W671" s="223"/>
      <c r="X671" s="223"/>
      <c r="Y671" s="223"/>
      <c r="Z671" s="223"/>
    </row>
    <row r="672">
      <c r="A672" s="223" t="str">
        <f>IFERROR(__xludf.DUMMYFUNCTION("""COMPUTED_VALUE"""),"Classic LifeCare : Monthly Google Ads (PPC) Management")</f>
        <v>Classic LifeCare : Monthly Google Ads (PPC) Management</v>
      </c>
      <c r="B672" s="223" t="str">
        <f>IFERROR(__xludf.DUMMYFUNCTION("""COMPUTED_VALUE"""),"Classic LifeCare")</f>
        <v>Classic LifeCare</v>
      </c>
      <c r="C672" s="223" t="str">
        <f>IFERROR(__xludf.DUMMYFUNCTION("""COMPUTED_VALUE"""),"Monthly Google Ads (PPC) Management")</f>
        <v>Monthly Google Ads (PPC) Management</v>
      </c>
      <c r="D672" s="316">
        <f>IFERROR(__xludf.DUMMYFUNCTION("""COMPUTED_VALUE"""),44910.0)</f>
        <v>44910</v>
      </c>
      <c r="E672" s="298">
        <f>IFERROR(__xludf.DUMMYFUNCTION("""COMPUTED_VALUE"""),500.0)</f>
        <v>500</v>
      </c>
      <c r="F672" s="298">
        <f>IFERROR(__xludf.DUMMYFUNCTION("""COMPUTED_VALUE"""),15.56)</f>
        <v>15.56</v>
      </c>
      <c r="G672" s="298">
        <f>IFERROR(__xludf.DUMMYFUNCTION("""COMPUTED_VALUE"""),0.0)</f>
        <v>0</v>
      </c>
      <c r="H672" s="223">
        <f>IFERROR(__xludf.DUMMYFUNCTION("""COMPUTED_VALUE"""),484.44)</f>
        <v>484.44</v>
      </c>
      <c r="I672" s="298"/>
      <c r="J672" s="223" t="str">
        <f>IFERROR(__xludf.DUMMYFUNCTION("""COMPUTED_VALUE"""),"Monthly")</f>
        <v>Monthly</v>
      </c>
      <c r="K672" s="317">
        <f>IFERROR(__xludf.DUMMYFUNCTION("""COMPUTED_VALUE"""),2022.12)</f>
        <v>2022.12</v>
      </c>
      <c r="L672" s="298"/>
      <c r="M672" s="223"/>
      <c r="N672" s="223"/>
      <c r="O672" s="223"/>
      <c r="P672" s="223"/>
      <c r="Q672" s="223"/>
      <c r="R672" s="223"/>
      <c r="S672" s="223"/>
      <c r="T672" s="223"/>
      <c r="U672" s="223"/>
      <c r="V672" s="223"/>
      <c r="W672" s="223"/>
      <c r="X672" s="223"/>
      <c r="Y672" s="223"/>
      <c r="Z672" s="223"/>
    </row>
    <row r="673">
      <c r="A673" s="223" t="str">
        <f>IFERROR(__xludf.DUMMYFUNCTION("""COMPUTED_VALUE"""),"Ultimate Tools : Monthly SEO &amp; PPC Management")</f>
        <v>Ultimate Tools : Monthly SEO &amp; PPC Management</v>
      </c>
      <c r="B673" s="223" t="str">
        <f>IFERROR(__xludf.DUMMYFUNCTION("""COMPUTED_VALUE"""),"Ultimate Tools")</f>
        <v>Ultimate Tools</v>
      </c>
      <c r="C673" s="223" t="str">
        <f>IFERROR(__xludf.DUMMYFUNCTION("""COMPUTED_VALUE"""),"Monthly SEO &amp; PPC Management")</f>
        <v>Monthly SEO &amp; PPC Management</v>
      </c>
      <c r="D673" s="316">
        <f>IFERROR(__xludf.DUMMYFUNCTION("""COMPUTED_VALUE"""),44910.0)</f>
        <v>44910</v>
      </c>
      <c r="E673" s="298">
        <f>IFERROR(__xludf.DUMMYFUNCTION("""COMPUTED_VALUE"""),2500.0)</f>
        <v>2500</v>
      </c>
      <c r="F673" s="298">
        <f>IFERROR(__xludf.DUMMYFUNCTION("""COMPUTED_VALUE"""),0.0)</f>
        <v>0</v>
      </c>
      <c r="G673" s="298">
        <f>IFERROR(__xludf.DUMMYFUNCTION("""COMPUTED_VALUE"""),0.0)</f>
        <v>0</v>
      </c>
      <c r="H673" s="223">
        <f>IFERROR(__xludf.DUMMYFUNCTION("""COMPUTED_VALUE"""),2500.0)</f>
        <v>2500</v>
      </c>
      <c r="I673" s="298"/>
      <c r="J673" s="223" t="str">
        <f>IFERROR(__xludf.DUMMYFUNCTION("""COMPUTED_VALUE"""),"Monthly")</f>
        <v>Monthly</v>
      </c>
      <c r="K673" s="317">
        <f>IFERROR(__xludf.DUMMYFUNCTION("""COMPUTED_VALUE"""),2022.12)</f>
        <v>2022.12</v>
      </c>
      <c r="L673" s="298"/>
      <c r="M673" s="223"/>
      <c r="N673" s="223"/>
      <c r="O673" s="223"/>
      <c r="P673" s="223"/>
      <c r="Q673" s="223"/>
      <c r="R673" s="223"/>
      <c r="S673" s="223"/>
      <c r="T673" s="223"/>
      <c r="U673" s="223"/>
      <c r="V673" s="223"/>
      <c r="W673" s="223"/>
      <c r="X673" s="223"/>
      <c r="Y673" s="223"/>
      <c r="Z673" s="223"/>
    </row>
    <row r="674">
      <c r="A674" s="223" t="str">
        <f>IFERROR(__xludf.DUMMYFUNCTION("""COMPUTED_VALUE"""),"Nova Clinical Services : Domain Troubleshooting")</f>
        <v>Nova Clinical Services : Domain Troubleshooting</v>
      </c>
      <c r="B674" s="223" t="str">
        <f>IFERROR(__xludf.DUMMYFUNCTION("""COMPUTED_VALUE"""),"Nova Clinical Services")</f>
        <v>Nova Clinical Services</v>
      </c>
      <c r="C674" s="223" t="str">
        <f>IFERROR(__xludf.DUMMYFUNCTION("""COMPUTED_VALUE"""),"Domain Troubleshooting")</f>
        <v>Domain Troubleshooting</v>
      </c>
      <c r="D674" s="316">
        <f>IFERROR(__xludf.DUMMYFUNCTION("""COMPUTED_VALUE"""),44925.0)</f>
        <v>44925</v>
      </c>
      <c r="E674" s="298">
        <f>IFERROR(__xludf.DUMMYFUNCTION("""COMPUTED_VALUE"""),300.0)</f>
        <v>300</v>
      </c>
      <c r="F674" s="298">
        <f>IFERROR(__xludf.DUMMYFUNCTION("""COMPUTED_VALUE"""),9.33)</f>
        <v>9.33</v>
      </c>
      <c r="G674" s="298">
        <f>IFERROR(__xludf.DUMMYFUNCTION("""COMPUTED_VALUE"""),0.0)</f>
        <v>0</v>
      </c>
      <c r="H674" s="223">
        <f>IFERROR(__xludf.DUMMYFUNCTION("""COMPUTED_VALUE"""),290.67)</f>
        <v>290.67</v>
      </c>
      <c r="I674" s="298"/>
      <c r="J674" s="223" t="str">
        <f>IFERROR(__xludf.DUMMYFUNCTION("""COMPUTED_VALUE"""),"One-Time")</f>
        <v>One-Time</v>
      </c>
      <c r="K674" s="317">
        <f>IFERROR(__xludf.DUMMYFUNCTION("""COMPUTED_VALUE"""),2022.0)</f>
        <v>2022</v>
      </c>
      <c r="L674" s="298"/>
      <c r="M674" s="223"/>
      <c r="N674" s="223"/>
      <c r="O674" s="223"/>
      <c r="P674" s="223"/>
      <c r="Q674" s="223"/>
      <c r="R674" s="223"/>
      <c r="S674" s="223"/>
      <c r="T674" s="223"/>
      <c r="U674" s="223"/>
      <c r="V674" s="223"/>
      <c r="W674" s="223"/>
      <c r="X674" s="223"/>
      <c r="Y674" s="223"/>
      <c r="Z674" s="223"/>
    </row>
    <row r="675">
      <c r="A675" s="223" t="str">
        <f>IFERROR(__xludf.DUMMYFUNCTION("""COMPUTED_VALUE"""),"Continuity Programs Inc. : Other Projects")</f>
        <v>Continuity Programs Inc. : Other Projects</v>
      </c>
      <c r="B675" s="223" t="str">
        <f>IFERROR(__xludf.DUMMYFUNCTION("""COMPUTED_VALUE"""),"Continuity Programs Inc.")</f>
        <v>Continuity Programs Inc.</v>
      </c>
      <c r="C675" s="223" t="str">
        <f>IFERROR(__xludf.DUMMYFUNCTION("""COMPUTED_VALUE"""),"Other Projects")</f>
        <v>Other Projects</v>
      </c>
      <c r="D675" s="316">
        <f>IFERROR(__xludf.DUMMYFUNCTION("""COMPUTED_VALUE"""),44911.0)</f>
        <v>44911</v>
      </c>
      <c r="E675" s="298">
        <f>IFERROR(__xludf.DUMMYFUNCTION("""COMPUTED_VALUE"""),2605.42)</f>
        <v>2605.42</v>
      </c>
      <c r="F675" s="298">
        <f>IFERROR(__xludf.DUMMYFUNCTION("""COMPUTED_VALUE"""),96.791353)</f>
        <v>96.791353</v>
      </c>
      <c r="G675" s="298">
        <f>IFERROR(__xludf.DUMMYFUNCTION("""COMPUTED_VALUE"""),501.72572940000003)</f>
        <v>501.7257294</v>
      </c>
      <c r="H675" s="223">
        <f>IFERROR(__xludf.DUMMYFUNCTION("""COMPUTED_VALUE"""),2006.9029176)</f>
        <v>2006.902918</v>
      </c>
      <c r="I675" s="298"/>
      <c r="J675" s="223" t="str">
        <f>IFERROR(__xludf.DUMMYFUNCTION("""COMPUTED_VALUE"""),"One-Time")</f>
        <v>One-Time</v>
      </c>
      <c r="K675" s="317">
        <f>IFERROR(__xludf.DUMMYFUNCTION("""COMPUTED_VALUE"""),2022.0)</f>
        <v>2022</v>
      </c>
      <c r="L675" s="298"/>
      <c r="M675" s="223"/>
      <c r="N675" s="223"/>
      <c r="O675" s="223"/>
      <c r="P675" s="223"/>
      <c r="Q675" s="223"/>
      <c r="R675" s="223"/>
      <c r="S675" s="223"/>
      <c r="T675" s="223"/>
      <c r="U675" s="223"/>
      <c r="V675" s="223"/>
      <c r="W675" s="223"/>
      <c r="X675" s="223"/>
      <c r="Y675" s="223"/>
      <c r="Z675" s="223"/>
    </row>
    <row r="676">
      <c r="A676" s="223" t="str">
        <f>IFERROR(__xludf.DUMMYFUNCTION("""COMPUTED_VALUE"""),"Continuity Programs Inc. : Other Projects")</f>
        <v>Continuity Programs Inc. : Other Projects</v>
      </c>
      <c r="B676" s="223" t="str">
        <f>IFERROR(__xludf.DUMMYFUNCTION("""COMPUTED_VALUE"""),"Continuity Programs Inc.")</f>
        <v>Continuity Programs Inc.</v>
      </c>
      <c r="C676" s="223" t="str">
        <f>IFERROR(__xludf.DUMMYFUNCTION("""COMPUTED_VALUE"""),"Other Projects")</f>
        <v>Other Projects</v>
      </c>
      <c r="D676" s="316">
        <f>IFERROR(__xludf.DUMMYFUNCTION("""COMPUTED_VALUE"""),45030.0)</f>
        <v>45030</v>
      </c>
      <c r="E676" s="298">
        <f>IFERROR(__xludf.DUMMYFUNCTION("""COMPUTED_VALUE"""),2552.264)</f>
        <v>2552.264</v>
      </c>
      <c r="F676" s="298">
        <f>IFERROR(__xludf.DUMMYFUNCTION("""COMPUTED_VALUE"""),94.8166076)</f>
        <v>94.8166076</v>
      </c>
      <c r="G676" s="298">
        <f>IFERROR(__xludf.DUMMYFUNCTION("""COMPUTED_VALUE"""),491.4894784800001)</f>
        <v>491.4894785</v>
      </c>
      <c r="H676" s="223">
        <f>IFERROR(__xludf.DUMMYFUNCTION("""COMPUTED_VALUE"""),1965.9579139200002)</f>
        <v>1965.957914</v>
      </c>
      <c r="I676" s="298"/>
      <c r="J676" s="223" t="str">
        <f>IFERROR(__xludf.DUMMYFUNCTION("""COMPUTED_VALUE"""),"One-Time")</f>
        <v>One-Time</v>
      </c>
      <c r="K676" s="317">
        <f>IFERROR(__xludf.DUMMYFUNCTION("""COMPUTED_VALUE"""),2023.0)</f>
        <v>2023</v>
      </c>
      <c r="L676" s="298"/>
      <c r="M676" s="223"/>
      <c r="N676" s="223"/>
      <c r="O676" s="223"/>
      <c r="P676" s="223"/>
      <c r="Q676" s="223"/>
      <c r="R676" s="223"/>
      <c r="S676" s="223"/>
      <c r="T676" s="223"/>
      <c r="U676" s="223"/>
      <c r="V676" s="223"/>
      <c r="W676" s="223"/>
      <c r="X676" s="223"/>
      <c r="Y676" s="223"/>
      <c r="Z676" s="223"/>
    </row>
    <row r="677">
      <c r="A677" s="223" t="str">
        <f>IFERROR(__xludf.DUMMYFUNCTION("""COMPUTED_VALUE"""),"Tofino Resort + Marina : 5 Hour Support Block")</f>
        <v>Tofino Resort + Marina : 5 Hour Support Block</v>
      </c>
      <c r="B677" s="223" t="str">
        <f>IFERROR(__xludf.DUMMYFUNCTION("""COMPUTED_VALUE"""),"Tofino Resort + Marina")</f>
        <v>Tofino Resort + Marina</v>
      </c>
      <c r="C677" s="223" t="str">
        <f>IFERROR(__xludf.DUMMYFUNCTION("""COMPUTED_VALUE"""),"5 Hour Support Block")</f>
        <v>5 Hour Support Block</v>
      </c>
      <c r="D677" s="316">
        <f>IFERROR(__xludf.DUMMYFUNCTION("""COMPUTED_VALUE"""),44925.0)</f>
        <v>44925</v>
      </c>
      <c r="E677" s="298">
        <f>IFERROR(__xludf.DUMMYFUNCTION("""COMPUTED_VALUE"""),600.0)</f>
        <v>600</v>
      </c>
      <c r="F677" s="298">
        <f>IFERROR(__xludf.DUMMYFUNCTION("""COMPUTED_VALUE"""),18.67)</f>
        <v>18.67</v>
      </c>
      <c r="G677" s="298">
        <f>IFERROR(__xludf.DUMMYFUNCTION("""COMPUTED_VALUE"""),0.0)</f>
        <v>0</v>
      </c>
      <c r="H677" s="223">
        <f>IFERROR(__xludf.DUMMYFUNCTION("""COMPUTED_VALUE"""),581.33)</f>
        <v>581.33</v>
      </c>
      <c r="I677" s="298"/>
      <c r="J677" s="223" t="str">
        <f>IFERROR(__xludf.DUMMYFUNCTION("""COMPUTED_VALUE"""),"One-Time")</f>
        <v>One-Time</v>
      </c>
      <c r="K677" s="317">
        <f>IFERROR(__xludf.DUMMYFUNCTION("""COMPUTED_VALUE"""),2022.0)</f>
        <v>2022</v>
      </c>
      <c r="L677" s="298"/>
      <c r="M677" s="223"/>
      <c r="N677" s="223"/>
      <c r="O677" s="223"/>
      <c r="P677" s="223"/>
      <c r="Q677" s="223"/>
      <c r="R677" s="223"/>
      <c r="S677" s="223"/>
      <c r="T677" s="223"/>
      <c r="U677" s="223"/>
      <c r="V677" s="223"/>
      <c r="W677" s="223"/>
      <c r="X677" s="223"/>
      <c r="Y677" s="223"/>
      <c r="Z677" s="223"/>
    </row>
    <row r="678">
      <c r="A678" s="223" t="str">
        <f>IFERROR(__xludf.DUMMYFUNCTION("""COMPUTED_VALUE"""),"Community Financials : Monthly Services")</f>
        <v>Community Financials : Monthly Services</v>
      </c>
      <c r="B678" s="223" t="str">
        <f>IFERROR(__xludf.DUMMYFUNCTION("""COMPUTED_VALUE"""),"Community Financials")</f>
        <v>Community Financials</v>
      </c>
      <c r="C678" s="223" t="str">
        <f>IFERROR(__xludf.DUMMYFUNCTION("""COMPUTED_VALUE"""),"Monthly Services")</f>
        <v>Monthly Services</v>
      </c>
      <c r="D678" s="316">
        <f>IFERROR(__xludf.DUMMYFUNCTION("""COMPUTED_VALUE"""),44925.0)</f>
        <v>44925</v>
      </c>
      <c r="E678" s="298">
        <f>IFERROR(__xludf.DUMMYFUNCTION("""COMPUTED_VALUE"""),2851.656149)</f>
        <v>2851.656149</v>
      </c>
      <c r="F678" s="298">
        <f>IFERROR(__xludf.DUMMYFUNCTION("""COMPUTED_VALUE"""),105.89828336000001)</f>
        <v>105.8982834</v>
      </c>
      <c r="G678" s="298">
        <f>IFERROR(__xludf.DUMMYFUNCTION("""COMPUTED_VALUE"""),549.151573128)</f>
        <v>549.1515731</v>
      </c>
      <c r="H678" s="223">
        <f>IFERROR(__xludf.DUMMYFUNCTION("""COMPUTED_VALUE"""),2196.606292512)</f>
        <v>2196.606293</v>
      </c>
      <c r="I678" s="298"/>
      <c r="J678" s="223" t="str">
        <f>IFERROR(__xludf.DUMMYFUNCTION("""COMPUTED_VALUE"""),"Monthly")</f>
        <v>Monthly</v>
      </c>
      <c r="K678" s="317">
        <f>IFERROR(__xludf.DUMMYFUNCTION("""COMPUTED_VALUE"""),2022.12)</f>
        <v>2022.12</v>
      </c>
      <c r="L678" s="298"/>
      <c r="M678" s="223"/>
      <c r="N678" s="223"/>
      <c r="O678" s="223"/>
      <c r="P678" s="223"/>
      <c r="Q678" s="223"/>
      <c r="R678" s="223"/>
      <c r="S678" s="223"/>
      <c r="T678" s="223"/>
      <c r="U678" s="223"/>
      <c r="V678" s="223"/>
      <c r="W678" s="223"/>
      <c r="X678" s="223"/>
      <c r="Y678" s="223"/>
      <c r="Z678" s="223"/>
    </row>
    <row r="679">
      <c r="A679" s="223" t="str">
        <f>IFERROR(__xludf.DUMMYFUNCTION("""COMPUTED_VALUE"""),"Anook Athletics : Monthly Services")</f>
        <v>Anook Athletics : Monthly Services</v>
      </c>
      <c r="B679" s="223" t="str">
        <f>IFERROR(__xludf.DUMMYFUNCTION("""COMPUTED_VALUE"""),"Anook Athletics")</f>
        <v>Anook Athletics</v>
      </c>
      <c r="C679" s="223" t="str">
        <f>IFERROR(__xludf.DUMMYFUNCTION("""COMPUTED_VALUE"""),"Monthly Services")</f>
        <v>Monthly Services</v>
      </c>
      <c r="D679" s="316">
        <f>IFERROR(__xludf.DUMMYFUNCTION("""COMPUTED_VALUE"""),44925.0)</f>
        <v>44925</v>
      </c>
      <c r="E679" s="298">
        <f>IFERROR(__xludf.DUMMYFUNCTION("""COMPUTED_VALUE"""),800.0)</f>
        <v>800</v>
      </c>
      <c r="F679" s="298">
        <f>IFERROR(__xludf.DUMMYFUNCTION("""COMPUTED_VALUE"""),24.89)</f>
        <v>24.89</v>
      </c>
      <c r="G679" s="298">
        <f>IFERROR(__xludf.DUMMYFUNCTION("""COMPUTED_VALUE"""),0.0)</f>
        <v>0</v>
      </c>
      <c r="H679" s="223">
        <f>IFERROR(__xludf.DUMMYFUNCTION("""COMPUTED_VALUE"""),775.11)</f>
        <v>775.11</v>
      </c>
      <c r="I679" s="298"/>
      <c r="J679" s="223" t="str">
        <f>IFERROR(__xludf.DUMMYFUNCTION("""COMPUTED_VALUE"""),"Monthly")</f>
        <v>Monthly</v>
      </c>
      <c r="K679" s="317">
        <f>IFERROR(__xludf.DUMMYFUNCTION("""COMPUTED_VALUE"""),2022.12)</f>
        <v>2022.12</v>
      </c>
      <c r="L679" s="298"/>
      <c r="M679" s="223"/>
      <c r="N679" s="223"/>
      <c r="O679" s="223"/>
      <c r="P679" s="223"/>
      <c r="Q679" s="223"/>
      <c r="R679" s="223"/>
      <c r="S679" s="223"/>
      <c r="T679" s="223"/>
      <c r="U679" s="223"/>
      <c r="V679" s="223"/>
      <c r="W679" s="223"/>
      <c r="X679" s="223"/>
      <c r="Y679" s="223"/>
      <c r="Z679" s="223"/>
    </row>
    <row r="680">
      <c r="A680" s="223" t="str">
        <f>IFERROR(__xludf.DUMMYFUNCTION("""COMPUTED_VALUE"""),"Availed Technologies : Monthly Services")</f>
        <v>Availed Technologies : Monthly Services</v>
      </c>
      <c r="B680" s="223" t="str">
        <f>IFERROR(__xludf.DUMMYFUNCTION("""COMPUTED_VALUE"""),"Availed Technologies")</f>
        <v>Availed Technologies</v>
      </c>
      <c r="C680" s="223" t="str">
        <f>IFERROR(__xludf.DUMMYFUNCTION("""COMPUTED_VALUE"""),"Monthly Services")</f>
        <v>Monthly Services</v>
      </c>
      <c r="D680" s="316">
        <f>IFERROR(__xludf.DUMMYFUNCTION("""COMPUTED_VALUE"""),44926.0)</f>
        <v>44926</v>
      </c>
      <c r="E680" s="298">
        <f>IFERROR(__xludf.DUMMYFUNCTION("""COMPUTED_VALUE"""),750.0)</f>
        <v>750</v>
      </c>
      <c r="F680" s="298">
        <f>IFERROR(__xludf.DUMMYFUNCTION("""COMPUTED_VALUE"""),23.33)</f>
        <v>23.33</v>
      </c>
      <c r="G680" s="298">
        <f>IFERROR(__xludf.DUMMYFUNCTION("""COMPUTED_VALUE"""),0.0)</f>
        <v>0</v>
      </c>
      <c r="H680" s="223">
        <f>IFERROR(__xludf.DUMMYFUNCTION("""COMPUTED_VALUE"""),726.67)</f>
        <v>726.67</v>
      </c>
      <c r="I680" s="298"/>
      <c r="J680" s="223" t="str">
        <f>IFERROR(__xludf.DUMMYFUNCTION("""COMPUTED_VALUE"""),"Monthly")</f>
        <v>Monthly</v>
      </c>
      <c r="K680" s="317">
        <f>IFERROR(__xludf.DUMMYFUNCTION("""COMPUTED_VALUE"""),2022.12)</f>
        <v>2022.12</v>
      </c>
      <c r="L680" s="298"/>
      <c r="M680" s="223"/>
      <c r="N680" s="223"/>
      <c r="O680" s="223"/>
      <c r="P680" s="223"/>
      <c r="Q680" s="223"/>
      <c r="R680" s="223"/>
      <c r="S680" s="223"/>
      <c r="T680" s="223"/>
      <c r="U680" s="223"/>
      <c r="V680" s="223"/>
      <c r="W680" s="223"/>
      <c r="X680" s="223"/>
      <c r="Y680" s="223"/>
      <c r="Z680" s="223"/>
    </row>
    <row r="681">
      <c r="A681" s="223" t="str">
        <f>IFERROR(__xludf.DUMMYFUNCTION("""COMPUTED_VALUE"""),"Diversified Health : Monthly Services")</f>
        <v>Diversified Health : Monthly Services</v>
      </c>
      <c r="B681" s="223" t="str">
        <f>IFERROR(__xludf.DUMMYFUNCTION("""COMPUTED_VALUE"""),"Diversified Health")</f>
        <v>Diversified Health</v>
      </c>
      <c r="C681" s="223" t="str">
        <f>IFERROR(__xludf.DUMMYFUNCTION("""COMPUTED_VALUE"""),"Monthly Services")</f>
        <v>Monthly Services</v>
      </c>
      <c r="D681" s="316">
        <f>IFERROR(__xludf.DUMMYFUNCTION("""COMPUTED_VALUE"""),44925.0)</f>
        <v>44925</v>
      </c>
      <c r="E681" s="298">
        <f>IFERROR(__xludf.DUMMYFUNCTION("""COMPUTED_VALUE"""),1000.0)</f>
        <v>1000</v>
      </c>
      <c r="F681" s="298">
        <f>IFERROR(__xludf.DUMMYFUNCTION("""COMPUTED_VALUE"""),0.0)</f>
        <v>0</v>
      </c>
      <c r="G681" s="298">
        <f>IFERROR(__xludf.DUMMYFUNCTION("""COMPUTED_VALUE"""),0.0)</f>
        <v>0</v>
      </c>
      <c r="H681" s="223">
        <f>IFERROR(__xludf.DUMMYFUNCTION("""COMPUTED_VALUE"""),1000.0)</f>
        <v>1000</v>
      </c>
      <c r="I681" s="298"/>
      <c r="J681" s="223" t="str">
        <f>IFERROR(__xludf.DUMMYFUNCTION("""COMPUTED_VALUE"""),"Monthly")</f>
        <v>Monthly</v>
      </c>
      <c r="K681" s="317">
        <f>IFERROR(__xludf.DUMMYFUNCTION("""COMPUTED_VALUE"""),2022.12)</f>
        <v>2022.12</v>
      </c>
      <c r="L681" s="298"/>
      <c r="M681" s="223"/>
      <c r="N681" s="223"/>
      <c r="O681" s="223"/>
      <c r="P681" s="223"/>
      <c r="Q681" s="223"/>
      <c r="R681" s="223"/>
      <c r="S681" s="223"/>
      <c r="T681" s="223"/>
      <c r="U681" s="223"/>
      <c r="V681" s="223"/>
      <c r="W681" s="223"/>
      <c r="X681" s="223"/>
      <c r="Y681" s="223"/>
      <c r="Z681" s="223"/>
    </row>
    <row r="682">
      <c r="A682" s="223" t="str">
        <f>IFERROR(__xludf.DUMMYFUNCTION("""COMPUTED_VALUE"""),"Hastings House : Monthly Services")</f>
        <v>Hastings House : Monthly Services</v>
      </c>
      <c r="B682" s="223" t="str">
        <f>IFERROR(__xludf.DUMMYFUNCTION("""COMPUTED_VALUE"""),"Hastings House")</f>
        <v>Hastings House</v>
      </c>
      <c r="C682" s="223" t="str">
        <f>IFERROR(__xludf.DUMMYFUNCTION("""COMPUTED_VALUE"""),"Monthly Services")</f>
        <v>Monthly Services</v>
      </c>
      <c r="D682" s="316">
        <f>IFERROR(__xludf.DUMMYFUNCTION("""COMPUTED_VALUE"""),44925.0)</f>
        <v>44925</v>
      </c>
      <c r="E682" s="298">
        <f>IFERROR(__xludf.DUMMYFUNCTION("""COMPUTED_VALUE"""),1500.0)</f>
        <v>1500</v>
      </c>
      <c r="F682" s="298">
        <f>IFERROR(__xludf.DUMMYFUNCTION("""COMPUTED_VALUE"""),46.67)</f>
        <v>46.67</v>
      </c>
      <c r="G682" s="298">
        <f>IFERROR(__xludf.DUMMYFUNCTION("""COMPUTED_VALUE"""),217.99949999999998)</f>
        <v>217.9995</v>
      </c>
      <c r="H682" s="223">
        <f>IFERROR(__xludf.DUMMYFUNCTION("""COMPUTED_VALUE"""),1235.3305)</f>
        <v>1235.3305</v>
      </c>
      <c r="I682" s="298"/>
      <c r="J682" s="223" t="str">
        <f>IFERROR(__xludf.DUMMYFUNCTION("""COMPUTED_VALUE"""),"Monthly")</f>
        <v>Monthly</v>
      </c>
      <c r="K682" s="317">
        <f>IFERROR(__xludf.DUMMYFUNCTION("""COMPUTED_VALUE"""),2022.12)</f>
        <v>2022.12</v>
      </c>
      <c r="L682" s="298"/>
      <c r="M682" s="223"/>
      <c r="N682" s="223"/>
      <c r="O682" s="223"/>
      <c r="P682" s="223"/>
      <c r="Q682" s="223"/>
      <c r="R682" s="223"/>
      <c r="S682" s="223"/>
      <c r="T682" s="223"/>
      <c r="U682" s="223"/>
      <c r="V682" s="223"/>
      <c r="W682" s="223"/>
      <c r="X682" s="223"/>
      <c r="Y682" s="223"/>
      <c r="Z682" s="223"/>
    </row>
    <row r="683">
      <c r="A683" s="223" t="str">
        <f>IFERROR(__xludf.DUMMYFUNCTION("""COMPUTED_VALUE"""),"HSJ Lawyers : Monthly Services")</f>
        <v>HSJ Lawyers : Monthly Services</v>
      </c>
      <c r="B683" s="223" t="str">
        <f>IFERROR(__xludf.DUMMYFUNCTION("""COMPUTED_VALUE"""),"HSJ Lawyers")</f>
        <v>HSJ Lawyers</v>
      </c>
      <c r="C683" s="223" t="str">
        <f>IFERROR(__xludf.DUMMYFUNCTION("""COMPUTED_VALUE"""),"Monthly Services")</f>
        <v>Monthly Services</v>
      </c>
      <c r="D683" s="316">
        <f>IFERROR(__xludf.DUMMYFUNCTION("""COMPUTED_VALUE"""),44925.0)</f>
        <v>44925</v>
      </c>
      <c r="E683" s="298">
        <f>IFERROR(__xludf.DUMMYFUNCTION("""COMPUTED_VALUE"""),800.0)</f>
        <v>800</v>
      </c>
      <c r="F683" s="298">
        <f>IFERROR(__xludf.DUMMYFUNCTION("""COMPUTED_VALUE"""),0.0)</f>
        <v>0</v>
      </c>
      <c r="G683" s="298">
        <f>IFERROR(__xludf.DUMMYFUNCTION("""COMPUTED_VALUE"""),0.0)</f>
        <v>0</v>
      </c>
      <c r="H683" s="223">
        <f>IFERROR(__xludf.DUMMYFUNCTION("""COMPUTED_VALUE"""),800.0)</f>
        <v>800</v>
      </c>
      <c r="I683" s="298"/>
      <c r="J683" s="223" t="str">
        <f>IFERROR(__xludf.DUMMYFUNCTION("""COMPUTED_VALUE"""),"Monthly")</f>
        <v>Monthly</v>
      </c>
      <c r="K683" s="317">
        <f>IFERROR(__xludf.DUMMYFUNCTION("""COMPUTED_VALUE"""),2022.12)</f>
        <v>2022.12</v>
      </c>
      <c r="L683" s="298"/>
      <c r="M683" s="223"/>
      <c r="N683" s="223"/>
      <c r="O683" s="223"/>
      <c r="P683" s="223"/>
      <c r="Q683" s="223"/>
      <c r="R683" s="223"/>
      <c r="S683" s="223"/>
      <c r="T683" s="223"/>
      <c r="U683" s="223"/>
      <c r="V683" s="223"/>
      <c r="W683" s="223"/>
      <c r="X683" s="223"/>
      <c r="Y683" s="223"/>
      <c r="Z683" s="223"/>
    </row>
    <row r="684">
      <c r="A684" s="223" t="str">
        <f>IFERROR(__xludf.DUMMYFUNCTION("""COMPUTED_VALUE"""),"MortgagePal : Monthly Services")</f>
        <v>MortgagePal : Monthly Services</v>
      </c>
      <c r="B684" s="223" t="str">
        <f>IFERROR(__xludf.DUMMYFUNCTION("""COMPUTED_VALUE"""),"MortgagePal")</f>
        <v>MortgagePal</v>
      </c>
      <c r="C684" s="223" t="str">
        <f>IFERROR(__xludf.DUMMYFUNCTION("""COMPUTED_VALUE"""),"Monthly Services")</f>
        <v>Monthly Services</v>
      </c>
      <c r="D684" s="316">
        <f>IFERROR(__xludf.DUMMYFUNCTION("""COMPUTED_VALUE"""),44926.0)</f>
        <v>44926</v>
      </c>
      <c r="E684" s="298">
        <f>IFERROR(__xludf.DUMMYFUNCTION("""COMPUTED_VALUE"""),500.0)</f>
        <v>500</v>
      </c>
      <c r="F684" s="298">
        <f>IFERROR(__xludf.DUMMYFUNCTION("""COMPUTED_VALUE"""),15.56)</f>
        <v>15.56</v>
      </c>
      <c r="G684" s="298">
        <f>IFERROR(__xludf.DUMMYFUNCTION("""COMPUTED_VALUE"""),0.0)</f>
        <v>0</v>
      </c>
      <c r="H684" s="223">
        <f>IFERROR(__xludf.DUMMYFUNCTION("""COMPUTED_VALUE"""),484.44)</f>
        <v>484.44</v>
      </c>
      <c r="I684" s="298"/>
      <c r="J684" s="223" t="str">
        <f>IFERROR(__xludf.DUMMYFUNCTION("""COMPUTED_VALUE"""),"Monthly")</f>
        <v>Monthly</v>
      </c>
      <c r="K684" s="317">
        <f>IFERROR(__xludf.DUMMYFUNCTION("""COMPUTED_VALUE"""),2022.12)</f>
        <v>2022.12</v>
      </c>
      <c r="L684" s="298"/>
      <c r="M684" s="223"/>
      <c r="N684" s="223"/>
      <c r="O684" s="223"/>
      <c r="P684" s="223"/>
      <c r="Q684" s="223"/>
      <c r="R684" s="223"/>
      <c r="S684" s="223"/>
      <c r="T684" s="223"/>
      <c r="U684" s="223"/>
      <c r="V684" s="223"/>
      <c r="W684" s="223"/>
      <c r="X684" s="223"/>
      <c r="Y684" s="223"/>
      <c r="Z684" s="223"/>
    </row>
    <row r="685">
      <c r="A685" s="223" t="str">
        <f>IFERROR(__xludf.DUMMYFUNCTION("""COMPUTED_VALUE"""),"PMDI : Monthly Services")</f>
        <v>PMDI : Monthly Services</v>
      </c>
      <c r="B685" s="223" t="str">
        <f>IFERROR(__xludf.DUMMYFUNCTION("""COMPUTED_VALUE"""),"PMDI")</f>
        <v>PMDI</v>
      </c>
      <c r="C685" s="223" t="str">
        <f>IFERROR(__xludf.DUMMYFUNCTION("""COMPUTED_VALUE"""),"Monthly Services")</f>
        <v>Monthly Services</v>
      </c>
      <c r="D685" s="316">
        <f>IFERROR(__xludf.DUMMYFUNCTION("""COMPUTED_VALUE"""),44925.0)</f>
        <v>44925</v>
      </c>
      <c r="E685" s="298">
        <f>IFERROR(__xludf.DUMMYFUNCTION("""COMPUTED_VALUE"""),375.0)</f>
        <v>375</v>
      </c>
      <c r="F685" s="298">
        <f>IFERROR(__xludf.DUMMYFUNCTION("""COMPUTED_VALUE"""),0.0)</f>
        <v>0</v>
      </c>
      <c r="G685" s="298">
        <f>IFERROR(__xludf.DUMMYFUNCTION("""COMPUTED_VALUE"""),0.0)</f>
        <v>0</v>
      </c>
      <c r="H685" s="223">
        <f>IFERROR(__xludf.DUMMYFUNCTION("""COMPUTED_VALUE"""),375.0)</f>
        <v>375</v>
      </c>
      <c r="I685" s="298"/>
      <c r="J685" s="223" t="str">
        <f>IFERROR(__xludf.DUMMYFUNCTION("""COMPUTED_VALUE"""),"Monthly")</f>
        <v>Monthly</v>
      </c>
      <c r="K685" s="317">
        <f>IFERROR(__xludf.DUMMYFUNCTION("""COMPUTED_VALUE"""),2022.12)</f>
        <v>2022.12</v>
      </c>
      <c r="L685" s="298"/>
      <c r="M685" s="223"/>
      <c r="N685" s="223"/>
      <c r="O685" s="223"/>
      <c r="P685" s="223"/>
      <c r="Q685" s="223"/>
      <c r="R685" s="223"/>
      <c r="S685" s="223"/>
      <c r="T685" s="223"/>
      <c r="U685" s="223"/>
      <c r="V685" s="223"/>
      <c r="W685" s="223"/>
      <c r="X685" s="223"/>
      <c r="Y685" s="223"/>
      <c r="Z685" s="223"/>
    </row>
    <row r="686">
      <c r="A686" s="223" t="str">
        <f>IFERROR(__xludf.DUMMYFUNCTION("""COMPUTED_VALUE"""),"Rama Meditation Society : Premium Hosting + Support")</f>
        <v>Rama Meditation Society : Premium Hosting + Support</v>
      </c>
      <c r="B686" s="223" t="str">
        <f>IFERROR(__xludf.DUMMYFUNCTION("""COMPUTED_VALUE"""),"Rama Meditation Society")</f>
        <v>Rama Meditation Society</v>
      </c>
      <c r="C686" s="223" t="str">
        <f>IFERROR(__xludf.DUMMYFUNCTION("""COMPUTED_VALUE"""),"Premium Hosting + Support")</f>
        <v>Premium Hosting + Support</v>
      </c>
      <c r="D686" s="316">
        <f>IFERROR(__xludf.DUMMYFUNCTION("""COMPUTED_VALUE"""),44925.0)</f>
        <v>44925</v>
      </c>
      <c r="E686" s="298">
        <f>IFERROR(__xludf.DUMMYFUNCTION("""COMPUTED_VALUE"""),393.8685)</f>
        <v>393.8685</v>
      </c>
      <c r="F686" s="298">
        <f>IFERROR(__xludf.DUMMYFUNCTION("""COMPUTED_VALUE"""),14.967003)</f>
        <v>14.967003</v>
      </c>
      <c r="G686" s="298">
        <f>IFERROR(__xludf.DUMMYFUNCTION("""COMPUTED_VALUE"""),0.0)</f>
        <v>0</v>
      </c>
      <c r="H686" s="223">
        <f>IFERROR(__xludf.DUMMYFUNCTION("""COMPUTED_VALUE"""),378.901497)</f>
        <v>378.901497</v>
      </c>
      <c r="I686" s="298"/>
      <c r="J686" s="223" t="str">
        <f>IFERROR(__xludf.DUMMYFUNCTION("""COMPUTED_VALUE"""),"Monthly")</f>
        <v>Monthly</v>
      </c>
      <c r="K686" s="317">
        <f>IFERROR(__xludf.DUMMYFUNCTION("""COMPUTED_VALUE"""),2022.12)</f>
        <v>2022.12</v>
      </c>
      <c r="L686" s="298"/>
      <c r="M686" s="223"/>
      <c r="N686" s="223"/>
      <c r="O686" s="223"/>
      <c r="P686" s="223"/>
      <c r="Q686" s="223"/>
      <c r="R686" s="223"/>
      <c r="S686" s="223"/>
      <c r="T686" s="223"/>
      <c r="U686" s="223"/>
      <c r="V686" s="223"/>
      <c r="W686" s="223"/>
      <c r="X686" s="223"/>
      <c r="Y686" s="223"/>
      <c r="Z686" s="223"/>
    </row>
    <row r="687">
      <c r="A687" s="223" t="str">
        <f>IFERROR(__xludf.DUMMYFUNCTION("""COMPUTED_VALUE"""),"Red Seal : Monthly Services")</f>
        <v>Red Seal : Monthly Services</v>
      </c>
      <c r="B687" s="223" t="str">
        <f>IFERROR(__xludf.DUMMYFUNCTION("""COMPUTED_VALUE"""),"Red Seal")</f>
        <v>Red Seal</v>
      </c>
      <c r="C687" s="223" t="str">
        <f>IFERROR(__xludf.DUMMYFUNCTION("""COMPUTED_VALUE"""),"Monthly Services")</f>
        <v>Monthly Services</v>
      </c>
      <c r="D687" s="316">
        <f>IFERROR(__xludf.DUMMYFUNCTION("""COMPUTED_VALUE"""),44925.0)</f>
        <v>44925</v>
      </c>
      <c r="E687" s="298">
        <f>IFERROR(__xludf.DUMMYFUNCTION("""COMPUTED_VALUE"""),1150.0)</f>
        <v>1150</v>
      </c>
      <c r="F687" s="298">
        <f>IFERROR(__xludf.DUMMYFUNCTION("""COMPUTED_VALUE"""),0.0)</f>
        <v>0</v>
      </c>
      <c r="G687" s="298">
        <f>IFERROR(__xludf.DUMMYFUNCTION("""COMPUTED_VALUE"""),0.0)</f>
        <v>0</v>
      </c>
      <c r="H687" s="223">
        <f>IFERROR(__xludf.DUMMYFUNCTION("""COMPUTED_VALUE"""),1150.0)</f>
        <v>1150</v>
      </c>
      <c r="I687" s="298"/>
      <c r="J687" s="223" t="str">
        <f>IFERROR(__xludf.DUMMYFUNCTION("""COMPUTED_VALUE"""),"Monthly")</f>
        <v>Monthly</v>
      </c>
      <c r="K687" s="317">
        <f>IFERROR(__xludf.DUMMYFUNCTION("""COMPUTED_VALUE"""),2022.12)</f>
        <v>2022.12</v>
      </c>
      <c r="L687" s="298"/>
      <c r="M687" s="223"/>
      <c r="N687" s="223"/>
      <c r="O687" s="223"/>
      <c r="P687" s="223"/>
      <c r="Q687" s="223"/>
      <c r="R687" s="223"/>
      <c r="S687" s="223"/>
      <c r="T687" s="223"/>
      <c r="U687" s="223"/>
      <c r="V687" s="223"/>
      <c r="W687" s="223"/>
      <c r="X687" s="223"/>
      <c r="Y687" s="223"/>
      <c r="Z687" s="223"/>
    </row>
    <row r="688">
      <c r="A688" s="223" t="str">
        <f>IFERROR(__xludf.DUMMYFUNCTION("""COMPUTED_VALUE"""),"Service First : Monthly Services")</f>
        <v>Service First : Monthly Services</v>
      </c>
      <c r="B688" s="223" t="str">
        <f>IFERROR(__xludf.DUMMYFUNCTION("""COMPUTED_VALUE"""),"Service First")</f>
        <v>Service First</v>
      </c>
      <c r="C688" s="223" t="str">
        <f>IFERROR(__xludf.DUMMYFUNCTION("""COMPUTED_VALUE"""),"Monthly Services")</f>
        <v>Monthly Services</v>
      </c>
      <c r="D688" s="316">
        <f>IFERROR(__xludf.DUMMYFUNCTION("""COMPUTED_VALUE"""),44925.0)</f>
        <v>44925</v>
      </c>
      <c r="E688" s="298">
        <f>IFERROR(__xludf.DUMMYFUNCTION("""COMPUTED_VALUE"""),300.0)</f>
        <v>300</v>
      </c>
      <c r="F688" s="298">
        <f>IFERROR(__xludf.DUMMYFUNCTION("""COMPUTED_VALUE"""),9.33)</f>
        <v>9.33</v>
      </c>
      <c r="G688" s="298">
        <f>IFERROR(__xludf.DUMMYFUNCTION("""COMPUTED_VALUE"""),0.0)</f>
        <v>0</v>
      </c>
      <c r="H688" s="223">
        <f>IFERROR(__xludf.DUMMYFUNCTION("""COMPUTED_VALUE"""),290.67)</f>
        <v>290.67</v>
      </c>
      <c r="I688" s="298"/>
      <c r="J688" s="223" t="str">
        <f>IFERROR(__xludf.DUMMYFUNCTION("""COMPUTED_VALUE"""),"Monthly")</f>
        <v>Monthly</v>
      </c>
      <c r="K688" s="317">
        <f>IFERROR(__xludf.DUMMYFUNCTION("""COMPUTED_VALUE"""),2022.12)</f>
        <v>2022.12</v>
      </c>
      <c r="L688" s="298"/>
      <c r="M688" s="223"/>
      <c r="N688" s="223"/>
      <c r="O688" s="223"/>
      <c r="P688" s="223"/>
      <c r="Q688" s="223"/>
      <c r="R688" s="223"/>
      <c r="S688" s="223"/>
      <c r="T688" s="223"/>
      <c r="U688" s="223"/>
      <c r="V688" s="223"/>
      <c r="W688" s="223"/>
      <c r="X688" s="223"/>
      <c r="Y688" s="223"/>
      <c r="Z688" s="223"/>
    </row>
    <row r="689">
      <c r="A689" s="223" t="str">
        <f>IFERROR(__xludf.DUMMYFUNCTION("""COMPUTED_VALUE"""),"Spraggs : Monthly Services")</f>
        <v>Spraggs : Monthly Services</v>
      </c>
      <c r="B689" s="223" t="str">
        <f>IFERROR(__xludf.DUMMYFUNCTION("""COMPUTED_VALUE"""),"Spraggs")</f>
        <v>Spraggs</v>
      </c>
      <c r="C689" s="223" t="str">
        <f>IFERROR(__xludf.DUMMYFUNCTION("""COMPUTED_VALUE"""),"Monthly Services")</f>
        <v>Monthly Services</v>
      </c>
      <c r="D689" s="316">
        <f>IFERROR(__xludf.DUMMYFUNCTION("""COMPUTED_VALUE"""),44925.0)</f>
        <v>44925</v>
      </c>
      <c r="E689" s="298">
        <f>IFERROR(__xludf.DUMMYFUNCTION("""COMPUTED_VALUE"""),2500.0)</f>
        <v>2500</v>
      </c>
      <c r="F689" s="298">
        <f>IFERROR(__xludf.DUMMYFUNCTION("""COMPUTED_VALUE"""),77.78)</f>
        <v>77.78</v>
      </c>
      <c r="G689" s="298">
        <f>IFERROR(__xludf.DUMMYFUNCTION("""COMPUTED_VALUE"""),0.0)</f>
        <v>0</v>
      </c>
      <c r="H689" s="223">
        <f>IFERROR(__xludf.DUMMYFUNCTION("""COMPUTED_VALUE"""),2422.22)</f>
        <v>2422.22</v>
      </c>
      <c r="I689" s="298"/>
      <c r="J689" s="223" t="str">
        <f>IFERROR(__xludf.DUMMYFUNCTION("""COMPUTED_VALUE"""),"Monthly")</f>
        <v>Monthly</v>
      </c>
      <c r="K689" s="317">
        <f>IFERROR(__xludf.DUMMYFUNCTION("""COMPUTED_VALUE"""),2022.12)</f>
        <v>2022.12</v>
      </c>
      <c r="L689" s="298"/>
      <c r="M689" s="223"/>
      <c r="N689" s="223"/>
      <c r="O689" s="223"/>
      <c r="P689" s="223"/>
      <c r="Q689" s="223"/>
      <c r="R689" s="223"/>
      <c r="S689" s="223"/>
      <c r="T689" s="223"/>
      <c r="U689" s="223"/>
      <c r="V689" s="223"/>
      <c r="W689" s="223"/>
      <c r="X689" s="223"/>
      <c r="Y689" s="223"/>
      <c r="Z689" s="223"/>
    </row>
    <row r="690">
      <c r="A690" s="223" t="str">
        <f>IFERROR(__xludf.DUMMYFUNCTION("""COMPUTED_VALUE"""),"TisBest : Monthly Services")</f>
        <v>TisBest : Monthly Services</v>
      </c>
      <c r="B690" s="223" t="str">
        <f>IFERROR(__xludf.DUMMYFUNCTION("""COMPUTED_VALUE"""),"TisBest")</f>
        <v>TisBest</v>
      </c>
      <c r="C690" s="223" t="str">
        <f>IFERROR(__xludf.DUMMYFUNCTION("""COMPUTED_VALUE"""),"Monthly Services")</f>
        <v>Monthly Services</v>
      </c>
      <c r="D690" s="316">
        <f>IFERROR(__xludf.DUMMYFUNCTION("""COMPUTED_VALUE"""),44925.0)</f>
        <v>44925</v>
      </c>
      <c r="E690" s="298">
        <f>IFERROR(__xludf.DUMMYFUNCTION("""COMPUTED_VALUE"""),5866.5599999999995)</f>
        <v>5866.56</v>
      </c>
      <c r="F690" s="298">
        <f>IFERROR(__xludf.DUMMYFUNCTION("""COMPUTED_VALUE"""),217.453824)</f>
        <v>217.453824</v>
      </c>
      <c r="G690" s="298">
        <f>IFERROR(__xludf.DUMMYFUNCTION("""COMPUTED_VALUE"""),1129.8212351999998)</f>
        <v>1129.821235</v>
      </c>
      <c r="H690" s="223">
        <f>IFERROR(__xludf.DUMMYFUNCTION("""COMPUTED_VALUE"""),4519.284940799999)</f>
        <v>4519.284941</v>
      </c>
      <c r="I690" s="298"/>
      <c r="J690" s="223" t="str">
        <f>IFERROR(__xludf.DUMMYFUNCTION("""COMPUTED_VALUE"""),"Monthly")</f>
        <v>Monthly</v>
      </c>
      <c r="K690" s="317">
        <f>IFERROR(__xludf.DUMMYFUNCTION("""COMPUTED_VALUE"""),2022.12)</f>
        <v>2022.12</v>
      </c>
      <c r="L690" s="298"/>
      <c r="M690" s="223"/>
      <c r="N690" s="223"/>
      <c r="O690" s="223"/>
      <c r="P690" s="223"/>
      <c r="Q690" s="223"/>
      <c r="R690" s="223"/>
      <c r="S690" s="223"/>
      <c r="T690" s="223"/>
      <c r="U690" s="223"/>
      <c r="V690" s="223"/>
      <c r="W690" s="223"/>
      <c r="X690" s="223"/>
      <c r="Y690" s="223"/>
      <c r="Z690" s="223"/>
    </row>
    <row r="691">
      <c r="A691" s="223" t="str">
        <f>IFERROR(__xludf.DUMMYFUNCTION("""COMPUTED_VALUE"""),"Tuscany : Monthly Services")</f>
        <v>Tuscany : Monthly Services</v>
      </c>
      <c r="B691" s="223" t="str">
        <f>IFERROR(__xludf.DUMMYFUNCTION("""COMPUTED_VALUE"""),"Tuscany")</f>
        <v>Tuscany</v>
      </c>
      <c r="C691" s="223" t="str">
        <f>IFERROR(__xludf.DUMMYFUNCTION("""COMPUTED_VALUE"""),"Monthly Services")</f>
        <v>Monthly Services</v>
      </c>
      <c r="D691" s="316">
        <f>IFERROR(__xludf.DUMMYFUNCTION("""COMPUTED_VALUE"""),44925.0)</f>
        <v>44925</v>
      </c>
      <c r="E691" s="298">
        <f>IFERROR(__xludf.DUMMYFUNCTION("""COMPUTED_VALUE"""),2607.8250000000003)</f>
        <v>2607.825</v>
      </c>
      <c r="F691" s="298">
        <f>IFERROR(__xludf.DUMMYFUNCTION("""COMPUTED_VALUE"""),0.0)</f>
        <v>0</v>
      </c>
      <c r="G691" s="298">
        <f>IFERROR(__xludf.DUMMYFUNCTION("""COMPUTED_VALUE"""),0.0)</f>
        <v>0</v>
      </c>
      <c r="H691" s="223">
        <f>IFERROR(__xludf.DUMMYFUNCTION("""COMPUTED_VALUE"""),2607.8250000000003)</f>
        <v>2607.825</v>
      </c>
      <c r="I691" s="298"/>
      <c r="J691" s="223" t="str">
        <f>IFERROR(__xludf.DUMMYFUNCTION("""COMPUTED_VALUE"""),"Monthly")</f>
        <v>Monthly</v>
      </c>
      <c r="K691" s="317">
        <f>IFERROR(__xludf.DUMMYFUNCTION("""COMPUTED_VALUE"""),2022.12)</f>
        <v>2022.12</v>
      </c>
      <c r="L691" s="298"/>
      <c r="M691" s="223"/>
      <c r="N691" s="223"/>
      <c r="O691" s="223"/>
      <c r="P691" s="223"/>
      <c r="Q691" s="223"/>
      <c r="R691" s="223"/>
      <c r="S691" s="223"/>
      <c r="T691" s="223"/>
      <c r="U691" s="223"/>
      <c r="V691" s="223"/>
      <c r="W691" s="223"/>
      <c r="X691" s="223"/>
      <c r="Y691" s="223"/>
      <c r="Z691" s="223"/>
    </row>
    <row r="692">
      <c r="A692" s="223" t="str">
        <f>IFERROR(__xludf.DUMMYFUNCTION("""COMPUTED_VALUE"""),"Venetian : Monthly Services")</f>
        <v>Venetian : Monthly Services</v>
      </c>
      <c r="B692" s="223" t="str">
        <f>IFERROR(__xludf.DUMMYFUNCTION("""COMPUTED_VALUE"""),"Venetian")</f>
        <v>Venetian</v>
      </c>
      <c r="C692" s="223" t="str">
        <f>IFERROR(__xludf.DUMMYFUNCTION("""COMPUTED_VALUE"""),"Monthly Services")</f>
        <v>Monthly Services</v>
      </c>
      <c r="D692" s="316">
        <f>IFERROR(__xludf.DUMMYFUNCTION("""COMPUTED_VALUE"""),44925.0)</f>
        <v>44925</v>
      </c>
      <c r="E692" s="298">
        <f>IFERROR(__xludf.DUMMYFUNCTION("""COMPUTED_VALUE"""),2607.8250000000003)</f>
        <v>2607.825</v>
      </c>
      <c r="F692" s="298">
        <f>IFERROR(__xludf.DUMMYFUNCTION("""COMPUTED_VALUE"""),0.0)</f>
        <v>0</v>
      </c>
      <c r="G692" s="298">
        <f>IFERROR(__xludf.DUMMYFUNCTION("""COMPUTED_VALUE"""),0.0)</f>
        <v>0</v>
      </c>
      <c r="H692" s="223">
        <f>IFERROR(__xludf.DUMMYFUNCTION("""COMPUTED_VALUE"""),2607.8250000000003)</f>
        <v>2607.825</v>
      </c>
      <c r="I692" s="298"/>
      <c r="J692" s="223" t="str">
        <f>IFERROR(__xludf.DUMMYFUNCTION("""COMPUTED_VALUE"""),"Monthly")</f>
        <v>Monthly</v>
      </c>
      <c r="K692" s="317">
        <f>IFERROR(__xludf.DUMMYFUNCTION("""COMPUTED_VALUE"""),2022.12)</f>
        <v>2022.12</v>
      </c>
      <c r="L692" s="298"/>
      <c r="M692" s="223"/>
      <c r="N692" s="223"/>
      <c r="O692" s="223"/>
      <c r="P692" s="223"/>
      <c r="Q692" s="223"/>
      <c r="R692" s="223"/>
      <c r="S692" s="223"/>
      <c r="T692" s="223"/>
      <c r="U692" s="223"/>
      <c r="V692" s="223"/>
      <c r="W692" s="223"/>
      <c r="X692" s="223"/>
      <c r="Y692" s="223"/>
      <c r="Z692" s="223"/>
    </row>
    <row r="693">
      <c r="A693" s="223" t="str">
        <f>IFERROR(__xludf.DUMMYFUNCTION("""COMPUTED_VALUE"""),"Wallack's Art Supplies : Monthly Services")</f>
        <v>Wallack's Art Supplies : Monthly Services</v>
      </c>
      <c r="B693" s="223" t="str">
        <f>IFERROR(__xludf.DUMMYFUNCTION("""COMPUTED_VALUE"""),"Wallack's Art Supplies")</f>
        <v>Wallack's Art Supplies</v>
      </c>
      <c r="C693" s="223" t="str">
        <f>IFERROR(__xludf.DUMMYFUNCTION("""COMPUTED_VALUE"""),"Monthly Services")</f>
        <v>Monthly Services</v>
      </c>
      <c r="D693" s="316">
        <f>IFERROR(__xludf.DUMMYFUNCTION("""COMPUTED_VALUE"""),44925.0)</f>
        <v>44925</v>
      </c>
      <c r="E693" s="298">
        <f>IFERROR(__xludf.DUMMYFUNCTION("""COMPUTED_VALUE"""),700.0)</f>
        <v>700</v>
      </c>
      <c r="F693" s="298">
        <f>IFERROR(__xludf.DUMMYFUNCTION("""COMPUTED_VALUE"""),0.0)</f>
        <v>0</v>
      </c>
      <c r="G693" s="298">
        <f>IFERROR(__xludf.DUMMYFUNCTION("""COMPUTED_VALUE"""),0.0)</f>
        <v>0</v>
      </c>
      <c r="H693" s="223">
        <f>IFERROR(__xludf.DUMMYFUNCTION("""COMPUTED_VALUE"""),700.0)</f>
        <v>700</v>
      </c>
      <c r="I693" s="298"/>
      <c r="J693" s="223" t="str">
        <f>IFERROR(__xludf.DUMMYFUNCTION("""COMPUTED_VALUE"""),"Monthly")</f>
        <v>Monthly</v>
      </c>
      <c r="K693" s="317">
        <f>IFERROR(__xludf.DUMMYFUNCTION("""COMPUTED_VALUE"""),2022.12)</f>
        <v>2022.12</v>
      </c>
      <c r="L693" s="298"/>
      <c r="M693" s="223"/>
      <c r="N693" s="223"/>
      <c r="O693" s="223"/>
      <c r="P693" s="223"/>
      <c r="Q693" s="223"/>
      <c r="R693" s="223"/>
      <c r="S693" s="223"/>
      <c r="T693" s="223"/>
      <c r="U693" s="223"/>
      <c r="V693" s="223"/>
      <c r="W693" s="223"/>
      <c r="X693" s="223"/>
      <c r="Y693" s="223"/>
      <c r="Z693" s="223"/>
    </row>
    <row r="694">
      <c r="A694" s="223" t="str">
        <f>IFERROR(__xludf.DUMMYFUNCTION("""COMPUTED_VALUE"""),"Howard Fine Jewellers : Ongoing PPC and SEO Support")</f>
        <v>Howard Fine Jewellers : Ongoing PPC and SEO Support</v>
      </c>
      <c r="B694" s="223" t="str">
        <f>IFERROR(__xludf.DUMMYFUNCTION("""COMPUTED_VALUE"""),"Howard Fine Jewellers")</f>
        <v>Howard Fine Jewellers</v>
      </c>
      <c r="C694" s="223" t="str">
        <f>IFERROR(__xludf.DUMMYFUNCTION("""COMPUTED_VALUE"""),"Ongoing PPC and SEO Support")</f>
        <v>Ongoing PPC and SEO Support</v>
      </c>
      <c r="D694" s="316">
        <f>IFERROR(__xludf.DUMMYFUNCTION("""COMPUTED_VALUE"""),44925.0)</f>
        <v>44925</v>
      </c>
      <c r="E694" s="298">
        <f>IFERROR(__xludf.DUMMYFUNCTION("""COMPUTED_VALUE"""),1450.0)</f>
        <v>1450</v>
      </c>
      <c r="F694" s="298">
        <f>IFERROR(__xludf.DUMMYFUNCTION("""COMPUTED_VALUE"""),48.55)</f>
        <v>48.55</v>
      </c>
      <c r="G694" s="298">
        <f>IFERROR(__xludf.DUMMYFUNCTION("""COMPUTED_VALUE"""),0.0)</f>
        <v>0</v>
      </c>
      <c r="H694" s="223">
        <f>IFERROR(__xludf.DUMMYFUNCTION("""COMPUTED_VALUE"""),1401.45)</f>
        <v>1401.45</v>
      </c>
      <c r="I694" s="298"/>
      <c r="J694" s="223" t="str">
        <f>IFERROR(__xludf.DUMMYFUNCTION("""COMPUTED_VALUE"""),"Monthly")</f>
        <v>Monthly</v>
      </c>
      <c r="K694" s="317">
        <f>IFERROR(__xludf.DUMMYFUNCTION("""COMPUTED_VALUE"""),2022.12)</f>
        <v>2022.12</v>
      </c>
      <c r="L694" s="298"/>
      <c r="M694" s="223"/>
      <c r="N694" s="223"/>
      <c r="O694" s="223"/>
      <c r="P694" s="223"/>
      <c r="Q694" s="223"/>
      <c r="R694" s="223"/>
      <c r="S694" s="223"/>
      <c r="T694" s="223"/>
      <c r="U694" s="223"/>
      <c r="V694" s="223"/>
      <c r="W694" s="223"/>
      <c r="X694" s="223"/>
      <c r="Y694" s="223"/>
      <c r="Z694" s="223"/>
    </row>
    <row r="695">
      <c r="A695" s="223" t="str">
        <f>IFERROR(__xludf.DUMMYFUNCTION("""COMPUTED_VALUE"""),"Crisp Media : Monthly Genus Google PPC Mgmt")</f>
        <v>Crisp Media : Monthly Genus Google PPC Mgmt</v>
      </c>
      <c r="B695" s="223" t="str">
        <f>IFERROR(__xludf.DUMMYFUNCTION("""COMPUTED_VALUE"""),"Crisp Media")</f>
        <v>Crisp Media</v>
      </c>
      <c r="C695" s="223" t="str">
        <f>IFERROR(__xludf.DUMMYFUNCTION("""COMPUTED_VALUE"""),"Monthly Genus Google PPC Mgmt")</f>
        <v>Monthly Genus Google PPC Mgmt</v>
      </c>
      <c r="D695" s="316">
        <f>IFERROR(__xludf.DUMMYFUNCTION("""COMPUTED_VALUE"""),44925.0)</f>
        <v>44925</v>
      </c>
      <c r="E695" s="298">
        <f>IFERROR(__xludf.DUMMYFUNCTION("""COMPUTED_VALUE"""),600.0)</f>
        <v>600</v>
      </c>
      <c r="F695" s="298">
        <f>IFERROR(__xludf.DUMMYFUNCTION("""COMPUTED_VALUE"""),18.67)</f>
        <v>18.67</v>
      </c>
      <c r="G695" s="298">
        <f>IFERROR(__xludf.DUMMYFUNCTION("""COMPUTED_VALUE"""),0.0)</f>
        <v>0</v>
      </c>
      <c r="H695" s="223">
        <f>IFERROR(__xludf.DUMMYFUNCTION("""COMPUTED_VALUE"""),581.33)</f>
        <v>581.33</v>
      </c>
      <c r="I695" s="298"/>
      <c r="J695" s="223" t="str">
        <f>IFERROR(__xludf.DUMMYFUNCTION("""COMPUTED_VALUE"""),"Monthly")</f>
        <v>Monthly</v>
      </c>
      <c r="K695" s="317">
        <f>IFERROR(__xludf.DUMMYFUNCTION("""COMPUTED_VALUE"""),2022.12)</f>
        <v>2022.12</v>
      </c>
      <c r="L695" s="298"/>
      <c r="M695" s="223"/>
      <c r="N695" s="223"/>
      <c r="O695" s="223"/>
      <c r="P695" s="223"/>
      <c r="Q695" s="223"/>
      <c r="R695" s="223"/>
      <c r="S695" s="223"/>
      <c r="T695" s="223"/>
      <c r="U695" s="223"/>
      <c r="V695" s="223"/>
      <c r="W695" s="223"/>
      <c r="X695" s="223"/>
      <c r="Y695" s="223"/>
      <c r="Z695" s="223"/>
    </row>
    <row r="696">
      <c r="A696" s="223" t="str">
        <f>IFERROR(__xludf.DUMMYFUNCTION("""COMPUTED_VALUE"""),"The Sands : Email Blast")</f>
        <v>The Sands : Email Blast</v>
      </c>
      <c r="B696" s="223" t="str">
        <f>IFERROR(__xludf.DUMMYFUNCTION("""COMPUTED_VALUE"""),"The Sands")</f>
        <v>The Sands</v>
      </c>
      <c r="C696" s="223" t="str">
        <f>IFERROR(__xludf.DUMMYFUNCTION("""COMPUTED_VALUE"""),"Email Blast")</f>
        <v>Email Blast</v>
      </c>
      <c r="D696" s="316">
        <f>IFERROR(__xludf.DUMMYFUNCTION("""COMPUTED_VALUE"""),44939.0)</f>
        <v>44939</v>
      </c>
      <c r="E696" s="298">
        <f>IFERROR(__xludf.DUMMYFUNCTION("""COMPUTED_VALUE"""),129.29999999999998)</f>
        <v>129.3</v>
      </c>
      <c r="F696" s="298">
        <f>IFERROR(__xludf.DUMMYFUNCTION("""COMPUTED_VALUE"""),0.0)</f>
        <v>0</v>
      </c>
      <c r="G696" s="298">
        <f>IFERROR(__xludf.DUMMYFUNCTION("""COMPUTED_VALUE"""),0.0)</f>
        <v>0</v>
      </c>
      <c r="H696" s="223">
        <f>IFERROR(__xludf.DUMMYFUNCTION("""COMPUTED_VALUE"""),129.29999999999998)</f>
        <v>129.3</v>
      </c>
      <c r="I696" s="298"/>
      <c r="J696" s="223" t="str">
        <f>IFERROR(__xludf.DUMMYFUNCTION("""COMPUTED_VALUE"""),"One-Time")</f>
        <v>One-Time</v>
      </c>
      <c r="K696" s="317">
        <f>IFERROR(__xludf.DUMMYFUNCTION("""COMPUTED_VALUE"""),2023.0)</f>
        <v>2023</v>
      </c>
      <c r="L696" s="298"/>
      <c r="M696" s="223"/>
      <c r="N696" s="223"/>
      <c r="O696" s="223"/>
      <c r="P696" s="223"/>
      <c r="Q696" s="223"/>
      <c r="R696" s="223"/>
      <c r="S696" s="223"/>
      <c r="T696" s="223"/>
      <c r="U696" s="223"/>
      <c r="V696" s="223"/>
      <c r="W696" s="223"/>
      <c r="X696" s="223"/>
      <c r="Y696" s="223"/>
      <c r="Z696" s="223"/>
    </row>
    <row r="697">
      <c r="A697" s="223" t="str">
        <f>IFERROR(__xludf.DUMMYFUNCTION("""COMPUTED_VALUE"""),"The Shore Club : Email Blast")</f>
        <v>The Shore Club : Email Blast</v>
      </c>
      <c r="B697" s="223" t="str">
        <f>IFERROR(__xludf.DUMMYFUNCTION("""COMPUTED_VALUE"""),"The Shore Club")</f>
        <v>The Shore Club</v>
      </c>
      <c r="C697" s="223" t="str">
        <f>IFERROR(__xludf.DUMMYFUNCTION("""COMPUTED_VALUE"""),"Email Blast")</f>
        <v>Email Blast</v>
      </c>
      <c r="D697" s="316">
        <f>IFERROR(__xludf.DUMMYFUNCTION("""COMPUTED_VALUE"""),44939.0)</f>
        <v>44939</v>
      </c>
      <c r="E697" s="298">
        <f>IFERROR(__xludf.DUMMYFUNCTION("""COMPUTED_VALUE"""),130.69)</f>
        <v>130.69</v>
      </c>
      <c r="F697" s="298">
        <f>IFERROR(__xludf.DUMMYFUNCTION("""COMPUTED_VALUE"""),0.0)</f>
        <v>0</v>
      </c>
      <c r="G697" s="298">
        <f>IFERROR(__xludf.DUMMYFUNCTION("""COMPUTED_VALUE"""),0.0)</f>
        <v>0</v>
      </c>
      <c r="H697" s="223">
        <f>IFERROR(__xludf.DUMMYFUNCTION("""COMPUTED_VALUE"""),130.69)</f>
        <v>130.69</v>
      </c>
      <c r="I697" s="298"/>
      <c r="J697" s="223" t="str">
        <f>IFERROR(__xludf.DUMMYFUNCTION("""COMPUTED_VALUE"""),"One-Time")</f>
        <v>One-Time</v>
      </c>
      <c r="K697" s="317">
        <f>IFERROR(__xludf.DUMMYFUNCTION("""COMPUTED_VALUE"""),2023.0)</f>
        <v>2023</v>
      </c>
      <c r="L697" s="298"/>
      <c r="M697" s="223"/>
      <c r="N697" s="223"/>
      <c r="O697" s="223"/>
      <c r="P697" s="223"/>
      <c r="Q697" s="223"/>
      <c r="R697" s="223"/>
      <c r="S697" s="223"/>
      <c r="T697" s="223"/>
      <c r="U697" s="223"/>
      <c r="V697" s="223"/>
      <c r="W697" s="223"/>
      <c r="X697" s="223"/>
      <c r="Y697" s="223"/>
      <c r="Z697" s="223"/>
    </row>
    <row r="698">
      <c r="A698" s="223" t="str">
        <f>IFERROR(__xludf.DUMMYFUNCTION("""COMPUTED_VALUE"""),"Moloco : 5 Hour Support Block")</f>
        <v>Moloco : 5 Hour Support Block</v>
      </c>
      <c r="B698" s="223" t="str">
        <f>IFERROR(__xludf.DUMMYFUNCTION("""COMPUTED_VALUE"""),"Moloco")</f>
        <v>Moloco</v>
      </c>
      <c r="C698" s="223" t="str">
        <f>IFERROR(__xludf.DUMMYFUNCTION("""COMPUTED_VALUE"""),"5 Hour Support Block")</f>
        <v>5 Hour Support Block</v>
      </c>
      <c r="D698" s="316">
        <f>IFERROR(__xludf.DUMMYFUNCTION("""COMPUTED_VALUE"""),44929.0)</f>
        <v>44929</v>
      </c>
      <c r="E698" s="298">
        <f>IFERROR(__xludf.DUMMYFUNCTION("""COMPUTED_VALUE"""),785.6106629999999)</f>
        <v>785.610663</v>
      </c>
      <c r="F698" s="298">
        <f>IFERROR(__xludf.DUMMYFUNCTION("""COMPUTED_VALUE"""),29.45712102)</f>
        <v>29.45712102</v>
      </c>
      <c r="G698" s="298">
        <f>IFERROR(__xludf.DUMMYFUNCTION("""COMPUTED_VALUE"""),0.0)</f>
        <v>0</v>
      </c>
      <c r="H698" s="223">
        <f>IFERROR(__xludf.DUMMYFUNCTION("""COMPUTED_VALUE"""),756.1535419799999)</f>
        <v>756.153542</v>
      </c>
      <c r="I698" s="298"/>
      <c r="J698" s="223" t="str">
        <f>IFERROR(__xludf.DUMMYFUNCTION("""COMPUTED_VALUE"""),"One-Time")</f>
        <v>One-Time</v>
      </c>
      <c r="K698" s="317">
        <f>IFERROR(__xludf.DUMMYFUNCTION("""COMPUTED_VALUE"""),2023.0)</f>
        <v>2023</v>
      </c>
      <c r="L698" s="298"/>
      <c r="M698" s="223"/>
      <c r="N698" s="223"/>
      <c r="O698" s="223"/>
      <c r="P698" s="223"/>
      <c r="Q698" s="223"/>
      <c r="R698" s="223"/>
      <c r="S698" s="223"/>
      <c r="T698" s="223"/>
      <c r="U698" s="223"/>
      <c r="V698" s="223"/>
      <c r="W698" s="223"/>
      <c r="X698" s="223"/>
      <c r="Y698" s="223"/>
      <c r="Z698" s="223"/>
    </row>
    <row r="699">
      <c r="A699" s="223" t="str">
        <f>IFERROR(__xludf.DUMMYFUNCTION("""COMPUTED_VALUE"""),"McAllister Marketing : Copernic PPC / SEO")</f>
        <v>McAllister Marketing : Copernic PPC / SEO</v>
      </c>
      <c r="B699" s="223" t="str">
        <f>IFERROR(__xludf.DUMMYFUNCTION("""COMPUTED_VALUE"""),"McAllister Marketing")</f>
        <v>McAllister Marketing</v>
      </c>
      <c r="C699" s="223" t="str">
        <f>IFERROR(__xludf.DUMMYFUNCTION("""COMPUTED_VALUE"""),"Copernic PPC / SEO")</f>
        <v>Copernic PPC / SEO</v>
      </c>
      <c r="D699" s="316">
        <f>IFERROR(__xludf.DUMMYFUNCTION("""COMPUTED_VALUE"""),44931.0)</f>
        <v>44931</v>
      </c>
      <c r="E699" s="298">
        <f>IFERROR(__xludf.DUMMYFUNCTION("""COMPUTED_VALUE"""),3000.0)</f>
        <v>3000</v>
      </c>
      <c r="F699" s="298">
        <f>IFERROR(__xludf.DUMMYFUNCTION("""COMPUTED_VALUE"""),0.0)</f>
        <v>0</v>
      </c>
      <c r="G699" s="298">
        <f>IFERROR(__xludf.DUMMYFUNCTION("""COMPUTED_VALUE"""),0.0)</f>
        <v>0</v>
      </c>
      <c r="H699" s="223">
        <f>IFERROR(__xludf.DUMMYFUNCTION("""COMPUTED_VALUE"""),3000.0)</f>
        <v>3000</v>
      </c>
      <c r="I699" s="298"/>
      <c r="J699" s="223" t="str">
        <f>IFERROR(__xludf.DUMMYFUNCTION("""COMPUTED_VALUE"""),"Monthly")</f>
        <v>Monthly</v>
      </c>
      <c r="K699" s="317">
        <f>IFERROR(__xludf.DUMMYFUNCTION("""COMPUTED_VALUE"""),2023.01)</f>
        <v>2023.01</v>
      </c>
      <c r="L699" s="298"/>
      <c r="M699" s="223"/>
      <c r="N699" s="223"/>
      <c r="O699" s="223"/>
      <c r="P699" s="223"/>
      <c r="Q699" s="223"/>
      <c r="R699" s="223"/>
      <c r="S699" s="223"/>
      <c r="T699" s="223"/>
      <c r="U699" s="223"/>
      <c r="V699" s="223"/>
      <c r="W699" s="223"/>
      <c r="X699" s="223"/>
      <c r="Y699" s="223"/>
      <c r="Z699" s="223"/>
    </row>
    <row r="700">
      <c r="A700" s="223" t="str">
        <f>IFERROR(__xludf.DUMMYFUNCTION("""COMPUTED_VALUE"""),"Anavara : Enhanced Hosting &amp; WordPress Support")</f>
        <v>Anavara : Enhanced Hosting &amp; WordPress Support</v>
      </c>
      <c r="B700" s="223" t="str">
        <f>IFERROR(__xludf.DUMMYFUNCTION("""COMPUTED_VALUE"""),"Anavara")</f>
        <v>Anavara</v>
      </c>
      <c r="C700" s="223" t="str">
        <f>IFERROR(__xludf.DUMMYFUNCTION("""COMPUTED_VALUE"""),"Enhanced Hosting &amp; WordPress Support")</f>
        <v>Enhanced Hosting &amp; WordPress Support</v>
      </c>
      <c r="D700" s="316">
        <f>IFERROR(__xludf.DUMMYFUNCTION("""COMPUTED_VALUE"""),44939.0)</f>
        <v>44939</v>
      </c>
      <c r="E700" s="298">
        <f>IFERROR(__xludf.DUMMYFUNCTION("""COMPUTED_VALUE"""),280.0)</f>
        <v>280</v>
      </c>
      <c r="F700" s="298">
        <f>IFERROR(__xludf.DUMMYFUNCTION("""COMPUTED_VALUE"""),8.71)</f>
        <v>8.71</v>
      </c>
      <c r="G700" s="298">
        <f>IFERROR(__xludf.DUMMYFUNCTION("""COMPUTED_VALUE"""),0.0)</f>
        <v>0</v>
      </c>
      <c r="H700" s="223">
        <f>IFERROR(__xludf.DUMMYFUNCTION("""COMPUTED_VALUE"""),271.29)</f>
        <v>271.29</v>
      </c>
      <c r="I700" s="298"/>
      <c r="J700" s="223" t="str">
        <f>IFERROR(__xludf.DUMMYFUNCTION("""COMPUTED_VALUE"""),"Monthly")</f>
        <v>Monthly</v>
      </c>
      <c r="K700" s="317">
        <f>IFERROR(__xludf.DUMMYFUNCTION("""COMPUTED_VALUE"""),2023.01)</f>
        <v>2023.01</v>
      </c>
      <c r="L700" s="298"/>
      <c r="M700" s="223"/>
      <c r="N700" s="223"/>
      <c r="O700" s="223"/>
      <c r="P700" s="223"/>
      <c r="Q700" s="223"/>
      <c r="R700" s="223"/>
      <c r="S700" s="223"/>
      <c r="T700" s="223"/>
      <c r="U700" s="223"/>
      <c r="V700" s="223"/>
      <c r="W700" s="223"/>
      <c r="X700" s="223"/>
      <c r="Y700" s="223"/>
      <c r="Z700" s="223"/>
    </row>
    <row r="701">
      <c r="A701" s="223" t="str">
        <f>IFERROR(__xludf.DUMMYFUNCTION("""COMPUTED_VALUE"""),"Booginhead : Monthly Services")</f>
        <v>Booginhead : Monthly Services</v>
      </c>
      <c r="B701" s="223" t="str">
        <f>IFERROR(__xludf.DUMMYFUNCTION("""COMPUTED_VALUE"""),"Booginhead")</f>
        <v>Booginhead</v>
      </c>
      <c r="C701" s="223" t="str">
        <f>IFERROR(__xludf.DUMMYFUNCTION("""COMPUTED_VALUE"""),"Monthly Services")</f>
        <v>Monthly Services</v>
      </c>
      <c r="D701" s="316">
        <f>IFERROR(__xludf.DUMMYFUNCTION("""COMPUTED_VALUE"""),44939.0)</f>
        <v>44939</v>
      </c>
      <c r="E701" s="298">
        <f>IFERROR(__xludf.DUMMYFUNCTION("""COMPUTED_VALUE"""),1683.5611000000001)</f>
        <v>1683.5611</v>
      </c>
      <c r="F701" s="298">
        <f>IFERROR(__xludf.DUMMYFUNCTION("""COMPUTED_VALUE"""),62.6802748)</f>
        <v>62.6802748</v>
      </c>
      <c r="G701" s="298">
        <f>IFERROR(__xludf.DUMMYFUNCTION("""COMPUTED_VALUE"""),324.17616504000006)</f>
        <v>324.176165</v>
      </c>
      <c r="H701" s="223">
        <f>IFERROR(__xludf.DUMMYFUNCTION("""COMPUTED_VALUE"""),1296.70466016)</f>
        <v>1296.70466</v>
      </c>
      <c r="I701" s="298"/>
      <c r="J701" s="223" t="str">
        <f>IFERROR(__xludf.DUMMYFUNCTION("""COMPUTED_VALUE"""),"Monthly")</f>
        <v>Monthly</v>
      </c>
      <c r="K701" s="317">
        <f>IFERROR(__xludf.DUMMYFUNCTION("""COMPUTED_VALUE"""),2023.01)</f>
        <v>2023.01</v>
      </c>
      <c r="L701" s="298"/>
      <c r="M701" s="223"/>
      <c r="N701" s="223"/>
      <c r="O701" s="223"/>
      <c r="P701" s="223"/>
      <c r="Q701" s="223"/>
      <c r="R701" s="223"/>
      <c r="S701" s="223"/>
      <c r="T701" s="223"/>
      <c r="U701" s="223"/>
      <c r="V701" s="223"/>
      <c r="W701" s="223"/>
      <c r="X701" s="223"/>
      <c r="Y701" s="223"/>
      <c r="Z701" s="223"/>
    </row>
    <row r="702">
      <c r="A702" s="223" t="str">
        <f>IFERROR(__xludf.DUMMYFUNCTION("""COMPUTED_VALUE"""),"New Growth Ecommerce Inc : Monthly Services")</f>
        <v>New Growth Ecommerce Inc : Monthly Services</v>
      </c>
      <c r="B702" s="223" t="str">
        <f>IFERROR(__xludf.DUMMYFUNCTION("""COMPUTED_VALUE"""),"New Growth Ecommerce Inc")</f>
        <v>New Growth Ecommerce Inc</v>
      </c>
      <c r="C702" s="223" t="str">
        <f>IFERROR(__xludf.DUMMYFUNCTION("""COMPUTED_VALUE"""),"Monthly Services")</f>
        <v>Monthly Services</v>
      </c>
      <c r="D702" s="316">
        <f>IFERROR(__xludf.DUMMYFUNCTION("""COMPUTED_VALUE"""),44939.0)</f>
        <v>44939</v>
      </c>
      <c r="E702" s="298">
        <f>IFERROR(__xludf.DUMMYFUNCTION("""COMPUTED_VALUE"""),5000.0)</f>
        <v>5000</v>
      </c>
      <c r="F702" s="298">
        <f>IFERROR(__xludf.DUMMYFUNCTION("""COMPUTED_VALUE"""),0.0)</f>
        <v>0</v>
      </c>
      <c r="G702" s="298">
        <f>IFERROR(__xludf.DUMMYFUNCTION("""COMPUTED_VALUE"""),0.0)</f>
        <v>0</v>
      </c>
      <c r="H702" s="223">
        <f>IFERROR(__xludf.DUMMYFUNCTION("""COMPUTED_VALUE"""),5000.0)</f>
        <v>5000</v>
      </c>
      <c r="I702" s="298"/>
      <c r="J702" s="223" t="str">
        <f>IFERROR(__xludf.DUMMYFUNCTION("""COMPUTED_VALUE"""),"Monthly")</f>
        <v>Monthly</v>
      </c>
      <c r="K702" s="317">
        <f>IFERROR(__xludf.DUMMYFUNCTION("""COMPUTED_VALUE"""),2023.01)</f>
        <v>2023.01</v>
      </c>
      <c r="L702" s="298"/>
      <c r="M702" s="223"/>
      <c r="N702" s="223"/>
      <c r="O702" s="223"/>
      <c r="P702" s="223"/>
      <c r="Q702" s="223"/>
      <c r="R702" s="223"/>
      <c r="S702" s="223"/>
      <c r="T702" s="223"/>
      <c r="U702" s="223"/>
      <c r="V702" s="223"/>
      <c r="W702" s="223"/>
      <c r="X702" s="223"/>
      <c r="Y702" s="223"/>
      <c r="Z702" s="223"/>
    </row>
    <row r="703">
      <c r="A703" s="223" t="str">
        <f>IFERROR(__xludf.DUMMYFUNCTION("""COMPUTED_VALUE"""),"OA Region 6 : Monthly Services")</f>
        <v>OA Region 6 : Monthly Services</v>
      </c>
      <c r="B703" s="223" t="str">
        <f>IFERROR(__xludf.DUMMYFUNCTION("""COMPUTED_VALUE"""),"OA Region 6")</f>
        <v>OA Region 6</v>
      </c>
      <c r="C703" s="223" t="str">
        <f>IFERROR(__xludf.DUMMYFUNCTION("""COMPUTED_VALUE"""),"Monthly Services")</f>
        <v>Monthly Services</v>
      </c>
      <c r="D703" s="316">
        <f>IFERROR(__xludf.DUMMYFUNCTION("""COMPUTED_VALUE"""),44939.0)</f>
        <v>44939</v>
      </c>
      <c r="E703" s="298">
        <f>IFERROR(__xludf.DUMMYFUNCTION("""COMPUTED_VALUE"""),452.31584999999995)</f>
        <v>452.31585</v>
      </c>
      <c r="F703" s="298">
        <f>IFERROR(__xludf.DUMMYFUNCTION("""COMPUTED_VALUE"""),17.123385749999997)</f>
        <v>17.12338575</v>
      </c>
      <c r="G703" s="298">
        <f>IFERROR(__xludf.DUMMYFUNCTION("""COMPUTED_VALUE"""),0.0)</f>
        <v>0</v>
      </c>
      <c r="H703" s="223">
        <f>IFERROR(__xludf.DUMMYFUNCTION("""COMPUTED_VALUE"""),435.19246424999994)</f>
        <v>435.1924643</v>
      </c>
      <c r="I703" s="298"/>
      <c r="J703" s="223" t="str">
        <f>IFERROR(__xludf.DUMMYFUNCTION("""COMPUTED_VALUE"""),"Monthly")</f>
        <v>Monthly</v>
      </c>
      <c r="K703" s="317">
        <f>IFERROR(__xludf.DUMMYFUNCTION("""COMPUTED_VALUE"""),2023.01)</f>
        <v>2023.01</v>
      </c>
      <c r="L703" s="298"/>
      <c r="M703" s="223"/>
      <c r="N703" s="223"/>
      <c r="O703" s="223"/>
      <c r="P703" s="223"/>
      <c r="Q703" s="223"/>
      <c r="R703" s="223"/>
      <c r="S703" s="223"/>
      <c r="T703" s="223"/>
      <c r="U703" s="223"/>
      <c r="V703" s="223"/>
      <c r="W703" s="223"/>
      <c r="X703" s="223"/>
      <c r="Y703" s="223"/>
      <c r="Z703" s="223"/>
    </row>
    <row r="704">
      <c r="A704" s="223" t="str">
        <f>IFERROR(__xludf.DUMMYFUNCTION("""COMPUTED_VALUE"""),"Tofino Resort + Marina : Monthly Services")</f>
        <v>Tofino Resort + Marina : Monthly Services</v>
      </c>
      <c r="B704" s="223" t="str">
        <f>IFERROR(__xludf.DUMMYFUNCTION("""COMPUTED_VALUE"""),"Tofino Resort + Marina")</f>
        <v>Tofino Resort + Marina</v>
      </c>
      <c r="C704" s="223" t="str">
        <f>IFERROR(__xludf.DUMMYFUNCTION("""COMPUTED_VALUE"""),"Monthly Services")</f>
        <v>Monthly Services</v>
      </c>
      <c r="D704" s="316">
        <f>IFERROR(__xludf.DUMMYFUNCTION("""COMPUTED_VALUE"""),44939.0)</f>
        <v>44939</v>
      </c>
      <c r="E704" s="298">
        <f>IFERROR(__xludf.DUMMYFUNCTION("""COMPUTED_VALUE"""),1600.0)</f>
        <v>1600</v>
      </c>
      <c r="F704" s="298">
        <f>IFERROR(__xludf.DUMMYFUNCTION("""COMPUTED_VALUE"""),49.78)</f>
        <v>49.78</v>
      </c>
      <c r="G704" s="298">
        <f>IFERROR(__xludf.DUMMYFUNCTION("""COMPUTED_VALUE"""),0.0)</f>
        <v>0</v>
      </c>
      <c r="H704" s="223">
        <f>IFERROR(__xludf.DUMMYFUNCTION("""COMPUTED_VALUE"""),1550.22)</f>
        <v>1550.22</v>
      </c>
      <c r="I704" s="298"/>
      <c r="J704" s="223" t="str">
        <f>IFERROR(__xludf.DUMMYFUNCTION("""COMPUTED_VALUE"""),"Monthly")</f>
        <v>Monthly</v>
      </c>
      <c r="K704" s="317">
        <f>IFERROR(__xludf.DUMMYFUNCTION("""COMPUTED_VALUE"""),2023.01)</f>
        <v>2023.01</v>
      </c>
      <c r="L704" s="298"/>
      <c r="M704" s="223"/>
      <c r="N704" s="223"/>
      <c r="O704" s="223"/>
      <c r="P704" s="223"/>
      <c r="Q704" s="223"/>
      <c r="R704" s="223"/>
      <c r="S704" s="223"/>
      <c r="T704" s="223"/>
      <c r="U704" s="223"/>
      <c r="V704" s="223"/>
      <c r="W704" s="223"/>
      <c r="X704" s="223"/>
      <c r="Y704" s="223"/>
      <c r="Z704" s="223"/>
    </row>
    <row r="705">
      <c r="A705" s="223" t="str">
        <f>IFERROR(__xludf.DUMMYFUNCTION("""COMPUTED_VALUE"""),"Viridian : Monthly Services")</f>
        <v>Viridian : Monthly Services</v>
      </c>
      <c r="B705" s="223" t="str">
        <f>IFERROR(__xludf.DUMMYFUNCTION("""COMPUTED_VALUE"""),"Viridian")</f>
        <v>Viridian</v>
      </c>
      <c r="C705" s="223" t="str">
        <f>IFERROR(__xludf.DUMMYFUNCTION("""COMPUTED_VALUE"""),"Monthly Services")</f>
        <v>Monthly Services</v>
      </c>
      <c r="D705" s="316">
        <f>IFERROR(__xludf.DUMMYFUNCTION("""COMPUTED_VALUE"""),44939.0)</f>
        <v>44939</v>
      </c>
      <c r="E705" s="298">
        <f>IFERROR(__xludf.DUMMYFUNCTION("""COMPUTED_VALUE"""),900.0)</f>
        <v>900</v>
      </c>
      <c r="F705" s="298">
        <f>IFERROR(__xludf.DUMMYFUNCTION("""COMPUTED_VALUE"""),0.0)</f>
        <v>0</v>
      </c>
      <c r="G705" s="298">
        <f>IFERROR(__xludf.DUMMYFUNCTION("""COMPUTED_VALUE"""),0.0)</f>
        <v>0</v>
      </c>
      <c r="H705" s="223">
        <f>IFERROR(__xludf.DUMMYFUNCTION("""COMPUTED_VALUE"""),900.0)</f>
        <v>900</v>
      </c>
      <c r="I705" s="298"/>
      <c r="J705" s="223" t="str">
        <f>IFERROR(__xludf.DUMMYFUNCTION("""COMPUTED_VALUE"""),"Monthly")</f>
        <v>Monthly</v>
      </c>
      <c r="K705" s="317">
        <f>IFERROR(__xludf.DUMMYFUNCTION("""COMPUTED_VALUE"""),2023.01)</f>
        <v>2023.01</v>
      </c>
      <c r="L705" s="298"/>
      <c r="M705" s="223"/>
      <c r="N705" s="223"/>
      <c r="O705" s="223"/>
      <c r="P705" s="223"/>
      <c r="Q705" s="223"/>
      <c r="R705" s="223"/>
      <c r="S705" s="223"/>
      <c r="T705" s="223"/>
      <c r="U705" s="223"/>
      <c r="V705" s="223"/>
      <c r="W705" s="223"/>
      <c r="X705" s="223"/>
      <c r="Y705" s="223"/>
      <c r="Z705" s="223"/>
    </row>
    <row r="706">
      <c r="A706" s="223" t="str">
        <f>IFERROR(__xludf.DUMMYFUNCTION("""COMPUTED_VALUE"""),"Canyon's Construction : Enhanced Hosting &amp; WordPress Support")</f>
        <v>Canyon's Construction : Enhanced Hosting &amp; WordPress Support</v>
      </c>
      <c r="B706" s="223" t="str">
        <f>IFERROR(__xludf.DUMMYFUNCTION("""COMPUTED_VALUE"""),"Canyon's Construction")</f>
        <v>Canyon's Construction</v>
      </c>
      <c r="C706" s="223" t="str">
        <f>IFERROR(__xludf.DUMMYFUNCTION("""COMPUTED_VALUE"""),"Enhanced Hosting &amp; WordPress Support")</f>
        <v>Enhanced Hosting &amp; WordPress Support</v>
      </c>
      <c r="D706" s="316">
        <f>IFERROR(__xludf.DUMMYFUNCTION("""COMPUTED_VALUE"""),44939.0)</f>
        <v>44939</v>
      </c>
      <c r="E706" s="298">
        <f>IFERROR(__xludf.DUMMYFUNCTION("""COMPUTED_VALUE"""),367.339)</f>
        <v>367.339</v>
      </c>
      <c r="F706" s="298">
        <f>IFERROR(__xludf.DUMMYFUNCTION("""COMPUTED_VALUE"""),13.985387)</f>
        <v>13.985387</v>
      </c>
      <c r="G706" s="298">
        <f>IFERROR(__xludf.DUMMYFUNCTION("""COMPUTED_VALUE"""),70.6707226)</f>
        <v>70.6707226</v>
      </c>
      <c r="H706" s="223">
        <f>IFERROR(__xludf.DUMMYFUNCTION("""COMPUTED_VALUE"""),282.6828904)</f>
        <v>282.6828904</v>
      </c>
      <c r="I706" s="298"/>
      <c r="J706" s="223" t="str">
        <f>IFERROR(__xludf.DUMMYFUNCTION("""COMPUTED_VALUE"""),"Monthly")</f>
        <v>Monthly</v>
      </c>
      <c r="K706" s="317">
        <f>IFERROR(__xludf.DUMMYFUNCTION("""COMPUTED_VALUE"""),2023.01)</f>
        <v>2023.01</v>
      </c>
      <c r="L706" s="298"/>
      <c r="M706" s="223"/>
      <c r="N706" s="223"/>
      <c r="O706" s="223"/>
      <c r="P706" s="223"/>
      <c r="Q706" s="223"/>
      <c r="R706" s="223"/>
      <c r="S706" s="223"/>
      <c r="T706" s="223"/>
      <c r="U706" s="223"/>
      <c r="V706" s="223"/>
      <c r="W706" s="223"/>
      <c r="X706" s="223"/>
      <c r="Y706" s="223"/>
      <c r="Z706" s="223"/>
    </row>
    <row r="707">
      <c r="A707" s="223" t="str">
        <f>IFERROR(__xludf.DUMMYFUNCTION("""COMPUTED_VALUE"""),"Villa del Mar : Enhanced Hosting &amp; WordPress Support")</f>
        <v>Villa del Mar : Enhanced Hosting &amp; WordPress Support</v>
      </c>
      <c r="B707" s="223" t="str">
        <f>IFERROR(__xludf.DUMMYFUNCTION("""COMPUTED_VALUE"""),"Villa del Mar")</f>
        <v>Villa del Mar</v>
      </c>
      <c r="C707" s="223" t="str">
        <f>IFERROR(__xludf.DUMMYFUNCTION("""COMPUTED_VALUE"""),"Enhanced Hosting &amp; WordPress Support")</f>
        <v>Enhanced Hosting &amp; WordPress Support</v>
      </c>
      <c r="D707" s="316">
        <f>IFERROR(__xludf.DUMMYFUNCTION("""COMPUTED_VALUE"""),44939.0)</f>
        <v>44939</v>
      </c>
      <c r="E707" s="298">
        <f>IFERROR(__xludf.DUMMYFUNCTION("""COMPUTED_VALUE"""),367.5168)</f>
        <v>367.5168</v>
      </c>
      <c r="F707" s="298">
        <f>IFERROR(__xludf.DUMMYFUNCTION("""COMPUTED_VALUE"""),10.96)</f>
        <v>10.96</v>
      </c>
      <c r="G707" s="298">
        <f>IFERROR(__xludf.DUMMYFUNCTION("""COMPUTED_VALUE"""),0.0)</f>
        <v>0</v>
      </c>
      <c r="H707" s="223">
        <f>IFERROR(__xludf.DUMMYFUNCTION("""COMPUTED_VALUE"""),356.5568)</f>
        <v>356.5568</v>
      </c>
      <c r="I707" s="298"/>
      <c r="J707" s="223" t="str">
        <f>IFERROR(__xludf.DUMMYFUNCTION("""COMPUTED_VALUE"""),"Monthly")</f>
        <v>Monthly</v>
      </c>
      <c r="K707" s="317">
        <f>IFERROR(__xludf.DUMMYFUNCTION("""COMPUTED_VALUE"""),2023.01)</f>
        <v>2023.01</v>
      </c>
      <c r="L707" s="298"/>
      <c r="M707" s="223"/>
      <c r="N707" s="223"/>
      <c r="O707" s="223"/>
      <c r="P707" s="223"/>
      <c r="Q707" s="223"/>
      <c r="R707" s="223"/>
      <c r="S707" s="223"/>
      <c r="T707" s="223"/>
      <c r="U707" s="223"/>
      <c r="V707" s="223"/>
      <c r="W707" s="223"/>
      <c r="X707" s="223"/>
      <c r="Y707" s="223"/>
      <c r="Z707" s="223"/>
    </row>
    <row r="708">
      <c r="A708" s="223" t="str">
        <f>IFERROR(__xludf.DUMMYFUNCTION("""COMPUTED_VALUE"""),"Classic LifeCare : Monthly Google Ads (PPC) Management")</f>
        <v>Classic LifeCare : Monthly Google Ads (PPC) Management</v>
      </c>
      <c r="B708" s="223" t="str">
        <f>IFERROR(__xludf.DUMMYFUNCTION("""COMPUTED_VALUE"""),"Classic LifeCare")</f>
        <v>Classic LifeCare</v>
      </c>
      <c r="C708" s="223" t="str">
        <f>IFERROR(__xludf.DUMMYFUNCTION("""COMPUTED_VALUE"""),"Monthly Google Ads (PPC) Management")</f>
        <v>Monthly Google Ads (PPC) Management</v>
      </c>
      <c r="D708" s="316">
        <f>IFERROR(__xludf.DUMMYFUNCTION("""COMPUTED_VALUE"""),44939.0)</f>
        <v>44939</v>
      </c>
      <c r="E708" s="298">
        <f>IFERROR(__xludf.DUMMYFUNCTION("""COMPUTED_VALUE"""),500.0)</f>
        <v>500</v>
      </c>
      <c r="F708" s="298">
        <f>IFERROR(__xludf.DUMMYFUNCTION("""COMPUTED_VALUE"""),0.0)</f>
        <v>0</v>
      </c>
      <c r="G708" s="298">
        <f>IFERROR(__xludf.DUMMYFUNCTION("""COMPUTED_VALUE"""),0.0)</f>
        <v>0</v>
      </c>
      <c r="H708" s="223">
        <f>IFERROR(__xludf.DUMMYFUNCTION("""COMPUTED_VALUE"""),500.0)</f>
        <v>500</v>
      </c>
      <c r="I708" s="298"/>
      <c r="J708" s="223" t="str">
        <f>IFERROR(__xludf.DUMMYFUNCTION("""COMPUTED_VALUE"""),"Monthly")</f>
        <v>Monthly</v>
      </c>
      <c r="K708" s="317">
        <f>IFERROR(__xludf.DUMMYFUNCTION("""COMPUTED_VALUE"""),2023.01)</f>
        <v>2023.01</v>
      </c>
      <c r="L708" s="298"/>
      <c r="M708" s="223"/>
      <c r="N708" s="223"/>
      <c r="O708" s="223"/>
      <c r="P708" s="223"/>
      <c r="Q708" s="223"/>
      <c r="R708" s="223"/>
      <c r="S708" s="223"/>
      <c r="T708" s="223"/>
      <c r="U708" s="223"/>
      <c r="V708" s="223"/>
      <c r="W708" s="223"/>
      <c r="X708" s="223"/>
      <c r="Y708" s="223"/>
      <c r="Z708" s="223"/>
    </row>
    <row r="709">
      <c r="A709" s="223" t="str">
        <f>IFERROR(__xludf.DUMMYFUNCTION("""COMPUTED_VALUE"""),"Ultimate Tools : Monthly SEO &amp; PPC Management")</f>
        <v>Ultimate Tools : Monthly SEO &amp; PPC Management</v>
      </c>
      <c r="B709" s="223" t="str">
        <f>IFERROR(__xludf.DUMMYFUNCTION("""COMPUTED_VALUE"""),"Ultimate Tools")</f>
        <v>Ultimate Tools</v>
      </c>
      <c r="C709" s="223" t="str">
        <f>IFERROR(__xludf.DUMMYFUNCTION("""COMPUTED_VALUE"""),"Monthly SEO &amp; PPC Management")</f>
        <v>Monthly SEO &amp; PPC Management</v>
      </c>
      <c r="D709" s="316">
        <f>IFERROR(__xludf.DUMMYFUNCTION("""COMPUTED_VALUE"""),44939.0)</f>
        <v>44939</v>
      </c>
      <c r="E709" s="298">
        <f>IFERROR(__xludf.DUMMYFUNCTION("""COMPUTED_VALUE"""),2500.0)</f>
        <v>2500</v>
      </c>
      <c r="F709" s="298">
        <f>IFERROR(__xludf.DUMMYFUNCTION("""COMPUTED_VALUE"""),0.0)</f>
        <v>0</v>
      </c>
      <c r="G709" s="298">
        <f>IFERROR(__xludf.DUMMYFUNCTION("""COMPUTED_VALUE"""),0.0)</f>
        <v>0</v>
      </c>
      <c r="H709" s="223">
        <f>IFERROR(__xludf.DUMMYFUNCTION("""COMPUTED_VALUE"""),2500.0)</f>
        <v>2500</v>
      </c>
      <c r="I709" s="298"/>
      <c r="J709" s="223" t="str">
        <f>IFERROR(__xludf.DUMMYFUNCTION("""COMPUTED_VALUE"""),"Monthly")</f>
        <v>Monthly</v>
      </c>
      <c r="K709" s="317">
        <f>IFERROR(__xludf.DUMMYFUNCTION("""COMPUTED_VALUE"""),2023.01)</f>
        <v>2023.01</v>
      </c>
      <c r="L709" s="298"/>
      <c r="M709" s="223"/>
      <c r="N709" s="223"/>
      <c r="O709" s="223"/>
      <c r="P709" s="223"/>
      <c r="Q709" s="223"/>
      <c r="R709" s="223"/>
      <c r="S709" s="223"/>
      <c r="T709" s="223"/>
      <c r="U709" s="223"/>
      <c r="V709" s="223"/>
      <c r="W709" s="223"/>
      <c r="X709" s="223"/>
      <c r="Y709" s="223"/>
      <c r="Z709" s="223"/>
    </row>
    <row r="710">
      <c r="A710" s="223" t="str">
        <f>IFERROR(__xludf.DUMMYFUNCTION("""COMPUTED_VALUE"""),"Tofino Resort + Marina : 5 Hour Support Block")</f>
        <v>Tofino Resort + Marina : 5 Hour Support Block</v>
      </c>
      <c r="B710" s="223" t="str">
        <f>IFERROR(__xludf.DUMMYFUNCTION("""COMPUTED_VALUE"""),"Tofino Resort + Marina")</f>
        <v>Tofino Resort + Marina</v>
      </c>
      <c r="C710" s="223" t="str">
        <f>IFERROR(__xludf.DUMMYFUNCTION("""COMPUTED_VALUE"""),"5 Hour Support Block")</f>
        <v>5 Hour Support Block</v>
      </c>
      <c r="D710" s="316">
        <f>IFERROR(__xludf.DUMMYFUNCTION("""COMPUTED_VALUE"""),44939.0)</f>
        <v>44939</v>
      </c>
      <c r="E710" s="298">
        <f>IFERROR(__xludf.DUMMYFUNCTION("""COMPUTED_VALUE"""),600.0)</f>
        <v>600</v>
      </c>
      <c r="F710" s="298">
        <f>IFERROR(__xludf.DUMMYFUNCTION("""COMPUTED_VALUE"""),18.666900000000002)</f>
        <v>18.6669</v>
      </c>
      <c r="G710" s="298">
        <f>IFERROR(__xludf.DUMMYFUNCTION("""COMPUTED_VALUE"""),0.0)</f>
        <v>0</v>
      </c>
      <c r="H710" s="223">
        <f>IFERROR(__xludf.DUMMYFUNCTION("""COMPUTED_VALUE"""),581.3331)</f>
        <v>581.3331</v>
      </c>
      <c r="I710" s="298"/>
      <c r="J710" s="223" t="str">
        <f>IFERROR(__xludf.DUMMYFUNCTION("""COMPUTED_VALUE"""),"One-Time")</f>
        <v>One-Time</v>
      </c>
      <c r="K710" s="317">
        <f>IFERROR(__xludf.DUMMYFUNCTION("""COMPUTED_VALUE"""),2023.0)</f>
        <v>2023</v>
      </c>
      <c r="L710" s="298"/>
      <c r="M710" s="223"/>
      <c r="N710" s="223"/>
      <c r="O710" s="223"/>
      <c r="P710" s="223"/>
      <c r="Q710" s="223"/>
      <c r="R710" s="223"/>
      <c r="S710" s="223"/>
      <c r="T710" s="223"/>
      <c r="U710" s="223"/>
      <c r="V710" s="223"/>
      <c r="W710" s="223"/>
      <c r="X710" s="223"/>
      <c r="Y710" s="223"/>
      <c r="Z710" s="223"/>
    </row>
    <row r="711">
      <c r="A711" s="223" t="str">
        <f>IFERROR(__xludf.DUMMYFUNCTION("""COMPUTED_VALUE"""),"Terra Insights : Monthly PPC")</f>
        <v>Terra Insights : Monthly PPC</v>
      </c>
      <c r="B711" s="223" t="str">
        <f>IFERROR(__xludf.DUMMYFUNCTION("""COMPUTED_VALUE"""),"Terra Insights")</f>
        <v>Terra Insights</v>
      </c>
      <c r="C711" s="223" t="str">
        <f>IFERROR(__xludf.DUMMYFUNCTION("""COMPUTED_VALUE"""),"Monthly PPC")</f>
        <v>Monthly PPC</v>
      </c>
      <c r="D711" s="316">
        <f>IFERROR(__xludf.DUMMYFUNCTION("""COMPUTED_VALUE"""),44972.0)</f>
        <v>44972</v>
      </c>
      <c r="E711" s="298">
        <f>IFERROR(__xludf.DUMMYFUNCTION("""COMPUTED_VALUE"""),2000.0)</f>
        <v>2000</v>
      </c>
      <c r="F711" s="298">
        <f>IFERROR(__xludf.DUMMYFUNCTION("""COMPUTED_VALUE"""),0.0)</f>
        <v>0</v>
      </c>
      <c r="G711" s="298">
        <f>IFERROR(__xludf.DUMMYFUNCTION("""COMPUTED_VALUE"""),0.0)</f>
        <v>0</v>
      </c>
      <c r="H711" s="223">
        <f>IFERROR(__xludf.DUMMYFUNCTION("""COMPUTED_VALUE"""),2000.0)</f>
        <v>2000</v>
      </c>
      <c r="I711" s="298"/>
      <c r="J711" s="223" t="str">
        <f>IFERROR(__xludf.DUMMYFUNCTION("""COMPUTED_VALUE"""),"Monthly")</f>
        <v>Monthly</v>
      </c>
      <c r="K711" s="317">
        <f>IFERROR(__xludf.DUMMYFUNCTION("""COMPUTED_VALUE"""),2023.02)</f>
        <v>2023.02</v>
      </c>
      <c r="L711" s="298"/>
      <c r="M711" s="223"/>
      <c r="N711" s="223"/>
      <c r="O711" s="223"/>
      <c r="P711" s="223"/>
      <c r="Q711" s="223"/>
      <c r="R711" s="223"/>
      <c r="S711" s="223"/>
      <c r="T711" s="223"/>
      <c r="U711" s="223"/>
      <c r="V711" s="223"/>
      <c r="W711" s="223"/>
      <c r="X711" s="223"/>
      <c r="Y711" s="223"/>
      <c r="Z711" s="223"/>
    </row>
    <row r="712">
      <c r="A712" s="223" t="str">
        <f>IFERROR(__xludf.DUMMYFUNCTION("""COMPUTED_VALUE"""),"The Sands : 10 Hour General Support Block")</f>
        <v>The Sands : 10 Hour General Support Block</v>
      </c>
      <c r="B712" s="223" t="str">
        <f>IFERROR(__xludf.DUMMYFUNCTION("""COMPUTED_VALUE"""),"The Sands")</f>
        <v>The Sands</v>
      </c>
      <c r="C712" s="223" t="str">
        <f>IFERROR(__xludf.DUMMYFUNCTION("""COMPUTED_VALUE"""),"10 Hour General Support Block")</f>
        <v>10 Hour General Support Block</v>
      </c>
      <c r="D712" s="316">
        <f>IFERROR(__xludf.DUMMYFUNCTION("""COMPUTED_VALUE"""),44957.0)</f>
        <v>44957</v>
      </c>
      <c r="E712" s="298">
        <f>IFERROR(__xludf.DUMMYFUNCTION("""COMPUTED_VALUE"""),315.02000275200004)</f>
        <v>315.0200028</v>
      </c>
      <c r="F712" s="298">
        <f>IFERROR(__xludf.DUMMYFUNCTION("""COMPUTED_VALUE"""),0.0)</f>
        <v>0</v>
      </c>
      <c r="G712" s="298">
        <f>IFERROR(__xludf.DUMMYFUNCTION("""COMPUTED_VALUE"""),0.0)</f>
        <v>0</v>
      </c>
      <c r="H712" s="223">
        <f>IFERROR(__xludf.DUMMYFUNCTION("""COMPUTED_VALUE"""),315.02000275200004)</f>
        <v>315.0200028</v>
      </c>
      <c r="I712" s="298"/>
      <c r="J712" s="223" t="str">
        <f>IFERROR(__xludf.DUMMYFUNCTION("""COMPUTED_VALUE"""),"One-Time")</f>
        <v>One-Time</v>
      </c>
      <c r="K712" s="317">
        <f>IFERROR(__xludf.DUMMYFUNCTION("""COMPUTED_VALUE"""),2023.0)</f>
        <v>2023</v>
      </c>
      <c r="L712" s="298"/>
      <c r="M712" s="223"/>
      <c r="N712" s="223"/>
      <c r="O712" s="223"/>
      <c r="P712" s="223"/>
      <c r="Q712" s="223"/>
      <c r="R712" s="223"/>
      <c r="S712" s="223"/>
      <c r="T712" s="223"/>
      <c r="U712" s="223"/>
      <c r="V712" s="223"/>
      <c r="W712" s="223"/>
      <c r="X712" s="223"/>
      <c r="Y712" s="223"/>
      <c r="Z712" s="223"/>
    </row>
    <row r="713">
      <c r="A713" s="223" t="str">
        <f>IFERROR(__xludf.DUMMYFUNCTION("""COMPUTED_VALUE"""),"The Palms : 10 Hour General Support Block")</f>
        <v>The Palms : 10 Hour General Support Block</v>
      </c>
      <c r="B713" s="223" t="str">
        <f>IFERROR(__xludf.DUMMYFUNCTION("""COMPUTED_VALUE"""),"The Palms")</f>
        <v>The Palms</v>
      </c>
      <c r="C713" s="223" t="str">
        <f>IFERROR(__xludf.DUMMYFUNCTION("""COMPUTED_VALUE"""),"10 Hour General Support Block")</f>
        <v>10 Hour General Support Block</v>
      </c>
      <c r="D713" s="316">
        <f>IFERROR(__xludf.DUMMYFUNCTION("""COMPUTED_VALUE"""),44957.0)</f>
        <v>44957</v>
      </c>
      <c r="E713" s="298">
        <f>IFERROR(__xludf.DUMMYFUNCTION("""COMPUTED_VALUE"""),130.013814)</f>
        <v>130.013814</v>
      </c>
      <c r="F713" s="298">
        <f>IFERROR(__xludf.DUMMYFUNCTION("""COMPUTED_VALUE"""),0.0)</f>
        <v>0</v>
      </c>
      <c r="G713" s="298">
        <f>IFERROR(__xludf.DUMMYFUNCTION("""COMPUTED_VALUE"""),0.0)</f>
        <v>0</v>
      </c>
      <c r="H713" s="223">
        <f>IFERROR(__xludf.DUMMYFUNCTION("""COMPUTED_VALUE"""),130.013814)</f>
        <v>130.013814</v>
      </c>
      <c r="I713" s="298"/>
      <c r="J713" s="223" t="str">
        <f>IFERROR(__xludf.DUMMYFUNCTION("""COMPUTED_VALUE"""),"One-Time")</f>
        <v>One-Time</v>
      </c>
      <c r="K713" s="317">
        <f>IFERROR(__xludf.DUMMYFUNCTION("""COMPUTED_VALUE"""),2023.0)</f>
        <v>2023</v>
      </c>
      <c r="L713" s="298"/>
      <c r="M713" s="223"/>
      <c r="N713" s="223"/>
      <c r="O713" s="223"/>
      <c r="P713" s="223"/>
      <c r="Q713" s="223"/>
      <c r="R713" s="223"/>
      <c r="S713" s="223"/>
      <c r="T713" s="223"/>
      <c r="U713" s="223"/>
      <c r="V713" s="223"/>
      <c r="W713" s="223"/>
      <c r="X713" s="223"/>
      <c r="Y713" s="223"/>
      <c r="Z713" s="223"/>
    </row>
    <row r="714">
      <c r="A714" s="223" t="str">
        <f>IFERROR(__xludf.DUMMYFUNCTION("""COMPUTED_VALUE"""),"Anook Athletics : Monthly Services")</f>
        <v>Anook Athletics : Monthly Services</v>
      </c>
      <c r="B714" s="223" t="str">
        <f>IFERROR(__xludf.DUMMYFUNCTION("""COMPUTED_VALUE"""),"Anook Athletics")</f>
        <v>Anook Athletics</v>
      </c>
      <c r="C714" s="223" t="str">
        <f>IFERROR(__xludf.DUMMYFUNCTION("""COMPUTED_VALUE"""),"Monthly Services")</f>
        <v>Monthly Services</v>
      </c>
      <c r="D714" s="316">
        <f>IFERROR(__xludf.DUMMYFUNCTION("""COMPUTED_VALUE"""),44957.0)</f>
        <v>44957</v>
      </c>
      <c r="E714" s="298">
        <f>IFERROR(__xludf.DUMMYFUNCTION("""COMPUTED_VALUE"""),800.0)</f>
        <v>800</v>
      </c>
      <c r="F714" s="298">
        <f>IFERROR(__xludf.DUMMYFUNCTION("""COMPUTED_VALUE"""),24.89)</f>
        <v>24.89</v>
      </c>
      <c r="G714" s="298">
        <f>IFERROR(__xludf.DUMMYFUNCTION("""COMPUTED_VALUE"""),0.0)</f>
        <v>0</v>
      </c>
      <c r="H714" s="223">
        <f>IFERROR(__xludf.DUMMYFUNCTION("""COMPUTED_VALUE"""),775.11)</f>
        <v>775.11</v>
      </c>
      <c r="I714" s="298"/>
      <c r="J714" s="223" t="str">
        <f>IFERROR(__xludf.DUMMYFUNCTION("""COMPUTED_VALUE"""),"Monthly")</f>
        <v>Monthly</v>
      </c>
      <c r="K714" s="317">
        <f>IFERROR(__xludf.DUMMYFUNCTION("""COMPUTED_VALUE"""),2023.01)</f>
        <v>2023.01</v>
      </c>
      <c r="L714" s="298"/>
      <c r="M714" s="223"/>
      <c r="N714" s="223"/>
      <c r="O714" s="223"/>
      <c r="P714" s="223"/>
      <c r="Q714" s="223"/>
      <c r="R714" s="223"/>
      <c r="S714" s="223"/>
      <c r="T714" s="223"/>
      <c r="U714" s="223"/>
      <c r="V714" s="223"/>
      <c r="W714" s="223"/>
      <c r="X714" s="223"/>
      <c r="Y714" s="223"/>
      <c r="Z714" s="223"/>
    </row>
    <row r="715">
      <c r="A715" s="223" t="str">
        <f>IFERROR(__xludf.DUMMYFUNCTION("""COMPUTED_VALUE"""),"Availed Technologies : Monthly Services")</f>
        <v>Availed Technologies : Monthly Services</v>
      </c>
      <c r="B715" s="223" t="str">
        <f>IFERROR(__xludf.DUMMYFUNCTION("""COMPUTED_VALUE"""),"Availed Technologies")</f>
        <v>Availed Technologies</v>
      </c>
      <c r="C715" s="223" t="str">
        <f>IFERROR(__xludf.DUMMYFUNCTION("""COMPUTED_VALUE"""),"Monthly Services")</f>
        <v>Monthly Services</v>
      </c>
      <c r="D715" s="316">
        <f>IFERROR(__xludf.DUMMYFUNCTION("""COMPUTED_VALUE"""),44957.0)</f>
        <v>44957</v>
      </c>
      <c r="E715" s="298">
        <f>IFERROR(__xludf.DUMMYFUNCTION("""COMPUTED_VALUE"""),750.0)</f>
        <v>750</v>
      </c>
      <c r="F715" s="298">
        <f>IFERROR(__xludf.DUMMYFUNCTION("""COMPUTED_VALUE"""),23.33)</f>
        <v>23.33</v>
      </c>
      <c r="G715" s="298">
        <f>IFERROR(__xludf.DUMMYFUNCTION("""COMPUTED_VALUE"""),0.0)</f>
        <v>0</v>
      </c>
      <c r="H715" s="223">
        <f>IFERROR(__xludf.DUMMYFUNCTION("""COMPUTED_VALUE"""),726.67)</f>
        <v>726.67</v>
      </c>
      <c r="I715" s="298"/>
      <c r="J715" s="223" t="str">
        <f>IFERROR(__xludf.DUMMYFUNCTION("""COMPUTED_VALUE"""),"Monthly")</f>
        <v>Monthly</v>
      </c>
      <c r="K715" s="317">
        <f>IFERROR(__xludf.DUMMYFUNCTION("""COMPUTED_VALUE"""),2023.01)</f>
        <v>2023.01</v>
      </c>
      <c r="L715" s="298"/>
      <c r="M715" s="223"/>
      <c r="N715" s="223"/>
      <c r="O715" s="223"/>
      <c r="P715" s="223"/>
      <c r="Q715" s="223"/>
      <c r="R715" s="223"/>
      <c r="S715" s="223"/>
      <c r="T715" s="223"/>
      <c r="U715" s="223"/>
      <c r="V715" s="223"/>
      <c r="W715" s="223"/>
      <c r="X715" s="223"/>
      <c r="Y715" s="223"/>
      <c r="Z715" s="223"/>
    </row>
    <row r="716">
      <c r="A716" s="223" t="str">
        <f>IFERROR(__xludf.DUMMYFUNCTION("""COMPUTED_VALUE"""),"Community Financials : Monthly Services")</f>
        <v>Community Financials : Monthly Services</v>
      </c>
      <c r="B716" s="223" t="str">
        <f>IFERROR(__xludf.DUMMYFUNCTION("""COMPUTED_VALUE"""),"Community Financials")</f>
        <v>Community Financials</v>
      </c>
      <c r="C716" s="223" t="str">
        <f>IFERROR(__xludf.DUMMYFUNCTION("""COMPUTED_VALUE"""),"Monthly Services")</f>
        <v>Monthly Services</v>
      </c>
      <c r="D716" s="316">
        <f>IFERROR(__xludf.DUMMYFUNCTION("""COMPUTED_VALUE"""),44957.0)</f>
        <v>44957</v>
      </c>
      <c r="E716" s="298">
        <f>IFERROR(__xludf.DUMMYFUNCTION("""COMPUTED_VALUE"""),1936.4595)</f>
        <v>1936.4595</v>
      </c>
      <c r="F716" s="298">
        <f>IFERROR(__xludf.DUMMYFUNCTION("""COMPUTED_VALUE"""),72.03629339999999)</f>
        <v>72.0362934</v>
      </c>
      <c r="G716" s="298">
        <f>IFERROR(__xludf.DUMMYFUNCTION("""COMPUTED_VALUE"""),372.88464132)</f>
        <v>372.8846413</v>
      </c>
      <c r="H716" s="223">
        <f>IFERROR(__xludf.DUMMYFUNCTION("""COMPUTED_VALUE"""),1491.53856528)</f>
        <v>1491.538565</v>
      </c>
      <c r="I716" s="298"/>
      <c r="J716" s="223" t="str">
        <f>IFERROR(__xludf.DUMMYFUNCTION("""COMPUTED_VALUE"""),"Monthly")</f>
        <v>Monthly</v>
      </c>
      <c r="K716" s="317">
        <f>IFERROR(__xludf.DUMMYFUNCTION("""COMPUTED_VALUE"""),2023.01)</f>
        <v>2023.01</v>
      </c>
      <c r="L716" s="298"/>
      <c r="M716" s="223"/>
      <c r="N716" s="223"/>
      <c r="O716" s="223"/>
      <c r="P716" s="223"/>
      <c r="Q716" s="223"/>
      <c r="R716" s="223"/>
      <c r="S716" s="223"/>
      <c r="T716" s="223"/>
      <c r="U716" s="223"/>
      <c r="V716" s="223"/>
      <c r="W716" s="223"/>
      <c r="X716" s="223"/>
      <c r="Y716" s="223"/>
      <c r="Z716" s="223"/>
    </row>
    <row r="717">
      <c r="A717" s="223" t="str">
        <f>IFERROR(__xludf.DUMMYFUNCTION("""COMPUTED_VALUE"""),"Diversified Health : Monthly Services")</f>
        <v>Diversified Health : Monthly Services</v>
      </c>
      <c r="B717" s="223" t="str">
        <f>IFERROR(__xludf.DUMMYFUNCTION("""COMPUTED_VALUE"""),"Diversified Health")</f>
        <v>Diversified Health</v>
      </c>
      <c r="C717" s="223" t="str">
        <f>IFERROR(__xludf.DUMMYFUNCTION("""COMPUTED_VALUE"""),"Monthly Services")</f>
        <v>Monthly Services</v>
      </c>
      <c r="D717" s="316">
        <f>IFERROR(__xludf.DUMMYFUNCTION("""COMPUTED_VALUE"""),44957.0)</f>
        <v>44957</v>
      </c>
      <c r="E717" s="298">
        <f>IFERROR(__xludf.DUMMYFUNCTION("""COMPUTED_VALUE"""),1000.0)</f>
        <v>1000</v>
      </c>
      <c r="F717" s="298">
        <f>IFERROR(__xludf.DUMMYFUNCTION("""COMPUTED_VALUE"""),0.0)</f>
        <v>0</v>
      </c>
      <c r="G717" s="298">
        <f>IFERROR(__xludf.DUMMYFUNCTION("""COMPUTED_VALUE"""),0.0)</f>
        <v>0</v>
      </c>
      <c r="H717" s="223">
        <f>IFERROR(__xludf.DUMMYFUNCTION("""COMPUTED_VALUE"""),1000.0)</f>
        <v>1000</v>
      </c>
      <c r="I717" s="298"/>
      <c r="J717" s="223" t="str">
        <f>IFERROR(__xludf.DUMMYFUNCTION("""COMPUTED_VALUE"""),"Monthly")</f>
        <v>Monthly</v>
      </c>
      <c r="K717" s="317">
        <f>IFERROR(__xludf.DUMMYFUNCTION("""COMPUTED_VALUE"""),2023.01)</f>
        <v>2023.01</v>
      </c>
      <c r="L717" s="298"/>
      <c r="M717" s="223"/>
      <c r="N717" s="223"/>
      <c r="O717" s="223"/>
      <c r="P717" s="223"/>
      <c r="Q717" s="223"/>
      <c r="R717" s="223"/>
      <c r="S717" s="223"/>
      <c r="T717" s="223"/>
      <c r="U717" s="223"/>
      <c r="V717" s="223"/>
      <c r="W717" s="223"/>
      <c r="X717" s="223"/>
      <c r="Y717" s="223"/>
      <c r="Z717" s="223"/>
    </row>
    <row r="718">
      <c r="A718" s="223" t="str">
        <f>IFERROR(__xludf.DUMMYFUNCTION("""COMPUTED_VALUE"""),"Hastings House : Monthly Services")</f>
        <v>Hastings House : Monthly Services</v>
      </c>
      <c r="B718" s="223" t="str">
        <f>IFERROR(__xludf.DUMMYFUNCTION("""COMPUTED_VALUE"""),"Hastings House")</f>
        <v>Hastings House</v>
      </c>
      <c r="C718" s="223" t="str">
        <f>IFERROR(__xludf.DUMMYFUNCTION("""COMPUTED_VALUE"""),"Monthly Services")</f>
        <v>Monthly Services</v>
      </c>
      <c r="D718" s="316">
        <f>IFERROR(__xludf.DUMMYFUNCTION("""COMPUTED_VALUE"""),44957.0)</f>
        <v>44957</v>
      </c>
      <c r="E718" s="298">
        <f>IFERROR(__xludf.DUMMYFUNCTION("""COMPUTED_VALUE"""),1500.0)</f>
        <v>1500</v>
      </c>
      <c r="F718" s="298">
        <f>IFERROR(__xludf.DUMMYFUNCTION("""COMPUTED_VALUE"""),46.67)</f>
        <v>46.67</v>
      </c>
      <c r="G718" s="298">
        <f>IFERROR(__xludf.DUMMYFUNCTION("""COMPUTED_VALUE"""),217.99949999999998)</f>
        <v>217.9995</v>
      </c>
      <c r="H718" s="223">
        <f>IFERROR(__xludf.DUMMYFUNCTION("""COMPUTED_VALUE"""),1235.3305)</f>
        <v>1235.3305</v>
      </c>
      <c r="I718" s="298"/>
      <c r="J718" s="223" t="str">
        <f>IFERROR(__xludf.DUMMYFUNCTION("""COMPUTED_VALUE"""),"Monthly")</f>
        <v>Monthly</v>
      </c>
      <c r="K718" s="317">
        <f>IFERROR(__xludf.DUMMYFUNCTION("""COMPUTED_VALUE"""),2023.01)</f>
        <v>2023.01</v>
      </c>
      <c r="L718" s="298"/>
      <c r="M718" s="223"/>
      <c r="N718" s="223"/>
      <c r="O718" s="223"/>
      <c r="P718" s="223"/>
      <c r="Q718" s="223"/>
      <c r="R718" s="223"/>
      <c r="S718" s="223"/>
      <c r="T718" s="223"/>
      <c r="U718" s="223"/>
      <c r="V718" s="223"/>
      <c r="W718" s="223"/>
      <c r="X718" s="223"/>
      <c r="Y718" s="223"/>
      <c r="Z718" s="223"/>
    </row>
    <row r="719">
      <c r="A719" s="223" t="str">
        <f>IFERROR(__xludf.DUMMYFUNCTION("""COMPUTED_VALUE"""),"HSJ Lawyers : Monthly Services")</f>
        <v>HSJ Lawyers : Monthly Services</v>
      </c>
      <c r="B719" s="223" t="str">
        <f>IFERROR(__xludf.DUMMYFUNCTION("""COMPUTED_VALUE"""),"HSJ Lawyers")</f>
        <v>HSJ Lawyers</v>
      </c>
      <c r="C719" s="223" t="str">
        <f>IFERROR(__xludf.DUMMYFUNCTION("""COMPUTED_VALUE"""),"Monthly Services")</f>
        <v>Monthly Services</v>
      </c>
      <c r="D719" s="316">
        <f>IFERROR(__xludf.DUMMYFUNCTION("""COMPUTED_VALUE"""),44957.0)</f>
        <v>44957</v>
      </c>
      <c r="E719" s="298">
        <f>IFERROR(__xludf.DUMMYFUNCTION("""COMPUTED_VALUE"""),800.0)</f>
        <v>800</v>
      </c>
      <c r="F719" s="298">
        <f>IFERROR(__xludf.DUMMYFUNCTION("""COMPUTED_VALUE"""),0.0)</f>
        <v>0</v>
      </c>
      <c r="G719" s="298">
        <f>IFERROR(__xludf.DUMMYFUNCTION("""COMPUTED_VALUE"""),0.0)</f>
        <v>0</v>
      </c>
      <c r="H719" s="223">
        <f>IFERROR(__xludf.DUMMYFUNCTION("""COMPUTED_VALUE"""),800.0)</f>
        <v>800</v>
      </c>
      <c r="I719" s="298"/>
      <c r="J719" s="223" t="str">
        <f>IFERROR(__xludf.DUMMYFUNCTION("""COMPUTED_VALUE"""),"Monthly")</f>
        <v>Monthly</v>
      </c>
      <c r="K719" s="317">
        <f>IFERROR(__xludf.DUMMYFUNCTION("""COMPUTED_VALUE"""),2023.01)</f>
        <v>2023.01</v>
      </c>
      <c r="L719" s="298"/>
      <c r="M719" s="223"/>
      <c r="N719" s="223"/>
      <c r="O719" s="223"/>
      <c r="P719" s="223"/>
      <c r="Q719" s="223"/>
      <c r="R719" s="223"/>
      <c r="S719" s="223"/>
      <c r="T719" s="223"/>
      <c r="U719" s="223"/>
      <c r="V719" s="223"/>
      <c r="W719" s="223"/>
      <c r="X719" s="223"/>
      <c r="Y719" s="223"/>
      <c r="Z719" s="223"/>
    </row>
    <row r="720">
      <c r="A720" s="223" t="str">
        <f>IFERROR(__xludf.DUMMYFUNCTION("""COMPUTED_VALUE"""),"MortgagePal : Monthly Services")</f>
        <v>MortgagePal : Monthly Services</v>
      </c>
      <c r="B720" s="223" t="str">
        <f>IFERROR(__xludf.DUMMYFUNCTION("""COMPUTED_VALUE"""),"MortgagePal")</f>
        <v>MortgagePal</v>
      </c>
      <c r="C720" s="223" t="str">
        <f>IFERROR(__xludf.DUMMYFUNCTION("""COMPUTED_VALUE"""),"Monthly Services")</f>
        <v>Monthly Services</v>
      </c>
      <c r="D720" s="316">
        <f>IFERROR(__xludf.DUMMYFUNCTION("""COMPUTED_VALUE"""),44957.0)</f>
        <v>44957</v>
      </c>
      <c r="E720" s="298">
        <f>IFERROR(__xludf.DUMMYFUNCTION("""COMPUTED_VALUE"""),500.0)</f>
        <v>500</v>
      </c>
      <c r="F720" s="298">
        <f>IFERROR(__xludf.DUMMYFUNCTION("""COMPUTED_VALUE"""),15.56)</f>
        <v>15.56</v>
      </c>
      <c r="G720" s="298">
        <f>IFERROR(__xludf.DUMMYFUNCTION("""COMPUTED_VALUE"""),0.0)</f>
        <v>0</v>
      </c>
      <c r="H720" s="223">
        <f>IFERROR(__xludf.DUMMYFUNCTION("""COMPUTED_VALUE"""),484.44)</f>
        <v>484.44</v>
      </c>
      <c r="I720" s="298"/>
      <c r="J720" s="223" t="str">
        <f>IFERROR(__xludf.DUMMYFUNCTION("""COMPUTED_VALUE"""),"Monthly")</f>
        <v>Monthly</v>
      </c>
      <c r="K720" s="317">
        <f>IFERROR(__xludf.DUMMYFUNCTION("""COMPUTED_VALUE"""),2023.01)</f>
        <v>2023.01</v>
      </c>
      <c r="L720" s="298"/>
      <c r="M720" s="223"/>
      <c r="N720" s="223"/>
      <c r="O720" s="223"/>
      <c r="P720" s="223"/>
      <c r="Q720" s="223"/>
      <c r="R720" s="223"/>
      <c r="S720" s="223"/>
      <c r="T720" s="223"/>
      <c r="U720" s="223"/>
      <c r="V720" s="223"/>
      <c r="W720" s="223"/>
      <c r="X720" s="223"/>
      <c r="Y720" s="223"/>
      <c r="Z720" s="223"/>
    </row>
    <row r="721">
      <c r="A721" s="223" t="str">
        <f>IFERROR(__xludf.DUMMYFUNCTION("""COMPUTED_VALUE"""),"PMDI : Monthly Services")</f>
        <v>PMDI : Monthly Services</v>
      </c>
      <c r="B721" s="223" t="str">
        <f>IFERROR(__xludf.DUMMYFUNCTION("""COMPUTED_VALUE"""),"PMDI")</f>
        <v>PMDI</v>
      </c>
      <c r="C721" s="223" t="str">
        <f>IFERROR(__xludf.DUMMYFUNCTION("""COMPUTED_VALUE"""),"Monthly Services")</f>
        <v>Monthly Services</v>
      </c>
      <c r="D721" s="316">
        <f>IFERROR(__xludf.DUMMYFUNCTION("""COMPUTED_VALUE"""),44957.0)</f>
        <v>44957</v>
      </c>
      <c r="E721" s="298">
        <f>IFERROR(__xludf.DUMMYFUNCTION("""COMPUTED_VALUE"""),375.0)</f>
        <v>375</v>
      </c>
      <c r="F721" s="298">
        <f>IFERROR(__xludf.DUMMYFUNCTION("""COMPUTED_VALUE"""),0.0)</f>
        <v>0</v>
      </c>
      <c r="G721" s="298">
        <f>IFERROR(__xludf.DUMMYFUNCTION("""COMPUTED_VALUE"""),0.0)</f>
        <v>0</v>
      </c>
      <c r="H721" s="223">
        <f>IFERROR(__xludf.DUMMYFUNCTION("""COMPUTED_VALUE"""),375.0)</f>
        <v>375</v>
      </c>
      <c r="I721" s="298"/>
      <c r="J721" s="223" t="str">
        <f>IFERROR(__xludf.DUMMYFUNCTION("""COMPUTED_VALUE"""),"Monthly")</f>
        <v>Monthly</v>
      </c>
      <c r="K721" s="317">
        <f>IFERROR(__xludf.DUMMYFUNCTION("""COMPUTED_VALUE"""),2023.01)</f>
        <v>2023.01</v>
      </c>
      <c r="L721" s="298"/>
      <c r="M721" s="223"/>
      <c r="N721" s="223"/>
      <c r="O721" s="223"/>
      <c r="P721" s="223"/>
      <c r="Q721" s="223"/>
      <c r="R721" s="223"/>
      <c r="S721" s="223"/>
      <c r="T721" s="223"/>
      <c r="U721" s="223"/>
      <c r="V721" s="223"/>
      <c r="W721" s="223"/>
      <c r="X721" s="223"/>
      <c r="Y721" s="223"/>
      <c r="Z721" s="223"/>
    </row>
    <row r="722">
      <c r="A722" s="223" t="str">
        <f>IFERROR(__xludf.DUMMYFUNCTION("""COMPUTED_VALUE"""),"Rama Meditation Society : Premium Hosting + Support")</f>
        <v>Rama Meditation Society : Premium Hosting + Support</v>
      </c>
      <c r="B722" s="223" t="str">
        <f>IFERROR(__xludf.DUMMYFUNCTION("""COMPUTED_VALUE"""),"Rama Meditation Society")</f>
        <v>Rama Meditation Society</v>
      </c>
      <c r="C722" s="223" t="str">
        <f>IFERROR(__xludf.DUMMYFUNCTION("""COMPUTED_VALUE"""),"Premium Hosting + Support")</f>
        <v>Premium Hosting + Support</v>
      </c>
      <c r="D722" s="316">
        <f>IFERROR(__xludf.DUMMYFUNCTION("""COMPUTED_VALUE"""),44957.0)</f>
        <v>44957</v>
      </c>
      <c r="E722" s="298">
        <f>IFERROR(__xludf.DUMMYFUNCTION("""COMPUTED_VALUE"""),386.9136)</f>
        <v>386.9136</v>
      </c>
      <c r="F722" s="298">
        <f>IFERROR(__xludf.DUMMYFUNCTION("""COMPUTED_VALUE"""),14.7027168)</f>
        <v>14.7027168</v>
      </c>
      <c r="G722" s="298">
        <f>IFERROR(__xludf.DUMMYFUNCTION("""COMPUTED_VALUE"""),0.0)</f>
        <v>0</v>
      </c>
      <c r="H722" s="223">
        <f>IFERROR(__xludf.DUMMYFUNCTION("""COMPUTED_VALUE"""),372.21088319999996)</f>
        <v>372.2108832</v>
      </c>
      <c r="I722" s="298"/>
      <c r="J722" s="223" t="str">
        <f>IFERROR(__xludf.DUMMYFUNCTION("""COMPUTED_VALUE"""),"Monthly")</f>
        <v>Monthly</v>
      </c>
      <c r="K722" s="317">
        <f>IFERROR(__xludf.DUMMYFUNCTION("""COMPUTED_VALUE"""),2023.01)</f>
        <v>2023.01</v>
      </c>
      <c r="L722" s="298"/>
      <c r="M722" s="223"/>
      <c r="N722" s="223"/>
      <c r="O722" s="223"/>
      <c r="P722" s="223"/>
      <c r="Q722" s="223"/>
      <c r="R722" s="223"/>
      <c r="S722" s="223"/>
      <c r="T722" s="223"/>
      <c r="U722" s="223"/>
      <c r="V722" s="223"/>
      <c r="W722" s="223"/>
      <c r="X722" s="223"/>
      <c r="Y722" s="223"/>
      <c r="Z722" s="223"/>
    </row>
    <row r="723">
      <c r="A723" s="223" t="str">
        <f>IFERROR(__xludf.DUMMYFUNCTION("""COMPUTED_VALUE"""),"Red Seal : Monthly Services")</f>
        <v>Red Seal : Monthly Services</v>
      </c>
      <c r="B723" s="223" t="str">
        <f>IFERROR(__xludf.DUMMYFUNCTION("""COMPUTED_VALUE"""),"Red Seal")</f>
        <v>Red Seal</v>
      </c>
      <c r="C723" s="223" t="str">
        <f>IFERROR(__xludf.DUMMYFUNCTION("""COMPUTED_VALUE"""),"Monthly Services")</f>
        <v>Monthly Services</v>
      </c>
      <c r="D723" s="316">
        <f>IFERROR(__xludf.DUMMYFUNCTION("""COMPUTED_VALUE"""),44957.0)</f>
        <v>44957</v>
      </c>
      <c r="E723" s="298">
        <f>IFERROR(__xludf.DUMMYFUNCTION("""COMPUTED_VALUE"""),1150.0)</f>
        <v>1150</v>
      </c>
      <c r="F723" s="298">
        <f>IFERROR(__xludf.DUMMYFUNCTION("""COMPUTED_VALUE"""),0.0)</f>
        <v>0</v>
      </c>
      <c r="G723" s="298">
        <f>IFERROR(__xludf.DUMMYFUNCTION("""COMPUTED_VALUE"""),0.0)</f>
        <v>0</v>
      </c>
      <c r="H723" s="223">
        <f>IFERROR(__xludf.DUMMYFUNCTION("""COMPUTED_VALUE"""),1150.0)</f>
        <v>1150</v>
      </c>
      <c r="I723" s="298"/>
      <c r="J723" s="223" t="str">
        <f>IFERROR(__xludf.DUMMYFUNCTION("""COMPUTED_VALUE"""),"Monthly")</f>
        <v>Monthly</v>
      </c>
      <c r="K723" s="317">
        <f>IFERROR(__xludf.DUMMYFUNCTION("""COMPUTED_VALUE"""),2023.01)</f>
        <v>2023.01</v>
      </c>
      <c r="L723" s="298"/>
      <c r="M723" s="223"/>
      <c r="N723" s="223"/>
      <c r="O723" s="223"/>
      <c r="P723" s="223"/>
      <c r="Q723" s="223"/>
      <c r="R723" s="223"/>
      <c r="S723" s="223"/>
      <c r="T723" s="223"/>
      <c r="U723" s="223"/>
      <c r="V723" s="223"/>
      <c r="W723" s="223"/>
      <c r="X723" s="223"/>
      <c r="Y723" s="223"/>
      <c r="Z723" s="223"/>
    </row>
    <row r="724">
      <c r="A724" s="223" t="str">
        <f>IFERROR(__xludf.DUMMYFUNCTION("""COMPUTED_VALUE"""),"Service First : Monthly Services")</f>
        <v>Service First : Monthly Services</v>
      </c>
      <c r="B724" s="223" t="str">
        <f>IFERROR(__xludf.DUMMYFUNCTION("""COMPUTED_VALUE"""),"Service First")</f>
        <v>Service First</v>
      </c>
      <c r="C724" s="223" t="str">
        <f>IFERROR(__xludf.DUMMYFUNCTION("""COMPUTED_VALUE"""),"Monthly Services")</f>
        <v>Monthly Services</v>
      </c>
      <c r="D724" s="316">
        <f>IFERROR(__xludf.DUMMYFUNCTION("""COMPUTED_VALUE"""),44957.0)</f>
        <v>44957</v>
      </c>
      <c r="E724" s="298">
        <f>IFERROR(__xludf.DUMMYFUNCTION("""COMPUTED_VALUE"""),300.0)</f>
        <v>300</v>
      </c>
      <c r="F724" s="298">
        <f>IFERROR(__xludf.DUMMYFUNCTION("""COMPUTED_VALUE"""),9.33)</f>
        <v>9.33</v>
      </c>
      <c r="G724" s="298">
        <f>IFERROR(__xludf.DUMMYFUNCTION("""COMPUTED_VALUE"""),0.0)</f>
        <v>0</v>
      </c>
      <c r="H724" s="223">
        <f>IFERROR(__xludf.DUMMYFUNCTION("""COMPUTED_VALUE"""),290.67)</f>
        <v>290.67</v>
      </c>
      <c r="I724" s="298"/>
      <c r="J724" s="223" t="str">
        <f>IFERROR(__xludf.DUMMYFUNCTION("""COMPUTED_VALUE"""),"Monthly")</f>
        <v>Monthly</v>
      </c>
      <c r="K724" s="317">
        <f>IFERROR(__xludf.DUMMYFUNCTION("""COMPUTED_VALUE"""),2023.01)</f>
        <v>2023.01</v>
      </c>
      <c r="L724" s="298"/>
      <c r="M724" s="223"/>
      <c r="N724" s="223"/>
      <c r="O724" s="223"/>
      <c r="P724" s="223"/>
      <c r="Q724" s="223"/>
      <c r="R724" s="223"/>
      <c r="S724" s="223"/>
      <c r="T724" s="223"/>
      <c r="U724" s="223"/>
      <c r="V724" s="223"/>
      <c r="W724" s="223"/>
      <c r="X724" s="223"/>
      <c r="Y724" s="223"/>
      <c r="Z724" s="223"/>
    </row>
    <row r="725">
      <c r="A725" s="223" t="str">
        <f>IFERROR(__xludf.DUMMYFUNCTION("""COMPUTED_VALUE"""),"Spraggs : Monthly Services")</f>
        <v>Spraggs : Monthly Services</v>
      </c>
      <c r="B725" s="223" t="str">
        <f>IFERROR(__xludf.DUMMYFUNCTION("""COMPUTED_VALUE"""),"Spraggs")</f>
        <v>Spraggs</v>
      </c>
      <c r="C725" s="223" t="str">
        <f>IFERROR(__xludf.DUMMYFUNCTION("""COMPUTED_VALUE"""),"Monthly Services")</f>
        <v>Monthly Services</v>
      </c>
      <c r="D725" s="316">
        <f>IFERROR(__xludf.DUMMYFUNCTION("""COMPUTED_VALUE"""),44957.0)</f>
        <v>44957</v>
      </c>
      <c r="E725" s="298">
        <f>IFERROR(__xludf.DUMMYFUNCTION("""COMPUTED_VALUE"""),2500.0)</f>
        <v>2500</v>
      </c>
      <c r="F725" s="298">
        <f>IFERROR(__xludf.DUMMYFUNCTION("""COMPUTED_VALUE"""),77.78)</f>
        <v>77.78</v>
      </c>
      <c r="G725" s="298">
        <f>IFERROR(__xludf.DUMMYFUNCTION("""COMPUTED_VALUE"""),0.0)</f>
        <v>0</v>
      </c>
      <c r="H725" s="223">
        <f>IFERROR(__xludf.DUMMYFUNCTION("""COMPUTED_VALUE"""),2422.22)</f>
        <v>2422.22</v>
      </c>
      <c r="I725" s="298"/>
      <c r="J725" s="223" t="str">
        <f>IFERROR(__xludf.DUMMYFUNCTION("""COMPUTED_VALUE"""),"Monthly")</f>
        <v>Monthly</v>
      </c>
      <c r="K725" s="317">
        <f>IFERROR(__xludf.DUMMYFUNCTION("""COMPUTED_VALUE"""),2023.01)</f>
        <v>2023.01</v>
      </c>
      <c r="L725" s="298"/>
      <c r="M725" s="223"/>
      <c r="N725" s="223"/>
      <c r="O725" s="223"/>
      <c r="P725" s="223"/>
      <c r="Q725" s="223"/>
      <c r="R725" s="223"/>
      <c r="S725" s="223"/>
      <c r="T725" s="223"/>
      <c r="U725" s="223"/>
      <c r="V725" s="223"/>
      <c r="W725" s="223"/>
      <c r="X725" s="223"/>
      <c r="Y725" s="223"/>
      <c r="Z725" s="223"/>
    </row>
    <row r="726">
      <c r="A726" s="223" t="str">
        <f>IFERROR(__xludf.DUMMYFUNCTION("""COMPUTED_VALUE"""),"TisBest : Monthly Services")</f>
        <v>TisBest : Monthly Services</v>
      </c>
      <c r="B726" s="223" t="str">
        <f>IFERROR(__xludf.DUMMYFUNCTION("""COMPUTED_VALUE"""),"TisBest")</f>
        <v>TisBest</v>
      </c>
      <c r="C726" s="223" t="str">
        <f>IFERROR(__xludf.DUMMYFUNCTION("""COMPUTED_VALUE"""),"Monthly Services")</f>
        <v>Monthly Services</v>
      </c>
      <c r="D726" s="316">
        <f>IFERROR(__xludf.DUMMYFUNCTION("""COMPUTED_VALUE"""),44957.0)</f>
        <v>44957</v>
      </c>
      <c r="E726" s="298">
        <f>IFERROR(__xludf.DUMMYFUNCTION("""COMPUTED_VALUE"""),5958.224999999999)</f>
        <v>5958.225</v>
      </c>
      <c r="F726" s="298">
        <f>IFERROR(__xludf.DUMMYFUNCTION("""COMPUTED_VALUE"""),220.85154)</f>
        <v>220.85154</v>
      </c>
      <c r="G726" s="298">
        <f>IFERROR(__xludf.DUMMYFUNCTION("""COMPUTED_VALUE"""),1147.474692)</f>
        <v>1147.474692</v>
      </c>
      <c r="H726" s="223">
        <f>IFERROR(__xludf.DUMMYFUNCTION("""COMPUTED_VALUE"""),4589.898768)</f>
        <v>4589.898768</v>
      </c>
      <c r="I726" s="298"/>
      <c r="J726" s="223" t="str">
        <f>IFERROR(__xludf.DUMMYFUNCTION("""COMPUTED_VALUE"""),"Monthly")</f>
        <v>Monthly</v>
      </c>
      <c r="K726" s="317">
        <f>IFERROR(__xludf.DUMMYFUNCTION("""COMPUTED_VALUE"""),2023.01)</f>
        <v>2023.01</v>
      </c>
      <c r="L726" s="298"/>
      <c r="M726" s="223"/>
      <c r="N726" s="223"/>
      <c r="O726" s="223"/>
      <c r="P726" s="223"/>
      <c r="Q726" s="223"/>
      <c r="R726" s="223"/>
      <c r="S726" s="223"/>
      <c r="T726" s="223"/>
      <c r="U726" s="223"/>
      <c r="V726" s="223"/>
      <c r="W726" s="223"/>
      <c r="X726" s="223"/>
      <c r="Y726" s="223"/>
      <c r="Z726" s="223"/>
    </row>
    <row r="727">
      <c r="A727" s="223" t="str">
        <f>IFERROR(__xludf.DUMMYFUNCTION("""COMPUTED_VALUE"""),"Tuscany : Monthly Services")</f>
        <v>Tuscany : Monthly Services</v>
      </c>
      <c r="B727" s="223" t="str">
        <f>IFERROR(__xludf.DUMMYFUNCTION("""COMPUTED_VALUE"""),"Tuscany")</f>
        <v>Tuscany</v>
      </c>
      <c r="C727" s="223" t="str">
        <f>IFERROR(__xludf.DUMMYFUNCTION("""COMPUTED_VALUE"""),"Monthly Services")</f>
        <v>Monthly Services</v>
      </c>
      <c r="D727" s="316">
        <f>IFERROR(__xludf.DUMMYFUNCTION("""COMPUTED_VALUE"""),44957.0)</f>
        <v>44957</v>
      </c>
      <c r="E727" s="298">
        <f>IFERROR(__xludf.DUMMYFUNCTION("""COMPUTED_VALUE"""),2607.8250000000003)</f>
        <v>2607.825</v>
      </c>
      <c r="F727" s="298">
        <f>IFERROR(__xludf.DUMMYFUNCTION("""COMPUTED_VALUE"""),0.0)</f>
        <v>0</v>
      </c>
      <c r="G727" s="298">
        <f>IFERROR(__xludf.DUMMYFUNCTION("""COMPUTED_VALUE"""),0.0)</f>
        <v>0</v>
      </c>
      <c r="H727" s="223">
        <f>IFERROR(__xludf.DUMMYFUNCTION("""COMPUTED_VALUE"""),2607.8250000000003)</f>
        <v>2607.825</v>
      </c>
      <c r="I727" s="298"/>
      <c r="J727" s="223" t="str">
        <f>IFERROR(__xludf.DUMMYFUNCTION("""COMPUTED_VALUE"""),"Monthly")</f>
        <v>Monthly</v>
      </c>
      <c r="K727" s="317">
        <f>IFERROR(__xludf.DUMMYFUNCTION("""COMPUTED_VALUE"""),2023.01)</f>
        <v>2023.01</v>
      </c>
      <c r="L727" s="298"/>
      <c r="M727" s="223"/>
      <c r="N727" s="223"/>
      <c r="O727" s="223"/>
      <c r="P727" s="223"/>
      <c r="Q727" s="223"/>
      <c r="R727" s="223"/>
      <c r="S727" s="223"/>
      <c r="T727" s="223"/>
      <c r="U727" s="223"/>
      <c r="V727" s="223"/>
      <c r="W727" s="223"/>
      <c r="X727" s="223"/>
      <c r="Y727" s="223"/>
      <c r="Z727" s="223"/>
    </row>
    <row r="728">
      <c r="A728" s="223" t="str">
        <f>IFERROR(__xludf.DUMMYFUNCTION("""COMPUTED_VALUE"""),"Venetian : Monthly Services")</f>
        <v>Venetian : Monthly Services</v>
      </c>
      <c r="B728" s="223" t="str">
        <f>IFERROR(__xludf.DUMMYFUNCTION("""COMPUTED_VALUE"""),"Venetian")</f>
        <v>Venetian</v>
      </c>
      <c r="C728" s="223" t="str">
        <f>IFERROR(__xludf.DUMMYFUNCTION("""COMPUTED_VALUE"""),"Monthly Services")</f>
        <v>Monthly Services</v>
      </c>
      <c r="D728" s="316">
        <f>IFERROR(__xludf.DUMMYFUNCTION("""COMPUTED_VALUE"""),44957.0)</f>
        <v>44957</v>
      </c>
      <c r="E728" s="298">
        <f>IFERROR(__xludf.DUMMYFUNCTION("""COMPUTED_VALUE"""),2607.8250000000003)</f>
        <v>2607.825</v>
      </c>
      <c r="F728" s="298">
        <f>IFERROR(__xludf.DUMMYFUNCTION("""COMPUTED_VALUE"""),0.0)</f>
        <v>0</v>
      </c>
      <c r="G728" s="298">
        <f>IFERROR(__xludf.DUMMYFUNCTION("""COMPUTED_VALUE"""),0.0)</f>
        <v>0</v>
      </c>
      <c r="H728" s="223">
        <f>IFERROR(__xludf.DUMMYFUNCTION("""COMPUTED_VALUE"""),2607.8250000000003)</f>
        <v>2607.825</v>
      </c>
      <c r="I728" s="298"/>
      <c r="J728" s="223" t="str">
        <f>IFERROR(__xludf.DUMMYFUNCTION("""COMPUTED_VALUE"""),"Monthly")</f>
        <v>Monthly</v>
      </c>
      <c r="K728" s="317">
        <f>IFERROR(__xludf.DUMMYFUNCTION("""COMPUTED_VALUE"""),2023.01)</f>
        <v>2023.01</v>
      </c>
      <c r="L728" s="298"/>
      <c r="M728" s="223"/>
      <c r="N728" s="223"/>
      <c r="O728" s="223"/>
      <c r="P728" s="223"/>
      <c r="Q728" s="223"/>
      <c r="R728" s="223"/>
      <c r="S728" s="223"/>
      <c r="T728" s="223"/>
      <c r="U728" s="223"/>
      <c r="V728" s="223"/>
      <c r="W728" s="223"/>
      <c r="X728" s="223"/>
      <c r="Y728" s="223"/>
      <c r="Z728" s="223"/>
    </row>
    <row r="729">
      <c r="A729" s="223" t="str">
        <f>IFERROR(__xludf.DUMMYFUNCTION("""COMPUTED_VALUE"""),"Wallack's Art Supplies : Monthly Services")</f>
        <v>Wallack's Art Supplies : Monthly Services</v>
      </c>
      <c r="B729" s="223" t="str">
        <f>IFERROR(__xludf.DUMMYFUNCTION("""COMPUTED_VALUE"""),"Wallack's Art Supplies")</f>
        <v>Wallack's Art Supplies</v>
      </c>
      <c r="C729" s="223" t="str">
        <f>IFERROR(__xludf.DUMMYFUNCTION("""COMPUTED_VALUE"""),"Monthly Services")</f>
        <v>Monthly Services</v>
      </c>
      <c r="D729" s="316">
        <f>IFERROR(__xludf.DUMMYFUNCTION("""COMPUTED_VALUE"""),44957.0)</f>
        <v>44957</v>
      </c>
      <c r="E729" s="298">
        <f>IFERROR(__xludf.DUMMYFUNCTION("""COMPUTED_VALUE"""),700.0)</f>
        <v>700</v>
      </c>
      <c r="F729" s="298">
        <f>IFERROR(__xludf.DUMMYFUNCTION("""COMPUTED_VALUE"""),0.0)</f>
        <v>0</v>
      </c>
      <c r="G729" s="298">
        <f>IFERROR(__xludf.DUMMYFUNCTION("""COMPUTED_VALUE"""),0.0)</f>
        <v>0</v>
      </c>
      <c r="H729" s="223">
        <f>IFERROR(__xludf.DUMMYFUNCTION("""COMPUTED_VALUE"""),700.0)</f>
        <v>700</v>
      </c>
      <c r="I729" s="298"/>
      <c r="J729" s="223" t="str">
        <f>IFERROR(__xludf.DUMMYFUNCTION("""COMPUTED_VALUE"""),"Monthly")</f>
        <v>Monthly</v>
      </c>
      <c r="K729" s="317">
        <f>IFERROR(__xludf.DUMMYFUNCTION("""COMPUTED_VALUE"""),2023.01)</f>
        <v>2023.01</v>
      </c>
      <c r="L729" s="298"/>
      <c r="M729" s="223"/>
      <c r="N729" s="223"/>
      <c r="O729" s="223"/>
      <c r="P729" s="223"/>
      <c r="Q729" s="223"/>
      <c r="R729" s="223"/>
      <c r="S729" s="223"/>
      <c r="T729" s="223"/>
      <c r="U729" s="223"/>
      <c r="V729" s="223"/>
      <c r="W729" s="223"/>
      <c r="X729" s="223"/>
      <c r="Y729" s="223"/>
      <c r="Z729" s="223"/>
    </row>
    <row r="730">
      <c r="A730" s="223" t="str">
        <f>IFERROR(__xludf.DUMMYFUNCTION("""COMPUTED_VALUE"""),"Howard Fine Jewellers : Ongoing PPC and SEO Support")</f>
        <v>Howard Fine Jewellers : Ongoing PPC and SEO Support</v>
      </c>
      <c r="B730" s="223" t="str">
        <f>IFERROR(__xludf.DUMMYFUNCTION("""COMPUTED_VALUE"""),"Howard Fine Jewellers")</f>
        <v>Howard Fine Jewellers</v>
      </c>
      <c r="C730" s="223" t="str">
        <f>IFERROR(__xludf.DUMMYFUNCTION("""COMPUTED_VALUE"""),"Ongoing PPC and SEO Support")</f>
        <v>Ongoing PPC and SEO Support</v>
      </c>
      <c r="D730" s="316">
        <f>IFERROR(__xludf.DUMMYFUNCTION("""COMPUTED_VALUE"""),44957.0)</f>
        <v>44957</v>
      </c>
      <c r="E730" s="298">
        <f>IFERROR(__xludf.DUMMYFUNCTION("""COMPUTED_VALUE"""),1650.0)</f>
        <v>1650</v>
      </c>
      <c r="F730" s="298">
        <f>IFERROR(__xludf.DUMMYFUNCTION("""COMPUTED_VALUE"""),55.245135)</f>
        <v>55.245135</v>
      </c>
      <c r="G730" s="298">
        <f>IFERROR(__xludf.DUMMYFUNCTION("""COMPUTED_VALUE"""),0.0)</f>
        <v>0</v>
      </c>
      <c r="H730" s="223">
        <f>IFERROR(__xludf.DUMMYFUNCTION("""COMPUTED_VALUE"""),1594.754865)</f>
        <v>1594.754865</v>
      </c>
      <c r="I730" s="298"/>
      <c r="J730" s="223" t="str">
        <f>IFERROR(__xludf.DUMMYFUNCTION("""COMPUTED_VALUE"""),"Monthly")</f>
        <v>Monthly</v>
      </c>
      <c r="K730" s="317">
        <f>IFERROR(__xludf.DUMMYFUNCTION("""COMPUTED_VALUE"""),2023.01)</f>
        <v>2023.01</v>
      </c>
      <c r="L730" s="298"/>
      <c r="M730" s="223"/>
      <c r="N730" s="223"/>
      <c r="O730" s="223"/>
      <c r="P730" s="223"/>
      <c r="Q730" s="223"/>
      <c r="R730" s="223"/>
      <c r="S730" s="223"/>
      <c r="T730" s="223"/>
      <c r="U730" s="223"/>
      <c r="V730" s="223"/>
      <c r="W730" s="223"/>
      <c r="X730" s="223"/>
      <c r="Y730" s="223"/>
      <c r="Z730" s="223"/>
    </row>
    <row r="731">
      <c r="A731" s="223" t="str">
        <f>IFERROR(__xludf.DUMMYFUNCTION("""COMPUTED_VALUE"""),"Tugwell : Bi-monthly PPC Mgmt")</f>
        <v>Tugwell : Bi-monthly PPC Mgmt</v>
      </c>
      <c r="B731" s="223" t="str">
        <f>IFERROR(__xludf.DUMMYFUNCTION("""COMPUTED_VALUE"""),"Tugwell")</f>
        <v>Tugwell</v>
      </c>
      <c r="C731" s="223" t="str">
        <f>IFERROR(__xludf.DUMMYFUNCTION("""COMPUTED_VALUE"""),"Bi-monthly PPC Mgmt")</f>
        <v>Bi-monthly PPC Mgmt</v>
      </c>
      <c r="D731" s="316">
        <f>IFERROR(__xludf.DUMMYFUNCTION("""COMPUTED_VALUE"""),44957.0)</f>
        <v>44957</v>
      </c>
      <c r="E731" s="298">
        <f>IFERROR(__xludf.DUMMYFUNCTION("""COMPUTED_VALUE"""),400.0)</f>
        <v>400</v>
      </c>
      <c r="F731" s="298">
        <f>IFERROR(__xludf.DUMMYFUNCTION("""COMPUTED_VALUE"""),12.44)</f>
        <v>12.44</v>
      </c>
      <c r="G731" s="298">
        <f>IFERROR(__xludf.DUMMYFUNCTION("""COMPUTED_VALUE"""),0.0)</f>
        <v>0</v>
      </c>
      <c r="H731" s="223">
        <f>IFERROR(__xludf.DUMMYFUNCTION("""COMPUTED_VALUE"""),387.56)</f>
        <v>387.56</v>
      </c>
      <c r="I731" s="298"/>
      <c r="J731" s="223" t="str">
        <f>IFERROR(__xludf.DUMMYFUNCTION("""COMPUTED_VALUE"""),"Monthly")</f>
        <v>Monthly</v>
      </c>
      <c r="K731" s="317">
        <f>IFERROR(__xludf.DUMMYFUNCTION("""COMPUTED_VALUE"""),2023.01)</f>
        <v>2023.01</v>
      </c>
      <c r="L731" s="298"/>
      <c r="M731" s="223"/>
      <c r="N731" s="223"/>
      <c r="O731" s="223"/>
      <c r="P731" s="223"/>
      <c r="Q731" s="223"/>
      <c r="R731" s="223"/>
      <c r="S731" s="223"/>
      <c r="T731" s="223"/>
      <c r="U731" s="223"/>
      <c r="V731" s="223"/>
      <c r="W731" s="223"/>
      <c r="X731" s="223"/>
      <c r="Y731" s="223"/>
      <c r="Z731" s="223"/>
    </row>
    <row r="732">
      <c r="A732" s="223" t="str">
        <f>IFERROR(__xludf.DUMMYFUNCTION("""COMPUTED_VALUE"""),"Crisp Media : Monthly Genus Google PPC Mgmt")</f>
        <v>Crisp Media : Monthly Genus Google PPC Mgmt</v>
      </c>
      <c r="B732" s="223" t="str">
        <f>IFERROR(__xludf.DUMMYFUNCTION("""COMPUTED_VALUE"""),"Crisp Media")</f>
        <v>Crisp Media</v>
      </c>
      <c r="C732" s="223" t="str">
        <f>IFERROR(__xludf.DUMMYFUNCTION("""COMPUTED_VALUE"""),"Monthly Genus Google PPC Mgmt")</f>
        <v>Monthly Genus Google PPC Mgmt</v>
      </c>
      <c r="D732" s="316">
        <f>IFERROR(__xludf.DUMMYFUNCTION("""COMPUTED_VALUE"""),44957.0)</f>
        <v>44957</v>
      </c>
      <c r="E732" s="298">
        <f>IFERROR(__xludf.DUMMYFUNCTION("""COMPUTED_VALUE"""),600.0)</f>
        <v>600</v>
      </c>
      <c r="F732" s="298">
        <f>IFERROR(__xludf.DUMMYFUNCTION("""COMPUTED_VALUE"""),18.67)</f>
        <v>18.67</v>
      </c>
      <c r="G732" s="298">
        <f>IFERROR(__xludf.DUMMYFUNCTION("""COMPUTED_VALUE"""),0.0)</f>
        <v>0</v>
      </c>
      <c r="H732" s="223">
        <f>IFERROR(__xludf.DUMMYFUNCTION("""COMPUTED_VALUE"""),581.33)</f>
        <v>581.33</v>
      </c>
      <c r="I732" s="298"/>
      <c r="J732" s="223" t="str">
        <f>IFERROR(__xludf.DUMMYFUNCTION("""COMPUTED_VALUE"""),"Monthly")</f>
        <v>Monthly</v>
      </c>
      <c r="K732" s="317">
        <f>IFERROR(__xludf.DUMMYFUNCTION("""COMPUTED_VALUE"""),2023.01)</f>
        <v>2023.01</v>
      </c>
      <c r="L732" s="298"/>
      <c r="M732" s="223"/>
      <c r="N732" s="223"/>
      <c r="O732" s="223"/>
      <c r="P732" s="223"/>
      <c r="Q732" s="223"/>
      <c r="R732" s="223"/>
      <c r="S732" s="223"/>
      <c r="T732" s="223"/>
      <c r="U732" s="223"/>
      <c r="V732" s="223"/>
      <c r="W732" s="223"/>
      <c r="X732" s="223"/>
      <c r="Y732" s="223"/>
      <c r="Z732" s="223"/>
    </row>
    <row r="733">
      <c r="A733" s="223" t="str">
        <f>IFERROR(__xludf.DUMMYFUNCTION("""COMPUTED_VALUE"""),"Terra Insights : GA4 Upgrade")</f>
        <v>Terra Insights : GA4 Upgrade</v>
      </c>
      <c r="B733" s="223" t="str">
        <f>IFERROR(__xludf.DUMMYFUNCTION("""COMPUTED_VALUE"""),"Terra Insights")</f>
        <v>Terra Insights</v>
      </c>
      <c r="C733" s="223" t="str">
        <f>IFERROR(__xludf.DUMMYFUNCTION("""COMPUTED_VALUE"""),"GA4 Upgrade")</f>
        <v>GA4 Upgrade</v>
      </c>
      <c r="D733" s="316">
        <f>IFERROR(__xludf.DUMMYFUNCTION("""COMPUTED_VALUE"""),44957.0)</f>
        <v>44957</v>
      </c>
      <c r="E733" s="298">
        <f>IFERROR(__xludf.DUMMYFUNCTION("""COMPUTED_VALUE"""),900.0)</f>
        <v>900</v>
      </c>
      <c r="F733" s="298">
        <f>IFERROR(__xludf.DUMMYFUNCTION("""COMPUTED_VALUE"""),0.0)</f>
        <v>0</v>
      </c>
      <c r="G733" s="298">
        <f>IFERROR(__xludf.DUMMYFUNCTION("""COMPUTED_VALUE"""),0.0)</f>
        <v>0</v>
      </c>
      <c r="H733" s="223">
        <f>IFERROR(__xludf.DUMMYFUNCTION("""COMPUTED_VALUE"""),900.0)</f>
        <v>900</v>
      </c>
      <c r="I733" s="298"/>
      <c r="J733" s="223" t="str">
        <f>IFERROR(__xludf.DUMMYFUNCTION("""COMPUTED_VALUE"""),"One-Time")</f>
        <v>One-Time</v>
      </c>
      <c r="K733" s="317">
        <f>IFERROR(__xludf.DUMMYFUNCTION("""COMPUTED_VALUE"""),2023.0)</f>
        <v>2023</v>
      </c>
      <c r="L733" s="298"/>
      <c r="M733" s="223"/>
      <c r="N733" s="223"/>
      <c r="O733" s="223"/>
      <c r="P733" s="223"/>
      <c r="Q733" s="223"/>
      <c r="R733" s="223"/>
      <c r="S733" s="223"/>
      <c r="T733" s="223"/>
      <c r="U733" s="223"/>
      <c r="V733" s="223"/>
      <c r="W733" s="223"/>
      <c r="X733" s="223"/>
      <c r="Y733" s="223"/>
      <c r="Z733" s="223"/>
    </row>
    <row r="734">
      <c r="A734" s="223" t="str">
        <f>IFERROR(__xludf.DUMMYFUNCTION("""COMPUTED_VALUE"""),"Big Hammer Wines : Monthly PPC")</f>
        <v>Big Hammer Wines : Monthly PPC</v>
      </c>
      <c r="B734" s="223" t="str">
        <f>IFERROR(__xludf.DUMMYFUNCTION("""COMPUTED_VALUE"""),"Big Hammer Wines")</f>
        <v>Big Hammer Wines</v>
      </c>
      <c r="C734" s="223" t="str">
        <f>IFERROR(__xludf.DUMMYFUNCTION("""COMPUTED_VALUE"""),"Monthly PPC")</f>
        <v>Monthly PPC</v>
      </c>
      <c r="D734" s="316">
        <f>IFERROR(__xludf.DUMMYFUNCTION("""COMPUTED_VALUE"""),44957.0)</f>
        <v>44957</v>
      </c>
      <c r="E734" s="298">
        <f>IFERROR(__xludf.DUMMYFUNCTION("""COMPUTED_VALUE"""),1031.8472)</f>
        <v>1031.8472</v>
      </c>
      <c r="F734" s="298">
        <f>IFERROR(__xludf.DUMMYFUNCTION("""COMPUTED_VALUE"""),153.1003283)</f>
        <v>153.1003283</v>
      </c>
      <c r="G734" s="298">
        <f>IFERROR(__xludf.DUMMYFUNCTION("""COMPUTED_VALUE"""),0.0)</f>
        <v>0</v>
      </c>
      <c r="H734" s="223">
        <f>IFERROR(__xludf.DUMMYFUNCTION("""COMPUTED_VALUE"""),878.7468716999999)</f>
        <v>878.7468717</v>
      </c>
      <c r="I734" s="298"/>
      <c r="J734" s="223" t="str">
        <f>IFERROR(__xludf.DUMMYFUNCTION("""COMPUTED_VALUE"""),"Monthly")</f>
        <v>Monthly</v>
      </c>
      <c r="K734" s="317">
        <f>IFERROR(__xludf.DUMMYFUNCTION("""COMPUTED_VALUE"""),2023.01)</f>
        <v>2023.01</v>
      </c>
      <c r="L734" s="298"/>
      <c r="M734" s="223"/>
      <c r="N734" s="223"/>
      <c r="O734" s="223"/>
      <c r="P734" s="223"/>
      <c r="Q734" s="223"/>
      <c r="R734" s="223"/>
      <c r="S734" s="223"/>
      <c r="T734" s="223"/>
      <c r="U734" s="223"/>
      <c r="V734" s="223"/>
      <c r="W734" s="223"/>
      <c r="X734" s="223"/>
      <c r="Y734" s="223"/>
      <c r="Z734" s="223"/>
    </row>
    <row r="735">
      <c r="A735" s="223" t="str">
        <f>IFERROR(__xludf.DUMMYFUNCTION("""COMPUTED_VALUE"""),"Big Hammer Wines : Monthly PPC")</f>
        <v>Big Hammer Wines : Monthly PPC</v>
      </c>
      <c r="B735" s="223" t="str">
        <f>IFERROR(__xludf.DUMMYFUNCTION("""COMPUTED_VALUE"""),"Big Hammer Wines")</f>
        <v>Big Hammer Wines</v>
      </c>
      <c r="C735" s="223" t="str">
        <f>IFERROR(__xludf.DUMMYFUNCTION("""COMPUTED_VALUE"""),"Monthly PPC")</f>
        <v>Monthly PPC</v>
      </c>
      <c r="D735" s="316">
        <f>IFERROR(__xludf.DUMMYFUNCTION("""COMPUTED_VALUE"""),44957.0)</f>
        <v>44957</v>
      </c>
      <c r="E735" s="298">
        <f>IFERROR(__xludf.DUMMYFUNCTION("""COMPUTED_VALUE"""),4127.3888)</f>
        <v>4127.3888</v>
      </c>
      <c r="F735" s="298">
        <f>IFERROR(__xludf.DUMMYFUNCTION("""COMPUTED_VALUE"""),38.5652891)</f>
        <v>38.5652891</v>
      </c>
      <c r="G735" s="298">
        <f>IFERROR(__xludf.DUMMYFUNCTION("""COMPUTED_VALUE"""),0.0)</f>
        <v>0</v>
      </c>
      <c r="H735" s="223">
        <f>IFERROR(__xludf.DUMMYFUNCTION("""COMPUTED_VALUE"""),4088.8235108999997)</f>
        <v>4088.823511</v>
      </c>
      <c r="I735" s="298"/>
      <c r="J735" s="223" t="str">
        <f>IFERROR(__xludf.DUMMYFUNCTION("""COMPUTED_VALUE"""),"Monthly")</f>
        <v>Monthly</v>
      </c>
      <c r="K735" s="317">
        <f>IFERROR(__xludf.DUMMYFUNCTION("""COMPUTED_VALUE"""),2023.01)</f>
        <v>2023.01</v>
      </c>
      <c r="L735" s="298"/>
      <c r="M735" s="223"/>
      <c r="N735" s="223"/>
      <c r="O735" s="223"/>
      <c r="P735" s="223"/>
      <c r="Q735" s="223"/>
      <c r="R735" s="223"/>
      <c r="S735" s="223"/>
      <c r="T735" s="223"/>
      <c r="U735" s="223"/>
      <c r="V735" s="223"/>
      <c r="W735" s="223"/>
      <c r="X735" s="223"/>
      <c r="Y735" s="223"/>
      <c r="Z735" s="223"/>
    </row>
    <row r="736">
      <c r="A736" s="223" t="str">
        <f>IFERROR(__xludf.DUMMYFUNCTION("""COMPUTED_VALUE"""),"Advisicon : Quarterly Website Maintenance Support")</f>
        <v>Advisicon : Quarterly Website Maintenance Support</v>
      </c>
      <c r="B736" s="223" t="str">
        <f>IFERROR(__xludf.DUMMYFUNCTION("""COMPUTED_VALUE"""),"Advisicon")</f>
        <v>Advisicon</v>
      </c>
      <c r="C736" s="223" t="str">
        <f>IFERROR(__xludf.DUMMYFUNCTION("""COMPUTED_VALUE"""),"Quarterly Website Maintenance Support")</f>
        <v>Quarterly Website Maintenance Support</v>
      </c>
      <c r="D736" s="316">
        <f>IFERROR(__xludf.DUMMYFUNCTION("""COMPUTED_VALUE"""),45044.0)</f>
        <v>45044</v>
      </c>
      <c r="E736" s="298">
        <f>IFERROR(__xludf.DUMMYFUNCTION("""COMPUTED_VALUE"""),194.73)</f>
        <v>194.73</v>
      </c>
      <c r="F736" s="298">
        <f>IFERROR(__xludf.DUMMYFUNCTION("""COMPUTED_VALUE"""),0.0)</f>
        <v>0</v>
      </c>
      <c r="G736" s="298">
        <f>IFERROR(__xludf.DUMMYFUNCTION("""COMPUTED_VALUE"""),0.0)</f>
        <v>0</v>
      </c>
      <c r="H736" s="223">
        <f>IFERROR(__xludf.DUMMYFUNCTION("""COMPUTED_VALUE"""),194.73)</f>
        <v>194.73</v>
      </c>
      <c r="I736" s="298"/>
      <c r="J736" s="223" t="str">
        <f>IFERROR(__xludf.DUMMYFUNCTION("""COMPUTED_VALUE"""),"Quarterly")</f>
        <v>Quarterly</v>
      </c>
      <c r="K736" s="317">
        <f>IFERROR(__xludf.DUMMYFUNCTION("""COMPUTED_VALUE"""),2023.0)</f>
        <v>2023</v>
      </c>
      <c r="L736" s="298"/>
      <c r="M736" s="223"/>
      <c r="N736" s="223"/>
      <c r="O736" s="223"/>
      <c r="P736" s="223"/>
      <c r="Q736" s="223"/>
      <c r="R736" s="223"/>
      <c r="S736" s="223"/>
      <c r="T736" s="223"/>
      <c r="U736" s="223"/>
      <c r="V736" s="223"/>
      <c r="W736" s="223"/>
      <c r="X736" s="223"/>
      <c r="Y736" s="223"/>
      <c r="Z736" s="223"/>
    </row>
    <row r="737">
      <c r="A737" s="223" t="str">
        <f>IFERROR(__xludf.DUMMYFUNCTION("""COMPUTED_VALUE"""),"VINN : Monthly PPC")</f>
        <v>VINN : Monthly PPC</v>
      </c>
      <c r="B737" s="223" t="str">
        <f>IFERROR(__xludf.DUMMYFUNCTION("""COMPUTED_VALUE"""),"VINN")</f>
        <v>VINN</v>
      </c>
      <c r="C737" s="223" t="str">
        <f>IFERROR(__xludf.DUMMYFUNCTION("""COMPUTED_VALUE"""),"Monthly PPC")</f>
        <v>Monthly PPC</v>
      </c>
      <c r="D737" s="316">
        <f>IFERROR(__xludf.DUMMYFUNCTION("""COMPUTED_VALUE"""),44959.0)</f>
        <v>44959</v>
      </c>
      <c r="E737" s="298">
        <f>IFERROR(__xludf.DUMMYFUNCTION("""COMPUTED_VALUE"""),7500.0)</f>
        <v>7500</v>
      </c>
      <c r="F737" s="298">
        <f>IFERROR(__xludf.DUMMYFUNCTION("""COMPUTED_VALUE"""),233.33625)</f>
        <v>233.33625</v>
      </c>
      <c r="G737" s="298">
        <f>IFERROR(__xludf.DUMMYFUNCTION("""COMPUTED_VALUE"""),0.0)</f>
        <v>0</v>
      </c>
      <c r="H737" s="223">
        <f>IFERROR(__xludf.DUMMYFUNCTION("""COMPUTED_VALUE"""),7266.66375)</f>
        <v>7266.66375</v>
      </c>
      <c r="I737" s="298"/>
      <c r="J737" s="223" t="str">
        <f>IFERROR(__xludf.DUMMYFUNCTION("""COMPUTED_VALUE"""),"Monthly")</f>
        <v>Monthly</v>
      </c>
      <c r="K737" s="317">
        <f>IFERROR(__xludf.DUMMYFUNCTION("""COMPUTED_VALUE"""),2023.02)</f>
        <v>2023.02</v>
      </c>
      <c r="L737" s="298"/>
      <c r="M737" s="223"/>
      <c r="N737" s="223"/>
      <c r="O737" s="223"/>
      <c r="P737" s="223"/>
      <c r="Q737" s="223"/>
      <c r="R737" s="223"/>
      <c r="S737" s="223"/>
      <c r="T737" s="223"/>
      <c r="U737" s="223"/>
      <c r="V737" s="223"/>
      <c r="W737" s="223"/>
      <c r="X737" s="223"/>
      <c r="Y737" s="223"/>
      <c r="Z737" s="223"/>
    </row>
    <row r="738">
      <c r="A738" s="223" t="str">
        <f>IFERROR(__xludf.DUMMYFUNCTION("""COMPUTED_VALUE"""),"Spring Activator : Ads and Analytics kickoff plus site support ")</f>
        <v>Spring Activator : Ads and Analytics kickoff plus site support </v>
      </c>
      <c r="B738" s="223" t="str">
        <f>IFERROR(__xludf.DUMMYFUNCTION("""COMPUTED_VALUE"""),"Spring Activator")</f>
        <v>Spring Activator</v>
      </c>
      <c r="C738" s="223" t="str">
        <f>IFERROR(__xludf.DUMMYFUNCTION("""COMPUTED_VALUE"""),"Ads and Analytics kickoff plus site support")</f>
        <v>Ads and Analytics kickoff plus site support</v>
      </c>
      <c r="D738" s="316">
        <f>IFERROR(__xludf.DUMMYFUNCTION("""COMPUTED_VALUE"""),44959.0)</f>
        <v>44959</v>
      </c>
      <c r="E738" s="298">
        <f>IFERROR(__xludf.DUMMYFUNCTION("""COMPUTED_VALUE"""),1000.0)</f>
        <v>1000</v>
      </c>
      <c r="F738" s="298">
        <f>IFERROR(__xludf.DUMMYFUNCTION("""COMPUTED_VALUE"""),0.0)</f>
        <v>0</v>
      </c>
      <c r="G738" s="298">
        <f>IFERROR(__xludf.DUMMYFUNCTION("""COMPUTED_VALUE"""),0.0)</f>
        <v>0</v>
      </c>
      <c r="H738" s="223">
        <f>IFERROR(__xludf.DUMMYFUNCTION("""COMPUTED_VALUE"""),1000.0)</f>
        <v>1000</v>
      </c>
      <c r="I738" s="298"/>
      <c r="J738" s="223" t="str">
        <f>IFERROR(__xludf.DUMMYFUNCTION("""COMPUTED_VALUE"""),"One time / 2 months")</f>
        <v>One time / 2 months</v>
      </c>
      <c r="K738" s="317">
        <f>IFERROR(__xludf.DUMMYFUNCTION("""COMPUTED_VALUE"""),2023.0)</f>
        <v>2023</v>
      </c>
      <c r="L738" s="298"/>
      <c r="M738" s="223"/>
      <c r="N738" s="223"/>
      <c r="O738" s="223"/>
      <c r="P738" s="223"/>
      <c r="Q738" s="223"/>
      <c r="R738" s="223"/>
      <c r="S738" s="223"/>
      <c r="T738" s="223"/>
      <c r="U738" s="223"/>
      <c r="V738" s="223"/>
      <c r="W738" s="223"/>
      <c r="X738" s="223"/>
      <c r="Y738" s="223"/>
      <c r="Z738" s="223"/>
    </row>
    <row r="739">
      <c r="A739" s="223" t="str">
        <f>IFERROR(__xludf.DUMMYFUNCTION("""COMPUTED_VALUE"""),"GreenLane Offroad : Review")</f>
        <v>GreenLane Offroad : Review</v>
      </c>
      <c r="B739" s="223" t="str">
        <f>IFERROR(__xludf.DUMMYFUNCTION("""COMPUTED_VALUE"""),"GreenLane Offroad")</f>
        <v>GreenLane Offroad</v>
      </c>
      <c r="C739" s="223" t="str">
        <f>IFERROR(__xludf.DUMMYFUNCTION("""COMPUTED_VALUE"""),"Review")</f>
        <v>Review</v>
      </c>
      <c r="D739" s="316">
        <f>IFERROR(__xludf.DUMMYFUNCTION("""COMPUTED_VALUE"""),44970.0)</f>
        <v>44970</v>
      </c>
      <c r="E739" s="298">
        <f>IFERROR(__xludf.DUMMYFUNCTION("""COMPUTED_VALUE"""),750.0)</f>
        <v>750</v>
      </c>
      <c r="F739" s="298">
        <f>IFERROR(__xludf.DUMMYFUNCTION("""COMPUTED_VALUE"""),23.33)</f>
        <v>23.33</v>
      </c>
      <c r="G739" s="298">
        <f>IFERROR(__xludf.DUMMYFUNCTION("""COMPUTED_VALUE"""),0.0)</f>
        <v>0</v>
      </c>
      <c r="H739" s="223">
        <f>IFERROR(__xludf.DUMMYFUNCTION("""COMPUTED_VALUE"""),726.67)</f>
        <v>726.67</v>
      </c>
      <c r="I739" s="298"/>
      <c r="J739" s="223" t="str">
        <f>IFERROR(__xludf.DUMMYFUNCTION("""COMPUTED_VALUE"""),"50% Deposit Prepaid")</f>
        <v>50% Deposit Prepaid</v>
      </c>
      <c r="K739" s="317">
        <f>IFERROR(__xludf.DUMMYFUNCTION("""COMPUTED_VALUE"""),2023.0)</f>
        <v>2023</v>
      </c>
      <c r="L739" s="298"/>
      <c r="M739" s="223"/>
      <c r="N739" s="223"/>
      <c r="O739" s="223"/>
      <c r="P739" s="223"/>
      <c r="Q739" s="223"/>
      <c r="R739" s="223"/>
      <c r="S739" s="223"/>
      <c r="T739" s="223"/>
      <c r="U739" s="223"/>
      <c r="V739" s="223"/>
      <c r="W739" s="223"/>
      <c r="X739" s="223"/>
      <c r="Y739" s="223"/>
      <c r="Z739" s="223"/>
    </row>
    <row r="740">
      <c r="A740" s="223" t="str">
        <f>IFERROR(__xludf.DUMMYFUNCTION("""COMPUTED_VALUE"""),"GreenLane Offroad : Review")</f>
        <v>GreenLane Offroad : Review</v>
      </c>
      <c r="B740" s="223" t="str">
        <f>IFERROR(__xludf.DUMMYFUNCTION("""COMPUTED_VALUE"""),"GreenLane Offroad")</f>
        <v>GreenLane Offroad</v>
      </c>
      <c r="C740" s="223" t="str">
        <f>IFERROR(__xludf.DUMMYFUNCTION("""COMPUTED_VALUE"""),"Review")</f>
        <v>Review</v>
      </c>
      <c r="D740" s="316">
        <f>IFERROR(__xludf.DUMMYFUNCTION("""COMPUTED_VALUE"""),45000.0)</f>
        <v>45000</v>
      </c>
      <c r="E740" s="298">
        <f>IFERROR(__xludf.DUMMYFUNCTION("""COMPUTED_VALUE"""),750.0)</f>
        <v>750</v>
      </c>
      <c r="F740" s="298">
        <f>IFERROR(__xludf.DUMMYFUNCTION("""COMPUTED_VALUE"""),23.33)</f>
        <v>23.33</v>
      </c>
      <c r="G740" s="298">
        <f>IFERROR(__xludf.DUMMYFUNCTION("""COMPUTED_VALUE"""),0.0)</f>
        <v>0</v>
      </c>
      <c r="H740" s="223">
        <f>IFERROR(__xludf.DUMMYFUNCTION("""COMPUTED_VALUE"""),726.67)</f>
        <v>726.67</v>
      </c>
      <c r="I740" s="298"/>
      <c r="J740" s="223" t="str">
        <f>IFERROR(__xludf.DUMMYFUNCTION("""COMPUTED_VALUE"""),"50% Final")</f>
        <v>50% Final</v>
      </c>
      <c r="K740" s="317">
        <f>IFERROR(__xludf.DUMMYFUNCTION("""COMPUTED_VALUE"""),2023.0)</f>
        <v>2023</v>
      </c>
      <c r="L740" s="298"/>
      <c r="M740" s="223"/>
      <c r="N740" s="223"/>
      <c r="O740" s="223"/>
      <c r="P740" s="223"/>
      <c r="Q740" s="223"/>
      <c r="R740" s="223"/>
      <c r="S740" s="223"/>
      <c r="T740" s="223"/>
      <c r="U740" s="223"/>
      <c r="V740" s="223"/>
      <c r="W740" s="223"/>
      <c r="X740" s="223"/>
      <c r="Y740" s="223"/>
      <c r="Z740" s="223"/>
    </row>
    <row r="741">
      <c r="A741" s="223" t="str">
        <f>IFERROR(__xludf.DUMMYFUNCTION("""COMPUTED_VALUE"""),"Booginhead : Monthly Services")</f>
        <v>Booginhead : Monthly Services</v>
      </c>
      <c r="B741" s="223" t="str">
        <f>IFERROR(__xludf.DUMMYFUNCTION("""COMPUTED_VALUE"""),"Booginhead")</f>
        <v>Booginhead</v>
      </c>
      <c r="C741" s="223" t="str">
        <f>IFERROR(__xludf.DUMMYFUNCTION("""COMPUTED_VALUE"""),"Monthly Services")</f>
        <v>Monthly Services</v>
      </c>
      <c r="D741" s="316">
        <f>IFERROR(__xludf.DUMMYFUNCTION("""COMPUTED_VALUE"""),44972.0)</f>
        <v>44972</v>
      </c>
      <c r="E741" s="298">
        <f>IFERROR(__xludf.DUMMYFUNCTION("""COMPUTED_VALUE"""),1849.14301)</f>
        <v>1849.14301</v>
      </c>
      <c r="F741" s="298">
        <f>IFERROR(__xludf.DUMMYFUNCTION("""COMPUTED_VALUE"""),68.80622347)</f>
        <v>68.80622347</v>
      </c>
      <c r="G741" s="298">
        <f>IFERROR(__xludf.DUMMYFUNCTION("""COMPUTED_VALUE"""),356.067357306)</f>
        <v>356.0673573</v>
      </c>
      <c r="H741" s="223">
        <f>IFERROR(__xludf.DUMMYFUNCTION("""COMPUTED_VALUE"""),1424.2694292239999)</f>
        <v>1424.269429</v>
      </c>
      <c r="I741" s="298"/>
      <c r="J741" s="223" t="str">
        <f>IFERROR(__xludf.DUMMYFUNCTION("""COMPUTED_VALUE"""),"Monthly")</f>
        <v>Monthly</v>
      </c>
      <c r="K741" s="317">
        <f>IFERROR(__xludf.DUMMYFUNCTION("""COMPUTED_VALUE"""),2023.02)</f>
        <v>2023.02</v>
      </c>
      <c r="L741" s="298"/>
      <c r="M741" s="223"/>
      <c r="N741" s="223"/>
      <c r="O741" s="223"/>
      <c r="P741" s="223"/>
      <c r="Q741" s="223"/>
      <c r="R741" s="223"/>
      <c r="S741" s="223"/>
      <c r="T741" s="223"/>
      <c r="U741" s="223"/>
      <c r="V741" s="223"/>
      <c r="W741" s="223"/>
      <c r="X741" s="223"/>
      <c r="Y741" s="223"/>
      <c r="Z741" s="223"/>
    </row>
    <row r="742">
      <c r="A742" s="223" t="str">
        <f>IFERROR(__xludf.DUMMYFUNCTION("""COMPUTED_VALUE"""),"New Growth Ecommerce Inc : Monthly Services")</f>
        <v>New Growth Ecommerce Inc : Monthly Services</v>
      </c>
      <c r="B742" s="223" t="str">
        <f>IFERROR(__xludf.DUMMYFUNCTION("""COMPUTED_VALUE"""),"New Growth Ecommerce Inc")</f>
        <v>New Growth Ecommerce Inc</v>
      </c>
      <c r="C742" s="223" t="str">
        <f>IFERROR(__xludf.DUMMYFUNCTION("""COMPUTED_VALUE"""),"Monthly Services")</f>
        <v>Monthly Services</v>
      </c>
      <c r="D742" s="316">
        <f>IFERROR(__xludf.DUMMYFUNCTION("""COMPUTED_VALUE"""),44972.0)</f>
        <v>44972</v>
      </c>
      <c r="E742" s="298">
        <f>IFERROR(__xludf.DUMMYFUNCTION("""COMPUTED_VALUE"""),5000.0)</f>
        <v>5000</v>
      </c>
      <c r="F742" s="298">
        <f>IFERROR(__xludf.DUMMYFUNCTION("""COMPUTED_VALUE"""),0.0)</f>
        <v>0</v>
      </c>
      <c r="G742" s="298">
        <f>IFERROR(__xludf.DUMMYFUNCTION("""COMPUTED_VALUE"""),0.0)</f>
        <v>0</v>
      </c>
      <c r="H742" s="223">
        <f>IFERROR(__xludf.DUMMYFUNCTION("""COMPUTED_VALUE"""),5000.0)</f>
        <v>5000</v>
      </c>
      <c r="I742" s="298"/>
      <c r="J742" s="223" t="str">
        <f>IFERROR(__xludf.DUMMYFUNCTION("""COMPUTED_VALUE"""),"Monthly")</f>
        <v>Monthly</v>
      </c>
      <c r="K742" s="317">
        <f>IFERROR(__xludf.DUMMYFUNCTION("""COMPUTED_VALUE"""),2023.02)</f>
        <v>2023.02</v>
      </c>
      <c r="L742" s="298"/>
      <c r="M742" s="223"/>
      <c r="N742" s="223"/>
      <c r="O742" s="223"/>
      <c r="P742" s="223"/>
      <c r="Q742" s="223"/>
      <c r="R742" s="223"/>
      <c r="S742" s="223"/>
      <c r="T742" s="223"/>
      <c r="U742" s="223"/>
      <c r="V742" s="223"/>
      <c r="W742" s="223"/>
      <c r="X742" s="223"/>
      <c r="Y742" s="223"/>
      <c r="Z742" s="223"/>
    </row>
    <row r="743">
      <c r="A743" s="223" t="str">
        <f>IFERROR(__xludf.DUMMYFUNCTION("""COMPUTED_VALUE"""),"OA Region 6 : Monthly Services")</f>
        <v>OA Region 6 : Monthly Services</v>
      </c>
      <c r="B743" s="223" t="str">
        <f>IFERROR(__xludf.DUMMYFUNCTION("""COMPUTED_VALUE"""),"OA Region 6")</f>
        <v>OA Region 6</v>
      </c>
      <c r="C743" s="223" t="str">
        <f>IFERROR(__xludf.DUMMYFUNCTION("""COMPUTED_VALUE"""),"Monthly Services")</f>
        <v>Monthly Services</v>
      </c>
      <c r="D743" s="316">
        <f>IFERROR(__xludf.DUMMYFUNCTION("""COMPUTED_VALUE"""),44972.0)</f>
        <v>44972</v>
      </c>
      <c r="E743" s="298">
        <f>IFERROR(__xludf.DUMMYFUNCTION("""COMPUTED_VALUE"""),461.04100000000005)</f>
        <v>461.041</v>
      </c>
      <c r="F743" s="298">
        <f>IFERROR(__xludf.DUMMYFUNCTION("""COMPUTED_VALUE"""),17.453695)</f>
        <v>17.453695</v>
      </c>
      <c r="G743" s="298">
        <f>IFERROR(__xludf.DUMMYFUNCTION("""COMPUTED_VALUE"""),0.0)</f>
        <v>0</v>
      </c>
      <c r="H743" s="223">
        <f>IFERROR(__xludf.DUMMYFUNCTION("""COMPUTED_VALUE"""),443.5873050000001)</f>
        <v>443.587305</v>
      </c>
      <c r="I743" s="298"/>
      <c r="J743" s="223" t="str">
        <f>IFERROR(__xludf.DUMMYFUNCTION("""COMPUTED_VALUE"""),"Monthly")</f>
        <v>Monthly</v>
      </c>
      <c r="K743" s="317">
        <f>IFERROR(__xludf.DUMMYFUNCTION("""COMPUTED_VALUE"""),2023.02)</f>
        <v>2023.02</v>
      </c>
      <c r="L743" s="298"/>
      <c r="M743" s="223"/>
      <c r="N743" s="223"/>
      <c r="O743" s="223"/>
      <c r="P743" s="223"/>
      <c r="Q743" s="223"/>
      <c r="R743" s="223"/>
      <c r="S743" s="223"/>
      <c r="T743" s="223"/>
      <c r="U743" s="223"/>
      <c r="V743" s="223"/>
      <c r="W743" s="223"/>
      <c r="X743" s="223"/>
      <c r="Y743" s="223"/>
      <c r="Z743" s="223"/>
    </row>
    <row r="744">
      <c r="A744" s="223" t="str">
        <f>IFERROR(__xludf.DUMMYFUNCTION("""COMPUTED_VALUE"""),"Tofino Resort + Marina : Monthly Services")</f>
        <v>Tofino Resort + Marina : Monthly Services</v>
      </c>
      <c r="B744" s="223" t="str">
        <f>IFERROR(__xludf.DUMMYFUNCTION("""COMPUTED_VALUE"""),"Tofino Resort + Marina")</f>
        <v>Tofino Resort + Marina</v>
      </c>
      <c r="C744" s="223" t="str">
        <f>IFERROR(__xludf.DUMMYFUNCTION("""COMPUTED_VALUE"""),"Monthly Services")</f>
        <v>Monthly Services</v>
      </c>
      <c r="D744" s="316">
        <f>IFERROR(__xludf.DUMMYFUNCTION("""COMPUTED_VALUE"""),44972.0)</f>
        <v>44972</v>
      </c>
      <c r="E744" s="298">
        <f>IFERROR(__xludf.DUMMYFUNCTION("""COMPUTED_VALUE"""),1600.0)</f>
        <v>1600</v>
      </c>
      <c r="F744" s="298">
        <f>IFERROR(__xludf.DUMMYFUNCTION("""COMPUTED_VALUE"""),49.78)</f>
        <v>49.78</v>
      </c>
      <c r="G744" s="298">
        <f>IFERROR(__xludf.DUMMYFUNCTION("""COMPUTED_VALUE"""),0.0)</f>
        <v>0</v>
      </c>
      <c r="H744" s="223">
        <f>IFERROR(__xludf.DUMMYFUNCTION("""COMPUTED_VALUE"""),1550.22)</f>
        <v>1550.22</v>
      </c>
      <c r="I744" s="298"/>
      <c r="J744" s="223" t="str">
        <f>IFERROR(__xludf.DUMMYFUNCTION("""COMPUTED_VALUE"""),"Monthly")</f>
        <v>Monthly</v>
      </c>
      <c r="K744" s="317">
        <f>IFERROR(__xludf.DUMMYFUNCTION("""COMPUTED_VALUE"""),2023.02)</f>
        <v>2023.02</v>
      </c>
      <c r="L744" s="298"/>
      <c r="M744" s="223"/>
      <c r="N744" s="223"/>
      <c r="O744" s="223"/>
      <c r="P744" s="223"/>
      <c r="Q744" s="223"/>
      <c r="R744" s="223"/>
      <c r="S744" s="223"/>
      <c r="T744" s="223"/>
      <c r="U744" s="223"/>
      <c r="V744" s="223"/>
      <c r="W744" s="223"/>
      <c r="X744" s="223"/>
      <c r="Y744" s="223"/>
      <c r="Z744" s="223"/>
    </row>
    <row r="745">
      <c r="A745" s="223" t="str">
        <f>IFERROR(__xludf.DUMMYFUNCTION("""COMPUTED_VALUE"""),"Viridian : Monthly Services")</f>
        <v>Viridian : Monthly Services</v>
      </c>
      <c r="B745" s="223" t="str">
        <f>IFERROR(__xludf.DUMMYFUNCTION("""COMPUTED_VALUE"""),"Viridian")</f>
        <v>Viridian</v>
      </c>
      <c r="C745" s="223" t="str">
        <f>IFERROR(__xludf.DUMMYFUNCTION("""COMPUTED_VALUE"""),"Monthly Services")</f>
        <v>Monthly Services</v>
      </c>
      <c r="D745" s="316">
        <f>IFERROR(__xludf.DUMMYFUNCTION("""COMPUTED_VALUE"""),44972.0)</f>
        <v>44972</v>
      </c>
      <c r="E745" s="298">
        <f>IFERROR(__xludf.DUMMYFUNCTION("""COMPUTED_VALUE"""),990.0)</f>
        <v>990</v>
      </c>
      <c r="F745" s="298">
        <f>IFERROR(__xludf.DUMMYFUNCTION("""COMPUTED_VALUE"""),0.0)</f>
        <v>0</v>
      </c>
      <c r="G745" s="298">
        <f>IFERROR(__xludf.DUMMYFUNCTION("""COMPUTED_VALUE"""),0.0)</f>
        <v>0</v>
      </c>
      <c r="H745" s="223">
        <f>IFERROR(__xludf.DUMMYFUNCTION("""COMPUTED_VALUE"""),990.0)</f>
        <v>990</v>
      </c>
      <c r="I745" s="298"/>
      <c r="J745" s="223" t="str">
        <f>IFERROR(__xludf.DUMMYFUNCTION("""COMPUTED_VALUE"""),"Monthly")</f>
        <v>Monthly</v>
      </c>
      <c r="K745" s="317">
        <f>IFERROR(__xludf.DUMMYFUNCTION("""COMPUTED_VALUE"""),2023.02)</f>
        <v>2023.02</v>
      </c>
      <c r="L745" s="298"/>
      <c r="M745" s="223"/>
      <c r="N745" s="223"/>
      <c r="O745" s="223"/>
      <c r="P745" s="223"/>
      <c r="Q745" s="223"/>
      <c r="R745" s="223"/>
      <c r="S745" s="223"/>
      <c r="T745" s="223"/>
      <c r="U745" s="223"/>
      <c r="V745" s="223"/>
      <c r="W745" s="223"/>
      <c r="X745" s="223"/>
      <c r="Y745" s="223"/>
      <c r="Z745" s="223"/>
    </row>
    <row r="746">
      <c r="A746" s="223" t="str">
        <f>IFERROR(__xludf.DUMMYFUNCTION("""COMPUTED_VALUE"""),"Canyon's Construction : Enhanced Hosting &amp; WordPress Support")</f>
        <v>Canyon's Construction : Enhanced Hosting &amp; WordPress Support</v>
      </c>
      <c r="B746" s="223" t="str">
        <f>IFERROR(__xludf.DUMMYFUNCTION("""COMPUTED_VALUE"""),"Canyon's Construction")</f>
        <v>Canyon's Construction</v>
      </c>
      <c r="C746" s="223" t="str">
        <f>IFERROR(__xludf.DUMMYFUNCTION("""COMPUTED_VALUE"""),"Enhanced Hosting &amp; WordPress Support")</f>
        <v>Enhanced Hosting &amp; WordPress Support</v>
      </c>
      <c r="D746" s="316">
        <f>IFERROR(__xludf.DUMMYFUNCTION("""COMPUTED_VALUE"""),44972.0)</f>
        <v>44972</v>
      </c>
      <c r="E746" s="298">
        <f>IFERROR(__xludf.DUMMYFUNCTION("""COMPUTED_VALUE"""),366.82295999999997)</f>
        <v>366.82296</v>
      </c>
      <c r="F746" s="298">
        <f>IFERROR(__xludf.DUMMYFUNCTION("""COMPUTED_VALUE"""),13.96547412)</f>
        <v>13.96547412</v>
      </c>
      <c r="G746" s="298">
        <f>IFERROR(__xludf.DUMMYFUNCTION("""COMPUTED_VALUE"""),70.571497176)</f>
        <v>70.57149718</v>
      </c>
      <c r="H746" s="223">
        <f>IFERROR(__xludf.DUMMYFUNCTION("""COMPUTED_VALUE"""),282.285988704)</f>
        <v>282.2859887</v>
      </c>
      <c r="I746" s="298"/>
      <c r="J746" s="223" t="str">
        <f>IFERROR(__xludf.DUMMYFUNCTION("""COMPUTED_VALUE"""),"Monthly")</f>
        <v>Monthly</v>
      </c>
      <c r="K746" s="317">
        <f>IFERROR(__xludf.DUMMYFUNCTION("""COMPUTED_VALUE"""),2023.02)</f>
        <v>2023.02</v>
      </c>
      <c r="L746" s="298"/>
      <c r="M746" s="223"/>
      <c r="N746" s="223"/>
      <c r="O746" s="223"/>
      <c r="P746" s="223"/>
      <c r="Q746" s="223"/>
      <c r="R746" s="223"/>
      <c r="S746" s="223"/>
      <c r="T746" s="223"/>
      <c r="U746" s="223"/>
      <c r="V746" s="223"/>
      <c r="W746" s="223"/>
      <c r="X746" s="223"/>
      <c r="Y746" s="223"/>
      <c r="Z746" s="223"/>
    </row>
    <row r="747">
      <c r="A747" s="223" t="str">
        <f>IFERROR(__xludf.DUMMYFUNCTION("""COMPUTED_VALUE"""),"Villa del Mar : Enhanced Hosting &amp; WordPress Support")</f>
        <v>Villa del Mar : Enhanced Hosting &amp; WordPress Support</v>
      </c>
      <c r="B747" s="223" t="str">
        <f>IFERROR(__xludf.DUMMYFUNCTION("""COMPUTED_VALUE"""),"Villa del Mar")</f>
        <v>Villa del Mar</v>
      </c>
      <c r="C747" s="223" t="str">
        <f>IFERROR(__xludf.DUMMYFUNCTION("""COMPUTED_VALUE"""),"Enhanced Hosting &amp; WordPress Support")</f>
        <v>Enhanced Hosting &amp; WordPress Support</v>
      </c>
      <c r="D747" s="316">
        <f>IFERROR(__xludf.DUMMYFUNCTION("""COMPUTED_VALUE"""),44972.0)</f>
        <v>44972</v>
      </c>
      <c r="E747" s="298">
        <f>IFERROR(__xludf.DUMMYFUNCTION("""COMPUTED_VALUE"""),369.19960000000003)</f>
        <v>369.1996</v>
      </c>
      <c r="F747" s="298">
        <f>IFERROR(__xludf.DUMMYFUNCTION("""COMPUTED_VALUE"""),11.01)</f>
        <v>11.01</v>
      </c>
      <c r="G747" s="298">
        <f>IFERROR(__xludf.DUMMYFUNCTION("""COMPUTED_VALUE"""),0.0)</f>
        <v>0</v>
      </c>
      <c r="H747" s="223">
        <f>IFERROR(__xludf.DUMMYFUNCTION("""COMPUTED_VALUE"""),358.18960000000004)</f>
        <v>358.1896</v>
      </c>
      <c r="I747" s="298"/>
      <c r="J747" s="223" t="str">
        <f>IFERROR(__xludf.DUMMYFUNCTION("""COMPUTED_VALUE"""),"Monthly")</f>
        <v>Monthly</v>
      </c>
      <c r="K747" s="317">
        <f>IFERROR(__xludf.DUMMYFUNCTION("""COMPUTED_VALUE"""),2023.02)</f>
        <v>2023.02</v>
      </c>
      <c r="L747" s="298"/>
      <c r="M747" s="223"/>
      <c r="N747" s="223"/>
      <c r="O747" s="223"/>
      <c r="P747" s="223"/>
      <c r="Q747" s="223"/>
      <c r="R747" s="223"/>
      <c r="S747" s="223"/>
      <c r="T747" s="223"/>
      <c r="U747" s="223"/>
      <c r="V747" s="223"/>
      <c r="W747" s="223"/>
      <c r="X747" s="223"/>
      <c r="Y747" s="223"/>
      <c r="Z747" s="223"/>
    </row>
    <row r="748">
      <c r="A748" s="223" t="str">
        <f>IFERROR(__xludf.DUMMYFUNCTION("""COMPUTED_VALUE"""),"Classic LifeCare : Monthly Google Ads (PPC) Management")</f>
        <v>Classic LifeCare : Monthly Google Ads (PPC) Management</v>
      </c>
      <c r="B748" s="223" t="str">
        <f>IFERROR(__xludf.DUMMYFUNCTION("""COMPUTED_VALUE"""),"Classic LifeCare")</f>
        <v>Classic LifeCare</v>
      </c>
      <c r="C748" s="223" t="str">
        <f>IFERROR(__xludf.DUMMYFUNCTION("""COMPUTED_VALUE"""),"Monthly Google Ads (PPC) Management")</f>
        <v>Monthly Google Ads (PPC) Management</v>
      </c>
      <c r="D748" s="316">
        <f>IFERROR(__xludf.DUMMYFUNCTION("""COMPUTED_VALUE"""),44972.0)</f>
        <v>44972</v>
      </c>
      <c r="E748" s="298">
        <f>IFERROR(__xludf.DUMMYFUNCTION("""COMPUTED_VALUE"""),500.0)</f>
        <v>500</v>
      </c>
      <c r="F748" s="298">
        <f>IFERROR(__xludf.DUMMYFUNCTION("""COMPUTED_VALUE"""),0.0)</f>
        <v>0</v>
      </c>
      <c r="G748" s="298">
        <f>IFERROR(__xludf.DUMMYFUNCTION("""COMPUTED_VALUE"""),0.0)</f>
        <v>0</v>
      </c>
      <c r="H748" s="223">
        <f>IFERROR(__xludf.DUMMYFUNCTION("""COMPUTED_VALUE"""),500.0)</f>
        <v>500</v>
      </c>
      <c r="I748" s="298"/>
      <c r="J748" s="223" t="str">
        <f>IFERROR(__xludf.DUMMYFUNCTION("""COMPUTED_VALUE"""),"Monthly")</f>
        <v>Monthly</v>
      </c>
      <c r="K748" s="317">
        <f>IFERROR(__xludf.DUMMYFUNCTION("""COMPUTED_VALUE"""),2023.02)</f>
        <v>2023.02</v>
      </c>
      <c r="L748" s="298"/>
      <c r="M748" s="223"/>
      <c r="N748" s="223"/>
      <c r="O748" s="223"/>
      <c r="P748" s="223"/>
      <c r="Q748" s="223"/>
      <c r="R748" s="223"/>
      <c r="S748" s="223"/>
      <c r="T748" s="223"/>
      <c r="U748" s="223"/>
      <c r="V748" s="223"/>
      <c r="W748" s="223"/>
      <c r="X748" s="223"/>
      <c r="Y748" s="223"/>
      <c r="Z748" s="223"/>
    </row>
    <row r="749">
      <c r="A749" s="223" t="str">
        <f>IFERROR(__xludf.DUMMYFUNCTION("""COMPUTED_VALUE"""),"Ultimate Tools : Monthly SEO &amp; PPC Management")</f>
        <v>Ultimate Tools : Monthly SEO &amp; PPC Management</v>
      </c>
      <c r="B749" s="223" t="str">
        <f>IFERROR(__xludf.DUMMYFUNCTION("""COMPUTED_VALUE"""),"Ultimate Tools")</f>
        <v>Ultimate Tools</v>
      </c>
      <c r="C749" s="223" t="str">
        <f>IFERROR(__xludf.DUMMYFUNCTION("""COMPUTED_VALUE"""),"Monthly SEO &amp; PPC Management")</f>
        <v>Monthly SEO &amp; PPC Management</v>
      </c>
      <c r="D749" s="316">
        <f>IFERROR(__xludf.DUMMYFUNCTION("""COMPUTED_VALUE"""),44972.0)</f>
        <v>44972</v>
      </c>
      <c r="E749" s="298">
        <f>IFERROR(__xludf.DUMMYFUNCTION("""COMPUTED_VALUE"""),2500.0)</f>
        <v>2500</v>
      </c>
      <c r="F749" s="298">
        <f>IFERROR(__xludf.DUMMYFUNCTION("""COMPUTED_VALUE"""),0.0)</f>
        <v>0</v>
      </c>
      <c r="G749" s="298">
        <f>IFERROR(__xludf.DUMMYFUNCTION("""COMPUTED_VALUE"""),0.0)</f>
        <v>0</v>
      </c>
      <c r="H749" s="223">
        <f>IFERROR(__xludf.DUMMYFUNCTION("""COMPUTED_VALUE"""),2500.0)</f>
        <v>2500</v>
      </c>
      <c r="I749" s="298"/>
      <c r="J749" s="223" t="str">
        <f>IFERROR(__xludf.DUMMYFUNCTION("""COMPUTED_VALUE"""),"Monthly")</f>
        <v>Monthly</v>
      </c>
      <c r="K749" s="317">
        <f>IFERROR(__xludf.DUMMYFUNCTION("""COMPUTED_VALUE"""),2023.02)</f>
        <v>2023.02</v>
      </c>
      <c r="L749" s="298"/>
      <c r="M749" s="223"/>
      <c r="N749" s="223"/>
      <c r="O749" s="223"/>
      <c r="P749" s="223"/>
      <c r="Q749" s="223"/>
      <c r="R749" s="223"/>
      <c r="S749" s="223"/>
      <c r="T749" s="223"/>
      <c r="U749" s="223"/>
      <c r="V749" s="223"/>
      <c r="W749" s="223"/>
      <c r="X749" s="223"/>
      <c r="Y749" s="223"/>
      <c r="Z749" s="223"/>
    </row>
    <row r="750">
      <c r="A750" s="223" t="str">
        <f>IFERROR(__xludf.DUMMYFUNCTION("""COMPUTED_VALUE"""),"McAllister Marketing : Copernic PPC / SEO")</f>
        <v>McAllister Marketing : Copernic PPC / SEO</v>
      </c>
      <c r="B750" s="223" t="str">
        <f>IFERROR(__xludf.DUMMYFUNCTION("""COMPUTED_VALUE"""),"McAllister Marketing")</f>
        <v>McAllister Marketing</v>
      </c>
      <c r="C750" s="223" t="str">
        <f>IFERROR(__xludf.DUMMYFUNCTION("""COMPUTED_VALUE"""),"Copernic PPC / SEO")</f>
        <v>Copernic PPC / SEO</v>
      </c>
      <c r="D750" s="316">
        <f>IFERROR(__xludf.DUMMYFUNCTION("""COMPUTED_VALUE"""),44972.0)</f>
        <v>44972</v>
      </c>
      <c r="E750" s="298">
        <f>IFERROR(__xludf.DUMMYFUNCTION("""COMPUTED_VALUE"""),3000.0)</f>
        <v>3000</v>
      </c>
      <c r="F750" s="298">
        <f>IFERROR(__xludf.DUMMYFUNCTION("""COMPUTED_VALUE"""),0.0)</f>
        <v>0</v>
      </c>
      <c r="G750" s="298">
        <f>IFERROR(__xludf.DUMMYFUNCTION("""COMPUTED_VALUE"""),0.0)</f>
        <v>0</v>
      </c>
      <c r="H750" s="223">
        <f>IFERROR(__xludf.DUMMYFUNCTION("""COMPUTED_VALUE"""),3000.0)</f>
        <v>3000</v>
      </c>
      <c r="I750" s="298"/>
      <c r="J750" s="223" t="str">
        <f>IFERROR(__xludf.DUMMYFUNCTION("""COMPUTED_VALUE"""),"Monthly")</f>
        <v>Monthly</v>
      </c>
      <c r="K750" s="317">
        <f>IFERROR(__xludf.DUMMYFUNCTION("""COMPUTED_VALUE"""),2023.02)</f>
        <v>2023.02</v>
      </c>
      <c r="L750" s="298"/>
      <c r="M750" s="223"/>
      <c r="N750" s="223"/>
      <c r="O750" s="223"/>
      <c r="P750" s="223"/>
      <c r="Q750" s="223"/>
      <c r="R750" s="223"/>
      <c r="S750" s="223"/>
      <c r="T750" s="223"/>
      <c r="U750" s="223"/>
      <c r="V750" s="223"/>
      <c r="W750" s="223"/>
      <c r="X750" s="223"/>
      <c r="Y750" s="223"/>
      <c r="Z750" s="223"/>
    </row>
    <row r="751">
      <c r="A751" s="223" t="str">
        <f>IFERROR(__xludf.DUMMYFUNCTION("""COMPUTED_VALUE"""),"VINN : Monthly PPC")</f>
        <v>VINN : Monthly PPC</v>
      </c>
      <c r="B751" s="223" t="str">
        <f>IFERROR(__xludf.DUMMYFUNCTION("""COMPUTED_VALUE"""),"VINN")</f>
        <v>VINN</v>
      </c>
      <c r="C751" s="223" t="str">
        <f>IFERROR(__xludf.DUMMYFUNCTION("""COMPUTED_VALUE"""),"Monthly PPC")</f>
        <v>Monthly PPC</v>
      </c>
      <c r="D751" s="316">
        <f>IFERROR(__xludf.DUMMYFUNCTION("""COMPUTED_VALUE"""),45000.0)</f>
        <v>45000</v>
      </c>
      <c r="E751" s="298">
        <f>IFERROR(__xludf.DUMMYFUNCTION("""COMPUTED_VALUE"""),7000.0)</f>
        <v>7000</v>
      </c>
      <c r="F751" s="298">
        <f>IFERROR(__xludf.DUMMYFUNCTION("""COMPUTED_VALUE"""),217.78)</f>
        <v>217.78</v>
      </c>
      <c r="G751" s="298">
        <f>IFERROR(__xludf.DUMMYFUNCTION("""COMPUTED_VALUE"""),0.0)</f>
        <v>0</v>
      </c>
      <c r="H751" s="223">
        <f>IFERROR(__xludf.DUMMYFUNCTION("""COMPUTED_VALUE"""),6782.22)</f>
        <v>6782.22</v>
      </c>
      <c r="I751" s="298"/>
      <c r="J751" s="223" t="str">
        <f>IFERROR(__xludf.DUMMYFUNCTION("""COMPUTED_VALUE"""),"Monthly")</f>
        <v>Monthly</v>
      </c>
      <c r="K751" s="317">
        <f>IFERROR(__xludf.DUMMYFUNCTION("""COMPUTED_VALUE"""),2023.03)</f>
        <v>2023.03</v>
      </c>
      <c r="L751" s="298"/>
      <c r="M751" s="223"/>
      <c r="N751" s="223"/>
      <c r="O751" s="223"/>
      <c r="P751" s="223"/>
      <c r="Q751" s="223"/>
      <c r="R751" s="223"/>
      <c r="S751" s="223"/>
      <c r="T751" s="223"/>
      <c r="U751" s="223"/>
      <c r="V751" s="223"/>
      <c r="W751" s="223"/>
      <c r="X751" s="223"/>
      <c r="Y751" s="223"/>
      <c r="Z751" s="223"/>
    </row>
    <row r="752">
      <c r="A752" s="223" t="str">
        <f>IFERROR(__xludf.DUMMYFUNCTION("""COMPUTED_VALUE"""),"ESKO Pacific : Website Rebuild")</f>
        <v>ESKO Pacific : Website Rebuild</v>
      </c>
      <c r="B752" s="223" t="str">
        <f>IFERROR(__xludf.DUMMYFUNCTION("""COMPUTED_VALUE"""),"ESKO Pacific")</f>
        <v>ESKO Pacific</v>
      </c>
      <c r="C752" s="223" t="str">
        <f>IFERROR(__xludf.DUMMYFUNCTION("""COMPUTED_VALUE"""),"Website Rebuild")</f>
        <v>Website Rebuild</v>
      </c>
      <c r="D752" s="316">
        <f>IFERROR(__xludf.DUMMYFUNCTION("""COMPUTED_VALUE"""),44972.0)</f>
        <v>44972</v>
      </c>
      <c r="E752" s="298">
        <f>IFERROR(__xludf.DUMMYFUNCTION("""COMPUTED_VALUE"""),3233.3333333333335)</f>
        <v>3233.333333</v>
      </c>
      <c r="F752" s="298">
        <f>IFERROR(__xludf.DUMMYFUNCTION("""COMPUTED_VALUE"""),100.59)</f>
        <v>100.59</v>
      </c>
      <c r="G752" s="298">
        <f>IFERROR(__xludf.DUMMYFUNCTION("""COMPUTED_VALUE"""),0.0)</f>
        <v>0</v>
      </c>
      <c r="H752" s="223">
        <f>IFERROR(__xludf.DUMMYFUNCTION("""COMPUTED_VALUE"""),3132.7433333333333)</f>
        <v>3132.743333</v>
      </c>
      <c r="I752" s="298"/>
      <c r="J752" s="223" t="str">
        <f>IFERROR(__xludf.DUMMYFUNCTION("""COMPUTED_VALUE"""),"1/3 Deposit Prepaid
1/3 of Remainder Milestone
1/3 of Remainder Milestone Final")</f>
        <v>1/3 Deposit Prepaid
1/3 of Remainder Milestone
1/3 of Remainder Milestone Final</v>
      </c>
      <c r="K752" s="317">
        <f>IFERROR(__xludf.DUMMYFUNCTION("""COMPUTED_VALUE"""),2023.0)</f>
        <v>2023</v>
      </c>
      <c r="L752" s="298"/>
      <c r="M752" s="223"/>
      <c r="N752" s="223"/>
      <c r="O752" s="223"/>
      <c r="P752" s="223"/>
      <c r="Q752" s="223"/>
      <c r="R752" s="223"/>
      <c r="S752" s="223"/>
      <c r="T752" s="223"/>
      <c r="U752" s="223"/>
      <c r="V752" s="223"/>
      <c r="W752" s="223"/>
      <c r="X752" s="223"/>
      <c r="Y752" s="223"/>
      <c r="Z752" s="223"/>
    </row>
    <row r="753">
      <c r="A753" s="223" t="str">
        <f>IFERROR(__xludf.DUMMYFUNCTION("""COMPUTED_VALUE"""),"ESKO Pacific : Website Rebuild")</f>
        <v>ESKO Pacific : Website Rebuild</v>
      </c>
      <c r="B753" s="223" t="str">
        <f>IFERROR(__xludf.DUMMYFUNCTION("""COMPUTED_VALUE"""),"ESKO Pacific")</f>
        <v>ESKO Pacific</v>
      </c>
      <c r="C753" s="223" t="str">
        <f>IFERROR(__xludf.DUMMYFUNCTION("""COMPUTED_VALUE"""),"Website Rebuild")</f>
        <v>Website Rebuild</v>
      </c>
      <c r="D753" s="316">
        <f>IFERROR(__xludf.DUMMYFUNCTION("""COMPUTED_VALUE"""),45016.0)</f>
        <v>45016</v>
      </c>
      <c r="E753" s="298">
        <f>IFERROR(__xludf.DUMMYFUNCTION("""COMPUTED_VALUE"""),3233.3333333333335)</f>
        <v>3233.333333</v>
      </c>
      <c r="F753" s="298">
        <f>IFERROR(__xludf.DUMMYFUNCTION("""COMPUTED_VALUE"""),0.0)</f>
        <v>0</v>
      </c>
      <c r="G753" s="298">
        <f>IFERROR(__xludf.DUMMYFUNCTION("""COMPUTED_VALUE"""),0.0)</f>
        <v>0</v>
      </c>
      <c r="H753" s="223">
        <f>IFERROR(__xludf.DUMMYFUNCTION("""COMPUTED_VALUE"""),3233.3333333333335)</f>
        <v>3233.333333</v>
      </c>
      <c r="I753" s="298"/>
      <c r="J753" s="223" t="str">
        <f>IFERROR(__xludf.DUMMYFUNCTION("""COMPUTED_VALUE"""),"1/3 Deposit Prepaid
1/3 of Remainder Milestone
1/3 of Remainder Milestone Final")</f>
        <v>1/3 Deposit Prepaid
1/3 of Remainder Milestone
1/3 of Remainder Milestone Final</v>
      </c>
      <c r="K753" s="317">
        <f>IFERROR(__xludf.DUMMYFUNCTION("""COMPUTED_VALUE"""),2023.0)</f>
        <v>2023</v>
      </c>
      <c r="L753" s="298"/>
      <c r="M753" s="223"/>
      <c r="N753" s="223"/>
      <c r="O753" s="223"/>
      <c r="P753" s="223"/>
      <c r="Q753" s="223"/>
      <c r="R753" s="223"/>
      <c r="S753" s="223"/>
      <c r="T753" s="223"/>
      <c r="U753" s="223"/>
      <c r="V753" s="223"/>
      <c r="W753" s="223"/>
      <c r="X753" s="223"/>
      <c r="Y753" s="223"/>
      <c r="Z753" s="223"/>
    </row>
    <row r="754">
      <c r="A754" s="223" t="str">
        <f>IFERROR(__xludf.DUMMYFUNCTION("""COMPUTED_VALUE"""),"ESKO Pacific : Website Rebuild")</f>
        <v>ESKO Pacific : Website Rebuild</v>
      </c>
      <c r="B754" s="223" t="str">
        <f>IFERROR(__xludf.DUMMYFUNCTION("""COMPUTED_VALUE"""),"ESKO Pacific")</f>
        <v>ESKO Pacific</v>
      </c>
      <c r="C754" s="223" t="str">
        <f>IFERROR(__xludf.DUMMYFUNCTION("""COMPUTED_VALUE"""),"Website Rebuild")</f>
        <v>Website Rebuild</v>
      </c>
      <c r="D754" s="316">
        <f>IFERROR(__xludf.DUMMYFUNCTION("""COMPUTED_VALUE"""),45107.0)</f>
        <v>45107</v>
      </c>
      <c r="E754" s="298">
        <f>IFERROR(__xludf.DUMMYFUNCTION("""COMPUTED_VALUE"""),3233.3433333333337)</f>
        <v>3233.343333</v>
      </c>
      <c r="F754" s="298">
        <f>IFERROR(__xludf.DUMMYFUNCTION("""COMPUTED_VALUE"""),0.0)</f>
        <v>0</v>
      </c>
      <c r="G754" s="298">
        <f>IFERROR(__xludf.DUMMYFUNCTION("""COMPUTED_VALUE"""),0.0)</f>
        <v>0</v>
      </c>
      <c r="H754" s="223">
        <f>IFERROR(__xludf.DUMMYFUNCTION("""COMPUTED_VALUE"""),3233.3433333333337)</f>
        <v>3233.343333</v>
      </c>
      <c r="I754" s="298"/>
      <c r="J754" s="223" t="str">
        <f>IFERROR(__xludf.DUMMYFUNCTION("""COMPUTED_VALUE"""),"1/3 Deposit Prepaid
1/3 of Remainder Milestone
1/3 of Remainder Milestone Final")</f>
        <v>1/3 Deposit Prepaid
1/3 of Remainder Milestone
1/3 of Remainder Milestone Final</v>
      </c>
      <c r="K754" s="317">
        <f>IFERROR(__xludf.DUMMYFUNCTION("""COMPUTED_VALUE"""),2023.0)</f>
        <v>2023</v>
      </c>
      <c r="L754" s="298"/>
      <c r="M754" s="223"/>
      <c r="N754" s="223"/>
      <c r="O754" s="223"/>
      <c r="P754" s="223"/>
      <c r="Q754" s="223"/>
      <c r="R754" s="223"/>
      <c r="S754" s="223"/>
      <c r="T754" s="223"/>
      <c r="U754" s="223"/>
      <c r="V754" s="223"/>
      <c r="W754" s="223"/>
      <c r="X754" s="223"/>
      <c r="Y754" s="223"/>
      <c r="Z754" s="223"/>
    </row>
    <row r="755">
      <c r="A755" s="223" t="str">
        <f>IFERROR(__xludf.DUMMYFUNCTION("""COMPUTED_VALUE"""),"Crisp Media : GA4 Upgrade")</f>
        <v>Crisp Media : GA4 Upgrade</v>
      </c>
      <c r="B755" s="223" t="str">
        <f>IFERROR(__xludf.DUMMYFUNCTION("""COMPUTED_VALUE"""),"Crisp Media")</f>
        <v>Crisp Media</v>
      </c>
      <c r="C755" s="223" t="str">
        <f>IFERROR(__xludf.DUMMYFUNCTION("""COMPUTED_VALUE"""),"GA4 Upgrade")</f>
        <v>GA4 Upgrade</v>
      </c>
      <c r="D755" s="316">
        <f>IFERROR(__xludf.DUMMYFUNCTION("""COMPUTED_VALUE"""),44984.0)</f>
        <v>44984</v>
      </c>
      <c r="E755" s="298">
        <f>IFERROR(__xludf.DUMMYFUNCTION("""COMPUTED_VALUE"""),489.0)</f>
        <v>489</v>
      </c>
      <c r="F755" s="298">
        <f>IFERROR(__xludf.DUMMYFUNCTION("""COMPUTED_VALUE"""),15.21)</f>
        <v>15.21</v>
      </c>
      <c r="G755" s="298">
        <f>IFERROR(__xludf.DUMMYFUNCTION("""COMPUTED_VALUE"""),0.0)</f>
        <v>0</v>
      </c>
      <c r="H755" s="223">
        <f>IFERROR(__xludf.DUMMYFUNCTION("""COMPUTED_VALUE"""),473.79)</f>
        <v>473.79</v>
      </c>
      <c r="I755" s="298"/>
      <c r="J755" s="223" t="str">
        <f>IFERROR(__xludf.DUMMYFUNCTION("""COMPUTED_VALUE"""),"One-Time")</f>
        <v>One-Time</v>
      </c>
      <c r="K755" s="317">
        <f>IFERROR(__xludf.DUMMYFUNCTION("""COMPUTED_VALUE"""),2023.0)</f>
        <v>2023</v>
      </c>
      <c r="L755" s="298"/>
      <c r="M755" s="223"/>
      <c r="N755" s="223"/>
      <c r="O755" s="223"/>
      <c r="P755" s="223"/>
      <c r="Q755" s="223"/>
      <c r="R755" s="223"/>
      <c r="S755" s="223"/>
      <c r="T755" s="223"/>
      <c r="U755" s="223"/>
      <c r="V755" s="223"/>
      <c r="W755" s="223"/>
      <c r="X755" s="223"/>
      <c r="Y755" s="223"/>
      <c r="Z755" s="223"/>
    </row>
    <row r="756">
      <c r="A756" s="223" t="str">
        <f>IFERROR(__xludf.DUMMYFUNCTION("""COMPUTED_VALUE"""),"Viridian : GA4 Upgrade")</f>
        <v>Viridian : GA4 Upgrade</v>
      </c>
      <c r="B756" s="223" t="str">
        <f>IFERROR(__xludf.DUMMYFUNCTION("""COMPUTED_VALUE"""),"Viridian")</f>
        <v>Viridian</v>
      </c>
      <c r="C756" s="223" t="str">
        <f>IFERROR(__xludf.DUMMYFUNCTION("""COMPUTED_VALUE"""),"GA4 Upgrade")</f>
        <v>GA4 Upgrade</v>
      </c>
      <c r="D756" s="316">
        <f>IFERROR(__xludf.DUMMYFUNCTION("""COMPUTED_VALUE"""),44985.0)</f>
        <v>44985</v>
      </c>
      <c r="E756" s="298">
        <f>IFERROR(__xludf.DUMMYFUNCTION("""COMPUTED_VALUE"""),699.5)</f>
        <v>699.5</v>
      </c>
      <c r="F756" s="298">
        <f>IFERROR(__xludf.DUMMYFUNCTION("""COMPUTED_VALUE"""),0.0)</f>
        <v>0</v>
      </c>
      <c r="G756" s="298">
        <f>IFERROR(__xludf.DUMMYFUNCTION("""COMPUTED_VALUE"""),0.0)</f>
        <v>0</v>
      </c>
      <c r="H756" s="223">
        <f>IFERROR(__xludf.DUMMYFUNCTION("""COMPUTED_VALUE"""),699.5)</f>
        <v>699.5</v>
      </c>
      <c r="I756" s="298"/>
      <c r="J756" s="223" t="str">
        <f>IFERROR(__xludf.DUMMYFUNCTION("""COMPUTED_VALUE"""),"One-Time")</f>
        <v>One-Time</v>
      </c>
      <c r="K756" s="317">
        <f>IFERROR(__xludf.DUMMYFUNCTION("""COMPUTED_VALUE"""),2023.0)</f>
        <v>2023</v>
      </c>
      <c r="L756" s="298"/>
      <c r="M756" s="223"/>
      <c r="N756" s="223"/>
      <c r="O756" s="223"/>
      <c r="P756" s="223"/>
      <c r="Q756" s="223"/>
      <c r="R756" s="223"/>
      <c r="S756" s="223"/>
      <c r="T756" s="223"/>
      <c r="U756" s="223"/>
      <c r="V756" s="223"/>
      <c r="W756" s="223"/>
      <c r="X756" s="223"/>
      <c r="Y756" s="223"/>
      <c r="Z756" s="223"/>
    </row>
    <row r="757">
      <c r="A757" s="223" t="str">
        <f>IFERROR(__xludf.DUMMYFUNCTION("""COMPUTED_VALUE"""),"Anook Athletics : Monthly Services")</f>
        <v>Anook Athletics : Monthly Services</v>
      </c>
      <c r="B757" s="223" t="str">
        <f>IFERROR(__xludf.DUMMYFUNCTION("""COMPUTED_VALUE"""),"Anook Athletics")</f>
        <v>Anook Athletics</v>
      </c>
      <c r="C757" s="223" t="str">
        <f>IFERROR(__xludf.DUMMYFUNCTION("""COMPUTED_VALUE"""),"Monthly Services")</f>
        <v>Monthly Services</v>
      </c>
      <c r="D757" s="316">
        <f>IFERROR(__xludf.DUMMYFUNCTION("""COMPUTED_VALUE"""),44985.0)</f>
        <v>44985</v>
      </c>
      <c r="E757" s="298">
        <f>IFERROR(__xludf.DUMMYFUNCTION("""COMPUTED_VALUE"""),800.0)</f>
        <v>800</v>
      </c>
      <c r="F757" s="298">
        <f>IFERROR(__xludf.DUMMYFUNCTION("""COMPUTED_VALUE"""),24.89)</f>
        <v>24.89</v>
      </c>
      <c r="G757" s="298">
        <f>IFERROR(__xludf.DUMMYFUNCTION("""COMPUTED_VALUE"""),0.0)</f>
        <v>0</v>
      </c>
      <c r="H757" s="223">
        <f>IFERROR(__xludf.DUMMYFUNCTION("""COMPUTED_VALUE"""),775.11)</f>
        <v>775.11</v>
      </c>
      <c r="I757" s="298"/>
      <c r="J757" s="223" t="str">
        <f>IFERROR(__xludf.DUMMYFUNCTION("""COMPUTED_VALUE"""),"Monthly")</f>
        <v>Monthly</v>
      </c>
      <c r="K757" s="317">
        <f>IFERROR(__xludf.DUMMYFUNCTION("""COMPUTED_VALUE"""),2023.02)</f>
        <v>2023.02</v>
      </c>
      <c r="L757" s="298"/>
      <c r="M757" s="223"/>
      <c r="N757" s="223"/>
      <c r="O757" s="223"/>
      <c r="P757" s="223"/>
      <c r="Q757" s="223"/>
      <c r="R757" s="223"/>
      <c r="S757" s="223"/>
      <c r="T757" s="223"/>
      <c r="U757" s="223"/>
      <c r="V757" s="223"/>
      <c r="W757" s="223"/>
      <c r="X757" s="223"/>
      <c r="Y757" s="223"/>
      <c r="Z757" s="223"/>
    </row>
    <row r="758">
      <c r="A758" s="223" t="str">
        <f>IFERROR(__xludf.DUMMYFUNCTION("""COMPUTED_VALUE"""),"Availed Technologies : Monthly Services")</f>
        <v>Availed Technologies : Monthly Services</v>
      </c>
      <c r="B758" s="223" t="str">
        <f>IFERROR(__xludf.DUMMYFUNCTION("""COMPUTED_VALUE"""),"Availed Technologies")</f>
        <v>Availed Technologies</v>
      </c>
      <c r="C758" s="223" t="str">
        <f>IFERROR(__xludf.DUMMYFUNCTION("""COMPUTED_VALUE"""),"Monthly Services")</f>
        <v>Monthly Services</v>
      </c>
      <c r="D758" s="316">
        <f>IFERROR(__xludf.DUMMYFUNCTION("""COMPUTED_VALUE"""),44985.0)</f>
        <v>44985</v>
      </c>
      <c r="E758" s="298">
        <f>IFERROR(__xludf.DUMMYFUNCTION("""COMPUTED_VALUE"""),750.0)</f>
        <v>750</v>
      </c>
      <c r="F758" s="298">
        <f>IFERROR(__xludf.DUMMYFUNCTION("""COMPUTED_VALUE"""),23.33)</f>
        <v>23.33</v>
      </c>
      <c r="G758" s="298">
        <f>IFERROR(__xludf.DUMMYFUNCTION("""COMPUTED_VALUE"""),0.0)</f>
        <v>0</v>
      </c>
      <c r="H758" s="223">
        <f>IFERROR(__xludf.DUMMYFUNCTION("""COMPUTED_VALUE"""),726.67)</f>
        <v>726.67</v>
      </c>
      <c r="I758" s="298"/>
      <c r="J758" s="223" t="str">
        <f>IFERROR(__xludf.DUMMYFUNCTION("""COMPUTED_VALUE"""),"Monthly")</f>
        <v>Monthly</v>
      </c>
      <c r="K758" s="317">
        <f>IFERROR(__xludf.DUMMYFUNCTION("""COMPUTED_VALUE"""),2023.02)</f>
        <v>2023.02</v>
      </c>
      <c r="L758" s="298"/>
      <c r="M758" s="223"/>
      <c r="N758" s="223"/>
      <c r="O758" s="223"/>
      <c r="P758" s="223"/>
      <c r="Q758" s="223"/>
      <c r="R758" s="223"/>
      <c r="S758" s="223"/>
      <c r="T758" s="223"/>
      <c r="U758" s="223"/>
      <c r="V758" s="223"/>
      <c r="W758" s="223"/>
      <c r="X758" s="223"/>
      <c r="Y758" s="223"/>
      <c r="Z758" s="223"/>
    </row>
    <row r="759">
      <c r="A759" s="223" t="str">
        <f>IFERROR(__xludf.DUMMYFUNCTION("""COMPUTED_VALUE"""),"Community Financials : Monthly Services")</f>
        <v>Community Financials : Monthly Services</v>
      </c>
      <c r="B759" s="223" t="str">
        <f>IFERROR(__xludf.DUMMYFUNCTION("""COMPUTED_VALUE"""),"Community Financials")</f>
        <v>Community Financials</v>
      </c>
      <c r="C759" s="223" t="str">
        <f>IFERROR(__xludf.DUMMYFUNCTION("""COMPUTED_VALUE"""),"Monthly Services")</f>
        <v>Monthly Services</v>
      </c>
      <c r="D759" s="316">
        <f>IFERROR(__xludf.DUMMYFUNCTION("""COMPUTED_VALUE"""),44985.0)</f>
        <v>44985</v>
      </c>
      <c r="E759" s="298">
        <f>IFERROR(__xludf.DUMMYFUNCTION("""COMPUTED_VALUE"""),1975.89)</f>
        <v>1975.89</v>
      </c>
      <c r="F759" s="298">
        <f>IFERROR(__xludf.DUMMYFUNCTION("""COMPUTED_VALUE"""),73.503108)</f>
        <v>73.503108</v>
      </c>
      <c r="G759" s="298">
        <f>IFERROR(__xludf.DUMMYFUNCTION("""COMPUTED_VALUE"""),380.4773784)</f>
        <v>380.4773784</v>
      </c>
      <c r="H759" s="223">
        <f>IFERROR(__xludf.DUMMYFUNCTION("""COMPUTED_VALUE"""),1521.9095136)</f>
        <v>1521.909514</v>
      </c>
      <c r="I759" s="298"/>
      <c r="J759" s="223" t="str">
        <f>IFERROR(__xludf.DUMMYFUNCTION("""COMPUTED_VALUE"""),"Monthly")</f>
        <v>Monthly</v>
      </c>
      <c r="K759" s="317">
        <f>IFERROR(__xludf.DUMMYFUNCTION("""COMPUTED_VALUE"""),2023.02)</f>
        <v>2023.02</v>
      </c>
      <c r="L759" s="298"/>
      <c r="M759" s="223"/>
      <c r="N759" s="223"/>
      <c r="O759" s="223"/>
      <c r="P759" s="223"/>
      <c r="Q759" s="223"/>
      <c r="R759" s="223"/>
      <c r="S759" s="223"/>
      <c r="T759" s="223"/>
      <c r="U759" s="223"/>
      <c r="V759" s="223"/>
      <c r="W759" s="223"/>
      <c r="X759" s="223"/>
      <c r="Y759" s="223"/>
      <c r="Z759" s="223"/>
    </row>
    <row r="760">
      <c r="A760" s="223" t="str">
        <f>IFERROR(__xludf.DUMMYFUNCTION("""COMPUTED_VALUE"""),"Diversified Health : Monthly Services")</f>
        <v>Diversified Health : Monthly Services</v>
      </c>
      <c r="B760" s="223" t="str">
        <f>IFERROR(__xludf.DUMMYFUNCTION("""COMPUTED_VALUE"""),"Diversified Health")</f>
        <v>Diversified Health</v>
      </c>
      <c r="C760" s="223" t="str">
        <f>IFERROR(__xludf.DUMMYFUNCTION("""COMPUTED_VALUE"""),"Monthly Services")</f>
        <v>Monthly Services</v>
      </c>
      <c r="D760" s="316">
        <f>IFERROR(__xludf.DUMMYFUNCTION("""COMPUTED_VALUE"""),44985.0)</f>
        <v>44985</v>
      </c>
      <c r="E760" s="298">
        <f>IFERROR(__xludf.DUMMYFUNCTION("""COMPUTED_VALUE"""),1100.0)</f>
        <v>1100</v>
      </c>
      <c r="F760" s="298">
        <f>IFERROR(__xludf.DUMMYFUNCTION("""COMPUTED_VALUE"""),0.0)</f>
        <v>0</v>
      </c>
      <c r="G760" s="298">
        <f>IFERROR(__xludf.DUMMYFUNCTION("""COMPUTED_VALUE"""),0.0)</f>
        <v>0</v>
      </c>
      <c r="H760" s="223">
        <f>IFERROR(__xludf.DUMMYFUNCTION("""COMPUTED_VALUE"""),1100.0)</f>
        <v>1100</v>
      </c>
      <c r="I760" s="298"/>
      <c r="J760" s="223" t="str">
        <f>IFERROR(__xludf.DUMMYFUNCTION("""COMPUTED_VALUE"""),"Monthly")</f>
        <v>Monthly</v>
      </c>
      <c r="K760" s="317">
        <f>IFERROR(__xludf.DUMMYFUNCTION("""COMPUTED_VALUE"""),2023.02)</f>
        <v>2023.02</v>
      </c>
      <c r="L760" s="298"/>
      <c r="M760" s="223"/>
      <c r="N760" s="223"/>
      <c r="O760" s="223"/>
      <c r="P760" s="223"/>
      <c r="Q760" s="223"/>
      <c r="R760" s="223"/>
      <c r="S760" s="223"/>
      <c r="T760" s="223"/>
      <c r="U760" s="223"/>
      <c r="V760" s="223"/>
      <c r="W760" s="223"/>
      <c r="X760" s="223"/>
      <c r="Y760" s="223"/>
      <c r="Z760" s="223"/>
    </row>
    <row r="761">
      <c r="A761" s="223" t="str">
        <f>IFERROR(__xludf.DUMMYFUNCTION("""COMPUTED_VALUE"""),"Hastings House : Monthly Services")</f>
        <v>Hastings House : Monthly Services</v>
      </c>
      <c r="B761" s="223" t="str">
        <f>IFERROR(__xludf.DUMMYFUNCTION("""COMPUTED_VALUE"""),"Hastings House")</f>
        <v>Hastings House</v>
      </c>
      <c r="C761" s="223" t="str">
        <f>IFERROR(__xludf.DUMMYFUNCTION("""COMPUTED_VALUE"""),"Monthly Services")</f>
        <v>Monthly Services</v>
      </c>
      <c r="D761" s="316">
        <f>IFERROR(__xludf.DUMMYFUNCTION("""COMPUTED_VALUE"""),44985.0)</f>
        <v>44985</v>
      </c>
      <c r="E761" s="298">
        <f>IFERROR(__xludf.DUMMYFUNCTION("""COMPUTED_VALUE"""),1500.0)</f>
        <v>1500</v>
      </c>
      <c r="F761" s="298">
        <f>IFERROR(__xludf.DUMMYFUNCTION("""COMPUTED_VALUE"""),46.67)</f>
        <v>46.67</v>
      </c>
      <c r="G761" s="298">
        <f>IFERROR(__xludf.DUMMYFUNCTION("""COMPUTED_VALUE"""),217.99949999999998)</f>
        <v>217.9995</v>
      </c>
      <c r="H761" s="223">
        <f>IFERROR(__xludf.DUMMYFUNCTION("""COMPUTED_VALUE"""),1235.3305)</f>
        <v>1235.3305</v>
      </c>
      <c r="I761" s="298"/>
      <c r="J761" s="223" t="str">
        <f>IFERROR(__xludf.DUMMYFUNCTION("""COMPUTED_VALUE"""),"Monthly")</f>
        <v>Monthly</v>
      </c>
      <c r="K761" s="317">
        <f>IFERROR(__xludf.DUMMYFUNCTION("""COMPUTED_VALUE"""),2023.02)</f>
        <v>2023.02</v>
      </c>
      <c r="L761" s="298"/>
      <c r="M761" s="223"/>
      <c r="N761" s="223"/>
      <c r="O761" s="223"/>
      <c r="P761" s="223"/>
      <c r="Q761" s="223"/>
      <c r="R761" s="223"/>
      <c r="S761" s="223"/>
      <c r="T761" s="223"/>
      <c r="U761" s="223"/>
      <c r="V761" s="223"/>
      <c r="W761" s="223"/>
      <c r="X761" s="223"/>
      <c r="Y761" s="223"/>
      <c r="Z761" s="223"/>
    </row>
    <row r="762">
      <c r="A762" s="223" t="str">
        <f>IFERROR(__xludf.DUMMYFUNCTION("""COMPUTED_VALUE"""),"HSJ Lawyers : Monthly Services")</f>
        <v>HSJ Lawyers : Monthly Services</v>
      </c>
      <c r="B762" s="223" t="str">
        <f>IFERROR(__xludf.DUMMYFUNCTION("""COMPUTED_VALUE"""),"HSJ Lawyers")</f>
        <v>HSJ Lawyers</v>
      </c>
      <c r="C762" s="223" t="str">
        <f>IFERROR(__xludf.DUMMYFUNCTION("""COMPUTED_VALUE"""),"Monthly Services")</f>
        <v>Monthly Services</v>
      </c>
      <c r="D762" s="316">
        <f>IFERROR(__xludf.DUMMYFUNCTION("""COMPUTED_VALUE"""),44985.0)</f>
        <v>44985</v>
      </c>
      <c r="E762" s="298">
        <f>IFERROR(__xludf.DUMMYFUNCTION("""COMPUTED_VALUE"""),830.0)</f>
        <v>830</v>
      </c>
      <c r="F762" s="298">
        <f>IFERROR(__xludf.DUMMYFUNCTION("""COMPUTED_VALUE"""),0.0)</f>
        <v>0</v>
      </c>
      <c r="G762" s="298">
        <f>IFERROR(__xludf.DUMMYFUNCTION("""COMPUTED_VALUE"""),0.0)</f>
        <v>0</v>
      </c>
      <c r="H762" s="223">
        <f>IFERROR(__xludf.DUMMYFUNCTION("""COMPUTED_VALUE"""),830.0)</f>
        <v>830</v>
      </c>
      <c r="I762" s="298"/>
      <c r="J762" s="223" t="str">
        <f>IFERROR(__xludf.DUMMYFUNCTION("""COMPUTED_VALUE"""),"Monthly")</f>
        <v>Monthly</v>
      </c>
      <c r="K762" s="317">
        <f>IFERROR(__xludf.DUMMYFUNCTION("""COMPUTED_VALUE"""),2023.02)</f>
        <v>2023.02</v>
      </c>
      <c r="L762" s="298"/>
      <c r="M762" s="223"/>
      <c r="N762" s="223"/>
      <c r="O762" s="223"/>
      <c r="P762" s="223"/>
      <c r="Q762" s="223"/>
      <c r="R762" s="223"/>
      <c r="S762" s="223"/>
      <c r="T762" s="223"/>
      <c r="U762" s="223"/>
      <c r="V762" s="223"/>
      <c r="W762" s="223"/>
      <c r="X762" s="223"/>
      <c r="Y762" s="223"/>
      <c r="Z762" s="223"/>
    </row>
    <row r="763">
      <c r="A763" s="223" t="str">
        <f>IFERROR(__xludf.DUMMYFUNCTION("""COMPUTED_VALUE"""),"MortgagePal : Monthly Services")</f>
        <v>MortgagePal : Monthly Services</v>
      </c>
      <c r="B763" s="223" t="str">
        <f>IFERROR(__xludf.DUMMYFUNCTION("""COMPUTED_VALUE"""),"MortgagePal")</f>
        <v>MortgagePal</v>
      </c>
      <c r="C763" s="223" t="str">
        <f>IFERROR(__xludf.DUMMYFUNCTION("""COMPUTED_VALUE"""),"Monthly Services")</f>
        <v>Monthly Services</v>
      </c>
      <c r="D763" s="316">
        <f>IFERROR(__xludf.DUMMYFUNCTION("""COMPUTED_VALUE"""),44985.0)</f>
        <v>44985</v>
      </c>
      <c r="E763" s="298">
        <f>IFERROR(__xludf.DUMMYFUNCTION("""COMPUTED_VALUE"""),500.0)</f>
        <v>500</v>
      </c>
      <c r="F763" s="298">
        <f>IFERROR(__xludf.DUMMYFUNCTION("""COMPUTED_VALUE"""),15.56)</f>
        <v>15.56</v>
      </c>
      <c r="G763" s="298">
        <f>IFERROR(__xludf.DUMMYFUNCTION("""COMPUTED_VALUE"""),0.0)</f>
        <v>0</v>
      </c>
      <c r="H763" s="223">
        <f>IFERROR(__xludf.DUMMYFUNCTION("""COMPUTED_VALUE"""),484.44)</f>
        <v>484.44</v>
      </c>
      <c r="I763" s="298"/>
      <c r="J763" s="223" t="str">
        <f>IFERROR(__xludf.DUMMYFUNCTION("""COMPUTED_VALUE"""),"Monthly")</f>
        <v>Monthly</v>
      </c>
      <c r="K763" s="317">
        <f>IFERROR(__xludf.DUMMYFUNCTION("""COMPUTED_VALUE"""),2023.02)</f>
        <v>2023.02</v>
      </c>
      <c r="L763" s="298"/>
      <c r="M763" s="223"/>
      <c r="N763" s="223"/>
      <c r="O763" s="223"/>
      <c r="P763" s="223"/>
      <c r="Q763" s="223"/>
      <c r="R763" s="223"/>
      <c r="S763" s="223"/>
      <c r="T763" s="223"/>
      <c r="U763" s="223"/>
      <c r="V763" s="223"/>
      <c r="W763" s="223"/>
      <c r="X763" s="223"/>
      <c r="Y763" s="223"/>
      <c r="Z763" s="223"/>
    </row>
    <row r="764">
      <c r="A764" s="223" t="str">
        <f>IFERROR(__xludf.DUMMYFUNCTION("""COMPUTED_VALUE"""),"PMDI : Monthly Services")</f>
        <v>PMDI : Monthly Services</v>
      </c>
      <c r="B764" s="223" t="str">
        <f>IFERROR(__xludf.DUMMYFUNCTION("""COMPUTED_VALUE"""),"PMDI")</f>
        <v>PMDI</v>
      </c>
      <c r="C764" s="223" t="str">
        <f>IFERROR(__xludf.DUMMYFUNCTION("""COMPUTED_VALUE"""),"Monthly Services")</f>
        <v>Monthly Services</v>
      </c>
      <c r="D764" s="316">
        <f>IFERROR(__xludf.DUMMYFUNCTION("""COMPUTED_VALUE"""),44985.0)</f>
        <v>44985</v>
      </c>
      <c r="E764" s="298">
        <f>IFERROR(__xludf.DUMMYFUNCTION("""COMPUTED_VALUE"""),412.5)</f>
        <v>412.5</v>
      </c>
      <c r="F764" s="298">
        <f>IFERROR(__xludf.DUMMYFUNCTION("""COMPUTED_VALUE"""),0.0)</f>
        <v>0</v>
      </c>
      <c r="G764" s="298">
        <f>IFERROR(__xludf.DUMMYFUNCTION("""COMPUTED_VALUE"""),0.0)</f>
        <v>0</v>
      </c>
      <c r="H764" s="223">
        <f>IFERROR(__xludf.DUMMYFUNCTION("""COMPUTED_VALUE"""),412.5)</f>
        <v>412.5</v>
      </c>
      <c r="I764" s="298"/>
      <c r="J764" s="223" t="str">
        <f>IFERROR(__xludf.DUMMYFUNCTION("""COMPUTED_VALUE"""),"Monthly")</f>
        <v>Monthly</v>
      </c>
      <c r="K764" s="317">
        <f>IFERROR(__xludf.DUMMYFUNCTION("""COMPUTED_VALUE"""),2023.02)</f>
        <v>2023.02</v>
      </c>
      <c r="L764" s="298"/>
      <c r="M764" s="223"/>
      <c r="N764" s="223"/>
      <c r="O764" s="223"/>
      <c r="P764" s="223"/>
      <c r="Q764" s="223"/>
      <c r="R764" s="223"/>
      <c r="S764" s="223"/>
      <c r="T764" s="223"/>
      <c r="U764" s="223"/>
      <c r="V764" s="223"/>
      <c r="W764" s="223"/>
      <c r="X764" s="223"/>
      <c r="Y764" s="223"/>
      <c r="Z764" s="223"/>
    </row>
    <row r="765">
      <c r="A765" s="223" t="str">
        <f>IFERROR(__xludf.DUMMYFUNCTION("""COMPUTED_VALUE"""),"Rama Meditation Society : Premium Hosting + Support")</f>
        <v>Rama Meditation Society : Premium Hosting + Support</v>
      </c>
      <c r="B765" s="223" t="str">
        <f>IFERROR(__xludf.DUMMYFUNCTION("""COMPUTED_VALUE"""),"Rama Meditation Society")</f>
        <v>Rama Meditation Society</v>
      </c>
      <c r="C765" s="223" t="str">
        <f>IFERROR(__xludf.DUMMYFUNCTION("""COMPUTED_VALUE"""),"Premium Hosting + Support")</f>
        <v>Premium Hosting + Support</v>
      </c>
      <c r="D765" s="316">
        <f>IFERROR(__xludf.DUMMYFUNCTION("""COMPUTED_VALUE"""),44985.0)</f>
        <v>44985</v>
      </c>
      <c r="E765" s="298">
        <f>IFERROR(__xludf.DUMMYFUNCTION("""COMPUTED_VALUE"""),394.56690000000003)</f>
        <v>394.5669</v>
      </c>
      <c r="F765" s="298">
        <f>IFERROR(__xludf.DUMMYFUNCTION("""COMPUTED_VALUE"""),14.9935422)</f>
        <v>14.9935422</v>
      </c>
      <c r="G765" s="298">
        <f>IFERROR(__xludf.DUMMYFUNCTION("""COMPUTED_VALUE"""),0.0)</f>
        <v>0</v>
      </c>
      <c r="H765" s="223">
        <f>IFERROR(__xludf.DUMMYFUNCTION("""COMPUTED_VALUE"""),379.57335780000005)</f>
        <v>379.5733578</v>
      </c>
      <c r="I765" s="298"/>
      <c r="J765" s="223" t="str">
        <f>IFERROR(__xludf.DUMMYFUNCTION("""COMPUTED_VALUE"""),"Monthly")</f>
        <v>Monthly</v>
      </c>
      <c r="K765" s="317">
        <f>IFERROR(__xludf.DUMMYFUNCTION("""COMPUTED_VALUE"""),2023.02)</f>
        <v>2023.02</v>
      </c>
      <c r="L765" s="298"/>
      <c r="M765" s="223"/>
      <c r="N765" s="223"/>
      <c r="O765" s="223"/>
      <c r="P765" s="223"/>
      <c r="Q765" s="223"/>
      <c r="R765" s="223"/>
      <c r="S765" s="223"/>
      <c r="T765" s="223"/>
      <c r="U765" s="223"/>
      <c r="V765" s="223"/>
      <c r="W765" s="223"/>
      <c r="X765" s="223"/>
      <c r="Y765" s="223"/>
      <c r="Z765" s="223"/>
    </row>
    <row r="766">
      <c r="A766" s="223" t="str">
        <f>IFERROR(__xludf.DUMMYFUNCTION("""COMPUTED_VALUE"""),"Red Seal : Monthly Services")</f>
        <v>Red Seal : Monthly Services</v>
      </c>
      <c r="B766" s="223" t="str">
        <f>IFERROR(__xludf.DUMMYFUNCTION("""COMPUTED_VALUE"""),"Red Seal")</f>
        <v>Red Seal</v>
      </c>
      <c r="C766" s="223" t="str">
        <f>IFERROR(__xludf.DUMMYFUNCTION("""COMPUTED_VALUE"""),"Monthly Services")</f>
        <v>Monthly Services</v>
      </c>
      <c r="D766" s="316">
        <f>IFERROR(__xludf.DUMMYFUNCTION("""COMPUTED_VALUE"""),44985.0)</f>
        <v>44985</v>
      </c>
      <c r="E766" s="298">
        <f>IFERROR(__xludf.DUMMYFUNCTION("""COMPUTED_VALUE"""),1150.0)</f>
        <v>1150</v>
      </c>
      <c r="F766" s="298">
        <f>IFERROR(__xludf.DUMMYFUNCTION("""COMPUTED_VALUE"""),0.0)</f>
        <v>0</v>
      </c>
      <c r="G766" s="298">
        <f>IFERROR(__xludf.DUMMYFUNCTION("""COMPUTED_VALUE"""),0.0)</f>
        <v>0</v>
      </c>
      <c r="H766" s="223">
        <f>IFERROR(__xludf.DUMMYFUNCTION("""COMPUTED_VALUE"""),1150.0)</f>
        <v>1150</v>
      </c>
      <c r="I766" s="298"/>
      <c r="J766" s="223" t="str">
        <f>IFERROR(__xludf.DUMMYFUNCTION("""COMPUTED_VALUE"""),"Monthly")</f>
        <v>Monthly</v>
      </c>
      <c r="K766" s="317">
        <f>IFERROR(__xludf.DUMMYFUNCTION("""COMPUTED_VALUE"""),2023.02)</f>
        <v>2023.02</v>
      </c>
      <c r="L766" s="298"/>
      <c r="M766" s="223"/>
      <c r="N766" s="223"/>
      <c r="O766" s="223"/>
      <c r="P766" s="223"/>
      <c r="Q766" s="223"/>
      <c r="R766" s="223"/>
      <c r="S766" s="223"/>
      <c r="T766" s="223"/>
      <c r="U766" s="223"/>
      <c r="V766" s="223"/>
      <c r="W766" s="223"/>
      <c r="X766" s="223"/>
      <c r="Y766" s="223"/>
      <c r="Z766" s="223"/>
    </row>
    <row r="767">
      <c r="A767" s="223" t="str">
        <f>IFERROR(__xludf.DUMMYFUNCTION("""COMPUTED_VALUE"""),"Service First : Monthly Services")</f>
        <v>Service First : Monthly Services</v>
      </c>
      <c r="B767" s="223" t="str">
        <f>IFERROR(__xludf.DUMMYFUNCTION("""COMPUTED_VALUE"""),"Service First")</f>
        <v>Service First</v>
      </c>
      <c r="C767" s="223" t="str">
        <f>IFERROR(__xludf.DUMMYFUNCTION("""COMPUTED_VALUE"""),"Monthly Services")</f>
        <v>Monthly Services</v>
      </c>
      <c r="D767" s="316">
        <f>IFERROR(__xludf.DUMMYFUNCTION("""COMPUTED_VALUE"""),44985.0)</f>
        <v>44985</v>
      </c>
      <c r="E767" s="298">
        <f>IFERROR(__xludf.DUMMYFUNCTION("""COMPUTED_VALUE"""),330.0)</f>
        <v>330</v>
      </c>
      <c r="F767" s="298">
        <f>IFERROR(__xludf.DUMMYFUNCTION("""COMPUTED_VALUE"""),10.27)</f>
        <v>10.27</v>
      </c>
      <c r="G767" s="298">
        <f>IFERROR(__xludf.DUMMYFUNCTION("""COMPUTED_VALUE"""),0.0)</f>
        <v>0</v>
      </c>
      <c r="H767" s="223">
        <f>IFERROR(__xludf.DUMMYFUNCTION("""COMPUTED_VALUE"""),319.73)</f>
        <v>319.73</v>
      </c>
      <c r="I767" s="298"/>
      <c r="J767" s="223" t="str">
        <f>IFERROR(__xludf.DUMMYFUNCTION("""COMPUTED_VALUE"""),"Monthly")</f>
        <v>Monthly</v>
      </c>
      <c r="K767" s="317">
        <f>IFERROR(__xludf.DUMMYFUNCTION("""COMPUTED_VALUE"""),2023.02)</f>
        <v>2023.02</v>
      </c>
      <c r="L767" s="298"/>
      <c r="M767" s="223"/>
      <c r="N767" s="223"/>
      <c r="O767" s="223"/>
      <c r="P767" s="223"/>
      <c r="Q767" s="223"/>
      <c r="R767" s="223"/>
      <c r="S767" s="223"/>
      <c r="T767" s="223"/>
      <c r="U767" s="223"/>
      <c r="V767" s="223"/>
      <c r="W767" s="223"/>
      <c r="X767" s="223"/>
      <c r="Y767" s="223"/>
      <c r="Z767" s="223"/>
    </row>
    <row r="768">
      <c r="A768" s="223" t="str">
        <f>IFERROR(__xludf.DUMMYFUNCTION("""COMPUTED_VALUE"""),"Spraggs : Monthly Services")</f>
        <v>Spraggs : Monthly Services</v>
      </c>
      <c r="B768" s="223" t="str">
        <f>IFERROR(__xludf.DUMMYFUNCTION("""COMPUTED_VALUE"""),"Spraggs")</f>
        <v>Spraggs</v>
      </c>
      <c r="C768" s="223" t="str">
        <f>IFERROR(__xludf.DUMMYFUNCTION("""COMPUTED_VALUE"""),"Monthly Services")</f>
        <v>Monthly Services</v>
      </c>
      <c r="D768" s="316">
        <f>IFERROR(__xludf.DUMMYFUNCTION("""COMPUTED_VALUE"""),44985.0)</f>
        <v>44985</v>
      </c>
      <c r="E768" s="298">
        <f>IFERROR(__xludf.DUMMYFUNCTION("""COMPUTED_VALUE"""),2500.0)</f>
        <v>2500</v>
      </c>
      <c r="F768" s="298">
        <f>IFERROR(__xludf.DUMMYFUNCTION("""COMPUTED_VALUE"""),77.78)</f>
        <v>77.78</v>
      </c>
      <c r="G768" s="298">
        <f>IFERROR(__xludf.DUMMYFUNCTION("""COMPUTED_VALUE"""),0.0)</f>
        <v>0</v>
      </c>
      <c r="H768" s="223">
        <f>IFERROR(__xludf.DUMMYFUNCTION("""COMPUTED_VALUE"""),2422.22)</f>
        <v>2422.22</v>
      </c>
      <c r="I768" s="298"/>
      <c r="J768" s="223" t="str">
        <f>IFERROR(__xludf.DUMMYFUNCTION("""COMPUTED_VALUE"""),"Monthly")</f>
        <v>Monthly</v>
      </c>
      <c r="K768" s="317">
        <f>IFERROR(__xludf.DUMMYFUNCTION("""COMPUTED_VALUE"""),2023.02)</f>
        <v>2023.02</v>
      </c>
      <c r="L768" s="298"/>
      <c r="M768" s="223"/>
      <c r="N768" s="223"/>
      <c r="O768" s="223"/>
      <c r="P768" s="223"/>
      <c r="Q768" s="223"/>
      <c r="R768" s="223"/>
      <c r="S768" s="223"/>
      <c r="T768" s="223"/>
      <c r="U768" s="223"/>
      <c r="V768" s="223"/>
      <c r="W768" s="223"/>
      <c r="X768" s="223"/>
      <c r="Y768" s="223"/>
      <c r="Z768" s="223"/>
    </row>
    <row r="769">
      <c r="A769" s="223" t="str">
        <f>IFERROR(__xludf.DUMMYFUNCTION("""COMPUTED_VALUE"""),"TisBest : Monthly Services")</f>
        <v>TisBest : Monthly Services</v>
      </c>
      <c r="B769" s="223" t="str">
        <f>IFERROR(__xludf.DUMMYFUNCTION("""COMPUTED_VALUE"""),"TisBest")</f>
        <v>TisBest</v>
      </c>
      <c r="C769" s="223" t="str">
        <f>IFERROR(__xludf.DUMMYFUNCTION("""COMPUTED_VALUE"""),"Monthly Services")</f>
        <v>Monthly Services</v>
      </c>
      <c r="D769" s="316">
        <f>IFERROR(__xludf.DUMMYFUNCTION("""COMPUTED_VALUE"""),44985.0)</f>
        <v>44985</v>
      </c>
      <c r="E769" s="298">
        <f>IFERROR(__xludf.DUMMYFUNCTION("""COMPUTED_VALUE"""),5954.733)</f>
        <v>5954.733</v>
      </c>
      <c r="F769" s="298">
        <f>IFERROR(__xludf.DUMMYFUNCTION("""COMPUTED_VALUE"""),220.72210320000002)</f>
        <v>220.7221032</v>
      </c>
      <c r="G769" s="298">
        <f>IFERROR(__xludf.DUMMYFUNCTION("""COMPUTED_VALUE"""),0.0)</f>
        <v>0</v>
      </c>
      <c r="H769" s="223">
        <f>IFERROR(__xludf.DUMMYFUNCTION("""COMPUTED_VALUE"""),5734.0108968)</f>
        <v>5734.010897</v>
      </c>
      <c r="I769" s="298"/>
      <c r="J769" s="223" t="str">
        <f>IFERROR(__xludf.DUMMYFUNCTION("""COMPUTED_VALUE"""),"Monthly")</f>
        <v>Monthly</v>
      </c>
      <c r="K769" s="317">
        <f>IFERROR(__xludf.DUMMYFUNCTION("""COMPUTED_VALUE"""),2023.02)</f>
        <v>2023.02</v>
      </c>
      <c r="L769" s="298"/>
      <c r="M769" s="223"/>
      <c r="N769" s="223"/>
      <c r="O769" s="223"/>
      <c r="P769" s="223"/>
      <c r="Q769" s="223"/>
      <c r="R769" s="223"/>
      <c r="S769" s="223"/>
      <c r="T769" s="223"/>
      <c r="U769" s="223"/>
      <c r="V769" s="223"/>
      <c r="W769" s="223"/>
      <c r="X769" s="223"/>
      <c r="Y769" s="223"/>
      <c r="Z769" s="223"/>
    </row>
    <row r="770">
      <c r="A770" s="223" t="str">
        <f>IFERROR(__xludf.DUMMYFUNCTION("""COMPUTED_VALUE"""),"Tuscany : Monthly Services")</f>
        <v>Tuscany : Monthly Services</v>
      </c>
      <c r="B770" s="223" t="str">
        <f>IFERROR(__xludf.DUMMYFUNCTION("""COMPUTED_VALUE"""),"Tuscany")</f>
        <v>Tuscany</v>
      </c>
      <c r="C770" s="223" t="str">
        <f>IFERROR(__xludf.DUMMYFUNCTION("""COMPUTED_VALUE"""),"Monthly Services")</f>
        <v>Monthly Services</v>
      </c>
      <c r="D770" s="316">
        <f>IFERROR(__xludf.DUMMYFUNCTION("""COMPUTED_VALUE"""),44985.0)</f>
        <v>44985</v>
      </c>
      <c r="E770" s="298">
        <f>IFERROR(__xludf.DUMMYFUNCTION("""COMPUTED_VALUE"""),3289.0000000000005)</f>
        <v>3289</v>
      </c>
      <c r="F770" s="298">
        <f>IFERROR(__xludf.DUMMYFUNCTION("""COMPUTED_VALUE"""),0.0)</f>
        <v>0</v>
      </c>
      <c r="G770" s="298">
        <f>IFERROR(__xludf.DUMMYFUNCTION("""COMPUTED_VALUE"""),0.0)</f>
        <v>0</v>
      </c>
      <c r="H770" s="223">
        <f>IFERROR(__xludf.DUMMYFUNCTION("""COMPUTED_VALUE"""),3289.0000000000005)</f>
        <v>3289</v>
      </c>
      <c r="I770" s="298"/>
      <c r="J770" s="223" t="str">
        <f>IFERROR(__xludf.DUMMYFUNCTION("""COMPUTED_VALUE"""),"Monthly")</f>
        <v>Monthly</v>
      </c>
      <c r="K770" s="317">
        <f>IFERROR(__xludf.DUMMYFUNCTION("""COMPUTED_VALUE"""),2023.02)</f>
        <v>2023.02</v>
      </c>
      <c r="L770" s="298"/>
      <c r="M770" s="223"/>
      <c r="N770" s="223"/>
      <c r="O770" s="223"/>
      <c r="P770" s="223"/>
      <c r="Q770" s="223"/>
      <c r="R770" s="223"/>
      <c r="S770" s="223"/>
      <c r="T770" s="223"/>
      <c r="U770" s="223"/>
      <c r="V770" s="223"/>
      <c r="W770" s="223"/>
      <c r="X770" s="223"/>
      <c r="Y770" s="223"/>
      <c r="Z770" s="223"/>
    </row>
    <row r="771">
      <c r="A771" s="223" t="str">
        <f>IFERROR(__xludf.DUMMYFUNCTION("""COMPUTED_VALUE"""),"Venetian : Monthly Services")</f>
        <v>Venetian : Monthly Services</v>
      </c>
      <c r="B771" s="223" t="str">
        <f>IFERROR(__xludf.DUMMYFUNCTION("""COMPUTED_VALUE"""),"Venetian")</f>
        <v>Venetian</v>
      </c>
      <c r="C771" s="223" t="str">
        <f>IFERROR(__xludf.DUMMYFUNCTION("""COMPUTED_VALUE"""),"Monthly Services")</f>
        <v>Monthly Services</v>
      </c>
      <c r="D771" s="316">
        <f>IFERROR(__xludf.DUMMYFUNCTION("""COMPUTED_VALUE"""),44985.0)</f>
        <v>44985</v>
      </c>
      <c r="E771" s="298">
        <f>IFERROR(__xludf.DUMMYFUNCTION("""COMPUTED_VALUE"""),3289.0000000000005)</f>
        <v>3289</v>
      </c>
      <c r="F771" s="298">
        <f>IFERROR(__xludf.DUMMYFUNCTION("""COMPUTED_VALUE"""),0.0)</f>
        <v>0</v>
      </c>
      <c r="G771" s="298">
        <f>IFERROR(__xludf.DUMMYFUNCTION("""COMPUTED_VALUE"""),0.0)</f>
        <v>0</v>
      </c>
      <c r="H771" s="223">
        <f>IFERROR(__xludf.DUMMYFUNCTION("""COMPUTED_VALUE"""),3289.0000000000005)</f>
        <v>3289</v>
      </c>
      <c r="I771" s="298"/>
      <c r="J771" s="223" t="str">
        <f>IFERROR(__xludf.DUMMYFUNCTION("""COMPUTED_VALUE"""),"Monthly")</f>
        <v>Monthly</v>
      </c>
      <c r="K771" s="317">
        <f>IFERROR(__xludf.DUMMYFUNCTION("""COMPUTED_VALUE"""),2023.02)</f>
        <v>2023.02</v>
      </c>
      <c r="L771" s="298"/>
      <c r="M771" s="223"/>
      <c r="N771" s="223"/>
      <c r="O771" s="223"/>
      <c r="P771" s="223"/>
      <c r="Q771" s="223"/>
      <c r="R771" s="223"/>
      <c r="S771" s="223"/>
      <c r="T771" s="223"/>
      <c r="U771" s="223"/>
      <c r="V771" s="223"/>
      <c r="W771" s="223"/>
      <c r="X771" s="223"/>
      <c r="Y771" s="223"/>
      <c r="Z771" s="223"/>
    </row>
    <row r="772">
      <c r="A772" s="223" t="str">
        <f>IFERROR(__xludf.DUMMYFUNCTION("""COMPUTED_VALUE"""),"Wallack's Art Supplies : Monthly Services")</f>
        <v>Wallack's Art Supplies : Monthly Services</v>
      </c>
      <c r="B772" s="223" t="str">
        <f>IFERROR(__xludf.DUMMYFUNCTION("""COMPUTED_VALUE"""),"Wallack's Art Supplies")</f>
        <v>Wallack's Art Supplies</v>
      </c>
      <c r="C772" s="223" t="str">
        <f>IFERROR(__xludf.DUMMYFUNCTION("""COMPUTED_VALUE"""),"Monthly Services")</f>
        <v>Monthly Services</v>
      </c>
      <c r="D772" s="316">
        <f>IFERROR(__xludf.DUMMYFUNCTION("""COMPUTED_VALUE"""),44985.0)</f>
        <v>44985</v>
      </c>
      <c r="E772" s="298">
        <f>IFERROR(__xludf.DUMMYFUNCTION("""COMPUTED_VALUE"""),770.0)</f>
        <v>770</v>
      </c>
      <c r="F772" s="298">
        <f>IFERROR(__xludf.DUMMYFUNCTION("""COMPUTED_VALUE"""),0.0)</f>
        <v>0</v>
      </c>
      <c r="G772" s="298">
        <f>IFERROR(__xludf.DUMMYFUNCTION("""COMPUTED_VALUE"""),0.0)</f>
        <v>0</v>
      </c>
      <c r="H772" s="223">
        <f>IFERROR(__xludf.DUMMYFUNCTION("""COMPUTED_VALUE"""),770.0)</f>
        <v>770</v>
      </c>
      <c r="I772" s="298"/>
      <c r="J772" s="223" t="str">
        <f>IFERROR(__xludf.DUMMYFUNCTION("""COMPUTED_VALUE"""),"Monthly")</f>
        <v>Monthly</v>
      </c>
      <c r="K772" s="317">
        <f>IFERROR(__xludf.DUMMYFUNCTION("""COMPUTED_VALUE"""),2023.02)</f>
        <v>2023.02</v>
      </c>
      <c r="L772" s="298"/>
      <c r="M772" s="223"/>
      <c r="N772" s="223"/>
      <c r="O772" s="223"/>
      <c r="P772" s="223"/>
      <c r="Q772" s="223"/>
      <c r="R772" s="223"/>
      <c r="S772" s="223"/>
      <c r="T772" s="223"/>
      <c r="U772" s="223"/>
      <c r="V772" s="223"/>
      <c r="W772" s="223"/>
      <c r="X772" s="223"/>
      <c r="Y772" s="223"/>
      <c r="Z772" s="223"/>
    </row>
    <row r="773">
      <c r="A773" s="223" t="str">
        <f>IFERROR(__xludf.DUMMYFUNCTION("""COMPUTED_VALUE"""),"Howard Fine Jewellers : Ongoing PPC and SEO Support")</f>
        <v>Howard Fine Jewellers : Ongoing PPC and SEO Support</v>
      </c>
      <c r="B773" s="223" t="str">
        <f>IFERROR(__xludf.DUMMYFUNCTION("""COMPUTED_VALUE"""),"Howard Fine Jewellers")</f>
        <v>Howard Fine Jewellers</v>
      </c>
      <c r="C773" s="223" t="str">
        <f>IFERROR(__xludf.DUMMYFUNCTION("""COMPUTED_VALUE"""),"Ongoing PPC and SEO Support")</f>
        <v>Ongoing PPC and SEO Support</v>
      </c>
      <c r="D773" s="316">
        <f>IFERROR(__xludf.DUMMYFUNCTION("""COMPUTED_VALUE"""),44985.0)</f>
        <v>44985</v>
      </c>
      <c r="E773" s="298">
        <f>IFERROR(__xludf.DUMMYFUNCTION("""COMPUTED_VALUE"""),1650.0)</f>
        <v>1650</v>
      </c>
      <c r="F773" s="298">
        <f>IFERROR(__xludf.DUMMYFUNCTION("""COMPUTED_VALUE"""),55.25)</f>
        <v>55.25</v>
      </c>
      <c r="G773" s="298">
        <f>IFERROR(__xludf.DUMMYFUNCTION("""COMPUTED_VALUE"""),0.0)</f>
        <v>0</v>
      </c>
      <c r="H773" s="223">
        <f>IFERROR(__xludf.DUMMYFUNCTION("""COMPUTED_VALUE"""),1594.75)</f>
        <v>1594.75</v>
      </c>
      <c r="I773" s="298"/>
      <c r="J773" s="223" t="str">
        <f>IFERROR(__xludf.DUMMYFUNCTION("""COMPUTED_VALUE"""),"Monthly")</f>
        <v>Monthly</v>
      </c>
      <c r="K773" s="317">
        <f>IFERROR(__xludf.DUMMYFUNCTION("""COMPUTED_VALUE"""),2023.02)</f>
        <v>2023.02</v>
      </c>
      <c r="L773" s="298"/>
      <c r="M773" s="223"/>
      <c r="N773" s="223"/>
      <c r="O773" s="223"/>
      <c r="P773" s="223"/>
      <c r="Q773" s="223"/>
      <c r="R773" s="223"/>
      <c r="S773" s="223"/>
      <c r="T773" s="223"/>
      <c r="U773" s="223"/>
      <c r="V773" s="223"/>
      <c r="W773" s="223"/>
      <c r="X773" s="223"/>
      <c r="Y773" s="223"/>
      <c r="Z773" s="223"/>
    </row>
    <row r="774">
      <c r="A774" s="223" t="str">
        <f>IFERROR(__xludf.DUMMYFUNCTION("""COMPUTED_VALUE"""),"Crisp Media : Monthly Genus Google PPC Mgmt")</f>
        <v>Crisp Media : Monthly Genus Google PPC Mgmt</v>
      </c>
      <c r="B774" s="223" t="str">
        <f>IFERROR(__xludf.DUMMYFUNCTION("""COMPUTED_VALUE"""),"Crisp Media")</f>
        <v>Crisp Media</v>
      </c>
      <c r="C774" s="223" t="str">
        <f>IFERROR(__xludf.DUMMYFUNCTION("""COMPUTED_VALUE"""),"Monthly Genus Google PPC Mgmt")</f>
        <v>Monthly Genus Google PPC Mgmt</v>
      </c>
      <c r="D774" s="316">
        <f>IFERROR(__xludf.DUMMYFUNCTION("""COMPUTED_VALUE"""),44985.0)</f>
        <v>44985</v>
      </c>
      <c r="E774" s="298">
        <f>IFERROR(__xludf.DUMMYFUNCTION("""COMPUTED_VALUE"""),600.0)</f>
        <v>600</v>
      </c>
      <c r="F774" s="298">
        <f>IFERROR(__xludf.DUMMYFUNCTION("""COMPUTED_VALUE"""),18.67)</f>
        <v>18.67</v>
      </c>
      <c r="G774" s="298">
        <f>IFERROR(__xludf.DUMMYFUNCTION("""COMPUTED_VALUE"""),0.0)</f>
        <v>0</v>
      </c>
      <c r="H774" s="223">
        <f>IFERROR(__xludf.DUMMYFUNCTION("""COMPUTED_VALUE"""),581.33)</f>
        <v>581.33</v>
      </c>
      <c r="I774" s="298"/>
      <c r="J774" s="223" t="str">
        <f>IFERROR(__xludf.DUMMYFUNCTION("""COMPUTED_VALUE"""),"Monthly")</f>
        <v>Monthly</v>
      </c>
      <c r="K774" s="317">
        <f>IFERROR(__xludf.DUMMYFUNCTION("""COMPUTED_VALUE"""),2023.02)</f>
        <v>2023.02</v>
      </c>
      <c r="L774" s="298"/>
      <c r="M774" s="223"/>
      <c r="N774" s="223"/>
      <c r="O774" s="223"/>
      <c r="P774" s="223"/>
      <c r="Q774" s="223"/>
      <c r="R774" s="223"/>
      <c r="S774" s="223"/>
      <c r="T774" s="223"/>
      <c r="U774" s="223"/>
      <c r="V774" s="223"/>
      <c r="W774" s="223"/>
      <c r="X774" s="223"/>
      <c r="Y774" s="223"/>
      <c r="Z774" s="223"/>
    </row>
    <row r="775">
      <c r="A775" s="223" t="str">
        <f>IFERROR(__xludf.DUMMYFUNCTION("""COMPUTED_VALUE"""),"Big Hammer Wines : Monthly PPC")</f>
        <v>Big Hammer Wines : Monthly PPC</v>
      </c>
      <c r="B775" s="223" t="str">
        <f>IFERROR(__xludf.DUMMYFUNCTION("""COMPUTED_VALUE"""),"Big Hammer Wines")</f>
        <v>Big Hammer Wines</v>
      </c>
      <c r="C775" s="223" t="str">
        <f>IFERROR(__xludf.DUMMYFUNCTION("""COMPUTED_VALUE"""),"Monthly PPC")</f>
        <v>Monthly PPC</v>
      </c>
      <c r="D775" s="316">
        <f>IFERROR(__xludf.DUMMYFUNCTION("""COMPUTED_VALUE"""),44985.0)</f>
        <v>44985</v>
      </c>
      <c r="E775" s="298">
        <f>IFERROR(__xludf.DUMMYFUNCTION("""COMPUTED_VALUE"""),1169.77344)</f>
        <v>1169.77344</v>
      </c>
      <c r="F775" s="298">
        <f>IFERROR(__xludf.DUMMYFUNCTION("""COMPUTED_VALUE"""),43.68040368)</f>
        <v>43.68040368</v>
      </c>
      <c r="G775" s="298">
        <f>IFERROR(__xludf.DUMMYFUNCTION("""COMPUTED_VALUE"""),0.0)</f>
        <v>0</v>
      </c>
      <c r="H775" s="223">
        <f>IFERROR(__xludf.DUMMYFUNCTION("""COMPUTED_VALUE"""),1126.09303632)</f>
        <v>1126.093036</v>
      </c>
      <c r="I775" s="298"/>
      <c r="J775" s="223" t="str">
        <f>IFERROR(__xludf.DUMMYFUNCTION("""COMPUTED_VALUE"""),"Monthly")</f>
        <v>Monthly</v>
      </c>
      <c r="K775" s="317">
        <f>IFERROR(__xludf.DUMMYFUNCTION("""COMPUTED_VALUE"""),2023.02)</f>
        <v>2023.02</v>
      </c>
      <c r="L775" s="298"/>
      <c r="M775" s="223"/>
      <c r="N775" s="223"/>
      <c r="O775" s="223"/>
      <c r="P775" s="223"/>
      <c r="Q775" s="223"/>
      <c r="R775" s="223"/>
      <c r="S775" s="223"/>
      <c r="T775" s="223"/>
      <c r="U775" s="223"/>
      <c r="V775" s="223"/>
      <c r="W775" s="223"/>
      <c r="X775" s="223"/>
      <c r="Y775" s="223"/>
      <c r="Z775" s="223"/>
    </row>
    <row r="776">
      <c r="A776" s="223" t="str">
        <f>IFERROR(__xludf.DUMMYFUNCTION("""COMPUTED_VALUE"""),"Sacred Deathcare : Maintainance Retainer")</f>
        <v>Sacred Deathcare : Maintainance Retainer</v>
      </c>
      <c r="B776" s="223" t="str">
        <f>IFERROR(__xludf.DUMMYFUNCTION("""COMPUTED_VALUE"""),"Sacred Deathcare")</f>
        <v>Sacred Deathcare</v>
      </c>
      <c r="C776" s="223" t="str">
        <f>IFERROR(__xludf.DUMMYFUNCTION("""COMPUTED_VALUE"""),"Maintainance Retainer")</f>
        <v>Maintainance Retainer</v>
      </c>
      <c r="D776" s="316">
        <f>IFERROR(__xludf.DUMMYFUNCTION("""COMPUTED_VALUE"""),44985.0)</f>
        <v>44985</v>
      </c>
      <c r="E776" s="298">
        <f>IFERROR(__xludf.DUMMYFUNCTION("""COMPUTED_VALUE"""),250.0)</f>
        <v>250</v>
      </c>
      <c r="F776" s="298">
        <f>IFERROR(__xludf.DUMMYFUNCTION("""COMPUTED_VALUE"""),7.78)</f>
        <v>7.78</v>
      </c>
      <c r="G776" s="298">
        <f>IFERROR(__xludf.DUMMYFUNCTION("""COMPUTED_VALUE"""),0.0)</f>
        <v>0</v>
      </c>
      <c r="H776" s="223">
        <f>IFERROR(__xludf.DUMMYFUNCTION("""COMPUTED_VALUE"""),242.22)</f>
        <v>242.22</v>
      </c>
      <c r="I776" s="298"/>
      <c r="J776" s="223" t="str">
        <f>IFERROR(__xludf.DUMMYFUNCTION("""COMPUTED_VALUE"""),"Monthly")</f>
        <v>Monthly</v>
      </c>
      <c r="K776" s="317">
        <f>IFERROR(__xludf.DUMMYFUNCTION("""COMPUTED_VALUE"""),2023.02)</f>
        <v>2023.02</v>
      </c>
      <c r="L776" s="298"/>
      <c r="M776" s="223"/>
      <c r="N776" s="223"/>
      <c r="O776" s="223"/>
      <c r="P776" s="223"/>
      <c r="Q776" s="223"/>
      <c r="R776" s="223"/>
      <c r="S776" s="223"/>
      <c r="T776" s="223"/>
      <c r="U776" s="223"/>
      <c r="V776" s="223"/>
      <c r="W776" s="223"/>
      <c r="X776" s="223"/>
      <c r="Y776" s="223"/>
      <c r="Z776" s="223"/>
    </row>
    <row r="777">
      <c r="A777" s="223" t="str">
        <f>IFERROR(__xludf.DUMMYFUNCTION("""COMPUTED_VALUE"""),"True Reliance : Website + Content")</f>
        <v>True Reliance : Website + Content</v>
      </c>
      <c r="B777" s="223" t="str">
        <f>IFERROR(__xludf.DUMMYFUNCTION("""COMPUTED_VALUE"""),"True Reliance")</f>
        <v>True Reliance</v>
      </c>
      <c r="C777" s="223" t="str">
        <f>IFERROR(__xludf.DUMMYFUNCTION("""COMPUTED_VALUE"""),"Website + Content")</f>
        <v>Website + Content</v>
      </c>
      <c r="D777" s="316">
        <f>IFERROR(__xludf.DUMMYFUNCTION("""COMPUTED_VALUE"""),44984.0)</f>
        <v>44984</v>
      </c>
      <c r="E777" s="298">
        <f>IFERROR(__xludf.DUMMYFUNCTION("""COMPUTED_VALUE"""),3418.0665999999997)</f>
        <v>3418.0666</v>
      </c>
      <c r="F777" s="298">
        <f>IFERROR(__xludf.DUMMYFUNCTION("""COMPUTED_VALUE"""),126.86285649999999)</f>
        <v>126.8628565</v>
      </c>
      <c r="G777" s="298">
        <f>IFERROR(__xludf.DUMMYFUNCTION("""COMPUTED_VALUE"""),658.2407487)</f>
        <v>658.2407487</v>
      </c>
      <c r="H777" s="223">
        <f>IFERROR(__xludf.DUMMYFUNCTION("""COMPUTED_VALUE"""),2632.9629947999997)</f>
        <v>2632.962995</v>
      </c>
      <c r="I777" s="298"/>
      <c r="J777" s="223" t="str">
        <f>IFERROR(__xludf.DUMMYFUNCTION("""COMPUTED_VALUE"""),"One-Time")</f>
        <v>One-Time</v>
      </c>
      <c r="K777" s="317">
        <f>IFERROR(__xludf.DUMMYFUNCTION("""COMPUTED_VALUE"""),2023.0)</f>
        <v>2023</v>
      </c>
      <c r="L777" s="298"/>
      <c r="M777" s="223"/>
      <c r="N777" s="223"/>
      <c r="O777" s="223"/>
      <c r="P777" s="223"/>
      <c r="Q777" s="223"/>
      <c r="R777" s="223"/>
      <c r="S777" s="223"/>
      <c r="T777" s="223"/>
      <c r="U777" s="223"/>
      <c r="V777" s="223"/>
      <c r="W777" s="223"/>
      <c r="X777" s="223"/>
      <c r="Y777" s="223"/>
      <c r="Z777" s="223"/>
    </row>
    <row r="778">
      <c r="A778" s="223" t="str">
        <f>IFERROR(__xludf.DUMMYFUNCTION("""COMPUTED_VALUE"""),"Luxe Bridal LLC : Monthly PPC")</f>
        <v>Luxe Bridal LLC : Monthly PPC</v>
      </c>
      <c r="B778" s="223" t="str">
        <f>IFERROR(__xludf.DUMMYFUNCTION("""COMPUTED_VALUE"""),"Luxe Bridal LLC")</f>
        <v>Luxe Bridal LLC</v>
      </c>
      <c r="C778" s="223" t="str">
        <f>IFERROR(__xludf.DUMMYFUNCTION("""COMPUTED_VALUE"""),"Monthly PPC")</f>
        <v>Monthly PPC</v>
      </c>
      <c r="D778" s="316">
        <f>IFERROR(__xludf.DUMMYFUNCTION("""COMPUTED_VALUE"""),44985.0)</f>
        <v>44985</v>
      </c>
      <c r="E778" s="298">
        <f>IFERROR(__xludf.DUMMYFUNCTION("""COMPUTED_VALUE"""),4880.3222)</f>
        <v>4880.3222</v>
      </c>
      <c r="F778" s="298">
        <f>IFERROR(__xludf.DUMMYFUNCTION("""COMPUTED_VALUE"""),180.96762319999996)</f>
        <v>180.9676232</v>
      </c>
      <c r="G778" s="298">
        <f>IFERROR(__xludf.DUMMYFUNCTION("""COMPUTED_VALUE"""),939.8709153599999)</f>
        <v>939.8709154</v>
      </c>
      <c r="H778" s="223">
        <f>IFERROR(__xludf.DUMMYFUNCTION("""COMPUTED_VALUE"""),3759.4836614399997)</f>
        <v>3759.483661</v>
      </c>
      <c r="I778" s="298"/>
      <c r="J778" s="223" t="str">
        <f>IFERROR(__xludf.DUMMYFUNCTION("""COMPUTED_VALUE"""),"One-Time Prepaid")</f>
        <v>One-Time Prepaid</v>
      </c>
      <c r="K778" s="317">
        <f>IFERROR(__xludf.DUMMYFUNCTION("""COMPUTED_VALUE"""),2023.02)</f>
        <v>2023.02</v>
      </c>
      <c r="L778" s="298"/>
      <c r="M778" s="223"/>
      <c r="N778" s="223"/>
      <c r="O778" s="223"/>
      <c r="P778" s="223"/>
      <c r="Q778" s="223"/>
      <c r="R778" s="223"/>
      <c r="S778" s="223"/>
      <c r="T778" s="223"/>
      <c r="U778" s="223"/>
      <c r="V778" s="223"/>
      <c r="W778" s="223"/>
      <c r="X778" s="223"/>
      <c r="Y778" s="223"/>
      <c r="Z778" s="223"/>
    </row>
    <row r="779">
      <c r="A779" s="223" t="str">
        <f>IFERROR(__xludf.DUMMYFUNCTION("""COMPUTED_VALUE"""),"WhistleBlower Security : SEO Review")</f>
        <v>WhistleBlower Security : SEO Review</v>
      </c>
      <c r="B779" s="223" t="str">
        <f>IFERROR(__xludf.DUMMYFUNCTION("""COMPUTED_VALUE"""),"WhistleBlower Security")</f>
        <v>WhistleBlower Security</v>
      </c>
      <c r="C779" s="223" t="str">
        <f>IFERROR(__xludf.DUMMYFUNCTION("""COMPUTED_VALUE"""),"SEO Review")</f>
        <v>SEO Review</v>
      </c>
      <c r="D779" s="316">
        <f>IFERROR(__xludf.DUMMYFUNCTION("""COMPUTED_VALUE"""),44985.0)</f>
        <v>44985</v>
      </c>
      <c r="E779" s="298">
        <f>IFERROR(__xludf.DUMMYFUNCTION("""COMPUTED_VALUE"""),900.0)</f>
        <v>900</v>
      </c>
      <c r="F779" s="298">
        <f>IFERROR(__xludf.DUMMYFUNCTION("""COMPUTED_VALUE"""),28.0)</f>
        <v>28</v>
      </c>
      <c r="G779" s="298">
        <f>IFERROR(__xludf.DUMMYFUNCTION("""COMPUTED_VALUE"""),87.2)</f>
        <v>87.2</v>
      </c>
      <c r="H779" s="223">
        <f>IFERROR(__xludf.DUMMYFUNCTION("""COMPUTED_VALUE"""),784.8)</f>
        <v>784.8</v>
      </c>
      <c r="I779" s="298"/>
      <c r="J779" s="223" t="str">
        <f>IFERROR(__xludf.DUMMYFUNCTION("""COMPUTED_VALUE"""),"One-Time Prepaid")</f>
        <v>One-Time Prepaid</v>
      </c>
      <c r="K779" s="317">
        <f>IFERROR(__xludf.DUMMYFUNCTION("""COMPUTED_VALUE"""),2023.0)</f>
        <v>2023</v>
      </c>
      <c r="L779" s="298"/>
      <c r="M779" s="223"/>
      <c r="N779" s="223"/>
      <c r="O779" s="223"/>
      <c r="P779" s="223"/>
      <c r="Q779" s="223"/>
      <c r="R779" s="223"/>
      <c r="S779" s="223"/>
      <c r="T779" s="223"/>
      <c r="U779" s="223"/>
      <c r="V779" s="223"/>
      <c r="W779" s="223"/>
      <c r="X779" s="223"/>
      <c r="Y779" s="223"/>
      <c r="Z779" s="223"/>
    </row>
    <row r="780">
      <c r="A780" s="223" t="str">
        <f>IFERROR(__xludf.DUMMYFUNCTION("""COMPUTED_VALUE"""),"Salty Waffle : General Support")</f>
        <v>Salty Waffle : General Support</v>
      </c>
      <c r="B780" s="223" t="str">
        <f>IFERROR(__xludf.DUMMYFUNCTION("""COMPUTED_VALUE"""),"Salty Waffle")</f>
        <v>Salty Waffle</v>
      </c>
      <c r="C780" s="223" t="str">
        <f>IFERROR(__xludf.DUMMYFUNCTION("""COMPUTED_VALUE"""),"General Support")</f>
        <v>General Support</v>
      </c>
      <c r="D780" s="316">
        <f>IFERROR(__xludf.DUMMYFUNCTION("""COMPUTED_VALUE"""),44985.0)</f>
        <v>44985</v>
      </c>
      <c r="E780" s="298">
        <f>IFERROR(__xludf.DUMMYFUNCTION("""COMPUTED_VALUE"""),600.0)</f>
        <v>600</v>
      </c>
      <c r="F780" s="298">
        <f>IFERROR(__xludf.DUMMYFUNCTION("""COMPUTED_VALUE"""),18.67)</f>
        <v>18.67</v>
      </c>
      <c r="G780" s="298">
        <f>IFERROR(__xludf.DUMMYFUNCTION("""COMPUTED_VALUE"""),0.0)</f>
        <v>0</v>
      </c>
      <c r="H780" s="223">
        <f>IFERROR(__xludf.DUMMYFUNCTION("""COMPUTED_VALUE"""),581.33)</f>
        <v>581.33</v>
      </c>
      <c r="I780" s="298"/>
      <c r="J780" s="223" t="str">
        <f>IFERROR(__xludf.DUMMYFUNCTION("""COMPUTED_VALUE"""),"One-Time Prepaid")</f>
        <v>One-Time Prepaid</v>
      </c>
      <c r="K780" s="317">
        <f>IFERROR(__xludf.DUMMYFUNCTION("""COMPUTED_VALUE"""),2023.0)</f>
        <v>2023</v>
      </c>
      <c r="L780" s="298"/>
      <c r="M780" s="223"/>
      <c r="N780" s="223"/>
      <c r="O780" s="223"/>
      <c r="P780" s="223"/>
      <c r="Q780" s="223"/>
      <c r="R780" s="223"/>
      <c r="S780" s="223"/>
      <c r="T780" s="223"/>
      <c r="U780" s="223"/>
      <c r="V780" s="223"/>
      <c r="W780" s="223"/>
      <c r="X780" s="223"/>
      <c r="Y780" s="223"/>
      <c r="Z780" s="223"/>
    </row>
    <row r="781">
      <c r="A781" s="223" t="str">
        <f>IFERROR(__xludf.DUMMYFUNCTION("""COMPUTED_VALUE"""),"Terra Insights : GDPR Compliance Update")</f>
        <v>Terra Insights : GDPR Compliance Update</v>
      </c>
      <c r="B781" s="223" t="str">
        <f>IFERROR(__xludf.DUMMYFUNCTION("""COMPUTED_VALUE"""),"Terra Insights")</f>
        <v>Terra Insights</v>
      </c>
      <c r="C781" s="223" t="str">
        <f>IFERROR(__xludf.DUMMYFUNCTION("""COMPUTED_VALUE"""),"GDPR Compliance Update")</f>
        <v>GDPR Compliance Update</v>
      </c>
      <c r="D781" s="316">
        <f>IFERROR(__xludf.DUMMYFUNCTION("""COMPUTED_VALUE"""),44994.0)</f>
        <v>44994</v>
      </c>
      <c r="E781" s="298">
        <f>IFERROR(__xludf.DUMMYFUNCTION("""COMPUTED_VALUE"""),250.0)</f>
        <v>250</v>
      </c>
      <c r="F781" s="298">
        <f>IFERROR(__xludf.DUMMYFUNCTION("""COMPUTED_VALUE"""),7.78)</f>
        <v>7.78</v>
      </c>
      <c r="G781" s="298">
        <f>IFERROR(__xludf.DUMMYFUNCTION("""COMPUTED_VALUE"""),0.0)</f>
        <v>0</v>
      </c>
      <c r="H781" s="223">
        <f>IFERROR(__xludf.DUMMYFUNCTION("""COMPUTED_VALUE"""),242.22)</f>
        <v>242.22</v>
      </c>
      <c r="I781" s="298"/>
      <c r="J781" s="223" t="str">
        <f>IFERROR(__xludf.DUMMYFUNCTION("""COMPUTED_VALUE"""),"One-Time Prepaid")</f>
        <v>One-Time Prepaid</v>
      </c>
      <c r="K781" s="317">
        <f>IFERROR(__xludf.DUMMYFUNCTION("""COMPUTED_VALUE"""),2023.0)</f>
        <v>2023</v>
      </c>
      <c r="L781" s="298"/>
      <c r="M781" s="223"/>
      <c r="N781" s="223"/>
      <c r="O781" s="223"/>
      <c r="P781" s="223"/>
      <c r="Q781" s="223"/>
      <c r="R781" s="223"/>
      <c r="S781" s="223"/>
      <c r="T781" s="223"/>
      <c r="U781" s="223"/>
      <c r="V781" s="223"/>
      <c r="W781" s="223"/>
      <c r="X781" s="223"/>
      <c r="Y781" s="223"/>
      <c r="Z781" s="223"/>
    </row>
    <row r="782">
      <c r="A782" s="223" t="str">
        <f>IFERROR(__xludf.DUMMYFUNCTION("""COMPUTED_VALUE"""),"Sharon Wardle : 5 Hours General Support")</f>
        <v>Sharon Wardle : 5 Hours General Support</v>
      </c>
      <c r="B782" s="223" t="str">
        <f>IFERROR(__xludf.DUMMYFUNCTION("""COMPUTED_VALUE"""),"Sharon Wardle")</f>
        <v>Sharon Wardle</v>
      </c>
      <c r="C782" s="223" t="str">
        <f>IFERROR(__xludf.DUMMYFUNCTION("""COMPUTED_VALUE"""),"5 Hours General Support")</f>
        <v>5 Hours General Support</v>
      </c>
      <c r="D782" s="316">
        <f>IFERROR(__xludf.DUMMYFUNCTION("""COMPUTED_VALUE"""),44992.0)</f>
        <v>44992</v>
      </c>
      <c r="E782" s="298">
        <f>IFERROR(__xludf.DUMMYFUNCTION("""COMPUTED_VALUE"""),533.768)</f>
        <v>533.768</v>
      </c>
      <c r="F782" s="298">
        <f>IFERROR(__xludf.DUMMYFUNCTION("""COMPUTED_VALUE"""),17.96)</f>
        <v>17.96</v>
      </c>
      <c r="G782" s="298">
        <f>IFERROR(__xludf.DUMMYFUNCTION("""COMPUTED_VALUE"""),0.0)</f>
        <v>0</v>
      </c>
      <c r="H782" s="223">
        <f>IFERROR(__xludf.DUMMYFUNCTION("""COMPUTED_VALUE"""),515.808)</f>
        <v>515.808</v>
      </c>
      <c r="I782" s="298"/>
      <c r="J782" s="223" t="str">
        <f>IFERROR(__xludf.DUMMYFUNCTION("""COMPUTED_VALUE"""),"One-Time Prepaid")</f>
        <v>One-Time Prepaid</v>
      </c>
      <c r="K782" s="317">
        <f>IFERROR(__xludf.DUMMYFUNCTION("""COMPUTED_VALUE"""),2023.0)</f>
        <v>2023</v>
      </c>
      <c r="L782" s="298"/>
      <c r="M782" s="223"/>
      <c r="N782" s="223"/>
      <c r="O782" s="223"/>
      <c r="P782" s="223"/>
      <c r="Q782" s="223"/>
      <c r="R782" s="223"/>
      <c r="S782" s="223"/>
      <c r="T782" s="223"/>
      <c r="U782" s="223"/>
      <c r="V782" s="223"/>
      <c r="W782" s="223"/>
      <c r="X782" s="223"/>
      <c r="Y782" s="223"/>
      <c r="Z782" s="223"/>
    </row>
    <row r="783">
      <c r="A783" s="223" t="str">
        <f>IFERROR(__xludf.DUMMYFUNCTION("""COMPUTED_VALUE"""),"Tailbase : SEO Support")</f>
        <v>Tailbase : SEO Support</v>
      </c>
      <c r="B783" s="223" t="str">
        <f>IFERROR(__xludf.DUMMYFUNCTION("""COMPUTED_VALUE"""),"Tailbase")</f>
        <v>Tailbase</v>
      </c>
      <c r="C783" s="223" t="str">
        <f>IFERROR(__xludf.DUMMYFUNCTION("""COMPUTED_VALUE"""),"SEO Support")</f>
        <v>SEO Support</v>
      </c>
      <c r="D783" s="316">
        <f>IFERROR(__xludf.DUMMYFUNCTION("""COMPUTED_VALUE"""),44998.0)</f>
        <v>44998</v>
      </c>
      <c r="E783" s="298">
        <f>IFERROR(__xludf.DUMMYFUNCTION("""COMPUTED_VALUE"""),1487.5)</f>
        <v>1487.5</v>
      </c>
      <c r="F783" s="298">
        <f>IFERROR(__xludf.DUMMYFUNCTION("""COMPUTED_VALUE"""),17.5)</f>
        <v>17.5</v>
      </c>
      <c r="G783" s="298">
        <f>IFERROR(__xludf.DUMMYFUNCTION("""COMPUTED_VALUE"""),0.0)</f>
        <v>0</v>
      </c>
      <c r="H783" s="223">
        <f>IFERROR(__xludf.DUMMYFUNCTION("""COMPUTED_VALUE"""),1470.0)</f>
        <v>1470</v>
      </c>
      <c r="I783" s="298"/>
      <c r="J783" s="223" t="str">
        <f>IFERROR(__xludf.DUMMYFUNCTION("""COMPUTED_VALUE"""),"One-Time")</f>
        <v>One-Time</v>
      </c>
      <c r="K783" s="317">
        <f>IFERROR(__xludf.DUMMYFUNCTION("""COMPUTED_VALUE"""),2023.0)</f>
        <v>2023</v>
      </c>
      <c r="L783" s="298"/>
      <c r="M783" s="223"/>
      <c r="N783" s="223"/>
      <c r="O783" s="223"/>
      <c r="P783" s="223"/>
      <c r="Q783" s="223"/>
      <c r="R783" s="223"/>
      <c r="S783" s="223"/>
      <c r="T783" s="223"/>
      <c r="U783" s="223"/>
      <c r="V783" s="223"/>
      <c r="W783" s="223"/>
      <c r="X783" s="223"/>
      <c r="Y783" s="223"/>
      <c r="Z783" s="223"/>
    </row>
    <row r="784">
      <c r="A784" s="223" t="str">
        <f>IFERROR(__xludf.DUMMYFUNCTION("""COMPUTED_VALUE"""),"Tailbase : SEO Support")</f>
        <v>Tailbase : SEO Support</v>
      </c>
      <c r="B784" s="223" t="str">
        <f>IFERROR(__xludf.DUMMYFUNCTION("""COMPUTED_VALUE"""),"Tailbase")</f>
        <v>Tailbase</v>
      </c>
      <c r="C784" s="223" t="str">
        <f>IFERROR(__xludf.DUMMYFUNCTION("""COMPUTED_VALUE"""),"SEO Support")</f>
        <v>SEO Support</v>
      </c>
      <c r="D784" s="316">
        <f>IFERROR(__xludf.DUMMYFUNCTION("""COMPUTED_VALUE"""),45077.0)</f>
        <v>45077</v>
      </c>
      <c r="E784" s="298">
        <f>IFERROR(__xludf.DUMMYFUNCTION("""COMPUTED_VALUE"""),1487.5)</f>
        <v>1487.5</v>
      </c>
      <c r="F784" s="298">
        <f>IFERROR(__xludf.DUMMYFUNCTION("""COMPUTED_VALUE"""),0.0)</f>
        <v>0</v>
      </c>
      <c r="G784" s="298">
        <f>IFERROR(__xludf.DUMMYFUNCTION("""COMPUTED_VALUE"""),0.0)</f>
        <v>0</v>
      </c>
      <c r="H784" s="223">
        <f>IFERROR(__xludf.DUMMYFUNCTION("""COMPUTED_VALUE"""),1487.5)</f>
        <v>1487.5</v>
      </c>
      <c r="I784" s="298"/>
      <c r="J784" s="223" t="str">
        <f>IFERROR(__xludf.DUMMYFUNCTION("""COMPUTED_VALUE"""),"One-Time")</f>
        <v>One-Time</v>
      </c>
      <c r="K784" s="317">
        <f>IFERROR(__xludf.DUMMYFUNCTION("""COMPUTED_VALUE"""),2023.0)</f>
        <v>2023</v>
      </c>
      <c r="L784" s="298"/>
      <c r="M784" s="223"/>
      <c r="N784" s="223"/>
      <c r="O784" s="223"/>
      <c r="P784" s="223"/>
      <c r="Q784" s="223"/>
      <c r="R784" s="223"/>
      <c r="S784" s="223"/>
      <c r="T784" s="223"/>
      <c r="U784" s="223"/>
      <c r="V784" s="223"/>
      <c r="W784" s="223"/>
      <c r="X784" s="223"/>
      <c r="Y784" s="223"/>
      <c r="Z784" s="223"/>
    </row>
    <row r="785">
      <c r="A785" s="223" t="str">
        <f>IFERROR(__xludf.DUMMYFUNCTION("""COMPUTED_VALUE"""),"Moloco : 5 Hour Support Block")</f>
        <v>Moloco : 5 Hour Support Block</v>
      </c>
      <c r="B785" s="223" t="str">
        <f>IFERROR(__xludf.DUMMYFUNCTION("""COMPUTED_VALUE"""),"Moloco")</f>
        <v>Moloco</v>
      </c>
      <c r="C785" s="223" t="str">
        <f>IFERROR(__xludf.DUMMYFUNCTION("""COMPUTED_VALUE"""),"5 Hour Support Block")</f>
        <v>5 Hour Support Block</v>
      </c>
      <c r="D785" s="316">
        <f>IFERROR(__xludf.DUMMYFUNCTION("""COMPUTED_VALUE"""),45000.0)</f>
        <v>45000</v>
      </c>
      <c r="E785" s="298">
        <f>IFERROR(__xludf.DUMMYFUNCTION("""COMPUTED_VALUE"""),391.2495)</f>
        <v>391.2495</v>
      </c>
      <c r="F785" s="298">
        <f>IFERROR(__xludf.DUMMYFUNCTION("""COMPUTED_VALUE"""),14.867481000000002)</f>
        <v>14.867481</v>
      </c>
      <c r="G785" s="298">
        <f>IFERROR(__xludf.DUMMYFUNCTION("""COMPUTED_VALUE"""),0.0)</f>
        <v>0</v>
      </c>
      <c r="H785" s="223">
        <f>IFERROR(__xludf.DUMMYFUNCTION("""COMPUTED_VALUE"""),376.382019)</f>
        <v>376.382019</v>
      </c>
      <c r="I785" s="298"/>
      <c r="J785" s="223" t="str">
        <f>IFERROR(__xludf.DUMMYFUNCTION("""COMPUTED_VALUE"""),"One-Time")</f>
        <v>One-Time</v>
      </c>
      <c r="K785" s="317">
        <f>IFERROR(__xludf.DUMMYFUNCTION("""COMPUTED_VALUE"""),2023.0)</f>
        <v>2023</v>
      </c>
      <c r="L785" s="298"/>
      <c r="M785" s="223"/>
      <c r="N785" s="223"/>
      <c r="O785" s="223"/>
      <c r="P785" s="223"/>
      <c r="Q785" s="223"/>
      <c r="R785" s="223"/>
      <c r="S785" s="223"/>
      <c r="T785" s="223"/>
      <c r="U785" s="223"/>
      <c r="V785" s="223"/>
      <c r="W785" s="223"/>
      <c r="X785" s="223"/>
      <c r="Y785" s="223"/>
      <c r="Z785" s="223"/>
    </row>
    <row r="786">
      <c r="A786" s="223" t="str">
        <f>IFERROR(__xludf.DUMMYFUNCTION("""COMPUTED_VALUE"""),"Booginhead : Monthly Services")</f>
        <v>Booginhead : Monthly Services</v>
      </c>
      <c r="B786" s="223" t="str">
        <f>IFERROR(__xludf.DUMMYFUNCTION("""COMPUTED_VALUE"""),"Booginhead")</f>
        <v>Booginhead</v>
      </c>
      <c r="C786" s="223" t="str">
        <f>IFERROR(__xludf.DUMMYFUNCTION("""COMPUTED_VALUE"""),"Monthly Services")</f>
        <v>Monthly Services</v>
      </c>
      <c r="D786" s="316">
        <f>IFERROR(__xludf.DUMMYFUNCTION("""COMPUTED_VALUE"""),45000.0)</f>
        <v>45000</v>
      </c>
      <c r="E786" s="298">
        <f>IFERROR(__xludf.DUMMYFUNCTION("""COMPUTED_VALUE"""),1894.50118)</f>
        <v>1894.50118</v>
      </c>
      <c r="F786" s="298">
        <f>IFERROR(__xludf.DUMMYFUNCTION("""COMPUTED_VALUE"""),70.49399146)</f>
        <v>70.49399146</v>
      </c>
      <c r="G786" s="298">
        <f>IFERROR(__xludf.DUMMYFUNCTION("""COMPUTED_VALUE"""),364.80143770800004)</f>
        <v>364.8014377</v>
      </c>
      <c r="H786" s="223">
        <f>IFERROR(__xludf.DUMMYFUNCTION("""COMPUTED_VALUE"""),1459.205750832)</f>
        <v>1459.205751</v>
      </c>
      <c r="I786" s="298"/>
      <c r="J786" s="223" t="str">
        <f>IFERROR(__xludf.DUMMYFUNCTION("""COMPUTED_VALUE"""),"Monthly")</f>
        <v>Monthly</v>
      </c>
      <c r="K786" s="317">
        <f>IFERROR(__xludf.DUMMYFUNCTION("""COMPUTED_VALUE"""),2023.03)</f>
        <v>2023.03</v>
      </c>
      <c r="L786" s="298"/>
      <c r="M786" s="223"/>
      <c r="N786" s="223"/>
      <c r="O786" s="223"/>
      <c r="P786" s="223"/>
      <c r="Q786" s="223"/>
      <c r="R786" s="223"/>
      <c r="S786" s="223"/>
      <c r="T786" s="223"/>
      <c r="U786" s="223"/>
      <c r="V786" s="223"/>
      <c r="W786" s="223"/>
      <c r="X786" s="223"/>
      <c r="Y786" s="223"/>
      <c r="Z786" s="223"/>
    </row>
    <row r="787">
      <c r="A787" s="223" t="str">
        <f>IFERROR(__xludf.DUMMYFUNCTION("""COMPUTED_VALUE"""),"New Growth Ecommerce Inc : Monthly Services")</f>
        <v>New Growth Ecommerce Inc : Monthly Services</v>
      </c>
      <c r="B787" s="223" t="str">
        <f>IFERROR(__xludf.DUMMYFUNCTION("""COMPUTED_VALUE"""),"New Growth Ecommerce Inc")</f>
        <v>New Growth Ecommerce Inc</v>
      </c>
      <c r="C787" s="223" t="str">
        <f>IFERROR(__xludf.DUMMYFUNCTION("""COMPUTED_VALUE"""),"Monthly Services")</f>
        <v>Monthly Services</v>
      </c>
      <c r="D787" s="316">
        <f>IFERROR(__xludf.DUMMYFUNCTION("""COMPUTED_VALUE"""),45000.0)</f>
        <v>45000</v>
      </c>
      <c r="E787" s="298">
        <f>IFERROR(__xludf.DUMMYFUNCTION("""COMPUTED_VALUE"""),5000.0)</f>
        <v>5000</v>
      </c>
      <c r="F787" s="298">
        <f>IFERROR(__xludf.DUMMYFUNCTION("""COMPUTED_VALUE"""),0.0)</f>
        <v>0</v>
      </c>
      <c r="G787" s="298">
        <f>IFERROR(__xludf.DUMMYFUNCTION("""COMPUTED_VALUE"""),0.0)</f>
        <v>0</v>
      </c>
      <c r="H787" s="223">
        <f>IFERROR(__xludf.DUMMYFUNCTION("""COMPUTED_VALUE"""),5000.0)</f>
        <v>5000</v>
      </c>
      <c r="I787" s="298"/>
      <c r="J787" s="223" t="str">
        <f>IFERROR(__xludf.DUMMYFUNCTION("""COMPUTED_VALUE"""),"Monthly")</f>
        <v>Monthly</v>
      </c>
      <c r="K787" s="317">
        <f>IFERROR(__xludf.DUMMYFUNCTION("""COMPUTED_VALUE"""),2023.03)</f>
        <v>2023.03</v>
      </c>
      <c r="L787" s="298"/>
      <c r="M787" s="223"/>
      <c r="N787" s="223"/>
      <c r="O787" s="223"/>
      <c r="P787" s="223"/>
      <c r="Q787" s="223"/>
      <c r="R787" s="223"/>
      <c r="S787" s="223"/>
      <c r="T787" s="223"/>
      <c r="U787" s="223"/>
      <c r="V787" s="223"/>
      <c r="W787" s="223"/>
      <c r="X787" s="223"/>
      <c r="Y787" s="223"/>
      <c r="Z787" s="223"/>
    </row>
    <row r="788">
      <c r="A788" s="223" t="str">
        <f>IFERROR(__xludf.DUMMYFUNCTION("""COMPUTED_VALUE"""),"OA Region 6 : Monthly Services")</f>
        <v>OA Region 6 : Monthly Services</v>
      </c>
      <c r="B788" s="223" t="str">
        <f>IFERROR(__xludf.DUMMYFUNCTION("""COMPUTED_VALUE"""),"OA Region 6")</f>
        <v>OA Region 6</v>
      </c>
      <c r="C788" s="223" t="str">
        <f>IFERROR(__xludf.DUMMYFUNCTION("""COMPUTED_VALUE"""),"Monthly Services")</f>
        <v>Monthly Services</v>
      </c>
      <c r="D788" s="316">
        <f>IFERROR(__xludf.DUMMYFUNCTION("""COMPUTED_VALUE"""),45000.0)</f>
        <v>45000</v>
      </c>
      <c r="E788" s="298">
        <f>IFERROR(__xludf.DUMMYFUNCTION("""COMPUTED_VALUE"""),455.1337)</f>
        <v>455.1337</v>
      </c>
      <c r="F788" s="298">
        <f>IFERROR(__xludf.DUMMYFUNCTION("""COMPUTED_VALUE"""),17.230061499999998)</f>
        <v>17.2300615</v>
      </c>
      <c r="G788" s="298">
        <f>IFERROR(__xludf.DUMMYFUNCTION("""COMPUTED_VALUE"""),0.0)</f>
        <v>0</v>
      </c>
      <c r="H788" s="223">
        <f>IFERROR(__xludf.DUMMYFUNCTION("""COMPUTED_VALUE"""),437.9036385)</f>
        <v>437.9036385</v>
      </c>
      <c r="I788" s="298"/>
      <c r="J788" s="223" t="str">
        <f>IFERROR(__xludf.DUMMYFUNCTION("""COMPUTED_VALUE"""),"Monthly")</f>
        <v>Monthly</v>
      </c>
      <c r="K788" s="317">
        <f>IFERROR(__xludf.DUMMYFUNCTION("""COMPUTED_VALUE"""),2023.03)</f>
        <v>2023.03</v>
      </c>
      <c r="L788" s="298"/>
      <c r="M788" s="223"/>
      <c r="N788" s="223"/>
      <c r="O788" s="223"/>
      <c r="P788" s="223"/>
      <c r="Q788" s="223"/>
      <c r="R788" s="223"/>
      <c r="S788" s="223"/>
      <c r="T788" s="223"/>
      <c r="U788" s="223"/>
      <c r="V788" s="223"/>
      <c r="W788" s="223"/>
      <c r="X788" s="223"/>
      <c r="Y788" s="223"/>
      <c r="Z788" s="223"/>
    </row>
    <row r="789">
      <c r="A789" s="223" t="str">
        <f>IFERROR(__xludf.DUMMYFUNCTION("""COMPUTED_VALUE"""),"Tofino Resort + Marina : Monthly Services")</f>
        <v>Tofino Resort + Marina : Monthly Services</v>
      </c>
      <c r="B789" s="223" t="str">
        <f>IFERROR(__xludf.DUMMYFUNCTION("""COMPUTED_VALUE"""),"Tofino Resort + Marina")</f>
        <v>Tofino Resort + Marina</v>
      </c>
      <c r="C789" s="223" t="str">
        <f>IFERROR(__xludf.DUMMYFUNCTION("""COMPUTED_VALUE"""),"Monthly Services")</f>
        <v>Monthly Services</v>
      </c>
      <c r="D789" s="316">
        <f>IFERROR(__xludf.DUMMYFUNCTION("""COMPUTED_VALUE"""),45000.0)</f>
        <v>45000</v>
      </c>
      <c r="E789" s="298">
        <f>IFERROR(__xludf.DUMMYFUNCTION("""COMPUTED_VALUE"""),1600.0)</f>
        <v>1600</v>
      </c>
      <c r="F789" s="298">
        <f>IFERROR(__xludf.DUMMYFUNCTION("""COMPUTED_VALUE"""),49.78)</f>
        <v>49.78</v>
      </c>
      <c r="G789" s="298">
        <f>IFERROR(__xludf.DUMMYFUNCTION("""COMPUTED_VALUE"""),0.0)</f>
        <v>0</v>
      </c>
      <c r="H789" s="223">
        <f>IFERROR(__xludf.DUMMYFUNCTION("""COMPUTED_VALUE"""),1550.22)</f>
        <v>1550.22</v>
      </c>
      <c r="I789" s="298"/>
      <c r="J789" s="223" t="str">
        <f>IFERROR(__xludf.DUMMYFUNCTION("""COMPUTED_VALUE"""),"Monthly")</f>
        <v>Monthly</v>
      </c>
      <c r="K789" s="317">
        <f>IFERROR(__xludf.DUMMYFUNCTION("""COMPUTED_VALUE"""),2023.03)</f>
        <v>2023.03</v>
      </c>
      <c r="L789" s="298"/>
      <c r="M789" s="223"/>
      <c r="N789" s="223"/>
      <c r="O789" s="223"/>
      <c r="P789" s="223"/>
      <c r="Q789" s="223"/>
      <c r="R789" s="223"/>
      <c r="S789" s="223"/>
      <c r="T789" s="223"/>
      <c r="U789" s="223"/>
      <c r="V789" s="223"/>
      <c r="W789" s="223"/>
      <c r="X789" s="223"/>
      <c r="Y789" s="223"/>
      <c r="Z789" s="223"/>
    </row>
    <row r="790">
      <c r="A790" s="223" t="str">
        <f>IFERROR(__xludf.DUMMYFUNCTION("""COMPUTED_VALUE"""),"Viridian : Monthly Services")</f>
        <v>Viridian : Monthly Services</v>
      </c>
      <c r="B790" s="223" t="str">
        <f>IFERROR(__xludf.DUMMYFUNCTION("""COMPUTED_VALUE"""),"Viridian")</f>
        <v>Viridian</v>
      </c>
      <c r="C790" s="223" t="str">
        <f>IFERROR(__xludf.DUMMYFUNCTION("""COMPUTED_VALUE"""),"Monthly Services")</f>
        <v>Monthly Services</v>
      </c>
      <c r="D790" s="316">
        <f>IFERROR(__xludf.DUMMYFUNCTION("""COMPUTED_VALUE"""),45000.0)</f>
        <v>45000</v>
      </c>
      <c r="E790" s="298">
        <f>IFERROR(__xludf.DUMMYFUNCTION("""COMPUTED_VALUE"""),990.0)</f>
        <v>990</v>
      </c>
      <c r="F790" s="298">
        <f>IFERROR(__xludf.DUMMYFUNCTION("""COMPUTED_VALUE"""),0.0)</f>
        <v>0</v>
      </c>
      <c r="G790" s="298">
        <f>IFERROR(__xludf.DUMMYFUNCTION("""COMPUTED_VALUE"""),0.0)</f>
        <v>0</v>
      </c>
      <c r="H790" s="223">
        <f>IFERROR(__xludf.DUMMYFUNCTION("""COMPUTED_VALUE"""),990.0)</f>
        <v>990</v>
      </c>
      <c r="I790" s="298"/>
      <c r="J790" s="223" t="str">
        <f>IFERROR(__xludf.DUMMYFUNCTION("""COMPUTED_VALUE"""),"Monthly")</f>
        <v>Monthly</v>
      </c>
      <c r="K790" s="317">
        <f>IFERROR(__xludf.DUMMYFUNCTION("""COMPUTED_VALUE"""),2023.03)</f>
        <v>2023.03</v>
      </c>
      <c r="L790" s="298"/>
      <c r="M790" s="223"/>
      <c r="N790" s="223"/>
      <c r="O790" s="223"/>
      <c r="P790" s="223"/>
      <c r="Q790" s="223"/>
      <c r="R790" s="223"/>
      <c r="S790" s="223"/>
      <c r="T790" s="223"/>
      <c r="U790" s="223"/>
      <c r="V790" s="223"/>
      <c r="W790" s="223"/>
      <c r="X790" s="223"/>
      <c r="Y790" s="223"/>
      <c r="Z790" s="223"/>
    </row>
    <row r="791">
      <c r="A791" s="223" t="str">
        <f>IFERROR(__xludf.DUMMYFUNCTION("""COMPUTED_VALUE"""),"Canyon's Construction : Enhanced Hosting &amp; WordPress Support")</f>
        <v>Canyon's Construction : Enhanced Hosting &amp; WordPress Support</v>
      </c>
      <c r="B791" s="223" t="str">
        <f>IFERROR(__xludf.DUMMYFUNCTION("""COMPUTED_VALUE"""),"Canyon's Construction")</f>
        <v>Canyon's Construction</v>
      </c>
      <c r="C791" s="223" t="str">
        <f>IFERROR(__xludf.DUMMYFUNCTION("""COMPUTED_VALUE"""),"Enhanced Hosting &amp; WordPress Support")</f>
        <v>Enhanced Hosting &amp; WordPress Support</v>
      </c>
      <c r="D791" s="316">
        <f>IFERROR(__xludf.DUMMYFUNCTION("""COMPUTED_VALUE"""),45000.0)</f>
        <v>45000</v>
      </c>
      <c r="E791" s="298">
        <f>IFERROR(__xludf.DUMMYFUNCTION("""COMPUTED_VALUE"""),362.88475999999997)</f>
        <v>362.88476</v>
      </c>
      <c r="F791" s="298">
        <f>IFERROR(__xludf.DUMMYFUNCTION("""COMPUTED_VALUE"""),13.47571095301045)</f>
        <v>13.47571095</v>
      </c>
      <c r="G791" s="298">
        <f>IFERROR(__xludf.DUMMYFUNCTION("""COMPUTED_VALUE"""),69.88180980939791)</f>
        <v>69.88180981</v>
      </c>
      <c r="H791" s="223">
        <f>IFERROR(__xludf.DUMMYFUNCTION("""COMPUTED_VALUE"""),279.52723923759163)</f>
        <v>279.5272392</v>
      </c>
      <c r="I791" s="298"/>
      <c r="J791" s="223" t="str">
        <f>IFERROR(__xludf.DUMMYFUNCTION("""COMPUTED_VALUE"""),"Monthly")</f>
        <v>Monthly</v>
      </c>
      <c r="K791" s="317">
        <f>IFERROR(__xludf.DUMMYFUNCTION("""COMPUTED_VALUE"""),2023.03)</f>
        <v>2023.03</v>
      </c>
      <c r="L791" s="298"/>
      <c r="M791" s="223"/>
      <c r="N791" s="223"/>
      <c r="O791" s="223"/>
      <c r="P791" s="223"/>
      <c r="Q791" s="223"/>
      <c r="R791" s="223"/>
      <c r="S791" s="223"/>
      <c r="T791" s="223"/>
      <c r="U791" s="223"/>
      <c r="V791" s="223"/>
      <c r="W791" s="223"/>
      <c r="X791" s="223"/>
      <c r="Y791" s="223"/>
      <c r="Z791" s="223"/>
    </row>
    <row r="792">
      <c r="A792" s="223" t="str">
        <f>IFERROR(__xludf.DUMMYFUNCTION("""COMPUTED_VALUE"""),"Villa del Mar : Enhanced Hosting &amp; WordPress Support")</f>
        <v>Villa del Mar : Enhanced Hosting &amp; WordPress Support</v>
      </c>
      <c r="B792" s="223" t="str">
        <f>IFERROR(__xludf.DUMMYFUNCTION("""COMPUTED_VALUE"""),"Villa del Mar")</f>
        <v>Villa del Mar</v>
      </c>
      <c r="C792" s="223" t="str">
        <f>IFERROR(__xludf.DUMMYFUNCTION("""COMPUTED_VALUE"""),"Enhanced Hosting &amp; WordPress Support")</f>
        <v>Enhanced Hosting &amp; WordPress Support</v>
      </c>
      <c r="D792" s="316">
        <f>IFERROR(__xludf.DUMMYFUNCTION("""COMPUTED_VALUE"""),45000.0)</f>
        <v>45000</v>
      </c>
      <c r="E792" s="298">
        <f>IFERROR(__xludf.DUMMYFUNCTION("""COMPUTED_VALUE"""),374.7324)</f>
        <v>374.7324</v>
      </c>
      <c r="F792" s="298">
        <f>IFERROR(__xludf.DUMMYFUNCTION("""COMPUTED_VALUE"""),11.17)</f>
        <v>11.17</v>
      </c>
      <c r="G792" s="298">
        <f>IFERROR(__xludf.DUMMYFUNCTION("""COMPUTED_VALUE"""),0.0)</f>
        <v>0</v>
      </c>
      <c r="H792" s="223">
        <f>IFERROR(__xludf.DUMMYFUNCTION("""COMPUTED_VALUE"""),363.56239999999997)</f>
        <v>363.5624</v>
      </c>
      <c r="I792" s="298"/>
      <c r="J792" s="223" t="str">
        <f>IFERROR(__xludf.DUMMYFUNCTION("""COMPUTED_VALUE"""),"Monthly")</f>
        <v>Monthly</v>
      </c>
      <c r="K792" s="317">
        <f>IFERROR(__xludf.DUMMYFUNCTION("""COMPUTED_VALUE"""),2023.03)</f>
        <v>2023.03</v>
      </c>
      <c r="L792" s="298"/>
      <c r="M792" s="223"/>
      <c r="N792" s="223"/>
      <c r="O792" s="223"/>
      <c r="P792" s="223"/>
      <c r="Q792" s="223"/>
      <c r="R792" s="223"/>
      <c r="S792" s="223"/>
      <c r="T792" s="223"/>
      <c r="U792" s="223"/>
      <c r="V792" s="223"/>
      <c r="W792" s="223"/>
      <c r="X792" s="223"/>
      <c r="Y792" s="223"/>
      <c r="Z792" s="223"/>
    </row>
    <row r="793">
      <c r="A793" s="223" t="str">
        <f>IFERROR(__xludf.DUMMYFUNCTION("""COMPUTED_VALUE"""),"Classic LifeCare : Monthly Google Ads (PPC) Management")</f>
        <v>Classic LifeCare : Monthly Google Ads (PPC) Management</v>
      </c>
      <c r="B793" s="223" t="str">
        <f>IFERROR(__xludf.DUMMYFUNCTION("""COMPUTED_VALUE"""),"Classic LifeCare")</f>
        <v>Classic LifeCare</v>
      </c>
      <c r="C793" s="223" t="str">
        <f>IFERROR(__xludf.DUMMYFUNCTION("""COMPUTED_VALUE"""),"Monthly Google Ads (PPC) Management")</f>
        <v>Monthly Google Ads (PPC) Management</v>
      </c>
      <c r="D793" s="316">
        <f>IFERROR(__xludf.DUMMYFUNCTION("""COMPUTED_VALUE"""),45000.0)</f>
        <v>45000</v>
      </c>
      <c r="E793" s="298">
        <f>IFERROR(__xludf.DUMMYFUNCTION("""COMPUTED_VALUE"""),500.0)</f>
        <v>500</v>
      </c>
      <c r="F793" s="298">
        <f>IFERROR(__xludf.DUMMYFUNCTION("""COMPUTED_VALUE"""),0.0)</f>
        <v>0</v>
      </c>
      <c r="G793" s="298">
        <f>IFERROR(__xludf.DUMMYFUNCTION("""COMPUTED_VALUE"""),0.0)</f>
        <v>0</v>
      </c>
      <c r="H793" s="223">
        <f>IFERROR(__xludf.DUMMYFUNCTION("""COMPUTED_VALUE"""),500.0)</f>
        <v>500</v>
      </c>
      <c r="I793" s="298"/>
      <c r="J793" s="223" t="str">
        <f>IFERROR(__xludf.DUMMYFUNCTION("""COMPUTED_VALUE"""),"Monthly")</f>
        <v>Monthly</v>
      </c>
      <c r="K793" s="317">
        <f>IFERROR(__xludf.DUMMYFUNCTION("""COMPUTED_VALUE"""),2023.03)</f>
        <v>2023.03</v>
      </c>
      <c r="L793" s="298"/>
      <c r="M793" s="223"/>
      <c r="N793" s="223"/>
      <c r="O793" s="223"/>
      <c r="P793" s="223"/>
      <c r="Q793" s="223"/>
      <c r="R793" s="223"/>
      <c r="S793" s="223"/>
      <c r="T793" s="223"/>
      <c r="U793" s="223"/>
      <c r="V793" s="223"/>
      <c r="W793" s="223"/>
      <c r="X793" s="223"/>
      <c r="Y793" s="223"/>
      <c r="Z793" s="223"/>
    </row>
    <row r="794">
      <c r="A794" s="223" t="str">
        <f>IFERROR(__xludf.DUMMYFUNCTION("""COMPUTED_VALUE"""),"Ultimate Tools : Monthly SEO &amp; PPC Management")</f>
        <v>Ultimate Tools : Monthly SEO &amp; PPC Management</v>
      </c>
      <c r="B794" s="223" t="str">
        <f>IFERROR(__xludf.DUMMYFUNCTION("""COMPUTED_VALUE"""),"Ultimate Tools")</f>
        <v>Ultimate Tools</v>
      </c>
      <c r="C794" s="223" t="str">
        <f>IFERROR(__xludf.DUMMYFUNCTION("""COMPUTED_VALUE"""),"Monthly SEO &amp; PPC Management")</f>
        <v>Monthly SEO &amp; PPC Management</v>
      </c>
      <c r="D794" s="316">
        <f>IFERROR(__xludf.DUMMYFUNCTION("""COMPUTED_VALUE"""),45000.0)</f>
        <v>45000</v>
      </c>
      <c r="E794" s="298">
        <f>IFERROR(__xludf.DUMMYFUNCTION("""COMPUTED_VALUE"""),2500.0)</f>
        <v>2500</v>
      </c>
      <c r="F794" s="298">
        <f>IFERROR(__xludf.DUMMYFUNCTION("""COMPUTED_VALUE"""),77.78)</f>
        <v>77.78</v>
      </c>
      <c r="G794" s="298">
        <f>IFERROR(__xludf.DUMMYFUNCTION("""COMPUTED_VALUE"""),0.0)</f>
        <v>0</v>
      </c>
      <c r="H794" s="223">
        <f>IFERROR(__xludf.DUMMYFUNCTION("""COMPUTED_VALUE"""),2422.22)</f>
        <v>2422.22</v>
      </c>
      <c r="I794" s="298"/>
      <c r="J794" s="223" t="str">
        <f>IFERROR(__xludf.DUMMYFUNCTION("""COMPUTED_VALUE"""),"Monthly")</f>
        <v>Monthly</v>
      </c>
      <c r="K794" s="317">
        <f>IFERROR(__xludf.DUMMYFUNCTION("""COMPUTED_VALUE"""),2023.03)</f>
        <v>2023.03</v>
      </c>
      <c r="L794" s="298"/>
      <c r="M794" s="223"/>
      <c r="N794" s="223"/>
      <c r="O794" s="223"/>
      <c r="P794" s="223"/>
      <c r="Q794" s="223"/>
      <c r="R794" s="223"/>
      <c r="S794" s="223"/>
      <c r="T794" s="223"/>
      <c r="U794" s="223"/>
      <c r="V794" s="223"/>
      <c r="W794" s="223"/>
      <c r="X794" s="223"/>
      <c r="Y794" s="223"/>
      <c r="Z794" s="223"/>
    </row>
    <row r="795">
      <c r="A795" s="223" t="str">
        <f>IFERROR(__xludf.DUMMYFUNCTION("""COMPUTED_VALUE"""),"McAllister Marketing : Copernic PPC / SEO")</f>
        <v>McAllister Marketing : Copernic PPC / SEO</v>
      </c>
      <c r="B795" s="223" t="str">
        <f>IFERROR(__xludf.DUMMYFUNCTION("""COMPUTED_VALUE"""),"McAllister Marketing")</f>
        <v>McAllister Marketing</v>
      </c>
      <c r="C795" s="223" t="str">
        <f>IFERROR(__xludf.DUMMYFUNCTION("""COMPUTED_VALUE"""),"Copernic PPC / SEO")</f>
        <v>Copernic PPC / SEO</v>
      </c>
      <c r="D795" s="316">
        <f>IFERROR(__xludf.DUMMYFUNCTION("""COMPUTED_VALUE"""),45000.0)</f>
        <v>45000</v>
      </c>
      <c r="E795" s="298">
        <f>IFERROR(__xludf.DUMMYFUNCTION("""COMPUTED_VALUE"""),3000.0)</f>
        <v>3000</v>
      </c>
      <c r="F795" s="298">
        <f>IFERROR(__xludf.DUMMYFUNCTION("""COMPUTED_VALUE"""),0.0)</f>
        <v>0</v>
      </c>
      <c r="G795" s="298">
        <f>IFERROR(__xludf.DUMMYFUNCTION("""COMPUTED_VALUE"""),0.0)</f>
        <v>0</v>
      </c>
      <c r="H795" s="223">
        <f>IFERROR(__xludf.DUMMYFUNCTION("""COMPUTED_VALUE"""),3000.0)</f>
        <v>3000</v>
      </c>
      <c r="I795" s="298"/>
      <c r="J795" s="223" t="str">
        <f>IFERROR(__xludf.DUMMYFUNCTION("""COMPUTED_VALUE"""),"Monthly")</f>
        <v>Monthly</v>
      </c>
      <c r="K795" s="317">
        <f>IFERROR(__xludf.DUMMYFUNCTION("""COMPUTED_VALUE"""),2023.03)</f>
        <v>2023.03</v>
      </c>
      <c r="L795" s="298"/>
      <c r="M795" s="223"/>
      <c r="N795" s="223"/>
      <c r="O795" s="223"/>
      <c r="P795" s="223"/>
      <c r="Q795" s="223"/>
      <c r="R795" s="223"/>
      <c r="S795" s="223"/>
      <c r="T795" s="223"/>
      <c r="U795" s="223"/>
      <c r="V795" s="223"/>
      <c r="W795" s="223"/>
      <c r="X795" s="223"/>
      <c r="Y795" s="223"/>
      <c r="Z795" s="223"/>
    </row>
    <row r="796">
      <c r="A796" s="223" t="str">
        <f>IFERROR(__xludf.DUMMYFUNCTION("""COMPUTED_VALUE"""),"Terra Insights : Monthly PPC")</f>
        <v>Terra Insights : Monthly PPC</v>
      </c>
      <c r="B796" s="223" t="str">
        <f>IFERROR(__xludf.DUMMYFUNCTION("""COMPUTED_VALUE"""),"Terra Insights")</f>
        <v>Terra Insights</v>
      </c>
      <c r="C796" s="223" t="str">
        <f>IFERROR(__xludf.DUMMYFUNCTION("""COMPUTED_VALUE"""),"Monthly PPC")</f>
        <v>Monthly PPC</v>
      </c>
      <c r="D796" s="316">
        <f>IFERROR(__xludf.DUMMYFUNCTION("""COMPUTED_VALUE"""),45000.0)</f>
        <v>45000</v>
      </c>
      <c r="E796" s="298">
        <f>IFERROR(__xludf.DUMMYFUNCTION("""COMPUTED_VALUE"""),2000.0)</f>
        <v>2000</v>
      </c>
      <c r="F796" s="298">
        <f>IFERROR(__xludf.DUMMYFUNCTION("""COMPUTED_VALUE"""),0.0)</f>
        <v>0</v>
      </c>
      <c r="G796" s="298">
        <f>IFERROR(__xludf.DUMMYFUNCTION("""COMPUTED_VALUE"""),0.0)</f>
        <v>0</v>
      </c>
      <c r="H796" s="223">
        <f>IFERROR(__xludf.DUMMYFUNCTION("""COMPUTED_VALUE"""),2000.0)</f>
        <v>2000</v>
      </c>
      <c r="I796" s="298"/>
      <c r="J796" s="223" t="str">
        <f>IFERROR(__xludf.DUMMYFUNCTION("""COMPUTED_VALUE"""),"Monthly")</f>
        <v>Monthly</v>
      </c>
      <c r="K796" s="317">
        <f>IFERROR(__xludf.DUMMYFUNCTION("""COMPUTED_VALUE"""),2023.03)</f>
        <v>2023.03</v>
      </c>
      <c r="L796" s="298"/>
      <c r="M796" s="223"/>
      <c r="N796" s="223"/>
      <c r="O796" s="223"/>
      <c r="P796" s="223"/>
      <c r="Q796" s="223"/>
      <c r="R796" s="223"/>
      <c r="S796" s="223"/>
      <c r="T796" s="223"/>
      <c r="U796" s="223"/>
      <c r="V796" s="223"/>
      <c r="W796" s="223"/>
      <c r="X796" s="223"/>
      <c r="Y796" s="223"/>
      <c r="Z796" s="223"/>
    </row>
    <row r="797">
      <c r="A797" s="223" t="str">
        <f>IFERROR(__xludf.DUMMYFUNCTION("""COMPUTED_VALUE"""),"Markey Machine : General Support Retainer")</f>
        <v>Markey Machine : General Support Retainer</v>
      </c>
      <c r="B797" s="223" t="str">
        <f>IFERROR(__xludf.DUMMYFUNCTION("""COMPUTED_VALUE"""),"Markey Machine")</f>
        <v>Markey Machine</v>
      </c>
      <c r="C797" s="223" t="str">
        <f>IFERROR(__xludf.DUMMYFUNCTION("""COMPUTED_VALUE"""),"General Support Retainer")</f>
        <v>General Support Retainer</v>
      </c>
      <c r="D797" s="316">
        <f>IFERROR(__xludf.DUMMYFUNCTION("""COMPUTED_VALUE"""),45000.0)</f>
        <v>45000</v>
      </c>
      <c r="E797" s="298">
        <f>IFERROR(__xludf.DUMMYFUNCTION("""COMPUTED_VALUE"""),335.8875)</f>
        <v>335.8875</v>
      </c>
      <c r="F797" s="298">
        <f>IFERROR(__xludf.DUMMYFUNCTION("""COMPUTED_VALUE"""),10.04)</f>
        <v>10.04</v>
      </c>
      <c r="G797" s="298">
        <f>IFERROR(__xludf.DUMMYFUNCTION("""COMPUTED_VALUE"""),65.1695)</f>
        <v>65.1695</v>
      </c>
      <c r="H797" s="223">
        <f>IFERROR(__xludf.DUMMYFUNCTION("""COMPUTED_VALUE"""),260.678)</f>
        <v>260.678</v>
      </c>
      <c r="I797" s="298"/>
      <c r="J797" s="223" t="str">
        <f>IFERROR(__xludf.DUMMYFUNCTION("""COMPUTED_VALUE"""),"Monthly")</f>
        <v>Monthly</v>
      </c>
      <c r="K797" s="317">
        <f>IFERROR(__xludf.DUMMYFUNCTION("""COMPUTED_VALUE"""),2023.03)</f>
        <v>2023.03</v>
      </c>
      <c r="L797" s="298"/>
      <c r="M797" s="223"/>
      <c r="N797" s="223"/>
      <c r="O797" s="223"/>
      <c r="P797" s="223"/>
      <c r="Q797" s="223"/>
      <c r="R797" s="223"/>
      <c r="S797" s="223"/>
      <c r="T797" s="223"/>
      <c r="U797" s="223"/>
      <c r="V797" s="223"/>
      <c r="W797" s="223"/>
      <c r="X797" s="223"/>
      <c r="Y797" s="223"/>
      <c r="Z797" s="223"/>
    </row>
    <row r="798">
      <c r="A798" s="223" t="str">
        <f>IFERROR(__xludf.DUMMYFUNCTION("""COMPUTED_VALUE"""),"C360 : Phase II: Johns Hopkins University PPC Management")</f>
        <v>C360 : Phase II: Johns Hopkins University PPC Management</v>
      </c>
      <c r="B798" s="223" t="str">
        <f>IFERROR(__xludf.DUMMYFUNCTION("""COMPUTED_VALUE"""),"C360")</f>
        <v>C360</v>
      </c>
      <c r="C798" s="223" t="str">
        <f>IFERROR(__xludf.DUMMYFUNCTION("""COMPUTED_VALUE"""),"Phase II: Johns Hopkins University PPC Management")</f>
        <v>Phase II: Johns Hopkins University PPC Management</v>
      </c>
      <c r="D798" s="316">
        <f>IFERROR(__xludf.DUMMYFUNCTION("""COMPUTED_VALUE"""),45016.0)</f>
        <v>45016</v>
      </c>
      <c r="E798" s="298">
        <f>IFERROR(__xludf.DUMMYFUNCTION("""COMPUTED_VALUE"""),330.5)</f>
        <v>330.5</v>
      </c>
      <c r="F798" s="298">
        <f>IFERROR(__xludf.DUMMYFUNCTION("""COMPUTED_VALUE"""),0.0)</f>
        <v>0</v>
      </c>
      <c r="G798" s="298">
        <f>IFERROR(__xludf.DUMMYFUNCTION("""COMPUTED_VALUE"""),0.0)</f>
        <v>0</v>
      </c>
      <c r="H798" s="223">
        <f>IFERROR(__xludf.DUMMYFUNCTION("""COMPUTED_VALUE"""),330.5)</f>
        <v>330.5</v>
      </c>
      <c r="I798" s="298"/>
      <c r="J798" s="223" t="str">
        <f>IFERROR(__xludf.DUMMYFUNCTION("""COMPUTED_VALUE"""),"Monthly")</f>
        <v>Monthly</v>
      </c>
      <c r="K798" s="317">
        <f>IFERROR(__xludf.DUMMYFUNCTION("""COMPUTED_VALUE"""),2023.0)</f>
        <v>2023</v>
      </c>
      <c r="L798" s="298"/>
      <c r="M798" s="223"/>
      <c r="N798" s="223"/>
      <c r="O798" s="223"/>
      <c r="P798" s="223"/>
      <c r="Q798" s="223"/>
      <c r="R798" s="223"/>
      <c r="S798" s="223"/>
      <c r="T798" s="223"/>
      <c r="U798" s="223"/>
      <c r="V798" s="223"/>
      <c r="W798" s="223"/>
      <c r="X798" s="223"/>
      <c r="Y798" s="223"/>
      <c r="Z798" s="223"/>
    </row>
    <row r="799">
      <c r="A799" s="223" t="str">
        <f>IFERROR(__xludf.DUMMYFUNCTION("""COMPUTED_VALUE"""),"GreenLane Offroad : PPC, SEO &amp; Analytics Work")</f>
        <v>GreenLane Offroad : PPC, SEO &amp; Analytics Work</v>
      </c>
      <c r="B799" s="223" t="str">
        <f>IFERROR(__xludf.DUMMYFUNCTION("""COMPUTED_VALUE"""),"GreenLane Offroad")</f>
        <v>GreenLane Offroad</v>
      </c>
      <c r="C799" s="223" t="str">
        <f>IFERROR(__xludf.DUMMYFUNCTION("""COMPUTED_VALUE"""),"PPC, SEO &amp; Analytics Work")</f>
        <v>PPC, SEO &amp; Analytics Work</v>
      </c>
      <c r="D799" s="316">
        <f>IFERROR(__xludf.DUMMYFUNCTION("""COMPUTED_VALUE"""),45016.0)</f>
        <v>45016</v>
      </c>
      <c r="E799" s="298">
        <f>IFERROR(__xludf.DUMMYFUNCTION("""COMPUTED_VALUE"""),1700.0)</f>
        <v>1700</v>
      </c>
      <c r="F799" s="298">
        <f>IFERROR(__xludf.DUMMYFUNCTION("""COMPUTED_VALUE"""),52.89)</f>
        <v>52.89</v>
      </c>
      <c r="G799" s="298">
        <f>IFERROR(__xludf.DUMMYFUNCTION("""COMPUTED_VALUE"""),0.0)</f>
        <v>0</v>
      </c>
      <c r="H799" s="223">
        <f>IFERROR(__xludf.DUMMYFUNCTION("""COMPUTED_VALUE"""),1647.11)</f>
        <v>1647.11</v>
      </c>
      <c r="I799" s="298"/>
      <c r="J799" s="223" t="str">
        <f>IFERROR(__xludf.DUMMYFUNCTION("""COMPUTED_VALUE"""),"Monthly")</f>
        <v>Monthly</v>
      </c>
      <c r="K799" s="317">
        <f>IFERROR(__xludf.DUMMYFUNCTION("""COMPUTED_VALUE"""),2023.03)</f>
        <v>2023.03</v>
      </c>
      <c r="L799" s="298"/>
      <c r="M799" s="223"/>
      <c r="N799" s="223"/>
      <c r="O799" s="223"/>
      <c r="P799" s="223"/>
      <c r="Q799" s="223"/>
      <c r="R799" s="223"/>
      <c r="S799" s="223"/>
      <c r="T799" s="223"/>
      <c r="U799" s="223"/>
      <c r="V799" s="223"/>
      <c r="W799" s="223"/>
      <c r="X799" s="223"/>
      <c r="Y799" s="223"/>
      <c r="Z799" s="223"/>
    </row>
    <row r="800">
      <c r="A800" s="223" t="str">
        <f>IFERROR(__xludf.DUMMYFUNCTION("""COMPUTED_VALUE"""),"Moloco : Monthly PPC")</f>
        <v>Moloco : Monthly PPC</v>
      </c>
      <c r="B800" s="223" t="str">
        <f>IFERROR(__xludf.DUMMYFUNCTION("""COMPUTED_VALUE"""),"Moloco")</f>
        <v>Moloco</v>
      </c>
      <c r="C800" s="223" t="str">
        <f>IFERROR(__xludf.DUMMYFUNCTION("""COMPUTED_VALUE"""),"Monthly PPC")</f>
        <v>Monthly PPC</v>
      </c>
      <c r="D800" s="316">
        <f>IFERROR(__xludf.DUMMYFUNCTION("""COMPUTED_VALUE"""),45016.0)</f>
        <v>45016</v>
      </c>
      <c r="E800" s="298">
        <f>IFERROR(__xludf.DUMMYFUNCTION("""COMPUTED_VALUE"""),391.977)</f>
        <v>391.977</v>
      </c>
      <c r="F800" s="298">
        <f>IFERROR(__xludf.DUMMYFUNCTION("""COMPUTED_VALUE"""),14.895126)</f>
        <v>14.895126</v>
      </c>
      <c r="G800" s="298">
        <f>IFERROR(__xludf.DUMMYFUNCTION("""COMPUTED_VALUE"""),0.0)</f>
        <v>0</v>
      </c>
      <c r="H800" s="223">
        <f>IFERROR(__xludf.DUMMYFUNCTION("""COMPUTED_VALUE"""),377.08187399999997)</f>
        <v>377.081874</v>
      </c>
      <c r="I800" s="298"/>
      <c r="J800" s="223" t="str">
        <f>IFERROR(__xludf.DUMMYFUNCTION("""COMPUTED_VALUE"""),"Monthly")</f>
        <v>Monthly</v>
      </c>
      <c r="K800" s="317">
        <f>IFERROR(__xludf.DUMMYFUNCTION("""COMPUTED_VALUE"""),2023.03)</f>
        <v>2023.03</v>
      </c>
      <c r="L800" s="298"/>
      <c r="M800" s="223"/>
      <c r="N800" s="223"/>
      <c r="O800" s="223"/>
      <c r="P800" s="223"/>
      <c r="Q800" s="223"/>
      <c r="R800" s="223"/>
      <c r="S800" s="223"/>
      <c r="T800" s="223"/>
      <c r="U800" s="223"/>
      <c r="V800" s="223"/>
      <c r="W800" s="223"/>
      <c r="X800" s="223"/>
      <c r="Y800" s="223"/>
      <c r="Z800" s="223"/>
    </row>
    <row r="801">
      <c r="A801" s="223" t="str">
        <f>IFERROR(__xludf.DUMMYFUNCTION("""COMPUTED_VALUE"""),"Cobble Beach : GA4 Upgrade")</f>
        <v>Cobble Beach : GA4 Upgrade</v>
      </c>
      <c r="B801" s="223" t="str">
        <f>IFERROR(__xludf.DUMMYFUNCTION("""COMPUTED_VALUE"""),"Cobble Beach")</f>
        <v>Cobble Beach</v>
      </c>
      <c r="C801" s="223" t="str">
        <f>IFERROR(__xludf.DUMMYFUNCTION("""COMPUTED_VALUE"""),"GA4 Upgrade")</f>
        <v>GA4 Upgrade</v>
      </c>
      <c r="D801" s="316">
        <f>IFERROR(__xludf.DUMMYFUNCTION("""COMPUTED_VALUE"""),45016.0)</f>
        <v>45016</v>
      </c>
      <c r="E801" s="298">
        <f>IFERROR(__xludf.DUMMYFUNCTION("""COMPUTED_VALUE"""),1649.0)</f>
        <v>1649</v>
      </c>
      <c r="F801" s="298">
        <f>IFERROR(__xludf.DUMMYFUNCTION("""COMPUTED_VALUE"""),55.2116531)</f>
        <v>55.2116531</v>
      </c>
      <c r="G801" s="298">
        <f>IFERROR(__xludf.DUMMYFUNCTION("""COMPUTED_VALUE"""),0.0)</f>
        <v>0</v>
      </c>
      <c r="H801" s="223">
        <f>IFERROR(__xludf.DUMMYFUNCTION("""COMPUTED_VALUE"""),1593.7883469)</f>
        <v>1593.788347</v>
      </c>
      <c r="I801" s="298"/>
      <c r="J801" s="223" t="str">
        <f>IFERROR(__xludf.DUMMYFUNCTION("""COMPUTED_VALUE"""),"One-Time")</f>
        <v>One-Time</v>
      </c>
      <c r="K801" s="317">
        <f>IFERROR(__xludf.DUMMYFUNCTION("""COMPUTED_VALUE"""),2023.0)</f>
        <v>2023</v>
      </c>
      <c r="L801" s="298"/>
      <c r="M801" s="223"/>
      <c r="N801" s="223"/>
      <c r="O801" s="223"/>
      <c r="P801" s="223"/>
      <c r="Q801" s="223"/>
      <c r="R801" s="223"/>
      <c r="S801" s="223"/>
      <c r="T801" s="223"/>
      <c r="U801" s="223"/>
      <c r="V801" s="223"/>
      <c r="W801" s="223"/>
      <c r="X801" s="223"/>
      <c r="Y801" s="223"/>
      <c r="Z801" s="223"/>
    </row>
    <row r="802">
      <c r="A802" s="223" t="str">
        <f>IFERROR(__xludf.DUMMYFUNCTION("""COMPUTED_VALUE"""),"Continuity Programs Inc. : 3 Month Google Ads Camapign")</f>
        <v>Continuity Programs Inc. : 3 Month Google Ads Camapign</v>
      </c>
      <c r="B802" s="223" t="str">
        <f>IFERROR(__xludf.DUMMYFUNCTION("""COMPUTED_VALUE"""),"Continuity Programs Inc.")</f>
        <v>Continuity Programs Inc.</v>
      </c>
      <c r="C802" s="223" t="str">
        <f>IFERROR(__xludf.DUMMYFUNCTION("""COMPUTED_VALUE"""),"3 Month Google Ads Camapign")</f>
        <v>3 Month Google Ads Camapign</v>
      </c>
      <c r="D802" s="316">
        <f>IFERROR(__xludf.DUMMYFUNCTION("""COMPUTED_VALUE"""),45008.0)</f>
        <v>45008</v>
      </c>
      <c r="E802" s="298">
        <f>IFERROR(__xludf.DUMMYFUNCTION("""COMPUTED_VALUE"""),1399.0)</f>
        <v>1399</v>
      </c>
      <c r="F802" s="298">
        <f>IFERROR(__xludf.DUMMYFUNCTION("""COMPUTED_VALUE"""),72.6695676)</f>
        <v>72.6695676</v>
      </c>
      <c r="G802" s="298">
        <f>IFERROR(__xludf.DUMMYFUNCTION("""COMPUTED_VALUE"""),0.0)</f>
        <v>0</v>
      </c>
      <c r="H802" s="223">
        <f>IFERROR(__xludf.DUMMYFUNCTION("""COMPUTED_VALUE"""),1326.3304324)</f>
        <v>1326.330432</v>
      </c>
      <c r="I802" s="298"/>
      <c r="J802" s="223" t="str">
        <f>IFERROR(__xludf.DUMMYFUNCTION("""COMPUTED_VALUE"""),"50% Deposit Prepaid
50% Final")</f>
        <v>50% Deposit Prepaid
50% Final</v>
      </c>
      <c r="K802" s="317">
        <f>IFERROR(__xludf.DUMMYFUNCTION("""COMPUTED_VALUE"""),2023.0)</f>
        <v>2023</v>
      </c>
      <c r="L802" s="298"/>
      <c r="M802" s="223"/>
      <c r="N802" s="223"/>
      <c r="O802" s="223"/>
      <c r="P802" s="223"/>
      <c r="Q802" s="223"/>
      <c r="R802" s="223"/>
      <c r="S802" s="223"/>
      <c r="T802" s="223"/>
      <c r="U802" s="223"/>
      <c r="V802" s="223"/>
      <c r="W802" s="223"/>
      <c r="X802" s="223"/>
      <c r="Y802" s="223"/>
      <c r="Z802" s="223"/>
    </row>
    <row r="803">
      <c r="A803" s="223" t="str">
        <f>IFERROR(__xludf.DUMMYFUNCTION("""COMPUTED_VALUE"""),"Continuity Programs Inc. : 3 Month Google Ads Camapign")</f>
        <v>Continuity Programs Inc. : 3 Month Google Ads Camapign</v>
      </c>
      <c r="B803" s="223" t="str">
        <f>IFERROR(__xludf.DUMMYFUNCTION("""COMPUTED_VALUE"""),"Continuity Programs Inc.")</f>
        <v>Continuity Programs Inc.</v>
      </c>
      <c r="C803" s="223" t="str">
        <f>IFERROR(__xludf.DUMMYFUNCTION("""COMPUTED_VALUE"""),"3 Month Google Ads Camapign")</f>
        <v>3 Month Google Ads Camapign</v>
      </c>
      <c r="D803" s="316">
        <f>IFERROR(__xludf.DUMMYFUNCTION("""COMPUTED_VALUE"""),45008.0)</f>
        <v>45008</v>
      </c>
      <c r="E803" s="298">
        <f>IFERROR(__xludf.DUMMYFUNCTION("""COMPUTED_VALUE"""),554.48)</f>
        <v>554.48</v>
      </c>
      <c r="F803" s="298">
        <f>IFERROR(__xludf.DUMMYFUNCTION("""COMPUTED_VALUE"""),0.0)</f>
        <v>0</v>
      </c>
      <c r="G803" s="298">
        <f>IFERROR(__xludf.DUMMYFUNCTION("""COMPUTED_VALUE"""),0.0)</f>
        <v>0</v>
      </c>
      <c r="H803" s="223">
        <f>IFERROR(__xludf.DUMMYFUNCTION("""COMPUTED_VALUE"""),554.48)</f>
        <v>554.48</v>
      </c>
      <c r="I803" s="298"/>
      <c r="J803" s="223" t="str">
        <f>IFERROR(__xludf.DUMMYFUNCTION("""COMPUTED_VALUE"""),"50% Deposit Prepaid
50% Final")</f>
        <v>50% Deposit Prepaid
50% Final</v>
      </c>
      <c r="K803" s="317">
        <f>IFERROR(__xludf.DUMMYFUNCTION("""COMPUTED_VALUE"""),2023.0)</f>
        <v>2023</v>
      </c>
      <c r="L803" s="298"/>
      <c r="M803" s="223"/>
      <c r="N803" s="223"/>
      <c r="O803" s="223"/>
      <c r="P803" s="223"/>
      <c r="Q803" s="223"/>
      <c r="R803" s="223"/>
      <c r="S803" s="223"/>
      <c r="T803" s="223"/>
      <c r="U803" s="223"/>
      <c r="V803" s="223"/>
      <c r="W803" s="223"/>
      <c r="X803" s="223"/>
      <c r="Y803" s="223"/>
      <c r="Z803" s="223"/>
    </row>
    <row r="804">
      <c r="A804" s="223" t="str">
        <f>IFERROR(__xludf.DUMMYFUNCTION("""COMPUTED_VALUE"""),"Continuity Programs Inc. : 3 Month Google Ads Camapign")</f>
        <v>Continuity Programs Inc. : 3 Month Google Ads Camapign</v>
      </c>
      <c r="B804" s="223" t="str">
        <f>IFERROR(__xludf.DUMMYFUNCTION("""COMPUTED_VALUE"""),"Continuity Programs Inc.")</f>
        <v>Continuity Programs Inc.</v>
      </c>
      <c r="C804" s="223" t="str">
        <f>IFERROR(__xludf.DUMMYFUNCTION("""COMPUTED_VALUE"""),"3 Month Google Ads Camapign")</f>
        <v>3 Month Google Ads Camapign</v>
      </c>
      <c r="D804" s="316">
        <f>IFERROR(__xludf.DUMMYFUNCTION("""COMPUTED_VALUE"""),45077.0)</f>
        <v>45077</v>
      </c>
      <c r="E804" s="298">
        <f>IFERROR(__xludf.DUMMYFUNCTION("""COMPUTED_VALUE"""),1930.6395)</f>
        <v>1930.6395</v>
      </c>
      <c r="F804" s="298">
        <f>IFERROR(__xludf.DUMMYFUNCTION("""COMPUTED_VALUE"""),71.8197894)</f>
        <v>71.8197894</v>
      </c>
      <c r="G804" s="298">
        <f>IFERROR(__xludf.DUMMYFUNCTION("""COMPUTED_VALUE"""),0.0)</f>
        <v>0</v>
      </c>
      <c r="H804" s="223">
        <f>IFERROR(__xludf.DUMMYFUNCTION("""COMPUTED_VALUE"""),1858.8197106)</f>
        <v>1858.819711</v>
      </c>
      <c r="I804" s="298"/>
      <c r="J804" s="223" t="str">
        <f>IFERROR(__xludf.DUMMYFUNCTION("""COMPUTED_VALUE"""),"50% Deposit Prepaid
50% Final")</f>
        <v>50% Deposit Prepaid
50% Final</v>
      </c>
      <c r="K804" s="317">
        <f>IFERROR(__xludf.DUMMYFUNCTION("""COMPUTED_VALUE"""),2023.0)</f>
        <v>2023</v>
      </c>
      <c r="L804" s="298"/>
      <c r="M804" s="223"/>
      <c r="N804" s="223"/>
      <c r="O804" s="223"/>
      <c r="P804" s="223"/>
      <c r="Q804" s="223"/>
      <c r="R804" s="223"/>
      <c r="S804" s="223"/>
      <c r="T804" s="223"/>
      <c r="U804" s="223"/>
      <c r="V804" s="223"/>
      <c r="W804" s="223"/>
      <c r="X804" s="223"/>
      <c r="Y804" s="223"/>
      <c r="Z804" s="223"/>
    </row>
    <row r="805">
      <c r="A805" s="223" t="str">
        <f>IFERROR(__xludf.DUMMYFUNCTION("""COMPUTED_VALUE"""),"Anook Athletics : Monthly Services")</f>
        <v>Anook Athletics : Monthly Services</v>
      </c>
      <c r="B805" s="223" t="str">
        <f>IFERROR(__xludf.DUMMYFUNCTION("""COMPUTED_VALUE"""),"Anook Athletics")</f>
        <v>Anook Athletics</v>
      </c>
      <c r="C805" s="223" t="str">
        <f>IFERROR(__xludf.DUMMYFUNCTION("""COMPUTED_VALUE"""),"Monthly Services")</f>
        <v>Monthly Services</v>
      </c>
      <c r="D805" s="316">
        <f>IFERROR(__xludf.DUMMYFUNCTION("""COMPUTED_VALUE"""),45016.0)</f>
        <v>45016</v>
      </c>
      <c r="E805" s="298">
        <f>IFERROR(__xludf.DUMMYFUNCTION("""COMPUTED_VALUE"""),800.0)</f>
        <v>800</v>
      </c>
      <c r="F805" s="298">
        <f>IFERROR(__xludf.DUMMYFUNCTION("""COMPUTED_VALUE"""),24.89)</f>
        <v>24.89</v>
      </c>
      <c r="G805" s="298">
        <f>IFERROR(__xludf.DUMMYFUNCTION("""COMPUTED_VALUE"""),0.0)</f>
        <v>0</v>
      </c>
      <c r="H805" s="223">
        <f>IFERROR(__xludf.DUMMYFUNCTION("""COMPUTED_VALUE"""),775.11)</f>
        <v>775.11</v>
      </c>
      <c r="I805" s="298"/>
      <c r="J805" s="223" t="str">
        <f>IFERROR(__xludf.DUMMYFUNCTION("""COMPUTED_VALUE"""),"Monthly")</f>
        <v>Monthly</v>
      </c>
      <c r="K805" s="317">
        <f>IFERROR(__xludf.DUMMYFUNCTION("""COMPUTED_VALUE"""),2023.03)</f>
        <v>2023.03</v>
      </c>
      <c r="L805" s="298"/>
      <c r="M805" s="223"/>
      <c r="N805" s="223"/>
      <c r="O805" s="223"/>
      <c r="P805" s="223"/>
      <c r="Q805" s="223"/>
      <c r="R805" s="223"/>
      <c r="S805" s="223"/>
      <c r="T805" s="223"/>
      <c r="U805" s="223"/>
      <c r="V805" s="223"/>
      <c r="W805" s="223"/>
      <c r="X805" s="223"/>
      <c r="Y805" s="223"/>
      <c r="Z805" s="223"/>
    </row>
    <row r="806">
      <c r="A806" s="223" t="str">
        <f>IFERROR(__xludf.DUMMYFUNCTION("""COMPUTED_VALUE"""),"Availed Technologies : Monthly Services")</f>
        <v>Availed Technologies : Monthly Services</v>
      </c>
      <c r="B806" s="223" t="str">
        <f>IFERROR(__xludf.DUMMYFUNCTION("""COMPUTED_VALUE"""),"Availed Technologies")</f>
        <v>Availed Technologies</v>
      </c>
      <c r="C806" s="223" t="str">
        <f>IFERROR(__xludf.DUMMYFUNCTION("""COMPUTED_VALUE"""),"Monthly Services")</f>
        <v>Monthly Services</v>
      </c>
      <c r="D806" s="316">
        <f>IFERROR(__xludf.DUMMYFUNCTION("""COMPUTED_VALUE"""),45016.0)</f>
        <v>45016</v>
      </c>
      <c r="E806" s="298">
        <f>IFERROR(__xludf.DUMMYFUNCTION("""COMPUTED_VALUE"""),750.0)</f>
        <v>750</v>
      </c>
      <c r="F806" s="298">
        <f>IFERROR(__xludf.DUMMYFUNCTION("""COMPUTED_VALUE"""),23.33)</f>
        <v>23.33</v>
      </c>
      <c r="G806" s="298">
        <f>IFERROR(__xludf.DUMMYFUNCTION("""COMPUTED_VALUE"""),0.0)</f>
        <v>0</v>
      </c>
      <c r="H806" s="223">
        <f>IFERROR(__xludf.DUMMYFUNCTION("""COMPUTED_VALUE"""),726.67)</f>
        <v>726.67</v>
      </c>
      <c r="I806" s="298"/>
      <c r="J806" s="223" t="str">
        <f>IFERROR(__xludf.DUMMYFUNCTION("""COMPUTED_VALUE"""),"Monthly")</f>
        <v>Monthly</v>
      </c>
      <c r="K806" s="317">
        <f>IFERROR(__xludf.DUMMYFUNCTION("""COMPUTED_VALUE"""),2023.03)</f>
        <v>2023.03</v>
      </c>
      <c r="L806" s="298"/>
      <c r="M806" s="223"/>
      <c r="N806" s="223"/>
      <c r="O806" s="223"/>
      <c r="P806" s="223"/>
      <c r="Q806" s="223"/>
      <c r="R806" s="223"/>
      <c r="S806" s="223"/>
      <c r="T806" s="223"/>
      <c r="U806" s="223"/>
      <c r="V806" s="223"/>
      <c r="W806" s="223"/>
      <c r="X806" s="223"/>
      <c r="Y806" s="223"/>
      <c r="Z806" s="223"/>
    </row>
    <row r="807">
      <c r="A807" s="223" t="str">
        <f>IFERROR(__xludf.DUMMYFUNCTION("""COMPUTED_VALUE"""),"Community Financials : Monthly Services")</f>
        <v>Community Financials : Monthly Services</v>
      </c>
      <c r="B807" s="223" t="str">
        <f>IFERROR(__xludf.DUMMYFUNCTION("""COMPUTED_VALUE"""),"Community Financials")</f>
        <v>Community Financials</v>
      </c>
      <c r="C807" s="223" t="str">
        <f>IFERROR(__xludf.DUMMYFUNCTION("""COMPUTED_VALUE"""),"Monthly Services")</f>
        <v>Monthly Services</v>
      </c>
      <c r="D807" s="316">
        <f>IFERROR(__xludf.DUMMYFUNCTION("""COMPUTED_VALUE"""),45016.0)</f>
        <v>45016</v>
      </c>
      <c r="E807" s="298">
        <f>IFERROR(__xludf.DUMMYFUNCTION("""COMPUTED_VALUE"""),1950.5729999999999)</f>
        <v>1950.573</v>
      </c>
      <c r="F807" s="298">
        <f>IFERROR(__xludf.DUMMYFUNCTION("""COMPUTED_VALUE"""),72.56131559999999)</f>
        <v>72.5613156</v>
      </c>
      <c r="G807" s="298">
        <f>IFERROR(__xludf.DUMMYFUNCTION("""COMPUTED_VALUE"""),375.60233688)</f>
        <v>375.6023369</v>
      </c>
      <c r="H807" s="223">
        <f>IFERROR(__xludf.DUMMYFUNCTION("""COMPUTED_VALUE"""),1502.40934752)</f>
        <v>1502.409348</v>
      </c>
      <c r="I807" s="298"/>
      <c r="J807" s="223" t="str">
        <f>IFERROR(__xludf.DUMMYFUNCTION("""COMPUTED_VALUE"""),"Monthly")</f>
        <v>Monthly</v>
      </c>
      <c r="K807" s="317">
        <f>IFERROR(__xludf.DUMMYFUNCTION("""COMPUTED_VALUE"""),2023.03)</f>
        <v>2023.03</v>
      </c>
      <c r="L807" s="298"/>
      <c r="M807" s="223"/>
      <c r="N807" s="223"/>
      <c r="O807" s="223"/>
      <c r="P807" s="223"/>
      <c r="Q807" s="223"/>
      <c r="R807" s="223"/>
      <c r="S807" s="223"/>
      <c r="T807" s="223"/>
      <c r="U807" s="223"/>
      <c r="V807" s="223"/>
      <c r="W807" s="223"/>
      <c r="X807" s="223"/>
      <c r="Y807" s="223"/>
      <c r="Z807" s="223"/>
    </row>
    <row r="808">
      <c r="A808" s="223" t="str">
        <f>IFERROR(__xludf.DUMMYFUNCTION("""COMPUTED_VALUE"""),"Hastings House : Monthly Services")</f>
        <v>Hastings House : Monthly Services</v>
      </c>
      <c r="B808" s="223" t="str">
        <f>IFERROR(__xludf.DUMMYFUNCTION("""COMPUTED_VALUE"""),"Hastings House")</f>
        <v>Hastings House</v>
      </c>
      <c r="C808" s="223" t="str">
        <f>IFERROR(__xludf.DUMMYFUNCTION("""COMPUTED_VALUE"""),"Monthly Services")</f>
        <v>Monthly Services</v>
      </c>
      <c r="D808" s="316">
        <f>IFERROR(__xludf.DUMMYFUNCTION("""COMPUTED_VALUE"""),45016.0)</f>
        <v>45016</v>
      </c>
      <c r="E808" s="298">
        <f>IFERROR(__xludf.DUMMYFUNCTION("""COMPUTED_VALUE"""),1500.0)</f>
        <v>1500</v>
      </c>
      <c r="F808" s="298">
        <f>IFERROR(__xludf.DUMMYFUNCTION("""COMPUTED_VALUE"""),46.67)</f>
        <v>46.67</v>
      </c>
      <c r="G808" s="298">
        <f>IFERROR(__xludf.DUMMYFUNCTION("""COMPUTED_VALUE"""),217.99949999999998)</f>
        <v>217.9995</v>
      </c>
      <c r="H808" s="223">
        <f>IFERROR(__xludf.DUMMYFUNCTION("""COMPUTED_VALUE"""),1235.3305)</f>
        <v>1235.3305</v>
      </c>
      <c r="I808" s="298"/>
      <c r="J808" s="223" t="str">
        <f>IFERROR(__xludf.DUMMYFUNCTION("""COMPUTED_VALUE"""),"Monthly")</f>
        <v>Monthly</v>
      </c>
      <c r="K808" s="317">
        <f>IFERROR(__xludf.DUMMYFUNCTION("""COMPUTED_VALUE"""),2023.03)</f>
        <v>2023.03</v>
      </c>
      <c r="L808" s="298"/>
      <c r="M808" s="223"/>
      <c r="N808" s="223"/>
      <c r="O808" s="223"/>
      <c r="P808" s="223"/>
      <c r="Q808" s="223"/>
      <c r="R808" s="223"/>
      <c r="S808" s="223"/>
      <c r="T808" s="223"/>
      <c r="U808" s="223"/>
      <c r="V808" s="223"/>
      <c r="W808" s="223"/>
      <c r="X808" s="223"/>
      <c r="Y808" s="223"/>
      <c r="Z808" s="223"/>
    </row>
    <row r="809">
      <c r="A809" s="223" t="str">
        <f>IFERROR(__xludf.DUMMYFUNCTION("""COMPUTED_VALUE"""),"HSJ Lawyers : Monthly Services")</f>
        <v>HSJ Lawyers : Monthly Services</v>
      </c>
      <c r="B809" s="223" t="str">
        <f>IFERROR(__xludf.DUMMYFUNCTION("""COMPUTED_VALUE"""),"HSJ Lawyers")</f>
        <v>HSJ Lawyers</v>
      </c>
      <c r="C809" s="223" t="str">
        <f>IFERROR(__xludf.DUMMYFUNCTION("""COMPUTED_VALUE"""),"Monthly Services")</f>
        <v>Monthly Services</v>
      </c>
      <c r="D809" s="316">
        <f>IFERROR(__xludf.DUMMYFUNCTION("""COMPUTED_VALUE"""),45016.0)</f>
        <v>45016</v>
      </c>
      <c r="E809" s="298">
        <f>IFERROR(__xludf.DUMMYFUNCTION("""COMPUTED_VALUE"""),830.0)</f>
        <v>830</v>
      </c>
      <c r="F809" s="298">
        <f>IFERROR(__xludf.DUMMYFUNCTION("""COMPUTED_VALUE"""),0.0)</f>
        <v>0</v>
      </c>
      <c r="G809" s="298">
        <f>IFERROR(__xludf.DUMMYFUNCTION("""COMPUTED_VALUE"""),0.0)</f>
        <v>0</v>
      </c>
      <c r="H809" s="223">
        <f>IFERROR(__xludf.DUMMYFUNCTION("""COMPUTED_VALUE"""),830.0)</f>
        <v>830</v>
      </c>
      <c r="I809" s="298"/>
      <c r="J809" s="223" t="str">
        <f>IFERROR(__xludf.DUMMYFUNCTION("""COMPUTED_VALUE"""),"Monthly")</f>
        <v>Monthly</v>
      </c>
      <c r="K809" s="317">
        <f>IFERROR(__xludf.DUMMYFUNCTION("""COMPUTED_VALUE"""),2023.03)</f>
        <v>2023.03</v>
      </c>
      <c r="L809" s="298"/>
      <c r="M809" s="223"/>
      <c r="N809" s="223"/>
      <c r="O809" s="223"/>
      <c r="P809" s="223"/>
      <c r="Q809" s="223"/>
      <c r="R809" s="223"/>
      <c r="S809" s="223"/>
      <c r="T809" s="223"/>
      <c r="U809" s="223"/>
      <c r="V809" s="223"/>
      <c r="W809" s="223"/>
      <c r="X809" s="223"/>
      <c r="Y809" s="223"/>
      <c r="Z809" s="223"/>
    </row>
    <row r="810">
      <c r="A810" s="223" t="str">
        <f>IFERROR(__xludf.DUMMYFUNCTION("""COMPUTED_VALUE"""),"MortgagePal : Monthly Services")</f>
        <v>MortgagePal : Monthly Services</v>
      </c>
      <c r="B810" s="223" t="str">
        <f>IFERROR(__xludf.DUMMYFUNCTION("""COMPUTED_VALUE"""),"MortgagePal")</f>
        <v>MortgagePal</v>
      </c>
      <c r="C810" s="223" t="str">
        <f>IFERROR(__xludf.DUMMYFUNCTION("""COMPUTED_VALUE"""),"Monthly Services")</f>
        <v>Monthly Services</v>
      </c>
      <c r="D810" s="316">
        <f>IFERROR(__xludf.DUMMYFUNCTION("""COMPUTED_VALUE"""),45016.0)</f>
        <v>45016</v>
      </c>
      <c r="E810" s="298">
        <f>IFERROR(__xludf.DUMMYFUNCTION("""COMPUTED_VALUE"""),500.0)</f>
        <v>500</v>
      </c>
      <c r="F810" s="298">
        <f>IFERROR(__xludf.DUMMYFUNCTION("""COMPUTED_VALUE"""),15.56)</f>
        <v>15.56</v>
      </c>
      <c r="G810" s="298">
        <f>IFERROR(__xludf.DUMMYFUNCTION("""COMPUTED_VALUE"""),0.0)</f>
        <v>0</v>
      </c>
      <c r="H810" s="223">
        <f>IFERROR(__xludf.DUMMYFUNCTION("""COMPUTED_VALUE"""),484.44)</f>
        <v>484.44</v>
      </c>
      <c r="I810" s="298"/>
      <c r="J810" s="223" t="str">
        <f>IFERROR(__xludf.DUMMYFUNCTION("""COMPUTED_VALUE"""),"Monthly")</f>
        <v>Monthly</v>
      </c>
      <c r="K810" s="317">
        <f>IFERROR(__xludf.DUMMYFUNCTION("""COMPUTED_VALUE"""),2023.03)</f>
        <v>2023.03</v>
      </c>
      <c r="L810" s="298"/>
      <c r="M810" s="223"/>
      <c r="N810" s="223"/>
      <c r="O810" s="223"/>
      <c r="P810" s="223"/>
      <c r="Q810" s="223"/>
      <c r="R810" s="223"/>
      <c r="S810" s="223"/>
      <c r="T810" s="223"/>
      <c r="U810" s="223"/>
      <c r="V810" s="223"/>
      <c r="W810" s="223"/>
      <c r="X810" s="223"/>
      <c r="Y810" s="223"/>
      <c r="Z810" s="223"/>
    </row>
    <row r="811">
      <c r="A811" s="223" t="str">
        <f>IFERROR(__xludf.DUMMYFUNCTION("""COMPUTED_VALUE"""),"PMDI : Monthly Services")</f>
        <v>PMDI : Monthly Services</v>
      </c>
      <c r="B811" s="223" t="str">
        <f>IFERROR(__xludf.DUMMYFUNCTION("""COMPUTED_VALUE"""),"PMDI")</f>
        <v>PMDI</v>
      </c>
      <c r="C811" s="223" t="str">
        <f>IFERROR(__xludf.DUMMYFUNCTION("""COMPUTED_VALUE"""),"Monthly Services")</f>
        <v>Monthly Services</v>
      </c>
      <c r="D811" s="316">
        <f>IFERROR(__xludf.DUMMYFUNCTION("""COMPUTED_VALUE"""),45016.0)</f>
        <v>45016</v>
      </c>
      <c r="E811" s="298">
        <f>IFERROR(__xludf.DUMMYFUNCTION("""COMPUTED_VALUE"""),412.5)</f>
        <v>412.5</v>
      </c>
      <c r="F811" s="298">
        <f>IFERROR(__xludf.DUMMYFUNCTION("""COMPUTED_VALUE"""),0.0)</f>
        <v>0</v>
      </c>
      <c r="G811" s="298">
        <f>IFERROR(__xludf.DUMMYFUNCTION("""COMPUTED_VALUE"""),0.0)</f>
        <v>0</v>
      </c>
      <c r="H811" s="223">
        <f>IFERROR(__xludf.DUMMYFUNCTION("""COMPUTED_VALUE"""),412.5)</f>
        <v>412.5</v>
      </c>
      <c r="I811" s="298"/>
      <c r="J811" s="223" t="str">
        <f>IFERROR(__xludf.DUMMYFUNCTION("""COMPUTED_VALUE"""),"Monthly")</f>
        <v>Monthly</v>
      </c>
      <c r="K811" s="317">
        <f>IFERROR(__xludf.DUMMYFUNCTION("""COMPUTED_VALUE"""),2023.03)</f>
        <v>2023.03</v>
      </c>
      <c r="L811" s="298"/>
      <c r="M811" s="223"/>
      <c r="N811" s="223"/>
      <c r="O811" s="223"/>
      <c r="P811" s="223"/>
      <c r="Q811" s="223"/>
      <c r="R811" s="223"/>
      <c r="S811" s="223"/>
      <c r="T811" s="223"/>
      <c r="U811" s="223"/>
      <c r="V811" s="223"/>
      <c r="W811" s="223"/>
      <c r="X811" s="223"/>
      <c r="Y811" s="223"/>
      <c r="Z811" s="223"/>
    </row>
    <row r="812">
      <c r="A812" s="223" t="str">
        <f>IFERROR(__xludf.DUMMYFUNCTION("""COMPUTED_VALUE"""),"Rama Meditation Society : Premium Hosting + Support")</f>
        <v>Rama Meditation Society : Premium Hosting + Support</v>
      </c>
      <c r="B812" s="223" t="str">
        <f>IFERROR(__xludf.DUMMYFUNCTION("""COMPUTED_VALUE"""),"Rama Meditation Society")</f>
        <v>Rama Meditation Society</v>
      </c>
      <c r="C812" s="223" t="str">
        <f>IFERROR(__xludf.DUMMYFUNCTION("""COMPUTED_VALUE"""),"Premium Hosting + Support")</f>
        <v>Premium Hosting + Support</v>
      </c>
      <c r="D812" s="316"/>
      <c r="E812" s="298">
        <f>IFERROR(__xludf.DUMMYFUNCTION("""COMPUTED_VALUE"""),0.0)</f>
        <v>0</v>
      </c>
      <c r="F812" s="298"/>
      <c r="G812" s="298">
        <f>IFERROR(__xludf.DUMMYFUNCTION("""COMPUTED_VALUE"""),0.0)</f>
        <v>0</v>
      </c>
      <c r="H812" s="223">
        <f>IFERROR(__xludf.DUMMYFUNCTION("""COMPUTED_VALUE"""),0.0)</f>
        <v>0</v>
      </c>
      <c r="I812" s="298"/>
      <c r="J812" s="223" t="str">
        <f>IFERROR(__xludf.DUMMYFUNCTION("""COMPUTED_VALUE"""),"Monthly")</f>
        <v>Monthly</v>
      </c>
      <c r="K812" s="317">
        <f>IFERROR(__xludf.DUMMYFUNCTION("""COMPUTED_VALUE"""),1899.0)</f>
        <v>1899</v>
      </c>
      <c r="L812" s="298"/>
      <c r="M812" s="223"/>
      <c r="N812" s="223"/>
      <c r="O812" s="223"/>
      <c r="P812" s="223"/>
      <c r="Q812" s="223"/>
      <c r="R812" s="223"/>
      <c r="S812" s="223"/>
      <c r="T812" s="223"/>
      <c r="U812" s="223"/>
      <c r="V812" s="223"/>
      <c r="W812" s="223"/>
      <c r="X812" s="223"/>
      <c r="Y812" s="223"/>
      <c r="Z812" s="223"/>
    </row>
    <row r="813">
      <c r="A813" s="223" t="str">
        <f>IFERROR(__xludf.DUMMYFUNCTION("""COMPUTED_VALUE"""),"Service First : Monthly Services")</f>
        <v>Service First : Monthly Services</v>
      </c>
      <c r="B813" s="223" t="str">
        <f>IFERROR(__xludf.DUMMYFUNCTION("""COMPUTED_VALUE"""),"Service First")</f>
        <v>Service First</v>
      </c>
      <c r="C813" s="223" t="str">
        <f>IFERROR(__xludf.DUMMYFUNCTION("""COMPUTED_VALUE"""),"Monthly Services")</f>
        <v>Monthly Services</v>
      </c>
      <c r="D813" s="316">
        <f>IFERROR(__xludf.DUMMYFUNCTION("""COMPUTED_VALUE"""),45016.0)</f>
        <v>45016</v>
      </c>
      <c r="E813" s="298">
        <f>IFERROR(__xludf.DUMMYFUNCTION("""COMPUTED_VALUE"""),330.0)</f>
        <v>330</v>
      </c>
      <c r="F813" s="298">
        <f>IFERROR(__xludf.DUMMYFUNCTION("""COMPUTED_VALUE"""),10.27)</f>
        <v>10.27</v>
      </c>
      <c r="G813" s="298">
        <f>IFERROR(__xludf.DUMMYFUNCTION("""COMPUTED_VALUE"""),0.0)</f>
        <v>0</v>
      </c>
      <c r="H813" s="223">
        <f>IFERROR(__xludf.DUMMYFUNCTION("""COMPUTED_VALUE"""),319.73)</f>
        <v>319.73</v>
      </c>
      <c r="I813" s="298"/>
      <c r="J813" s="223" t="str">
        <f>IFERROR(__xludf.DUMMYFUNCTION("""COMPUTED_VALUE"""),"Monthly")</f>
        <v>Monthly</v>
      </c>
      <c r="K813" s="317">
        <f>IFERROR(__xludf.DUMMYFUNCTION("""COMPUTED_VALUE"""),2023.03)</f>
        <v>2023.03</v>
      </c>
      <c r="L813" s="298"/>
      <c r="M813" s="223"/>
      <c r="N813" s="223"/>
      <c r="O813" s="223"/>
      <c r="P813" s="223"/>
      <c r="Q813" s="223"/>
      <c r="R813" s="223"/>
      <c r="S813" s="223"/>
      <c r="T813" s="223"/>
      <c r="U813" s="223"/>
      <c r="V813" s="223"/>
      <c r="W813" s="223"/>
      <c r="X813" s="223"/>
      <c r="Y813" s="223"/>
      <c r="Z813" s="223"/>
    </row>
    <row r="814">
      <c r="A814" s="223" t="str">
        <f>IFERROR(__xludf.DUMMYFUNCTION("""COMPUTED_VALUE"""),"Spraggs : Monthly Services")</f>
        <v>Spraggs : Monthly Services</v>
      </c>
      <c r="B814" s="223" t="str">
        <f>IFERROR(__xludf.DUMMYFUNCTION("""COMPUTED_VALUE"""),"Spraggs")</f>
        <v>Spraggs</v>
      </c>
      <c r="C814" s="223" t="str">
        <f>IFERROR(__xludf.DUMMYFUNCTION("""COMPUTED_VALUE"""),"Monthly Services")</f>
        <v>Monthly Services</v>
      </c>
      <c r="D814" s="316">
        <f>IFERROR(__xludf.DUMMYFUNCTION("""COMPUTED_VALUE"""),45016.0)</f>
        <v>45016</v>
      </c>
      <c r="E814" s="298">
        <f>IFERROR(__xludf.DUMMYFUNCTION("""COMPUTED_VALUE"""),2500.0)</f>
        <v>2500</v>
      </c>
      <c r="F814" s="298">
        <f>IFERROR(__xludf.DUMMYFUNCTION("""COMPUTED_VALUE"""),77.78)</f>
        <v>77.78</v>
      </c>
      <c r="G814" s="298">
        <f>IFERROR(__xludf.DUMMYFUNCTION("""COMPUTED_VALUE"""),0.0)</f>
        <v>0</v>
      </c>
      <c r="H814" s="223">
        <f>IFERROR(__xludf.DUMMYFUNCTION("""COMPUTED_VALUE"""),2422.22)</f>
        <v>2422.22</v>
      </c>
      <c r="I814" s="298"/>
      <c r="J814" s="223" t="str">
        <f>IFERROR(__xludf.DUMMYFUNCTION("""COMPUTED_VALUE"""),"Monthly")</f>
        <v>Monthly</v>
      </c>
      <c r="K814" s="317">
        <f>IFERROR(__xludf.DUMMYFUNCTION("""COMPUTED_VALUE"""),2023.03)</f>
        <v>2023.03</v>
      </c>
      <c r="L814" s="298"/>
      <c r="M814" s="223"/>
      <c r="N814" s="223"/>
      <c r="O814" s="223"/>
      <c r="P814" s="223"/>
      <c r="Q814" s="223"/>
      <c r="R814" s="223"/>
      <c r="S814" s="223"/>
      <c r="T814" s="223"/>
      <c r="U814" s="223"/>
      <c r="V814" s="223"/>
      <c r="W814" s="223"/>
      <c r="X814" s="223"/>
      <c r="Y814" s="223"/>
      <c r="Z814" s="223"/>
    </row>
    <row r="815">
      <c r="A815" s="223" t="str">
        <f>IFERROR(__xludf.DUMMYFUNCTION("""COMPUTED_VALUE"""),"TisBest : Monthly Services")</f>
        <v>TisBest : Monthly Services</v>
      </c>
      <c r="B815" s="223" t="str">
        <f>IFERROR(__xludf.DUMMYFUNCTION("""COMPUTED_VALUE"""),"TisBest")</f>
        <v>TisBest</v>
      </c>
      <c r="C815" s="223" t="str">
        <f>IFERROR(__xludf.DUMMYFUNCTION("""COMPUTED_VALUE"""),"Monthly Services")</f>
        <v>Monthly Services</v>
      </c>
      <c r="D815" s="316">
        <f>IFERROR(__xludf.DUMMYFUNCTION("""COMPUTED_VALUE"""),45016.0)</f>
        <v>45016</v>
      </c>
      <c r="E815" s="298">
        <f>IFERROR(__xludf.DUMMYFUNCTION("""COMPUTED_VALUE"""),3923.5530000000003)</f>
        <v>3923.553</v>
      </c>
      <c r="F815" s="298">
        <f>IFERROR(__xludf.DUMMYFUNCTION("""COMPUTED_VALUE"""),145.5638163)</f>
        <v>145.5638163</v>
      </c>
      <c r="G815" s="298">
        <f>IFERROR(__xludf.DUMMYFUNCTION("""COMPUTED_VALUE"""),755.5978367400002)</f>
        <v>755.5978367</v>
      </c>
      <c r="H815" s="223">
        <f>IFERROR(__xludf.DUMMYFUNCTION("""COMPUTED_VALUE"""),3022.39134696)</f>
        <v>3022.391347</v>
      </c>
      <c r="I815" s="298"/>
      <c r="J815" s="223" t="str">
        <f>IFERROR(__xludf.DUMMYFUNCTION("""COMPUTED_VALUE"""),"Monthly")</f>
        <v>Monthly</v>
      </c>
      <c r="K815" s="317">
        <f>IFERROR(__xludf.DUMMYFUNCTION("""COMPUTED_VALUE"""),2023.03)</f>
        <v>2023.03</v>
      </c>
      <c r="L815" s="298"/>
      <c r="M815" s="223"/>
      <c r="N815" s="223"/>
      <c r="O815" s="223"/>
      <c r="P815" s="223"/>
      <c r="Q815" s="223"/>
      <c r="R815" s="223"/>
      <c r="S815" s="223"/>
      <c r="T815" s="223"/>
      <c r="U815" s="223"/>
      <c r="V815" s="223"/>
      <c r="W815" s="223"/>
      <c r="X815" s="223"/>
      <c r="Y815" s="223"/>
      <c r="Z815" s="223"/>
    </row>
    <row r="816">
      <c r="A816" s="223" t="str">
        <f>IFERROR(__xludf.DUMMYFUNCTION("""COMPUTED_VALUE"""),"Tuscany : Monthly Services")</f>
        <v>Tuscany : Monthly Services</v>
      </c>
      <c r="B816" s="223" t="str">
        <f>IFERROR(__xludf.DUMMYFUNCTION("""COMPUTED_VALUE"""),"Tuscany")</f>
        <v>Tuscany</v>
      </c>
      <c r="C816" s="223" t="str">
        <f>IFERROR(__xludf.DUMMYFUNCTION("""COMPUTED_VALUE"""),"Monthly Services")</f>
        <v>Monthly Services</v>
      </c>
      <c r="D816" s="316">
        <f>IFERROR(__xludf.DUMMYFUNCTION("""COMPUTED_VALUE"""),45016.0)</f>
        <v>45016</v>
      </c>
      <c r="E816" s="298">
        <f>IFERROR(__xludf.DUMMYFUNCTION("""COMPUTED_VALUE"""),3277.625)</f>
        <v>3277.625</v>
      </c>
      <c r="F816" s="298">
        <f>IFERROR(__xludf.DUMMYFUNCTION("""COMPUTED_VALUE"""),0.0)</f>
        <v>0</v>
      </c>
      <c r="G816" s="298">
        <f>IFERROR(__xludf.DUMMYFUNCTION("""COMPUTED_VALUE"""),0.0)</f>
        <v>0</v>
      </c>
      <c r="H816" s="223">
        <f>IFERROR(__xludf.DUMMYFUNCTION("""COMPUTED_VALUE"""),3277.625)</f>
        <v>3277.625</v>
      </c>
      <c r="I816" s="298"/>
      <c r="J816" s="223" t="str">
        <f>IFERROR(__xludf.DUMMYFUNCTION("""COMPUTED_VALUE"""),"Monthly")</f>
        <v>Monthly</v>
      </c>
      <c r="K816" s="317">
        <f>IFERROR(__xludf.DUMMYFUNCTION("""COMPUTED_VALUE"""),2023.03)</f>
        <v>2023.03</v>
      </c>
      <c r="L816" s="298"/>
      <c r="M816" s="223"/>
      <c r="N816" s="223"/>
      <c r="O816" s="223"/>
      <c r="P816" s="223"/>
      <c r="Q816" s="223"/>
      <c r="R816" s="223"/>
      <c r="S816" s="223"/>
      <c r="T816" s="223"/>
      <c r="U816" s="223"/>
      <c r="V816" s="223"/>
      <c r="W816" s="223"/>
      <c r="X816" s="223"/>
      <c r="Y816" s="223"/>
      <c r="Z816" s="223"/>
    </row>
    <row r="817">
      <c r="A817" s="223" t="str">
        <f>IFERROR(__xludf.DUMMYFUNCTION("""COMPUTED_VALUE"""),"Venetian : Monthly Services")</f>
        <v>Venetian : Monthly Services</v>
      </c>
      <c r="B817" s="223" t="str">
        <f>IFERROR(__xludf.DUMMYFUNCTION("""COMPUTED_VALUE"""),"Venetian")</f>
        <v>Venetian</v>
      </c>
      <c r="C817" s="223" t="str">
        <f>IFERROR(__xludf.DUMMYFUNCTION("""COMPUTED_VALUE"""),"Monthly Services")</f>
        <v>Monthly Services</v>
      </c>
      <c r="D817" s="316">
        <f>IFERROR(__xludf.DUMMYFUNCTION("""COMPUTED_VALUE"""),45016.0)</f>
        <v>45016</v>
      </c>
      <c r="E817" s="298">
        <f>IFERROR(__xludf.DUMMYFUNCTION("""COMPUTED_VALUE"""),3277.625)</f>
        <v>3277.625</v>
      </c>
      <c r="F817" s="298">
        <f>IFERROR(__xludf.DUMMYFUNCTION("""COMPUTED_VALUE"""),0.0)</f>
        <v>0</v>
      </c>
      <c r="G817" s="298">
        <f>IFERROR(__xludf.DUMMYFUNCTION("""COMPUTED_VALUE"""),0.0)</f>
        <v>0</v>
      </c>
      <c r="H817" s="223">
        <f>IFERROR(__xludf.DUMMYFUNCTION("""COMPUTED_VALUE"""),3277.625)</f>
        <v>3277.625</v>
      </c>
      <c r="I817" s="298"/>
      <c r="J817" s="223" t="str">
        <f>IFERROR(__xludf.DUMMYFUNCTION("""COMPUTED_VALUE"""),"Monthly")</f>
        <v>Monthly</v>
      </c>
      <c r="K817" s="317">
        <f>IFERROR(__xludf.DUMMYFUNCTION("""COMPUTED_VALUE"""),2023.03)</f>
        <v>2023.03</v>
      </c>
      <c r="L817" s="298"/>
      <c r="M817" s="223"/>
      <c r="N817" s="223"/>
      <c r="O817" s="223"/>
      <c r="P817" s="223"/>
      <c r="Q817" s="223"/>
      <c r="R817" s="223"/>
      <c r="S817" s="223"/>
      <c r="T817" s="223"/>
      <c r="U817" s="223"/>
      <c r="V817" s="223"/>
      <c r="W817" s="223"/>
      <c r="X817" s="223"/>
      <c r="Y817" s="223"/>
      <c r="Z817" s="223"/>
    </row>
    <row r="818">
      <c r="A818" s="223" t="str">
        <f>IFERROR(__xludf.DUMMYFUNCTION("""COMPUTED_VALUE"""),"Wallack's Art Supplies : Monthly Services")</f>
        <v>Wallack's Art Supplies : Monthly Services</v>
      </c>
      <c r="B818" s="223" t="str">
        <f>IFERROR(__xludf.DUMMYFUNCTION("""COMPUTED_VALUE"""),"Wallack's Art Supplies")</f>
        <v>Wallack's Art Supplies</v>
      </c>
      <c r="C818" s="223" t="str">
        <f>IFERROR(__xludf.DUMMYFUNCTION("""COMPUTED_VALUE"""),"Monthly Services")</f>
        <v>Monthly Services</v>
      </c>
      <c r="D818" s="316">
        <f>IFERROR(__xludf.DUMMYFUNCTION("""COMPUTED_VALUE"""),45016.0)</f>
        <v>45016</v>
      </c>
      <c r="E818" s="298">
        <f>IFERROR(__xludf.DUMMYFUNCTION("""COMPUTED_VALUE"""),770.0)</f>
        <v>770</v>
      </c>
      <c r="F818" s="298">
        <f>IFERROR(__xludf.DUMMYFUNCTION("""COMPUTED_VALUE"""),0.0)</f>
        <v>0</v>
      </c>
      <c r="G818" s="298">
        <f>IFERROR(__xludf.DUMMYFUNCTION("""COMPUTED_VALUE"""),0.0)</f>
        <v>0</v>
      </c>
      <c r="H818" s="223">
        <f>IFERROR(__xludf.DUMMYFUNCTION("""COMPUTED_VALUE"""),770.0)</f>
        <v>770</v>
      </c>
      <c r="I818" s="298"/>
      <c r="J818" s="223" t="str">
        <f>IFERROR(__xludf.DUMMYFUNCTION("""COMPUTED_VALUE"""),"Monthly")</f>
        <v>Monthly</v>
      </c>
      <c r="K818" s="317">
        <f>IFERROR(__xludf.DUMMYFUNCTION("""COMPUTED_VALUE"""),2023.03)</f>
        <v>2023.03</v>
      </c>
      <c r="L818" s="298"/>
      <c r="M818" s="223"/>
      <c r="N818" s="223"/>
      <c r="O818" s="223"/>
      <c r="P818" s="223"/>
      <c r="Q818" s="223"/>
      <c r="R818" s="223"/>
      <c r="S818" s="223"/>
      <c r="T818" s="223"/>
      <c r="U818" s="223"/>
      <c r="V818" s="223"/>
      <c r="W818" s="223"/>
      <c r="X818" s="223"/>
      <c r="Y818" s="223"/>
      <c r="Z818" s="223"/>
    </row>
    <row r="819">
      <c r="A819" s="223" t="str">
        <f>IFERROR(__xludf.DUMMYFUNCTION("""COMPUTED_VALUE"""),"Howard Fine Jewellers : Ongoing PPC and SEO Support")</f>
        <v>Howard Fine Jewellers : Ongoing PPC and SEO Support</v>
      </c>
      <c r="B819" s="223" t="str">
        <f>IFERROR(__xludf.DUMMYFUNCTION("""COMPUTED_VALUE"""),"Howard Fine Jewellers")</f>
        <v>Howard Fine Jewellers</v>
      </c>
      <c r="C819" s="223" t="str">
        <f>IFERROR(__xludf.DUMMYFUNCTION("""COMPUTED_VALUE"""),"Ongoing PPC and SEO Support")</f>
        <v>Ongoing PPC and SEO Support</v>
      </c>
      <c r="D819" s="316">
        <f>IFERROR(__xludf.DUMMYFUNCTION("""COMPUTED_VALUE"""),45016.0)</f>
        <v>45016</v>
      </c>
      <c r="E819" s="298">
        <f>IFERROR(__xludf.DUMMYFUNCTION("""COMPUTED_VALUE"""),1650.0)</f>
        <v>1650</v>
      </c>
      <c r="F819" s="298">
        <f>IFERROR(__xludf.DUMMYFUNCTION("""COMPUTED_VALUE"""),55.23)</f>
        <v>55.23</v>
      </c>
      <c r="G819" s="298">
        <f>IFERROR(__xludf.DUMMYFUNCTION("""COMPUTED_VALUE"""),0.0)</f>
        <v>0</v>
      </c>
      <c r="H819" s="223">
        <f>IFERROR(__xludf.DUMMYFUNCTION("""COMPUTED_VALUE"""),1594.77)</f>
        <v>1594.77</v>
      </c>
      <c r="I819" s="298"/>
      <c r="J819" s="223" t="str">
        <f>IFERROR(__xludf.DUMMYFUNCTION("""COMPUTED_VALUE"""),"Monthly")</f>
        <v>Monthly</v>
      </c>
      <c r="K819" s="317">
        <f>IFERROR(__xludf.DUMMYFUNCTION("""COMPUTED_VALUE"""),2023.03)</f>
        <v>2023.03</v>
      </c>
      <c r="L819" s="298"/>
      <c r="M819" s="223"/>
      <c r="N819" s="223"/>
      <c r="O819" s="223"/>
      <c r="P819" s="223"/>
      <c r="Q819" s="223"/>
      <c r="R819" s="223"/>
      <c r="S819" s="223"/>
      <c r="T819" s="223"/>
      <c r="U819" s="223"/>
      <c r="V819" s="223"/>
      <c r="W819" s="223"/>
      <c r="X819" s="223"/>
      <c r="Y819" s="223"/>
      <c r="Z819" s="223"/>
    </row>
    <row r="820">
      <c r="A820" s="223" t="str">
        <f>IFERROR(__xludf.DUMMYFUNCTION("""COMPUTED_VALUE"""),"Tugwell : Bi-monthly PPC Mgmt")</f>
        <v>Tugwell : Bi-monthly PPC Mgmt</v>
      </c>
      <c r="B820" s="223" t="str">
        <f>IFERROR(__xludf.DUMMYFUNCTION("""COMPUTED_VALUE"""),"Tugwell")</f>
        <v>Tugwell</v>
      </c>
      <c r="C820" s="223" t="str">
        <f>IFERROR(__xludf.DUMMYFUNCTION("""COMPUTED_VALUE"""),"Bi-monthly PPC Mgmt")</f>
        <v>Bi-monthly PPC Mgmt</v>
      </c>
      <c r="D820" s="316">
        <f>IFERROR(__xludf.DUMMYFUNCTION("""COMPUTED_VALUE"""),45016.0)</f>
        <v>45016</v>
      </c>
      <c r="E820" s="298">
        <f>IFERROR(__xludf.DUMMYFUNCTION("""COMPUTED_VALUE"""),400.0)</f>
        <v>400</v>
      </c>
      <c r="F820" s="298">
        <f>IFERROR(__xludf.DUMMYFUNCTION("""COMPUTED_VALUE"""),12.44)</f>
        <v>12.44</v>
      </c>
      <c r="G820" s="298">
        <f>IFERROR(__xludf.DUMMYFUNCTION("""COMPUTED_VALUE"""),0.0)</f>
        <v>0</v>
      </c>
      <c r="H820" s="223">
        <f>IFERROR(__xludf.DUMMYFUNCTION("""COMPUTED_VALUE"""),387.56)</f>
        <v>387.56</v>
      </c>
      <c r="I820" s="298"/>
      <c r="J820" s="223" t="str">
        <f>IFERROR(__xludf.DUMMYFUNCTION("""COMPUTED_VALUE"""),"Monthly")</f>
        <v>Monthly</v>
      </c>
      <c r="K820" s="317">
        <f>IFERROR(__xludf.DUMMYFUNCTION("""COMPUTED_VALUE"""),2023.03)</f>
        <v>2023.03</v>
      </c>
      <c r="L820" s="298"/>
      <c r="M820" s="223"/>
      <c r="N820" s="223"/>
      <c r="O820" s="223"/>
      <c r="P820" s="223"/>
      <c r="Q820" s="223"/>
      <c r="R820" s="223"/>
      <c r="S820" s="223"/>
      <c r="T820" s="223"/>
      <c r="U820" s="223"/>
      <c r="V820" s="223"/>
      <c r="W820" s="223"/>
      <c r="X820" s="223"/>
      <c r="Y820" s="223"/>
      <c r="Z820" s="223"/>
    </row>
    <row r="821">
      <c r="A821" s="223" t="str">
        <f>IFERROR(__xludf.DUMMYFUNCTION("""COMPUTED_VALUE"""),"Crisp Media : Monthly Genus Google PPC Mgmt")</f>
        <v>Crisp Media : Monthly Genus Google PPC Mgmt</v>
      </c>
      <c r="B821" s="223" t="str">
        <f>IFERROR(__xludf.DUMMYFUNCTION("""COMPUTED_VALUE"""),"Crisp Media")</f>
        <v>Crisp Media</v>
      </c>
      <c r="C821" s="223" t="str">
        <f>IFERROR(__xludf.DUMMYFUNCTION("""COMPUTED_VALUE"""),"Monthly Genus Google PPC Mgmt")</f>
        <v>Monthly Genus Google PPC Mgmt</v>
      </c>
      <c r="D821" s="316">
        <f>IFERROR(__xludf.DUMMYFUNCTION("""COMPUTED_VALUE"""),45016.0)</f>
        <v>45016</v>
      </c>
      <c r="E821" s="298">
        <f>IFERROR(__xludf.DUMMYFUNCTION("""COMPUTED_VALUE"""),600.0)</f>
        <v>600</v>
      </c>
      <c r="F821" s="298">
        <f>IFERROR(__xludf.DUMMYFUNCTION("""COMPUTED_VALUE"""),18.67)</f>
        <v>18.67</v>
      </c>
      <c r="G821" s="298">
        <f>IFERROR(__xludf.DUMMYFUNCTION("""COMPUTED_VALUE"""),0.0)</f>
        <v>0</v>
      </c>
      <c r="H821" s="223">
        <f>IFERROR(__xludf.DUMMYFUNCTION("""COMPUTED_VALUE"""),581.33)</f>
        <v>581.33</v>
      </c>
      <c r="I821" s="298"/>
      <c r="J821" s="223" t="str">
        <f>IFERROR(__xludf.DUMMYFUNCTION("""COMPUTED_VALUE"""),"Monthly")</f>
        <v>Monthly</v>
      </c>
      <c r="K821" s="317">
        <f>IFERROR(__xludf.DUMMYFUNCTION("""COMPUTED_VALUE"""),2023.03)</f>
        <v>2023.03</v>
      </c>
      <c r="L821" s="298"/>
      <c r="M821" s="223"/>
      <c r="N821" s="223"/>
      <c r="O821" s="223"/>
      <c r="P821" s="223"/>
      <c r="Q821" s="223"/>
      <c r="R821" s="223"/>
      <c r="S821" s="223"/>
      <c r="T821" s="223"/>
      <c r="U821" s="223"/>
      <c r="V821" s="223"/>
      <c r="W821" s="223"/>
      <c r="X821" s="223"/>
      <c r="Y821" s="223"/>
      <c r="Z821" s="223"/>
    </row>
    <row r="822">
      <c r="A822" s="223" t="str">
        <f>IFERROR(__xludf.DUMMYFUNCTION("""COMPUTED_VALUE"""),"Big Hammer Wines : Monthly PPC")</f>
        <v>Big Hammer Wines : Monthly PPC</v>
      </c>
      <c r="B822" s="223" t="str">
        <f>IFERROR(__xludf.DUMMYFUNCTION("""COMPUTED_VALUE"""),"Big Hammer Wines")</f>
        <v>Big Hammer Wines</v>
      </c>
      <c r="C822" s="223" t="str">
        <f>IFERROR(__xludf.DUMMYFUNCTION("""COMPUTED_VALUE"""),"Monthly PPC")</f>
        <v>Monthly PPC</v>
      </c>
      <c r="D822" s="316">
        <f>IFERROR(__xludf.DUMMYFUNCTION("""COMPUTED_VALUE"""),45016.0)</f>
        <v>45016</v>
      </c>
      <c r="E822" s="298">
        <f>IFERROR(__xludf.DUMMYFUNCTION("""COMPUTED_VALUE"""),1154.0672)</f>
        <v>1154.0672</v>
      </c>
      <c r="F822" s="298">
        <f>IFERROR(__xludf.DUMMYFUNCTION("""COMPUTED_VALUE"""),43.0939184)</f>
        <v>43.0939184</v>
      </c>
      <c r="G822" s="298">
        <f>IFERROR(__xludf.DUMMYFUNCTION("""COMPUTED_VALUE"""),0.0)</f>
        <v>0</v>
      </c>
      <c r="H822" s="223">
        <f>IFERROR(__xludf.DUMMYFUNCTION("""COMPUTED_VALUE"""),1110.9732816)</f>
        <v>1110.973282</v>
      </c>
      <c r="I822" s="298"/>
      <c r="J822" s="223" t="str">
        <f>IFERROR(__xludf.DUMMYFUNCTION("""COMPUTED_VALUE"""),"Monthly")</f>
        <v>Monthly</v>
      </c>
      <c r="K822" s="317">
        <f>IFERROR(__xludf.DUMMYFUNCTION("""COMPUTED_VALUE"""),2023.03)</f>
        <v>2023.03</v>
      </c>
      <c r="L822" s="298"/>
      <c r="M822" s="223"/>
      <c r="N822" s="223"/>
      <c r="O822" s="223"/>
      <c r="P822" s="223"/>
      <c r="Q822" s="223"/>
      <c r="R822" s="223"/>
      <c r="S822" s="223"/>
      <c r="T822" s="223"/>
      <c r="U822" s="223"/>
      <c r="V822" s="223"/>
      <c r="W822" s="223"/>
      <c r="X822" s="223"/>
      <c r="Y822" s="223"/>
      <c r="Z822" s="223"/>
    </row>
    <row r="823">
      <c r="A823" s="223" t="str">
        <f>IFERROR(__xludf.DUMMYFUNCTION("""COMPUTED_VALUE"""),"Sacred Deathcare : Maintainance Retainer")</f>
        <v>Sacred Deathcare : Maintainance Retainer</v>
      </c>
      <c r="B823" s="223" t="str">
        <f>IFERROR(__xludf.DUMMYFUNCTION("""COMPUTED_VALUE"""),"Sacred Deathcare")</f>
        <v>Sacred Deathcare</v>
      </c>
      <c r="C823" s="223" t="str">
        <f>IFERROR(__xludf.DUMMYFUNCTION("""COMPUTED_VALUE"""),"Maintainance Retainer")</f>
        <v>Maintainance Retainer</v>
      </c>
      <c r="D823" s="316">
        <f>IFERROR(__xludf.DUMMYFUNCTION("""COMPUTED_VALUE"""),45016.0)</f>
        <v>45016</v>
      </c>
      <c r="E823" s="298">
        <f>IFERROR(__xludf.DUMMYFUNCTION("""COMPUTED_VALUE"""),250.0)</f>
        <v>250</v>
      </c>
      <c r="F823" s="298">
        <f>IFERROR(__xludf.DUMMYFUNCTION("""COMPUTED_VALUE"""),7.78)</f>
        <v>7.78</v>
      </c>
      <c r="G823" s="298">
        <f>IFERROR(__xludf.DUMMYFUNCTION("""COMPUTED_VALUE"""),0.0)</f>
        <v>0</v>
      </c>
      <c r="H823" s="223">
        <f>IFERROR(__xludf.DUMMYFUNCTION("""COMPUTED_VALUE"""),242.22)</f>
        <v>242.22</v>
      </c>
      <c r="I823" s="298"/>
      <c r="J823" s="223" t="str">
        <f>IFERROR(__xludf.DUMMYFUNCTION("""COMPUTED_VALUE"""),"Monthly")</f>
        <v>Monthly</v>
      </c>
      <c r="K823" s="317">
        <f>IFERROR(__xludf.DUMMYFUNCTION("""COMPUTED_VALUE"""),2023.03)</f>
        <v>2023.03</v>
      </c>
      <c r="L823" s="298"/>
      <c r="M823" s="223"/>
      <c r="N823" s="223"/>
      <c r="O823" s="223"/>
      <c r="P823" s="223"/>
      <c r="Q823" s="223"/>
      <c r="R823" s="223"/>
      <c r="S823" s="223"/>
      <c r="T823" s="223"/>
      <c r="U823" s="223"/>
      <c r="V823" s="223"/>
      <c r="W823" s="223"/>
      <c r="X823" s="223"/>
      <c r="Y823" s="223"/>
      <c r="Z823" s="223"/>
    </row>
    <row r="824">
      <c r="A824" s="223" t="str">
        <f>IFERROR(__xludf.DUMMYFUNCTION("""COMPUTED_VALUE"""),"Classic LifeCare : GA4 Upgrade")</f>
        <v>Classic LifeCare : GA4 Upgrade</v>
      </c>
      <c r="B824" s="223" t="str">
        <f>IFERROR(__xludf.DUMMYFUNCTION("""COMPUTED_VALUE"""),"Classic LifeCare")</f>
        <v>Classic LifeCare</v>
      </c>
      <c r="C824" s="223" t="str">
        <f>IFERROR(__xludf.DUMMYFUNCTION("""COMPUTED_VALUE"""),"GA4 Upgrade")</f>
        <v>GA4 Upgrade</v>
      </c>
      <c r="D824" s="316">
        <f>IFERROR(__xludf.DUMMYFUNCTION("""COMPUTED_VALUE"""),45016.0)</f>
        <v>45016</v>
      </c>
      <c r="E824" s="298">
        <f>IFERROR(__xludf.DUMMYFUNCTION("""COMPUTED_VALUE"""),700.0)</f>
        <v>700</v>
      </c>
      <c r="F824" s="298">
        <f>IFERROR(__xludf.DUMMYFUNCTION("""COMPUTED_VALUE"""),0.0)</f>
        <v>0</v>
      </c>
      <c r="G824" s="298">
        <f>IFERROR(__xludf.DUMMYFUNCTION("""COMPUTED_VALUE"""),0.0)</f>
        <v>0</v>
      </c>
      <c r="H824" s="223">
        <f>IFERROR(__xludf.DUMMYFUNCTION("""COMPUTED_VALUE"""),700.0)</f>
        <v>700</v>
      </c>
      <c r="I824" s="298"/>
      <c r="J824" s="223" t="str">
        <f>IFERROR(__xludf.DUMMYFUNCTION("""COMPUTED_VALUE"""),"One-Time")</f>
        <v>One-Time</v>
      </c>
      <c r="K824" s="317">
        <f>IFERROR(__xludf.DUMMYFUNCTION("""COMPUTED_VALUE"""),2023.0)</f>
        <v>2023</v>
      </c>
      <c r="L824" s="298"/>
      <c r="M824" s="223"/>
      <c r="N824" s="223"/>
      <c r="O824" s="223"/>
      <c r="P824" s="223"/>
      <c r="Q824" s="223"/>
      <c r="R824" s="223"/>
      <c r="S824" s="223"/>
      <c r="T824" s="223"/>
      <c r="U824" s="223"/>
      <c r="V824" s="223"/>
      <c r="W824" s="223"/>
      <c r="X824" s="223"/>
      <c r="Y824" s="223"/>
      <c r="Z824" s="223"/>
    </row>
    <row r="825">
      <c r="A825" s="223" t="str">
        <f>IFERROR(__xludf.DUMMYFUNCTION("""COMPUTED_VALUE"""),"ASASoft : 5 Hour General Support")</f>
        <v>ASASoft : 5 Hour General Support</v>
      </c>
      <c r="B825" s="223" t="str">
        <f>IFERROR(__xludf.DUMMYFUNCTION("""COMPUTED_VALUE"""),"ASASoft")</f>
        <v>ASASoft</v>
      </c>
      <c r="C825" s="223" t="str">
        <f>IFERROR(__xludf.DUMMYFUNCTION("""COMPUTED_VALUE"""),"5 Hour General Support")</f>
        <v>5 Hour General Support</v>
      </c>
      <c r="D825" s="316">
        <f>IFERROR(__xludf.DUMMYFUNCTION("""COMPUTED_VALUE"""),45016.0)</f>
        <v>45016</v>
      </c>
      <c r="E825" s="298">
        <f>IFERROR(__xludf.DUMMYFUNCTION("""COMPUTED_VALUE"""),599.0)</f>
        <v>599</v>
      </c>
      <c r="F825" s="298">
        <f>IFERROR(__xludf.DUMMYFUNCTION("""COMPUTED_VALUE"""),18.64)</f>
        <v>18.64</v>
      </c>
      <c r="G825" s="298">
        <f>IFERROR(__xludf.DUMMYFUNCTION("""COMPUTED_VALUE"""),0.0)</f>
        <v>0</v>
      </c>
      <c r="H825" s="223">
        <f>IFERROR(__xludf.DUMMYFUNCTION("""COMPUTED_VALUE"""),580.36)</f>
        <v>580.36</v>
      </c>
      <c r="I825" s="298"/>
      <c r="J825" s="223" t="str">
        <f>IFERROR(__xludf.DUMMYFUNCTION("""COMPUTED_VALUE"""),"One-Time")</f>
        <v>One-Time</v>
      </c>
      <c r="K825" s="317">
        <f>IFERROR(__xludf.DUMMYFUNCTION("""COMPUTED_VALUE"""),2023.0)</f>
        <v>2023</v>
      </c>
      <c r="L825" s="298"/>
      <c r="M825" s="223"/>
      <c r="N825" s="223"/>
      <c r="O825" s="223"/>
      <c r="P825" s="223"/>
      <c r="Q825" s="223"/>
      <c r="R825" s="223"/>
      <c r="S825" s="223"/>
      <c r="T825" s="223"/>
      <c r="U825" s="223"/>
      <c r="V825" s="223"/>
      <c r="W825" s="223"/>
      <c r="X825" s="223"/>
      <c r="Y825" s="223"/>
      <c r="Z825" s="223"/>
    </row>
    <row r="826">
      <c r="A826" s="223" t="str">
        <f>IFERROR(__xludf.DUMMYFUNCTION("""COMPUTED_VALUE"""),"McAllister Marketing : Copernic PPC / SEO")</f>
        <v>McAllister Marketing : Copernic PPC / SEO</v>
      </c>
      <c r="B826" s="223" t="str">
        <f>IFERROR(__xludf.DUMMYFUNCTION("""COMPUTED_VALUE"""),"McAllister Marketing")</f>
        <v>McAllister Marketing</v>
      </c>
      <c r="C826" s="223" t="str">
        <f>IFERROR(__xludf.DUMMYFUNCTION("""COMPUTED_VALUE"""),"Copernic PPC / SEO")</f>
        <v>Copernic PPC / SEO</v>
      </c>
      <c r="D826" s="316">
        <f>IFERROR(__xludf.DUMMYFUNCTION("""COMPUTED_VALUE"""),45030.0)</f>
        <v>45030</v>
      </c>
      <c r="E826" s="298">
        <f>IFERROR(__xludf.DUMMYFUNCTION("""COMPUTED_VALUE"""),2650.0)</f>
        <v>2650</v>
      </c>
      <c r="F826" s="298">
        <f>IFERROR(__xludf.DUMMYFUNCTION("""COMPUTED_VALUE"""),0.0)</f>
        <v>0</v>
      </c>
      <c r="G826" s="298">
        <f>IFERROR(__xludf.DUMMYFUNCTION("""COMPUTED_VALUE"""),0.0)</f>
        <v>0</v>
      </c>
      <c r="H826" s="223">
        <f>IFERROR(__xludf.DUMMYFUNCTION("""COMPUTED_VALUE"""),2650.0)</f>
        <v>2650</v>
      </c>
      <c r="I826" s="298"/>
      <c r="J826" s="223" t="str">
        <f>IFERROR(__xludf.DUMMYFUNCTION("""COMPUTED_VALUE"""),"Monthly")</f>
        <v>Monthly</v>
      </c>
      <c r="K826" s="317">
        <f>IFERROR(__xludf.DUMMYFUNCTION("""COMPUTED_VALUE"""),2023.04)</f>
        <v>2023.04</v>
      </c>
      <c r="L826" s="298"/>
      <c r="M826" s="223"/>
      <c r="N826" s="223"/>
      <c r="O826" s="223"/>
      <c r="P826" s="223"/>
      <c r="Q826" s="223"/>
      <c r="R826" s="223"/>
      <c r="S826" s="223"/>
      <c r="T826" s="223"/>
      <c r="U826" s="223"/>
      <c r="V826" s="223"/>
      <c r="W826" s="223"/>
      <c r="X826" s="223"/>
      <c r="Y826" s="223"/>
      <c r="Z826" s="223"/>
    </row>
    <row r="827">
      <c r="A827" s="223" t="str">
        <f>IFERROR(__xludf.DUMMYFUNCTION("""COMPUTED_VALUE"""),"Dinning Hunter : Website Rebuild")</f>
        <v>Dinning Hunter : Website Rebuild</v>
      </c>
      <c r="B827" s="223" t="str">
        <f>IFERROR(__xludf.DUMMYFUNCTION("""COMPUTED_VALUE"""),"Dinning Hunter")</f>
        <v>Dinning Hunter</v>
      </c>
      <c r="C827" s="223" t="str">
        <f>IFERROR(__xludf.DUMMYFUNCTION("""COMPUTED_VALUE"""),"Website Rebuild")</f>
        <v>Website Rebuild</v>
      </c>
      <c r="D827" s="316">
        <f>IFERROR(__xludf.DUMMYFUNCTION("""COMPUTED_VALUE"""),45016.0)</f>
        <v>45016</v>
      </c>
      <c r="E827" s="298">
        <f>IFERROR(__xludf.DUMMYFUNCTION("""COMPUTED_VALUE"""),1400.0)</f>
        <v>1400</v>
      </c>
      <c r="F827" s="298">
        <f>IFERROR(__xludf.DUMMYFUNCTION("""COMPUTED_VALUE"""),0.0)</f>
        <v>0</v>
      </c>
      <c r="G827" s="298">
        <f>IFERROR(__xludf.DUMMYFUNCTION("""COMPUTED_VALUE"""),0.0)</f>
        <v>0</v>
      </c>
      <c r="H827" s="223">
        <f>IFERROR(__xludf.DUMMYFUNCTION("""COMPUTED_VALUE"""),1400.0)</f>
        <v>1400</v>
      </c>
      <c r="I827" s="298"/>
      <c r="J827" s="223" t="str">
        <f>IFERROR(__xludf.DUMMYFUNCTION("""COMPUTED_VALUE"""),"50% Deposit Prepaid
50% Final")</f>
        <v>50% Deposit Prepaid
50% Final</v>
      </c>
      <c r="K827" s="317">
        <f>IFERROR(__xludf.DUMMYFUNCTION("""COMPUTED_VALUE"""),2023.0)</f>
        <v>2023</v>
      </c>
      <c r="L827" s="298"/>
      <c r="M827" s="223"/>
      <c r="N827" s="223"/>
      <c r="O827" s="223"/>
      <c r="P827" s="223"/>
      <c r="Q827" s="223"/>
      <c r="R827" s="223"/>
      <c r="S827" s="223"/>
      <c r="T827" s="223"/>
      <c r="U827" s="223"/>
      <c r="V827" s="223"/>
      <c r="W827" s="223"/>
      <c r="X827" s="223"/>
      <c r="Y827" s="223"/>
      <c r="Z827" s="223"/>
    </row>
    <row r="828">
      <c r="A828" s="223" t="str">
        <f>IFERROR(__xludf.DUMMYFUNCTION("""COMPUTED_VALUE"""),"Dinning Hunter : Website Rebuild")</f>
        <v>Dinning Hunter : Website Rebuild</v>
      </c>
      <c r="B828" s="223" t="str">
        <f>IFERROR(__xludf.DUMMYFUNCTION("""COMPUTED_VALUE"""),"Dinning Hunter")</f>
        <v>Dinning Hunter</v>
      </c>
      <c r="C828" s="223" t="str">
        <f>IFERROR(__xludf.DUMMYFUNCTION("""COMPUTED_VALUE"""),"Website Rebuild")</f>
        <v>Website Rebuild</v>
      </c>
      <c r="D828" s="316"/>
      <c r="E828" s="298">
        <f>IFERROR(__xludf.DUMMYFUNCTION("""COMPUTED_VALUE"""),1400.0)</f>
        <v>1400</v>
      </c>
      <c r="F828" s="298"/>
      <c r="G828" s="298">
        <f>IFERROR(__xludf.DUMMYFUNCTION("""COMPUTED_VALUE"""),0.0)</f>
        <v>0</v>
      </c>
      <c r="H828" s="223">
        <f>IFERROR(__xludf.DUMMYFUNCTION("""COMPUTED_VALUE"""),1400.0)</f>
        <v>1400</v>
      </c>
      <c r="I828" s="298"/>
      <c r="J828" s="223" t="str">
        <f>IFERROR(__xludf.DUMMYFUNCTION("""COMPUTED_VALUE"""),"50% Deposit Prepaid
50% Final")</f>
        <v>50% Deposit Prepaid
50% Final</v>
      </c>
      <c r="K828" s="317">
        <f>IFERROR(__xludf.DUMMYFUNCTION("""COMPUTED_VALUE"""),1899.0)</f>
        <v>1899</v>
      </c>
      <c r="L828" s="298"/>
      <c r="M828" s="223"/>
      <c r="N828" s="223"/>
      <c r="O828" s="223"/>
      <c r="P828" s="223"/>
      <c r="Q828" s="223"/>
      <c r="R828" s="223"/>
      <c r="S828" s="223"/>
      <c r="T828" s="223"/>
      <c r="U828" s="223"/>
      <c r="V828" s="223"/>
      <c r="W828" s="223"/>
      <c r="X828" s="223"/>
      <c r="Y828" s="223"/>
      <c r="Z828" s="223"/>
    </row>
    <row r="829">
      <c r="A829" s="223" t="str">
        <f>IFERROR(__xludf.DUMMYFUNCTION("""COMPUTED_VALUE"""),"Viridian : Monthly Services")</f>
        <v>Viridian : Monthly Services</v>
      </c>
      <c r="B829" s="223" t="str">
        <f>IFERROR(__xludf.DUMMYFUNCTION("""COMPUTED_VALUE"""),"Viridian")</f>
        <v>Viridian</v>
      </c>
      <c r="C829" s="223" t="str">
        <f>IFERROR(__xludf.DUMMYFUNCTION("""COMPUTED_VALUE"""),"Monthly Services")</f>
        <v>Monthly Services</v>
      </c>
      <c r="D829" s="316">
        <f>IFERROR(__xludf.DUMMYFUNCTION("""COMPUTED_VALUE"""),45022.0)</f>
        <v>45022</v>
      </c>
      <c r="E829" s="298">
        <f>IFERROR(__xludf.DUMMYFUNCTION("""COMPUTED_VALUE"""),990.0)</f>
        <v>990</v>
      </c>
      <c r="F829" s="298">
        <f>IFERROR(__xludf.DUMMYFUNCTION("""COMPUTED_VALUE"""),0.0)</f>
        <v>0</v>
      </c>
      <c r="G829" s="298">
        <f>IFERROR(__xludf.DUMMYFUNCTION("""COMPUTED_VALUE"""),0.0)</f>
        <v>0</v>
      </c>
      <c r="H829" s="223">
        <f>IFERROR(__xludf.DUMMYFUNCTION("""COMPUTED_VALUE"""),990.0)</f>
        <v>990</v>
      </c>
      <c r="I829" s="298"/>
      <c r="J829" s="223" t="str">
        <f>IFERROR(__xludf.DUMMYFUNCTION("""COMPUTED_VALUE"""),"Monthly")</f>
        <v>Monthly</v>
      </c>
      <c r="K829" s="317">
        <f>IFERROR(__xludf.DUMMYFUNCTION("""COMPUTED_VALUE"""),2023.04)</f>
        <v>2023.04</v>
      </c>
      <c r="L829" s="298"/>
      <c r="M829" s="223"/>
      <c r="N829" s="223"/>
      <c r="O829" s="223"/>
      <c r="P829" s="223"/>
      <c r="Q829" s="223"/>
      <c r="R829" s="223"/>
      <c r="S829" s="223"/>
      <c r="T829" s="223"/>
      <c r="U829" s="223"/>
      <c r="V829" s="223"/>
      <c r="W829" s="223"/>
      <c r="X829" s="223"/>
      <c r="Y829" s="223"/>
      <c r="Z829" s="223"/>
    </row>
    <row r="830">
      <c r="A830" s="223" t="str">
        <f>IFERROR(__xludf.DUMMYFUNCTION("""COMPUTED_VALUE"""),"Booginhead : Monthly Services")</f>
        <v>Booginhead : Monthly Services</v>
      </c>
      <c r="B830" s="223" t="str">
        <f>IFERROR(__xludf.DUMMYFUNCTION("""COMPUTED_VALUE"""),"Booginhead")</f>
        <v>Booginhead</v>
      </c>
      <c r="C830" s="223" t="str">
        <f>IFERROR(__xludf.DUMMYFUNCTION("""COMPUTED_VALUE"""),"Monthly Services")</f>
        <v>Monthly Services</v>
      </c>
      <c r="D830" s="316">
        <f>IFERROR(__xludf.DUMMYFUNCTION("""COMPUTED_VALUE"""),45030.0)</f>
        <v>45030</v>
      </c>
      <c r="E830" s="298">
        <f>IFERROR(__xludf.DUMMYFUNCTION("""COMPUTED_VALUE"""),1844.843)</f>
        <v>1844.843</v>
      </c>
      <c r="F830" s="298">
        <f>IFERROR(__xludf.DUMMYFUNCTION("""COMPUTED_VALUE"""),68.646221)</f>
        <v>68.646221</v>
      </c>
      <c r="G830" s="298">
        <f>IFERROR(__xludf.DUMMYFUNCTION("""COMPUTED_VALUE"""),355.23935580000006)</f>
        <v>355.2393558</v>
      </c>
      <c r="H830" s="223">
        <f>IFERROR(__xludf.DUMMYFUNCTION("""COMPUTED_VALUE"""),1420.9574232)</f>
        <v>1420.957423</v>
      </c>
      <c r="I830" s="298"/>
      <c r="J830" s="223" t="str">
        <f>IFERROR(__xludf.DUMMYFUNCTION("""COMPUTED_VALUE"""),"Monthly")</f>
        <v>Monthly</v>
      </c>
      <c r="K830" s="317">
        <f>IFERROR(__xludf.DUMMYFUNCTION("""COMPUTED_VALUE"""),2023.04)</f>
        <v>2023.04</v>
      </c>
      <c r="L830" s="298"/>
      <c r="M830" s="223"/>
      <c r="N830" s="223"/>
      <c r="O830" s="223"/>
      <c r="P830" s="223"/>
      <c r="Q830" s="223"/>
      <c r="R830" s="223"/>
      <c r="S830" s="223"/>
      <c r="T830" s="223"/>
      <c r="U830" s="223"/>
      <c r="V830" s="223"/>
      <c r="W830" s="223"/>
      <c r="X830" s="223"/>
      <c r="Y830" s="223"/>
      <c r="Z830" s="223"/>
    </row>
    <row r="831">
      <c r="A831" s="223" t="str">
        <f>IFERROR(__xludf.DUMMYFUNCTION("""COMPUTED_VALUE"""),"New Growth Ecommerce Inc : Monthly Services")</f>
        <v>New Growth Ecommerce Inc : Monthly Services</v>
      </c>
      <c r="B831" s="223" t="str">
        <f>IFERROR(__xludf.DUMMYFUNCTION("""COMPUTED_VALUE"""),"New Growth Ecommerce Inc")</f>
        <v>New Growth Ecommerce Inc</v>
      </c>
      <c r="C831" s="223" t="str">
        <f>IFERROR(__xludf.DUMMYFUNCTION("""COMPUTED_VALUE"""),"Monthly Services")</f>
        <v>Monthly Services</v>
      </c>
      <c r="D831" s="316">
        <f>IFERROR(__xludf.DUMMYFUNCTION("""COMPUTED_VALUE"""),45030.0)</f>
        <v>45030</v>
      </c>
      <c r="E831" s="298">
        <f>IFERROR(__xludf.DUMMYFUNCTION("""COMPUTED_VALUE"""),5000.0)</f>
        <v>5000</v>
      </c>
      <c r="F831" s="298">
        <f>IFERROR(__xludf.DUMMYFUNCTION("""COMPUTED_VALUE"""),0.0)</f>
        <v>0</v>
      </c>
      <c r="G831" s="298">
        <f>IFERROR(__xludf.DUMMYFUNCTION("""COMPUTED_VALUE"""),0.0)</f>
        <v>0</v>
      </c>
      <c r="H831" s="223">
        <f>IFERROR(__xludf.DUMMYFUNCTION("""COMPUTED_VALUE"""),5000.0)</f>
        <v>5000</v>
      </c>
      <c r="I831" s="298"/>
      <c r="J831" s="223" t="str">
        <f>IFERROR(__xludf.DUMMYFUNCTION("""COMPUTED_VALUE"""),"Monthly")</f>
        <v>Monthly</v>
      </c>
      <c r="K831" s="317">
        <f>IFERROR(__xludf.DUMMYFUNCTION("""COMPUTED_VALUE"""),2023.04)</f>
        <v>2023.04</v>
      </c>
      <c r="L831" s="298"/>
      <c r="M831" s="223"/>
      <c r="N831" s="223"/>
      <c r="O831" s="223"/>
      <c r="P831" s="223"/>
      <c r="Q831" s="223"/>
      <c r="R831" s="223"/>
      <c r="S831" s="223"/>
      <c r="T831" s="223"/>
      <c r="U831" s="223"/>
      <c r="V831" s="223"/>
      <c r="W831" s="223"/>
      <c r="X831" s="223"/>
      <c r="Y831" s="223"/>
      <c r="Z831" s="223"/>
    </row>
    <row r="832">
      <c r="A832" s="223" t="str">
        <f>IFERROR(__xludf.DUMMYFUNCTION("""COMPUTED_VALUE"""),"OA Region 6 : Monthly Services")</f>
        <v>OA Region 6 : Monthly Services</v>
      </c>
      <c r="B832" s="223" t="str">
        <f>IFERROR(__xludf.DUMMYFUNCTION("""COMPUTED_VALUE"""),"OA Region 6")</f>
        <v>OA Region 6</v>
      </c>
      <c r="C832" s="223" t="str">
        <f>IFERROR(__xludf.DUMMYFUNCTION("""COMPUTED_VALUE"""),"Monthly Services")</f>
        <v>Monthly Services</v>
      </c>
      <c r="D832" s="316">
        <f>IFERROR(__xludf.DUMMYFUNCTION("""COMPUTED_VALUE"""),45030.0)</f>
        <v>45030</v>
      </c>
      <c r="E832" s="298">
        <f>IFERROR(__xludf.DUMMYFUNCTION("""COMPUTED_VALUE"""),458.90214999999995)</f>
        <v>458.90215</v>
      </c>
      <c r="F832" s="298">
        <f>IFERROR(__xludf.DUMMYFUNCTION("""COMPUTED_VALUE"""),17.372724249999997)</f>
        <v>17.37272425</v>
      </c>
      <c r="G832" s="298">
        <f>IFERROR(__xludf.DUMMYFUNCTION("""COMPUTED_VALUE"""),0.0)</f>
        <v>0</v>
      </c>
      <c r="H832" s="223">
        <f>IFERROR(__xludf.DUMMYFUNCTION("""COMPUTED_VALUE"""),441.52942575)</f>
        <v>441.5294258</v>
      </c>
      <c r="I832" s="298"/>
      <c r="J832" s="223" t="str">
        <f>IFERROR(__xludf.DUMMYFUNCTION("""COMPUTED_VALUE"""),"Monthly")</f>
        <v>Monthly</v>
      </c>
      <c r="K832" s="317">
        <f>IFERROR(__xludf.DUMMYFUNCTION("""COMPUTED_VALUE"""),2023.04)</f>
        <v>2023.04</v>
      </c>
      <c r="L832" s="298"/>
      <c r="M832" s="223"/>
      <c r="N832" s="223"/>
      <c r="O832" s="223"/>
      <c r="P832" s="223"/>
      <c r="Q832" s="223"/>
      <c r="R832" s="223"/>
      <c r="S832" s="223"/>
      <c r="T832" s="223"/>
      <c r="U832" s="223"/>
      <c r="V832" s="223"/>
      <c r="W832" s="223"/>
      <c r="X832" s="223"/>
      <c r="Y832" s="223"/>
      <c r="Z832" s="223"/>
    </row>
    <row r="833">
      <c r="A833" s="223" t="str">
        <f>IFERROR(__xludf.DUMMYFUNCTION("""COMPUTED_VALUE"""),"Rama Meditation Society : Monthly Hosting &amp; Updates")</f>
        <v>Rama Meditation Society : Monthly Hosting &amp; Updates</v>
      </c>
      <c r="B833" s="223" t="str">
        <f>IFERROR(__xludf.DUMMYFUNCTION("""COMPUTED_VALUE"""),"Rama Meditation Society")</f>
        <v>Rama Meditation Society</v>
      </c>
      <c r="C833" s="223" t="str">
        <f>IFERROR(__xludf.DUMMYFUNCTION("""COMPUTED_VALUE"""),"Monthly Hosting &amp; Updates")</f>
        <v>Monthly Hosting &amp; Updates</v>
      </c>
      <c r="D833" s="316">
        <f>IFERROR(__xludf.DUMMYFUNCTION("""COMPUTED_VALUE"""),45030.0)</f>
        <v>45030</v>
      </c>
      <c r="E833" s="298">
        <f>IFERROR(__xludf.DUMMYFUNCTION("""COMPUTED_VALUE"""),77.63879999999999)</f>
        <v>77.6388</v>
      </c>
      <c r="F833" s="298">
        <f>IFERROR(__xludf.DUMMYFUNCTION("""COMPUTED_VALUE"""),3.2608295999999997)</f>
        <v>3.2608296</v>
      </c>
      <c r="G833" s="298">
        <f>IFERROR(__xludf.DUMMYFUNCTION("""COMPUTED_VALUE"""),0.0)</f>
        <v>0</v>
      </c>
      <c r="H833" s="223">
        <f>IFERROR(__xludf.DUMMYFUNCTION("""COMPUTED_VALUE"""),74.3779704)</f>
        <v>74.3779704</v>
      </c>
      <c r="I833" s="298"/>
      <c r="J833" s="223"/>
      <c r="K833" s="317">
        <f>IFERROR(__xludf.DUMMYFUNCTION("""COMPUTED_VALUE"""),2023.0)</f>
        <v>2023</v>
      </c>
      <c r="L833" s="298"/>
      <c r="M833" s="223"/>
      <c r="N833" s="223"/>
      <c r="O833" s="223"/>
      <c r="P833" s="223"/>
      <c r="Q833" s="223"/>
      <c r="R833" s="223"/>
      <c r="S833" s="223"/>
      <c r="T833" s="223"/>
      <c r="U833" s="223"/>
      <c r="V833" s="223"/>
      <c r="W833" s="223"/>
      <c r="X833" s="223"/>
      <c r="Y833" s="223"/>
      <c r="Z833" s="223"/>
    </row>
    <row r="834">
      <c r="A834" s="223" t="str">
        <f>IFERROR(__xludf.DUMMYFUNCTION("""COMPUTED_VALUE"""),"Tofino Resort + Marina : Monthly Services")</f>
        <v>Tofino Resort + Marina : Monthly Services</v>
      </c>
      <c r="B834" s="223" t="str">
        <f>IFERROR(__xludf.DUMMYFUNCTION("""COMPUTED_VALUE"""),"Tofino Resort + Marina")</f>
        <v>Tofino Resort + Marina</v>
      </c>
      <c r="C834" s="223" t="str">
        <f>IFERROR(__xludf.DUMMYFUNCTION("""COMPUTED_VALUE"""),"Monthly Services")</f>
        <v>Monthly Services</v>
      </c>
      <c r="D834" s="316">
        <f>IFERROR(__xludf.DUMMYFUNCTION("""COMPUTED_VALUE"""),45030.0)</f>
        <v>45030</v>
      </c>
      <c r="E834" s="298">
        <f>IFERROR(__xludf.DUMMYFUNCTION("""COMPUTED_VALUE"""),1600.0)</f>
        <v>1600</v>
      </c>
      <c r="F834" s="298">
        <f>IFERROR(__xludf.DUMMYFUNCTION("""COMPUTED_VALUE"""),49.78)</f>
        <v>49.78</v>
      </c>
      <c r="G834" s="298">
        <f>IFERROR(__xludf.DUMMYFUNCTION("""COMPUTED_VALUE"""),0.0)</f>
        <v>0</v>
      </c>
      <c r="H834" s="223">
        <f>IFERROR(__xludf.DUMMYFUNCTION("""COMPUTED_VALUE"""),1550.22)</f>
        <v>1550.22</v>
      </c>
      <c r="I834" s="298"/>
      <c r="J834" s="223" t="str">
        <f>IFERROR(__xludf.DUMMYFUNCTION("""COMPUTED_VALUE"""),"Monthly")</f>
        <v>Monthly</v>
      </c>
      <c r="K834" s="317">
        <f>IFERROR(__xludf.DUMMYFUNCTION("""COMPUTED_VALUE"""),2023.04)</f>
        <v>2023.04</v>
      </c>
      <c r="L834" s="298"/>
      <c r="M834" s="223"/>
      <c r="N834" s="223"/>
      <c r="O834" s="223"/>
      <c r="P834" s="223"/>
      <c r="Q834" s="223"/>
      <c r="R834" s="223"/>
      <c r="S834" s="223"/>
      <c r="T834" s="223"/>
      <c r="U834" s="223"/>
      <c r="V834" s="223"/>
      <c r="W834" s="223"/>
      <c r="X834" s="223"/>
      <c r="Y834" s="223"/>
      <c r="Z834" s="223"/>
    </row>
    <row r="835">
      <c r="A835" s="223" t="str">
        <f>IFERROR(__xludf.DUMMYFUNCTION("""COMPUTED_VALUE"""),"Canyon's Construction : Enhanced Hosting &amp; WordPress Support")</f>
        <v>Canyon's Construction : Enhanced Hosting &amp; WordPress Support</v>
      </c>
      <c r="B835" s="223" t="str">
        <f>IFERROR(__xludf.DUMMYFUNCTION("""COMPUTED_VALUE"""),"Canyon's Construction")</f>
        <v>Canyon's Construction</v>
      </c>
      <c r="C835" s="223" t="str">
        <f>IFERROR(__xludf.DUMMYFUNCTION("""COMPUTED_VALUE"""),"Enhanced Hosting &amp; WordPress Support")</f>
        <v>Enhanced Hosting &amp; WordPress Support</v>
      </c>
      <c r="D835" s="316">
        <f>IFERROR(__xludf.DUMMYFUNCTION("""COMPUTED_VALUE"""),45030.0)</f>
        <v>45030</v>
      </c>
      <c r="E835" s="298">
        <f>IFERROR(__xludf.DUMMYFUNCTION("""COMPUTED_VALUE"""),368.42539999999997)</f>
        <v>368.4254</v>
      </c>
      <c r="F835" s="298">
        <f>IFERROR(__xludf.DUMMYFUNCTION("""COMPUTED_VALUE"""),14.026481299999999)</f>
        <v>14.0264813</v>
      </c>
      <c r="G835" s="298">
        <f>IFERROR(__xludf.DUMMYFUNCTION("""COMPUTED_VALUE"""),70.87978374)</f>
        <v>70.87978374</v>
      </c>
      <c r="H835" s="223">
        <f>IFERROR(__xludf.DUMMYFUNCTION("""COMPUTED_VALUE"""),283.51913496)</f>
        <v>283.519135</v>
      </c>
      <c r="I835" s="298"/>
      <c r="J835" s="223" t="str">
        <f>IFERROR(__xludf.DUMMYFUNCTION("""COMPUTED_VALUE"""),"Monthly")</f>
        <v>Monthly</v>
      </c>
      <c r="K835" s="317">
        <f>IFERROR(__xludf.DUMMYFUNCTION("""COMPUTED_VALUE"""),2023.0)</f>
        <v>2023</v>
      </c>
      <c r="L835" s="298"/>
      <c r="M835" s="223"/>
      <c r="N835" s="223"/>
      <c r="O835" s="223"/>
      <c r="P835" s="223"/>
      <c r="Q835" s="223"/>
      <c r="R835" s="223"/>
      <c r="S835" s="223"/>
      <c r="T835" s="223"/>
      <c r="U835" s="223"/>
      <c r="V835" s="223"/>
      <c r="W835" s="223"/>
      <c r="X835" s="223"/>
      <c r="Y835" s="223"/>
      <c r="Z835" s="223"/>
    </row>
    <row r="836">
      <c r="A836" s="223" t="str">
        <f>IFERROR(__xludf.DUMMYFUNCTION("""COMPUTED_VALUE"""),"Villa del Mar : Enhanced Hosting &amp; WordPress Support")</f>
        <v>Villa del Mar : Enhanced Hosting &amp; WordPress Support</v>
      </c>
      <c r="B836" s="223" t="str">
        <f>IFERROR(__xludf.DUMMYFUNCTION("""COMPUTED_VALUE"""),"Villa del Mar")</f>
        <v>Villa del Mar</v>
      </c>
      <c r="C836" s="223" t="str">
        <f>IFERROR(__xludf.DUMMYFUNCTION("""COMPUTED_VALUE"""),"Enhanced Hosting &amp; WordPress Support")</f>
        <v>Enhanced Hosting &amp; WordPress Support</v>
      </c>
      <c r="D836" s="316">
        <f>IFERROR(__xludf.DUMMYFUNCTION("""COMPUTED_VALUE"""),45030.0)</f>
        <v>45030</v>
      </c>
      <c r="E836" s="298">
        <f>IFERROR(__xludf.DUMMYFUNCTION("""COMPUTED_VALUE"""),371.35560000000004)</f>
        <v>371.3556</v>
      </c>
      <c r="F836" s="298">
        <f>IFERROR(__xludf.DUMMYFUNCTION("""COMPUTED_VALUE"""),11.07)</f>
        <v>11.07</v>
      </c>
      <c r="G836" s="298">
        <f>IFERROR(__xludf.DUMMYFUNCTION("""COMPUTED_VALUE"""),0.0)</f>
        <v>0</v>
      </c>
      <c r="H836" s="223">
        <f>IFERROR(__xludf.DUMMYFUNCTION("""COMPUTED_VALUE"""),360.28560000000004)</f>
        <v>360.2856</v>
      </c>
      <c r="I836" s="298"/>
      <c r="J836" s="223" t="str">
        <f>IFERROR(__xludf.DUMMYFUNCTION("""COMPUTED_VALUE"""),"Monthly")</f>
        <v>Monthly</v>
      </c>
      <c r="K836" s="317">
        <f>IFERROR(__xludf.DUMMYFUNCTION("""COMPUTED_VALUE"""),2023.04)</f>
        <v>2023.04</v>
      </c>
      <c r="L836" s="298"/>
      <c r="M836" s="223"/>
      <c r="N836" s="223"/>
      <c r="O836" s="223"/>
      <c r="P836" s="223"/>
      <c r="Q836" s="223"/>
      <c r="R836" s="223"/>
      <c r="S836" s="223"/>
      <c r="T836" s="223"/>
      <c r="U836" s="223"/>
      <c r="V836" s="223"/>
      <c r="W836" s="223"/>
      <c r="X836" s="223"/>
      <c r="Y836" s="223"/>
      <c r="Z836" s="223"/>
    </row>
    <row r="837">
      <c r="A837" s="223" t="str">
        <f>IFERROR(__xludf.DUMMYFUNCTION("""COMPUTED_VALUE"""),"Classic LifeCare : Monthly Google Ads (PPC) Management")</f>
        <v>Classic LifeCare : Monthly Google Ads (PPC) Management</v>
      </c>
      <c r="B837" s="223" t="str">
        <f>IFERROR(__xludf.DUMMYFUNCTION("""COMPUTED_VALUE"""),"Classic LifeCare")</f>
        <v>Classic LifeCare</v>
      </c>
      <c r="C837" s="223" t="str">
        <f>IFERROR(__xludf.DUMMYFUNCTION("""COMPUTED_VALUE"""),"Monthly Google Ads (PPC) Management")</f>
        <v>Monthly Google Ads (PPC) Management</v>
      </c>
      <c r="D837" s="316">
        <f>IFERROR(__xludf.DUMMYFUNCTION("""COMPUTED_VALUE"""),45030.0)</f>
        <v>45030</v>
      </c>
      <c r="E837" s="298">
        <f>IFERROR(__xludf.DUMMYFUNCTION("""COMPUTED_VALUE"""),500.0)</f>
        <v>500</v>
      </c>
      <c r="F837" s="298">
        <f>IFERROR(__xludf.DUMMYFUNCTION("""COMPUTED_VALUE"""),0.0)</f>
        <v>0</v>
      </c>
      <c r="G837" s="298">
        <f>IFERROR(__xludf.DUMMYFUNCTION("""COMPUTED_VALUE"""),0.0)</f>
        <v>0</v>
      </c>
      <c r="H837" s="223">
        <f>IFERROR(__xludf.DUMMYFUNCTION("""COMPUTED_VALUE"""),500.0)</f>
        <v>500</v>
      </c>
      <c r="I837" s="298"/>
      <c r="J837" s="223" t="str">
        <f>IFERROR(__xludf.DUMMYFUNCTION("""COMPUTED_VALUE"""),"Monthly")</f>
        <v>Monthly</v>
      </c>
      <c r="K837" s="317">
        <f>IFERROR(__xludf.DUMMYFUNCTION("""COMPUTED_VALUE"""),2023.04)</f>
        <v>2023.04</v>
      </c>
      <c r="L837" s="298"/>
      <c r="M837" s="223"/>
      <c r="N837" s="223"/>
      <c r="O837" s="223"/>
      <c r="P837" s="223"/>
      <c r="Q837" s="223"/>
      <c r="R837" s="223"/>
      <c r="S837" s="223"/>
      <c r="T837" s="223"/>
      <c r="U837" s="223"/>
      <c r="V837" s="223"/>
      <c r="W837" s="223"/>
      <c r="X837" s="223"/>
      <c r="Y837" s="223"/>
      <c r="Z837" s="223"/>
    </row>
    <row r="838">
      <c r="A838" s="223" t="str">
        <f>IFERROR(__xludf.DUMMYFUNCTION("""COMPUTED_VALUE"""),"Ultimate Tools : Monthly SEO &amp; PPC Management")</f>
        <v>Ultimate Tools : Monthly SEO &amp; PPC Management</v>
      </c>
      <c r="B838" s="223" t="str">
        <f>IFERROR(__xludf.DUMMYFUNCTION("""COMPUTED_VALUE"""),"Ultimate Tools")</f>
        <v>Ultimate Tools</v>
      </c>
      <c r="C838" s="223" t="str">
        <f>IFERROR(__xludf.DUMMYFUNCTION("""COMPUTED_VALUE"""),"Monthly SEO &amp; PPC Management")</f>
        <v>Monthly SEO &amp; PPC Management</v>
      </c>
      <c r="D838" s="316">
        <f>IFERROR(__xludf.DUMMYFUNCTION("""COMPUTED_VALUE"""),45030.0)</f>
        <v>45030</v>
      </c>
      <c r="E838" s="298">
        <f>IFERROR(__xludf.DUMMYFUNCTION("""COMPUTED_VALUE"""),2500.0)</f>
        <v>2500</v>
      </c>
      <c r="F838" s="298">
        <f>IFERROR(__xludf.DUMMYFUNCTION("""COMPUTED_VALUE"""),0.0)</f>
        <v>0</v>
      </c>
      <c r="G838" s="298">
        <f>IFERROR(__xludf.DUMMYFUNCTION("""COMPUTED_VALUE"""),0.0)</f>
        <v>0</v>
      </c>
      <c r="H838" s="223">
        <f>IFERROR(__xludf.DUMMYFUNCTION("""COMPUTED_VALUE"""),2500.0)</f>
        <v>2500</v>
      </c>
      <c r="I838" s="298"/>
      <c r="J838" s="223" t="str">
        <f>IFERROR(__xludf.DUMMYFUNCTION("""COMPUTED_VALUE"""),"Monthly")</f>
        <v>Monthly</v>
      </c>
      <c r="K838" s="317">
        <f>IFERROR(__xludf.DUMMYFUNCTION("""COMPUTED_VALUE"""),2023.04)</f>
        <v>2023.04</v>
      </c>
      <c r="L838" s="298"/>
      <c r="M838" s="223"/>
      <c r="N838" s="223"/>
      <c r="O838" s="223"/>
      <c r="P838" s="223"/>
      <c r="Q838" s="223"/>
      <c r="R838" s="223"/>
      <c r="S838" s="223"/>
      <c r="T838" s="223"/>
      <c r="U838" s="223"/>
      <c r="V838" s="223"/>
      <c r="W838" s="223"/>
      <c r="X838" s="223"/>
      <c r="Y838" s="223"/>
      <c r="Z838" s="223"/>
    </row>
    <row r="839">
      <c r="A839" s="223" t="str">
        <f>IFERROR(__xludf.DUMMYFUNCTION("""COMPUTED_VALUE"""),"Terra Insights : Monthly PPC")</f>
        <v>Terra Insights : Monthly PPC</v>
      </c>
      <c r="B839" s="223" t="str">
        <f>IFERROR(__xludf.DUMMYFUNCTION("""COMPUTED_VALUE"""),"Terra Insights")</f>
        <v>Terra Insights</v>
      </c>
      <c r="C839" s="223" t="str">
        <f>IFERROR(__xludf.DUMMYFUNCTION("""COMPUTED_VALUE"""),"Monthly PPC")</f>
        <v>Monthly PPC</v>
      </c>
      <c r="D839" s="316">
        <f>IFERROR(__xludf.DUMMYFUNCTION("""COMPUTED_VALUE"""),45030.0)</f>
        <v>45030</v>
      </c>
      <c r="E839" s="298">
        <f>IFERROR(__xludf.DUMMYFUNCTION("""COMPUTED_VALUE"""),2000.0)</f>
        <v>2000</v>
      </c>
      <c r="F839" s="298">
        <f>IFERROR(__xludf.DUMMYFUNCTION("""COMPUTED_VALUE"""),62.223)</f>
        <v>62.223</v>
      </c>
      <c r="G839" s="298">
        <f>IFERROR(__xludf.DUMMYFUNCTION("""COMPUTED_VALUE"""),0.0)</f>
        <v>0</v>
      </c>
      <c r="H839" s="223">
        <f>IFERROR(__xludf.DUMMYFUNCTION("""COMPUTED_VALUE"""),1937.777)</f>
        <v>1937.777</v>
      </c>
      <c r="I839" s="298"/>
      <c r="J839" s="223" t="str">
        <f>IFERROR(__xludf.DUMMYFUNCTION("""COMPUTED_VALUE"""),"Monthly")</f>
        <v>Monthly</v>
      </c>
      <c r="K839" s="317">
        <f>IFERROR(__xludf.DUMMYFUNCTION("""COMPUTED_VALUE"""),2023.04)</f>
        <v>2023.04</v>
      </c>
      <c r="L839" s="298"/>
      <c r="M839" s="223"/>
      <c r="N839" s="223"/>
      <c r="O839" s="223"/>
      <c r="P839" s="223"/>
      <c r="Q839" s="223"/>
      <c r="R839" s="223"/>
      <c r="S839" s="223"/>
      <c r="T839" s="223"/>
      <c r="U839" s="223"/>
      <c r="V839" s="223"/>
      <c r="W839" s="223"/>
      <c r="X839" s="223"/>
      <c r="Y839" s="223"/>
      <c r="Z839" s="223"/>
    </row>
    <row r="840">
      <c r="A840" s="223" t="str">
        <f>IFERROR(__xludf.DUMMYFUNCTION("""COMPUTED_VALUE"""),"VINN : Monthly PPC")</f>
        <v>VINN : Monthly PPC</v>
      </c>
      <c r="B840" s="223" t="str">
        <f>IFERROR(__xludf.DUMMYFUNCTION("""COMPUTED_VALUE"""),"VINN")</f>
        <v>VINN</v>
      </c>
      <c r="C840" s="223" t="str">
        <f>IFERROR(__xludf.DUMMYFUNCTION("""COMPUTED_VALUE"""),"Monthly PPC")</f>
        <v>Monthly PPC</v>
      </c>
      <c r="D840" s="316"/>
      <c r="E840" s="298">
        <f>IFERROR(__xludf.DUMMYFUNCTION("""COMPUTED_VALUE"""),7000.0)</f>
        <v>7000</v>
      </c>
      <c r="F840" s="298"/>
      <c r="G840" s="298">
        <f>IFERROR(__xludf.DUMMYFUNCTION("""COMPUTED_VALUE"""),0.0)</f>
        <v>0</v>
      </c>
      <c r="H840" s="223">
        <f>IFERROR(__xludf.DUMMYFUNCTION("""COMPUTED_VALUE"""),7000.0)</f>
        <v>7000</v>
      </c>
      <c r="I840" s="298"/>
      <c r="J840" s="223"/>
      <c r="K840" s="317">
        <f>IFERROR(__xludf.DUMMYFUNCTION("""COMPUTED_VALUE"""),1899.0)</f>
        <v>1899</v>
      </c>
      <c r="L840" s="298"/>
      <c r="M840" s="223"/>
      <c r="N840" s="223"/>
      <c r="O840" s="223"/>
      <c r="P840" s="223"/>
      <c r="Q840" s="223"/>
      <c r="R840" s="223"/>
      <c r="S840" s="223"/>
      <c r="T840" s="223"/>
      <c r="U840" s="223"/>
      <c r="V840" s="223"/>
      <c r="W840" s="223"/>
      <c r="X840" s="223"/>
      <c r="Y840" s="223"/>
      <c r="Z840" s="223"/>
    </row>
    <row r="841">
      <c r="A841" s="223" t="str">
        <f>IFERROR(__xludf.DUMMYFUNCTION("""COMPUTED_VALUE"""),"Markey Machine : General Support Retainer")</f>
        <v>Markey Machine : General Support Retainer</v>
      </c>
      <c r="B841" s="223" t="str">
        <f>IFERROR(__xludf.DUMMYFUNCTION("""COMPUTED_VALUE"""),"Markey Machine")</f>
        <v>Markey Machine</v>
      </c>
      <c r="C841" s="223" t="str">
        <f>IFERROR(__xludf.DUMMYFUNCTION("""COMPUTED_VALUE"""),"General Support Retainer")</f>
        <v>General Support Retainer</v>
      </c>
      <c r="D841" s="316">
        <f>IFERROR(__xludf.DUMMYFUNCTION("""COMPUTED_VALUE"""),45030.0)</f>
        <v>45030</v>
      </c>
      <c r="E841" s="298">
        <f>IFERROR(__xludf.DUMMYFUNCTION("""COMPUTED_VALUE"""),323.27675)</f>
        <v>323.27675</v>
      </c>
      <c r="F841" s="298">
        <f>IFERROR(__xludf.DUMMYFUNCTION("""COMPUTED_VALUE"""),12.349171850000001)</f>
        <v>12.34917185</v>
      </c>
      <c r="G841" s="298">
        <f>IFERROR(__xludf.DUMMYFUNCTION("""COMPUTED_VALUE"""),62.18551563)</f>
        <v>62.18551563</v>
      </c>
      <c r="H841" s="223">
        <f>IFERROR(__xludf.DUMMYFUNCTION("""COMPUTED_VALUE"""),248.74206252)</f>
        <v>248.7420625</v>
      </c>
      <c r="I841" s="298"/>
      <c r="J841" s="223" t="str">
        <f>IFERROR(__xludf.DUMMYFUNCTION("""COMPUTED_VALUE"""),"Monthly")</f>
        <v>Monthly</v>
      </c>
      <c r="K841" s="317">
        <f>IFERROR(__xludf.DUMMYFUNCTION("""COMPUTED_VALUE"""),2023.04)</f>
        <v>2023.04</v>
      </c>
      <c r="L841" s="298"/>
      <c r="M841" s="223"/>
      <c r="N841" s="223"/>
      <c r="O841" s="223"/>
      <c r="P841" s="223"/>
      <c r="Q841" s="223"/>
      <c r="R841" s="223"/>
      <c r="S841" s="223"/>
      <c r="T841" s="223"/>
      <c r="U841" s="223"/>
      <c r="V841" s="223"/>
      <c r="W841" s="223"/>
      <c r="X841" s="223"/>
      <c r="Y841" s="223"/>
      <c r="Z841" s="223"/>
    </row>
    <row r="842">
      <c r="A842" s="223" t="str">
        <f>IFERROR(__xludf.DUMMYFUNCTION("""COMPUTED_VALUE"""),"The Shore Club : 10 Hour General Support Block")</f>
        <v>The Shore Club : 10 Hour General Support Block</v>
      </c>
      <c r="B842" s="223" t="str">
        <f>IFERROR(__xludf.DUMMYFUNCTION("""COMPUTED_VALUE"""),"The Shore Club")</f>
        <v>The Shore Club</v>
      </c>
      <c r="C842" s="223" t="str">
        <f>IFERROR(__xludf.DUMMYFUNCTION("""COMPUTED_VALUE"""),"10 Hour General Support Block")</f>
        <v>10 Hour General Support Block</v>
      </c>
      <c r="D842" s="316">
        <f>IFERROR(__xludf.DUMMYFUNCTION("""COMPUTED_VALUE"""),45030.0)</f>
        <v>45030</v>
      </c>
      <c r="E842" s="298">
        <f>IFERROR(__xludf.DUMMYFUNCTION("""COMPUTED_VALUE"""),1316.4845)</f>
        <v>1316.4845</v>
      </c>
      <c r="F842" s="298">
        <f>IFERROR(__xludf.DUMMYFUNCTION("""COMPUTED_VALUE"""),0.0)</f>
        <v>0</v>
      </c>
      <c r="G842" s="298">
        <f>IFERROR(__xludf.DUMMYFUNCTION("""COMPUTED_VALUE"""),0.0)</f>
        <v>0</v>
      </c>
      <c r="H842" s="223">
        <f>IFERROR(__xludf.DUMMYFUNCTION("""COMPUTED_VALUE"""),1316.4845)</f>
        <v>1316.4845</v>
      </c>
      <c r="I842" s="298"/>
      <c r="J842" s="223" t="str">
        <f>IFERROR(__xludf.DUMMYFUNCTION("""COMPUTED_VALUE"""),"One-Time")</f>
        <v>One-Time</v>
      </c>
      <c r="K842" s="317">
        <f>IFERROR(__xludf.DUMMYFUNCTION("""COMPUTED_VALUE"""),2023.0)</f>
        <v>2023</v>
      </c>
      <c r="L842" s="298"/>
      <c r="M842" s="223"/>
      <c r="N842" s="223"/>
      <c r="O842" s="223"/>
      <c r="P842" s="223"/>
      <c r="Q842" s="223"/>
      <c r="R842" s="223"/>
      <c r="S842" s="223"/>
      <c r="T842" s="223"/>
      <c r="U842" s="223"/>
      <c r="V842" s="223"/>
      <c r="W842" s="223"/>
      <c r="X842" s="223"/>
      <c r="Y842" s="223"/>
      <c r="Z842" s="223"/>
    </row>
    <row r="843">
      <c r="A843" s="223" t="str">
        <f>IFERROR(__xludf.DUMMYFUNCTION("""COMPUTED_VALUE"""),"Maker House : Website Review")</f>
        <v>Maker House : Website Review</v>
      </c>
      <c r="B843" s="223" t="str">
        <f>IFERROR(__xludf.DUMMYFUNCTION("""COMPUTED_VALUE"""),"Maker House")</f>
        <v>Maker House</v>
      </c>
      <c r="C843" s="223" t="str">
        <f>IFERROR(__xludf.DUMMYFUNCTION("""COMPUTED_VALUE"""),"Website Review")</f>
        <v>Website Review</v>
      </c>
      <c r="D843" s="316">
        <f>IFERROR(__xludf.DUMMYFUNCTION("""COMPUTED_VALUE"""),45030.0)</f>
        <v>45030</v>
      </c>
      <c r="E843" s="298">
        <f>IFERROR(__xludf.DUMMYFUNCTION("""COMPUTED_VALUE"""),800.0)</f>
        <v>800</v>
      </c>
      <c r="F843" s="298">
        <f>IFERROR(__xludf.DUMMYFUNCTION("""COMPUTED_VALUE"""),26.79)</f>
        <v>26.79</v>
      </c>
      <c r="G843" s="298">
        <f>IFERROR(__xludf.DUMMYFUNCTION("""COMPUTED_VALUE"""),0.0)</f>
        <v>0</v>
      </c>
      <c r="H843" s="223">
        <f>IFERROR(__xludf.DUMMYFUNCTION("""COMPUTED_VALUE"""),773.21)</f>
        <v>773.21</v>
      </c>
      <c r="I843" s="298"/>
      <c r="J843" s="223" t="str">
        <f>IFERROR(__xludf.DUMMYFUNCTION("""COMPUTED_VALUE"""),"50% Deposit Prepaid
50% Final")</f>
        <v>50% Deposit Prepaid
50% Final</v>
      </c>
      <c r="K843" s="317">
        <f>IFERROR(__xludf.DUMMYFUNCTION("""COMPUTED_VALUE"""),2023.0)</f>
        <v>2023</v>
      </c>
      <c r="L843" s="298"/>
      <c r="M843" s="223"/>
      <c r="N843" s="223"/>
      <c r="O843" s="223"/>
      <c r="P843" s="223"/>
      <c r="Q843" s="223"/>
      <c r="R843" s="223"/>
      <c r="S843" s="223"/>
      <c r="T843" s="223"/>
      <c r="U843" s="223"/>
      <c r="V843" s="223"/>
      <c r="W843" s="223"/>
      <c r="X843" s="223"/>
      <c r="Y843" s="223"/>
      <c r="Z843" s="223"/>
    </row>
    <row r="844">
      <c r="A844" s="223" t="str">
        <f>IFERROR(__xludf.DUMMYFUNCTION("""COMPUTED_VALUE"""),"Maker House : Website Review")</f>
        <v>Maker House : Website Review</v>
      </c>
      <c r="B844" s="223" t="str">
        <f>IFERROR(__xludf.DUMMYFUNCTION("""COMPUTED_VALUE"""),"Maker House")</f>
        <v>Maker House</v>
      </c>
      <c r="C844" s="223" t="str">
        <f>IFERROR(__xludf.DUMMYFUNCTION("""COMPUTED_VALUE"""),"Website Review")</f>
        <v>Website Review</v>
      </c>
      <c r="D844" s="316">
        <f>IFERROR(__xludf.DUMMYFUNCTION("""COMPUTED_VALUE"""),45077.0)</f>
        <v>45077</v>
      </c>
      <c r="E844" s="298">
        <f>IFERROR(__xludf.DUMMYFUNCTION("""COMPUTED_VALUE"""),800.0)</f>
        <v>800</v>
      </c>
      <c r="F844" s="298">
        <f>IFERROR(__xludf.DUMMYFUNCTION("""COMPUTED_VALUE"""),26.79)</f>
        <v>26.79</v>
      </c>
      <c r="G844" s="298">
        <f>IFERROR(__xludf.DUMMYFUNCTION("""COMPUTED_VALUE"""),0.0)</f>
        <v>0</v>
      </c>
      <c r="H844" s="223">
        <f>IFERROR(__xludf.DUMMYFUNCTION("""COMPUTED_VALUE"""),773.21)</f>
        <v>773.21</v>
      </c>
      <c r="I844" s="298"/>
      <c r="J844" s="223" t="str">
        <f>IFERROR(__xludf.DUMMYFUNCTION("""COMPUTED_VALUE"""),"50% Deposit Prepaid
50% Final")</f>
        <v>50% Deposit Prepaid
50% Final</v>
      </c>
      <c r="K844" s="317">
        <f>IFERROR(__xludf.DUMMYFUNCTION("""COMPUTED_VALUE"""),2023.0)</f>
        <v>2023</v>
      </c>
      <c r="L844" s="298"/>
      <c r="M844" s="223"/>
      <c r="N844" s="223"/>
      <c r="O844" s="223"/>
      <c r="P844" s="223"/>
      <c r="Q844" s="223"/>
      <c r="R844" s="223"/>
      <c r="S844" s="223"/>
      <c r="T844" s="223"/>
      <c r="U844" s="223"/>
      <c r="V844" s="223"/>
      <c r="W844" s="223"/>
      <c r="X844" s="223"/>
      <c r="Y844" s="223"/>
      <c r="Z844" s="223"/>
    </row>
    <row r="845">
      <c r="A845" s="223" t="str">
        <f>IFERROR(__xludf.DUMMYFUNCTION("""COMPUTED_VALUE"""),"Red Seal : Grant Project")</f>
        <v>Red Seal : Grant Project</v>
      </c>
      <c r="B845" s="223" t="str">
        <f>IFERROR(__xludf.DUMMYFUNCTION("""COMPUTED_VALUE"""),"Red Seal")</f>
        <v>Red Seal</v>
      </c>
      <c r="C845" s="223" t="str">
        <f>IFERROR(__xludf.DUMMYFUNCTION("""COMPUTED_VALUE"""),"Grant Project")</f>
        <v>Grant Project</v>
      </c>
      <c r="D845" s="316">
        <f>IFERROR(__xludf.DUMMYFUNCTION("""COMPUTED_VALUE"""),45077.0)</f>
        <v>45077</v>
      </c>
      <c r="E845" s="298">
        <f>IFERROR(__xludf.DUMMYFUNCTION("""COMPUTED_VALUE"""),2400.0)</f>
        <v>2400</v>
      </c>
      <c r="F845" s="298">
        <f>IFERROR(__xludf.DUMMYFUNCTION("""COMPUTED_VALUE"""),0.0)</f>
        <v>0</v>
      </c>
      <c r="G845" s="298">
        <f>IFERROR(__xludf.DUMMYFUNCTION("""COMPUTED_VALUE"""),0.0)</f>
        <v>0</v>
      </c>
      <c r="H845" s="223">
        <f>IFERROR(__xludf.DUMMYFUNCTION("""COMPUTED_VALUE"""),2400.0)</f>
        <v>2400</v>
      </c>
      <c r="I845" s="298"/>
      <c r="J845" s="223" t="str">
        <f>IFERROR(__xludf.DUMMYFUNCTION("""COMPUTED_VALUE"""),"One-Time")</f>
        <v>One-Time</v>
      </c>
      <c r="K845" s="317">
        <f>IFERROR(__xludf.DUMMYFUNCTION("""COMPUTED_VALUE"""),2023.0)</f>
        <v>2023</v>
      </c>
      <c r="L845" s="298"/>
      <c r="M845" s="223"/>
      <c r="N845" s="223"/>
      <c r="O845" s="223"/>
      <c r="P845" s="223"/>
      <c r="Q845" s="223"/>
      <c r="R845" s="223"/>
      <c r="S845" s="223"/>
      <c r="T845" s="223"/>
      <c r="U845" s="223"/>
      <c r="V845" s="223"/>
      <c r="W845" s="223"/>
      <c r="X845" s="223"/>
      <c r="Y845" s="223"/>
      <c r="Z845" s="223"/>
    </row>
    <row r="846">
      <c r="A846" s="223" t="str">
        <f>IFERROR(__xludf.DUMMYFUNCTION("""COMPUTED_VALUE"""),"Anook Athletics : Monthly Services")</f>
        <v>Anook Athletics : Monthly Services</v>
      </c>
      <c r="B846" s="223" t="str">
        <f>IFERROR(__xludf.DUMMYFUNCTION("""COMPUTED_VALUE"""),"Anook Athletics")</f>
        <v>Anook Athletics</v>
      </c>
      <c r="C846" s="223" t="str">
        <f>IFERROR(__xludf.DUMMYFUNCTION("""COMPUTED_VALUE"""),"Monthly Services")</f>
        <v>Monthly Services</v>
      </c>
      <c r="D846" s="316">
        <f>IFERROR(__xludf.DUMMYFUNCTION("""COMPUTED_VALUE"""),45044.0)</f>
        <v>45044</v>
      </c>
      <c r="E846" s="298">
        <f>IFERROR(__xludf.DUMMYFUNCTION("""COMPUTED_VALUE"""),2149.5)</f>
        <v>2149.5</v>
      </c>
      <c r="F846" s="298">
        <f>IFERROR(__xludf.DUMMYFUNCTION("""COMPUTED_VALUE"""),66.87)</f>
        <v>66.87</v>
      </c>
      <c r="G846" s="298">
        <f>IFERROR(__xludf.DUMMYFUNCTION("""COMPUTED_VALUE"""),0.0)</f>
        <v>0</v>
      </c>
      <c r="H846" s="223">
        <f>IFERROR(__xludf.DUMMYFUNCTION("""COMPUTED_VALUE"""),2082.63)</f>
        <v>2082.63</v>
      </c>
      <c r="I846" s="298"/>
      <c r="J846" s="223" t="str">
        <f>IFERROR(__xludf.DUMMYFUNCTION("""COMPUTED_VALUE"""),"Monthly")</f>
        <v>Monthly</v>
      </c>
      <c r="K846" s="317">
        <f>IFERROR(__xludf.DUMMYFUNCTION("""COMPUTED_VALUE"""),2023.04)</f>
        <v>2023.04</v>
      </c>
      <c r="L846" s="298"/>
      <c r="M846" s="223"/>
      <c r="N846" s="223"/>
      <c r="O846" s="223"/>
      <c r="P846" s="223"/>
      <c r="Q846" s="223"/>
      <c r="R846" s="223"/>
      <c r="S846" s="223"/>
      <c r="T846" s="223"/>
      <c r="U846" s="223"/>
      <c r="V846" s="223"/>
      <c r="W846" s="223"/>
      <c r="X846" s="223"/>
      <c r="Y846" s="223"/>
      <c r="Z846" s="223"/>
    </row>
    <row r="847">
      <c r="A847" s="223" t="str">
        <f>IFERROR(__xludf.DUMMYFUNCTION("""COMPUTED_VALUE"""),"Ideon : Website")</f>
        <v>Ideon : Website</v>
      </c>
      <c r="B847" s="223" t="str">
        <f>IFERROR(__xludf.DUMMYFUNCTION("""COMPUTED_VALUE"""),"Ideon")</f>
        <v>Ideon</v>
      </c>
      <c r="C847" s="223" t="str">
        <f>IFERROR(__xludf.DUMMYFUNCTION("""COMPUTED_VALUE"""),"Website")</f>
        <v>Website</v>
      </c>
      <c r="D847" s="316">
        <f>IFERROR(__xludf.DUMMYFUNCTION("""COMPUTED_VALUE"""),45044.0)</f>
        <v>45044</v>
      </c>
      <c r="E847" s="298">
        <f>IFERROR(__xludf.DUMMYFUNCTION("""COMPUTED_VALUE"""),2966.6666666666665)</f>
        <v>2966.666667</v>
      </c>
      <c r="F847" s="298">
        <f>IFERROR(__xludf.DUMMYFUNCTION("""COMPUTED_VALUE"""),0.0)</f>
        <v>0</v>
      </c>
      <c r="G847" s="298">
        <f>IFERROR(__xludf.DUMMYFUNCTION("""COMPUTED_VALUE"""),0.0)</f>
        <v>0</v>
      </c>
      <c r="H847" s="223">
        <f>IFERROR(__xludf.DUMMYFUNCTION("""COMPUTED_VALUE"""),2966.6666666666665)</f>
        <v>2966.666667</v>
      </c>
      <c r="I847" s="298"/>
      <c r="J847" s="223" t="str">
        <f>IFERROR(__xludf.DUMMYFUNCTION("""COMPUTED_VALUE"""),"1/3 Deposit
1/3 milstone
1/3 Final Payment")</f>
        <v>1/3 Deposit
1/3 milstone
1/3 Final Payment</v>
      </c>
      <c r="K847" s="317">
        <f>IFERROR(__xludf.DUMMYFUNCTION("""COMPUTED_VALUE"""),2023.0)</f>
        <v>2023</v>
      </c>
      <c r="L847" s="298"/>
      <c r="M847" s="223"/>
      <c r="N847" s="223"/>
      <c r="O847" s="223"/>
      <c r="P847" s="223"/>
      <c r="Q847" s="223"/>
      <c r="R847" s="223"/>
      <c r="S847" s="223"/>
      <c r="T847" s="223"/>
      <c r="U847" s="223"/>
      <c r="V847" s="223"/>
      <c r="W847" s="223"/>
      <c r="X847" s="223"/>
      <c r="Y847" s="223"/>
      <c r="Z847" s="223"/>
    </row>
    <row r="848">
      <c r="A848" s="223" t="str">
        <f>IFERROR(__xludf.DUMMYFUNCTION("""COMPUTED_VALUE"""),"Ideon : Website")</f>
        <v>Ideon : Website</v>
      </c>
      <c r="B848" s="223" t="str">
        <f>IFERROR(__xludf.DUMMYFUNCTION("""COMPUTED_VALUE"""),"Ideon")</f>
        <v>Ideon</v>
      </c>
      <c r="C848" s="223" t="str">
        <f>IFERROR(__xludf.DUMMYFUNCTION("""COMPUTED_VALUE"""),"Website")</f>
        <v>Website</v>
      </c>
      <c r="D848" s="316">
        <f>IFERROR(__xludf.DUMMYFUNCTION("""COMPUTED_VALUE"""),45077.0)</f>
        <v>45077</v>
      </c>
      <c r="E848" s="298">
        <f>IFERROR(__xludf.DUMMYFUNCTION("""COMPUTED_VALUE"""),2966.6666666666665)</f>
        <v>2966.666667</v>
      </c>
      <c r="F848" s="298">
        <f>IFERROR(__xludf.DUMMYFUNCTION("""COMPUTED_VALUE"""),0.0)</f>
        <v>0</v>
      </c>
      <c r="G848" s="298">
        <f>IFERROR(__xludf.DUMMYFUNCTION("""COMPUTED_VALUE"""),0.0)</f>
        <v>0</v>
      </c>
      <c r="H848" s="223">
        <f>IFERROR(__xludf.DUMMYFUNCTION("""COMPUTED_VALUE"""),2966.6666666666665)</f>
        <v>2966.666667</v>
      </c>
      <c r="I848" s="298"/>
      <c r="J848" s="223" t="str">
        <f>IFERROR(__xludf.DUMMYFUNCTION("""COMPUTED_VALUE"""),"50% Deposit
50% Final Payment")</f>
        <v>50% Deposit
50% Final Payment</v>
      </c>
      <c r="K848" s="317">
        <f>IFERROR(__xludf.DUMMYFUNCTION("""COMPUTED_VALUE"""),2023.0)</f>
        <v>2023</v>
      </c>
      <c r="L848" s="298"/>
      <c r="M848" s="223"/>
      <c r="N848" s="223"/>
      <c r="O848" s="223"/>
      <c r="P848" s="223"/>
      <c r="Q848" s="223"/>
      <c r="R848" s="223"/>
      <c r="S848" s="223"/>
      <c r="T848" s="223"/>
      <c r="U848" s="223"/>
      <c r="V848" s="223"/>
      <c r="W848" s="223"/>
      <c r="X848" s="223"/>
      <c r="Y848" s="223"/>
      <c r="Z848" s="223"/>
    </row>
    <row r="849">
      <c r="A849" s="223" t="str">
        <f>IFERROR(__xludf.DUMMYFUNCTION("""COMPUTED_VALUE"""),"Ideon : Website")</f>
        <v>Ideon : Website</v>
      </c>
      <c r="B849" s="223" t="str">
        <f>IFERROR(__xludf.DUMMYFUNCTION("""COMPUTED_VALUE"""),"Ideon")</f>
        <v>Ideon</v>
      </c>
      <c r="C849" s="223" t="str">
        <f>IFERROR(__xludf.DUMMYFUNCTION("""COMPUTED_VALUE"""),"Website")</f>
        <v>Website</v>
      </c>
      <c r="D849" s="316">
        <f>IFERROR(__xludf.DUMMYFUNCTION("""COMPUTED_VALUE"""),45107.0)</f>
        <v>45107</v>
      </c>
      <c r="E849" s="298">
        <f>IFERROR(__xludf.DUMMYFUNCTION("""COMPUTED_VALUE"""),2966.6666666666665)</f>
        <v>2966.666667</v>
      </c>
      <c r="F849" s="298">
        <f>IFERROR(__xludf.DUMMYFUNCTION("""COMPUTED_VALUE"""),0.0)</f>
        <v>0</v>
      </c>
      <c r="G849" s="298">
        <f>IFERROR(__xludf.DUMMYFUNCTION("""COMPUTED_VALUE"""),0.0)</f>
        <v>0</v>
      </c>
      <c r="H849" s="223">
        <f>IFERROR(__xludf.DUMMYFUNCTION("""COMPUTED_VALUE"""),2966.6666666666665)</f>
        <v>2966.666667</v>
      </c>
      <c r="I849" s="298"/>
      <c r="J849" s="223" t="str">
        <f>IFERROR(__xludf.DUMMYFUNCTION("""COMPUTED_VALUE"""),"50% Deposit
50% Final Payment")</f>
        <v>50% Deposit
50% Final Payment</v>
      </c>
      <c r="K849" s="317">
        <f>IFERROR(__xludf.DUMMYFUNCTION("""COMPUTED_VALUE"""),2023.0)</f>
        <v>2023</v>
      </c>
      <c r="L849" s="298"/>
      <c r="M849" s="223"/>
      <c r="N849" s="223"/>
      <c r="O849" s="223"/>
      <c r="P849" s="223"/>
      <c r="Q849" s="223"/>
      <c r="R849" s="223"/>
      <c r="S849" s="223"/>
      <c r="T849" s="223"/>
      <c r="U849" s="223"/>
      <c r="V849" s="223"/>
      <c r="W849" s="223"/>
      <c r="X849" s="223"/>
      <c r="Y849" s="223"/>
      <c r="Z849" s="223"/>
    </row>
    <row r="850">
      <c r="A850" s="223" t="str">
        <f>IFERROR(__xludf.DUMMYFUNCTION("""COMPUTED_VALUE"""),"Villa del Mar : Enhanced Hosting &amp; WordPress Support")</f>
        <v>Villa del Mar : Enhanced Hosting &amp; WordPress Support</v>
      </c>
      <c r="B850" s="223" t="str">
        <f>IFERROR(__xludf.DUMMYFUNCTION("""COMPUTED_VALUE"""),"Villa del Mar")</f>
        <v>Villa del Mar</v>
      </c>
      <c r="C850" s="223" t="str">
        <f>IFERROR(__xludf.DUMMYFUNCTION("""COMPUTED_VALUE"""),"Enhanced Hosting &amp; WordPress Support")</f>
        <v>Enhanced Hosting &amp; WordPress Support</v>
      </c>
      <c r="D850" s="316">
        <f>IFERROR(__xludf.DUMMYFUNCTION("""COMPUTED_VALUE"""),45061.0)</f>
        <v>45061</v>
      </c>
      <c r="E850" s="298">
        <f>IFERROR(__xludf.DUMMYFUNCTION("""COMPUTED_VALUE"""),462.931)</f>
        <v>462.931</v>
      </c>
      <c r="F850" s="298">
        <f>IFERROR(__xludf.DUMMYFUNCTION("""COMPUTED_VALUE"""),13.72)</f>
        <v>13.72</v>
      </c>
      <c r="G850" s="298">
        <f>IFERROR(__xludf.DUMMYFUNCTION("""COMPUTED_VALUE"""),0.0)</f>
        <v>0</v>
      </c>
      <c r="H850" s="223">
        <f>IFERROR(__xludf.DUMMYFUNCTION("""COMPUTED_VALUE"""),449.21099999999996)</f>
        <v>449.211</v>
      </c>
      <c r="I850" s="298"/>
      <c r="J850" s="223" t="str">
        <f>IFERROR(__xludf.DUMMYFUNCTION("""COMPUTED_VALUE"""),"Monthly")</f>
        <v>Monthly</v>
      </c>
      <c r="K850" s="317">
        <f>IFERROR(__xludf.DUMMYFUNCTION("""COMPUTED_VALUE"""),2023.05)</f>
        <v>2023.05</v>
      </c>
      <c r="L850" s="298"/>
      <c r="M850" s="223"/>
      <c r="N850" s="223"/>
      <c r="O850" s="223"/>
      <c r="P850" s="223"/>
      <c r="Q850" s="223"/>
      <c r="R850" s="223"/>
      <c r="S850" s="223"/>
      <c r="T850" s="223"/>
      <c r="U850" s="223"/>
      <c r="V850" s="223"/>
      <c r="W850" s="223"/>
      <c r="X850" s="223"/>
      <c r="Y850" s="223"/>
      <c r="Z850" s="223"/>
    </row>
    <row r="851">
      <c r="A851" s="223" t="str">
        <f>IFERROR(__xludf.DUMMYFUNCTION("""COMPUTED_VALUE"""),"Crisp Media : GA4 Upgrade")</f>
        <v>Crisp Media : GA4 Upgrade</v>
      </c>
      <c r="B851" s="223" t="str">
        <f>IFERROR(__xludf.DUMMYFUNCTION("""COMPUTED_VALUE"""),"Crisp Media")</f>
        <v>Crisp Media</v>
      </c>
      <c r="C851" s="223" t="str">
        <f>IFERROR(__xludf.DUMMYFUNCTION("""COMPUTED_VALUE"""),"GA4 Upgrade")</f>
        <v>GA4 Upgrade</v>
      </c>
      <c r="D851" s="316">
        <f>IFERROR(__xludf.DUMMYFUNCTION("""COMPUTED_VALUE"""),45044.0)</f>
        <v>45044</v>
      </c>
      <c r="E851" s="298">
        <f>IFERROR(__xludf.DUMMYFUNCTION("""COMPUTED_VALUE"""),489.0)</f>
        <v>489</v>
      </c>
      <c r="F851" s="298">
        <f>IFERROR(__xludf.DUMMYFUNCTION("""COMPUTED_VALUE"""),15.21)</f>
        <v>15.21</v>
      </c>
      <c r="G851" s="298">
        <f>IFERROR(__xludf.DUMMYFUNCTION("""COMPUTED_VALUE"""),0.0)</f>
        <v>0</v>
      </c>
      <c r="H851" s="223">
        <f>IFERROR(__xludf.DUMMYFUNCTION("""COMPUTED_VALUE"""),473.79)</f>
        <v>473.79</v>
      </c>
      <c r="I851" s="298"/>
      <c r="J851" s="223" t="str">
        <f>IFERROR(__xludf.DUMMYFUNCTION("""COMPUTED_VALUE"""),"One-Time")</f>
        <v>One-Time</v>
      </c>
      <c r="K851" s="317">
        <f>IFERROR(__xludf.DUMMYFUNCTION("""COMPUTED_VALUE"""),2023.0)</f>
        <v>2023</v>
      </c>
      <c r="L851" s="298"/>
      <c r="M851" s="223"/>
      <c r="N851" s="223"/>
      <c r="O851" s="223"/>
      <c r="P851" s="223"/>
      <c r="Q851" s="223"/>
      <c r="R851" s="223"/>
      <c r="S851" s="223"/>
      <c r="T851" s="223"/>
      <c r="U851" s="223"/>
      <c r="V851" s="223"/>
      <c r="W851" s="223"/>
      <c r="X851" s="223"/>
      <c r="Y851" s="223"/>
      <c r="Z851" s="223"/>
    </row>
    <row r="852">
      <c r="A852" s="223" t="str">
        <f>IFERROR(__xludf.DUMMYFUNCTION("""COMPUTED_VALUE"""),"Availed Technologies : Monthly Services")</f>
        <v>Availed Technologies : Monthly Services</v>
      </c>
      <c r="B852" s="223" t="str">
        <f>IFERROR(__xludf.DUMMYFUNCTION("""COMPUTED_VALUE"""),"Availed Technologies")</f>
        <v>Availed Technologies</v>
      </c>
      <c r="C852" s="223" t="str">
        <f>IFERROR(__xludf.DUMMYFUNCTION("""COMPUTED_VALUE"""),"Monthly Services")</f>
        <v>Monthly Services</v>
      </c>
      <c r="D852" s="316">
        <f>IFERROR(__xludf.DUMMYFUNCTION("""COMPUTED_VALUE"""),45046.0)</f>
        <v>45046</v>
      </c>
      <c r="E852" s="298">
        <f>IFERROR(__xludf.DUMMYFUNCTION("""COMPUTED_VALUE"""),750.0)</f>
        <v>750</v>
      </c>
      <c r="F852" s="298">
        <f>IFERROR(__xludf.DUMMYFUNCTION("""COMPUTED_VALUE"""),23.33)</f>
        <v>23.33</v>
      </c>
      <c r="G852" s="298">
        <f>IFERROR(__xludf.DUMMYFUNCTION("""COMPUTED_VALUE"""),0.0)</f>
        <v>0</v>
      </c>
      <c r="H852" s="223">
        <f>IFERROR(__xludf.DUMMYFUNCTION("""COMPUTED_VALUE"""),726.67)</f>
        <v>726.67</v>
      </c>
      <c r="I852" s="298"/>
      <c r="J852" s="223" t="str">
        <f>IFERROR(__xludf.DUMMYFUNCTION("""COMPUTED_VALUE"""),"Monthly")</f>
        <v>Monthly</v>
      </c>
      <c r="K852" s="317">
        <f>IFERROR(__xludf.DUMMYFUNCTION("""COMPUTED_VALUE"""),2023.04)</f>
        <v>2023.04</v>
      </c>
      <c r="L852" s="298"/>
      <c r="M852" s="223"/>
      <c r="N852" s="223"/>
      <c r="O852" s="223"/>
      <c r="P852" s="223"/>
      <c r="Q852" s="223"/>
      <c r="R852" s="223"/>
      <c r="S852" s="223"/>
      <c r="T852" s="223"/>
      <c r="U852" s="223"/>
      <c r="V852" s="223"/>
      <c r="W852" s="223"/>
      <c r="X852" s="223"/>
      <c r="Y852" s="223"/>
      <c r="Z852" s="223"/>
    </row>
    <row r="853">
      <c r="A853" s="223" t="str">
        <f>IFERROR(__xludf.DUMMYFUNCTION("""COMPUTED_VALUE"""),"Community Financials : Monthly Services")</f>
        <v>Community Financials : Monthly Services</v>
      </c>
      <c r="B853" s="223" t="str">
        <f>IFERROR(__xludf.DUMMYFUNCTION("""COMPUTED_VALUE"""),"Community Financials")</f>
        <v>Community Financials</v>
      </c>
      <c r="C853" s="223" t="str">
        <f>IFERROR(__xludf.DUMMYFUNCTION("""COMPUTED_VALUE"""),"Monthly Services")</f>
        <v>Monthly Services</v>
      </c>
      <c r="D853" s="316">
        <f>IFERROR(__xludf.DUMMYFUNCTION("""COMPUTED_VALUE"""),45044.0)</f>
        <v>45044</v>
      </c>
      <c r="E853" s="298">
        <f>IFERROR(__xludf.DUMMYFUNCTION("""COMPUTED_VALUE"""),1298.636)</f>
        <v>1298.636</v>
      </c>
      <c r="F853" s="298">
        <f>IFERROR(__xludf.DUMMYFUNCTION("""COMPUTED_VALUE"""),38.4396256)</f>
        <v>38.4396256</v>
      </c>
      <c r="G853" s="298">
        <f>IFERROR(__xludf.DUMMYFUNCTION("""COMPUTED_VALUE"""),252.03927488)</f>
        <v>252.0392749</v>
      </c>
      <c r="H853" s="223">
        <f>IFERROR(__xludf.DUMMYFUNCTION("""COMPUTED_VALUE"""),1008.15709952)</f>
        <v>1008.1571</v>
      </c>
      <c r="I853" s="298"/>
      <c r="J853" s="223" t="str">
        <f>IFERROR(__xludf.DUMMYFUNCTION("""COMPUTED_VALUE"""),"Monthly")</f>
        <v>Monthly</v>
      </c>
      <c r="K853" s="317">
        <f>IFERROR(__xludf.DUMMYFUNCTION("""COMPUTED_VALUE"""),2023.04)</f>
        <v>2023.04</v>
      </c>
      <c r="L853" s="298"/>
      <c r="M853" s="223"/>
      <c r="N853" s="223"/>
      <c r="O853" s="223"/>
      <c r="P853" s="223"/>
      <c r="Q853" s="223"/>
      <c r="R853" s="223"/>
      <c r="S853" s="223"/>
      <c r="T853" s="223"/>
      <c r="U853" s="223"/>
      <c r="V853" s="223"/>
      <c r="W853" s="223"/>
      <c r="X853" s="223"/>
      <c r="Y853" s="223"/>
      <c r="Z853" s="223"/>
    </row>
    <row r="854">
      <c r="A854" s="223" t="str">
        <f>IFERROR(__xludf.DUMMYFUNCTION("""COMPUTED_VALUE"""),"Hastings House : Monthly Services")</f>
        <v>Hastings House : Monthly Services</v>
      </c>
      <c r="B854" s="223" t="str">
        <f>IFERROR(__xludf.DUMMYFUNCTION("""COMPUTED_VALUE"""),"Hastings House")</f>
        <v>Hastings House</v>
      </c>
      <c r="C854" s="223" t="str">
        <f>IFERROR(__xludf.DUMMYFUNCTION("""COMPUTED_VALUE"""),"Monthly Services")</f>
        <v>Monthly Services</v>
      </c>
      <c r="D854" s="316">
        <f>IFERROR(__xludf.DUMMYFUNCTION("""COMPUTED_VALUE"""),45044.0)</f>
        <v>45044</v>
      </c>
      <c r="E854" s="298">
        <f>IFERROR(__xludf.DUMMYFUNCTION("""COMPUTED_VALUE"""),1500.0)</f>
        <v>1500</v>
      </c>
      <c r="F854" s="298">
        <f>IFERROR(__xludf.DUMMYFUNCTION("""COMPUTED_VALUE"""),46.67)</f>
        <v>46.67</v>
      </c>
      <c r="G854" s="298">
        <f>IFERROR(__xludf.DUMMYFUNCTION("""COMPUTED_VALUE"""),217.99949999999998)</f>
        <v>217.9995</v>
      </c>
      <c r="H854" s="223">
        <f>IFERROR(__xludf.DUMMYFUNCTION("""COMPUTED_VALUE"""),1235.3305)</f>
        <v>1235.3305</v>
      </c>
      <c r="I854" s="298"/>
      <c r="J854" s="223" t="str">
        <f>IFERROR(__xludf.DUMMYFUNCTION("""COMPUTED_VALUE"""),"Monthly")</f>
        <v>Monthly</v>
      </c>
      <c r="K854" s="317">
        <f>IFERROR(__xludf.DUMMYFUNCTION("""COMPUTED_VALUE"""),2023.04)</f>
        <v>2023.04</v>
      </c>
      <c r="L854" s="298"/>
      <c r="M854" s="223"/>
      <c r="N854" s="223"/>
      <c r="O854" s="223"/>
      <c r="P854" s="223"/>
      <c r="Q854" s="223"/>
      <c r="R854" s="223"/>
      <c r="S854" s="223"/>
      <c r="T854" s="223"/>
      <c r="U854" s="223"/>
      <c r="V854" s="223"/>
      <c r="W854" s="223"/>
      <c r="X854" s="223"/>
      <c r="Y854" s="223"/>
      <c r="Z854" s="223"/>
    </row>
    <row r="855">
      <c r="A855" s="223" t="str">
        <f>IFERROR(__xludf.DUMMYFUNCTION("""COMPUTED_VALUE"""),"HSJ Lawyers : Monthly Services")</f>
        <v>HSJ Lawyers : Monthly Services</v>
      </c>
      <c r="B855" s="223" t="str">
        <f>IFERROR(__xludf.DUMMYFUNCTION("""COMPUTED_VALUE"""),"HSJ Lawyers")</f>
        <v>HSJ Lawyers</v>
      </c>
      <c r="C855" s="223" t="str">
        <f>IFERROR(__xludf.DUMMYFUNCTION("""COMPUTED_VALUE"""),"Monthly Services")</f>
        <v>Monthly Services</v>
      </c>
      <c r="D855" s="316">
        <f>IFERROR(__xludf.DUMMYFUNCTION("""COMPUTED_VALUE"""),45044.0)</f>
        <v>45044</v>
      </c>
      <c r="E855" s="298">
        <f>IFERROR(__xludf.DUMMYFUNCTION("""COMPUTED_VALUE"""),860.0)</f>
        <v>860</v>
      </c>
      <c r="F855" s="298">
        <f>IFERROR(__xludf.DUMMYFUNCTION("""COMPUTED_VALUE"""),0.0)</f>
        <v>0</v>
      </c>
      <c r="G855" s="298">
        <f>IFERROR(__xludf.DUMMYFUNCTION("""COMPUTED_VALUE"""),0.0)</f>
        <v>0</v>
      </c>
      <c r="H855" s="223">
        <f>IFERROR(__xludf.DUMMYFUNCTION("""COMPUTED_VALUE"""),860.0)</f>
        <v>860</v>
      </c>
      <c r="I855" s="298"/>
      <c r="J855" s="223" t="str">
        <f>IFERROR(__xludf.DUMMYFUNCTION("""COMPUTED_VALUE"""),"Monthly")</f>
        <v>Monthly</v>
      </c>
      <c r="K855" s="317">
        <f>IFERROR(__xludf.DUMMYFUNCTION("""COMPUTED_VALUE"""),2023.04)</f>
        <v>2023.04</v>
      </c>
      <c r="L855" s="298"/>
      <c r="M855" s="223"/>
      <c r="N855" s="223"/>
      <c r="O855" s="223"/>
      <c r="P855" s="223"/>
      <c r="Q855" s="223"/>
      <c r="R855" s="223"/>
      <c r="S855" s="223"/>
      <c r="T855" s="223"/>
      <c r="U855" s="223"/>
      <c r="V855" s="223"/>
      <c r="W855" s="223"/>
      <c r="X855" s="223"/>
      <c r="Y855" s="223"/>
      <c r="Z855" s="223"/>
    </row>
    <row r="856">
      <c r="A856" s="223" t="str">
        <f>IFERROR(__xludf.DUMMYFUNCTION("""COMPUTED_VALUE"""),"MortgagePal : Monthly Services")</f>
        <v>MortgagePal : Monthly Services</v>
      </c>
      <c r="B856" s="223" t="str">
        <f>IFERROR(__xludf.DUMMYFUNCTION("""COMPUTED_VALUE"""),"MortgagePal")</f>
        <v>MortgagePal</v>
      </c>
      <c r="C856" s="223" t="str">
        <f>IFERROR(__xludf.DUMMYFUNCTION("""COMPUTED_VALUE"""),"Monthly Services")</f>
        <v>Monthly Services</v>
      </c>
      <c r="D856" s="316">
        <f>IFERROR(__xludf.DUMMYFUNCTION("""COMPUTED_VALUE"""),45046.0)</f>
        <v>45046</v>
      </c>
      <c r="E856" s="298">
        <f>IFERROR(__xludf.DUMMYFUNCTION("""COMPUTED_VALUE"""),500.0)</f>
        <v>500</v>
      </c>
      <c r="F856" s="298">
        <f>IFERROR(__xludf.DUMMYFUNCTION("""COMPUTED_VALUE"""),15.56)</f>
        <v>15.56</v>
      </c>
      <c r="G856" s="298">
        <f>IFERROR(__xludf.DUMMYFUNCTION("""COMPUTED_VALUE"""),0.0)</f>
        <v>0</v>
      </c>
      <c r="H856" s="223">
        <f>IFERROR(__xludf.DUMMYFUNCTION("""COMPUTED_VALUE"""),484.44)</f>
        <v>484.44</v>
      </c>
      <c r="I856" s="298"/>
      <c r="J856" s="223" t="str">
        <f>IFERROR(__xludf.DUMMYFUNCTION("""COMPUTED_VALUE"""),"Monthly")</f>
        <v>Monthly</v>
      </c>
      <c r="K856" s="317">
        <f>IFERROR(__xludf.DUMMYFUNCTION("""COMPUTED_VALUE"""),2023.04)</f>
        <v>2023.04</v>
      </c>
      <c r="L856" s="298"/>
      <c r="M856" s="223"/>
      <c r="N856" s="223"/>
      <c r="O856" s="223"/>
      <c r="P856" s="223"/>
      <c r="Q856" s="223"/>
      <c r="R856" s="223"/>
      <c r="S856" s="223"/>
      <c r="T856" s="223"/>
      <c r="U856" s="223"/>
      <c r="V856" s="223"/>
      <c r="W856" s="223"/>
      <c r="X856" s="223"/>
      <c r="Y856" s="223"/>
      <c r="Z856" s="223"/>
    </row>
    <row r="857">
      <c r="A857" s="223" t="str">
        <f>IFERROR(__xludf.DUMMYFUNCTION("""COMPUTED_VALUE"""),"PMDI : Monthly Services")</f>
        <v>PMDI : Monthly Services</v>
      </c>
      <c r="B857" s="223" t="str">
        <f>IFERROR(__xludf.DUMMYFUNCTION("""COMPUTED_VALUE"""),"PMDI")</f>
        <v>PMDI</v>
      </c>
      <c r="C857" s="223" t="str">
        <f>IFERROR(__xludf.DUMMYFUNCTION("""COMPUTED_VALUE"""),"Monthly Services")</f>
        <v>Monthly Services</v>
      </c>
      <c r="D857" s="316">
        <f>IFERROR(__xludf.DUMMYFUNCTION("""COMPUTED_VALUE"""),45044.0)</f>
        <v>45044</v>
      </c>
      <c r="E857" s="298">
        <f>IFERROR(__xludf.DUMMYFUNCTION("""COMPUTED_VALUE"""),412.5)</f>
        <v>412.5</v>
      </c>
      <c r="F857" s="298">
        <f>IFERROR(__xludf.DUMMYFUNCTION("""COMPUTED_VALUE"""),0.0)</f>
        <v>0</v>
      </c>
      <c r="G857" s="298">
        <f>IFERROR(__xludf.DUMMYFUNCTION("""COMPUTED_VALUE"""),0.0)</f>
        <v>0</v>
      </c>
      <c r="H857" s="223">
        <f>IFERROR(__xludf.DUMMYFUNCTION("""COMPUTED_VALUE"""),412.5)</f>
        <v>412.5</v>
      </c>
      <c r="I857" s="298"/>
      <c r="J857" s="223" t="str">
        <f>IFERROR(__xludf.DUMMYFUNCTION("""COMPUTED_VALUE"""),"Monthly")</f>
        <v>Monthly</v>
      </c>
      <c r="K857" s="317">
        <f>IFERROR(__xludf.DUMMYFUNCTION("""COMPUTED_VALUE"""),2023.04)</f>
        <v>2023.04</v>
      </c>
      <c r="L857" s="298"/>
      <c r="M857" s="223"/>
      <c r="N857" s="223"/>
      <c r="O857" s="223"/>
      <c r="P857" s="223"/>
      <c r="Q857" s="223"/>
      <c r="R857" s="223"/>
      <c r="S857" s="223"/>
      <c r="T857" s="223"/>
      <c r="U857" s="223"/>
      <c r="V857" s="223"/>
      <c r="W857" s="223"/>
      <c r="X857" s="223"/>
      <c r="Y857" s="223"/>
      <c r="Z857" s="223"/>
    </row>
    <row r="858">
      <c r="A858" s="223" t="str">
        <f>IFERROR(__xludf.DUMMYFUNCTION("""COMPUTED_VALUE"""),"Service First : Monthly Services")</f>
        <v>Service First : Monthly Services</v>
      </c>
      <c r="B858" s="223" t="str">
        <f>IFERROR(__xludf.DUMMYFUNCTION("""COMPUTED_VALUE"""),"Service First")</f>
        <v>Service First</v>
      </c>
      <c r="C858" s="223" t="str">
        <f>IFERROR(__xludf.DUMMYFUNCTION("""COMPUTED_VALUE"""),"Monthly Services")</f>
        <v>Monthly Services</v>
      </c>
      <c r="D858" s="316">
        <f>IFERROR(__xludf.DUMMYFUNCTION("""COMPUTED_VALUE"""),45044.0)</f>
        <v>45044</v>
      </c>
      <c r="E858" s="298">
        <f>IFERROR(__xludf.DUMMYFUNCTION("""COMPUTED_VALUE"""),330.0)</f>
        <v>330</v>
      </c>
      <c r="F858" s="298">
        <f>IFERROR(__xludf.DUMMYFUNCTION("""COMPUTED_VALUE"""),10.27)</f>
        <v>10.27</v>
      </c>
      <c r="G858" s="298">
        <f>IFERROR(__xludf.DUMMYFUNCTION("""COMPUTED_VALUE"""),0.0)</f>
        <v>0</v>
      </c>
      <c r="H858" s="223">
        <f>IFERROR(__xludf.DUMMYFUNCTION("""COMPUTED_VALUE"""),319.73)</f>
        <v>319.73</v>
      </c>
      <c r="I858" s="298"/>
      <c r="J858" s="223" t="str">
        <f>IFERROR(__xludf.DUMMYFUNCTION("""COMPUTED_VALUE"""),"Monthly")</f>
        <v>Monthly</v>
      </c>
      <c r="K858" s="317">
        <f>IFERROR(__xludf.DUMMYFUNCTION("""COMPUTED_VALUE"""),2023.04)</f>
        <v>2023.04</v>
      </c>
      <c r="L858" s="298"/>
      <c r="M858" s="223"/>
      <c r="N858" s="223"/>
      <c r="O858" s="223"/>
      <c r="P858" s="223"/>
      <c r="Q858" s="223"/>
      <c r="R858" s="223"/>
      <c r="S858" s="223"/>
      <c r="T858" s="223"/>
      <c r="U858" s="223"/>
      <c r="V858" s="223"/>
      <c r="W858" s="223"/>
      <c r="X858" s="223"/>
      <c r="Y858" s="223"/>
      <c r="Z858" s="223"/>
    </row>
    <row r="859">
      <c r="A859" s="223" t="str">
        <f>IFERROR(__xludf.DUMMYFUNCTION("""COMPUTED_VALUE"""),"Spraggs : Monthly Services")</f>
        <v>Spraggs : Monthly Services</v>
      </c>
      <c r="B859" s="223" t="str">
        <f>IFERROR(__xludf.DUMMYFUNCTION("""COMPUTED_VALUE"""),"Spraggs")</f>
        <v>Spraggs</v>
      </c>
      <c r="C859" s="223" t="str">
        <f>IFERROR(__xludf.DUMMYFUNCTION("""COMPUTED_VALUE"""),"Monthly Services")</f>
        <v>Monthly Services</v>
      </c>
      <c r="D859" s="316">
        <f>IFERROR(__xludf.DUMMYFUNCTION("""COMPUTED_VALUE"""),45044.0)</f>
        <v>45044</v>
      </c>
      <c r="E859" s="298">
        <f>IFERROR(__xludf.DUMMYFUNCTION("""COMPUTED_VALUE"""),2500.0)</f>
        <v>2500</v>
      </c>
      <c r="F859" s="298">
        <f>IFERROR(__xludf.DUMMYFUNCTION("""COMPUTED_VALUE"""),77.78)</f>
        <v>77.78</v>
      </c>
      <c r="G859" s="298">
        <f>IFERROR(__xludf.DUMMYFUNCTION("""COMPUTED_VALUE"""),0.0)</f>
        <v>0</v>
      </c>
      <c r="H859" s="223">
        <f>IFERROR(__xludf.DUMMYFUNCTION("""COMPUTED_VALUE"""),2422.22)</f>
        <v>2422.22</v>
      </c>
      <c r="I859" s="298"/>
      <c r="J859" s="223" t="str">
        <f>IFERROR(__xludf.DUMMYFUNCTION("""COMPUTED_VALUE"""),"Monthly")</f>
        <v>Monthly</v>
      </c>
      <c r="K859" s="317">
        <f>IFERROR(__xludf.DUMMYFUNCTION("""COMPUTED_VALUE"""),2023.04)</f>
        <v>2023.04</v>
      </c>
      <c r="L859" s="298"/>
      <c r="M859" s="223"/>
      <c r="N859" s="223"/>
      <c r="O859" s="223"/>
      <c r="P859" s="223"/>
      <c r="Q859" s="223"/>
      <c r="R859" s="223"/>
      <c r="S859" s="223"/>
      <c r="T859" s="223"/>
      <c r="U859" s="223"/>
      <c r="V859" s="223"/>
      <c r="W859" s="223"/>
      <c r="X859" s="223"/>
      <c r="Y859" s="223"/>
      <c r="Z859" s="223"/>
    </row>
    <row r="860">
      <c r="A860" s="223" t="str">
        <f>IFERROR(__xludf.DUMMYFUNCTION("""COMPUTED_VALUE"""),"TisBest : Monthly Services")</f>
        <v>TisBest : Monthly Services</v>
      </c>
      <c r="B860" s="223" t="str">
        <f>IFERROR(__xludf.DUMMYFUNCTION("""COMPUTED_VALUE"""),"TisBest")</f>
        <v>TisBest</v>
      </c>
      <c r="C860" s="223" t="str">
        <f>IFERROR(__xludf.DUMMYFUNCTION("""COMPUTED_VALUE"""),"Monthly Services")</f>
        <v>Monthly Services</v>
      </c>
      <c r="D860" s="316">
        <f>IFERROR(__xludf.DUMMYFUNCTION("""COMPUTED_VALUE"""),45044.0)</f>
        <v>45044</v>
      </c>
      <c r="E860" s="298">
        <f>IFERROR(__xludf.DUMMYFUNCTION("""COMPUTED_VALUE"""),3947.4149999999995)</f>
        <v>3947.415</v>
      </c>
      <c r="F860" s="298">
        <f>IFERROR(__xludf.DUMMYFUNCTION("""COMPUTED_VALUE"""),146.4490965)</f>
        <v>146.4490965</v>
      </c>
      <c r="G860" s="298">
        <f>IFERROR(__xludf.DUMMYFUNCTION("""COMPUTED_VALUE"""),0.0)</f>
        <v>0</v>
      </c>
      <c r="H860" s="223">
        <f>IFERROR(__xludf.DUMMYFUNCTION("""COMPUTED_VALUE"""),3800.9659034999995)</f>
        <v>3800.965904</v>
      </c>
      <c r="I860" s="298"/>
      <c r="J860" s="223" t="str">
        <f>IFERROR(__xludf.DUMMYFUNCTION("""COMPUTED_VALUE"""),"Monthly")</f>
        <v>Monthly</v>
      </c>
      <c r="K860" s="317">
        <f>IFERROR(__xludf.DUMMYFUNCTION("""COMPUTED_VALUE"""),2023.04)</f>
        <v>2023.04</v>
      </c>
      <c r="L860" s="298"/>
      <c r="M860" s="223"/>
      <c r="N860" s="223"/>
      <c r="O860" s="223"/>
      <c r="P860" s="223"/>
      <c r="Q860" s="223"/>
      <c r="R860" s="223"/>
      <c r="S860" s="223"/>
      <c r="T860" s="223"/>
      <c r="U860" s="223"/>
      <c r="V860" s="223"/>
      <c r="W860" s="223"/>
      <c r="X860" s="223"/>
      <c r="Y860" s="223"/>
      <c r="Z860" s="223"/>
    </row>
    <row r="861">
      <c r="A861" s="223" t="str">
        <f>IFERROR(__xludf.DUMMYFUNCTION("""COMPUTED_VALUE"""),"Tuscany : Monthly Services")</f>
        <v>Tuscany : Monthly Services</v>
      </c>
      <c r="B861" s="223" t="str">
        <f>IFERROR(__xludf.DUMMYFUNCTION("""COMPUTED_VALUE"""),"Tuscany")</f>
        <v>Tuscany</v>
      </c>
      <c r="C861" s="223" t="str">
        <f>IFERROR(__xludf.DUMMYFUNCTION("""COMPUTED_VALUE"""),"Monthly Services")</f>
        <v>Monthly Services</v>
      </c>
      <c r="D861" s="316">
        <f>IFERROR(__xludf.DUMMYFUNCTION("""COMPUTED_VALUE"""),45044.0)</f>
        <v>45044</v>
      </c>
      <c r="E861" s="298">
        <f>IFERROR(__xludf.DUMMYFUNCTION("""COMPUTED_VALUE"""),3277.625)</f>
        <v>3277.625</v>
      </c>
      <c r="F861" s="298">
        <f>IFERROR(__xludf.DUMMYFUNCTION("""COMPUTED_VALUE"""),0.0)</f>
        <v>0</v>
      </c>
      <c r="G861" s="298">
        <f>IFERROR(__xludf.DUMMYFUNCTION("""COMPUTED_VALUE"""),0.0)</f>
        <v>0</v>
      </c>
      <c r="H861" s="223">
        <f>IFERROR(__xludf.DUMMYFUNCTION("""COMPUTED_VALUE"""),3277.625)</f>
        <v>3277.625</v>
      </c>
      <c r="I861" s="298"/>
      <c r="J861" s="223" t="str">
        <f>IFERROR(__xludf.DUMMYFUNCTION("""COMPUTED_VALUE"""),"Monthly")</f>
        <v>Monthly</v>
      </c>
      <c r="K861" s="317">
        <f>IFERROR(__xludf.DUMMYFUNCTION("""COMPUTED_VALUE"""),2023.04)</f>
        <v>2023.04</v>
      </c>
      <c r="L861" s="298"/>
      <c r="M861" s="223"/>
      <c r="N861" s="223"/>
      <c r="O861" s="223"/>
      <c r="P861" s="223"/>
      <c r="Q861" s="223"/>
      <c r="R861" s="223"/>
      <c r="S861" s="223"/>
      <c r="T861" s="223"/>
      <c r="U861" s="223"/>
      <c r="V861" s="223"/>
      <c r="W861" s="223"/>
      <c r="X861" s="223"/>
      <c r="Y861" s="223"/>
      <c r="Z861" s="223"/>
    </row>
    <row r="862">
      <c r="A862" s="223" t="str">
        <f>IFERROR(__xludf.DUMMYFUNCTION("""COMPUTED_VALUE"""),"Venetian : Monthly Services")</f>
        <v>Venetian : Monthly Services</v>
      </c>
      <c r="B862" s="223" t="str">
        <f>IFERROR(__xludf.DUMMYFUNCTION("""COMPUTED_VALUE"""),"Venetian")</f>
        <v>Venetian</v>
      </c>
      <c r="C862" s="223" t="str">
        <f>IFERROR(__xludf.DUMMYFUNCTION("""COMPUTED_VALUE"""),"Monthly Services")</f>
        <v>Monthly Services</v>
      </c>
      <c r="D862" s="316">
        <f>IFERROR(__xludf.DUMMYFUNCTION("""COMPUTED_VALUE"""),45044.0)</f>
        <v>45044</v>
      </c>
      <c r="E862" s="298">
        <f>IFERROR(__xludf.DUMMYFUNCTION("""COMPUTED_VALUE"""),3277.625)</f>
        <v>3277.625</v>
      </c>
      <c r="F862" s="298">
        <f>IFERROR(__xludf.DUMMYFUNCTION("""COMPUTED_VALUE"""),0.0)</f>
        <v>0</v>
      </c>
      <c r="G862" s="298">
        <f>IFERROR(__xludf.DUMMYFUNCTION("""COMPUTED_VALUE"""),0.0)</f>
        <v>0</v>
      </c>
      <c r="H862" s="223">
        <f>IFERROR(__xludf.DUMMYFUNCTION("""COMPUTED_VALUE"""),3277.625)</f>
        <v>3277.625</v>
      </c>
      <c r="I862" s="298"/>
      <c r="J862" s="223" t="str">
        <f>IFERROR(__xludf.DUMMYFUNCTION("""COMPUTED_VALUE"""),"Monthly")</f>
        <v>Monthly</v>
      </c>
      <c r="K862" s="317">
        <f>IFERROR(__xludf.DUMMYFUNCTION("""COMPUTED_VALUE"""),2023.04)</f>
        <v>2023.04</v>
      </c>
      <c r="L862" s="298"/>
      <c r="M862" s="223"/>
      <c r="N862" s="223"/>
      <c r="O862" s="223"/>
      <c r="P862" s="223"/>
      <c r="Q862" s="223"/>
      <c r="R862" s="223"/>
      <c r="S862" s="223"/>
      <c r="T862" s="223"/>
      <c r="U862" s="223"/>
      <c r="V862" s="223"/>
      <c r="W862" s="223"/>
      <c r="X862" s="223"/>
      <c r="Y862" s="223"/>
      <c r="Z862" s="223"/>
    </row>
    <row r="863">
      <c r="A863" s="223" t="str">
        <f>IFERROR(__xludf.DUMMYFUNCTION("""COMPUTED_VALUE"""),"Wallack's Art Supplies : Monthly Services")</f>
        <v>Wallack's Art Supplies : Monthly Services</v>
      </c>
      <c r="B863" s="223" t="str">
        <f>IFERROR(__xludf.DUMMYFUNCTION("""COMPUTED_VALUE"""),"Wallack's Art Supplies")</f>
        <v>Wallack's Art Supplies</v>
      </c>
      <c r="C863" s="223" t="str">
        <f>IFERROR(__xludf.DUMMYFUNCTION("""COMPUTED_VALUE"""),"Monthly Services")</f>
        <v>Monthly Services</v>
      </c>
      <c r="D863" s="316">
        <f>IFERROR(__xludf.DUMMYFUNCTION("""COMPUTED_VALUE"""),45044.0)</f>
        <v>45044</v>
      </c>
      <c r="E863" s="298">
        <f>IFERROR(__xludf.DUMMYFUNCTION("""COMPUTED_VALUE"""),770.0)</f>
        <v>770</v>
      </c>
      <c r="F863" s="298">
        <f>IFERROR(__xludf.DUMMYFUNCTION("""COMPUTED_VALUE"""),0.0)</f>
        <v>0</v>
      </c>
      <c r="G863" s="298">
        <f>IFERROR(__xludf.DUMMYFUNCTION("""COMPUTED_VALUE"""),0.0)</f>
        <v>0</v>
      </c>
      <c r="H863" s="223">
        <f>IFERROR(__xludf.DUMMYFUNCTION("""COMPUTED_VALUE"""),770.0)</f>
        <v>770</v>
      </c>
      <c r="I863" s="298"/>
      <c r="J863" s="223" t="str">
        <f>IFERROR(__xludf.DUMMYFUNCTION("""COMPUTED_VALUE"""),"Monthly")</f>
        <v>Monthly</v>
      </c>
      <c r="K863" s="317">
        <f>IFERROR(__xludf.DUMMYFUNCTION("""COMPUTED_VALUE"""),2023.04)</f>
        <v>2023.04</v>
      </c>
      <c r="L863" s="298"/>
      <c r="M863" s="223"/>
      <c r="N863" s="223"/>
      <c r="O863" s="223"/>
      <c r="P863" s="223"/>
      <c r="Q863" s="223"/>
      <c r="R863" s="223"/>
      <c r="S863" s="223"/>
      <c r="T863" s="223"/>
      <c r="U863" s="223"/>
      <c r="V863" s="223"/>
      <c r="W863" s="223"/>
      <c r="X863" s="223"/>
      <c r="Y863" s="223"/>
      <c r="Z863" s="223"/>
    </row>
    <row r="864">
      <c r="A864" s="223" t="str">
        <f>IFERROR(__xludf.DUMMYFUNCTION("""COMPUTED_VALUE"""),"Howard Fine Jewellers : Ongoing PPC and SEO Support")</f>
        <v>Howard Fine Jewellers : Ongoing PPC and SEO Support</v>
      </c>
      <c r="B864" s="223" t="str">
        <f>IFERROR(__xludf.DUMMYFUNCTION("""COMPUTED_VALUE"""),"Howard Fine Jewellers")</f>
        <v>Howard Fine Jewellers</v>
      </c>
      <c r="C864" s="223" t="str">
        <f>IFERROR(__xludf.DUMMYFUNCTION("""COMPUTED_VALUE"""),"Ongoing PPC and SEO Support")</f>
        <v>Ongoing PPC and SEO Support</v>
      </c>
      <c r="D864" s="316">
        <f>IFERROR(__xludf.DUMMYFUNCTION("""COMPUTED_VALUE"""),45044.0)</f>
        <v>45044</v>
      </c>
      <c r="E864" s="298">
        <f>IFERROR(__xludf.DUMMYFUNCTION("""COMPUTED_VALUE"""),1650.0)</f>
        <v>1650</v>
      </c>
      <c r="F864" s="298">
        <f>IFERROR(__xludf.DUMMYFUNCTION("""COMPUTED_VALUE"""),55.23)</f>
        <v>55.23</v>
      </c>
      <c r="G864" s="298">
        <f>IFERROR(__xludf.DUMMYFUNCTION("""COMPUTED_VALUE"""),0.0)</f>
        <v>0</v>
      </c>
      <c r="H864" s="223">
        <f>IFERROR(__xludf.DUMMYFUNCTION("""COMPUTED_VALUE"""),1594.77)</f>
        <v>1594.77</v>
      </c>
      <c r="I864" s="298"/>
      <c r="J864" s="223" t="str">
        <f>IFERROR(__xludf.DUMMYFUNCTION("""COMPUTED_VALUE"""),"Monthly")</f>
        <v>Monthly</v>
      </c>
      <c r="K864" s="317">
        <f>IFERROR(__xludf.DUMMYFUNCTION("""COMPUTED_VALUE"""),2023.04)</f>
        <v>2023.04</v>
      </c>
      <c r="L864" s="298"/>
      <c r="M864" s="223"/>
      <c r="N864" s="223"/>
      <c r="O864" s="223"/>
      <c r="P864" s="223"/>
      <c r="Q864" s="223"/>
      <c r="R864" s="223"/>
      <c r="S864" s="223"/>
      <c r="T864" s="223"/>
      <c r="U864" s="223"/>
      <c r="V864" s="223"/>
      <c r="W864" s="223"/>
      <c r="X864" s="223"/>
      <c r="Y864" s="223"/>
      <c r="Z864" s="223"/>
    </row>
    <row r="865">
      <c r="A865" s="223" t="str">
        <f>IFERROR(__xludf.DUMMYFUNCTION("""COMPUTED_VALUE"""),"Moloco : Monthly PPC")</f>
        <v>Moloco : Monthly PPC</v>
      </c>
      <c r="B865" s="223" t="str">
        <f>IFERROR(__xludf.DUMMYFUNCTION("""COMPUTED_VALUE"""),"Moloco")</f>
        <v>Moloco</v>
      </c>
      <c r="C865" s="223" t="str">
        <f>IFERROR(__xludf.DUMMYFUNCTION("""COMPUTED_VALUE"""),"Monthly PPC")</f>
        <v>Monthly PPC</v>
      </c>
      <c r="D865" s="316">
        <f>IFERROR(__xludf.DUMMYFUNCTION("""COMPUTED_VALUE"""),45044.0)</f>
        <v>45044</v>
      </c>
      <c r="E865" s="298">
        <f>IFERROR(__xludf.DUMMYFUNCTION("""COMPUTED_VALUE"""),787.6787999999999)</f>
        <v>787.6788</v>
      </c>
      <c r="F865" s="298">
        <f>IFERROR(__xludf.DUMMYFUNCTION("""COMPUTED_VALUE"""),29.537954999999997)</f>
        <v>29.537955</v>
      </c>
      <c r="G865" s="298">
        <f>IFERROR(__xludf.DUMMYFUNCTION("""COMPUTED_VALUE"""),0.0)</f>
        <v>0</v>
      </c>
      <c r="H865" s="223">
        <f>IFERROR(__xludf.DUMMYFUNCTION("""COMPUTED_VALUE"""),758.1408449999999)</f>
        <v>758.140845</v>
      </c>
      <c r="I865" s="298"/>
      <c r="J865" s="223" t="str">
        <f>IFERROR(__xludf.DUMMYFUNCTION("""COMPUTED_VALUE"""),"Monthly")</f>
        <v>Monthly</v>
      </c>
      <c r="K865" s="317">
        <f>IFERROR(__xludf.DUMMYFUNCTION("""COMPUTED_VALUE"""),2023.04)</f>
        <v>2023.04</v>
      </c>
      <c r="L865" s="298"/>
      <c r="M865" s="223"/>
      <c r="N865" s="223"/>
      <c r="O865" s="223"/>
      <c r="P865" s="223"/>
      <c r="Q865" s="223"/>
      <c r="R865" s="223"/>
      <c r="S865" s="223"/>
      <c r="T865" s="223"/>
      <c r="U865" s="223"/>
      <c r="V865" s="223"/>
      <c r="W865" s="223"/>
      <c r="X865" s="223"/>
      <c r="Y865" s="223"/>
      <c r="Z865" s="223"/>
    </row>
    <row r="866">
      <c r="A866" s="223" t="str">
        <f>IFERROR(__xludf.DUMMYFUNCTION("""COMPUTED_VALUE"""),"Crisp Media : Monthly Genus Google PPC Mgmt")</f>
        <v>Crisp Media : Monthly Genus Google PPC Mgmt</v>
      </c>
      <c r="B866" s="223" t="str">
        <f>IFERROR(__xludf.DUMMYFUNCTION("""COMPUTED_VALUE"""),"Crisp Media")</f>
        <v>Crisp Media</v>
      </c>
      <c r="C866" s="223" t="str">
        <f>IFERROR(__xludf.DUMMYFUNCTION("""COMPUTED_VALUE"""),"Monthly Genus Google PPC Mgmt")</f>
        <v>Monthly Genus Google PPC Mgmt</v>
      </c>
      <c r="D866" s="316">
        <f>IFERROR(__xludf.DUMMYFUNCTION("""COMPUTED_VALUE"""),45044.0)</f>
        <v>45044</v>
      </c>
      <c r="E866" s="298">
        <f>IFERROR(__xludf.DUMMYFUNCTION("""COMPUTED_VALUE"""),600.0)</f>
        <v>600</v>
      </c>
      <c r="F866" s="298">
        <f>IFERROR(__xludf.DUMMYFUNCTION("""COMPUTED_VALUE"""),18.67)</f>
        <v>18.67</v>
      </c>
      <c r="G866" s="298">
        <f>IFERROR(__xludf.DUMMYFUNCTION("""COMPUTED_VALUE"""),0.0)</f>
        <v>0</v>
      </c>
      <c r="H866" s="223">
        <f>IFERROR(__xludf.DUMMYFUNCTION("""COMPUTED_VALUE"""),581.33)</f>
        <v>581.33</v>
      </c>
      <c r="I866" s="298"/>
      <c r="J866" s="223" t="str">
        <f>IFERROR(__xludf.DUMMYFUNCTION("""COMPUTED_VALUE"""),"Monthly")</f>
        <v>Monthly</v>
      </c>
      <c r="K866" s="317">
        <f>IFERROR(__xludf.DUMMYFUNCTION("""COMPUTED_VALUE"""),2023.04)</f>
        <v>2023.04</v>
      </c>
      <c r="L866" s="298"/>
      <c r="M866" s="223"/>
      <c r="N866" s="223"/>
      <c r="O866" s="223"/>
      <c r="P866" s="223"/>
      <c r="Q866" s="223"/>
      <c r="R866" s="223"/>
      <c r="S866" s="223"/>
      <c r="T866" s="223"/>
      <c r="U866" s="223"/>
      <c r="V866" s="223"/>
      <c r="W866" s="223"/>
      <c r="X866" s="223"/>
      <c r="Y866" s="223"/>
      <c r="Z866" s="223"/>
    </row>
    <row r="867">
      <c r="A867" s="223" t="str">
        <f>IFERROR(__xludf.DUMMYFUNCTION("""COMPUTED_VALUE"""),"Big Hammer Wines : Monthly PPC")</f>
        <v>Big Hammer Wines : Monthly PPC</v>
      </c>
      <c r="B867" s="223" t="str">
        <f>IFERROR(__xludf.DUMMYFUNCTION("""COMPUTED_VALUE"""),"Big Hammer Wines")</f>
        <v>Big Hammer Wines</v>
      </c>
      <c r="C867" s="223" t="str">
        <f>IFERROR(__xludf.DUMMYFUNCTION("""COMPUTED_VALUE"""),"Monthly PPC")</f>
        <v>Monthly PPC</v>
      </c>
      <c r="D867" s="316">
        <f>IFERROR(__xludf.DUMMYFUNCTION("""COMPUTED_VALUE"""),45044.0)</f>
        <v>45044</v>
      </c>
      <c r="E867" s="298">
        <f>IFERROR(__xludf.DUMMYFUNCTION("""COMPUTED_VALUE"""),1157.9083999999998)</f>
        <v>1157.9084</v>
      </c>
      <c r="F867" s="298">
        <f>IFERROR(__xludf.DUMMYFUNCTION("""COMPUTED_VALUE"""),43.2373523)</f>
        <v>43.2373523</v>
      </c>
      <c r="G867" s="298">
        <f>IFERROR(__xludf.DUMMYFUNCTION("""COMPUTED_VALUE"""),0.0)</f>
        <v>0</v>
      </c>
      <c r="H867" s="223">
        <f>IFERROR(__xludf.DUMMYFUNCTION("""COMPUTED_VALUE"""),1114.6710476999997)</f>
        <v>1114.671048</v>
      </c>
      <c r="I867" s="298"/>
      <c r="J867" s="223" t="str">
        <f>IFERROR(__xludf.DUMMYFUNCTION("""COMPUTED_VALUE"""),"Monthly")</f>
        <v>Monthly</v>
      </c>
      <c r="K867" s="317">
        <f>IFERROR(__xludf.DUMMYFUNCTION("""COMPUTED_VALUE"""),2023.04)</f>
        <v>2023.04</v>
      </c>
      <c r="L867" s="298"/>
      <c r="M867" s="223"/>
      <c r="N867" s="223"/>
      <c r="O867" s="223"/>
      <c r="P867" s="223"/>
      <c r="Q867" s="223"/>
      <c r="R867" s="223"/>
      <c r="S867" s="223"/>
      <c r="T867" s="223"/>
      <c r="U867" s="223"/>
      <c r="V867" s="223"/>
      <c r="W867" s="223"/>
      <c r="X867" s="223"/>
      <c r="Y867" s="223"/>
      <c r="Z867" s="223"/>
    </row>
    <row r="868">
      <c r="A868" s="223" t="str">
        <f>IFERROR(__xludf.DUMMYFUNCTION("""COMPUTED_VALUE"""),"Sacred Deathcare : Maintainance Retainer")</f>
        <v>Sacred Deathcare : Maintainance Retainer</v>
      </c>
      <c r="B868" s="223" t="str">
        <f>IFERROR(__xludf.DUMMYFUNCTION("""COMPUTED_VALUE"""),"Sacred Deathcare")</f>
        <v>Sacred Deathcare</v>
      </c>
      <c r="C868" s="223" t="str">
        <f>IFERROR(__xludf.DUMMYFUNCTION("""COMPUTED_VALUE"""),"Maintainance Retainer")</f>
        <v>Maintainance Retainer</v>
      </c>
      <c r="D868" s="316">
        <f>IFERROR(__xludf.DUMMYFUNCTION("""COMPUTED_VALUE"""),45046.0)</f>
        <v>45046</v>
      </c>
      <c r="E868" s="298">
        <f>IFERROR(__xludf.DUMMYFUNCTION("""COMPUTED_VALUE"""),250.0)</f>
        <v>250</v>
      </c>
      <c r="F868" s="298">
        <f>IFERROR(__xludf.DUMMYFUNCTION("""COMPUTED_VALUE"""),7.78)</f>
        <v>7.78</v>
      </c>
      <c r="G868" s="298">
        <f>IFERROR(__xludf.DUMMYFUNCTION("""COMPUTED_VALUE"""),0.0)</f>
        <v>0</v>
      </c>
      <c r="H868" s="223">
        <f>IFERROR(__xludf.DUMMYFUNCTION("""COMPUTED_VALUE"""),242.22)</f>
        <v>242.22</v>
      </c>
      <c r="I868" s="298"/>
      <c r="J868" s="223" t="str">
        <f>IFERROR(__xludf.DUMMYFUNCTION("""COMPUTED_VALUE"""),"Monthly")</f>
        <v>Monthly</v>
      </c>
      <c r="K868" s="317">
        <f>IFERROR(__xludf.DUMMYFUNCTION("""COMPUTED_VALUE"""),2023.04)</f>
        <v>2023.04</v>
      </c>
      <c r="L868" s="298"/>
      <c r="M868" s="223"/>
      <c r="N868" s="223"/>
      <c r="O868" s="223"/>
      <c r="P868" s="223"/>
      <c r="Q868" s="223"/>
      <c r="R868" s="223"/>
      <c r="S868" s="223"/>
      <c r="T868" s="223"/>
      <c r="U868" s="223"/>
      <c r="V868" s="223"/>
      <c r="W868" s="223"/>
      <c r="X868" s="223"/>
      <c r="Y868" s="223"/>
      <c r="Z868" s="223"/>
    </row>
    <row r="869">
      <c r="A869" s="223" t="str">
        <f>IFERROR(__xludf.DUMMYFUNCTION("""COMPUTED_VALUE"""),"GreenLane Offroad : PPC, SEO &amp; Analytics Work")</f>
        <v>GreenLane Offroad : PPC, SEO &amp; Analytics Work</v>
      </c>
      <c r="B869" s="223" t="str">
        <f>IFERROR(__xludf.DUMMYFUNCTION("""COMPUTED_VALUE"""),"GreenLane Offroad")</f>
        <v>GreenLane Offroad</v>
      </c>
      <c r="C869" s="223" t="str">
        <f>IFERROR(__xludf.DUMMYFUNCTION("""COMPUTED_VALUE"""),"PPC, SEO &amp; Analytics Work")</f>
        <v>PPC, SEO &amp; Analytics Work</v>
      </c>
      <c r="D869" s="316">
        <f>IFERROR(__xludf.DUMMYFUNCTION("""COMPUTED_VALUE"""),45044.0)</f>
        <v>45044</v>
      </c>
      <c r="E869" s="298">
        <f>IFERROR(__xludf.DUMMYFUNCTION("""COMPUTED_VALUE"""),1700.0)</f>
        <v>1700</v>
      </c>
      <c r="F869" s="298">
        <f>IFERROR(__xludf.DUMMYFUNCTION("""COMPUTED_VALUE"""),52.89)</f>
        <v>52.89</v>
      </c>
      <c r="G869" s="298">
        <f>IFERROR(__xludf.DUMMYFUNCTION("""COMPUTED_VALUE"""),0.0)</f>
        <v>0</v>
      </c>
      <c r="H869" s="223">
        <f>IFERROR(__xludf.DUMMYFUNCTION("""COMPUTED_VALUE"""),1647.11)</f>
        <v>1647.11</v>
      </c>
      <c r="I869" s="298"/>
      <c r="J869" s="223" t="str">
        <f>IFERROR(__xludf.DUMMYFUNCTION("""COMPUTED_VALUE"""),"Monthly")</f>
        <v>Monthly</v>
      </c>
      <c r="K869" s="317">
        <f>IFERROR(__xludf.DUMMYFUNCTION("""COMPUTED_VALUE"""),2023.04)</f>
        <v>2023.04</v>
      </c>
      <c r="L869" s="298"/>
      <c r="M869" s="223"/>
      <c r="N869" s="223"/>
      <c r="O869" s="223"/>
      <c r="P869" s="223"/>
      <c r="Q869" s="223"/>
      <c r="R869" s="223"/>
      <c r="S869" s="223"/>
      <c r="T869" s="223"/>
      <c r="U869" s="223"/>
      <c r="V869" s="223"/>
      <c r="W869" s="223"/>
      <c r="X869" s="223"/>
      <c r="Y869" s="223"/>
      <c r="Z869" s="223"/>
    </row>
    <row r="870">
      <c r="A870" s="223" t="str">
        <f>IFERROR(__xludf.DUMMYFUNCTION("""COMPUTED_VALUE"""),"Advisicon : Quarterly Website Maintenance Support")</f>
        <v>Advisicon : Quarterly Website Maintenance Support</v>
      </c>
      <c r="B870" s="223" t="str">
        <f>IFERROR(__xludf.DUMMYFUNCTION("""COMPUTED_VALUE"""),"Advisicon")</f>
        <v>Advisicon</v>
      </c>
      <c r="C870" s="223" t="str">
        <f>IFERROR(__xludf.DUMMYFUNCTION("""COMPUTED_VALUE"""),"Quarterly Website Maintenance Support")</f>
        <v>Quarterly Website Maintenance Support</v>
      </c>
      <c r="D870" s="316">
        <f>IFERROR(__xludf.DUMMYFUNCTION("""COMPUTED_VALUE"""),45138.0)</f>
        <v>45138</v>
      </c>
      <c r="E870" s="298">
        <f>IFERROR(__xludf.DUMMYFUNCTION("""COMPUTED_VALUE"""),197.565)</f>
        <v>197.565</v>
      </c>
      <c r="F870" s="298">
        <f>IFERROR(__xludf.DUMMYFUNCTION("""COMPUTED_VALUE"""),0.0)</f>
        <v>0</v>
      </c>
      <c r="G870" s="298">
        <f>IFERROR(__xludf.DUMMYFUNCTION("""COMPUTED_VALUE"""),0.0)</f>
        <v>0</v>
      </c>
      <c r="H870" s="223">
        <f>IFERROR(__xludf.DUMMYFUNCTION("""COMPUTED_VALUE"""),197.565)</f>
        <v>197.565</v>
      </c>
      <c r="I870" s="298"/>
      <c r="J870" s="223" t="str">
        <f>IFERROR(__xludf.DUMMYFUNCTION("""COMPUTED_VALUE"""),"Quarterly")</f>
        <v>Quarterly</v>
      </c>
      <c r="K870" s="317">
        <f>IFERROR(__xludf.DUMMYFUNCTION("""COMPUTED_VALUE"""),2023.0)</f>
        <v>2023</v>
      </c>
      <c r="L870" s="298"/>
      <c r="M870" s="223"/>
      <c r="N870" s="223"/>
      <c r="O870" s="223"/>
      <c r="P870" s="223"/>
      <c r="Q870" s="223"/>
      <c r="R870" s="223"/>
      <c r="S870" s="223"/>
      <c r="T870" s="223"/>
      <c r="U870" s="223"/>
      <c r="V870" s="223"/>
      <c r="W870" s="223"/>
      <c r="X870" s="223"/>
      <c r="Y870" s="223"/>
      <c r="Z870" s="223"/>
    </row>
    <row r="871">
      <c r="A871" s="223" t="str">
        <f>IFERROR(__xludf.DUMMYFUNCTION("""COMPUTED_VALUE"""),"C360 : Phase II: Johns Hopkins University PPC Management")</f>
        <v>C360 : Phase II: Johns Hopkins University PPC Management</v>
      </c>
      <c r="B871" s="223" t="str">
        <f>IFERROR(__xludf.DUMMYFUNCTION("""COMPUTED_VALUE"""),"C360")</f>
        <v>C360</v>
      </c>
      <c r="C871" s="223" t="str">
        <f>IFERROR(__xludf.DUMMYFUNCTION("""COMPUTED_VALUE"""),"Phase II: Johns Hopkins University PPC Management")</f>
        <v>Phase II: Johns Hopkins University PPC Management</v>
      </c>
      <c r="D871" s="316">
        <f>IFERROR(__xludf.DUMMYFUNCTION("""COMPUTED_VALUE"""),45044.0)</f>
        <v>45044</v>
      </c>
      <c r="E871" s="298">
        <f>IFERROR(__xludf.DUMMYFUNCTION("""COMPUTED_VALUE"""),661.5)</f>
        <v>661.5</v>
      </c>
      <c r="F871" s="298">
        <f>IFERROR(__xludf.DUMMYFUNCTION("""COMPUTED_VALUE"""),0.0)</f>
        <v>0</v>
      </c>
      <c r="G871" s="298">
        <f>IFERROR(__xludf.DUMMYFUNCTION("""COMPUTED_VALUE"""),0.0)</f>
        <v>0</v>
      </c>
      <c r="H871" s="223">
        <f>IFERROR(__xludf.DUMMYFUNCTION("""COMPUTED_VALUE"""),661.5)</f>
        <v>661.5</v>
      </c>
      <c r="I871" s="298"/>
      <c r="J871" s="223" t="str">
        <f>IFERROR(__xludf.DUMMYFUNCTION("""COMPUTED_VALUE"""),"Monthly")</f>
        <v>Monthly</v>
      </c>
      <c r="K871" s="317">
        <f>IFERROR(__xludf.DUMMYFUNCTION("""COMPUTED_VALUE"""),2023.0)</f>
        <v>2023</v>
      </c>
      <c r="L871" s="298"/>
      <c r="M871" s="223"/>
      <c r="N871" s="223"/>
      <c r="O871" s="223"/>
      <c r="P871" s="223"/>
      <c r="Q871" s="223"/>
      <c r="R871" s="223"/>
      <c r="S871" s="223"/>
      <c r="T871" s="223"/>
      <c r="U871" s="223"/>
      <c r="V871" s="223"/>
      <c r="W871" s="223"/>
      <c r="X871" s="223"/>
      <c r="Y871" s="223"/>
      <c r="Z871" s="223"/>
    </row>
    <row r="872">
      <c r="A872" s="223" t="str">
        <f>IFERROR(__xludf.DUMMYFUNCTION("""COMPUTED_VALUE"""),"Luxe Bridal LLC : Monthly PPC")</f>
        <v>Luxe Bridal LLC : Monthly PPC</v>
      </c>
      <c r="B872" s="223" t="str">
        <f>IFERROR(__xludf.DUMMYFUNCTION("""COMPUTED_VALUE"""),"Luxe Bridal LLC")</f>
        <v>Luxe Bridal LLC</v>
      </c>
      <c r="C872" s="223" t="str">
        <f>IFERROR(__xludf.DUMMYFUNCTION("""COMPUTED_VALUE"""),"Monthly PPC")</f>
        <v>Monthly PPC</v>
      </c>
      <c r="D872" s="316">
        <f>IFERROR(__xludf.DUMMYFUNCTION("""COMPUTED_VALUE"""),45049.0)</f>
        <v>45049</v>
      </c>
      <c r="E872" s="298">
        <f>IFERROR(__xludf.DUMMYFUNCTION("""COMPUTED_VALUE"""),3363.46724)</f>
        <v>3363.46724</v>
      </c>
      <c r="F872" s="298">
        <f>IFERROR(__xludf.DUMMYFUNCTION("""COMPUTED_VALUE"""),124.83787867999999)</f>
        <v>124.8378787</v>
      </c>
      <c r="G872" s="298">
        <f>IFERROR(__xludf.DUMMYFUNCTION("""COMPUTED_VALUE"""),647.725872264)</f>
        <v>647.7258723</v>
      </c>
      <c r="H872" s="223">
        <f>IFERROR(__xludf.DUMMYFUNCTION("""COMPUTED_VALUE"""),2590.903489056)</f>
        <v>2590.903489</v>
      </c>
      <c r="I872" s="298"/>
      <c r="J872" s="223" t="str">
        <f>IFERROR(__xludf.DUMMYFUNCTION("""COMPUTED_VALUE"""),"Monthly")</f>
        <v>Monthly</v>
      </c>
      <c r="K872" s="317">
        <f>IFERROR(__xludf.DUMMYFUNCTION("""COMPUTED_VALUE"""),2023.05)</f>
        <v>2023.05</v>
      </c>
      <c r="L872" s="298"/>
      <c r="M872" s="223"/>
      <c r="N872" s="223"/>
      <c r="O872" s="223"/>
      <c r="P872" s="223"/>
      <c r="Q872" s="223"/>
      <c r="R872" s="223"/>
      <c r="S872" s="223"/>
      <c r="T872" s="223"/>
      <c r="U872" s="223"/>
      <c r="V872" s="223"/>
      <c r="W872" s="223"/>
      <c r="X872" s="223"/>
      <c r="Y872" s="223"/>
      <c r="Z872" s="223"/>
    </row>
    <row r="873">
      <c r="A873" s="223" t="str">
        <f>IFERROR(__xludf.DUMMYFUNCTION("""COMPUTED_VALUE"""),"Luxe Bridal LLC (LJM) : Monthly PPC")</f>
        <v>Luxe Bridal LLC (LJM) : Monthly PPC</v>
      </c>
      <c r="B873" s="223" t="str">
        <f>IFERROR(__xludf.DUMMYFUNCTION("""COMPUTED_VALUE"""),"Luxe Bridal LLC (LJM)")</f>
        <v>Luxe Bridal LLC (LJM)</v>
      </c>
      <c r="C873" s="223" t="str">
        <f>IFERROR(__xludf.DUMMYFUNCTION("""COMPUTED_VALUE"""),"Monthly PPC")</f>
        <v>Monthly PPC</v>
      </c>
      <c r="D873" s="316">
        <f>IFERROR(__xludf.DUMMYFUNCTION("""COMPUTED_VALUE"""),45049.0)</f>
        <v>45049</v>
      </c>
      <c r="E873" s="298">
        <f>IFERROR(__xludf.DUMMYFUNCTION("""COMPUTED_VALUE"""),1460.5435499999999)</f>
        <v>1460.54355</v>
      </c>
      <c r="F873" s="298">
        <f>IFERROR(__xludf.DUMMYFUNCTION("""COMPUTED_VALUE"""),54.43485284999999)</f>
        <v>54.43485285</v>
      </c>
      <c r="G873" s="298">
        <f>IFERROR(__xludf.DUMMYFUNCTION("""COMPUTED_VALUE"""),281.22173943)</f>
        <v>281.2217394</v>
      </c>
      <c r="H873" s="223">
        <f>IFERROR(__xludf.DUMMYFUNCTION("""COMPUTED_VALUE"""),1124.8869577199998)</f>
        <v>1124.886958</v>
      </c>
      <c r="I873" s="298"/>
      <c r="J873" s="223" t="str">
        <f>IFERROR(__xludf.DUMMYFUNCTION("""COMPUTED_VALUE"""),"Monthly")</f>
        <v>Monthly</v>
      </c>
      <c r="K873" s="317">
        <f>IFERROR(__xludf.DUMMYFUNCTION("""COMPUTED_VALUE"""),2023.05)</f>
        <v>2023.05</v>
      </c>
      <c r="L873" s="298"/>
      <c r="M873" s="223"/>
      <c r="N873" s="223"/>
      <c r="O873" s="223"/>
      <c r="P873" s="223"/>
      <c r="Q873" s="223"/>
      <c r="R873" s="223"/>
      <c r="S873" s="223"/>
      <c r="T873" s="223"/>
      <c r="U873" s="223"/>
      <c r="V873" s="223"/>
      <c r="W873" s="223"/>
      <c r="X873" s="223"/>
      <c r="Y873" s="223"/>
      <c r="Z873" s="223"/>
    </row>
    <row r="874">
      <c r="A874" s="223" t="str">
        <f>IFERROR(__xludf.DUMMYFUNCTION("""COMPUTED_VALUE"""),"WhistleBlower Security : Monthly PPC and SEO")</f>
        <v>WhistleBlower Security : Monthly PPC and SEO</v>
      </c>
      <c r="B874" s="223" t="str">
        <f>IFERROR(__xludf.DUMMYFUNCTION("""COMPUTED_VALUE"""),"WhistleBlower Security")</f>
        <v>WhistleBlower Security</v>
      </c>
      <c r="C874" s="223" t="str">
        <f>IFERROR(__xludf.DUMMYFUNCTION("""COMPUTED_VALUE"""),"Monthly PPC and SEO")</f>
        <v>Monthly PPC and SEO</v>
      </c>
      <c r="D874" s="316">
        <f>IFERROR(__xludf.DUMMYFUNCTION("""COMPUTED_VALUE"""),45061.0)</f>
        <v>45061</v>
      </c>
      <c r="E874" s="298">
        <f>IFERROR(__xludf.DUMMYFUNCTION("""COMPUTED_VALUE"""),3700.0)</f>
        <v>3700</v>
      </c>
      <c r="F874" s="298">
        <f>IFERROR(__xludf.DUMMYFUNCTION("""COMPUTED_VALUE"""),115.11)</f>
        <v>115.11</v>
      </c>
      <c r="G874" s="298">
        <f>IFERROR(__xludf.DUMMYFUNCTION("""COMPUTED_VALUE"""),358.48900000000003)</f>
        <v>358.489</v>
      </c>
      <c r="H874" s="223">
        <f>IFERROR(__xludf.DUMMYFUNCTION("""COMPUTED_VALUE"""),3226.401)</f>
        <v>3226.401</v>
      </c>
      <c r="I874" s="298"/>
      <c r="J874" s="223" t="str">
        <f>IFERROR(__xludf.DUMMYFUNCTION("""COMPUTED_VALUE"""),"Monthly")</f>
        <v>Monthly</v>
      </c>
      <c r="K874" s="317">
        <f>IFERROR(__xludf.DUMMYFUNCTION("""COMPUTED_VALUE"""),2023.05)</f>
        <v>2023.05</v>
      </c>
      <c r="L874" s="298"/>
      <c r="M874" s="223"/>
      <c r="N874" s="223"/>
      <c r="O874" s="223"/>
      <c r="P874" s="223"/>
      <c r="Q874" s="223"/>
      <c r="R874" s="223"/>
      <c r="S874" s="223"/>
      <c r="T874" s="223"/>
      <c r="U874" s="223"/>
      <c r="V874" s="223"/>
      <c r="W874" s="223"/>
      <c r="X874" s="223"/>
      <c r="Y874" s="223"/>
      <c r="Z874" s="223"/>
    </row>
    <row r="875">
      <c r="A875" s="223" t="str">
        <f>IFERROR(__xludf.DUMMYFUNCTION("""COMPUTED_VALUE"""),"WhistleBlower Security : Monthly PPC and SEO")</f>
        <v>WhistleBlower Security : Monthly PPC and SEO</v>
      </c>
      <c r="B875" s="223" t="str">
        <f>IFERROR(__xludf.DUMMYFUNCTION("""COMPUTED_VALUE"""),"WhistleBlower Security")</f>
        <v>WhistleBlower Security</v>
      </c>
      <c r="C875" s="223" t="str">
        <f>IFERROR(__xludf.DUMMYFUNCTION("""COMPUTED_VALUE"""),"Monthly PPC and SEO")</f>
        <v>Monthly PPC and SEO</v>
      </c>
      <c r="D875" s="316">
        <f>IFERROR(__xludf.DUMMYFUNCTION("""COMPUTED_VALUE"""),45092.0)</f>
        <v>45092</v>
      </c>
      <c r="E875" s="298">
        <f>IFERROR(__xludf.DUMMYFUNCTION("""COMPUTED_VALUE"""),1800.0)</f>
        <v>1800</v>
      </c>
      <c r="F875" s="298">
        <f>IFERROR(__xludf.DUMMYFUNCTION("""COMPUTED_VALUE"""),56.0)</f>
        <v>56</v>
      </c>
      <c r="G875" s="298">
        <f>IFERROR(__xludf.DUMMYFUNCTION("""COMPUTED_VALUE"""),174.4)</f>
        <v>174.4</v>
      </c>
      <c r="H875" s="223">
        <f>IFERROR(__xludf.DUMMYFUNCTION("""COMPUTED_VALUE"""),1569.6)</f>
        <v>1569.6</v>
      </c>
      <c r="I875" s="298"/>
      <c r="J875" s="223" t="str">
        <f>IFERROR(__xludf.DUMMYFUNCTION("""COMPUTED_VALUE"""),"Monthly")</f>
        <v>Monthly</v>
      </c>
      <c r="K875" s="317">
        <f>IFERROR(__xludf.DUMMYFUNCTION("""COMPUTED_VALUE"""),2023.06)</f>
        <v>2023.06</v>
      </c>
      <c r="L875" s="298"/>
      <c r="M875" s="223"/>
      <c r="N875" s="223"/>
      <c r="O875" s="223"/>
      <c r="P875" s="223"/>
      <c r="Q875" s="223"/>
      <c r="R875" s="223"/>
      <c r="S875" s="223"/>
      <c r="T875" s="223"/>
      <c r="U875" s="223"/>
      <c r="V875" s="223"/>
      <c r="W875" s="223"/>
      <c r="X875" s="223"/>
      <c r="Y875" s="223"/>
      <c r="Z875" s="223"/>
    </row>
    <row r="876">
      <c r="A876" s="223" t="str">
        <f>IFERROR(__xludf.DUMMYFUNCTION("""COMPUTED_VALUE"""),"Tofino Resort + Marina : Monthly Services")</f>
        <v>Tofino Resort + Marina : Monthly Services</v>
      </c>
      <c r="B876" s="223" t="str">
        <f>IFERROR(__xludf.DUMMYFUNCTION("""COMPUTED_VALUE"""),"Tofino Resort + Marina")</f>
        <v>Tofino Resort + Marina</v>
      </c>
      <c r="C876" s="223" t="str">
        <f>IFERROR(__xludf.DUMMYFUNCTION("""COMPUTED_VALUE"""),"Monthly Services")</f>
        <v>Monthly Services</v>
      </c>
      <c r="D876" s="316">
        <f>IFERROR(__xludf.DUMMYFUNCTION("""COMPUTED_VALUE"""),45061.0)</f>
        <v>45061</v>
      </c>
      <c r="E876" s="298">
        <f>IFERROR(__xludf.DUMMYFUNCTION("""COMPUTED_VALUE"""),2300.0)</f>
        <v>2300</v>
      </c>
      <c r="F876" s="298">
        <f>IFERROR(__xludf.DUMMYFUNCTION("""COMPUTED_VALUE"""),71.56)</f>
        <v>71.56</v>
      </c>
      <c r="G876" s="298">
        <f>IFERROR(__xludf.DUMMYFUNCTION("""COMPUTED_VALUE"""),0.0)</f>
        <v>0</v>
      </c>
      <c r="H876" s="223">
        <f>IFERROR(__xludf.DUMMYFUNCTION("""COMPUTED_VALUE"""),2228.44)</f>
        <v>2228.44</v>
      </c>
      <c r="I876" s="298"/>
      <c r="J876" s="223" t="str">
        <f>IFERROR(__xludf.DUMMYFUNCTION("""COMPUTED_VALUE"""),"Monthly")</f>
        <v>Monthly</v>
      </c>
      <c r="K876" s="317">
        <f>IFERROR(__xludf.DUMMYFUNCTION("""COMPUTED_VALUE"""),2023.05)</f>
        <v>2023.05</v>
      </c>
      <c r="L876" s="298"/>
      <c r="M876" s="223"/>
      <c r="N876" s="223"/>
      <c r="O876" s="223"/>
      <c r="P876" s="223"/>
      <c r="Q876" s="223"/>
      <c r="R876" s="223"/>
      <c r="S876" s="223"/>
      <c r="T876" s="223"/>
      <c r="U876" s="223"/>
      <c r="V876" s="223"/>
      <c r="W876" s="223"/>
      <c r="X876" s="223"/>
      <c r="Y876" s="223"/>
      <c r="Z876" s="223"/>
    </row>
    <row r="877">
      <c r="A877" s="223" t="str">
        <f>IFERROR(__xludf.DUMMYFUNCTION("""COMPUTED_VALUE"""),"Booginhead : Monthly Services")</f>
        <v>Booginhead : Monthly Services</v>
      </c>
      <c r="B877" s="223" t="str">
        <f>IFERROR(__xludf.DUMMYFUNCTION("""COMPUTED_VALUE"""),"Booginhead")</f>
        <v>Booginhead</v>
      </c>
      <c r="C877" s="223" t="str">
        <f>IFERROR(__xludf.DUMMYFUNCTION("""COMPUTED_VALUE"""),"Monthly Services")</f>
        <v>Monthly Services</v>
      </c>
      <c r="D877" s="316">
        <f>IFERROR(__xludf.DUMMYFUNCTION("""COMPUTED_VALUE"""),45061.0)</f>
        <v>45061</v>
      </c>
      <c r="E877" s="298">
        <f>IFERROR(__xludf.DUMMYFUNCTION("""COMPUTED_VALUE"""),2802.6646499999997)</f>
        <v>2802.66465</v>
      </c>
      <c r="F877" s="298">
        <f>IFERROR(__xludf.DUMMYFUNCTION("""COMPUTED_VALUE"""),104.09333355)</f>
        <v>104.0933336</v>
      </c>
      <c r="G877" s="298">
        <f>IFERROR(__xludf.DUMMYFUNCTION("""COMPUTED_VALUE"""),539.71426329)</f>
        <v>539.7142633</v>
      </c>
      <c r="H877" s="223">
        <f>IFERROR(__xludf.DUMMYFUNCTION("""COMPUTED_VALUE"""),2158.85705316)</f>
        <v>2158.857053</v>
      </c>
      <c r="I877" s="298"/>
      <c r="J877" s="223" t="str">
        <f>IFERROR(__xludf.DUMMYFUNCTION("""COMPUTED_VALUE"""),"Monthly")</f>
        <v>Monthly</v>
      </c>
      <c r="K877" s="317">
        <f>IFERROR(__xludf.DUMMYFUNCTION("""COMPUTED_VALUE"""),2023.05)</f>
        <v>2023.05</v>
      </c>
      <c r="L877" s="298"/>
      <c r="M877" s="223"/>
      <c r="N877" s="223"/>
      <c r="O877" s="223"/>
      <c r="P877" s="223"/>
      <c r="Q877" s="223"/>
      <c r="R877" s="223"/>
      <c r="S877" s="223"/>
      <c r="T877" s="223"/>
      <c r="U877" s="223"/>
      <c r="V877" s="223"/>
      <c r="W877" s="223"/>
      <c r="X877" s="223"/>
      <c r="Y877" s="223"/>
      <c r="Z877" s="223"/>
    </row>
    <row r="878">
      <c r="A878" s="223" t="str">
        <f>IFERROR(__xludf.DUMMYFUNCTION("""COMPUTED_VALUE"""),"New Growth Ecommerce Inc : Monthly Services")</f>
        <v>New Growth Ecommerce Inc : Monthly Services</v>
      </c>
      <c r="B878" s="223" t="str">
        <f>IFERROR(__xludf.DUMMYFUNCTION("""COMPUTED_VALUE"""),"New Growth Ecommerce Inc")</f>
        <v>New Growth Ecommerce Inc</v>
      </c>
      <c r="C878" s="223" t="str">
        <f>IFERROR(__xludf.DUMMYFUNCTION("""COMPUTED_VALUE"""),"Monthly Services")</f>
        <v>Monthly Services</v>
      </c>
      <c r="D878" s="316">
        <f>IFERROR(__xludf.DUMMYFUNCTION("""COMPUTED_VALUE"""),45061.0)</f>
        <v>45061</v>
      </c>
      <c r="E878" s="298">
        <f>IFERROR(__xludf.DUMMYFUNCTION("""COMPUTED_VALUE"""),5000.0)</f>
        <v>5000</v>
      </c>
      <c r="F878" s="298">
        <f>IFERROR(__xludf.DUMMYFUNCTION("""COMPUTED_VALUE"""),0.0)</f>
        <v>0</v>
      </c>
      <c r="G878" s="298">
        <f>IFERROR(__xludf.DUMMYFUNCTION("""COMPUTED_VALUE"""),0.0)</f>
        <v>0</v>
      </c>
      <c r="H878" s="223">
        <f>IFERROR(__xludf.DUMMYFUNCTION("""COMPUTED_VALUE"""),5000.0)</f>
        <v>5000</v>
      </c>
      <c r="I878" s="298"/>
      <c r="J878" s="223" t="str">
        <f>IFERROR(__xludf.DUMMYFUNCTION("""COMPUTED_VALUE"""),"Monthly")</f>
        <v>Monthly</v>
      </c>
      <c r="K878" s="317">
        <f>IFERROR(__xludf.DUMMYFUNCTION("""COMPUTED_VALUE"""),2023.05)</f>
        <v>2023.05</v>
      </c>
      <c r="L878" s="298"/>
      <c r="M878" s="223"/>
      <c r="N878" s="223"/>
      <c r="O878" s="223"/>
      <c r="P878" s="223"/>
      <c r="Q878" s="223"/>
      <c r="R878" s="223"/>
      <c r="S878" s="223"/>
      <c r="T878" s="223"/>
      <c r="U878" s="223"/>
      <c r="V878" s="223"/>
      <c r="W878" s="223"/>
      <c r="X878" s="223"/>
      <c r="Y878" s="223"/>
      <c r="Z878" s="223"/>
    </row>
    <row r="879">
      <c r="A879" s="223" t="str">
        <f>IFERROR(__xludf.DUMMYFUNCTION("""COMPUTED_VALUE"""),"OA Region 6 : Monthly Services")</f>
        <v>OA Region 6 : Monthly Services</v>
      </c>
      <c r="B879" s="223" t="str">
        <f>IFERROR(__xludf.DUMMYFUNCTION("""COMPUTED_VALUE"""),"OA Region 6")</f>
        <v>OA Region 6</v>
      </c>
      <c r="C879" s="223" t="str">
        <f>IFERROR(__xludf.DUMMYFUNCTION("""COMPUTED_VALUE"""),"Monthly Services")</f>
        <v>Monthly Services</v>
      </c>
      <c r="D879" s="316">
        <f>IFERROR(__xludf.DUMMYFUNCTION("""COMPUTED_VALUE"""),45061.0)</f>
        <v>45061</v>
      </c>
      <c r="E879" s="298">
        <f>IFERROR(__xludf.DUMMYFUNCTION("""COMPUTED_VALUE"""),454.52259999999995)</f>
        <v>454.5226</v>
      </c>
      <c r="F879" s="298">
        <f>IFERROR(__xludf.DUMMYFUNCTION("""COMPUTED_VALUE"""),17.206927)</f>
        <v>17.206927</v>
      </c>
      <c r="G879" s="298">
        <f>IFERROR(__xludf.DUMMYFUNCTION("""COMPUTED_VALUE"""),0.0)</f>
        <v>0</v>
      </c>
      <c r="H879" s="223">
        <f>IFERROR(__xludf.DUMMYFUNCTION("""COMPUTED_VALUE"""),437.31567299999995)</f>
        <v>437.315673</v>
      </c>
      <c r="I879" s="298"/>
      <c r="J879" s="223" t="str">
        <f>IFERROR(__xludf.DUMMYFUNCTION("""COMPUTED_VALUE"""),"Monthly")</f>
        <v>Monthly</v>
      </c>
      <c r="K879" s="317">
        <f>IFERROR(__xludf.DUMMYFUNCTION("""COMPUTED_VALUE"""),2023.05)</f>
        <v>2023.05</v>
      </c>
      <c r="L879" s="298"/>
      <c r="M879" s="223"/>
      <c r="N879" s="223"/>
      <c r="O879" s="223"/>
      <c r="P879" s="223"/>
      <c r="Q879" s="223"/>
      <c r="R879" s="223"/>
      <c r="S879" s="223"/>
      <c r="T879" s="223"/>
      <c r="U879" s="223"/>
      <c r="V879" s="223"/>
      <c r="W879" s="223"/>
      <c r="X879" s="223"/>
      <c r="Y879" s="223"/>
      <c r="Z879" s="223"/>
    </row>
    <row r="880">
      <c r="A880" s="223" t="str">
        <f>IFERROR(__xludf.DUMMYFUNCTION("""COMPUTED_VALUE"""),"Rama Meditation Society : Monthly Hosting &amp; Updates")</f>
        <v>Rama Meditation Society : Monthly Hosting &amp; Updates</v>
      </c>
      <c r="B880" s="223" t="str">
        <f>IFERROR(__xludf.DUMMYFUNCTION("""COMPUTED_VALUE"""),"Rama Meditation Society")</f>
        <v>Rama Meditation Society</v>
      </c>
      <c r="C880" s="223" t="str">
        <f>IFERROR(__xludf.DUMMYFUNCTION("""COMPUTED_VALUE"""),"Monthly Hosting &amp; Updates")</f>
        <v>Monthly Hosting &amp; Updates</v>
      </c>
      <c r="D880" s="316">
        <f>IFERROR(__xludf.DUMMYFUNCTION("""COMPUTED_VALUE"""),45061.0)</f>
        <v>45061</v>
      </c>
      <c r="E880" s="298">
        <f>IFERROR(__xludf.DUMMYFUNCTION("""COMPUTED_VALUE"""),78.94829999999999)</f>
        <v>78.9483</v>
      </c>
      <c r="F880" s="298">
        <f>IFERROR(__xludf.DUMMYFUNCTION("""COMPUTED_VALUE"""),3.3158285999999997)</f>
        <v>3.3158286</v>
      </c>
      <c r="G880" s="298">
        <f>IFERROR(__xludf.DUMMYFUNCTION("""COMPUTED_VALUE"""),0.0)</f>
        <v>0</v>
      </c>
      <c r="H880" s="223">
        <f>IFERROR(__xludf.DUMMYFUNCTION("""COMPUTED_VALUE"""),75.63247139999999)</f>
        <v>75.6324714</v>
      </c>
      <c r="I880" s="298"/>
      <c r="J880" s="223" t="str">
        <f>IFERROR(__xludf.DUMMYFUNCTION("""COMPUTED_VALUE"""),"Monthly")</f>
        <v>Monthly</v>
      </c>
      <c r="K880" s="317">
        <f>IFERROR(__xludf.DUMMYFUNCTION("""COMPUTED_VALUE"""),2023.05)</f>
        <v>2023.05</v>
      </c>
      <c r="L880" s="298"/>
      <c r="M880" s="223"/>
      <c r="N880" s="223"/>
      <c r="O880" s="223"/>
      <c r="P880" s="223"/>
      <c r="Q880" s="223"/>
      <c r="R880" s="223"/>
      <c r="S880" s="223"/>
      <c r="T880" s="223"/>
      <c r="U880" s="223"/>
      <c r="V880" s="223"/>
      <c r="W880" s="223"/>
      <c r="X880" s="223"/>
      <c r="Y880" s="223"/>
      <c r="Z880" s="223"/>
    </row>
    <row r="881">
      <c r="A881" s="223" t="str">
        <f>IFERROR(__xludf.DUMMYFUNCTION("""COMPUTED_VALUE"""),"Canyon's Construction : Enhanced Hosting &amp; WordPress Support")</f>
        <v>Canyon's Construction : Enhanced Hosting &amp; WordPress Support</v>
      </c>
      <c r="B881" s="223" t="str">
        <f>IFERROR(__xludf.DUMMYFUNCTION("""COMPUTED_VALUE"""),"Canyon's Construction")</f>
        <v>Canyon's Construction</v>
      </c>
      <c r="C881" s="223" t="str">
        <f>IFERROR(__xludf.DUMMYFUNCTION("""COMPUTED_VALUE"""),"Enhanced Hosting &amp; WordPress Support")</f>
        <v>Enhanced Hosting &amp; WordPress Support</v>
      </c>
      <c r="D881" s="316">
        <f>IFERROR(__xludf.DUMMYFUNCTION("""COMPUTED_VALUE"""),45061.0)</f>
        <v>45061</v>
      </c>
      <c r="E881" s="298">
        <f>IFERROR(__xludf.DUMMYFUNCTION("""COMPUTED_VALUE"""),280.0)</f>
        <v>280</v>
      </c>
      <c r="F881" s="298"/>
      <c r="G881" s="298">
        <f>IFERROR(__xludf.DUMMYFUNCTION("""COMPUTED_VALUE"""),56.0)</f>
        <v>56</v>
      </c>
      <c r="H881" s="223">
        <f>IFERROR(__xludf.DUMMYFUNCTION("""COMPUTED_VALUE"""),224.0)</f>
        <v>224</v>
      </c>
      <c r="I881" s="298"/>
      <c r="J881" s="223" t="str">
        <f>IFERROR(__xludf.DUMMYFUNCTION("""COMPUTED_VALUE"""),"Monthly")</f>
        <v>Monthly</v>
      </c>
      <c r="K881" s="317">
        <f>IFERROR(__xludf.DUMMYFUNCTION("""COMPUTED_VALUE"""),2023.05)</f>
        <v>2023.05</v>
      </c>
      <c r="L881" s="298"/>
      <c r="M881" s="223"/>
      <c r="N881" s="223"/>
      <c r="O881" s="223"/>
      <c r="P881" s="223"/>
      <c r="Q881" s="223"/>
      <c r="R881" s="223"/>
      <c r="S881" s="223"/>
      <c r="T881" s="223"/>
      <c r="U881" s="223"/>
      <c r="V881" s="223"/>
      <c r="W881" s="223"/>
      <c r="X881" s="223"/>
      <c r="Y881" s="223"/>
      <c r="Z881" s="223"/>
    </row>
    <row r="882">
      <c r="A882" s="223" t="str">
        <f>IFERROR(__xludf.DUMMYFUNCTION("""COMPUTED_VALUE"""),"Classic LifeCare : Monthly Google Ads (PPC) Management")</f>
        <v>Classic LifeCare : Monthly Google Ads (PPC) Management</v>
      </c>
      <c r="B882" s="223" t="str">
        <f>IFERROR(__xludf.DUMMYFUNCTION("""COMPUTED_VALUE"""),"Classic LifeCare")</f>
        <v>Classic LifeCare</v>
      </c>
      <c r="C882" s="223" t="str">
        <f>IFERROR(__xludf.DUMMYFUNCTION("""COMPUTED_VALUE"""),"Monthly Google Ads (PPC) Management")</f>
        <v>Monthly Google Ads (PPC) Management</v>
      </c>
      <c r="D882" s="316">
        <f>IFERROR(__xludf.DUMMYFUNCTION("""COMPUTED_VALUE"""),45061.0)</f>
        <v>45061</v>
      </c>
      <c r="E882" s="298">
        <f>IFERROR(__xludf.DUMMYFUNCTION("""COMPUTED_VALUE"""),500.0)</f>
        <v>500</v>
      </c>
      <c r="F882" s="298">
        <f>IFERROR(__xludf.DUMMYFUNCTION("""COMPUTED_VALUE"""),0.0)</f>
        <v>0</v>
      </c>
      <c r="G882" s="298">
        <f>IFERROR(__xludf.DUMMYFUNCTION("""COMPUTED_VALUE"""),0.0)</f>
        <v>0</v>
      </c>
      <c r="H882" s="223">
        <f>IFERROR(__xludf.DUMMYFUNCTION("""COMPUTED_VALUE"""),500.0)</f>
        <v>500</v>
      </c>
      <c r="I882" s="298"/>
      <c r="J882" s="223" t="str">
        <f>IFERROR(__xludf.DUMMYFUNCTION("""COMPUTED_VALUE"""),"Monthly")</f>
        <v>Monthly</v>
      </c>
      <c r="K882" s="317">
        <f>IFERROR(__xludf.DUMMYFUNCTION("""COMPUTED_VALUE"""),2023.05)</f>
        <v>2023.05</v>
      </c>
      <c r="L882" s="298"/>
      <c r="M882" s="223"/>
      <c r="N882" s="223"/>
      <c r="O882" s="223"/>
      <c r="P882" s="223"/>
      <c r="Q882" s="223"/>
      <c r="R882" s="223"/>
      <c r="S882" s="223"/>
      <c r="T882" s="223"/>
      <c r="U882" s="223"/>
      <c r="V882" s="223"/>
      <c r="W882" s="223"/>
      <c r="X882" s="223"/>
      <c r="Y882" s="223"/>
      <c r="Z882" s="223"/>
    </row>
    <row r="883">
      <c r="A883" s="223" t="str">
        <f>IFERROR(__xludf.DUMMYFUNCTION("""COMPUTED_VALUE"""),"Ultimate Tools : Monthly SEO &amp; PPC Management")</f>
        <v>Ultimate Tools : Monthly SEO &amp; PPC Management</v>
      </c>
      <c r="B883" s="223" t="str">
        <f>IFERROR(__xludf.DUMMYFUNCTION("""COMPUTED_VALUE"""),"Ultimate Tools")</f>
        <v>Ultimate Tools</v>
      </c>
      <c r="C883" s="223" t="str">
        <f>IFERROR(__xludf.DUMMYFUNCTION("""COMPUTED_VALUE"""),"Monthly SEO &amp; PPC Management")</f>
        <v>Monthly SEO &amp; PPC Management</v>
      </c>
      <c r="D883" s="316">
        <f>IFERROR(__xludf.DUMMYFUNCTION("""COMPUTED_VALUE"""),45061.0)</f>
        <v>45061</v>
      </c>
      <c r="E883" s="298">
        <f>IFERROR(__xludf.DUMMYFUNCTION("""COMPUTED_VALUE"""),2500.0)</f>
        <v>2500</v>
      </c>
      <c r="F883" s="298">
        <f>IFERROR(__xludf.DUMMYFUNCTION("""COMPUTED_VALUE"""),0.0)</f>
        <v>0</v>
      </c>
      <c r="G883" s="298">
        <f>IFERROR(__xludf.DUMMYFUNCTION("""COMPUTED_VALUE"""),0.0)</f>
        <v>0</v>
      </c>
      <c r="H883" s="223">
        <f>IFERROR(__xludf.DUMMYFUNCTION("""COMPUTED_VALUE"""),2500.0)</f>
        <v>2500</v>
      </c>
      <c r="I883" s="298"/>
      <c r="J883" s="223" t="str">
        <f>IFERROR(__xludf.DUMMYFUNCTION("""COMPUTED_VALUE"""),"Monthly")</f>
        <v>Monthly</v>
      </c>
      <c r="K883" s="317">
        <f>IFERROR(__xludf.DUMMYFUNCTION("""COMPUTED_VALUE"""),2023.05)</f>
        <v>2023.05</v>
      </c>
      <c r="L883" s="298"/>
      <c r="M883" s="223"/>
      <c r="N883" s="223"/>
      <c r="O883" s="223"/>
      <c r="P883" s="223"/>
      <c r="Q883" s="223"/>
      <c r="R883" s="223"/>
      <c r="S883" s="223"/>
      <c r="T883" s="223"/>
      <c r="U883" s="223"/>
      <c r="V883" s="223"/>
      <c r="W883" s="223"/>
      <c r="X883" s="223"/>
      <c r="Y883" s="223"/>
      <c r="Z883" s="223"/>
    </row>
    <row r="884">
      <c r="A884" s="223" t="str">
        <f>IFERROR(__xludf.DUMMYFUNCTION("""COMPUTED_VALUE"""),"McAllister Marketing : Copernic PPC / SEO")</f>
        <v>McAllister Marketing : Copernic PPC / SEO</v>
      </c>
      <c r="B884" s="223" t="str">
        <f>IFERROR(__xludf.DUMMYFUNCTION("""COMPUTED_VALUE"""),"McAllister Marketing")</f>
        <v>McAllister Marketing</v>
      </c>
      <c r="C884" s="223" t="str">
        <f>IFERROR(__xludf.DUMMYFUNCTION("""COMPUTED_VALUE"""),"Copernic PPC / SEO")</f>
        <v>Copernic PPC / SEO</v>
      </c>
      <c r="D884" s="316">
        <f>IFERROR(__xludf.DUMMYFUNCTION("""COMPUTED_VALUE"""),45061.0)</f>
        <v>45061</v>
      </c>
      <c r="E884" s="298">
        <f>IFERROR(__xludf.DUMMYFUNCTION("""COMPUTED_VALUE"""),2000.0)</f>
        <v>2000</v>
      </c>
      <c r="F884" s="298">
        <f>IFERROR(__xludf.DUMMYFUNCTION("""COMPUTED_VALUE"""),0.0)</f>
        <v>0</v>
      </c>
      <c r="G884" s="298">
        <f>IFERROR(__xludf.DUMMYFUNCTION("""COMPUTED_VALUE"""),0.0)</f>
        <v>0</v>
      </c>
      <c r="H884" s="223">
        <f>IFERROR(__xludf.DUMMYFUNCTION("""COMPUTED_VALUE"""),2000.0)</f>
        <v>2000</v>
      </c>
      <c r="I884" s="298"/>
      <c r="J884" s="223" t="str">
        <f>IFERROR(__xludf.DUMMYFUNCTION("""COMPUTED_VALUE"""),"Monthly")</f>
        <v>Monthly</v>
      </c>
      <c r="K884" s="317">
        <f>IFERROR(__xludf.DUMMYFUNCTION("""COMPUTED_VALUE"""),2023.05)</f>
        <v>2023.05</v>
      </c>
      <c r="L884" s="298"/>
      <c r="M884" s="223"/>
      <c r="N884" s="223"/>
      <c r="O884" s="223"/>
      <c r="P884" s="223"/>
      <c r="Q884" s="223"/>
      <c r="R884" s="223"/>
      <c r="S884" s="223"/>
      <c r="T884" s="223"/>
      <c r="U884" s="223"/>
      <c r="V884" s="223"/>
      <c r="W884" s="223"/>
      <c r="X884" s="223"/>
      <c r="Y884" s="223"/>
      <c r="Z884" s="223"/>
    </row>
    <row r="885">
      <c r="A885" s="223" t="str">
        <f>IFERROR(__xludf.DUMMYFUNCTION("""COMPUTED_VALUE"""),"Terra Insights : Monthly PPC")</f>
        <v>Terra Insights : Monthly PPC</v>
      </c>
      <c r="B885" s="223" t="str">
        <f>IFERROR(__xludf.DUMMYFUNCTION("""COMPUTED_VALUE"""),"Terra Insights")</f>
        <v>Terra Insights</v>
      </c>
      <c r="C885" s="223" t="str">
        <f>IFERROR(__xludf.DUMMYFUNCTION("""COMPUTED_VALUE"""),"Monthly PPC")</f>
        <v>Monthly PPC</v>
      </c>
      <c r="D885" s="316">
        <f>IFERROR(__xludf.DUMMYFUNCTION("""COMPUTED_VALUE"""),45061.0)</f>
        <v>45061</v>
      </c>
      <c r="E885" s="298">
        <f>IFERROR(__xludf.DUMMYFUNCTION("""COMPUTED_VALUE"""),2000.0)</f>
        <v>2000</v>
      </c>
      <c r="F885" s="298">
        <f>IFERROR(__xludf.DUMMYFUNCTION("""COMPUTED_VALUE"""),62.22)</f>
        <v>62.22</v>
      </c>
      <c r="G885" s="298">
        <f>IFERROR(__xludf.DUMMYFUNCTION("""COMPUTED_VALUE"""),0.0)</f>
        <v>0</v>
      </c>
      <c r="H885" s="223">
        <f>IFERROR(__xludf.DUMMYFUNCTION("""COMPUTED_VALUE"""),1937.78)</f>
        <v>1937.78</v>
      </c>
      <c r="I885" s="298"/>
      <c r="J885" s="223" t="str">
        <f>IFERROR(__xludf.DUMMYFUNCTION("""COMPUTED_VALUE"""),"Monthly")</f>
        <v>Monthly</v>
      </c>
      <c r="K885" s="317">
        <f>IFERROR(__xludf.DUMMYFUNCTION("""COMPUTED_VALUE"""),2023.05)</f>
        <v>2023.05</v>
      </c>
      <c r="L885" s="298"/>
      <c r="M885" s="223"/>
      <c r="N885" s="223"/>
      <c r="O885" s="223"/>
      <c r="P885" s="223"/>
      <c r="Q885" s="223"/>
      <c r="R885" s="223"/>
      <c r="S885" s="223"/>
      <c r="T885" s="223"/>
      <c r="U885" s="223"/>
      <c r="V885" s="223"/>
      <c r="W885" s="223"/>
      <c r="X885" s="223"/>
      <c r="Y885" s="223"/>
      <c r="Z885" s="223"/>
    </row>
    <row r="886">
      <c r="A886" s="223" t="str">
        <f>IFERROR(__xludf.DUMMYFUNCTION("""COMPUTED_VALUE"""),"Markey Machine : General Support Retainer")</f>
        <v>Markey Machine : General Support Retainer</v>
      </c>
      <c r="B886" s="223" t="str">
        <f>IFERROR(__xludf.DUMMYFUNCTION("""COMPUTED_VALUE"""),"Markey Machine")</f>
        <v>Markey Machine</v>
      </c>
      <c r="C886" s="223" t="str">
        <f>IFERROR(__xludf.DUMMYFUNCTION("""COMPUTED_VALUE"""),"General Support Retainer")</f>
        <v>General Support Retainer</v>
      </c>
      <c r="D886" s="316">
        <f>IFERROR(__xludf.DUMMYFUNCTION("""COMPUTED_VALUE"""),45061.0)</f>
        <v>45061</v>
      </c>
      <c r="E886" s="298">
        <f>IFERROR(__xludf.DUMMYFUNCTION("""COMPUTED_VALUE"""),250.0)</f>
        <v>250</v>
      </c>
      <c r="F886" s="298"/>
      <c r="G886" s="298">
        <f>IFERROR(__xludf.DUMMYFUNCTION("""COMPUTED_VALUE"""),50.0)</f>
        <v>50</v>
      </c>
      <c r="H886" s="223">
        <f>IFERROR(__xludf.DUMMYFUNCTION("""COMPUTED_VALUE"""),200.0)</f>
        <v>200</v>
      </c>
      <c r="I886" s="298"/>
      <c r="J886" s="223" t="str">
        <f>IFERROR(__xludf.DUMMYFUNCTION("""COMPUTED_VALUE"""),"Monthly")</f>
        <v>Monthly</v>
      </c>
      <c r="K886" s="317">
        <f>IFERROR(__xludf.DUMMYFUNCTION("""COMPUTED_VALUE"""),2023.05)</f>
        <v>2023.05</v>
      </c>
      <c r="L886" s="298"/>
      <c r="M886" s="223"/>
      <c r="N886" s="223"/>
      <c r="O886" s="223"/>
      <c r="P886" s="223"/>
      <c r="Q886" s="223"/>
      <c r="R886" s="223"/>
      <c r="S886" s="223"/>
      <c r="T886" s="223"/>
      <c r="U886" s="223"/>
      <c r="V886" s="223"/>
      <c r="W886" s="223"/>
      <c r="X886" s="223"/>
      <c r="Y886" s="223"/>
      <c r="Z886" s="223"/>
    </row>
    <row r="887">
      <c r="A887" s="223" t="str">
        <f>IFERROR(__xludf.DUMMYFUNCTION("""COMPUTED_VALUE"""),"Microassist : 3 Month Initial PPC Project")</f>
        <v>Microassist : 3 Month Initial PPC Project</v>
      </c>
      <c r="B887" s="223" t="str">
        <f>IFERROR(__xludf.DUMMYFUNCTION("""COMPUTED_VALUE"""),"Microassist")</f>
        <v>Microassist</v>
      </c>
      <c r="C887" s="223" t="str">
        <f>IFERROR(__xludf.DUMMYFUNCTION("""COMPUTED_VALUE"""),"3 Month Initial PPC Project")</f>
        <v>3 Month Initial PPC Project</v>
      </c>
      <c r="D887" s="316">
        <f>IFERROR(__xludf.DUMMYFUNCTION("""COMPUTED_VALUE"""),45057.0)</f>
        <v>45057</v>
      </c>
      <c r="E887" s="298">
        <f>IFERROR(__xludf.DUMMYFUNCTION("""COMPUTED_VALUE"""),1409.1869000000002)</f>
        <v>1409.1869</v>
      </c>
      <c r="F887" s="298">
        <f>IFERROR(__xludf.DUMMYFUNCTION("""COMPUTED_VALUE"""),52.524239)</f>
        <v>52.524239</v>
      </c>
      <c r="G887" s="298">
        <f>IFERROR(__xludf.DUMMYFUNCTION("""COMPUTED_VALUE"""),0.0)</f>
        <v>0</v>
      </c>
      <c r="H887" s="223">
        <f>IFERROR(__xludf.DUMMYFUNCTION("""COMPUTED_VALUE"""),1356.662661)</f>
        <v>1356.662661</v>
      </c>
      <c r="I887" s="298"/>
      <c r="J887" s="223" t="str">
        <f>IFERROR(__xludf.DUMMYFUNCTION("""COMPUTED_VALUE"""),"Monthly")</f>
        <v>Monthly</v>
      </c>
      <c r="K887" s="317">
        <f>IFERROR(__xludf.DUMMYFUNCTION("""COMPUTED_VALUE"""),2023.05)</f>
        <v>2023.05</v>
      </c>
      <c r="L887" s="298"/>
      <c r="M887" s="223"/>
      <c r="N887" s="223"/>
      <c r="O887" s="223"/>
      <c r="P887" s="223"/>
      <c r="Q887" s="223"/>
      <c r="R887" s="223"/>
      <c r="S887" s="223"/>
      <c r="T887" s="223"/>
      <c r="U887" s="223"/>
      <c r="V887" s="223"/>
      <c r="W887" s="223"/>
      <c r="X887" s="223"/>
      <c r="Y887" s="223"/>
      <c r="Z887" s="223"/>
    </row>
    <row r="888">
      <c r="A888" s="223" t="str">
        <f>IFERROR(__xludf.DUMMYFUNCTION("""COMPUTED_VALUE"""),"Microassist : 3 Month Initial PPC Project")</f>
        <v>Microassist : 3 Month Initial PPC Project</v>
      </c>
      <c r="B888" s="223" t="str">
        <f>IFERROR(__xludf.DUMMYFUNCTION("""COMPUTED_VALUE"""),"Microassist")</f>
        <v>Microassist</v>
      </c>
      <c r="C888" s="223" t="str">
        <f>IFERROR(__xludf.DUMMYFUNCTION("""COMPUTED_VALUE"""),"3 Month Initial PPC Project")</f>
        <v>3 Month Initial PPC Project</v>
      </c>
      <c r="D888" s="316">
        <f>IFERROR(__xludf.DUMMYFUNCTION("""COMPUTED_VALUE"""),45092.0)</f>
        <v>45092</v>
      </c>
      <c r="E888" s="298">
        <f>IFERROR(__xludf.DUMMYFUNCTION("""COMPUTED_VALUE"""),1404.0653000000002)</f>
        <v>1404.0653</v>
      </c>
      <c r="F888" s="298">
        <f>IFERROR(__xludf.DUMMYFUNCTION("""COMPUTED_VALUE"""),52.333343000000006)</f>
        <v>52.333343</v>
      </c>
      <c r="G888" s="298">
        <f>IFERROR(__xludf.DUMMYFUNCTION("""COMPUTED_VALUE"""),0.0)</f>
        <v>0</v>
      </c>
      <c r="H888" s="223">
        <f>IFERROR(__xludf.DUMMYFUNCTION("""COMPUTED_VALUE"""),1351.7319570000002)</f>
        <v>1351.731957</v>
      </c>
      <c r="I888" s="298"/>
      <c r="J888" s="223" t="str">
        <f>IFERROR(__xludf.DUMMYFUNCTION("""COMPUTED_VALUE"""),"Monthly")</f>
        <v>Monthly</v>
      </c>
      <c r="K888" s="317">
        <f>IFERROR(__xludf.DUMMYFUNCTION("""COMPUTED_VALUE"""),2023.06)</f>
        <v>2023.06</v>
      </c>
      <c r="L888" s="298"/>
      <c r="M888" s="223"/>
      <c r="N888" s="223"/>
      <c r="O888" s="223"/>
      <c r="P888" s="223"/>
      <c r="Q888" s="223"/>
      <c r="R888" s="223"/>
      <c r="S888" s="223"/>
      <c r="T888" s="223"/>
      <c r="U888" s="223"/>
      <c r="V888" s="223"/>
      <c r="W888" s="223"/>
      <c r="X888" s="223"/>
      <c r="Y888" s="223"/>
      <c r="Z888" s="223"/>
    </row>
    <row r="889">
      <c r="A889" s="223" t="str">
        <f>IFERROR(__xludf.DUMMYFUNCTION("""COMPUTED_VALUE"""),"Microassist : 3 Month Initial PPC Project")</f>
        <v>Microassist : 3 Month Initial PPC Project</v>
      </c>
      <c r="B889" s="223" t="str">
        <f>IFERROR(__xludf.DUMMYFUNCTION("""COMPUTED_VALUE"""),"Microassist")</f>
        <v>Microassist</v>
      </c>
      <c r="C889" s="223" t="str">
        <f>IFERROR(__xludf.DUMMYFUNCTION("""COMPUTED_VALUE"""),"3 Month Initial PPC Project")</f>
        <v>3 Month Initial PPC Project</v>
      </c>
      <c r="D889" s="316">
        <f>IFERROR(__xludf.DUMMYFUNCTION("""COMPUTED_VALUE"""),45122.0)</f>
        <v>45122</v>
      </c>
      <c r="E889" s="298">
        <f>IFERROR(__xludf.DUMMYFUNCTION("""COMPUTED_VALUE"""),1441.6237)</f>
        <v>1441.6237</v>
      </c>
      <c r="F889" s="298">
        <f>IFERROR(__xludf.DUMMYFUNCTION("""COMPUTED_VALUE"""),53.733247)</f>
        <v>53.733247</v>
      </c>
      <c r="G889" s="298">
        <f>IFERROR(__xludf.DUMMYFUNCTION("""COMPUTED_VALUE"""),0.0)</f>
        <v>0</v>
      </c>
      <c r="H889" s="223">
        <f>IFERROR(__xludf.DUMMYFUNCTION("""COMPUTED_VALUE"""),1387.8904530000002)</f>
        <v>1387.890453</v>
      </c>
      <c r="I889" s="298"/>
      <c r="J889" s="223" t="str">
        <f>IFERROR(__xludf.DUMMYFUNCTION("""COMPUTED_VALUE"""),"Monthly")</f>
        <v>Monthly</v>
      </c>
      <c r="K889" s="317">
        <f>IFERROR(__xludf.DUMMYFUNCTION("""COMPUTED_VALUE"""),2023.07)</f>
        <v>2023.07</v>
      </c>
      <c r="L889" s="298"/>
      <c r="M889" s="223"/>
      <c r="N889" s="223"/>
      <c r="O889" s="223"/>
      <c r="P889" s="223"/>
      <c r="Q889" s="223"/>
      <c r="R889" s="223"/>
      <c r="S889" s="223"/>
      <c r="T889" s="223"/>
      <c r="U889" s="223"/>
      <c r="V889" s="223"/>
      <c r="W889" s="223"/>
      <c r="X889" s="223"/>
      <c r="Y889" s="223"/>
      <c r="Z889" s="223"/>
    </row>
    <row r="890">
      <c r="A890" s="223" t="str">
        <f>IFERROR(__xludf.DUMMYFUNCTION("""COMPUTED_VALUE"""),"Venetian : Monthly Services")</f>
        <v>Venetian : Monthly Services</v>
      </c>
      <c r="B890" s="223" t="str">
        <f>IFERROR(__xludf.DUMMYFUNCTION("""COMPUTED_VALUE"""),"Venetian")</f>
        <v>Venetian</v>
      </c>
      <c r="C890" s="223" t="str">
        <f>IFERROR(__xludf.DUMMYFUNCTION("""COMPUTED_VALUE"""),"Monthly Services")</f>
        <v>Monthly Services</v>
      </c>
      <c r="D890" s="316">
        <f>IFERROR(__xludf.DUMMYFUNCTION("""COMPUTED_VALUE"""),45077.0)</f>
        <v>45077</v>
      </c>
      <c r="E890" s="298">
        <f>IFERROR(__xludf.DUMMYFUNCTION("""COMPUTED_VALUE"""),4103.890015999999)</f>
        <v>4103.890016</v>
      </c>
      <c r="F890" s="298">
        <f>IFERROR(__xludf.DUMMYFUNCTION("""COMPUTED_VALUE"""),0.0)</f>
        <v>0</v>
      </c>
      <c r="G890" s="298">
        <f>IFERROR(__xludf.DUMMYFUNCTION("""COMPUTED_VALUE"""),0.0)</f>
        <v>0</v>
      </c>
      <c r="H890" s="223">
        <f>IFERROR(__xludf.DUMMYFUNCTION("""COMPUTED_VALUE"""),4103.890015999999)</f>
        <v>4103.890016</v>
      </c>
      <c r="I890" s="298"/>
      <c r="J890" s="223" t="str">
        <f>IFERROR(__xludf.DUMMYFUNCTION("""COMPUTED_VALUE"""),"Monthly")</f>
        <v>Monthly</v>
      </c>
      <c r="K890" s="317">
        <f>IFERROR(__xludf.DUMMYFUNCTION("""COMPUTED_VALUE"""),2023.05)</f>
        <v>2023.05</v>
      </c>
      <c r="L890" s="298"/>
      <c r="M890" s="223"/>
      <c r="N890" s="223"/>
      <c r="O890" s="223"/>
      <c r="P890" s="223"/>
      <c r="Q890" s="223"/>
      <c r="R890" s="223"/>
      <c r="S890" s="223"/>
      <c r="T890" s="223"/>
      <c r="U890" s="223"/>
      <c r="V890" s="223"/>
      <c r="W890" s="223"/>
      <c r="X890" s="223"/>
      <c r="Y890" s="223"/>
      <c r="Z890" s="223"/>
    </row>
    <row r="891">
      <c r="A891" s="223" t="str">
        <f>IFERROR(__xludf.DUMMYFUNCTION("""COMPUTED_VALUE"""),"Tuscany : Monthly Services")</f>
        <v>Tuscany : Monthly Services</v>
      </c>
      <c r="B891" s="223" t="str">
        <f>IFERROR(__xludf.DUMMYFUNCTION("""COMPUTED_VALUE"""),"Tuscany")</f>
        <v>Tuscany</v>
      </c>
      <c r="C891" s="223" t="str">
        <f>IFERROR(__xludf.DUMMYFUNCTION("""COMPUTED_VALUE"""),"Monthly Services")</f>
        <v>Monthly Services</v>
      </c>
      <c r="D891" s="316">
        <f>IFERROR(__xludf.DUMMYFUNCTION("""COMPUTED_VALUE"""),45077.0)</f>
        <v>45077</v>
      </c>
      <c r="E891" s="298">
        <f>IFERROR(__xludf.DUMMYFUNCTION("""COMPUTED_VALUE"""),4103.890015999999)</f>
        <v>4103.890016</v>
      </c>
      <c r="F891" s="298">
        <f>IFERROR(__xludf.DUMMYFUNCTION("""COMPUTED_VALUE"""),0.0)</f>
        <v>0</v>
      </c>
      <c r="G891" s="298">
        <f>IFERROR(__xludf.DUMMYFUNCTION("""COMPUTED_VALUE"""),0.0)</f>
        <v>0</v>
      </c>
      <c r="H891" s="223">
        <f>IFERROR(__xludf.DUMMYFUNCTION("""COMPUTED_VALUE"""),4103.890015999999)</f>
        <v>4103.890016</v>
      </c>
      <c r="I891" s="298"/>
      <c r="J891" s="223" t="str">
        <f>IFERROR(__xludf.DUMMYFUNCTION("""COMPUTED_VALUE"""),"Monthly")</f>
        <v>Monthly</v>
      </c>
      <c r="K891" s="317">
        <f>IFERROR(__xludf.DUMMYFUNCTION("""COMPUTED_VALUE"""),2023.05)</f>
        <v>2023.05</v>
      </c>
      <c r="L891" s="298"/>
      <c r="M891" s="223"/>
      <c r="N891" s="223"/>
      <c r="O891" s="223"/>
      <c r="P891" s="223"/>
      <c r="Q891" s="223"/>
      <c r="R891" s="223"/>
      <c r="S891" s="223"/>
      <c r="T891" s="223"/>
      <c r="U891" s="223"/>
      <c r="V891" s="223"/>
      <c r="W891" s="223"/>
      <c r="X891" s="223"/>
      <c r="Y891" s="223"/>
      <c r="Z891" s="223"/>
    </row>
    <row r="892">
      <c r="A892" s="223" t="str">
        <f>IFERROR(__xludf.DUMMYFUNCTION("""COMPUTED_VALUE"""),"Availed Technologies : Monthly Services")</f>
        <v>Availed Technologies : Monthly Services</v>
      </c>
      <c r="B892" s="223" t="str">
        <f>IFERROR(__xludf.DUMMYFUNCTION("""COMPUTED_VALUE"""),"Availed Technologies")</f>
        <v>Availed Technologies</v>
      </c>
      <c r="C892" s="223" t="str">
        <f>IFERROR(__xludf.DUMMYFUNCTION("""COMPUTED_VALUE"""),"Monthly Services")</f>
        <v>Monthly Services</v>
      </c>
      <c r="D892" s="316">
        <f>IFERROR(__xludf.DUMMYFUNCTION("""COMPUTED_VALUE"""),45077.0)</f>
        <v>45077</v>
      </c>
      <c r="E892" s="298">
        <f>IFERROR(__xludf.DUMMYFUNCTION("""COMPUTED_VALUE"""),350.0)</f>
        <v>350</v>
      </c>
      <c r="F892" s="298">
        <f>IFERROR(__xludf.DUMMYFUNCTION("""COMPUTED_VALUE"""),10.89)</f>
        <v>10.89</v>
      </c>
      <c r="G892" s="298">
        <f>IFERROR(__xludf.DUMMYFUNCTION("""COMPUTED_VALUE"""),0.0)</f>
        <v>0</v>
      </c>
      <c r="H892" s="223">
        <f>IFERROR(__xludf.DUMMYFUNCTION("""COMPUTED_VALUE"""),339.11)</f>
        <v>339.11</v>
      </c>
      <c r="I892" s="298"/>
      <c r="J892" s="223" t="str">
        <f>IFERROR(__xludf.DUMMYFUNCTION("""COMPUTED_VALUE"""),"Monthly")</f>
        <v>Monthly</v>
      </c>
      <c r="K892" s="317">
        <f>IFERROR(__xludf.DUMMYFUNCTION("""COMPUTED_VALUE"""),2023.05)</f>
        <v>2023.05</v>
      </c>
      <c r="L892" s="298"/>
      <c r="M892" s="223"/>
      <c r="N892" s="223"/>
      <c r="O892" s="223"/>
      <c r="P892" s="223"/>
      <c r="Q892" s="223"/>
      <c r="R892" s="223"/>
      <c r="S892" s="223"/>
      <c r="T892" s="223"/>
      <c r="U892" s="223"/>
      <c r="V892" s="223"/>
      <c r="W892" s="223"/>
      <c r="X892" s="223"/>
      <c r="Y892" s="223"/>
      <c r="Z892" s="223"/>
    </row>
    <row r="893">
      <c r="A893" s="223" t="str">
        <f>IFERROR(__xludf.DUMMYFUNCTION("""COMPUTED_VALUE"""),"PMDI : Monthly Services")</f>
        <v>PMDI : Monthly Services</v>
      </c>
      <c r="B893" s="223" t="str">
        <f>IFERROR(__xludf.DUMMYFUNCTION("""COMPUTED_VALUE"""),"PMDI")</f>
        <v>PMDI</v>
      </c>
      <c r="C893" s="223" t="str">
        <f>IFERROR(__xludf.DUMMYFUNCTION("""COMPUTED_VALUE"""),"Monthly Services")</f>
        <v>Monthly Services</v>
      </c>
      <c r="D893" s="316">
        <f>IFERROR(__xludf.DUMMYFUNCTION("""COMPUTED_VALUE"""),45077.0)</f>
        <v>45077</v>
      </c>
      <c r="E893" s="298">
        <f>IFERROR(__xludf.DUMMYFUNCTION("""COMPUTED_VALUE"""),762.5)</f>
        <v>762.5</v>
      </c>
      <c r="F893" s="298">
        <f>IFERROR(__xludf.DUMMYFUNCTION("""COMPUTED_VALUE"""),0.0)</f>
        <v>0</v>
      </c>
      <c r="G893" s="298">
        <f>IFERROR(__xludf.DUMMYFUNCTION("""COMPUTED_VALUE"""),0.0)</f>
        <v>0</v>
      </c>
      <c r="H893" s="223">
        <f>IFERROR(__xludf.DUMMYFUNCTION("""COMPUTED_VALUE"""),762.5)</f>
        <v>762.5</v>
      </c>
      <c r="I893" s="298"/>
      <c r="J893" s="223" t="str">
        <f>IFERROR(__xludf.DUMMYFUNCTION("""COMPUTED_VALUE"""),"Monthly")</f>
        <v>Monthly</v>
      </c>
      <c r="K893" s="317">
        <f>IFERROR(__xludf.DUMMYFUNCTION("""COMPUTED_VALUE"""),2023.05)</f>
        <v>2023.05</v>
      </c>
      <c r="L893" s="298"/>
      <c r="M893" s="223"/>
      <c r="N893" s="223"/>
      <c r="O893" s="223"/>
      <c r="P893" s="223"/>
      <c r="Q893" s="223"/>
      <c r="R893" s="223"/>
      <c r="S893" s="223"/>
      <c r="T893" s="223"/>
      <c r="U893" s="223"/>
      <c r="V893" s="223"/>
      <c r="W893" s="223"/>
      <c r="X893" s="223"/>
      <c r="Y893" s="223"/>
      <c r="Z893" s="223"/>
    </row>
    <row r="894">
      <c r="A894" s="223" t="str">
        <f>IFERROR(__xludf.DUMMYFUNCTION("""COMPUTED_VALUE"""),"Tugwell : Bi-monthly PPC Mgmt")</f>
        <v>Tugwell : Bi-monthly PPC Mgmt</v>
      </c>
      <c r="B894" s="223" t="str">
        <f>IFERROR(__xludf.DUMMYFUNCTION("""COMPUTED_VALUE"""),"Tugwell")</f>
        <v>Tugwell</v>
      </c>
      <c r="C894" s="223" t="str">
        <f>IFERROR(__xludf.DUMMYFUNCTION("""COMPUTED_VALUE"""),"Bi-monthly PPC Mgmt")</f>
        <v>Bi-monthly PPC Mgmt</v>
      </c>
      <c r="D894" s="316">
        <f>IFERROR(__xludf.DUMMYFUNCTION("""COMPUTED_VALUE"""),45077.0)</f>
        <v>45077</v>
      </c>
      <c r="E894" s="298">
        <f>IFERROR(__xludf.DUMMYFUNCTION("""COMPUTED_VALUE"""),400.0)</f>
        <v>400</v>
      </c>
      <c r="F894" s="298">
        <f>IFERROR(__xludf.DUMMYFUNCTION("""COMPUTED_VALUE"""),12.44)</f>
        <v>12.44</v>
      </c>
      <c r="G894" s="298">
        <f>IFERROR(__xludf.DUMMYFUNCTION("""COMPUTED_VALUE"""),0.0)</f>
        <v>0</v>
      </c>
      <c r="H894" s="223">
        <f>IFERROR(__xludf.DUMMYFUNCTION("""COMPUTED_VALUE"""),387.56)</f>
        <v>387.56</v>
      </c>
      <c r="I894" s="298"/>
      <c r="J894" s="223" t="str">
        <f>IFERROR(__xludf.DUMMYFUNCTION("""COMPUTED_VALUE"""),"Monthly")</f>
        <v>Monthly</v>
      </c>
      <c r="K894" s="317">
        <f>IFERROR(__xludf.DUMMYFUNCTION("""COMPUTED_VALUE"""),2023.05)</f>
        <v>2023.05</v>
      </c>
      <c r="L894" s="298"/>
      <c r="M894" s="223"/>
      <c r="N894" s="223"/>
      <c r="O894" s="223"/>
      <c r="P894" s="223"/>
      <c r="Q894" s="223"/>
      <c r="R894" s="223"/>
      <c r="S894" s="223"/>
      <c r="T894" s="223"/>
      <c r="U894" s="223"/>
      <c r="V894" s="223"/>
      <c r="W894" s="223"/>
      <c r="X894" s="223"/>
      <c r="Y894" s="223"/>
      <c r="Z894" s="223"/>
    </row>
    <row r="895">
      <c r="A895" s="223" t="str">
        <f>IFERROR(__xludf.DUMMYFUNCTION("""COMPUTED_VALUE"""),"The Sands : 10 Hour General Support Block")</f>
        <v>The Sands : 10 Hour General Support Block</v>
      </c>
      <c r="B895" s="223" t="str">
        <f>IFERROR(__xludf.DUMMYFUNCTION("""COMPUTED_VALUE"""),"The Sands")</f>
        <v>The Sands</v>
      </c>
      <c r="C895" s="223" t="str">
        <f>IFERROR(__xludf.DUMMYFUNCTION("""COMPUTED_VALUE"""),"10 Hour General Support Block")</f>
        <v>10 Hour General Support Block</v>
      </c>
      <c r="D895" s="316">
        <f>IFERROR(__xludf.DUMMYFUNCTION("""COMPUTED_VALUE"""),45077.0)</f>
        <v>45077</v>
      </c>
      <c r="E895" s="298">
        <f>IFERROR(__xludf.DUMMYFUNCTION("""COMPUTED_VALUE"""),1257.07302015)</f>
        <v>1257.07302</v>
      </c>
      <c r="F895" s="298">
        <f>IFERROR(__xludf.DUMMYFUNCTION("""COMPUTED_VALUE"""),0.0)</f>
        <v>0</v>
      </c>
      <c r="G895" s="298">
        <f>IFERROR(__xludf.DUMMYFUNCTION("""COMPUTED_VALUE"""),0.0)</f>
        <v>0</v>
      </c>
      <c r="H895" s="223">
        <f>IFERROR(__xludf.DUMMYFUNCTION("""COMPUTED_VALUE"""),1257.07302015)</f>
        <v>1257.07302</v>
      </c>
      <c r="I895" s="298"/>
      <c r="J895" s="223" t="str">
        <f>IFERROR(__xludf.DUMMYFUNCTION("""COMPUTED_VALUE"""),"Monthly")</f>
        <v>Monthly</v>
      </c>
      <c r="K895" s="317">
        <f>IFERROR(__xludf.DUMMYFUNCTION("""COMPUTED_VALUE"""),2023.05)</f>
        <v>2023.05</v>
      </c>
      <c r="L895" s="298"/>
      <c r="M895" s="223"/>
      <c r="N895" s="223"/>
      <c r="O895" s="223"/>
      <c r="P895" s="223"/>
      <c r="Q895" s="223"/>
      <c r="R895" s="223"/>
      <c r="S895" s="223"/>
      <c r="T895" s="223"/>
      <c r="U895" s="223"/>
      <c r="V895" s="223"/>
      <c r="W895" s="223"/>
      <c r="X895" s="223"/>
      <c r="Y895" s="223"/>
      <c r="Z895" s="223"/>
    </row>
    <row r="896">
      <c r="A896" s="223" t="str">
        <f>IFERROR(__xludf.DUMMYFUNCTION("""COMPUTED_VALUE"""),"The Palms : 10 Hour General Support Block")</f>
        <v>The Palms : 10 Hour General Support Block</v>
      </c>
      <c r="B896" s="223" t="str">
        <f>IFERROR(__xludf.DUMMYFUNCTION("""COMPUTED_VALUE"""),"The Palms")</f>
        <v>The Palms</v>
      </c>
      <c r="C896" s="223" t="str">
        <f>IFERROR(__xludf.DUMMYFUNCTION("""COMPUTED_VALUE"""),"10 Hour General Support Block")</f>
        <v>10 Hour General Support Block</v>
      </c>
      <c r="D896" s="316">
        <f>IFERROR(__xludf.DUMMYFUNCTION("""COMPUTED_VALUE"""),45077.0)</f>
        <v>45077</v>
      </c>
      <c r="E896" s="298">
        <f>IFERROR(__xludf.DUMMYFUNCTION("""COMPUTED_VALUE"""),1261.620000005)</f>
        <v>1261.62</v>
      </c>
      <c r="F896" s="298">
        <f>IFERROR(__xludf.DUMMYFUNCTION("""COMPUTED_VALUE"""),0.0)</f>
        <v>0</v>
      </c>
      <c r="G896" s="298">
        <f>IFERROR(__xludf.DUMMYFUNCTION("""COMPUTED_VALUE"""),0.0)</f>
        <v>0</v>
      </c>
      <c r="H896" s="223">
        <f>IFERROR(__xludf.DUMMYFUNCTION("""COMPUTED_VALUE"""),1261.620000005)</f>
        <v>1261.62</v>
      </c>
      <c r="I896" s="298"/>
      <c r="J896" s="223" t="str">
        <f>IFERROR(__xludf.DUMMYFUNCTION("""COMPUTED_VALUE"""),"Monthly")</f>
        <v>Monthly</v>
      </c>
      <c r="K896" s="317">
        <f>IFERROR(__xludf.DUMMYFUNCTION("""COMPUTED_VALUE"""),2023.05)</f>
        <v>2023.05</v>
      </c>
      <c r="L896" s="298"/>
      <c r="M896" s="223"/>
      <c r="N896" s="223"/>
      <c r="O896" s="223"/>
      <c r="P896" s="223"/>
      <c r="Q896" s="223"/>
      <c r="R896" s="223"/>
      <c r="S896" s="223"/>
      <c r="T896" s="223"/>
      <c r="U896" s="223"/>
      <c r="V896" s="223"/>
      <c r="W896" s="223"/>
      <c r="X896" s="223"/>
      <c r="Y896" s="223"/>
      <c r="Z896" s="223"/>
    </row>
    <row r="897">
      <c r="A897" s="223" t="str">
        <f>IFERROR(__xludf.DUMMYFUNCTION("""COMPUTED_VALUE"""),"The Shore Club : 10 Hour General Support Block")</f>
        <v>The Shore Club : 10 Hour General Support Block</v>
      </c>
      <c r="B897" s="223" t="str">
        <f>IFERROR(__xludf.DUMMYFUNCTION("""COMPUTED_VALUE"""),"The Shore Club")</f>
        <v>The Shore Club</v>
      </c>
      <c r="C897" s="223" t="str">
        <f>IFERROR(__xludf.DUMMYFUNCTION("""COMPUTED_VALUE"""),"10 Hour General Support Block")</f>
        <v>10 Hour General Support Block</v>
      </c>
      <c r="D897" s="316">
        <f>IFERROR(__xludf.DUMMYFUNCTION("""COMPUTED_VALUE"""),45077.0)</f>
        <v>45077</v>
      </c>
      <c r="E897" s="298">
        <f>IFERROR(__xludf.DUMMYFUNCTION("""COMPUTED_VALUE"""),1278.0774999999999)</f>
        <v>1278.0775</v>
      </c>
      <c r="F897" s="298">
        <f>IFERROR(__xludf.DUMMYFUNCTION("""COMPUTED_VALUE"""),0.0)</f>
        <v>0</v>
      </c>
      <c r="G897" s="298">
        <f>IFERROR(__xludf.DUMMYFUNCTION("""COMPUTED_VALUE"""),0.0)</f>
        <v>0</v>
      </c>
      <c r="H897" s="223">
        <f>IFERROR(__xludf.DUMMYFUNCTION("""COMPUTED_VALUE"""),1278.0774999999999)</f>
        <v>1278.0775</v>
      </c>
      <c r="I897" s="298"/>
      <c r="J897" s="223" t="str">
        <f>IFERROR(__xludf.DUMMYFUNCTION("""COMPUTED_VALUE"""),"Monthly")</f>
        <v>Monthly</v>
      </c>
      <c r="K897" s="317">
        <f>IFERROR(__xludf.DUMMYFUNCTION("""COMPUTED_VALUE"""),2023.05)</f>
        <v>2023.05</v>
      </c>
      <c r="L897" s="298"/>
      <c r="M897" s="223"/>
      <c r="N897" s="223"/>
      <c r="O897" s="223"/>
      <c r="P897" s="223"/>
      <c r="Q897" s="223"/>
      <c r="R897" s="223"/>
      <c r="S897" s="223"/>
      <c r="T897" s="223"/>
      <c r="U897" s="223"/>
      <c r="V897" s="223"/>
      <c r="W897" s="223"/>
      <c r="X897" s="223"/>
      <c r="Y897" s="223"/>
      <c r="Z897" s="223"/>
    </row>
    <row r="898">
      <c r="A898" s="223" t="str">
        <f>IFERROR(__xludf.DUMMYFUNCTION("""COMPUTED_VALUE"""),"The Sands : Email Blast")</f>
        <v>The Sands : Email Blast</v>
      </c>
      <c r="B898" s="223" t="str">
        <f>IFERROR(__xludf.DUMMYFUNCTION("""COMPUTED_VALUE"""),"The Sands")</f>
        <v>The Sands</v>
      </c>
      <c r="C898" s="223" t="str">
        <f>IFERROR(__xludf.DUMMYFUNCTION("""COMPUTED_VALUE"""),"Email Blast")</f>
        <v>Email Blast</v>
      </c>
      <c r="D898" s="316">
        <f>IFERROR(__xludf.DUMMYFUNCTION("""COMPUTED_VALUE"""),45077.0)</f>
        <v>45077</v>
      </c>
      <c r="E898" s="298">
        <f>IFERROR(__xludf.DUMMYFUNCTION("""COMPUTED_VALUE"""),379.016991)</f>
        <v>379.016991</v>
      </c>
      <c r="F898" s="298">
        <f>IFERROR(__xludf.DUMMYFUNCTION("""COMPUTED_VALUE"""),0.0)</f>
        <v>0</v>
      </c>
      <c r="G898" s="298">
        <f>IFERROR(__xludf.DUMMYFUNCTION("""COMPUTED_VALUE"""),0.0)</f>
        <v>0</v>
      </c>
      <c r="H898" s="223">
        <f>IFERROR(__xludf.DUMMYFUNCTION("""COMPUTED_VALUE"""),379.016991)</f>
        <v>379.016991</v>
      </c>
      <c r="I898" s="298"/>
      <c r="J898" s="223" t="str">
        <f>IFERROR(__xludf.DUMMYFUNCTION("""COMPUTED_VALUE"""),"One-Time")</f>
        <v>One-Time</v>
      </c>
      <c r="K898" s="317">
        <f>IFERROR(__xludf.DUMMYFUNCTION("""COMPUTED_VALUE"""),2023.0)</f>
        <v>2023</v>
      </c>
      <c r="L898" s="298"/>
      <c r="M898" s="223"/>
      <c r="N898" s="223"/>
      <c r="O898" s="223"/>
      <c r="P898" s="223"/>
      <c r="Q898" s="223"/>
      <c r="R898" s="223"/>
      <c r="S898" s="223"/>
      <c r="T898" s="223"/>
      <c r="U898" s="223"/>
      <c r="V898" s="223"/>
      <c r="W898" s="223"/>
      <c r="X898" s="223"/>
      <c r="Y898" s="223"/>
      <c r="Z898" s="223"/>
    </row>
    <row r="899">
      <c r="A899" s="223" t="str">
        <f>IFERROR(__xludf.DUMMYFUNCTION("""COMPUTED_VALUE"""),"McAllister Marketing : Copernic PPC / SEO")</f>
        <v>McAllister Marketing : Copernic PPC / SEO</v>
      </c>
      <c r="B899" s="223" t="str">
        <f>IFERROR(__xludf.DUMMYFUNCTION("""COMPUTED_VALUE"""),"McAllister Marketing")</f>
        <v>McAllister Marketing</v>
      </c>
      <c r="C899" s="223" t="str">
        <f>IFERROR(__xludf.DUMMYFUNCTION("""COMPUTED_VALUE"""),"Copernic PPC / SEO")</f>
        <v>Copernic PPC / SEO</v>
      </c>
      <c r="D899" s="316">
        <f>IFERROR(__xludf.DUMMYFUNCTION("""COMPUTED_VALUE"""),45092.0)</f>
        <v>45092</v>
      </c>
      <c r="E899" s="298">
        <f>IFERROR(__xludf.DUMMYFUNCTION("""COMPUTED_VALUE"""),2000.0)</f>
        <v>2000</v>
      </c>
      <c r="F899" s="298">
        <f>IFERROR(__xludf.DUMMYFUNCTION("""COMPUTED_VALUE"""),0.0)</f>
        <v>0</v>
      </c>
      <c r="G899" s="298">
        <f>IFERROR(__xludf.DUMMYFUNCTION("""COMPUTED_VALUE"""),0.0)</f>
        <v>0</v>
      </c>
      <c r="H899" s="223">
        <f>IFERROR(__xludf.DUMMYFUNCTION("""COMPUTED_VALUE"""),2000.0)</f>
        <v>2000</v>
      </c>
      <c r="I899" s="298"/>
      <c r="J899" s="223" t="str">
        <f>IFERROR(__xludf.DUMMYFUNCTION("""COMPUTED_VALUE"""),"Monthly")</f>
        <v>Monthly</v>
      </c>
      <c r="K899" s="317">
        <f>IFERROR(__xludf.DUMMYFUNCTION("""COMPUTED_VALUE"""),2023.06)</f>
        <v>2023.06</v>
      </c>
      <c r="L899" s="298"/>
      <c r="M899" s="223"/>
      <c r="N899" s="223"/>
      <c r="O899" s="223"/>
      <c r="P899" s="223"/>
      <c r="Q899" s="223"/>
      <c r="R899" s="223"/>
      <c r="S899" s="223"/>
      <c r="T899" s="223"/>
      <c r="U899" s="223"/>
      <c r="V899" s="223"/>
      <c r="W899" s="223"/>
      <c r="X899" s="223"/>
      <c r="Y899" s="223"/>
      <c r="Z899" s="223"/>
    </row>
    <row r="900">
      <c r="A900" s="223" t="str">
        <f>IFERROR(__xludf.DUMMYFUNCTION("""COMPUTED_VALUE"""),"Moloco : Monthly PPC")</f>
        <v>Moloco : Monthly PPC</v>
      </c>
      <c r="B900" s="223" t="str">
        <f>IFERROR(__xludf.DUMMYFUNCTION("""COMPUTED_VALUE"""),"Moloco")</f>
        <v>Moloco</v>
      </c>
      <c r="C900" s="223" t="str">
        <f>IFERROR(__xludf.DUMMYFUNCTION("""COMPUTED_VALUE"""),"Monthly PPC")</f>
        <v>Monthly PPC</v>
      </c>
      <c r="D900" s="316">
        <f>IFERROR(__xludf.DUMMYFUNCTION("""COMPUTED_VALUE"""),45077.0)</f>
        <v>45077</v>
      </c>
      <c r="E900" s="298">
        <f>IFERROR(__xludf.DUMMYFUNCTION("""COMPUTED_VALUE"""),1250.19905)</f>
        <v>1250.19905</v>
      </c>
      <c r="F900" s="298">
        <f>IFERROR(__xludf.DUMMYFUNCTION("""COMPUTED_VALUE"""),46.65216455)</f>
        <v>46.65216455</v>
      </c>
      <c r="G900" s="298">
        <f>IFERROR(__xludf.DUMMYFUNCTION("""COMPUTED_VALUE"""),0.0)</f>
        <v>0</v>
      </c>
      <c r="H900" s="223">
        <f>IFERROR(__xludf.DUMMYFUNCTION("""COMPUTED_VALUE"""),1203.54688545)</f>
        <v>1203.546885</v>
      </c>
      <c r="I900" s="298"/>
      <c r="J900" s="223" t="str">
        <f>IFERROR(__xludf.DUMMYFUNCTION("""COMPUTED_VALUE"""),"Monthly")</f>
        <v>Monthly</v>
      </c>
      <c r="K900" s="317">
        <f>IFERROR(__xludf.DUMMYFUNCTION("""COMPUTED_VALUE"""),2023.05)</f>
        <v>2023.05</v>
      </c>
      <c r="L900" s="298"/>
      <c r="M900" s="223"/>
      <c r="N900" s="223"/>
      <c r="O900" s="223"/>
      <c r="P900" s="223"/>
      <c r="Q900" s="223"/>
      <c r="R900" s="223"/>
      <c r="S900" s="223"/>
      <c r="T900" s="223"/>
      <c r="U900" s="223"/>
      <c r="V900" s="223"/>
      <c r="W900" s="223"/>
      <c r="X900" s="223"/>
      <c r="Y900" s="223"/>
      <c r="Z900" s="223"/>
    </row>
    <row r="901">
      <c r="A901" s="223" t="str">
        <f>IFERROR(__xludf.DUMMYFUNCTION("""COMPUTED_VALUE"""),"The Academy : GA4 Upgrade")</f>
        <v>The Academy : GA4 Upgrade</v>
      </c>
      <c r="B901" s="223" t="str">
        <f>IFERROR(__xludf.DUMMYFUNCTION("""COMPUTED_VALUE"""),"The Academy")</f>
        <v>The Academy</v>
      </c>
      <c r="C901" s="223" t="str">
        <f>IFERROR(__xludf.DUMMYFUNCTION("""COMPUTED_VALUE"""),"GA4 Upgrade")</f>
        <v>GA4 Upgrade</v>
      </c>
      <c r="D901" s="316">
        <f>IFERROR(__xludf.DUMMYFUNCTION("""COMPUTED_VALUE"""),45077.0)</f>
        <v>45077</v>
      </c>
      <c r="E901" s="298">
        <f>IFERROR(__xludf.DUMMYFUNCTION("""COMPUTED_VALUE"""),624.59173)</f>
        <v>624.59173</v>
      </c>
      <c r="F901" s="298">
        <f>IFERROR(__xludf.DUMMYFUNCTION("""COMPUTED_VALUE"""),23.49229711)</f>
        <v>23.49229711</v>
      </c>
      <c r="G901" s="298">
        <f>IFERROR(__xludf.DUMMYFUNCTION("""COMPUTED_VALUE"""),0.0)</f>
        <v>0</v>
      </c>
      <c r="H901" s="223">
        <f>IFERROR(__xludf.DUMMYFUNCTION("""COMPUTED_VALUE"""),601.09943289)</f>
        <v>601.0994329</v>
      </c>
      <c r="I901" s="298"/>
      <c r="J901" s="223" t="str">
        <f>IFERROR(__xludf.DUMMYFUNCTION("""COMPUTED_VALUE"""),"Monthly")</f>
        <v>Monthly</v>
      </c>
      <c r="K901" s="317">
        <f>IFERROR(__xludf.DUMMYFUNCTION("""COMPUTED_VALUE"""),2023.05)</f>
        <v>2023.05</v>
      </c>
      <c r="L901" s="298"/>
      <c r="M901" s="223"/>
      <c r="N901" s="223"/>
      <c r="O901" s="223"/>
      <c r="P901" s="223"/>
      <c r="Q901" s="223"/>
      <c r="R901" s="223"/>
      <c r="S901" s="223"/>
      <c r="T901" s="223"/>
      <c r="U901" s="223"/>
      <c r="V901" s="223"/>
      <c r="W901" s="223"/>
      <c r="X901" s="223"/>
      <c r="Y901" s="223"/>
      <c r="Z901" s="223"/>
    </row>
    <row r="902">
      <c r="A902" s="223" t="str">
        <f>IFERROR(__xludf.DUMMYFUNCTION("""COMPUTED_VALUE"""),"Community Financials : Monthly Services")</f>
        <v>Community Financials : Monthly Services</v>
      </c>
      <c r="B902" s="223" t="str">
        <f>IFERROR(__xludf.DUMMYFUNCTION("""COMPUTED_VALUE"""),"Community Financials")</f>
        <v>Community Financials</v>
      </c>
      <c r="C902" s="223" t="str">
        <f>IFERROR(__xludf.DUMMYFUNCTION("""COMPUTED_VALUE"""),"Monthly Services")</f>
        <v>Monthly Services</v>
      </c>
      <c r="D902" s="316">
        <f>IFERROR(__xludf.DUMMYFUNCTION("""COMPUTED_VALUE"""),45077.0)</f>
        <v>45077</v>
      </c>
      <c r="E902" s="298">
        <f>IFERROR(__xludf.DUMMYFUNCTION("""COMPUTED_VALUE"""),2305.4184)</f>
        <v>2305.4184</v>
      </c>
      <c r="F902" s="298">
        <f>IFERROR(__xludf.DUMMYFUNCTION("""COMPUTED_VALUE"""),85.68471720000001)</f>
        <v>85.6847172</v>
      </c>
      <c r="G902" s="298">
        <f>IFERROR(__xludf.DUMMYFUNCTION("""COMPUTED_VALUE"""),443.9467365600001)</f>
        <v>443.9467366</v>
      </c>
      <c r="H902" s="223">
        <f>IFERROR(__xludf.DUMMYFUNCTION("""COMPUTED_VALUE"""),1775.7869462400001)</f>
        <v>1775.786946</v>
      </c>
      <c r="I902" s="298"/>
      <c r="J902" s="223" t="str">
        <f>IFERROR(__xludf.DUMMYFUNCTION("""COMPUTED_VALUE"""),"Monthly")</f>
        <v>Monthly</v>
      </c>
      <c r="K902" s="317">
        <f>IFERROR(__xludf.DUMMYFUNCTION("""COMPUTED_VALUE"""),2023.05)</f>
        <v>2023.05</v>
      </c>
      <c r="L902" s="298"/>
      <c r="M902" s="223"/>
      <c r="N902" s="223"/>
      <c r="O902" s="223"/>
      <c r="P902" s="223"/>
      <c r="Q902" s="223"/>
      <c r="R902" s="223"/>
      <c r="S902" s="223"/>
      <c r="T902" s="223"/>
      <c r="U902" s="223"/>
      <c r="V902" s="223"/>
      <c r="W902" s="223"/>
      <c r="X902" s="223"/>
      <c r="Y902" s="223"/>
      <c r="Z902" s="223"/>
    </row>
    <row r="903">
      <c r="A903" s="223" t="str">
        <f>IFERROR(__xludf.DUMMYFUNCTION("""COMPUTED_VALUE"""),"McAllister Marketing : GA4 Upgrades")</f>
        <v>McAllister Marketing : GA4 Upgrades</v>
      </c>
      <c r="B903" s="223" t="str">
        <f>IFERROR(__xludf.DUMMYFUNCTION("""COMPUTED_VALUE"""),"McAllister Marketing")</f>
        <v>McAllister Marketing</v>
      </c>
      <c r="C903" s="223" t="str">
        <f>IFERROR(__xludf.DUMMYFUNCTION("""COMPUTED_VALUE"""),"GA4 Upgrades")</f>
        <v>GA4 Upgrades</v>
      </c>
      <c r="D903" s="316">
        <f>IFERROR(__xludf.DUMMYFUNCTION("""COMPUTED_VALUE"""),45107.0)</f>
        <v>45107</v>
      </c>
      <c r="E903" s="298">
        <f>IFERROR(__xludf.DUMMYFUNCTION("""COMPUTED_VALUE"""),1000.0)</f>
        <v>1000</v>
      </c>
      <c r="F903" s="298">
        <f>IFERROR(__xludf.DUMMYFUNCTION("""COMPUTED_VALUE"""),0.0)</f>
        <v>0</v>
      </c>
      <c r="G903" s="298">
        <f>IFERROR(__xludf.DUMMYFUNCTION("""COMPUTED_VALUE"""),0.0)</f>
        <v>0</v>
      </c>
      <c r="H903" s="223">
        <f>IFERROR(__xludf.DUMMYFUNCTION("""COMPUTED_VALUE"""),1000.0)</f>
        <v>1000</v>
      </c>
      <c r="I903" s="298"/>
      <c r="J903" s="223" t="str">
        <f>IFERROR(__xludf.DUMMYFUNCTION("""COMPUTED_VALUE"""),"One-Time")</f>
        <v>One-Time</v>
      </c>
      <c r="K903" s="317">
        <f>IFERROR(__xludf.DUMMYFUNCTION("""COMPUTED_VALUE"""),2023.0)</f>
        <v>2023</v>
      </c>
      <c r="L903" s="298"/>
      <c r="M903" s="223"/>
      <c r="N903" s="223"/>
      <c r="O903" s="223"/>
      <c r="P903" s="223"/>
      <c r="Q903" s="223"/>
      <c r="R903" s="223"/>
      <c r="S903" s="223"/>
      <c r="T903" s="223"/>
      <c r="U903" s="223"/>
      <c r="V903" s="223"/>
      <c r="W903" s="223"/>
      <c r="X903" s="223"/>
      <c r="Y903" s="223"/>
      <c r="Z903" s="223"/>
    </row>
    <row r="904">
      <c r="A904" s="223" t="str">
        <f>IFERROR(__xludf.DUMMYFUNCTION("""COMPUTED_VALUE"""),"Ergo Eco : Grant Project")</f>
        <v>Ergo Eco : Grant Project</v>
      </c>
      <c r="B904" s="223" t="str">
        <f>IFERROR(__xludf.DUMMYFUNCTION("""COMPUTED_VALUE"""),"Ergo Eco")</f>
        <v>Ergo Eco</v>
      </c>
      <c r="C904" s="223" t="str">
        <f>IFERROR(__xludf.DUMMYFUNCTION("""COMPUTED_VALUE"""),"Grant Project")</f>
        <v>Grant Project</v>
      </c>
      <c r="D904" s="316">
        <f>IFERROR(__xludf.DUMMYFUNCTION("""COMPUTED_VALUE"""),45092.0)</f>
        <v>45092</v>
      </c>
      <c r="E904" s="298">
        <f>IFERROR(__xludf.DUMMYFUNCTION("""COMPUTED_VALUE"""),1200.0)</f>
        <v>1200</v>
      </c>
      <c r="F904" s="298">
        <f>IFERROR(__xludf.DUMMYFUNCTION("""COMPUTED_VALUE"""),37.33)</f>
        <v>37.33</v>
      </c>
      <c r="G904" s="298">
        <f>IFERROR(__xludf.DUMMYFUNCTION("""COMPUTED_VALUE"""),0.0)</f>
        <v>0</v>
      </c>
      <c r="H904" s="223">
        <f>IFERROR(__xludf.DUMMYFUNCTION("""COMPUTED_VALUE"""),1162.67)</f>
        <v>1162.67</v>
      </c>
      <c r="I904" s="298"/>
      <c r="J904" s="223" t="str">
        <f>IFERROR(__xludf.DUMMYFUNCTION("""COMPUTED_VALUE"""),"One-Time")</f>
        <v>One-Time</v>
      </c>
      <c r="K904" s="317">
        <f>IFERROR(__xludf.DUMMYFUNCTION("""COMPUTED_VALUE"""),2023.0)</f>
        <v>2023</v>
      </c>
      <c r="L904" s="298"/>
      <c r="M904" s="223"/>
      <c r="N904" s="223"/>
      <c r="O904" s="223"/>
      <c r="P904" s="223"/>
      <c r="Q904" s="223"/>
      <c r="R904" s="223"/>
      <c r="S904" s="223"/>
      <c r="T904" s="223"/>
      <c r="U904" s="223"/>
      <c r="V904" s="223"/>
      <c r="W904" s="223"/>
      <c r="X904" s="223"/>
      <c r="Y904" s="223"/>
      <c r="Z904" s="223"/>
    </row>
    <row r="905">
      <c r="A905" s="223" t="str">
        <f>IFERROR(__xludf.DUMMYFUNCTION("""COMPUTED_VALUE"""),"Ergo Eco : Grant Project")</f>
        <v>Ergo Eco : Grant Project</v>
      </c>
      <c r="B905" s="223" t="str">
        <f>IFERROR(__xludf.DUMMYFUNCTION("""COMPUTED_VALUE"""),"Ergo Eco")</f>
        <v>Ergo Eco</v>
      </c>
      <c r="C905" s="223" t="str">
        <f>IFERROR(__xludf.DUMMYFUNCTION("""COMPUTED_VALUE"""),"Grant Project")</f>
        <v>Grant Project</v>
      </c>
      <c r="D905" s="316">
        <f>IFERROR(__xludf.DUMMYFUNCTION("""COMPUTED_VALUE"""),45138.0)</f>
        <v>45138</v>
      </c>
      <c r="E905" s="298">
        <f>IFERROR(__xludf.DUMMYFUNCTION("""COMPUTED_VALUE"""),1200.0)</f>
        <v>1200</v>
      </c>
      <c r="F905" s="298">
        <f>IFERROR(__xludf.DUMMYFUNCTION("""COMPUTED_VALUE"""),37.33)</f>
        <v>37.33</v>
      </c>
      <c r="G905" s="298">
        <f>IFERROR(__xludf.DUMMYFUNCTION("""COMPUTED_VALUE"""),0.0)</f>
        <v>0</v>
      </c>
      <c r="H905" s="223">
        <f>IFERROR(__xludf.DUMMYFUNCTION("""COMPUTED_VALUE"""),1162.67)</f>
        <v>1162.67</v>
      </c>
      <c r="I905" s="298"/>
      <c r="J905" s="223" t="str">
        <f>IFERROR(__xludf.DUMMYFUNCTION("""COMPUTED_VALUE"""),"One-Time")</f>
        <v>One-Time</v>
      </c>
      <c r="K905" s="317">
        <f>IFERROR(__xludf.DUMMYFUNCTION("""COMPUTED_VALUE"""),2023.0)</f>
        <v>2023</v>
      </c>
      <c r="L905" s="298"/>
      <c r="M905" s="223"/>
      <c r="N905" s="223"/>
      <c r="O905" s="223"/>
      <c r="P905" s="223"/>
      <c r="Q905" s="223"/>
      <c r="R905" s="223"/>
      <c r="S905" s="223"/>
      <c r="T905" s="223"/>
      <c r="U905" s="223"/>
      <c r="V905" s="223"/>
      <c r="W905" s="223"/>
      <c r="X905" s="223"/>
      <c r="Y905" s="223"/>
      <c r="Z905" s="223"/>
    </row>
    <row r="906">
      <c r="A906" s="223" t="str">
        <f>IFERROR(__xludf.DUMMYFUNCTION("""COMPUTED_VALUE"""),"The Palms : Survey Project")</f>
        <v>The Palms : Survey Project</v>
      </c>
      <c r="B906" s="223" t="str">
        <f>IFERROR(__xludf.DUMMYFUNCTION("""COMPUTED_VALUE"""),"The Palms")</f>
        <v>The Palms</v>
      </c>
      <c r="C906" s="223" t="str">
        <f>IFERROR(__xludf.DUMMYFUNCTION("""COMPUTED_VALUE"""),"Survey Project")</f>
        <v>Survey Project</v>
      </c>
      <c r="D906" s="316">
        <f>IFERROR(__xludf.DUMMYFUNCTION("""COMPUTED_VALUE"""),45138.0)</f>
        <v>45138</v>
      </c>
      <c r="E906" s="298">
        <f>IFERROR(__xludf.DUMMYFUNCTION("""COMPUTED_VALUE"""),2200.0)</f>
        <v>2200</v>
      </c>
      <c r="F906" s="298"/>
      <c r="G906" s="298">
        <f>IFERROR(__xludf.DUMMYFUNCTION("""COMPUTED_VALUE"""),0.0)</f>
        <v>0</v>
      </c>
      <c r="H906" s="223">
        <f>IFERROR(__xludf.DUMMYFUNCTION("""COMPUTED_VALUE"""),2200.0)</f>
        <v>2200</v>
      </c>
      <c r="I906" s="298"/>
      <c r="J906" s="223" t="str">
        <f>IFERROR(__xludf.DUMMYFUNCTION("""COMPUTED_VALUE"""),"One-Time")</f>
        <v>One-Time</v>
      </c>
      <c r="K906" s="317">
        <f>IFERROR(__xludf.DUMMYFUNCTION("""COMPUTED_VALUE"""),2023.0)</f>
        <v>2023</v>
      </c>
      <c r="L906" s="298"/>
      <c r="M906" s="223"/>
      <c r="N906" s="223"/>
      <c r="O906" s="223"/>
      <c r="P906" s="223"/>
      <c r="Q906" s="223"/>
      <c r="R906" s="223"/>
      <c r="S906" s="223"/>
      <c r="T906" s="223"/>
      <c r="U906" s="223"/>
      <c r="V906" s="223"/>
      <c r="W906" s="223"/>
      <c r="X906" s="223"/>
      <c r="Y906" s="223"/>
      <c r="Z906" s="223"/>
    </row>
    <row r="907">
      <c r="A907" s="223" t="str">
        <f>IFERROR(__xludf.DUMMYFUNCTION("""COMPUTED_VALUE"""),"Limbic Media : Grant Project")</f>
        <v>Limbic Media : Grant Project</v>
      </c>
      <c r="B907" s="223" t="str">
        <f>IFERROR(__xludf.DUMMYFUNCTION("""COMPUTED_VALUE"""),"Limbic Media")</f>
        <v>Limbic Media</v>
      </c>
      <c r="C907" s="223" t="str">
        <f>IFERROR(__xludf.DUMMYFUNCTION("""COMPUTED_VALUE"""),"Grant Project")</f>
        <v>Grant Project</v>
      </c>
      <c r="D907" s="316">
        <f>IFERROR(__xludf.DUMMYFUNCTION("""COMPUTED_VALUE"""),45107.0)</f>
        <v>45107</v>
      </c>
      <c r="E907" s="298">
        <f>IFERROR(__xludf.DUMMYFUNCTION("""COMPUTED_VALUE"""),1200.0)</f>
        <v>1200</v>
      </c>
      <c r="F907" s="298">
        <f>IFERROR(__xludf.DUMMYFUNCTION("""COMPUTED_VALUE"""),37.33)</f>
        <v>37.33</v>
      </c>
      <c r="G907" s="298">
        <f>IFERROR(__xludf.DUMMYFUNCTION("""COMPUTED_VALUE"""),0.0)</f>
        <v>0</v>
      </c>
      <c r="H907" s="223">
        <f>IFERROR(__xludf.DUMMYFUNCTION("""COMPUTED_VALUE"""),1162.67)</f>
        <v>1162.67</v>
      </c>
      <c r="I907" s="298"/>
      <c r="J907" s="223" t="str">
        <f>IFERROR(__xludf.DUMMYFUNCTION("""COMPUTED_VALUE"""),"50% Deposit Prepaid
")</f>
        <v>50% Deposit Prepaid
</v>
      </c>
      <c r="K907" s="317">
        <f>IFERROR(__xludf.DUMMYFUNCTION("""COMPUTED_VALUE"""),2023.0)</f>
        <v>2023</v>
      </c>
      <c r="L907" s="298"/>
      <c r="M907" s="223"/>
      <c r="N907" s="223"/>
      <c r="O907" s="223"/>
      <c r="P907" s="223"/>
      <c r="Q907" s="223"/>
      <c r="R907" s="223"/>
      <c r="S907" s="223"/>
      <c r="T907" s="223"/>
      <c r="U907" s="223"/>
      <c r="V907" s="223"/>
      <c r="W907" s="223"/>
      <c r="X907" s="223"/>
      <c r="Y907" s="223"/>
      <c r="Z907" s="223"/>
    </row>
    <row r="908">
      <c r="A908" s="223" t="str">
        <f>IFERROR(__xludf.DUMMYFUNCTION("""COMPUTED_VALUE"""),"Limbic Media : Grant Project")</f>
        <v>Limbic Media : Grant Project</v>
      </c>
      <c r="B908" s="223" t="str">
        <f>IFERROR(__xludf.DUMMYFUNCTION("""COMPUTED_VALUE"""),"Limbic Media")</f>
        <v>Limbic Media</v>
      </c>
      <c r="C908" s="223" t="str">
        <f>IFERROR(__xludf.DUMMYFUNCTION("""COMPUTED_VALUE"""),"Grant Project")</f>
        <v>Grant Project</v>
      </c>
      <c r="D908" s="316">
        <f>IFERROR(__xludf.DUMMYFUNCTION("""COMPUTED_VALUE"""),45122.0)</f>
        <v>45122</v>
      </c>
      <c r="E908" s="298">
        <f>IFERROR(__xludf.DUMMYFUNCTION("""COMPUTED_VALUE"""),1200.0)</f>
        <v>1200</v>
      </c>
      <c r="F908" s="298">
        <f>IFERROR(__xludf.DUMMYFUNCTION("""COMPUTED_VALUE"""),37.33)</f>
        <v>37.33</v>
      </c>
      <c r="G908" s="298">
        <f>IFERROR(__xludf.DUMMYFUNCTION("""COMPUTED_VALUE"""),0.0)</f>
        <v>0</v>
      </c>
      <c r="H908" s="223">
        <f>IFERROR(__xludf.DUMMYFUNCTION("""COMPUTED_VALUE"""),1162.67)</f>
        <v>1162.67</v>
      </c>
      <c r="I908" s="298"/>
      <c r="J908" s="223" t="str">
        <f>IFERROR(__xludf.DUMMYFUNCTION("""COMPUTED_VALUE"""),"50% Final
")</f>
        <v>50% Final
</v>
      </c>
      <c r="K908" s="317">
        <f>IFERROR(__xludf.DUMMYFUNCTION("""COMPUTED_VALUE"""),2023.0)</f>
        <v>2023</v>
      </c>
      <c r="L908" s="298"/>
      <c r="M908" s="223"/>
      <c r="N908" s="223"/>
      <c r="O908" s="223"/>
      <c r="P908" s="223"/>
      <c r="Q908" s="223"/>
      <c r="R908" s="223"/>
      <c r="S908" s="223"/>
      <c r="T908" s="223"/>
      <c r="U908" s="223"/>
      <c r="V908" s="223"/>
      <c r="W908" s="223"/>
      <c r="X908" s="223"/>
      <c r="Y908" s="223"/>
      <c r="Z908" s="223"/>
    </row>
    <row r="909">
      <c r="A909" s="223" t="str">
        <f>IFERROR(__xludf.DUMMYFUNCTION("""COMPUTED_VALUE"""),"Red Ear Research : Website")</f>
        <v>Red Ear Research : Website</v>
      </c>
      <c r="B909" s="223" t="str">
        <f>IFERROR(__xludf.DUMMYFUNCTION("""COMPUTED_VALUE"""),"Red Ear Research")</f>
        <v>Red Ear Research</v>
      </c>
      <c r="C909" s="223" t="str">
        <f>IFERROR(__xludf.DUMMYFUNCTION("""COMPUTED_VALUE"""),"Website")</f>
        <v>Website</v>
      </c>
      <c r="D909" s="316">
        <f>IFERROR(__xludf.DUMMYFUNCTION("""COMPUTED_VALUE"""),45077.0)</f>
        <v>45077</v>
      </c>
      <c r="E909" s="298">
        <f>IFERROR(__xludf.DUMMYFUNCTION("""COMPUTED_VALUE"""),1107.6333)</f>
        <v>1107.6333</v>
      </c>
      <c r="F909" s="298">
        <f>IFERROR(__xludf.DUMMYFUNCTION("""COMPUTED_VALUE"""),41.3733615)</f>
        <v>41.3733615</v>
      </c>
      <c r="G909" s="298">
        <f>IFERROR(__xludf.DUMMYFUNCTION("""COMPUTED_VALUE"""),213.25198769999997)</f>
        <v>213.2519877</v>
      </c>
      <c r="H909" s="223">
        <f>IFERROR(__xludf.DUMMYFUNCTION("""COMPUTED_VALUE"""),853.0079507999999)</f>
        <v>853.0079508</v>
      </c>
      <c r="I909" s="298"/>
      <c r="J909" s="223" t="str">
        <f>IFERROR(__xludf.DUMMYFUNCTION("""COMPUTED_VALUE"""),"50% Deposit Prepaid
")</f>
        <v>50% Deposit Prepaid
</v>
      </c>
      <c r="K909" s="317">
        <f>IFERROR(__xludf.DUMMYFUNCTION("""COMPUTED_VALUE"""),2023.0)</f>
        <v>2023</v>
      </c>
      <c r="L909" s="298"/>
      <c r="M909" s="223"/>
      <c r="N909" s="223"/>
      <c r="O909" s="223"/>
      <c r="P909" s="223"/>
      <c r="Q909" s="223"/>
      <c r="R909" s="223"/>
      <c r="S909" s="223"/>
      <c r="T909" s="223"/>
      <c r="U909" s="223"/>
      <c r="V909" s="223"/>
      <c r="W909" s="223"/>
      <c r="X909" s="223"/>
      <c r="Y909" s="223"/>
      <c r="Z909" s="223"/>
    </row>
    <row r="910">
      <c r="A910" s="223" t="str">
        <f>IFERROR(__xludf.DUMMYFUNCTION("""COMPUTED_VALUE"""),"Red Ear Research : Website")</f>
        <v>Red Ear Research : Website</v>
      </c>
      <c r="B910" s="223" t="str">
        <f>IFERROR(__xludf.DUMMYFUNCTION("""COMPUTED_VALUE"""),"Red Ear Research")</f>
        <v>Red Ear Research</v>
      </c>
      <c r="C910" s="223" t="str">
        <f>IFERROR(__xludf.DUMMYFUNCTION("""COMPUTED_VALUE"""),"Website")</f>
        <v>Website</v>
      </c>
      <c r="D910" s="316">
        <f>IFERROR(__xludf.DUMMYFUNCTION("""COMPUTED_VALUE"""),45107.0)</f>
        <v>45107</v>
      </c>
      <c r="E910" s="298">
        <f>IFERROR(__xludf.DUMMYFUNCTION("""COMPUTED_VALUE"""),1085.45425)</f>
        <v>1085.45425</v>
      </c>
      <c r="F910" s="298">
        <f>IFERROR(__xludf.DUMMYFUNCTION("""COMPUTED_VALUE"""),40.54490875)</f>
        <v>40.54490875</v>
      </c>
      <c r="G910" s="298">
        <f>IFERROR(__xludf.DUMMYFUNCTION("""COMPUTED_VALUE"""),208.98186825)</f>
        <v>208.9818683</v>
      </c>
      <c r="H910" s="223">
        <f>IFERROR(__xludf.DUMMYFUNCTION("""COMPUTED_VALUE"""),835.927473)</f>
        <v>835.927473</v>
      </c>
      <c r="I910" s="298"/>
      <c r="J910" s="223" t="str">
        <f>IFERROR(__xludf.DUMMYFUNCTION("""COMPUTED_VALUE"""),"50% Final")</f>
        <v>50% Final</v>
      </c>
      <c r="K910" s="317">
        <f>IFERROR(__xludf.DUMMYFUNCTION("""COMPUTED_VALUE"""),2023.0)</f>
        <v>2023</v>
      </c>
      <c r="L910" s="298"/>
      <c r="M910" s="223"/>
      <c r="N910" s="223"/>
      <c r="O910" s="223"/>
      <c r="P910" s="223"/>
      <c r="Q910" s="223"/>
      <c r="R910" s="223"/>
      <c r="S910" s="223"/>
      <c r="T910" s="223"/>
      <c r="U910" s="223"/>
      <c r="V910" s="223"/>
      <c r="W910" s="223"/>
      <c r="X910" s="223"/>
      <c r="Y910" s="223"/>
      <c r="Z910" s="223"/>
    </row>
    <row r="911">
      <c r="A911" s="223" t="str">
        <f>IFERROR(__xludf.DUMMYFUNCTION("""COMPUTED_VALUE"""),"Anook Athletics : Monthly Services")</f>
        <v>Anook Athletics : Monthly Services</v>
      </c>
      <c r="B911" s="223" t="str">
        <f>IFERROR(__xludf.DUMMYFUNCTION("""COMPUTED_VALUE"""),"Anook Athletics")</f>
        <v>Anook Athletics</v>
      </c>
      <c r="C911" s="223" t="str">
        <f>IFERROR(__xludf.DUMMYFUNCTION("""COMPUTED_VALUE"""),"Monthly Services")</f>
        <v>Monthly Services</v>
      </c>
      <c r="D911" s="316">
        <f>IFERROR(__xludf.DUMMYFUNCTION("""COMPUTED_VALUE"""),45077.0)</f>
        <v>45077</v>
      </c>
      <c r="E911" s="298">
        <f>IFERROR(__xludf.DUMMYFUNCTION("""COMPUTED_VALUE"""),800.0)</f>
        <v>800</v>
      </c>
      <c r="F911" s="298">
        <f>IFERROR(__xludf.DUMMYFUNCTION("""COMPUTED_VALUE"""),24.89)</f>
        <v>24.89</v>
      </c>
      <c r="G911" s="298">
        <f>IFERROR(__xludf.DUMMYFUNCTION("""COMPUTED_VALUE"""),0.0)</f>
        <v>0</v>
      </c>
      <c r="H911" s="223">
        <f>IFERROR(__xludf.DUMMYFUNCTION("""COMPUTED_VALUE"""),775.11)</f>
        <v>775.11</v>
      </c>
      <c r="I911" s="298"/>
      <c r="J911" s="223" t="str">
        <f>IFERROR(__xludf.DUMMYFUNCTION("""COMPUTED_VALUE"""),"Monthly")</f>
        <v>Monthly</v>
      </c>
      <c r="K911" s="317">
        <f>IFERROR(__xludf.DUMMYFUNCTION("""COMPUTED_VALUE"""),2023.05)</f>
        <v>2023.05</v>
      </c>
      <c r="L911" s="298"/>
      <c r="M911" s="223"/>
      <c r="N911" s="223"/>
      <c r="O911" s="223"/>
      <c r="P911" s="223"/>
      <c r="Q911" s="223"/>
      <c r="R911" s="223"/>
      <c r="S911" s="223"/>
      <c r="T911" s="223"/>
      <c r="U911" s="223"/>
      <c r="V911" s="223"/>
      <c r="W911" s="223"/>
      <c r="X911" s="223"/>
      <c r="Y911" s="223"/>
      <c r="Z911" s="223"/>
    </row>
    <row r="912">
      <c r="A912" s="223" t="str">
        <f>IFERROR(__xludf.DUMMYFUNCTION("""COMPUTED_VALUE"""),"Availed Technologies : Monthly Services")</f>
        <v>Availed Technologies : Monthly Services</v>
      </c>
      <c r="B912" s="223" t="str">
        <f>IFERROR(__xludf.DUMMYFUNCTION("""COMPUTED_VALUE"""),"Availed Technologies")</f>
        <v>Availed Technologies</v>
      </c>
      <c r="C912" s="223" t="str">
        <f>IFERROR(__xludf.DUMMYFUNCTION("""COMPUTED_VALUE"""),"Monthly Services")</f>
        <v>Monthly Services</v>
      </c>
      <c r="D912" s="316">
        <f>IFERROR(__xludf.DUMMYFUNCTION("""COMPUTED_VALUE"""),45077.0)</f>
        <v>45077</v>
      </c>
      <c r="E912" s="298">
        <f>IFERROR(__xludf.DUMMYFUNCTION("""COMPUTED_VALUE"""),750.0)</f>
        <v>750</v>
      </c>
      <c r="F912" s="298">
        <f>IFERROR(__xludf.DUMMYFUNCTION("""COMPUTED_VALUE"""),23.33)</f>
        <v>23.33</v>
      </c>
      <c r="G912" s="298">
        <f>IFERROR(__xludf.DUMMYFUNCTION("""COMPUTED_VALUE"""),0.0)</f>
        <v>0</v>
      </c>
      <c r="H912" s="223">
        <f>IFERROR(__xludf.DUMMYFUNCTION("""COMPUTED_VALUE"""),726.67)</f>
        <v>726.67</v>
      </c>
      <c r="I912" s="298"/>
      <c r="J912" s="223" t="str">
        <f>IFERROR(__xludf.DUMMYFUNCTION("""COMPUTED_VALUE"""),"Monthly")</f>
        <v>Monthly</v>
      </c>
      <c r="K912" s="317">
        <f>IFERROR(__xludf.DUMMYFUNCTION("""COMPUTED_VALUE"""),2023.05)</f>
        <v>2023.05</v>
      </c>
      <c r="L912" s="298"/>
      <c r="M912" s="223"/>
      <c r="N912" s="223"/>
      <c r="O912" s="223"/>
      <c r="P912" s="223"/>
      <c r="Q912" s="223"/>
      <c r="R912" s="223"/>
      <c r="S912" s="223"/>
      <c r="T912" s="223"/>
      <c r="U912" s="223"/>
      <c r="V912" s="223"/>
      <c r="W912" s="223"/>
      <c r="X912" s="223"/>
      <c r="Y912" s="223"/>
      <c r="Z912" s="223"/>
    </row>
    <row r="913">
      <c r="A913" s="223" t="str">
        <f>IFERROR(__xludf.DUMMYFUNCTION("""COMPUTED_VALUE"""),"Hastings House : Monthly Services")</f>
        <v>Hastings House : Monthly Services</v>
      </c>
      <c r="B913" s="223" t="str">
        <f>IFERROR(__xludf.DUMMYFUNCTION("""COMPUTED_VALUE"""),"Hastings House")</f>
        <v>Hastings House</v>
      </c>
      <c r="C913" s="223" t="str">
        <f>IFERROR(__xludf.DUMMYFUNCTION("""COMPUTED_VALUE"""),"Monthly Services")</f>
        <v>Monthly Services</v>
      </c>
      <c r="D913" s="316">
        <f>IFERROR(__xludf.DUMMYFUNCTION("""COMPUTED_VALUE"""),45077.0)</f>
        <v>45077</v>
      </c>
      <c r="E913" s="298">
        <f>IFERROR(__xludf.DUMMYFUNCTION("""COMPUTED_VALUE"""),1500.0)</f>
        <v>1500</v>
      </c>
      <c r="F913" s="298">
        <f>IFERROR(__xludf.DUMMYFUNCTION("""COMPUTED_VALUE"""),46.67)</f>
        <v>46.67</v>
      </c>
      <c r="G913" s="298">
        <f>IFERROR(__xludf.DUMMYFUNCTION("""COMPUTED_VALUE"""),217.99949999999998)</f>
        <v>217.9995</v>
      </c>
      <c r="H913" s="223">
        <f>IFERROR(__xludf.DUMMYFUNCTION("""COMPUTED_VALUE"""),1235.3305)</f>
        <v>1235.3305</v>
      </c>
      <c r="I913" s="298"/>
      <c r="J913" s="223" t="str">
        <f>IFERROR(__xludf.DUMMYFUNCTION("""COMPUTED_VALUE"""),"Monthly")</f>
        <v>Monthly</v>
      </c>
      <c r="K913" s="317">
        <f>IFERROR(__xludf.DUMMYFUNCTION("""COMPUTED_VALUE"""),2023.05)</f>
        <v>2023.05</v>
      </c>
      <c r="L913" s="298"/>
      <c r="M913" s="223"/>
      <c r="N913" s="223"/>
      <c r="O913" s="223"/>
      <c r="P913" s="223"/>
      <c r="Q913" s="223"/>
      <c r="R913" s="223"/>
      <c r="S913" s="223"/>
      <c r="T913" s="223"/>
      <c r="U913" s="223"/>
      <c r="V913" s="223"/>
      <c r="W913" s="223"/>
      <c r="X913" s="223"/>
      <c r="Y913" s="223"/>
      <c r="Z913" s="223"/>
    </row>
    <row r="914">
      <c r="A914" s="223" t="str">
        <f>IFERROR(__xludf.DUMMYFUNCTION("""COMPUTED_VALUE"""),"HSJ Lawyers : Monthly Services")</f>
        <v>HSJ Lawyers : Monthly Services</v>
      </c>
      <c r="B914" s="223" t="str">
        <f>IFERROR(__xludf.DUMMYFUNCTION("""COMPUTED_VALUE"""),"HSJ Lawyers")</f>
        <v>HSJ Lawyers</v>
      </c>
      <c r="C914" s="223" t="str">
        <f>IFERROR(__xludf.DUMMYFUNCTION("""COMPUTED_VALUE"""),"Monthly Services")</f>
        <v>Monthly Services</v>
      </c>
      <c r="D914" s="316">
        <f>IFERROR(__xludf.DUMMYFUNCTION("""COMPUTED_VALUE"""),45077.0)</f>
        <v>45077</v>
      </c>
      <c r="E914" s="298">
        <f>IFERROR(__xludf.DUMMYFUNCTION("""COMPUTED_VALUE"""),860.0)</f>
        <v>860</v>
      </c>
      <c r="F914" s="298">
        <f>IFERROR(__xludf.DUMMYFUNCTION("""COMPUTED_VALUE"""),0.0)</f>
        <v>0</v>
      </c>
      <c r="G914" s="298">
        <f>IFERROR(__xludf.DUMMYFUNCTION("""COMPUTED_VALUE"""),0.0)</f>
        <v>0</v>
      </c>
      <c r="H914" s="223">
        <f>IFERROR(__xludf.DUMMYFUNCTION("""COMPUTED_VALUE"""),860.0)</f>
        <v>860</v>
      </c>
      <c r="I914" s="298"/>
      <c r="J914" s="223" t="str">
        <f>IFERROR(__xludf.DUMMYFUNCTION("""COMPUTED_VALUE"""),"Monthly")</f>
        <v>Monthly</v>
      </c>
      <c r="K914" s="317">
        <f>IFERROR(__xludf.DUMMYFUNCTION("""COMPUTED_VALUE"""),2023.05)</f>
        <v>2023.05</v>
      </c>
      <c r="L914" s="298"/>
      <c r="M914" s="223"/>
      <c r="N914" s="223"/>
      <c r="O914" s="223"/>
      <c r="P914" s="223"/>
      <c r="Q914" s="223"/>
      <c r="R914" s="223"/>
      <c r="S914" s="223"/>
      <c r="T914" s="223"/>
      <c r="U914" s="223"/>
      <c r="V914" s="223"/>
      <c r="W914" s="223"/>
      <c r="X914" s="223"/>
      <c r="Y914" s="223"/>
      <c r="Z914" s="223"/>
    </row>
    <row r="915">
      <c r="A915" s="223" t="str">
        <f>IFERROR(__xludf.DUMMYFUNCTION("""COMPUTED_VALUE"""),"MortgagePal : Monthly Services")</f>
        <v>MortgagePal : Monthly Services</v>
      </c>
      <c r="B915" s="223" t="str">
        <f>IFERROR(__xludf.DUMMYFUNCTION("""COMPUTED_VALUE"""),"MortgagePal")</f>
        <v>MortgagePal</v>
      </c>
      <c r="C915" s="223" t="str">
        <f>IFERROR(__xludf.DUMMYFUNCTION("""COMPUTED_VALUE"""),"Monthly Services")</f>
        <v>Monthly Services</v>
      </c>
      <c r="D915" s="316">
        <f>IFERROR(__xludf.DUMMYFUNCTION("""COMPUTED_VALUE"""),45077.0)</f>
        <v>45077</v>
      </c>
      <c r="E915" s="298">
        <f>IFERROR(__xludf.DUMMYFUNCTION("""COMPUTED_VALUE"""),500.0)</f>
        <v>500</v>
      </c>
      <c r="F915" s="298">
        <f>IFERROR(__xludf.DUMMYFUNCTION("""COMPUTED_VALUE"""),15.56)</f>
        <v>15.56</v>
      </c>
      <c r="G915" s="298">
        <f>IFERROR(__xludf.DUMMYFUNCTION("""COMPUTED_VALUE"""),0.0)</f>
        <v>0</v>
      </c>
      <c r="H915" s="223">
        <f>IFERROR(__xludf.DUMMYFUNCTION("""COMPUTED_VALUE"""),484.44)</f>
        <v>484.44</v>
      </c>
      <c r="I915" s="298"/>
      <c r="J915" s="223" t="str">
        <f>IFERROR(__xludf.DUMMYFUNCTION("""COMPUTED_VALUE"""),"Monthly")</f>
        <v>Monthly</v>
      </c>
      <c r="K915" s="317">
        <f>IFERROR(__xludf.DUMMYFUNCTION("""COMPUTED_VALUE"""),2023.05)</f>
        <v>2023.05</v>
      </c>
      <c r="L915" s="298"/>
      <c r="M915" s="223"/>
      <c r="N915" s="223"/>
      <c r="O915" s="223"/>
      <c r="P915" s="223"/>
      <c r="Q915" s="223"/>
      <c r="R915" s="223"/>
      <c r="S915" s="223"/>
      <c r="T915" s="223"/>
      <c r="U915" s="223"/>
      <c r="V915" s="223"/>
      <c r="W915" s="223"/>
      <c r="X915" s="223"/>
      <c r="Y915" s="223"/>
      <c r="Z915" s="223"/>
    </row>
    <row r="916">
      <c r="A916" s="223" t="str">
        <f>IFERROR(__xludf.DUMMYFUNCTION("""COMPUTED_VALUE"""),"Service First : Monthly Services")</f>
        <v>Service First : Monthly Services</v>
      </c>
      <c r="B916" s="223" t="str">
        <f>IFERROR(__xludf.DUMMYFUNCTION("""COMPUTED_VALUE"""),"Service First")</f>
        <v>Service First</v>
      </c>
      <c r="C916" s="223" t="str">
        <f>IFERROR(__xludf.DUMMYFUNCTION("""COMPUTED_VALUE"""),"Monthly Services")</f>
        <v>Monthly Services</v>
      </c>
      <c r="D916" s="316">
        <f>IFERROR(__xludf.DUMMYFUNCTION("""COMPUTED_VALUE"""),45077.0)</f>
        <v>45077</v>
      </c>
      <c r="E916" s="298">
        <f>IFERROR(__xludf.DUMMYFUNCTION("""COMPUTED_VALUE"""),330.0)</f>
        <v>330</v>
      </c>
      <c r="F916" s="298">
        <f>IFERROR(__xludf.DUMMYFUNCTION("""COMPUTED_VALUE"""),10.27)</f>
        <v>10.27</v>
      </c>
      <c r="G916" s="298">
        <f>IFERROR(__xludf.DUMMYFUNCTION("""COMPUTED_VALUE"""),0.0)</f>
        <v>0</v>
      </c>
      <c r="H916" s="223">
        <f>IFERROR(__xludf.DUMMYFUNCTION("""COMPUTED_VALUE"""),319.73)</f>
        <v>319.73</v>
      </c>
      <c r="I916" s="298"/>
      <c r="J916" s="223" t="str">
        <f>IFERROR(__xludf.DUMMYFUNCTION("""COMPUTED_VALUE"""),"Monthly")</f>
        <v>Monthly</v>
      </c>
      <c r="K916" s="317">
        <f>IFERROR(__xludf.DUMMYFUNCTION("""COMPUTED_VALUE"""),2023.05)</f>
        <v>2023.05</v>
      </c>
      <c r="L916" s="298"/>
      <c r="M916" s="223"/>
      <c r="N916" s="223"/>
      <c r="O916" s="223"/>
      <c r="P916" s="223"/>
      <c r="Q916" s="223"/>
      <c r="R916" s="223"/>
      <c r="S916" s="223"/>
      <c r="T916" s="223"/>
      <c r="U916" s="223"/>
      <c r="V916" s="223"/>
      <c r="W916" s="223"/>
      <c r="X916" s="223"/>
      <c r="Y916" s="223"/>
      <c r="Z916" s="223"/>
    </row>
    <row r="917">
      <c r="A917" s="223" t="str">
        <f>IFERROR(__xludf.DUMMYFUNCTION("""COMPUTED_VALUE"""),"Spraggs : Monthly Services")</f>
        <v>Spraggs : Monthly Services</v>
      </c>
      <c r="B917" s="223" t="str">
        <f>IFERROR(__xludf.DUMMYFUNCTION("""COMPUTED_VALUE"""),"Spraggs")</f>
        <v>Spraggs</v>
      </c>
      <c r="C917" s="223" t="str">
        <f>IFERROR(__xludf.DUMMYFUNCTION("""COMPUTED_VALUE"""),"Monthly Services")</f>
        <v>Monthly Services</v>
      </c>
      <c r="D917" s="316">
        <f>IFERROR(__xludf.DUMMYFUNCTION("""COMPUTED_VALUE"""),45077.0)</f>
        <v>45077</v>
      </c>
      <c r="E917" s="298">
        <f>IFERROR(__xludf.DUMMYFUNCTION("""COMPUTED_VALUE"""),2500.0)</f>
        <v>2500</v>
      </c>
      <c r="F917" s="298">
        <f>IFERROR(__xludf.DUMMYFUNCTION("""COMPUTED_VALUE"""),77.78)</f>
        <v>77.78</v>
      </c>
      <c r="G917" s="298">
        <f>IFERROR(__xludf.DUMMYFUNCTION("""COMPUTED_VALUE"""),0.0)</f>
        <v>0</v>
      </c>
      <c r="H917" s="223">
        <f>IFERROR(__xludf.DUMMYFUNCTION("""COMPUTED_VALUE"""),2422.22)</f>
        <v>2422.22</v>
      </c>
      <c r="I917" s="298"/>
      <c r="J917" s="223" t="str">
        <f>IFERROR(__xludf.DUMMYFUNCTION("""COMPUTED_VALUE"""),"Monthly")</f>
        <v>Monthly</v>
      </c>
      <c r="K917" s="317">
        <f>IFERROR(__xludf.DUMMYFUNCTION("""COMPUTED_VALUE"""),2023.05)</f>
        <v>2023.05</v>
      </c>
      <c r="L917" s="298"/>
      <c r="M917" s="223"/>
      <c r="N917" s="223"/>
      <c r="O917" s="223"/>
      <c r="P917" s="223"/>
      <c r="Q917" s="223"/>
      <c r="R917" s="223"/>
      <c r="S917" s="223"/>
      <c r="T917" s="223"/>
      <c r="U917" s="223"/>
      <c r="V917" s="223"/>
      <c r="W917" s="223"/>
      <c r="X917" s="223"/>
      <c r="Y917" s="223"/>
      <c r="Z917" s="223"/>
    </row>
    <row r="918">
      <c r="A918" s="223" t="str">
        <f>IFERROR(__xludf.DUMMYFUNCTION("""COMPUTED_VALUE"""),"TisBest : Monthly Services")</f>
        <v>TisBest : Monthly Services</v>
      </c>
      <c r="B918" s="223" t="str">
        <f>IFERROR(__xludf.DUMMYFUNCTION("""COMPUTED_VALUE"""),"TisBest")</f>
        <v>TisBest</v>
      </c>
      <c r="C918" s="223" t="str">
        <f>IFERROR(__xludf.DUMMYFUNCTION("""COMPUTED_VALUE"""),"Monthly Services")</f>
        <v>Monthly Services</v>
      </c>
      <c r="D918" s="316">
        <f>IFERROR(__xludf.DUMMYFUNCTION("""COMPUTED_VALUE"""),45077.0)</f>
        <v>45077</v>
      </c>
      <c r="E918" s="298">
        <f>IFERROR(__xludf.DUMMYFUNCTION("""COMPUTED_VALUE"""),3860.697)</f>
        <v>3860.697</v>
      </c>
      <c r="F918" s="298">
        <f>IFERROR(__xludf.DUMMYFUNCTION("""COMPUTED_VALUE"""),143.2318587)</f>
        <v>143.2318587</v>
      </c>
      <c r="G918" s="298">
        <f>IFERROR(__xludf.DUMMYFUNCTION("""COMPUTED_VALUE"""),743.4930282600001)</f>
        <v>743.4930283</v>
      </c>
      <c r="H918" s="223">
        <f>IFERROR(__xludf.DUMMYFUNCTION("""COMPUTED_VALUE"""),2973.9721130400003)</f>
        <v>2973.972113</v>
      </c>
      <c r="I918" s="298"/>
      <c r="J918" s="223" t="str">
        <f>IFERROR(__xludf.DUMMYFUNCTION("""COMPUTED_VALUE"""),"Monthly")</f>
        <v>Monthly</v>
      </c>
      <c r="K918" s="317">
        <f>IFERROR(__xludf.DUMMYFUNCTION("""COMPUTED_VALUE"""),2023.05)</f>
        <v>2023.05</v>
      </c>
      <c r="L918" s="298"/>
      <c r="M918" s="223"/>
      <c r="N918" s="223"/>
      <c r="O918" s="223"/>
      <c r="P918" s="223"/>
      <c r="Q918" s="223"/>
      <c r="R918" s="223"/>
      <c r="S918" s="223"/>
      <c r="T918" s="223"/>
      <c r="U918" s="223"/>
      <c r="V918" s="223"/>
      <c r="W918" s="223"/>
      <c r="X918" s="223"/>
      <c r="Y918" s="223"/>
      <c r="Z918" s="223"/>
    </row>
    <row r="919">
      <c r="A919" s="223" t="str">
        <f>IFERROR(__xludf.DUMMYFUNCTION("""COMPUTED_VALUE"""),"Wallack's Art Supplies : Monthly Services")</f>
        <v>Wallack's Art Supplies : Monthly Services</v>
      </c>
      <c r="B919" s="223" t="str">
        <f>IFERROR(__xludf.DUMMYFUNCTION("""COMPUTED_VALUE"""),"Wallack's Art Supplies")</f>
        <v>Wallack's Art Supplies</v>
      </c>
      <c r="C919" s="223" t="str">
        <f>IFERROR(__xludf.DUMMYFUNCTION("""COMPUTED_VALUE"""),"Monthly Services")</f>
        <v>Monthly Services</v>
      </c>
      <c r="D919" s="316">
        <f>IFERROR(__xludf.DUMMYFUNCTION("""COMPUTED_VALUE"""),45077.0)</f>
        <v>45077</v>
      </c>
      <c r="E919" s="298">
        <f>IFERROR(__xludf.DUMMYFUNCTION("""COMPUTED_VALUE"""),770.0)</f>
        <v>770</v>
      </c>
      <c r="F919" s="298">
        <f>IFERROR(__xludf.DUMMYFUNCTION("""COMPUTED_VALUE"""),0.0)</f>
        <v>0</v>
      </c>
      <c r="G919" s="298">
        <f>IFERROR(__xludf.DUMMYFUNCTION("""COMPUTED_VALUE"""),0.0)</f>
        <v>0</v>
      </c>
      <c r="H919" s="223">
        <f>IFERROR(__xludf.DUMMYFUNCTION("""COMPUTED_VALUE"""),770.0)</f>
        <v>770</v>
      </c>
      <c r="I919" s="298"/>
      <c r="J919" s="223" t="str">
        <f>IFERROR(__xludf.DUMMYFUNCTION("""COMPUTED_VALUE"""),"Monthly")</f>
        <v>Monthly</v>
      </c>
      <c r="K919" s="317">
        <f>IFERROR(__xludf.DUMMYFUNCTION("""COMPUTED_VALUE"""),2023.05)</f>
        <v>2023.05</v>
      </c>
      <c r="L919" s="298"/>
      <c r="M919" s="223"/>
      <c r="N919" s="223"/>
      <c r="O919" s="223"/>
      <c r="P919" s="223"/>
      <c r="Q919" s="223"/>
      <c r="R919" s="223"/>
      <c r="S919" s="223"/>
      <c r="T919" s="223"/>
      <c r="U919" s="223"/>
      <c r="V919" s="223"/>
      <c r="W919" s="223"/>
      <c r="X919" s="223"/>
      <c r="Y919" s="223"/>
      <c r="Z919" s="223"/>
    </row>
    <row r="920">
      <c r="A920" s="223" t="str">
        <f>IFERROR(__xludf.DUMMYFUNCTION("""COMPUTED_VALUE"""),"Howard Fine Jewellers : Ongoing PPC and SEO Support")</f>
        <v>Howard Fine Jewellers : Ongoing PPC and SEO Support</v>
      </c>
      <c r="B920" s="223" t="str">
        <f>IFERROR(__xludf.DUMMYFUNCTION("""COMPUTED_VALUE"""),"Howard Fine Jewellers")</f>
        <v>Howard Fine Jewellers</v>
      </c>
      <c r="C920" s="223" t="str">
        <f>IFERROR(__xludf.DUMMYFUNCTION("""COMPUTED_VALUE"""),"Ongoing PPC and SEO Support")</f>
        <v>Ongoing PPC and SEO Support</v>
      </c>
      <c r="D920" s="316">
        <f>IFERROR(__xludf.DUMMYFUNCTION("""COMPUTED_VALUE"""),45077.0)</f>
        <v>45077</v>
      </c>
      <c r="E920" s="298">
        <f>IFERROR(__xludf.DUMMYFUNCTION("""COMPUTED_VALUE"""),1650.0)</f>
        <v>1650</v>
      </c>
      <c r="F920" s="298">
        <f>IFERROR(__xludf.DUMMYFUNCTION("""COMPUTED_VALUE"""),55.23)</f>
        <v>55.23</v>
      </c>
      <c r="G920" s="298">
        <f>IFERROR(__xludf.DUMMYFUNCTION("""COMPUTED_VALUE"""),0.0)</f>
        <v>0</v>
      </c>
      <c r="H920" s="223">
        <f>IFERROR(__xludf.DUMMYFUNCTION("""COMPUTED_VALUE"""),1594.77)</f>
        <v>1594.77</v>
      </c>
      <c r="I920" s="298"/>
      <c r="J920" s="223" t="str">
        <f>IFERROR(__xludf.DUMMYFUNCTION("""COMPUTED_VALUE"""),"Monthly")</f>
        <v>Monthly</v>
      </c>
      <c r="K920" s="317">
        <f>IFERROR(__xludf.DUMMYFUNCTION("""COMPUTED_VALUE"""),2023.05)</f>
        <v>2023.05</v>
      </c>
      <c r="L920" s="298"/>
      <c r="M920" s="223"/>
      <c r="N920" s="223"/>
      <c r="O920" s="223"/>
      <c r="P920" s="223"/>
      <c r="Q920" s="223"/>
      <c r="R920" s="223"/>
      <c r="S920" s="223"/>
      <c r="T920" s="223"/>
      <c r="U920" s="223"/>
      <c r="V920" s="223"/>
      <c r="W920" s="223"/>
      <c r="X920" s="223"/>
      <c r="Y920" s="223"/>
      <c r="Z920" s="223"/>
    </row>
    <row r="921">
      <c r="A921" s="223" t="str">
        <f>IFERROR(__xludf.DUMMYFUNCTION("""COMPUTED_VALUE"""),"Crisp Media : Monthly Genus Google PPC Mgmt")</f>
        <v>Crisp Media : Monthly Genus Google PPC Mgmt</v>
      </c>
      <c r="B921" s="223" t="str">
        <f>IFERROR(__xludf.DUMMYFUNCTION("""COMPUTED_VALUE"""),"Crisp Media")</f>
        <v>Crisp Media</v>
      </c>
      <c r="C921" s="223" t="str">
        <f>IFERROR(__xludf.DUMMYFUNCTION("""COMPUTED_VALUE"""),"Monthly Genus Google PPC Mgmt")</f>
        <v>Monthly Genus Google PPC Mgmt</v>
      </c>
      <c r="D921" s="316">
        <f>IFERROR(__xludf.DUMMYFUNCTION("""COMPUTED_VALUE"""),45077.0)</f>
        <v>45077</v>
      </c>
      <c r="E921" s="298">
        <f>IFERROR(__xludf.DUMMYFUNCTION("""COMPUTED_VALUE"""),600.0)</f>
        <v>600</v>
      </c>
      <c r="F921" s="298">
        <f>IFERROR(__xludf.DUMMYFUNCTION("""COMPUTED_VALUE"""),18.67)</f>
        <v>18.67</v>
      </c>
      <c r="G921" s="298">
        <f>IFERROR(__xludf.DUMMYFUNCTION("""COMPUTED_VALUE"""),0.0)</f>
        <v>0</v>
      </c>
      <c r="H921" s="223">
        <f>IFERROR(__xludf.DUMMYFUNCTION("""COMPUTED_VALUE"""),581.33)</f>
        <v>581.33</v>
      </c>
      <c r="I921" s="298"/>
      <c r="J921" s="223" t="str">
        <f>IFERROR(__xludf.DUMMYFUNCTION("""COMPUTED_VALUE"""),"Monthly")</f>
        <v>Monthly</v>
      </c>
      <c r="K921" s="317">
        <f>IFERROR(__xludf.DUMMYFUNCTION("""COMPUTED_VALUE"""),2023.05)</f>
        <v>2023.05</v>
      </c>
      <c r="L921" s="298"/>
      <c r="M921" s="223"/>
      <c r="N921" s="223"/>
      <c r="O921" s="223"/>
      <c r="P921" s="223"/>
      <c r="Q921" s="223"/>
      <c r="R921" s="223"/>
      <c r="S921" s="223"/>
      <c r="T921" s="223"/>
      <c r="U921" s="223"/>
      <c r="V921" s="223"/>
      <c r="W921" s="223"/>
      <c r="X921" s="223"/>
      <c r="Y921" s="223"/>
      <c r="Z921" s="223"/>
    </row>
    <row r="922">
      <c r="A922" s="223" t="str">
        <f>IFERROR(__xludf.DUMMYFUNCTION("""COMPUTED_VALUE"""),"Big Hammer Wines : Monthly PPC")</f>
        <v>Big Hammer Wines : Monthly PPC</v>
      </c>
      <c r="B922" s="223" t="str">
        <f>IFERROR(__xludf.DUMMYFUNCTION("""COMPUTED_VALUE"""),"Big Hammer Wines")</f>
        <v>Big Hammer Wines</v>
      </c>
      <c r="C922" s="223" t="str">
        <f>IFERROR(__xludf.DUMMYFUNCTION("""COMPUTED_VALUE"""),"Monthly PPC")</f>
        <v>Monthly PPC</v>
      </c>
      <c r="D922" s="316">
        <f>IFERROR(__xludf.DUMMYFUNCTION("""COMPUTED_VALUE"""),45077.0)</f>
        <v>45077</v>
      </c>
      <c r="E922" s="298">
        <f>IFERROR(__xludf.DUMMYFUNCTION("""COMPUTED_VALUE"""),1121.71576)</f>
        <v>1121.71576</v>
      </c>
      <c r="F922" s="298">
        <f>IFERROR(__xludf.DUMMYFUNCTION("""COMPUTED_VALUE"""),41.88588622)</f>
        <v>41.88588622</v>
      </c>
      <c r="G922" s="298">
        <f>IFERROR(__xludf.DUMMYFUNCTION("""COMPUTED_VALUE"""),0.0)</f>
        <v>0</v>
      </c>
      <c r="H922" s="223">
        <f>IFERROR(__xludf.DUMMYFUNCTION("""COMPUTED_VALUE"""),1079.82987378)</f>
        <v>1079.829874</v>
      </c>
      <c r="I922" s="298"/>
      <c r="J922" s="223" t="str">
        <f>IFERROR(__xludf.DUMMYFUNCTION("""COMPUTED_VALUE"""),"Monthly")</f>
        <v>Monthly</v>
      </c>
      <c r="K922" s="317">
        <f>IFERROR(__xludf.DUMMYFUNCTION("""COMPUTED_VALUE"""),2023.05)</f>
        <v>2023.05</v>
      </c>
      <c r="L922" s="298"/>
      <c r="M922" s="223"/>
      <c r="N922" s="223"/>
      <c r="O922" s="223"/>
      <c r="P922" s="223"/>
      <c r="Q922" s="223"/>
      <c r="R922" s="223"/>
      <c r="S922" s="223"/>
      <c r="T922" s="223"/>
      <c r="U922" s="223"/>
      <c r="V922" s="223"/>
      <c r="W922" s="223"/>
      <c r="X922" s="223"/>
      <c r="Y922" s="223"/>
      <c r="Z922" s="223"/>
    </row>
    <row r="923">
      <c r="A923" s="223" t="str">
        <f>IFERROR(__xludf.DUMMYFUNCTION("""COMPUTED_VALUE"""),"Sacred Deathcare : Maintainance Retainer")</f>
        <v>Sacred Deathcare : Maintainance Retainer</v>
      </c>
      <c r="B923" s="223" t="str">
        <f>IFERROR(__xludf.DUMMYFUNCTION("""COMPUTED_VALUE"""),"Sacred Deathcare")</f>
        <v>Sacred Deathcare</v>
      </c>
      <c r="C923" s="223" t="str">
        <f>IFERROR(__xludf.DUMMYFUNCTION("""COMPUTED_VALUE"""),"Maintainance Retainer")</f>
        <v>Maintainance Retainer</v>
      </c>
      <c r="D923" s="316">
        <f>IFERROR(__xludf.DUMMYFUNCTION("""COMPUTED_VALUE"""),45077.0)</f>
        <v>45077</v>
      </c>
      <c r="E923" s="298">
        <f>IFERROR(__xludf.DUMMYFUNCTION("""COMPUTED_VALUE"""),250.0)</f>
        <v>250</v>
      </c>
      <c r="F923" s="298">
        <f>IFERROR(__xludf.DUMMYFUNCTION("""COMPUTED_VALUE"""),7.78)</f>
        <v>7.78</v>
      </c>
      <c r="G923" s="298">
        <f>IFERROR(__xludf.DUMMYFUNCTION("""COMPUTED_VALUE"""),0.0)</f>
        <v>0</v>
      </c>
      <c r="H923" s="223">
        <f>IFERROR(__xludf.DUMMYFUNCTION("""COMPUTED_VALUE"""),242.22)</f>
        <v>242.22</v>
      </c>
      <c r="I923" s="298"/>
      <c r="J923" s="223" t="str">
        <f>IFERROR(__xludf.DUMMYFUNCTION("""COMPUTED_VALUE"""),"Monthly")</f>
        <v>Monthly</v>
      </c>
      <c r="K923" s="317">
        <f>IFERROR(__xludf.DUMMYFUNCTION("""COMPUTED_VALUE"""),2023.05)</f>
        <v>2023.05</v>
      </c>
      <c r="L923" s="298"/>
      <c r="M923" s="223"/>
      <c r="N923" s="223"/>
      <c r="O923" s="223"/>
      <c r="P923" s="223"/>
      <c r="Q923" s="223"/>
      <c r="R923" s="223"/>
      <c r="S923" s="223"/>
      <c r="T923" s="223"/>
      <c r="U923" s="223"/>
      <c r="V923" s="223"/>
      <c r="W923" s="223"/>
      <c r="X923" s="223"/>
      <c r="Y923" s="223"/>
      <c r="Z923" s="223"/>
    </row>
    <row r="924">
      <c r="A924" s="223" t="str">
        <f>IFERROR(__xludf.DUMMYFUNCTION("""COMPUTED_VALUE"""),"Luxe Bridal LLC : Monthly PPC")</f>
        <v>Luxe Bridal LLC : Monthly PPC</v>
      </c>
      <c r="B924" s="223" t="str">
        <f>IFERROR(__xludf.DUMMYFUNCTION("""COMPUTED_VALUE"""),"Luxe Bridal LLC")</f>
        <v>Luxe Bridal LLC</v>
      </c>
      <c r="C924" s="223" t="str">
        <f>IFERROR(__xludf.DUMMYFUNCTION("""COMPUTED_VALUE"""),"Monthly PPC")</f>
        <v>Monthly PPC</v>
      </c>
      <c r="D924" s="316">
        <f>IFERROR(__xludf.DUMMYFUNCTION("""COMPUTED_VALUE"""),45077.0)</f>
        <v>45077</v>
      </c>
      <c r="E924" s="298">
        <f>IFERROR(__xludf.DUMMYFUNCTION("""COMPUTED_VALUE"""),3320.50691)</f>
        <v>3320.50691</v>
      </c>
      <c r="F924" s="298">
        <f>IFERROR(__xludf.DUMMYFUNCTION("""COMPUTED_VALUE"""),123.24337037)</f>
        <v>123.2433704</v>
      </c>
      <c r="G924" s="298">
        <f>IFERROR(__xludf.DUMMYFUNCTION("""COMPUTED_VALUE"""),639.4527079260001)</f>
        <v>639.4527079</v>
      </c>
      <c r="H924" s="223">
        <f>IFERROR(__xludf.DUMMYFUNCTION("""COMPUTED_VALUE"""),2557.810831704)</f>
        <v>2557.810832</v>
      </c>
      <c r="I924" s="298"/>
      <c r="J924" s="223" t="str">
        <f>IFERROR(__xludf.DUMMYFUNCTION("""COMPUTED_VALUE"""),"Monthly")</f>
        <v>Monthly</v>
      </c>
      <c r="K924" s="317">
        <f>IFERROR(__xludf.DUMMYFUNCTION("""COMPUTED_VALUE"""),2023.05)</f>
        <v>2023.05</v>
      </c>
      <c r="L924" s="298"/>
      <c r="M924" s="223"/>
      <c r="N924" s="223"/>
      <c r="O924" s="223"/>
      <c r="P924" s="223"/>
      <c r="Q924" s="223"/>
      <c r="R924" s="223"/>
      <c r="S924" s="223"/>
      <c r="T924" s="223"/>
      <c r="U924" s="223"/>
      <c r="V924" s="223"/>
      <c r="W924" s="223"/>
      <c r="X924" s="223"/>
      <c r="Y924" s="223"/>
      <c r="Z924" s="223"/>
    </row>
    <row r="925">
      <c r="A925" s="223" t="str">
        <f>IFERROR(__xludf.DUMMYFUNCTION("""COMPUTED_VALUE"""),"Luxe Bridal LLC (LJM) : Monthly PPC")</f>
        <v>Luxe Bridal LLC (LJM) : Monthly PPC</v>
      </c>
      <c r="B925" s="223" t="str">
        <f>IFERROR(__xludf.DUMMYFUNCTION("""COMPUTED_VALUE"""),"Luxe Bridal LLC (LJM)")</f>
        <v>Luxe Bridal LLC (LJM)</v>
      </c>
      <c r="C925" s="223" t="str">
        <f>IFERROR(__xludf.DUMMYFUNCTION("""COMPUTED_VALUE"""),"Monthly PPC")</f>
        <v>Monthly PPC</v>
      </c>
      <c r="D925" s="316">
        <f>IFERROR(__xludf.DUMMYFUNCTION("""COMPUTED_VALUE"""),45077.0)</f>
        <v>45077</v>
      </c>
      <c r="E925" s="298">
        <f>IFERROR(__xludf.DUMMYFUNCTION("""COMPUTED_VALUE"""),1423.07439)</f>
        <v>1423.07439</v>
      </c>
      <c r="F925" s="298">
        <f>IFERROR(__xludf.DUMMYFUNCTION("""COMPUTED_VALUE"""),53.03836713)</f>
        <v>53.03836713</v>
      </c>
      <c r="G925" s="298">
        <f>IFERROR(__xludf.DUMMYFUNCTION("""COMPUTED_VALUE"""),274.007204574)</f>
        <v>274.0072046</v>
      </c>
      <c r="H925" s="223">
        <f>IFERROR(__xludf.DUMMYFUNCTION("""COMPUTED_VALUE"""),1096.0288182959998)</f>
        <v>1096.028818</v>
      </c>
      <c r="I925" s="298"/>
      <c r="J925" s="223" t="str">
        <f>IFERROR(__xludf.DUMMYFUNCTION("""COMPUTED_VALUE"""),"Monthly")</f>
        <v>Monthly</v>
      </c>
      <c r="K925" s="317">
        <f>IFERROR(__xludf.DUMMYFUNCTION("""COMPUTED_VALUE"""),2023.05)</f>
        <v>2023.05</v>
      </c>
      <c r="L925" s="298"/>
      <c r="M925" s="223"/>
      <c r="N925" s="223"/>
      <c r="O925" s="223"/>
      <c r="P925" s="223"/>
      <c r="Q925" s="223"/>
      <c r="R925" s="223"/>
      <c r="S925" s="223"/>
      <c r="T925" s="223"/>
      <c r="U925" s="223"/>
      <c r="V925" s="223"/>
      <c r="W925" s="223"/>
      <c r="X925" s="223"/>
      <c r="Y925" s="223"/>
      <c r="Z925" s="223"/>
    </row>
    <row r="926">
      <c r="A926" s="223" t="str">
        <f>IFERROR(__xludf.DUMMYFUNCTION("""COMPUTED_VALUE"""),"GreenLane Offroad : PPC, SEO &amp; Analytics Work")</f>
        <v>GreenLane Offroad : PPC, SEO &amp; Analytics Work</v>
      </c>
      <c r="B926" s="223" t="str">
        <f>IFERROR(__xludf.DUMMYFUNCTION("""COMPUTED_VALUE"""),"GreenLane Offroad")</f>
        <v>GreenLane Offroad</v>
      </c>
      <c r="C926" s="223" t="str">
        <f>IFERROR(__xludf.DUMMYFUNCTION("""COMPUTED_VALUE"""),"PPC, SEO &amp; Analytics Work")</f>
        <v>PPC, SEO &amp; Analytics Work</v>
      </c>
      <c r="D926" s="316">
        <f>IFERROR(__xludf.DUMMYFUNCTION("""COMPUTED_VALUE"""),45077.0)</f>
        <v>45077</v>
      </c>
      <c r="E926" s="298">
        <f>IFERROR(__xludf.DUMMYFUNCTION("""COMPUTED_VALUE"""),1700.0)</f>
        <v>1700</v>
      </c>
      <c r="F926" s="298">
        <f>IFERROR(__xludf.DUMMYFUNCTION("""COMPUTED_VALUE"""),52.89)</f>
        <v>52.89</v>
      </c>
      <c r="G926" s="298">
        <f>IFERROR(__xludf.DUMMYFUNCTION("""COMPUTED_VALUE"""),0.0)</f>
        <v>0</v>
      </c>
      <c r="H926" s="223">
        <f>IFERROR(__xludf.DUMMYFUNCTION("""COMPUTED_VALUE"""),1647.11)</f>
        <v>1647.11</v>
      </c>
      <c r="I926" s="298"/>
      <c r="J926" s="223" t="str">
        <f>IFERROR(__xludf.DUMMYFUNCTION("""COMPUTED_VALUE"""),"Monthly")</f>
        <v>Monthly</v>
      </c>
      <c r="K926" s="317">
        <f>IFERROR(__xludf.DUMMYFUNCTION("""COMPUTED_VALUE"""),2023.05)</f>
        <v>2023.05</v>
      </c>
      <c r="L926" s="298"/>
      <c r="M926" s="223"/>
      <c r="N926" s="223"/>
      <c r="O926" s="223"/>
      <c r="P926" s="223"/>
      <c r="Q926" s="223"/>
      <c r="R926" s="223"/>
      <c r="S926" s="223"/>
      <c r="T926" s="223"/>
      <c r="U926" s="223"/>
      <c r="V926" s="223"/>
      <c r="W926" s="223"/>
      <c r="X926" s="223"/>
      <c r="Y926" s="223"/>
      <c r="Z926" s="223"/>
    </row>
    <row r="927">
      <c r="A927" s="223" t="str">
        <f>IFERROR(__xludf.DUMMYFUNCTION("""COMPUTED_VALUE"""),"Crisp Media : Client GA4 Upgrades")</f>
        <v>Crisp Media : Client GA4 Upgrades</v>
      </c>
      <c r="B927" s="223" t="str">
        <f>IFERROR(__xludf.DUMMYFUNCTION("""COMPUTED_VALUE"""),"Crisp Media")</f>
        <v>Crisp Media</v>
      </c>
      <c r="C927" s="223" t="str">
        <f>IFERROR(__xludf.DUMMYFUNCTION("""COMPUTED_VALUE"""),"Client GA4 Upgrades")</f>
        <v>Client GA4 Upgrades</v>
      </c>
      <c r="D927" s="316">
        <f>IFERROR(__xludf.DUMMYFUNCTION("""COMPUTED_VALUE"""),45092.0)</f>
        <v>45092</v>
      </c>
      <c r="E927" s="298">
        <f>IFERROR(__xludf.DUMMYFUNCTION("""COMPUTED_VALUE"""),980.0)</f>
        <v>980</v>
      </c>
      <c r="F927" s="298">
        <f>IFERROR(__xludf.DUMMYFUNCTION("""COMPUTED_VALUE"""),30.49)</f>
        <v>30.49</v>
      </c>
      <c r="G927" s="298">
        <f>IFERROR(__xludf.DUMMYFUNCTION("""COMPUTED_VALUE"""),0.0)</f>
        <v>0</v>
      </c>
      <c r="H927" s="223">
        <f>IFERROR(__xludf.DUMMYFUNCTION("""COMPUTED_VALUE"""),949.51)</f>
        <v>949.51</v>
      </c>
      <c r="I927" s="298"/>
      <c r="J927" s="223" t="str">
        <f>IFERROR(__xludf.DUMMYFUNCTION("""COMPUTED_VALUE"""),"One-Time")</f>
        <v>One-Time</v>
      </c>
      <c r="K927" s="317">
        <f>IFERROR(__xludf.DUMMYFUNCTION("""COMPUTED_VALUE"""),2023.0)</f>
        <v>2023</v>
      </c>
      <c r="L927" s="298"/>
      <c r="M927" s="223"/>
      <c r="N927" s="223"/>
      <c r="O927" s="223"/>
      <c r="P927" s="223"/>
      <c r="Q927" s="223"/>
      <c r="R927" s="223"/>
      <c r="S927" s="223"/>
      <c r="T927" s="223"/>
      <c r="U927" s="223"/>
      <c r="V927" s="223"/>
      <c r="W927" s="223"/>
      <c r="X927" s="223"/>
      <c r="Y927" s="223"/>
      <c r="Z927" s="223"/>
    </row>
    <row r="928">
      <c r="A928" s="223" t="str">
        <f>IFERROR(__xludf.DUMMYFUNCTION("""COMPUTED_VALUE"""),"Booginhead : Monthly Services")</f>
        <v>Booginhead : Monthly Services</v>
      </c>
      <c r="B928" s="223" t="str">
        <f>IFERROR(__xludf.DUMMYFUNCTION("""COMPUTED_VALUE"""),"Booginhead")</f>
        <v>Booginhead</v>
      </c>
      <c r="C928" s="223" t="str">
        <f>IFERROR(__xludf.DUMMYFUNCTION("""COMPUTED_VALUE"""),"Monthly Services")</f>
        <v>Monthly Services</v>
      </c>
      <c r="D928" s="316">
        <f>IFERROR(__xludf.DUMMYFUNCTION("""COMPUTED_VALUE"""),45092.0)</f>
        <v>45092</v>
      </c>
      <c r="E928" s="298">
        <f>IFERROR(__xludf.DUMMYFUNCTION("""COMPUTED_VALUE"""),1831.94297)</f>
        <v>1831.94297</v>
      </c>
      <c r="F928" s="298">
        <f>IFERROR(__xludf.DUMMYFUNCTION("""COMPUTED_VALUE"""),68.16621359000001)</f>
        <v>68.16621359</v>
      </c>
      <c r="G928" s="298">
        <f>IFERROR(__xludf.DUMMYFUNCTION("""COMPUTED_VALUE"""),352.755351282)</f>
        <v>352.7553513</v>
      </c>
      <c r="H928" s="223">
        <f>IFERROR(__xludf.DUMMYFUNCTION("""COMPUTED_VALUE"""),1411.021405128)</f>
        <v>1411.021405</v>
      </c>
      <c r="I928" s="298"/>
      <c r="J928" s="223" t="str">
        <f>IFERROR(__xludf.DUMMYFUNCTION("""COMPUTED_VALUE"""),"Monthly")</f>
        <v>Monthly</v>
      </c>
      <c r="K928" s="317">
        <f>IFERROR(__xludf.DUMMYFUNCTION("""COMPUTED_VALUE"""),2023.06)</f>
        <v>2023.06</v>
      </c>
      <c r="L928" s="298"/>
      <c r="M928" s="223"/>
      <c r="N928" s="223"/>
      <c r="O928" s="223"/>
      <c r="P928" s="223"/>
      <c r="Q928" s="223"/>
      <c r="R928" s="223"/>
      <c r="S928" s="223"/>
      <c r="T928" s="223"/>
      <c r="U928" s="223"/>
      <c r="V928" s="223"/>
      <c r="W928" s="223"/>
      <c r="X928" s="223"/>
      <c r="Y928" s="223"/>
      <c r="Z928" s="223"/>
    </row>
    <row r="929">
      <c r="A929" s="223" t="str">
        <f>IFERROR(__xludf.DUMMYFUNCTION("""COMPUTED_VALUE"""),"New Growth Ecommerce Inc : Monthly Services")</f>
        <v>New Growth Ecommerce Inc : Monthly Services</v>
      </c>
      <c r="B929" s="223" t="str">
        <f>IFERROR(__xludf.DUMMYFUNCTION("""COMPUTED_VALUE"""),"New Growth Ecommerce Inc")</f>
        <v>New Growth Ecommerce Inc</v>
      </c>
      <c r="C929" s="223" t="str">
        <f>IFERROR(__xludf.DUMMYFUNCTION("""COMPUTED_VALUE"""),"Monthly Services")</f>
        <v>Monthly Services</v>
      </c>
      <c r="D929" s="316">
        <f>IFERROR(__xludf.DUMMYFUNCTION("""COMPUTED_VALUE"""),45092.0)</f>
        <v>45092</v>
      </c>
      <c r="E929" s="298">
        <f>IFERROR(__xludf.DUMMYFUNCTION("""COMPUTED_VALUE"""),5000.0)</f>
        <v>5000</v>
      </c>
      <c r="F929" s="298">
        <f>IFERROR(__xludf.DUMMYFUNCTION("""COMPUTED_VALUE"""),0.0)</f>
        <v>0</v>
      </c>
      <c r="G929" s="298">
        <f>IFERROR(__xludf.DUMMYFUNCTION("""COMPUTED_VALUE"""),0.0)</f>
        <v>0</v>
      </c>
      <c r="H929" s="223">
        <f>IFERROR(__xludf.DUMMYFUNCTION("""COMPUTED_VALUE"""),5000.0)</f>
        <v>5000</v>
      </c>
      <c r="I929" s="298"/>
      <c r="J929" s="223" t="str">
        <f>IFERROR(__xludf.DUMMYFUNCTION("""COMPUTED_VALUE"""),"Monthly")</f>
        <v>Monthly</v>
      </c>
      <c r="K929" s="317">
        <f>IFERROR(__xludf.DUMMYFUNCTION("""COMPUTED_VALUE"""),2023.06)</f>
        <v>2023.06</v>
      </c>
      <c r="L929" s="298"/>
      <c r="M929" s="223"/>
      <c r="N929" s="223"/>
      <c r="O929" s="223"/>
      <c r="P929" s="223"/>
      <c r="Q929" s="223"/>
      <c r="R929" s="223"/>
      <c r="S929" s="223"/>
      <c r="T929" s="223"/>
      <c r="U929" s="223"/>
      <c r="V929" s="223"/>
      <c r="W929" s="223"/>
      <c r="X929" s="223"/>
      <c r="Y929" s="223"/>
      <c r="Z929" s="223"/>
    </row>
    <row r="930">
      <c r="A930" s="223" t="str">
        <f>IFERROR(__xludf.DUMMYFUNCTION("""COMPUTED_VALUE"""),"OA Region 6 : Monthly Services")</f>
        <v>OA Region 6 : Monthly Services</v>
      </c>
      <c r="B930" s="223" t="str">
        <f>IFERROR(__xludf.DUMMYFUNCTION("""COMPUTED_VALUE"""),"OA Region 6")</f>
        <v>OA Region 6</v>
      </c>
      <c r="C930" s="223" t="str">
        <f>IFERROR(__xludf.DUMMYFUNCTION("""COMPUTED_VALUE"""),"Monthly Services")</f>
        <v>Monthly Services</v>
      </c>
      <c r="D930" s="316">
        <f>IFERROR(__xludf.DUMMYFUNCTION("""COMPUTED_VALUE"""),45092.0)</f>
        <v>45092</v>
      </c>
      <c r="E930" s="298">
        <f>IFERROR(__xludf.DUMMYFUNCTION("""COMPUTED_VALUE"""),446.13695)</f>
        <v>446.13695</v>
      </c>
      <c r="F930" s="298">
        <f>IFERROR(__xludf.DUMMYFUNCTION("""COMPUTED_VALUE"""),16.889470250000002)</f>
        <v>16.88947025</v>
      </c>
      <c r="G930" s="298">
        <f>IFERROR(__xludf.DUMMYFUNCTION("""COMPUTED_VALUE"""),0.0)</f>
        <v>0</v>
      </c>
      <c r="H930" s="223">
        <f>IFERROR(__xludf.DUMMYFUNCTION("""COMPUTED_VALUE"""),429.24747975)</f>
        <v>429.2474798</v>
      </c>
      <c r="I930" s="298"/>
      <c r="J930" s="223" t="str">
        <f>IFERROR(__xludf.DUMMYFUNCTION("""COMPUTED_VALUE"""),"Monthly")</f>
        <v>Monthly</v>
      </c>
      <c r="K930" s="317">
        <f>IFERROR(__xludf.DUMMYFUNCTION("""COMPUTED_VALUE"""),2023.06)</f>
        <v>2023.06</v>
      </c>
      <c r="L930" s="298"/>
      <c r="M930" s="223"/>
      <c r="N930" s="223"/>
      <c r="O930" s="223"/>
      <c r="P930" s="223"/>
      <c r="Q930" s="223"/>
      <c r="R930" s="223"/>
      <c r="S930" s="223"/>
      <c r="T930" s="223"/>
      <c r="U930" s="223"/>
      <c r="V930" s="223"/>
      <c r="W930" s="223"/>
      <c r="X930" s="223"/>
      <c r="Y930" s="223"/>
      <c r="Z930" s="223"/>
    </row>
    <row r="931">
      <c r="A931" s="223" t="str">
        <f>IFERROR(__xludf.DUMMYFUNCTION("""COMPUTED_VALUE"""),"Rama Meditation Society : Monthly Hosting &amp; Updates")</f>
        <v>Rama Meditation Society : Monthly Hosting &amp; Updates</v>
      </c>
      <c r="B931" s="223" t="str">
        <f>IFERROR(__xludf.DUMMYFUNCTION("""COMPUTED_VALUE"""),"Rama Meditation Society")</f>
        <v>Rama Meditation Society</v>
      </c>
      <c r="C931" s="223" t="str">
        <f>IFERROR(__xludf.DUMMYFUNCTION("""COMPUTED_VALUE"""),"Monthly Hosting &amp; Updates")</f>
        <v>Monthly Hosting &amp; Updates</v>
      </c>
      <c r="D931" s="316">
        <f>IFERROR(__xludf.DUMMYFUNCTION("""COMPUTED_VALUE"""),45092.0)</f>
        <v>45092</v>
      </c>
      <c r="E931" s="298">
        <f>IFERROR(__xludf.DUMMYFUNCTION("""COMPUTED_VALUE"""),76.86474000000001)</f>
        <v>76.86474</v>
      </c>
      <c r="F931" s="298">
        <f>IFERROR(__xludf.DUMMYFUNCTION("""COMPUTED_VALUE"""),3.2283190800000003)</f>
        <v>3.22831908</v>
      </c>
      <c r="G931" s="298">
        <f>IFERROR(__xludf.DUMMYFUNCTION("""COMPUTED_VALUE"""),0.0)</f>
        <v>0</v>
      </c>
      <c r="H931" s="223">
        <f>IFERROR(__xludf.DUMMYFUNCTION("""COMPUTED_VALUE"""),73.63642092)</f>
        <v>73.63642092</v>
      </c>
      <c r="I931" s="298"/>
      <c r="J931" s="223" t="str">
        <f>IFERROR(__xludf.DUMMYFUNCTION("""COMPUTED_VALUE"""),"Monthly")</f>
        <v>Monthly</v>
      </c>
      <c r="K931" s="317">
        <f>IFERROR(__xludf.DUMMYFUNCTION("""COMPUTED_VALUE"""),2023.06)</f>
        <v>2023.06</v>
      </c>
      <c r="L931" s="298"/>
      <c r="M931" s="223"/>
      <c r="N931" s="223"/>
      <c r="O931" s="223"/>
      <c r="P931" s="223"/>
      <c r="Q931" s="223"/>
      <c r="R931" s="223"/>
      <c r="S931" s="223"/>
      <c r="T931" s="223"/>
      <c r="U931" s="223"/>
      <c r="V931" s="223"/>
      <c r="W931" s="223"/>
      <c r="X931" s="223"/>
      <c r="Y931" s="223"/>
      <c r="Z931" s="223"/>
    </row>
    <row r="932">
      <c r="A932" s="223" t="str">
        <f>IFERROR(__xludf.DUMMYFUNCTION("""COMPUTED_VALUE"""),"Tofino Resort + Marina : Monthly Services")</f>
        <v>Tofino Resort + Marina : Monthly Services</v>
      </c>
      <c r="B932" s="223" t="str">
        <f>IFERROR(__xludf.DUMMYFUNCTION("""COMPUTED_VALUE"""),"Tofino Resort + Marina")</f>
        <v>Tofino Resort + Marina</v>
      </c>
      <c r="C932" s="223" t="str">
        <f>IFERROR(__xludf.DUMMYFUNCTION("""COMPUTED_VALUE"""),"Monthly Services")</f>
        <v>Monthly Services</v>
      </c>
      <c r="D932" s="316">
        <f>IFERROR(__xludf.DUMMYFUNCTION("""COMPUTED_VALUE"""),45092.0)</f>
        <v>45092</v>
      </c>
      <c r="E932" s="298">
        <f>IFERROR(__xludf.DUMMYFUNCTION("""COMPUTED_VALUE"""),1600.0)</f>
        <v>1600</v>
      </c>
      <c r="F932" s="298">
        <f>IFERROR(__xludf.DUMMYFUNCTION("""COMPUTED_VALUE"""),49.78)</f>
        <v>49.78</v>
      </c>
      <c r="G932" s="298">
        <f>IFERROR(__xludf.DUMMYFUNCTION("""COMPUTED_VALUE"""),0.0)</f>
        <v>0</v>
      </c>
      <c r="H932" s="223">
        <f>IFERROR(__xludf.DUMMYFUNCTION("""COMPUTED_VALUE"""),1550.22)</f>
        <v>1550.22</v>
      </c>
      <c r="I932" s="298"/>
      <c r="J932" s="223" t="str">
        <f>IFERROR(__xludf.DUMMYFUNCTION("""COMPUTED_VALUE"""),"Monthly")</f>
        <v>Monthly</v>
      </c>
      <c r="K932" s="317">
        <f>IFERROR(__xludf.DUMMYFUNCTION("""COMPUTED_VALUE"""),2023.06)</f>
        <v>2023.06</v>
      </c>
      <c r="L932" s="298"/>
      <c r="M932" s="223"/>
      <c r="N932" s="223"/>
      <c r="O932" s="223"/>
      <c r="P932" s="223"/>
      <c r="Q932" s="223"/>
      <c r="R932" s="223"/>
      <c r="S932" s="223"/>
      <c r="T932" s="223"/>
      <c r="U932" s="223"/>
      <c r="V932" s="223"/>
      <c r="W932" s="223"/>
      <c r="X932" s="223"/>
      <c r="Y932" s="223"/>
      <c r="Z932" s="223"/>
    </row>
    <row r="933">
      <c r="A933" s="223" t="str">
        <f>IFERROR(__xludf.DUMMYFUNCTION("""COMPUTED_VALUE"""),"Canyon's Construction : Enhanced Hosting &amp; WordPress Support")</f>
        <v>Canyon's Construction : Enhanced Hosting &amp; WordPress Support</v>
      </c>
      <c r="B933" s="223" t="str">
        <f>IFERROR(__xludf.DUMMYFUNCTION("""COMPUTED_VALUE"""),"Canyon's Construction")</f>
        <v>Canyon's Construction</v>
      </c>
      <c r="C933" s="223" t="str">
        <f>IFERROR(__xludf.DUMMYFUNCTION("""COMPUTED_VALUE"""),"Enhanced Hosting &amp; WordPress Support")</f>
        <v>Enhanced Hosting &amp; WordPress Support</v>
      </c>
      <c r="D933" s="316">
        <f>IFERROR(__xludf.DUMMYFUNCTION("""COMPUTED_VALUE"""),45092.0)</f>
        <v>45092</v>
      </c>
      <c r="E933" s="298">
        <f>IFERROR(__xludf.DUMMYFUNCTION("""COMPUTED_VALUE"""),280.0)</f>
        <v>280</v>
      </c>
      <c r="F933" s="298"/>
      <c r="G933" s="298">
        <f>IFERROR(__xludf.DUMMYFUNCTION("""COMPUTED_VALUE"""),56.0)</f>
        <v>56</v>
      </c>
      <c r="H933" s="223">
        <f>IFERROR(__xludf.DUMMYFUNCTION("""COMPUTED_VALUE"""),224.0)</f>
        <v>224</v>
      </c>
      <c r="I933" s="298"/>
      <c r="J933" s="223" t="str">
        <f>IFERROR(__xludf.DUMMYFUNCTION("""COMPUTED_VALUE"""),"Monthly")</f>
        <v>Monthly</v>
      </c>
      <c r="K933" s="317">
        <f>IFERROR(__xludf.DUMMYFUNCTION("""COMPUTED_VALUE"""),2023.06)</f>
        <v>2023.06</v>
      </c>
      <c r="L933" s="298"/>
      <c r="M933" s="223"/>
      <c r="N933" s="223"/>
      <c r="O933" s="223"/>
      <c r="P933" s="223"/>
      <c r="Q933" s="223"/>
      <c r="R933" s="223"/>
      <c r="S933" s="223"/>
      <c r="T933" s="223"/>
      <c r="U933" s="223"/>
      <c r="V933" s="223"/>
      <c r="W933" s="223"/>
      <c r="X933" s="223"/>
      <c r="Y933" s="223"/>
      <c r="Z933" s="223"/>
    </row>
    <row r="934">
      <c r="A934" s="223" t="str">
        <f>IFERROR(__xludf.DUMMYFUNCTION("""COMPUTED_VALUE"""),"Villa del Mar : Enhanced Hosting &amp; WordPress Support")</f>
        <v>Villa del Mar : Enhanced Hosting &amp; WordPress Support</v>
      </c>
      <c r="B934" s="223" t="str">
        <f>IFERROR(__xludf.DUMMYFUNCTION("""COMPUTED_VALUE"""),"Villa del Mar")</f>
        <v>Villa del Mar</v>
      </c>
      <c r="C934" s="223" t="str">
        <f>IFERROR(__xludf.DUMMYFUNCTION("""COMPUTED_VALUE"""),"Enhanced Hosting &amp; WordPress Support")</f>
        <v>Enhanced Hosting &amp; WordPress Support</v>
      </c>
      <c r="D934" s="316">
        <f>IFERROR(__xludf.DUMMYFUNCTION("""COMPUTED_VALUE"""),45092.0)</f>
        <v>45092</v>
      </c>
      <c r="E934" s="298">
        <f>IFERROR(__xludf.DUMMYFUNCTION("""COMPUTED_VALUE"""),362.7036)</f>
        <v>362.7036</v>
      </c>
      <c r="F934" s="298">
        <f>IFERROR(__xludf.DUMMYFUNCTION("""COMPUTED_VALUE"""),10.82)</f>
        <v>10.82</v>
      </c>
      <c r="G934" s="298">
        <f>IFERROR(__xludf.DUMMYFUNCTION("""COMPUTED_VALUE"""),0.0)</f>
        <v>0</v>
      </c>
      <c r="H934" s="223">
        <f>IFERROR(__xludf.DUMMYFUNCTION("""COMPUTED_VALUE"""),351.8836)</f>
        <v>351.8836</v>
      </c>
      <c r="I934" s="298"/>
      <c r="J934" s="223" t="str">
        <f>IFERROR(__xludf.DUMMYFUNCTION("""COMPUTED_VALUE"""),"Monthly")</f>
        <v>Monthly</v>
      </c>
      <c r="K934" s="317">
        <f>IFERROR(__xludf.DUMMYFUNCTION("""COMPUTED_VALUE"""),2023.06)</f>
        <v>2023.06</v>
      </c>
      <c r="L934" s="298"/>
      <c r="M934" s="223"/>
      <c r="N934" s="223"/>
      <c r="O934" s="223"/>
      <c r="P934" s="223"/>
      <c r="Q934" s="223"/>
      <c r="R934" s="223"/>
      <c r="S934" s="223"/>
      <c r="T934" s="223"/>
      <c r="U934" s="223"/>
      <c r="V934" s="223"/>
      <c r="W934" s="223"/>
      <c r="X934" s="223"/>
      <c r="Y934" s="223"/>
      <c r="Z934" s="223"/>
    </row>
    <row r="935">
      <c r="A935" s="223" t="str">
        <f>IFERROR(__xludf.DUMMYFUNCTION("""COMPUTED_VALUE"""),"Classic LifeCare : Monthly Google Ads (PPC) Management")</f>
        <v>Classic LifeCare : Monthly Google Ads (PPC) Management</v>
      </c>
      <c r="B935" s="223" t="str">
        <f>IFERROR(__xludf.DUMMYFUNCTION("""COMPUTED_VALUE"""),"Classic LifeCare")</f>
        <v>Classic LifeCare</v>
      </c>
      <c r="C935" s="223" t="str">
        <f>IFERROR(__xludf.DUMMYFUNCTION("""COMPUTED_VALUE"""),"Monthly Google Ads (PPC) Management")</f>
        <v>Monthly Google Ads (PPC) Management</v>
      </c>
      <c r="D935" s="316">
        <f>IFERROR(__xludf.DUMMYFUNCTION("""COMPUTED_VALUE"""),45092.0)</f>
        <v>45092</v>
      </c>
      <c r="E935" s="298">
        <f>IFERROR(__xludf.DUMMYFUNCTION("""COMPUTED_VALUE"""),865.0)</f>
        <v>865</v>
      </c>
      <c r="F935" s="298">
        <f>IFERROR(__xludf.DUMMYFUNCTION("""COMPUTED_VALUE"""),0.0)</f>
        <v>0</v>
      </c>
      <c r="G935" s="298">
        <f>IFERROR(__xludf.DUMMYFUNCTION("""COMPUTED_VALUE"""),0.0)</f>
        <v>0</v>
      </c>
      <c r="H935" s="223">
        <f>IFERROR(__xludf.DUMMYFUNCTION("""COMPUTED_VALUE"""),865.0)</f>
        <v>865</v>
      </c>
      <c r="I935" s="298"/>
      <c r="J935" s="223" t="str">
        <f>IFERROR(__xludf.DUMMYFUNCTION("""COMPUTED_VALUE"""),"Monthly")</f>
        <v>Monthly</v>
      </c>
      <c r="K935" s="317">
        <f>IFERROR(__xludf.DUMMYFUNCTION("""COMPUTED_VALUE"""),2023.06)</f>
        <v>2023.06</v>
      </c>
      <c r="L935" s="298"/>
      <c r="M935" s="223"/>
      <c r="N935" s="223"/>
      <c r="O935" s="223"/>
      <c r="P935" s="223"/>
      <c r="Q935" s="223"/>
      <c r="R935" s="223"/>
      <c r="S935" s="223"/>
      <c r="T935" s="223"/>
      <c r="U935" s="223"/>
      <c r="V935" s="223"/>
      <c r="W935" s="223"/>
      <c r="X935" s="223"/>
      <c r="Y935" s="223"/>
      <c r="Z935" s="223"/>
    </row>
    <row r="936">
      <c r="A936" s="223" t="str">
        <f>IFERROR(__xludf.DUMMYFUNCTION("""COMPUTED_VALUE"""),"Ultimate Tools : Monthly SEO &amp; PPC Management")</f>
        <v>Ultimate Tools : Monthly SEO &amp; PPC Management</v>
      </c>
      <c r="B936" s="223" t="str">
        <f>IFERROR(__xludf.DUMMYFUNCTION("""COMPUTED_VALUE"""),"Ultimate Tools")</f>
        <v>Ultimate Tools</v>
      </c>
      <c r="C936" s="223" t="str">
        <f>IFERROR(__xludf.DUMMYFUNCTION("""COMPUTED_VALUE"""),"Monthly SEO &amp; PPC Management")</f>
        <v>Monthly SEO &amp; PPC Management</v>
      </c>
      <c r="D936" s="316">
        <f>IFERROR(__xludf.DUMMYFUNCTION("""COMPUTED_VALUE"""),45092.0)</f>
        <v>45092</v>
      </c>
      <c r="E936" s="298">
        <f>IFERROR(__xludf.DUMMYFUNCTION("""COMPUTED_VALUE"""),2500.0)</f>
        <v>2500</v>
      </c>
      <c r="F936" s="298">
        <f>IFERROR(__xludf.DUMMYFUNCTION("""COMPUTED_VALUE"""),0.0)</f>
        <v>0</v>
      </c>
      <c r="G936" s="298">
        <f>IFERROR(__xludf.DUMMYFUNCTION("""COMPUTED_VALUE"""),0.0)</f>
        <v>0</v>
      </c>
      <c r="H936" s="223">
        <f>IFERROR(__xludf.DUMMYFUNCTION("""COMPUTED_VALUE"""),2500.0)</f>
        <v>2500</v>
      </c>
      <c r="I936" s="298"/>
      <c r="J936" s="223" t="str">
        <f>IFERROR(__xludf.DUMMYFUNCTION("""COMPUTED_VALUE"""),"Monthly")</f>
        <v>Monthly</v>
      </c>
      <c r="K936" s="317">
        <f>IFERROR(__xludf.DUMMYFUNCTION("""COMPUTED_VALUE"""),2023.06)</f>
        <v>2023.06</v>
      </c>
      <c r="L936" s="298"/>
      <c r="M936" s="223"/>
      <c r="N936" s="223"/>
      <c r="O936" s="223"/>
      <c r="P936" s="223"/>
      <c r="Q936" s="223"/>
      <c r="R936" s="223"/>
      <c r="S936" s="223"/>
      <c r="T936" s="223"/>
      <c r="U936" s="223"/>
      <c r="V936" s="223"/>
      <c r="W936" s="223"/>
      <c r="X936" s="223"/>
      <c r="Y936" s="223"/>
      <c r="Z936" s="223"/>
    </row>
    <row r="937">
      <c r="A937" s="223" t="str">
        <f>IFERROR(__xludf.DUMMYFUNCTION("""COMPUTED_VALUE"""),"Terra Insights : Monthly PPC")</f>
        <v>Terra Insights : Monthly PPC</v>
      </c>
      <c r="B937" s="223" t="str">
        <f>IFERROR(__xludf.DUMMYFUNCTION("""COMPUTED_VALUE"""),"Terra Insights")</f>
        <v>Terra Insights</v>
      </c>
      <c r="C937" s="223" t="str">
        <f>IFERROR(__xludf.DUMMYFUNCTION("""COMPUTED_VALUE"""),"Monthly PPC")</f>
        <v>Monthly PPC</v>
      </c>
      <c r="D937" s="316">
        <f>IFERROR(__xludf.DUMMYFUNCTION("""COMPUTED_VALUE"""),45092.0)</f>
        <v>45092</v>
      </c>
      <c r="E937" s="298">
        <f>IFERROR(__xludf.DUMMYFUNCTION("""COMPUTED_VALUE"""),2000.0)</f>
        <v>2000</v>
      </c>
      <c r="F937" s="298">
        <f>IFERROR(__xludf.DUMMYFUNCTION("""COMPUTED_VALUE"""),62.22)</f>
        <v>62.22</v>
      </c>
      <c r="G937" s="298">
        <f>IFERROR(__xludf.DUMMYFUNCTION("""COMPUTED_VALUE"""),0.0)</f>
        <v>0</v>
      </c>
      <c r="H937" s="223">
        <f>IFERROR(__xludf.DUMMYFUNCTION("""COMPUTED_VALUE"""),1937.78)</f>
        <v>1937.78</v>
      </c>
      <c r="I937" s="298"/>
      <c r="J937" s="223" t="str">
        <f>IFERROR(__xludf.DUMMYFUNCTION("""COMPUTED_VALUE"""),"Monthly")</f>
        <v>Monthly</v>
      </c>
      <c r="K937" s="317">
        <f>IFERROR(__xludf.DUMMYFUNCTION("""COMPUTED_VALUE"""),2023.06)</f>
        <v>2023.06</v>
      </c>
      <c r="L937" s="298"/>
      <c r="M937" s="223"/>
      <c r="N937" s="223"/>
      <c r="O937" s="223"/>
      <c r="P937" s="223"/>
      <c r="Q937" s="223"/>
      <c r="R937" s="223"/>
      <c r="S937" s="223"/>
      <c r="T937" s="223"/>
      <c r="U937" s="223"/>
      <c r="V937" s="223"/>
      <c r="W937" s="223"/>
      <c r="X937" s="223"/>
      <c r="Y937" s="223"/>
      <c r="Z937" s="223"/>
    </row>
    <row r="938">
      <c r="A938" s="223" t="str">
        <f>IFERROR(__xludf.DUMMYFUNCTION("""COMPUTED_VALUE"""),"Markey Machine : General Support Retainer")</f>
        <v>Markey Machine : General Support Retainer</v>
      </c>
      <c r="B938" s="223" t="str">
        <f>IFERROR(__xludf.DUMMYFUNCTION("""COMPUTED_VALUE"""),"Markey Machine")</f>
        <v>Markey Machine</v>
      </c>
      <c r="C938" s="223" t="str">
        <f>IFERROR(__xludf.DUMMYFUNCTION("""COMPUTED_VALUE"""),"General Support Retainer")</f>
        <v>General Support Retainer</v>
      </c>
      <c r="D938" s="316">
        <f>IFERROR(__xludf.DUMMYFUNCTION("""COMPUTED_VALUE"""),45092.0)</f>
        <v>45092</v>
      </c>
      <c r="E938" s="298">
        <f>IFERROR(__xludf.DUMMYFUNCTION("""COMPUTED_VALUE"""),320.875)</f>
        <v>320.875</v>
      </c>
      <c r="F938" s="298">
        <f>IFERROR(__xludf.DUMMYFUNCTION("""COMPUTED_VALUE"""),0.0)</f>
        <v>0</v>
      </c>
      <c r="G938" s="298">
        <f>IFERROR(__xludf.DUMMYFUNCTION("""COMPUTED_VALUE"""),64.175)</f>
        <v>64.175</v>
      </c>
      <c r="H938" s="223">
        <f>IFERROR(__xludf.DUMMYFUNCTION("""COMPUTED_VALUE"""),256.7)</f>
        <v>256.7</v>
      </c>
      <c r="I938" s="298"/>
      <c r="J938" s="223" t="str">
        <f>IFERROR(__xludf.DUMMYFUNCTION("""COMPUTED_VALUE"""),"Monthly")</f>
        <v>Monthly</v>
      </c>
      <c r="K938" s="317">
        <f>IFERROR(__xludf.DUMMYFUNCTION("""COMPUTED_VALUE"""),2023.06)</f>
        <v>2023.06</v>
      </c>
      <c r="L938" s="298"/>
      <c r="M938" s="223"/>
      <c r="N938" s="223"/>
      <c r="O938" s="223"/>
      <c r="P938" s="223"/>
      <c r="Q938" s="223"/>
      <c r="R938" s="223"/>
      <c r="S938" s="223"/>
      <c r="T938" s="223"/>
      <c r="U938" s="223"/>
      <c r="V938" s="223"/>
      <c r="W938" s="223"/>
      <c r="X938" s="223"/>
      <c r="Y938" s="223"/>
      <c r="Z938" s="223"/>
    </row>
    <row r="939">
      <c r="A939" s="223" t="str">
        <f>IFERROR(__xludf.DUMMYFUNCTION("""COMPUTED_VALUE"""),"Spraggs : Comprehensive GA4 Update")</f>
        <v>Spraggs : Comprehensive GA4 Update</v>
      </c>
      <c r="B939" s="223" t="str">
        <f>IFERROR(__xludf.DUMMYFUNCTION("""COMPUTED_VALUE"""),"Spraggs")</f>
        <v>Spraggs</v>
      </c>
      <c r="C939" s="223" t="str">
        <f>IFERROR(__xludf.DUMMYFUNCTION("""COMPUTED_VALUE"""),"Comprehensive GA4 Update")</f>
        <v>Comprehensive GA4 Update</v>
      </c>
      <c r="D939" s="316">
        <f>IFERROR(__xludf.DUMMYFUNCTION("""COMPUTED_VALUE"""),45107.0)</f>
        <v>45107</v>
      </c>
      <c r="E939" s="298">
        <f>IFERROR(__xludf.DUMMYFUNCTION("""COMPUTED_VALUE"""),700.0)</f>
        <v>700</v>
      </c>
      <c r="F939" s="298">
        <f>IFERROR(__xludf.DUMMYFUNCTION("""COMPUTED_VALUE"""),21.78)</f>
        <v>21.78</v>
      </c>
      <c r="G939" s="298">
        <f>IFERROR(__xludf.DUMMYFUNCTION("""COMPUTED_VALUE"""),0.0)</f>
        <v>0</v>
      </c>
      <c r="H939" s="223">
        <f>IFERROR(__xludf.DUMMYFUNCTION("""COMPUTED_VALUE"""),678.22)</f>
        <v>678.22</v>
      </c>
      <c r="I939" s="298"/>
      <c r="J939" s="223" t="str">
        <f>IFERROR(__xludf.DUMMYFUNCTION("""COMPUTED_VALUE"""),"One-Time")</f>
        <v>One-Time</v>
      </c>
      <c r="K939" s="317">
        <f>IFERROR(__xludf.DUMMYFUNCTION("""COMPUTED_VALUE"""),2023.0)</f>
        <v>2023</v>
      </c>
      <c r="L939" s="298"/>
      <c r="M939" s="223"/>
      <c r="N939" s="223"/>
      <c r="O939" s="223"/>
      <c r="P939" s="223"/>
      <c r="Q939" s="223"/>
      <c r="R939" s="223"/>
      <c r="S939" s="223"/>
      <c r="T939" s="223"/>
      <c r="U939" s="223"/>
      <c r="V939" s="223"/>
      <c r="W939" s="223"/>
      <c r="X939" s="223"/>
      <c r="Y939" s="223"/>
      <c r="Z939" s="223"/>
    </row>
    <row r="940">
      <c r="A940" s="223" t="str">
        <f>IFERROR(__xludf.DUMMYFUNCTION("""COMPUTED_VALUE"""),"GreenLane Offroad : Monthly Ads Support")</f>
        <v>GreenLane Offroad : Monthly Ads Support</v>
      </c>
      <c r="B940" s="223" t="str">
        <f>IFERROR(__xludf.DUMMYFUNCTION("""COMPUTED_VALUE"""),"GreenLane Offroad")</f>
        <v>GreenLane Offroad</v>
      </c>
      <c r="C940" s="223" t="str">
        <f>IFERROR(__xludf.DUMMYFUNCTION("""COMPUTED_VALUE"""),"Monthly Ads Support")</f>
        <v>Monthly Ads Support</v>
      </c>
      <c r="D940" s="316">
        <f>IFERROR(__xludf.DUMMYFUNCTION("""COMPUTED_VALUE"""),45107.0)</f>
        <v>45107</v>
      </c>
      <c r="E940" s="298">
        <f>IFERROR(__xludf.DUMMYFUNCTION("""COMPUTED_VALUE"""),700.0)</f>
        <v>700</v>
      </c>
      <c r="F940" s="298">
        <f>IFERROR(__xludf.DUMMYFUNCTION("""COMPUTED_VALUE"""),21.78)</f>
        <v>21.78</v>
      </c>
      <c r="G940" s="298">
        <f>IFERROR(__xludf.DUMMYFUNCTION("""COMPUTED_VALUE"""),0.0)</f>
        <v>0</v>
      </c>
      <c r="H940" s="223">
        <f>IFERROR(__xludf.DUMMYFUNCTION("""COMPUTED_VALUE"""),678.22)</f>
        <v>678.22</v>
      </c>
      <c r="I940" s="298"/>
      <c r="J940" s="223" t="str">
        <f>IFERROR(__xludf.DUMMYFUNCTION("""COMPUTED_VALUE"""),"Monthly")</f>
        <v>Monthly</v>
      </c>
      <c r="K940" s="317">
        <f>IFERROR(__xludf.DUMMYFUNCTION("""COMPUTED_VALUE"""),2023.06)</f>
        <v>2023.06</v>
      </c>
      <c r="L940" s="298"/>
      <c r="M940" s="223"/>
      <c r="N940" s="223"/>
      <c r="O940" s="223"/>
      <c r="P940" s="223"/>
      <c r="Q940" s="223"/>
      <c r="R940" s="223"/>
      <c r="S940" s="223"/>
      <c r="T940" s="223"/>
      <c r="U940" s="223"/>
      <c r="V940" s="223"/>
      <c r="W940" s="223"/>
      <c r="X940" s="223"/>
      <c r="Y940" s="223"/>
      <c r="Z940" s="223"/>
    </row>
    <row r="941">
      <c r="A941" s="223" t="str">
        <f>IFERROR(__xludf.DUMMYFUNCTION("""COMPUTED_VALUE"""),"MortgagePal : Monthly Services")</f>
        <v>MortgagePal : Monthly Services</v>
      </c>
      <c r="B941" s="223" t="str">
        <f>IFERROR(__xludf.DUMMYFUNCTION("""COMPUTED_VALUE"""),"MortgagePal")</f>
        <v>MortgagePal</v>
      </c>
      <c r="C941" s="223" t="str">
        <f>IFERROR(__xludf.DUMMYFUNCTION("""COMPUTED_VALUE"""),"Monthly Services")</f>
        <v>Monthly Services</v>
      </c>
      <c r="D941" s="316">
        <f>IFERROR(__xludf.DUMMYFUNCTION("""COMPUTED_VALUE"""),45107.0)</f>
        <v>45107</v>
      </c>
      <c r="E941" s="298">
        <f>IFERROR(__xludf.DUMMYFUNCTION("""COMPUTED_VALUE"""),350.0)</f>
        <v>350</v>
      </c>
      <c r="F941" s="298">
        <f>IFERROR(__xludf.DUMMYFUNCTION("""COMPUTED_VALUE"""),10.89)</f>
        <v>10.89</v>
      </c>
      <c r="G941" s="298">
        <f>IFERROR(__xludf.DUMMYFUNCTION("""COMPUTED_VALUE"""),0.0)</f>
        <v>0</v>
      </c>
      <c r="H941" s="223">
        <f>IFERROR(__xludf.DUMMYFUNCTION("""COMPUTED_VALUE"""),339.11)</f>
        <v>339.11</v>
      </c>
      <c r="I941" s="298"/>
      <c r="J941" s="223" t="str">
        <f>IFERROR(__xludf.DUMMYFUNCTION("""COMPUTED_VALUE"""),"Monthly")</f>
        <v>Monthly</v>
      </c>
      <c r="K941" s="317">
        <f>IFERROR(__xludf.DUMMYFUNCTION("""COMPUTED_VALUE"""),2023.06)</f>
        <v>2023.06</v>
      </c>
      <c r="L941" s="298"/>
      <c r="M941" s="223"/>
      <c r="N941" s="223"/>
      <c r="O941" s="223"/>
      <c r="P941" s="223"/>
      <c r="Q941" s="223"/>
      <c r="R941" s="223"/>
      <c r="S941" s="223"/>
      <c r="T941" s="223"/>
      <c r="U941" s="223"/>
      <c r="V941" s="223"/>
      <c r="W941" s="223"/>
      <c r="X941" s="223"/>
      <c r="Y941" s="223"/>
      <c r="Z941" s="223"/>
    </row>
    <row r="942">
      <c r="A942" s="223" t="str">
        <f>IFERROR(__xludf.DUMMYFUNCTION("""COMPUTED_VALUE"""),"MortgagePal : Monthly Services")</f>
        <v>MortgagePal : Monthly Services</v>
      </c>
      <c r="B942" s="223" t="str">
        <f>IFERROR(__xludf.DUMMYFUNCTION("""COMPUTED_VALUE"""),"MortgagePal")</f>
        <v>MortgagePal</v>
      </c>
      <c r="C942" s="223" t="str">
        <f>IFERROR(__xludf.DUMMYFUNCTION("""COMPUTED_VALUE"""),"Monthly Services")</f>
        <v>Monthly Services</v>
      </c>
      <c r="D942" s="316">
        <f>IFERROR(__xludf.DUMMYFUNCTION("""COMPUTED_VALUE"""),45107.0)</f>
        <v>45107</v>
      </c>
      <c r="E942" s="298">
        <f>IFERROR(__xludf.DUMMYFUNCTION("""COMPUTED_VALUE"""),500.0)</f>
        <v>500</v>
      </c>
      <c r="F942" s="298">
        <f>IFERROR(__xludf.DUMMYFUNCTION("""COMPUTED_VALUE"""),15.56)</f>
        <v>15.56</v>
      </c>
      <c r="G942" s="298">
        <f>IFERROR(__xludf.DUMMYFUNCTION("""COMPUTED_VALUE"""),0.0)</f>
        <v>0</v>
      </c>
      <c r="H942" s="223">
        <f>IFERROR(__xludf.DUMMYFUNCTION("""COMPUTED_VALUE"""),484.44)</f>
        <v>484.44</v>
      </c>
      <c r="I942" s="298"/>
      <c r="J942" s="223" t="str">
        <f>IFERROR(__xludf.DUMMYFUNCTION("""COMPUTED_VALUE"""),"Monthly")</f>
        <v>Monthly</v>
      </c>
      <c r="K942" s="317">
        <f>IFERROR(__xludf.DUMMYFUNCTION("""COMPUTED_VALUE"""),2023.06)</f>
        <v>2023.06</v>
      </c>
      <c r="L942" s="298"/>
      <c r="M942" s="223"/>
      <c r="N942" s="223"/>
      <c r="O942" s="223"/>
      <c r="P942" s="223"/>
      <c r="Q942" s="223"/>
      <c r="R942" s="223"/>
      <c r="S942" s="223"/>
      <c r="T942" s="223"/>
      <c r="U942" s="223"/>
      <c r="V942" s="223"/>
      <c r="W942" s="223"/>
      <c r="X942" s="223"/>
      <c r="Y942" s="223"/>
      <c r="Z942" s="223"/>
    </row>
    <row r="943">
      <c r="A943" s="223" t="str">
        <f>IFERROR(__xludf.DUMMYFUNCTION("""COMPUTED_VALUE"""),"Anook Athletics : Monthly Services")</f>
        <v>Anook Athletics : Monthly Services</v>
      </c>
      <c r="B943" s="223" t="str">
        <f>IFERROR(__xludf.DUMMYFUNCTION("""COMPUTED_VALUE"""),"Anook Athletics")</f>
        <v>Anook Athletics</v>
      </c>
      <c r="C943" s="223" t="str">
        <f>IFERROR(__xludf.DUMMYFUNCTION("""COMPUTED_VALUE"""),"Monthly Services")</f>
        <v>Monthly Services</v>
      </c>
      <c r="D943" s="316">
        <f>IFERROR(__xludf.DUMMYFUNCTION("""COMPUTED_VALUE"""),45107.0)</f>
        <v>45107</v>
      </c>
      <c r="E943" s="298">
        <f>IFERROR(__xludf.DUMMYFUNCTION("""COMPUTED_VALUE"""),800.0)</f>
        <v>800</v>
      </c>
      <c r="F943" s="298">
        <f>IFERROR(__xludf.DUMMYFUNCTION("""COMPUTED_VALUE"""),24.89)</f>
        <v>24.89</v>
      </c>
      <c r="G943" s="298">
        <f>IFERROR(__xludf.DUMMYFUNCTION("""COMPUTED_VALUE"""),0.0)</f>
        <v>0</v>
      </c>
      <c r="H943" s="223">
        <f>IFERROR(__xludf.DUMMYFUNCTION("""COMPUTED_VALUE"""),775.11)</f>
        <v>775.11</v>
      </c>
      <c r="I943" s="298"/>
      <c r="J943" s="223" t="str">
        <f>IFERROR(__xludf.DUMMYFUNCTION("""COMPUTED_VALUE"""),"Monthly")</f>
        <v>Monthly</v>
      </c>
      <c r="K943" s="317">
        <f>IFERROR(__xludf.DUMMYFUNCTION("""COMPUTED_VALUE"""),2023.06)</f>
        <v>2023.06</v>
      </c>
      <c r="L943" s="298"/>
      <c r="M943" s="223"/>
      <c r="N943" s="223"/>
      <c r="O943" s="223"/>
      <c r="P943" s="223"/>
      <c r="Q943" s="223"/>
      <c r="R943" s="223"/>
      <c r="S943" s="223"/>
      <c r="T943" s="223"/>
      <c r="U943" s="223"/>
      <c r="V943" s="223"/>
      <c r="W943" s="223"/>
      <c r="X943" s="223"/>
      <c r="Y943" s="223"/>
      <c r="Z943" s="223"/>
    </row>
    <row r="944">
      <c r="A944" s="223" t="str">
        <f>IFERROR(__xludf.DUMMYFUNCTION("""COMPUTED_VALUE"""),"Availed Technologies : Monthly Services")</f>
        <v>Availed Technologies : Monthly Services</v>
      </c>
      <c r="B944" s="223" t="str">
        <f>IFERROR(__xludf.DUMMYFUNCTION("""COMPUTED_VALUE"""),"Availed Technologies")</f>
        <v>Availed Technologies</v>
      </c>
      <c r="C944" s="223" t="str">
        <f>IFERROR(__xludf.DUMMYFUNCTION("""COMPUTED_VALUE"""),"Monthly Services")</f>
        <v>Monthly Services</v>
      </c>
      <c r="D944" s="316">
        <f>IFERROR(__xludf.DUMMYFUNCTION("""COMPUTED_VALUE"""),45107.0)</f>
        <v>45107</v>
      </c>
      <c r="E944" s="298">
        <f>IFERROR(__xludf.DUMMYFUNCTION("""COMPUTED_VALUE"""),750.0)</f>
        <v>750</v>
      </c>
      <c r="F944" s="298">
        <f>IFERROR(__xludf.DUMMYFUNCTION("""COMPUTED_VALUE"""),23.33)</f>
        <v>23.33</v>
      </c>
      <c r="G944" s="298">
        <f>IFERROR(__xludf.DUMMYFUNCTION("""COMPUTED_VALUE"""),0.0)</f>
        <v>0</v>
      </c>
      <c r="H944" s="223">
        <f>IFERROR(__xludf.DUMMYFUNCTION("""COMPUTED_VALUE"""),726.67)</f>
        <v>726.67</v>
      </c>
      <c r="I944" s="298"/>
      <c r="J944" s="223" t="str">
        <f>IFERROR(__xludf.DUMMYFUNCTION("""COMPUTED_VALUE"""),"Monthly")</f>
        <v>Monthly</v>
      </c>
      <c r="K944" s="317">
        <f>IFERROR(__xludf.DUMMYFUNCTION("""COMPUTED_VALUE"""),2023.06)</f>
        <v>2023.06</v>
      </c>
      <c r="L944" s="298"/>
      <c r="M944" s="223"/>
      <c r="N944" s="223"/>
      <c r="O944" s="223"/>
      <c r="P944" s="223"/>
      <c r="Q944" s="223"/>
      <c r="R944" s="223"/>
      <c r="S944" s="223"/>
      <c r="T944" s="223"/>
      <c r="U944" s="223"/>
      <c r="V944" s="223"/>
      <c r="W944" s="223"/>
      <c r="X944" s="223"/>
      <c r="Y944" s="223"/>
      <c r="Z944" s="223"/>
    </row>
    <row r="945">
      <c r="A945" s="223" t="str">
        <f>IFERROR(__xludf.DUMMYFUNCTION("""COMPUTED_VALUE"""),"Community Financials : Monthly Services")</f>
        <v>Community Financials : Monthly Services</v>
      </c>
      <c r="B945" s="223" t="str">
        <f>IFERROR(__xludf.DUMMYFUNCTION("""COMPUTED_VALUE"""),"Community Financials")</f>
        <v>Community Financials</v>
      </c>
      <c r="C945" s="223" t="str">
        <f>IFERROR(__xludf.DUMMYFUNCTION("""COMPUTED_VALUE"""),"Monthly Services")</f>
        <v>Monthly Services</v>
      </c>
      <c r="D945" s="316">
        <f>IFERROR(__xludf.DUMMYFUNCTION("""COMPUTED_VALUE"""),45107.0)</f>
        <v>45107</v>
      </c>
      <c r="E945" s="298">
        <f>IFERROR(__xludf.DUMMYFUNCTION("""COMPUTED_VALUE"""),1308.9180000000001)</f>
        <v>1308.918</v>
      </c>
      <c r="F945" s="298">
        <f>IFERROR(__xludf.DUMMYFUNCTION("""COMPUTED_VALUE"""),48.822641399999995)</f>
        <v>48.8226414</v>
      </c>
      <c r="G945" s="298">
        <f>IFERROR(__xludf.DUMMYFUNCTION("""COMPUTED_VALUE"""),252.01907172000003)</f>
        <v>252.0190717</v>
      </c>
      <c r="H945" s="223">
        <f>IFERROR(__xludf.DUMMYFUNCTION("""COMPUTED_VALUE"""),1008.07628688)</f>
        <v>1008.076287</v>
      </c>
      <c r="I945" s="298"/>
      <c r="J945" s="223" t="str">
        <f>IFERROR(__xludf.DUMMYFUNCTION("""COMPUTED_VALUE"""),"Monthly")</f>
        <v>Monthly</v>
      </c>
      <c r="K945" s="317">
        <f>IFERROR(__xludf.DUMMYFUNCTION("""COMPUTED_VALUE"""),2023.06)</f>
        <v>2023.06</v>
      </c>
      <c r="L945" s="298"/>
      <c r="M945" s="223"/>
      <c r="N945" s="223"/>
      <c r="O945" s="223"/>
      <c r="P945" s="223"/>
      <c r="Q945" s="223"/>
      <c r="R945" s="223"/>
      <c r="S945" s="223"/>
      <c r="T945" s="223"/>
      <c r="U945" s="223"/>
      <c r="V945" s="223"/>
      <c r="W945" s="223"/>
      <c r="X945" s="223"/>
      <c r="Y945" s="223"/>
      <c r="Z945" s="223"/>
    </row>
    <row r="946">
      <c r="A946" s="223" t="str">
        <f>IFERROR(__xludf.DUMMYFUNCTION("""COMPUTED_VALUE"""),"Hastings House : Monthly Services")</f>
        <v>Hastings House : Monthly Services</v>
      </c>
      <c r="B946" s="223" t="str">
        <f>IFERROR(__xludf.DUMMYFUNCTION("""COMPUTED_VALUE"""),"Hastings House")</f>
        <v>Hastings House</v>
      </c>
      <c r="C946" s="223" t="str">
        <f>IFERROR(__xludf.DUMMYFUNCTION("""COMPUTED_VALUE"""),"Monthly Services")</f>
        <v>Monthly Services</v>
      </c>
      <c r="D946" s="316">
        <f>IFERROR(__xludf.DUMMYFUNCTION("""COMPUTED_VALUE"""),45107.0)</f>
        <v>45107</v>
      </c>
      <c r="E946" s="298">
        <f>IFERROR(__xludf.DUMMYFUNCTION("""COMPUTED_VALUE"""),1500.0)</f>
        <v>1500</v>
      </c>
      <c r="F946" s="298">
        <f>IFERROR(__xludf.DUMMYFUNCTION("""COMPUTED_VALUE"""),46.67)</f>
        <v>46.67</v>
      </c>
      <c r="G946" s="298">
        <f>IFERROR(__xludf.DUMMYFUNCTION("""COMPUTED_VALUE"""),217.99949999999998)</f>
        <v>217.9995</v>
      </c>
      <c r="H946" s="223">
        <f>IFERROR(__xludf.DUMMYFUNCTION("""COMPUTED_VALUE"""),1235.3305)</f>
        <v>1235.3305</v>
      </c>
      <c r="I946" s="298"/>
      <c r="J946" s="223" t="str">
        <f>IFERROR(__xludf.DUMMYFUNCTION("""COMPUTED_VALUE"""),"Monthly")</f>
        <v>Monthly</v>
      </c>
      <c r="K946" s="317">
        <f>IFERROR(__xludf.DUMMYFUNCTION("""COMPUTED_VALUE"""),2023.06)</f>
        <v>2023.06</v>
      </c>
      <c r="L946" s="298"/>
      <c r="M946" s="223"/>
      <c r="N946" s="223"/>
      <c r="O946" s="223"/>
      <c r="P946" s="223"/>
      <c r="Q946" s="223"/>
      <c r="R946" s="223"/>
      <c r="S946" s="223"/>
      <c r="T946" s="223"/>
      <c r="U946" s="223"/>
      <c r="V946" s="223"/>
      <c r="W946" s="223"/>
      <c r="X946" s="223"/>
      <c r="Y946" s="223"/>
      <c r="Z946" s="223"/>
    </row>
    <row r="947">
      <c r="A947" s="223" t="str">
        <f>IFERROR(__xludf.DUMMYFUNCTION("""COMPUTED_VALUE"""),"HSJ Lawyers : Monthly Services")</f>
        <v>HSJ Lawyers : Monthly Services</v>
      </c>
      <c r="B947" s="223" t="str">
        <f>IFERROR(__xludf.DUMMYFUNCTION("""COMPUTED_VALUE"""),"HSJ Lawyers")</f>
        <v>HSJ Lawyers</v>
      </c>
      <c r="C947" s="223" t="str">
        <f>IFERROR(__xludf.DUMMYFUNCTION("""COMPUTED_VALUE"""),"Monthly Services")</f>
        <v>Monthly Services</v>
      </c>
      <c r="D947" s="316">
        <f>IFERROR(__xludf.DUMMYFUNCTION("""COMPUTED_VALUE"""),45107.0)</f>
        <v>45107</v>
      </c>
      <c r="E947" s="298">
        <f>IFERROR(__xludf.DUMMYFUNCTION("""COMPUTED_VALUE"""),860.0)</f>
        <v>860</v>
      </c>
      <c r="F947" s="298">
        <f>IFERROR(__xludf.DUMMYFUNCTION("""COMPUTED_VALUE"""),0.0)</f>
        <v>0</v>
      </c>
      <c r="G947" s="298">
        <f>IFERROR(__xludf.DUMMYFUNCTION("""COMPUTED_VALUE"""),0.0)</f>
        <v>0</v>
      </c>
      <c r="H947" s="223">
        <f>IFERROR(__xludf.DUMMYFUNCTION("""COMPUTED_VALUE"""),860.0)</f>
        <v>860</v>
      </c>
      <c r="I947" s="298"/>
      <c r="J947" s="223" t="str">
        <f>IFERROR(__xludf.DUMMYFUNCTION("""COMPUTED_VALUE"""),"Monthly")</f>
        <v>Monthly</v>
      </c>
      <c r="K947" s="317">
        <f>IFERROR(__xludf.DUMMYFUNCTION("""COMPUTED_VALUE"""),2023.06)</f>
        <v>2023.06</v>
      </c>
      <c r="L947" s="298"/>
      <c r="M947" s="223"/>
      <c r="N947" s="223"/>
      <c r="O947" s="223"/>
      <c r="P947" s="223"/>
      <c r="Q947" s="223"/>
      <c r="R947" s="223"/>
      <c r="S947" s="223"/>
      <c r="T947" s="223"/>
      <c r="U947" s="223"/>
      <c r="V947" s="223"/>
      <c r="W947" s="223"/>
      <c r="X947" s="223"/>
      <c r="Y947" s="223"/>
      <c r="Z947" s="223"/>
    </row>
    <row r="948">
      <c r="A948" s="223" t="str">
        <f>IFERROR(__xludf.DUMMYFUNCTION("""COMPUTED_VALUE"""),"PMDI : Monthly Services")</f>
        <v>PMDI : Monthly Services</v>
      </c>
      <c r="B948" s="223" t="str">
        <f>IFERROR(__xludf.DUMMYFUNCTION("""COMPUTED_VALUE"""),"PMDI")</f>
        <v>PMDI</v>
      </c>
      <c r="C948" s="223" t="str">
        <f>IFERROR(__xludf.DUMMYFUNCTION("""COMPUTED_VALUE"""),"Monthly Services")</f>
        <v>Monthly Services</v>
      </c>
      <c r="D948" s="316">
        <f>IFERROR(__xludf.DUMMYFUNCTION("""COMPUTED_VALUE"""),45107.0)</f>
        <v>45107</v>
      </c>
      <c r="E948" s="298">
        <f>IFERROR(__xludf.DUMMYFUNCTION("""COMPUTED_VALUE"""),412.5)</f>
        <v>412.5</v>
      </c>
      <c r="F948" s="298">
        <f>IFERROR(__xludf.DUMMYFUNCTION("""COMPUTED_VALUE"""),0.0)</f>
        <v>0</v>
      </c>
      <c r="G948" s="298">
        <f>IFERROR(__xludf.DUMMYFUNCTION("""COMPUTED_VALUE"""),0.0)</f>
        <v>0</v>
      </c>
      <c r="H948" s="223">
        <f>IFERROR(__xludf.DUMMYFUNCTION("""COMPUTED_VALUE"""),412.5)</f>
        <v>412.5</v>
      </c>
      <c r="I948" s="298"/>
      <c r="J948" s="223" t="str">
        <f>IFERROR(__xludf.DUMMYFUNCTION("""COMPUTED_VALUE"""),"Monthly")</f>
        <v>Monthly</v>
      </c>
      <c r="K948" s="317">
        <f>IFERROR(__xludf.DUMMYFUNCTION("""COMPUTED_VALUE"""),2023.06)</f>
        <v>2023.06</v>
      </c>
      <c r="L948" s="298"/>
      <c r="M948" s="223"/>
      <c r="N948" s="223"/>
      <c r="O948" s="223"/>
      <c r="P948" s="223"/>
      <c r="Q948" s="223"/>
      <c r="R948" s="223"/>
      <c r="S948" s="223"/>
      <c r="T948" s="223"/>
      <c r="U948" s="223"/>
      <c r="V948" s="223"/>
      <c r="W948" s="223"/>
      <c r="X948" s="223"/>
      <c r="Y948" s="223"/>
      <c r="Z948" s="223"/>
    </row>
    <row r="949">
      <c r="A949" s="223" t="str">
        <f>IFERROR(__xludf.DUMMYFUNCTION("""COMPUTED_VALUE"""),"Service First : Monthly Services")</f>
        <v>Service First : Monthly Services</v>
      </c>
      <c r="B949" s="223" t="str">
        <f>IFERROR(__xludf.DUMMYFUNCTION("""COMPUTED_VALUE"""),"Service First")</f>
        <v>Service First</v>
      </c>
      <c r="C949" s="223" t="str">
        <f>IFERROR(__xludf.DUMMYFUNCTION("""COMPUTED_VALUE"""),"Monthly Services")</f>
        <v>Monthly Services</v>
      </c>
      <c r="D949" s="316">
        <f>IFERROR(__xludf.DUMMYFUNCTION("""COMPUTED_VALUE"""),45107.0)</f>
        <v>45107</v>
      </c>
      <c r="E949" s="298">
        <f>IFERROR(__xludf.DUMMYFUNCTION("""COMPUTED_VALUE"""),330.0)</f>
        <v>330</v>
      </c>
      <c r="F949" s="298">
        <f>IFERROR(__xludf.DUMMYFUNCTION("""COMPUTED_VALUE"""),10.27)</f>
        <v>10.27</v>
      </c>
      <c r="G949" s="298">
        <f>IFERROR(__xludf.DUMMYFUNCTION("""COMPUTED_VALUE"""),0.0)</f>
        <v>0</v>
      </c>
      <c r="H949" s="223">
        <f>IFERROR(__xludf.DUMMYFUNCTION("""COMPUTED_VALUE"""),319.73)</f>
        <v>319.73</v>
      </c>
      <c r="I949" s="298"/>
      <c r="J949" s="223" t="str">
        <f>IFERROR(__xludf.DUMMYFUNCTION("""COMPUTED_VALUE"""),"Monthly")</f>
        <v>Monthly</v>
      </c>
      <c r="K949" s="317">
        <f>IFERROR(__xludf.DUMMYFUNCTION("""COMPUTED_VALUE"""),2023.06)</f>
        <v>2023.06</v>
      </c>
      <c r="L949" s="298"/>
      <c r="M949" s="223"/>
      <c r="N949" s="223"/>
      <c r="O949" s="223"/>
      <c r="P949" s="223"/>
      <c r="Q949" s="223"/>
      <c r="R949" s="223"/>
      <c r="S949" s="223"/>
      <c r="T949" s="223"/>
      <c r="U949" s="223"/>
      <c r="V949" s="223"/>
      <c r="W949" s="223"/>
      <c r="X949" s="223"/>
      <c r="Y949" s="223"/>
      <c r="Z949" s="223"/>
    </row>
    <row r="950">
      <c r="A950" s="223" t="str">
        <f>IFERROR(__xludf.DUMMYFUNCTION("""COMPUTED_VALUE"""),"Spraggs : Monthly Services")</f>
        <v>Spraggs : Monthly Services</v>
      </c>
      <c r="B950" s="223" t="str">
        <f>IFERROR(__xludf.DUMMYFUNCTION("""COMPUTED_VALUE"""),"Spraggs")</f>
        <v>Spraggs</v>
      </c>
      <c r="C950" s="223" t="str">
        <f>IFERROR(__xludf.DUMMYFUNCTION("""COMPUTED_VALUE"""),"Monthly Services")</f>
        <v>Monthly Services</v>
      </c>
      <c r="D950" s="316">
        <f>IFERROR(__xludf.DUMMYFUNCTION("""COMPUTED_VALUE"""),45107.0)</f>
        <v>45107</v>
      </c>
      <c r="E950" s="298">
        <f>IFERROR(__xludf.DUMMYFUNCTION("""COMPUTED_VALUE"""),2500.0)</f>
        <v>2500</v>
      </c>
      <c r="F950" s="298">
        <f>IFERROR(__xludf.DUMMYFUNCTION("""COMPUTED_VALUE"""),77.78)</f>
        <v>77.78</v>
      </c>
      <c r="G950" s="298">
        <f>IFERROR(__xludf.DUMMYFUNCTION("""COMPUTED_VALUE"""),0.0)</f>
        <v>0</v>
      </c>
      <c r="H950" s="223">
        <f>IFERROR(__xludf.DUMMYFUNCTION("""COMPUTED_VALUE"""),2422.22)</f>
        <v>2422.22</v>
      </c>
      <c r="I950" s="298"/>
      <c r="J950" s="223" t="str">
        <f>IFERROR(__xludf.DUMMYFUNCTION("""COMPUTED_VALUE"""),"Monthly")</f>
        <v>Monthly</v>
      </c>
      <c r="K950" s="317">
        <f>IFERROR(__xludf.DUMMYFUNCTION("""COMPUTED_VALUE"""),2023.06)</f>
        <v>2023.06</v>
      </c>
      <c r="L950" s="298"/>
      <c r="M950" s="223"/>
      <c r="N950" s="223"/>
      <c r="O950" s="223"/>
      <c r="P950" s="223"/>
      <c r="Q950" s="223"/>
      <c r="R950" s="223"/>
      <c r="S950" s="223"/>
      <c r="T950" s="223"/>
      <c r="U950" s="223"/>
      <c r="V950" s="223"/>
      <c r="W950" s="223"/>
      <c r="X950" s="223"/>
      <c r="Y950" s="223"/>
      <c r="Z950" s="223"/>
    </row>
    <row r="951">
      <c r="A951" s="223" t="str">
        <f>IFERROR(__xludf.DUMMYFUNCTION("""COMPUTED_VALUE"""),"TisBest : Monthly Services")</f>
        <v>TisBest : Monthly Services</v>
      </c>
      <c r="B951" s="223" t="str">
        <f>IFERROR(__xludf.DUMMYFUNCTION("""COMPUTED_VALUE"""),"TisBest")</f>
        <v>TisBest</v>
      </c>
      <c r="C951" s="223" t="str">
        <f>IFERROR(__xludf.DUMMYFUNCTION("""COMPUTED_VALUE"""),"Monthly Services")</f>
        <v>Monthly Services</v>
      </c>
      <c r="D951" s="316">
        <f>IFERROR(__xludf.DUMMYFUNCTION("""COMPUTED_VALUE"""),45107.0)</f>
        <v>45107</v>
      </c>
      <c r="E951" s="298">
        <f>IFERROR(__xludf.DUMMYFUNCTION("""COMPUTED_VALUE"""),3826.941)</f>
        <v>3826.941</v>
      </c>
      <c r="F951" s="298">
        <f>IFERROR(__xludf.DUMMYFUNCTION("""COMPUTED_VALUE"""),141.9795111)</f>
        <v>141.9795111</v>
      </c>
      <c r="G951" s="298">
        <f>IFERROR(__xludf.DUMMYFUNCTION("""COMPUTED_VALUE"""),736.9922977800001)</f>
        <v>736.9922978</v>
      </c>
      <c r="H951" s="223">
        <f>IFERROR(__xludf.DUMMYFUNCTION("""COMPUTED_VALUE"""),2947.96919112)</f>
        <v>2947.969191</v>
      </c>
      <c r="I951" s="298"/>
      <c r="J951" s="223" t="str">
        <f>IFERROR(__xludf.DUMMYFUNCTION("""COMPUTED_VALUE"""),"Monthly")</f>
        <v>Monthly</v>
      </c>
      <c r="K951" s="317">
        <f>IFERROR(__xludf.DUMMYFUNCTION("""COMPUTED_VALUE"""),2023.06)</f>
        <v>2023.06</v>
      </c>
      <c r="L951" s="298"/>
      <c r="M951" s="223"/>
      <c r="N951" s="223"/>
      <c r="O951" s="223"/>
      <c r="P951" s="223"/>
      <c r="Q951" s="223"/>
      <c r="R951" s="223"/>
      <c r="S951" s="223"/>
      <c r="T951" s="223"/>
      <c r="U951" s="223"/>
      <c r="V951" s="223"/>
      <c r="W951" s="223"/>
      <c r="X951" s="223"/>
      <c r="Y951" s="223"/>
      <c r="Z951" s="223"/>
    </row>
    <row r="952">
      <c r="A952" s="223" t="str">
        <f>IFERROR(__xludf.DUMMYFUNCTION("""COMPUTED_VALUE"""),"Tuscany : Monthly Services")</f>
        <v>Tuscany : Monthly Services</v>
      </c>
      <c r="B952" s="223" t="str">
        <f>IFERROR(__xludf.DUMMYFUNCTION("""COMPUTED_VALUE"""),"Tuscany")</f>
        <v>Tuscany</v>
      </c>
      <c r="C952" s="223" t="str">
        <f>IFERROR(__xludf.DUMMYFUNCTION("""COMPUTED_VALUE"""),"Monthly Services")</f>
        <v>Monthly Services</v>
      </c>
      <c r="D952" s="316">
        <f>IFERROR(__xludf.DUMMYFUNCTION("""COMPUTED_VALUE"""),45107.0)</f>
        <v>45107</v>
      </c>
      <c r="E952" s="298">
        <f>IFERROR(__xludf.DUMMYFUNCTION("""COMPUTED_VALUE"""),3255.6249999999995)</f>
        <v>3255.625</v>
      </c>
      <c r="F952" s="298">
        <f>IFERROR(__xludf.DUMMYFUNCTION("""COMPUTED_VALUE"""),0.0)</f>
        <v>0</v>
      </c>
      <c r="G952" s="298">
        <f>IFERROR(__xludf.DUMMYFUNCTION("""COMPUTED_VALUE"""),0.0)</f>
        <v>0</v>
      </c>
      <c r="H952" s="223">
        <f>IFERROR(__xludf.DUMMYFUNCTION("""COMPUTED_VALUE"""),3255.6249999999995)</f>
        <v>3255.625</v>
      </c>
      <c r="I952" s="298"/>
      <c r="J952" s="223" t="str">
        <f>IFERROR(__xludf.DUMMYFUNCTION("""COMPUTED_VALUE"""),"Monthly")</f>
        <v>Monthly</v>
      </c>
      <c r="K952" s="317">
        <f>IFERROR(__xludf.DUMMYFUNCTION("""COMPUTED_VALUE"""),2023.06)</f>
        <v>2023.06</v>
      </c>
      <c r="L952" s="298"/>
      <c r="M952" s="223"/>
      <c r="N952" s="223"/>
      <c r="O952" s="223"/>
      <c r="P952" s="223"/>
      <c r="Q952" s="223"/>
      <c r="R952" s="223"/>
      <c r="S952" s="223"/>
      <c r="T952" s="223"/>
      <c r="U952" s="223"/>
      <c r="V952" s="223"/>
      <c r="W952" s="223"/>
      <c r="X952" s="223"/>
      <c r="Y952" s="223"/>
      <c r="Z952" s="223"/>
    </row>
    <row r="953">
      <c r="A953" s="223" t="str">
        <f>IFERROR(__xludf.DUMMYFUNCTION("""COMPUTED_VALUE"""),"Venetian : Monthly Services")</f>
        <v>Venetian : Monthly Services</v>
      </c>
      <c r="B953" s="223" t="str">
        <f>IFERROR(__xludf.DUMMYFUNCTION("""COMPUTED_VALUE"""),"Venetian")</f>
        <v>Venetian</v>
      </c>
      <c r="C953" s="223" t="str">
        <f>IFERROR(__xludf.DUMMYFUNCTION("""COMPUTED_VALUE"""),"Monthly Services")</f>
        <v>Monthly Services</v>
      </c>
      <c r="D953" s="316">
        <f>IFERROR(__xludf.DUMMYFUNCTION("""COMPUTED_VALUE"""),45107.0)</f>
        <v>45107</v>
      </c>
      <c r="E953" s="298">
        <f>IFERROR(__xludf.DUMMYFUNCTION("""COMPUTED_VALUE"""),3255.6249999999995)</f>
        <v>3255.625</v>
      </c>
      <c r="F953" s="298">
        <f>IFERROR(__xludf.DUMMYFUNCTION("""COMPUTED_VALUE"""),0.0)</f>
        <v>0</v>
      </c>
      <c r="G953" s="298">
        <f>IFERROR(__xludf.DUMMYFUNCTION("""COMPUTED_VALUE"""),0.0)</f>
        <v>0</v>
      </c>
      <c r="H953" s="223">
        <f>IFERROR(__xludf.DUMMYFUNCTION("""COMPUTED_VALUE"""),3255.6249999999995)</f>
        <v>3255.625</v>
      </c>
      <c r="I953" s="298"/>
      <c r="J953" s="223" t="str">
        <f>IFERROR(__xludf.DUMMYFUNCTION("""COMPUTED_VALUE"""),"Monthly")</f>
        <v>Monthly</v>
      </c>
      <c r="K953" s="317">
        <f>IFERROR(__xludf.DUMMYFUNCTION("""COMPUTED_VALUE"""),2023.06)</f>
        <v>2023.06</v>
      </c>
      <c r="L953" s="298"/>
      <c r="M953" s="223"/>
      <c r="N953" s="223"/>
      <c r="O953" s="223"/>
      <c r="P953" s="223"/>
      <c r="Q953" s="223"/>
      <c r="R953" s="223"/>
      <c r="S953" s="223"/>
      <c r="T953" s="223"/>
      <c r="U953" s="223"/>
      <c r="V953" s="223"/>
      <c r="W953" s="223"/>
      <c r="X953" s="223"/>
      <c r="Y953" s="223"/>
      <c r="Z953" s="223"/>
    </row>
    <row r="954">
      <c r="A954" s="223" t="str">
        <f>IFERROR(__xludf.DUMMYFUNCTION("""COMPUTED_VALUE"""),"Wallack's Art Supplies : Monthly Services")</f>
        <v>Wallack's Art Supplies : Monthly Services</v>
      </c>
      <c r="B954" s="223" t="str">
        <f>IFERROR(__xludf.DUMMYFUNCTION("""COMPUTED_VALUE"""),"Wallack's Art Supplies")</f>
        <v>Wallack's Art Supplies</v>
      </c>
      <c r="C954" s="223" t="str">
        <f>IFERROR(__xludf.DUMMYFUNCTION("""COMPUTED_VALUE"""),"Monthly Services")</f>
        <v>Monthly Services</v>
      </c>
      <c r="D954" s="316">
        <f>IFERROR(__xludf.DUMMYFUNCTION("""COMPUTED_VALUE"""),45107.0)</f>
        <v>45107</v>
      </c>
      <c r="E954" s="298">
        <f>IFERROR(__xludf.DUMMYFUNCTION("""COMPUTED_VALUE"""),770.0)</f>
        <v>770</v>
      </c>
      <c r="F954" s="298">
        <f>IFERROR(__xludf.DUMMYFUNCTION("""COMPUTED_VALUE"""),0.0)</f>
        <v>0</v>
      </c>
      <c r="G954" s="298">
        <f>IFERROR(__xludf.DUMMYFUNCTION("""COMPUTED_VALUE"""),0.0)</f>
        <v>0</v>
      </c>
      <c r="H954" s="223">
        <f>IFERROR(__xludf.DUMMYFUNCTION("""COMPUTED_VALUE"""),770.0)</f>
        <v>770</v>
      </c>
      <c r="I954" s="298"/>
      <c r="J954" s="223" t="str">
        <f>IFERROR(__xludf.DUMMYFUNCTION("""COMPUTED_VALUE"""),"Monthly")</f>
        <v>Monthly</v>
      </c>
      <c r="K954" s="317">
        <f>IFERROR(__xludf.DUMMYFUNCTION("""COMPUTED_VALUE"""),2023.06)</f>
        <v>2023.06</v>
      </c>
      <c r="L954" s="298"/>
      <c r="M954" s="223"/>
      <c r="N954" s="223"/>
      <c r="O954" s="223"/>
      <c r="P954" s="223"/>
      <c r="Q954" s="223"/>
      <c r="R954" s="223"/>
      <c r="S954" s="223"/>
      <c r="T954" s="223"/>
      <c r="U954" s="223"/>
      <c r="V954" s="223"/>
      <c r="W954" s="223"/>
      <c r="X954" s="223"/>
      <c r="Y954" s="223"/>
      <c r="Z954" s="223"/>
    </row>
    <row r="955">
      <c r="A955" s="223" t="str">
        <f>IFERROR(__xludf.DUMMYFUNCTION("""COMPUTED_VALUE"""),"Howard Fine Jewellers : Ongoing PPC and SEO Support")</f>
        <v>Howard Fine Jewellers : Ongoing PPC and SEO Support</v>
      </c>
      <c r="B955" s="223" t="str">
        <f>IFERROR(__xludf.DUMMYFUNCTION("""COMPUTED_VALUE"""),"Howard Fine Jewellers")</f>
        <v>Howard Fine Jewellers</v>
      </c>
      <c r="C955" s="223" t="str">
        <f>IFERROR(__xludf.DUMMYFUNCTION("""COMPUTED_VALUE"""),"Ongoing PPC and SEO Support")</f>
        <v>Ongoing PPC and SEO Support</v>
      </c>
      <c r="D955" s="316">
        <f>IFERROR(__xludf.DUMMYFUNCTION("""COMPUTED_VALUE"""),45107.0)</f>
        <v>45107</v>
      </c>
      <c r="E955" s="298">
        <f>IFERROR(__xludf.DUMMYFUNCTION("""COMPUTED_VALUE"""),1650.0)</f>
        <v>1650</v>
      </c>
      <c r="F955" s="298">
        <f>IFERROR(__xludf.DUMMYFUNCTION("""COMPUTED_VALUE"""),55.23)</f>
        <v>55.23</v>
      </c>
      <c r="G955" s="298">
        <f>IFERROR(__xludf.DUMMYFUNCTION("""COMPUTED_VALUE"""),0.0)</f>
        <v>0</v>
      </c>
      <c r="H955" s="223">
        <f>IFERROR(__xludf.DUMMYFUNCTION("""COMPUTED_VALUE"""),1594.77)</f>
        <v>1594.77</v>
      </c>
      <c r="I955" s="298"/>
      <c r="J955" s="223" t="str">
        <f>IFERROR(__xludf.DUMMYFUNCTION("""COMPUTED_VALUE"""),"Monthly")</f>
        <v>Monthly</v>
      </c>
      <c r="K955" s="317">
        <f>IFERROR(__xludf.DUMMYFUNCTION("""COMPUTED_VALUE"""),2023.06)</f>
        <v>2023.06</v>
      </c>
      <c r="L955" s="298"/>
      <c r="M955" s="223"/>
      <c r="N955" s="223"/>
      <c r="O955" s="223"/>
      <c r="P955" s="223"/>
      <c r="Q955" s="223"/>
      <c r="R955" s="223"/>
      <c r="S955" s="223"/>
      <c r="T955" s="223"/>
      <c r="U955" s="223"/>
      <c r="V955" s="223"/>
      <c r="W955" s="223"/>
      <c r="X955" s="223"/>
      <c r="Y955" s="223"/>
      <c r="Z955" s="223"/>
    </row>
    <row r="956">
      <c r="A956" s="223" t="str">
        <f>IFERROR(__xludf.DUMMYFUNCTION("""COMPUTED_VALUE"""),"Crisp Media : Monthly Genus Google PPC Mgmt")</f>
        <v>Crisp Media : Monthly Genus Google PPC Mgmt</v>
      </c>
      <c r="B956" s="223" t="str">
        <f>IFERROR(__xludf.DUMMYFUNCTION("""COMPUTED_VALUE"""),"Crisp Media")</f>
        <v>Crisp Media</v>
      </c>
      <c r="C956" s="223" t="str">
        <f>IFERROR(__xludf.DUMMYFUNCTION("""COMPUTED_VALUE"""),"Monthly Genus Google PPC Mgmt")</f>
        <v>Monthly Genus Google PPC Mgmt</v>
      </c>
      <c r="D956" s="316">
        <f>IFERROR(__xludf.DUMMYFUNCTION("""COMPUTED_VALUE"""),45107.0)</f>
        <v>45107</v>
      </c>
      <c r="E956" s="298">
        <f>IFERROR(__xludf.DUMMYFUNCTION("""COMPUTED_VALUE"""),600.0)</f>
        <v>600</v>
      </c>
      <c r="F956" s="298">
        <f>IFERROR(__xludf.DUMMYFUNCTION("""COMPUTED_VALUE"""),18.67)</f>
        <v>18.67</v>
      </c>
      <c r="G956" s="298">
        <f>IFERROR(__xludf.DUMMYFUNCTION("""COMPUTED_VALUE"""),0.0)</f>
        <v>0</v>
      </c>
      <c r="H956" s="223">
        <f>IFERROR(__xludf.DUMMYFUNCTION("""COMPUTED_VALUE"""),581.33)</f>
        <v>581.33</v>
      </c>
      <c r="I956" s="298"/>
      <c r="J956" s="223" t="str">
        <f>IFERROR(__xludf.DUMMYFUNCTION("""COMPUTED_VALUE"""),"Monthly")</f>
        <v>Monthly</v>
      </c>
      <c r="K956" s="317">
        <f>IFERROR(__xludf.DUMMYFUNCTION("""COMPUTED_VALUE"""),2023.06)</f>
        <v>2023.06</v>
      </c>
      <c r="L956" s="298"/>
      <c r="M956" s="223"/>
      <c r="N956" s="223"/>
      <c r="O956" s="223"/>
      <c r="P956" s="223"/>
      <c r="Q956" s="223"/>
      <c r="R956" s="223"/>
      <c r="S956" s="223"/>
      <c r="T956" s="223"/>
      <c r="U956" s="223"/>
      <c r="V956" s="223"/>
      <c r="W956" s="223"/>
      <c r="X956" s="223"/>
      <c r="Y956" s="223"/>
      <c r="Z956" s="223"/>
    </row>
    <row r="957">
      <c r="A957" s="223" t="str">
        <f>IFERROR(__xludf.DUMMYFUNCTION("""COMPUTED_VALUE"""),"Big Hammer Wines : Monthly PPC")</f>
        <v>Big Hammer Wines : Monthly PPC</v>
      </c>
      <c r="B957" s="223" t="str">
        <f>IFERROR(__xludf.DUMMYFUNCTION("""COMPUTED_VALUE"""),"Big Hammer Wines")</f>
        <v>Big Hammer Wines</v>
      </c>
      <c r="C957" s="223" t="str">
        <f>IFERROR(__xludf.DUMMYFUNCTION("""COMPUTED_VALUE"""),"Monthly PPC")</f>
        <v>Monthly PPC</v>
      </c>
      <c r="D957" s="316">
        <f>IFERROR(__xludf.DUMMYFUNCTION("""COMPUTED_VALUE"""),45107.0)</f>
        <v>45107</v>
      </c>
      <c r="E957" s="298">
        <f>IFERROR(__xludf.DUMMYFUNCTION("""COMPUTED_VALUE"""),1122.3132799999998)</f>
        <v>1122.31328</v>
      </c>
      <c r="F957" s="298">
        <f>IFERROR(__xludf.DUMMYFUNCTION("""COMPUTED_VALUE"""),41.90819816)</f>
        <v>41.90819816</v>
      </c>
      <c r="G957" s="298">
        <f>IFERROR(__xludf.DUMMYFUNCTION("""COMPUTED_VALUE"""),0.0)</f>
        <v>0</v>
      </c>
      <c r="H957" s="223">
        <f>IFERROR(__xludf.DUMMYFUNCTION("""COMPUTED_VALUE"""),1080.4050818399999)</f>
        <v>1080.405082</v>
      </c>
      <c r="I957" s="298"/>
      <c r="J957" s="223" t="str">
        <f>IFERROR(__xludf.DUMMYFUNCTION("""COMPUTED_VALUE"""),"Monthly")</f>
        <v>Monthly</v>
      </c>
      <c r="K957" s="317">
        <f>IFERROR(__xludf.DUMMYFUNCTION("""COMPUTED_VALUE"""),2023.06)</f>
        <v>2023.06</v>
      </c>
      <c r="L957" s="298"/>
      <c r="M957" s="223"/>
      <c r="N957" s="223"/>
      <c r="O957" s="223"/>
      <c r="P957" s="223"/>
      <c r="Q957" s="223"/>
      <c r="R957" s="223"/>
      <c r="S957" s="223"/>
      <c r="T957" s="223"/>
      <c r="U957" s="223"/>
      <c r="V957" s="223"/>
      <c r="W957" s="223"/>
      <c r="X957" s="223"/>
      <c r="Y957" s="223"/>
      <c r="Z957" s="223"/>
    </row>
    <row r="958">
      <c r="A958" s="223" t="str">
        <f>IFERROR(__xludf.DUMMYFUNCTION("""COMPUTED_VALUE"""),"Sacred Deathcare : Maintainance Retainer")</f>
        <v>Sacred Deathcare : Maintainance Retainer</v>
      </c>
      <c r="B958" s="223" t="str">
        <f>IFERROR(__xludf.DUMMYFUNCTION("""COMPUTED_VALUE"""),"Sacred Deathcare")</f>
        <v>Sacred Deathcare</v>
      </c>
      <c r="C958" s="223" t="str">
        <f>IFERROR(__xludf.DUMMYFUNCTION("""COMPUTED_VALUE"""),"Maintainance Retainer")</f>
        <v>Maintainance Retainer</v>
      </c>
      <c r="D958" s="316">
        <f>IFERROR(__xludf.DUMMYFUNCTION("""COMPUTED_VALUE"""),45107.0)</f>
        <v>45107</v>
      </c>
      <c r="E958" s="298">
        <f>IFERROR(__xludf.DUMMYFUNCTION("""COMPUTED_VALUE"""),250.0)</f>
        <v>250</v>
      </c>
      <c r="F958" s="298">
        <f>IFERROR(__xludf.DUMMYFUNCTION("""COMPUTED_VALUE"""),7.78)</f>
        <v>7.78</v>
      </c>
      <c r="G958" s="298">
        <f>IFERROR(__xludf.DUMMYFUNCTION("""COMPUTED_VALUE"""),0.0)</f>
        <v>0</v>
      </c>
      <c r="H958" s="223">
        <f>IFERROR(__xludf.DUMMYFUNCTION("""COMPUTED_VALUE"""),242.22)</f>
        <v>242.22</v>
      </c>
      <c r="I958" s="298"/>
      <c r="J958" s="223" t="str">
        <f>IFERROR(__xludf.DUMMYFUNCTION("""COMPUTED_VALUE"""),"Monthly")</f>
        <v>Monthly</v>
      </c>
      <c r="K958" s="317">
        <f>IFERROR(__xludf.DUMMYFUNCTION("""COMPUTED_VALUE"""),2023.06)</f>
        <v>2023.06</v>
      </c>
      <c r="L958" s="298"/>
      <c r="M958" s="223"/>
      <c r="N958" s="223"/>
      <c r="O958" s="223"/>
      <c r="P958" s="223"/>
      <c r="Q958" s="223"/>
      <c r="R958" s="223"/>
      <c r="S958" s="223"/>
      <c r="T958" s="223"/>
      <c r="U958" s="223"/>
      <c r="V958" s="223"/>
      <c r="W958" s="223"/>
      <c r="X958" s="223"/>
      <c r="Y958" s="223"/>
      <c r="Z958" s="223"/>
    </row>
    <row r="959">
      <c r="A959" s="223" t="str">
        <f>IFERROR(__xludf.DUMMYFUNCTION("""COMPUTED_VALUE"""),"Luxe Bridal LLC : Monthly PPC")</f>
        <v>Luxe Bridal LLC : Monthly PPC</v>
      </c>
      <c r="B959" s="223" t="str">
        <f>IFERROR(__xludf.DUMMYFUNCTION("""COMPUTED_VALUE"""),"Luxe Bridal LLC")</f>
        <v>Luxe Bridal LLC</v>
      </c>
      <c r="C959" s="223" t="str">
        <f>IFERROR(__xludf.DUMMYFUNCTION("""COMPUTED_VALUE"""),"Monthly PPC")</f>
        <v>Monthly PPC</v>
      </c>
      <c r="D959" s="316">
        <f>IFERROR(__xludf.DUMMYFUNCTION("""COMPUTED_VALUE"""),45107.0)</f>
        <v>45107</v>
      </c>
      <c r="E959" s="298">
        <f>IFERROR(__xludf.DUMMYFUNCTION("""COMPUTED_VALUE"""),2237.47475)</f>
        <v>2237.47475</v>
      </c>
      <c r="F959" s="298">
        <f>IFERROR(__xludf.DUMMYFUNCTION("""COMPUTED_VALUE"""),83.17013284999999)</f>
        <v>83.17013285</v>
      </c>
      <c r="G959" s="298">
        <f>IFERROR(__xludf.DUMMYFUNCTION("""COMPUTED_VALUE"""),430.86092343)</f>
        <v>430.8609234</v>
      </c>
      <c r="H959" s="223">
        <f>IFERROR(__xludf.DUMMYFUNCTION("""COMPUTED_VALUE"""),1723.44369372)</f>
        <v>1723.443694</v>
      </c>
      <c r="I959" s="298"/>
      <c r="J959" s="223" t="str">
        <f>IFERROR(__xludf.DUMMYFUNCTION("""COMPUTED_VALUE"""),"Monthly")</f>
        <v>Monthly</v>
      </c>
      <c r="K959" s="317">
        <f>IFERROR(__xludf.DUMMYFUNCTION("""COMPUTED_VALUE"""),2023.06)</f>
        <v>2023.06</v>
      </c>
      <c r="L959" s="298"/>
      <c r="M959" s="223"/>
      <c r="N959" s="223"/>
      <c r="O959" s="223"/>
      <c r="P959" s="223"/>
      <c r="Q959" s="223"/>
      <c r="R959" s="223"/>
      <c r="S959" s="223"/>
      <c r="T959" s="223"/>
      <c r="U959" s="223"/>
      <c r="V959" s="223"/>
      <c r="W959" s="223"/>
      <c r="X959" s="223"/>
      <c r="Y959" s="223"/>
      <c r="Z959" s="223"/>
    </row>
    <row r="960">
      <c r="A960" s="223" t="str">
        <f>IFERROR(__xludf.DUMMYFUNCTION("""COMPUTED_VALUE"""),"Luxe Bridal LLC (LJM) : Monthly PPC")</f>
        <v>Luxe Bridal LLC (LJM) : Monthly PPC</v>
      </c>
      <c r="B960" s="223" t="str">
        <f>IFERROR(__xludf.DUMMYFUNCTION("""COMPUTED_VALUE"""),"Luxe Bridal LLC (LJM)")</f>
        <v>Luxe Bridal LLC (LJM)</v>
      </c>
      <c r="C960" s="223" t="str">
        <f>IFERROR(__xludf.DUMMYFUNCTION("""COMPUTED_VALUE"""),"Monthly PPC")</f>
        <v>Monthly PPC</v>
      </c>
      <c r="D960" s="316">
        <f>IFERROR(__xludf.DUMMYFUNCTION("""COMPUTED_VALUE"""),45107.0)</f>
        <v>45107</v>
      </c>
      <c r="E960" s="298">
        <f>IFERROR(__xludf.DUMMYFUNCTION("""COMPUTED_VALUE"""),958.91775)</f>
        <v>958.91775</v>
      </c>
      <c r="F960" s="298">
        <f>IFERROR(__xludf.DUMMYFUNCTION("""COMPUTED_VALUE"""),35.86352385)</f>
        <v>35.86352385</v>
      </c>
      <c r="G960" s="298">
        <f>IFERROR(__xludf.DUMMYFUNCTION("""COMPUTED_VALUE"""),184.61084523)</f>
        <v>184.6108452</v>
      </c>
      <c r="H960" s="223">
        <f>IFERROR(__xludf.DUMMYFUNCTION("""COMPUTED_VALUE"""),738.44338092)</f>
        <v>738.4433809</v>
      </c>
      <c r="I960" s="298"/>
      <c r="J960" s="223" t="str">
        <f>IFERROR(__xludf.DUMMYFUNCTION("""COMPUTED_VALUE"""),"Monthly")</f>
        <v>Monthly</v>
      </c>
      <c r="K960" s="317">
        <f>IFERROR(__xludf.DUMMYFUNCTION("""COMPUTED_VALUE"""),2023.06)</f>
        <v>2023.06</v>
      </c>
      <c r="L960" s="298"/>
      <c r="M960" s="223"/>
      <c r="N960" s="223"/>
      <c r="O960" s="223"/>
      <c r="P960" s="223"/>
      <c r="Q960" s="223"/>
      <c r="R960" s="223"/>
      <c r="S960" s="223"/>
      <c r="T960" s="223"/>
      <c r="U960" s="223"/>
      <c r="V960" s="223"/>
      <c r="W960" s="223"/>
      <c r="X960" s="223"/>
      <c r="Y960" s="223"/>
      <c r="Z960" s="223"/>
    </row>
    <row r="961">
      <c r="A961" s="223" t="str">
        <f>IFERROR(__xludf.DUMMYFUNCTION("""COMPUTED_VALUE"""),"The Sands : GA4 Upgrade")</f>
        <v>The Sands : GA4 Upgrade</v>
      </c>
      <c r="B961" s="223" t="str">
        <f>IFERROR(__xludf.DUMMYFUNCTION("""COMPUTED_VALUE"""),"The Sands")</f>
        <v>The Sands</v>
      </c>
      <c r="C961" s="223" t="str">
        <f>IFERROR(__xludf.DUMMYFUNCTION("""COMPUTED_VALUE"""),"GA4 Upgrade")</f>
        <v>GA4 Upgrade</v>
      </c>
      <c r="D961" s="316">
        <f>IFERROR(__xludf.DUMMYFUNCTION("""COMPUTED_VALUE"""),45107.0)</f>
        <v>45107</v>
      </c>
      <c r="E961" s="298">
        <f>IFERROR(__xludf.DUMMYFUNCTION("""COMPUTED_VALUE"""),929.81025)</f>
        <v>929.81025</v>
      </c>
      <c r="F961" s="298">
        <f>IFERROR(__xludf.DUMMYFUNCTION("""COMPUTED_VALUE"""),0.0)</f>
        <v>0</v>
      </c>
      <c r="G961" s="298">
        <f>IFERROR(__xludf.DUMMYFUNCTION("""COMPUTED_VALUE"""),0.0)</f>
        <v>0</v>
      </c>
      <c r="H961" s="223">
        <f>IFERROR(__xludf.DUMMYFUNCTION("""COMPUTED_VALUE"""),929.81025)</f>
        <v>929.81025</v>
      </c>
      <c r="I961" s="298"/>
      <c r="J961" s="223" t="str">
        <f>IFERROR(__xludf.DUMMYFUNCTION("""COMPUTED_VALUE"""),"One-Time")</f>
        <v>One-Time</v>
      </c>
      <c r="K961" s="317">
        <f>IFERROR(__xludf.DUMMYFUNCTION("""COMPUTED_VALUE"""),2023.0)</f>
        <v>2023</v>
      </c>
      <c r="L961" s="298"/>
      <c r="M961" s="223"/>
      <c r="N961" s="223"/>
      <c r="O961" s="223"/>
      <c r="P961" s="223"/>
      <c r="Q961" s="223"/>
      <c r="R961" s="223"/>
      <c r="S961" s="223"/>
      <c r="T961" s="223"/>
      <c r="U961" s="223"/>
      <c r="V961" s="223"/>
      <c r="W961" s="223"/>
      <c r="X961" s="223"/>
      <c r="Y961" s="223"/>
      <c r="Z961" s="223"/>
    </row>
    <row r="962">
      <c r="A962" s="223" t="str">
        <f>IFERROR(__xludf.DUMMYFUNCTION("""COMPUTED_VALUE"""),"The Palms : GA4 Upgrade")</f>
        <v>The Palms : GA4 Upgrade</v>
      </c>
      <c r="B962" s="223" t="str">
        <f>IFERROR(__xludf.DUMMYFUNCTION("""COMPUTED_VALUE"""),"The Palms")</f>
        <v>The Palms</v>
      </c>
      <c r="C962" s="223" t="str">
        <f>IFERROR(__xludf.DUMMYFUNCTION("""COMPUTED_VALUE"""),"GA4 Upgrade")</f>
        <v>GA4 Upgrade</v>
      </c>
      <c r="D962" s="316">
        <f>IFERROR(__xludf.DUMMYFUNCTION("""COMPUTED_VALUE"""),45107.0)</f>
        <v>45107</v>
      </c>
      <c r="E962" s="298">
        <f>IFERROR(__xludf.DUMMYFUNCTION("""COMPUTED_VALUE"""),929.4502499999999)</f>
        <v>929.45025</v>
      </c>
      <c r="F962" s="298">
        <f>IFERROR(__xludf.DUMMYFUNCTION("""COMPUTED_VALUE"""),0.0)</f>
        <v>0</v>
      </c>
      <c r="G962" s="298">
        <f>IFERROR(__xludf.DUMMYFUNCTION("""COMPUTED_VALUE"""),0.0)</f>
        <v>0</v>
      </c>
      <c r="H962" s="223">
        <f>IFERROR(__xludf.DUMMYFUNCTION("""COMPUTED_VALUE"""),929.4502499999999)</f>
        <v>929.45025</v>
      </c>
      <c r="I962" s="298"/>
      <c r="J962" s="223" t="str">
        <f>IFERROR(__xludf.DUMMYFUNCTION("""COMPUTED_VALUE"""),"One-Time")</f>
        <v>One-Time</v>
      </c>
      <c r="K962" s="317">
        <f>IFERROR(__xludf.DUMMYFUNCTION("""COMPUTED_VALUE"""),2023.0)</f>
        <v>2023</v>
      </c>
      <c r="L962" s="298"/>
      <c r="M962" s="223"/>
      <c r="N962" s="223"/>
      <c r="O962" s="223"/>
      <c r="P962" s="223"/>
      <c r="Q962" s="223"/>
      <c r="R962" s="223"/>
      <c r="S962" s="223"/>
      <c r="T962" s="223"/>
      <c r="U962" s="223"/>
      <c r="V962" s="223"/>
      <c r="W962" s="223"/>
      <c r="X962" s="223"/>
      <c r="Y962" s="223"/>
      <c r="Z962" s="223"/>
    </row>
    <row r="963">
      <c r="A963" s="223" t="str">
        <f>IFERROR(__xludf.DUMMYFUNCTION("""COMPUTED_VALUE"""),"McAllister Marketing : Copernic PPC / SEO")</f>
        <v>McAllister Marketing : Copernic PPC / SEO</v>
      </c>
      <c r="B963" s="223" t="str">
        <f>IFERROR(__xludf.DUMMYFUNCTION("""COMPUTED_VALUE"""),"McAllister Marketing")</f>
        <v>McAllister Marketing</v>
      </c>
      <c r="C963" s="223" t="str">
        <f>IFERROR(__xludf.DUMMYFUNCTION("""COMPUTED_VALUE"""),"Copernic PPC / SEO")</f>
        <v>Copernic PPC / SEO</v>
      </c>
      <c r="D963" s="316">
        <f>IFERROR(__xludf.DUMMYFUNCTION("""COMPUTED_VALUE"""),45138.0)</f>
        <v>45138</v>
      </c>
      <c r="E963" s="298">
        <f>IFERROR(__xludf.DUMMYFUNCTION("""COMPUTED_VALUE"""),440.0)</f>
        <v>440</v>
      </c>
      <c r="F963" s="298">
        <f>IFERROR(__xludf.DUMMYFUNCTION("""COMPUTED_VALUE"""),0.0)</f>
        <v>0</v>
      </c>
      <c r="G963" s="298">
        <f>IFERROR(__xludf.DUMMYFUNCTION("""COMPUTED_VALUE"""),0.0)</f>
        <v>0</v>
      </c>
      <c r="H963" s="223">
        <f>IFERROR(__xludf.DUMMYFUNCTION("""COMPUTED_VALUE"""),440.0)</f>
        <v>440</v>
      </c>
      <c r="I963" s="298"/>
      <c r="J963" s="223" t="str">
        <f>IFERROR(__xludf.DUMMYFUNCTION("""COMPUTED_VALUE"""),"Monthly")</f>
        <v>Monthly</v>
      </c>
      <c r="K963" s="317">
        <f>IFERROR(__xludf.DUMMYFUNCTION("""COMPUTED_VALUE"""),2023.07)</f>
        <v>2023.07</v>
      </c>
      <c r="L963" s="298"/>
      <c r="M963" s="223"/>
      <c r="N963" s="223"/>
      <c r="O963" s="223"/>
      <c r="P963" s="223"/>
      <c r="Q963" s="223"/>
      <c r="R963" s="223"/>
      <c r="S963" s="223"/>
      <c r="T963" s="223"/>
      <c r="U963" s="223"/>
      <c r="V963" s="223"/>
      <c r="W963" s="223"/>
      <c r="X963" s="223"/>
      <c r="Y963" s="223"/>
      <c r="Z963" s="223"/>
    </row>
    <row r="964">
      <c r="A964" s="223" t="str">
        <f>IFERROR(__xludf.DUMMYFUNCTION("""COMPUTED_VALUE"""),"HSJ Lawyers : Tracking and Payment Update")</f>
        <v>HSJ Lawyers : Tracking and Payment Update</v>
      </c>
      <c r="B964" s="223" t="str">
        <f>IFERROR(__xludf.DUMMYFUNCTION("""COMPUTED_VALUE"""),"HSJ Lawyers")</f>
        <v>HSJ Lawyers</v>
      </c>
      <c r="C964" s="223" t="str">
        <f>IFERROR(__xludf.DUMMYFUNCTION("""COMPUTED_VALUE"""),"Tracking and Payment Update")</f>
        <v>Tracking and Payment Update</v>
      </c>
      <c r="D964" s="316">
        <f>IFERROR(__xludf.DUMMYFUNCTION("""COMPUTED_VALUE"""),45138.0)</f>
        <v>45138</v>
      </c>
      <c r="E964" s="298">
        <f>IFERROR(__xludf.DUMMYFUNCTION("""COMPUTED_VALUE"""),2400.0)</f>
        <v>2400</v>
      </c>
      <c r="F964" s="298"/>
      <c r="G964" s="298">
        <f>IFERROR(__xludf.DUMMYFUNCTION("""COMPUTED_VALUE"""),0.0)</f>
        <v>0</v>
      </c>
      <c r="H964" s="223">
        <f>IFERROR(__xludf.DUMMYFUNCTION("""COMPUTED_VALUE"""),2400.0)</f>
        <v>2400</v>
      </c>
      <c r="I964" s="298"/>
      <c r="J964" s="223" t="str">
        <f>IFERROR(__xludf.DUMMYFUNCTION("""COMPUTED_VALUE"""),"One-Time")</f>
        <v>One-Time</v>
      </c>
      <c r="K964" s="317">
        <f>IFERROR(__xludf.DUMMYFUNCTION("""COMPUTED_VALUE"""),2023.0)</f>
        <v>2023</v>
      </c>
      <c r="L964" s="298"/>
      <c r="M964" s="223"/>
      <c r="N964" s="223"/>
      <c r="O964" s="223"/>
      <c r="P964" s="223"/>
      <c r="Q964" s="223"/>
      <c r="R964" s="223"/>
      <c r="S964" s="223"/>
      <c r="T964" s="223"/>
      <c r="U964" s="223"/>
      <c r="V964" s="223"/>
      <c r="W964" s="223"/>
      <c r="X964" s="223"/>
      <c r="Y964" s="223"/>
      <c r="Z964" s="223"/>
    </row>
    <row r="965">
      <c r="A965" s="223" t="str">
        <f>IFERROR(__xludf.DUMMYFUNCTION("""COMPUTED_VALUE"""),"Acton ADU : Web Presence, SEO &amp; CRO Audit")</f>
        <v>Acton ADU : Web Presence, SEO &amp; CRO Audit</v>
      </c>
      <c r="B965" s="223" t="str">
        <f>IFERROR(__xludf.DUMMYFUNCTION("""COMPUTED_VALUE"""),"Acton ADU")</f>
        <v>Acton ADU</v>
      </c>
      <c r="C965" s="223" t="str">
        <f>IFERROR(__xludf.DUMMYFUNCTION("""COMPUTED_VALUE"""),"Web Presence, SEO &amp; CRO Audit")</f>
        <v>Web Presence, SEO &amp; CRO Audit</v>
      </c>
      <c r="D965" s="316">
        <f>IFERROR(__xludf.DUMMYFUNCTION("""COMPUTED_VALUE"""),45107.0)</f>
        <v>45107</v>
      </c>
      <c r="E965" s="298">
        <f>IFERROR(__xludf.DUMMYFUNCTION("""COMPUTED_VALUE"""),2435.8931)</f>
        <v>2435.8931</v>
      </c>
      <c r="F965" s="298">
        <f>IFERROR(__xludf.DUMMYFUNCTION("""COMPUTED_VALUE"""),90.51265939999999)</f>
        <v>90.5126594</v>
      </c>
      <c r="G965" s="298">
        <f>IFERROR(__xludf.DUMMYFUNCTION("""COMPUTED_VALUE"""),469.07608812)</f>
        <v>469.0760881</v>
      </c>
      <c r="H965" s="223">
        <f>IFERROR(__xludf.DUMMYFUNCTION("""COMPUTED_VALUE"""),1876.30435248)</f>
        <v>1876.304352</v>
      </c>
      <c r="I965" s="298"/>
      <c r="J965" s="223" t="str">
        <f>IFERROR(__xludf.DUMMYFUNCTION("""COMPUTED_VALUE"""),"One-Time")</f>
        <v>One-Time</v>
      </c>
      <c r="K965" s="317">
        <f>IFERROR(__xludf.DUMMYFUNCTION("""COMPUTED_VALUE"""),2023.0)</f>
        <v>2023</v>
      </c>
      <c r="L965" s="298"/>
      <c r="M965" s="223"/>
      <c r="N965" s="223"/>
      <c r="O965" s="223"/>
      <c r="P965" s="223"/>
      <c r="Q965" s="223"/>
      <c r="R965" s="223"/>
      <c r="S965" s="223"/>
      <c r="T965" s="223"/>
      <c r="U965" s="223"/>
      <c r="V965" s="223"/>
      <c r="W965" s="223"/>
      <c r="X965" s="223"/>
      <c r="Y965" s="223"/>
      <c r="Z965" s="223"/>
    </row>
    <row r="966">
      <c r="A966" s="223" t="str">
        <f>IFERROR(__xludf.DUMMYFUNCTION("""COMPUTED_VALUE"""),"Acton ADU : Web Presence, SEO &amp; CRO Audit")</f>
        <v>Acton ADU : Web Presence, SEO &amp; CRO Audit</v>
      </c>
      <c r="B966" s="223" t="str">
        <f>IFERROR(__xludf.DUMMYFUNCTION("""COMPUTED_VALUE"""),"Acton ADU")</f>
        <v>Acton ADU</v>
      </c>
      <c r="C966" s="223" t="str">
        <f>IFERROR(__xludf.DUMMYFUNCTION("""COMPUTED_VALUE"""),"Web Presence, SEO &amp; CRO Audit")</f>
        <v>Web Presence, SEO &amp; CRO Audit</v>
      </c>
      <c r="D966" s="316">
        <f>IFERROR(__xludf.DUMMYFUNCTION("""COMPUTED_VALUE"""),45153.0)</f>
        <v>45153</v>
      </c>
      <c r="E966" s="298">
        <f>IFERROR(__xludf.DUMMYFUNCTION("""COMPUTED_VALUE"""),2486.9442)</f>
        <v>2486.9442</v>
      </c>
      <c r="F966" s="298">
        <f>IFERROR(__xludf.DUMMYFUNCTION("""COMPUTED_VALUE"""),165.0545598)</f>
        <v>165.0545598</v>
      </c>
      <c r="G966" s="298">
        <f>IFERROR(__xludf.DUMMYFUNCTION("""COMPUTED_VALUE"""),464.37792804000003)</f>
        <v>464.377928</v>
      </c>
      <c r="H966" s="223">
        <f>IFERROR(__xludf.DUMMYFUNCTION("""COMPUTED_VALUE"""),1857.5117121600001)</f>
        <v>1857.511712</v>
      </c>
      <c r="I966" s="298"/>
      <c r="J966" s="223" t="str">
        <f>IFERROR(__xludf.DUMMYFUNCTION("""COMPUTED_VALUE"""),"One-Time")</f>
        <v>One-Time</v>
      </c>
      <c r="K966" s="317">
        <f>IFERROR(__xludf.DUMMYFUNCTION("""COMPUTED_VALUE"""),2023.0)</f>
        <v>2023</v>
      </c>
      <c r="L966" s="298"/>
      <c r="M966" s="223"/>
      <c r="N966" s="223"/>
      <c r="O966" s="223"/>
      <c r="P966" s="223"/>
      <c r="Q966" s="223"/>
      <c r="R966" s="223"/>
      <c r="S966" s="223"/>
      <c r="T966" s="223"/>
      <c r="U966" s="223"/>
      <c r="V966" s="223"/>
      <c r="W966" s="223"/>
      <c r="X966" s="223"/>
      <c r="Y966" s="223"/>
      <c r="Z966" s="223"/>
    </row>
    <row r="967">
      <c r="A967" s="223" t="str">
        <f>IFERROR(__xludf.DUMMYFUNCTION("""COMPUTED_VALUE"""),"Service First : Website")</f>
        <v>Service First : Website</v>
      </c>
      <c r="B967" s="223" t="str">
        <f>IFERROR(__xludf.DUMMYFUNCTION("""COMPUTED_VALUE"""),"Service First")</f>
        <v>Service First</v>
      </c>
      <c r="C967" s="223" t="str">
        <f>IFERROR(__xludf.DUMMYFUNCTION("""COMPUTED_VALUE"""),"Website")</f>
        <v>Website</v>
      </c>
      <c r="D967" s="316">
        <f>IFERROR(__xludf.DUMMYFUNCTION("""COMPUTED_VALUE"""),45113.0)</f>
        <v>45113</v>
      </c>
      <c r="E967" s="298">
        <f>IFERROR(__xludf.DUMMYFUNCTION("""COMPUTED_VALUE"""),1300.0)</f>
        <v>1300</v>
      </c>
      <c r="F967" s="298">
        <f>IFERROR(__xludf.DUMMYFUNCTION("""COMPUTED_VALUE"""),40.44)</f>
        <v>40.44</v>
      </c>
      <c r="G967" s="298">
        <f>IFERROR(__xludf.DUMMYFUNCTION("""COMPUTED_VALUE"""),0.0)</f>
        <v>0</v>
      </c>
      <c r="H967" s="223">
        <f>IFERROR(__xludf.DUMMYFUNCTION("""COMPUTED_VALUE"""),1259.56)</f>
        <v>1259.56</v>
      </c>
      <c r="I967" s="298"/>
      <c r="J967" s="223" t="str">
        <f>IFERROR(__xludf.DUMMYFUNCTION("""COMPUTED_VALUE"""),"1/3 Deposit Prepaid
1/3 of Remainder Milestone
1/3 of Remainder Milestone Final")</f>
        <v>1/3 Deposit Prepaid
1/3 of Remainder Milestone
1/3 of Remainder Milestone Final</v>
      </c>
      <c r="K967" s="317">
        <f>IFERROR(__xludf.DUMMYFUNCTION("""COMPUTED_VALUE"""),2023.0)</f>
        <v>2023</v>
      </c>
      <c r="L967" s="298"/>
      <c r="M967" s="223"/>
      <c r="N967" s="223"/>
      <c r="O967" s="223"/>
      <c r="P967" s="223"/>
      <c r="Q967" s="223"/>
      <c r="R967" s="223"/>
      <c r="S967" s="223"/>
      <c r="T967" s="223"/>
      <c r="U967" s="223"/>
      <c r="V967" s="223"/>
      <c r="W967" s="223"/>
      <c r="X967" s="223"/>
      <c r="Y967" s="223"/>
      <c r="Z967" s="223"/>
    </row>
    <row r="968">
      <c r="A968" s="223" t="str">
        <f>IFERROR(__xludf.DUMMYFUNCTION("""COMPUTED_VALUE"""),"Service First : Website")</f>
        <v>Service First : Website</v>
      </c>
      <c r="B968" s="223" t="str">
        <f>IFERROR(__xludf.DUMMYFUNCTION("""COMPUTED_VALUE"""),"Service First")</f>
        <v>Service First</v>
      </c>
      <c r="C968" s="223" t="str">
        <f>IFERROR(__xludf.DUMMYFUNCTION("""COMPUTED_VALUE"""),"Website")</f>
        <v>Website</v>
      </c>
      <c r="D968" s="316">
        <f>IFERROR(__xludf.DUMMYFUNCTION("""COMPUTED_VALUE"""),45138.0)</f>
        <v>45138</v>
      </c>
      <c r="E968" s="298">
        <f>IFERROR(__xludf.DUMMYFUNCTION("""COMPUTED_VALUE"""),1100.0)</f>
        <v>1100</v>
      </c>
      <c r="F968" s="298">
        <f>IFERROR(__xludf.DUMMYFUNCTION("""COMPUTED_VALUE"""),34.22)</f>
        <v>34.22</v>
      </c>
      <c r="G968" s="298">
        <f>IFERROR(__xludf.DUMMYFUNCTION("""COMPUTED_VALUE"""),0.0)</f>
        <v>0</v>
      </c>
      <c r="H968" s="223">
        <f>IFERROR(__xludf.DUMMYFUNCTION("""COMPUTED_VALUE"""),1065.78)</f>
        <v>1065.78</v>
      </c>
      <c r="I968" s="298"/>
      <c r="J968" s="223" t="str">
        <f>IFERROR(__xludf.DUMMYFUNCTION("""COMPUTED_VALUE"""),"1/3 Deposit Prepaid
1/3 of Remainder Milestone
1/3 of Remainder Milestone Final")</f>
        <v>1/3 Deposit Prepaid
1/3 of Remainder Milestone
1/3 of Remainder Milestone Final</v>
      </c>
      <c r="K968" s="317">
        <f>IFERROR(__xludf.DUMMYFUNCTION("""COMPUTED_VALUE"""),2023.0)</f>
        <v>2023</v>
      </c>
      <c r="L968" s="298"/>
      <c r="M968" s="223"/>
      <c r="N968" s="223"/>
      <c r="O968" s="223"/>
      <c r="P968" s="223"/>
      <c r="Q968" s="223"/>
      <c r="R968" s="223"/>
      <c r="S968" s="223"/>
      <c r="T968" s="223"/>
      <c r="U968" s="223"/>
      <c r="V968" s="223"/>
      <c r="W968" s="223"/>
      <c r="X968" s="223"/>
      <c r="Y968" s="223"/>
      <c r="Z968" s="223"/>
    </row>
    <row r="969">
      <c r="A969" s="223" t="str">
        <f>IFERROR(__xludf.DUMMYFUNCTION("""COMPUTED_VALUE"""),"Service First : Website")</f>
        <v>Service First : Website</v>
      </c>
      <c r="B969" s="223" t="str">
        <f>IFERROR(__xludf.DUMMYFUNCTION("""COMPUTED_VALUE"""),"Service First")</f>
        <v>Service First</v>
      </c>
      <c r="C969" s="223" t="str">
        <f>IFERROR(__xludf.DUMMYFUNCTION("""COMPUTED_VALUE"""),"Website")</f>
        <v>Website</v>
      </c>
      <c r="D969" s="316">
        <f>IFERROR(__xludf.DUMMYFUNCTION("""COMPUTED_VALUE"""),45138.0)</f>
        <v>45138</v>
      </c>
      <c r="E969" s="298">
        <f>IFERROR(__xludf.DUMMYFUNCTION("""COMPUTED_VALUE"""),3700.0)</f>
        <v>3700</v>
      </c>
      <c r="F969" s="298">
        <f>IFERROR(__xludf.DUMMYFUNCTION("""COMPUTED_VALUE"""),115.11)</f>
        <v>115.11</v>
      </c>
      <c r="G969" s="298">
        <f>IFERROR(__xludf.DUMMYFUNCTION("""COMPUTED_VALUE"""),0.0)</f>
        <v>0</v>
      </c>
      <c r="H969" s="223">
        <f>IFERROR(__xludf.DUMMYFUNCTION("""COMPUTED_VALUE"""),3584.89)</f>
        <v>3584.89</v>
      </c>
      <c r="I969" s="298"/>
      <c r="J969" s="223" t="str">
        <f>IFERROR(__xludf.DUMMYFUNCTION("""COMPUTED_VALUE"""),"1/3 Deposit Prepaid
1/3 of Remainder Milestone
1/3 of Remainder Milestone Final")</f>
        <v>1/3 Deposit Prepaid
1/3 of Remainder Milestone
1/3 of Remainder Milestone Final</v>
      </c>
      <c r="K969" s="317">
        <f>IFERROR(__xludf.DUMMYFUNCTION("""COMPUTED_VALUE"""),2023.0)</f>
        <v>2023</v>
      </c>
      <c r="L969" s="298"/>
      <c r="M969" s="223"/>
      <c r="N969" s="223"/>
      <c r="O969" s="223"/>
      <c r="P969" s="223"/>
      <c r="Q969" s="223"/>
      <c r="R969" s="223"/>
      <c r="S969" s="223"/>
      <c r="T969" s="223"/>
      <c r="U969" s="223"/>
      <c r="V969" s="223"/>
      <c r="W969" s="223"/>
      <c r="X969" s="223"/>
      <c r="Y969" s="223"/>
      <c r="Z969" s="223"/>
    </row>
    <row r="970">
      <c r="A970" s="223" t="str">
        <f>IFERROR(__xludf.DUMMYFUNCTION("""COMPUTED_VALUE"""),"Halo Programs : Monthly PPC")</f>
        <v>Halo Programs : Monthly PPC</v>
      </c>
      <c r="B970" s="223" t="str">
        <f>IFERROR(__xludf.DUMMYFUNCTION("""COMPUTED_VALUE"""),"Halo Programs")</f>
        <v>Halo Programs</v>
      </c>
      <c r="C970" s="223" t="str">
        <f>IFERROR(__xludf.DUMMYFUNCTION("""COMPUTED_VALUE"""),"Monthly PPC")</f>
        <v>Monthly PPC</v>
      </c>
      <c r="D970" s="316">
        <f>IFERROR(__xludf.DUMMYFUNCTION("""COMPUTED_VALUE"""),45122.0)</f>
        <v>45122</v>
      </c>
      <c r="E970" s="298">
        <f>IFERROR(__xludf.DUMMYFUNCTION("""COMPUTED_VALUE"""),981.61575)</f>
        <v>981.61575</v>
      </c>
      <c r="F970" s="298">
        <f>IFERROR(__xludf.DUMMYFUNCTION("""COMPUTED_VALUE"""),36.712429050000004)</f>
        <v>36.71242905</v>
      </c>
      <c r="G970" s="298">
        <f>IFERROR(__xludf.DUMMYFUNCTION("""COMPUTED_VALUE"""),188.98066419000003)</f>
        <v>188.9806642</v>
      </c>
      <c r="H970" s="223">
        <f>IFERROR(__xludf.DUMMYFUNCTION("""COMPUTED_VALUE"""),755.9226567600001)</f>
        <v>755.9226568</v>
      </c>
      <c r="I970" s="298"/>
      <c r="J970" s="223" t="str">
        <f>IFERROR(__xludf.DUMMYFUNCTION("""COMPUTED_VALUE"""),"Monthly")</f>
        <v>Monthly</v>
      </c>
      <c r="K970" s="317">
        <f>IFERROR(__xludf.DUMMYFUNCTION("""COMPUTED_VALUE"""),2023.07)</f>
        <v>2023.07</v>
      </c>
      <c r="L970" s="298"/>
      <c r="M970" s="223"/>
      <c r="N970" s="223"/>
      <c r="O970" s="223"/>
      <c r="P970" s="223"/>
      <c r="Q970" s="223"/>
      <c r="R970" s="223"/>
      <c r="S970" s="223"/>
      <c r="T970" s="223"/>
      <c r="U970" s="223"/>
      <c r="V970" s="223"/>
      <c r="W970" s="223"/>
      <c r="X970" s="223"/>
      <c r="Y970" s="223"/>
      <c r="Z970" s="223"/>
    </row>
    <row r="971">
      <c r="A971" s="223" t="str">
        <f>IFERROR(__xludf.DUMMYFUNCTION("""COMPUTED_VALUE"""),"Booginhead : Monthly Services")</f>
        <v>Booginhead : Monthly Services</v>
      </c>
      <c r="B971" s="223" t="str">
        <f>IFERROR(__xludf.DUMMYFUNCTION("""COMPUTED_VALUE"""),"Booginhead")</f>
        <v>Booginhead</v>
      </c>
      <c r="C971" s="223" t="str">
        <f>IFERROR(__xludf.DUMMYFUNCTION("""COMPUTED_VALUE"""),"Monthly Services")</f>
        <v>Monthly Services</v>
      </c>
      <c r="D971" s="316">
        <f>IFERROR(__xludf.DUMMYFUNCTION("""COMPUTED_VALUE"""),45122.0)</f>
        <v>45122</v>
      </c>
      <c r="E971" s="298">
        <f>IFERROR(__xludf.DUMMYFUNCTION("""COMPUTED_VALUE"""),1825.2848900000001)</f>
        <v>1825.28489</v>
      </c>
      <c r="F971" s="298">
        <f>IFERROR(__xludf.DUMMYFUNCTION("""COMPUTED_VALUE"""),67.91846783000001)</f>
        <v>67.91846783</v>
      </c>
      <c r="G971" s="298">
        <f>IFERROR(__xludf.DUMMYFUNCTION("""COMPUTED_VALUE"""),351.47328443400005)</f>
        <v>351.4732844</v>
      </c>
      <c r="H971" s="223">
        <f>IFERROR(__xludf.DUMMYFUNCTION("""COMPUTED_VALUE"""),1405.893137736)</f>
        <v>1405.893138</v>
      </c>
      <c r="I971" s="298"/>
      <c r="J971" s="223" t="str">
        <f>IFERROR(__xludf.DUMMYFUNCTION("""COMPUTED_VALUE"""),"Monthly")</f>
        <v>Monthly</v>
      </c>
      <c r="K971" s="317">
        <f>IFERROR(__xludf.DUMMYFUNCTION("""COMPUTED_VALUE"""),2023.07)</f>
        <v>2023.07</v>
      </c>
      <c r="L971" s="298"/>
      <c r="M971" s="223"/>
      <c r="N971" s="223"/>
      <c r="O971" s="223"/>
      <c r="P971" s="223"/>
      <c r="Q971" s="223"/>
      <c r="R971" s="223"/>
      <c r="S971" s="223"/>
      <c r="T971" s="223"/>
      <c r="U971" s="223"/>
      <c r="V971" s="223"/>
      <c r="W971" s="223"/>
      <c r="X971" s="223"/>
      <c r="Y971" s="223"/>
      <c r="Z971" s="223"/>
    </row>
    <row r="972">
      <c r="A972" s="223" t="str">
        <f>IFERROR(__xludf.DUMMYFUNCTION("""COMPUTED_VALUE"""),"New Growth Ecommerce Inc : Monthly Services")</f>
        <v>New Growth Ecommerce Inc : Monthly Services</v>
      </c>
      <c r="B972" s="223" t="str">
        <f>IFERROR(__xludf.DUMMYFUNCTION("""COMPUTED_VALUE"""),"New Growth Ecommerce Inc")</f>
        <v>New Growth Ecommerce Inc</v>
      </c>
      <c r="C972" s="223" t="str">
        <f>IFERROR(__xludf.DUMMYFUNCTION("""COMPUTED_VALUE"""),"Monthly Services")</f>
        <v>Monthly Services</v>
      </c>
      <c r="D972" s="316">
        <f>IFERROR(__xludf.DUMMYFUNCTION("""COMPUTED_VALUE"""),45122.0)</f>
        <v>45122</v>
      </c>
      <c r="E972" s="298">
        <f>IFERROR(__xludf.DUMMYFUNCTION("""COMPUTED_VALUE"""),5000.0)</f>
        <v>5000</v>
      </c>
      <c r="F972" s="298">
        <f>IFERROR(__xludf.DUMMYFUNCTION("""COMPUTED_VALUE"""),0.0)</f>
        <v>0</v>
      </c>
      <c r="G972" s="298">
        <f>IFERROR(__xludf.DUMMYFUNCTION("""COMPUTED_VALUE"""),0.0)</f>
        <v>0</v>
      </c>
      <c r="H972" s="223">
        <f>IFERROR(__xludf.DUMMYFUNCTION("""COMPUTED_VALUE"""),5000.0)</f>
        <v>5000</v>
      </c>
      <c r="I972" s="298"/>
      <c r="J972" s="223" t="str">
        <f>IFERROR(__xludf.DUMMYFUNCTION("""COMPUTED_VALUE"""),"Monthly")</f>
        <v>Monthly</v>
      </c>
      <c r="K972" s="317">
        <f>IFERROR(__xludf.DUMMYFUNCTION("""COMPUTED_VALUE"""),2023.07)</f>
        <v>2023.07</v>
      </c>
      <c r="L972" s="298"/>
      <c r="M972" s="223"/>
      <c r="N972" s="223"/>
      <c r="O972" s="223"/>
      <c r="P972" s="223"/>
      <c r="Q972" s="223"/>
      <c r="R972" s="223"/>
      <c r="S972" s="223"/>
      <c r="T972" s="223"/>
      <c r="U972" s="223"/>
      <c r="V972" s="223"/>
      <c r="W972" s="223"/>
      <c r="X972" s="223"/>
      <c r="Y972" s="223"/>
      <c r="Z972" s="223"/>
    </row>
    <row r="973">
      <c r="A973" s="223" t="str">
        <f>IFERROR(__xludf.DUMMYFUNCTION("""COMPUTED_VALUE"""),"OA Region 6 : Monthly Services")</f>
        <v>OA Region 6 : Monthly Services</v>
      </c>
      <c r="B973" s="223" t="str">
        <f>IFERROR(__xludf.DUMMYFUNCTION("""COMPUTED_VALUE"""),"OA Region 6")</f>
        <v>OA Region 6</v>
      </c>
      <c r="C973" s="223" t="str">
        <f>IFERROR(__xludf.DUMMYFUNCTION("""COMPUTED_VALUE"""),"Monthly Services")</f>
        <v>Monthly Services</v>
      </c>
      <c r="D973" s="316">
        <f>IFERROR(__xludf.DUMMYFUNCTION("""COMPUTED_VALUE"""),45122.0)</f>
        <v>45122</v>
      </c>
      <c r="E973" s="298">
        <f>IFERROR(__xludf.DUMMYFUNCTION("""COMPUTED_VALUE"""),452.45165)</f>
        <v>452.45165</v>
      </c>
      <c r="F973" s="298">
        <f>IFERROR(__xludf.DUMMYFUNCTION("""COMPUTED_VALUE"""),17.12852675)</f>
        <v>17.12852675</v>
      </c>
      <c r="G973" s="298">
        <f>IFERROR(__xludf.DUMMYFUNCTION("""COMPUTED_VALUE"""),0.0)</f>
        <v>0</v>
      </c>
      <c r="H973" s="223">
        <f>IFERROR(__xludf.DUMMYFUNCTION("""COMPUTED_VALUE"""),435.32312325)</f>
        <v>435.3231233</v>
      </c>
      <c r="I973" s="298"/>
      <c r="J973" s="223" t="str">
        <f>IFERROR(__xludf.DUMMYFUNCTION("""COMPUTED_VALUE"""),"Monthly")</f>
        <v>Monthly</v>
      </c>
      <c r="K973" s="317">
        <f>IFERROR(__xludf.DUMMYFUNCTION("""COMPUTED_VALUE"""),2023.07)</f>
        <v>2023.07</v>
      </c>
      <c r="L973" s="298"/>
      <c r="M973" s="223"/>
      <c r="N973" s="223"/>
      <c r="O973" s="223"/>
      <c r="P973" s="223"/>
      <c r="Q973" s="223"/>
      <c r="R973" s="223"/>
      <c r="S973" s="223"/>
      <c r="T973" s="223"/>
      <c r="U973" s="223"/>
      <c r="V973" s="223"/>
      <c r="W973" s="223"/>
      <c r="X973" s="223"/>
      <c r="Y973" s="223"/>
      <c r="Z973" s="223"/>
    </row>
    <row r="974">
      <c r="A974" s="223" t="str">
        <f>IFERROR(__xludf.DUMMYFUNCTION("""COMPUTED_VALUE"""),"Rama Meditation Society : Monthly Hosting &amp; Updates")</f>
        <v>Rama Meditation Society : Monthly Hosting &amp; Updates</v>
      </c>
      <c r="B974" s="223" t="str">
        <f>IFERROR(__xludf.DUMMYFUNCTION("""COMPUTED_VALUE"""),"Rama Meditation Society")</f>
        <v>Rama Meditation Society</v>
      </c>
      <c r="C974" s="223" t="str">
        <f>IFERROR(__xludf.DUMMYFUNCTION("""COMPUTED_VALUE"""),"Monthly Hosting &amp; Updates")</f>
        <v>Monthly Hosting &amp; Updates</v>
      </c>
      <c r="D974" s="316">
        <f>IFERROR(__xludf.DUMMYFUNCTION("""COMPUTED_VALUE"""),45122.0)</f>
        <v>45122</v>
      </c>
      <c r="E974" s="298">
        <f>IFERROR(__xludf.DUMMYFUNCTION("""COMPUTED_VALUE"""),76.58538)</f>
        <v>76.58538</v>
      </c>
      <c r="F974" s="298">
        <f>IFERROR(__xludf.DUMMYFUNCTION("""COMPUTED_VALUE"""),3.21658596)</f>
        <v>3.21658596</v>
      </c>
      <c r="G974" s="298">
        <f>IFERROR(__xludf.DUMMYFUNCTION("""COMPUTED_VALUE"""),0.0)</f>
        <v>0</v>
      </c>
      <c r="H974" s="223">
        <f>IFERROR(__xludf.DUMMYFUNCTION("""COMPUTED_VALUE"""),73.36879404)</f>
        <v>73.36879404</v>
      </c>
      <c r="I974" s="298"/>
      <c r="J974" s="223" t="str">
        <f>IFERROR(__xludf.DUMMYFUNCTION("""COMPUTED_VALUE"""),"Monthly")</f>
        <v>Monthly</v>
      </c>
      <c r="K974" s="317">
        <f>IFERROR(__xludf.DUMMYFUNCTION("""COMPUTED_VALUE"""),2023.07)</f>
        <v>2023.07</v>
      </c>
      <c r="L974" s="298"/>
      <c r="M974" s="223"/>
      <c r="N974" s="223"/>
      <c r="O974" s="223"/>
      <c r="P974" s="223"/>
      <c r="Q974" s="223"/>
      <c r="R974" s="223"/>
      <c r="S974" s="223"/>
      <c r="T974" s="223"/>
      <c r="U974" s="223"/>
      <c r="V974" s="223"/>
      <c r="W974" s="223"/>
      <c r="X974" s="223"/>
      <c r="Y974" s="223"/>
      <c r="Z974" s="223"/>
    </row>
    <row r="975">
      <c r="A975" s="223" t="str">
        <f>IFERROR(__xludf.DUMMYFUNCTION("""COMPUTED_VALUE"""),"Tofino Resort + Marina : Monthly Services")</f>
        <v>Tofino Resort + Marina : Monthly Services</v>
      </c>
      <c r="B975" s="223" t="str">
        <f>IFERROR(__xludf.DUMMYFUNCTION("""COMPUTED_VALUE"""),"Tofino Resort + Marina")</f>
        <v>Tofino Resort + Marina</v>
      </c>
      <c r="C975" s="223" t="str">
        <f>IFERROR(__xludf.DUMMYFUNCTION("""COMPUTED_VALUE"""),"Monthly Services")</f>
        <v>Monthly Services</v>
      </c>
      <c r="D975" s="316">
        <f>IFERROR(__xludf.DUMMYFUNCTION("""COMPUTED_VALUE"""),45122.0)</f>
        <v>45122</v>
      </c>
      <c r="E975" s="298">
        <f>IFERROR(__xludf.DUMMYFUNCTION("""COMPUTED_VALUE"""),1600.0)</f>
        <v>1600</v>
      </c>
      <c r="F975" s="298">
        <f>IFERROR(__xludf.DUMMYFUNCTION("""COMPUTED_VALUE"""),49.78)</f>
        <v>49.78</v>
      </c>
      <c r="G975" s="298">
        <f>IFERROR(__xludf.DUMMYFUNCTION("""COMPUTED_VALUE"""),0.0)</f>
        <v>0</v>
      </c>
      <c r="H975" s="223">
        <f>IFERROR(__xludf.DUMMYFUNCTION("""COMPUTED_VALUE"""),1550.22)</f>
        <v>1550.22</v>
      </c>
      <c r="I975" s="298"/>
      <c r="J975" s="223" t="str">
        <f>IFERROR(__xludf.DUMMYFUNCTION("""COMPUTED_VALUE"""),"Monthly")</f>
        <v>Monthly</v>
      </c>
      <c r="K975" s="317">
        <f>IFERROR(__xludf.DUMMYFUNCTION("""COMPUTED_VALUE"""),2023.07)</f>
        <v>2023.07</v>
      </c>
      <c r="L975" s="298"/>
      <c r="M975" s="223"/>
      <c r="N975" s="223"/>
      <c r="O975" s="223"/>
      <c r="P975" s="223"/>
      <c r="Q975" s="223"/>
      <c r="R975" s="223"/>
      <c r="S975" s="223"/>
      <c r="T975" s="223"/>
      <c r="U975" s="223"/>
      <c r="V975" s="223"/>
      <c r="W975" s="223"/>
      <c r="X975" s="223"/>
      <c r="Y975" s="223"/>
      <c r="Z975" s="223"/>
    </row>
    <row r="976">
      <c r="A976" s="223" t="str">
        <f>IFERROR(__xludf.DUMMYFUNCTION("""COMPUTED_VALUE"""),"Canyon's Construction : Enhanced Hosting &amp; WordPress Support")</f>
        <v>Canyon's Construction : Enhanced Hosting &amp; WordPress Support</v>
      </c>
      <c r="B976" s="223" t="str">
        <f>IFERROR(__xludf.DUMMYFUNCTION("""COMPUTED_VALUE"""),"Canyon's Construction")</f>
        <v>Canyon's Construction</v>
      </c>
      <c r="C976" s="223" t="str">
        <f>IFERROR(__xludf.DUMMYFUNCTION("""COMPUTED_VALUE"""),"Enhanced Hosting &amp; WordPress Support")</f>
        <v>Enhanced Hosting &amp; WordPress Support</v>
      </c>
      <c r="D976" s="316">
        <f>IFERROR(__xludf.DUMMYFUNCTION("""COMPUTED_VALUE"""),45122.0)</f>
        <v>45122</v>
      </c>
      <c r="E976" s="298">
        <f>IFERROR(__xludf.DUMMYFUNCTION("""COMPUTED_VALUE"""),280.0)</f>
        <v>280</v>
      </c>
      <c r="F976" s="298"/>
      <c r="G976" s="298">
        <f>IFERROR(__xludf.DUMMYFUNCTION("""COMPUTED_VALUE"""),56.0)</f>
        <v>56</v>
      </c>
      <c r="H976" s="223">
        <f>IFERROR(__xludf.DUMMYFUNCTION("""COMPUTED_VALUE"""),224.0)</f>
        <v>224</v>
      </c>
      <c r="I976" s="298"/>
      <c r="J976" s="223" t="str">
        <f>IFERROR(__xludf.DUMMYFUNCTION("""COMPUTED_VALUE"""),"Monthly")</f>
        <v>Monthly</v>
      </c>
      <c r="K976" s="317">
        <f>IFERROR(__xludf.DUMMYFUNCTION("""COMPUTED_VALUE"""),2023.07)</f>
        <v>2023.07</v>
      </c>
      <c r="L976" s="298"/>
      <c r="M976" s="223"/>
      <c r="N976" s="223"/>
      <c r="O976" s="223"/>
      <c r="P976" s="223"/>
      <c r="Q976" s="223"/>
      <c r="R976" s="223"/>
      <c r="S976" s="223"/>
      <c r="T976" s="223"/>
      <c r="U976" s="223"/>
      <c r="V976" s="223"/>
      <c r="W976" s="223"/>
      <c r="X976" s="223"/>
      <c r="Y976" s="223"/>
      <c r="Z976" s="223"/>
    </row>
    <row r="977">
      <c r="A977" s="223" t="str">
        <f>IFERROR(__xludf.DUMMYFUNCTION("""COMPUTED_VALUE"""),"Villa del Mar : Enhanced Hosting &amp; WordPress Support")</f>
        <v>Villa del Mar : Enhanced Hosting &amp; WordPress Support</v>
      </c>
      <c r="B977" s="223" t="str">
        <f>IFERROR(__xludf.DUMMYFUNCTION("""COMPUTED_VALUE"""),"Villa del Mar")</f>
        <v>Villa del Mar</v>
      </c>
      <c r="C977" s="223" t="str">
        <f>IFERROR(__xludf.DUMMYFUNCTION("""COMPUTED_VALUE"""),"Enhanced Hosting &amp; WordPress Support")</f>
        <v>Enhanced Hosting &amp; WordPress Support</v>
      </c>
      <c r="D977" s="316">
        <f>IFERROR(__xludf.DUMMYFUNCTION("""COMPUTED_VALUE"""),45122.0)</f>
        <v>45122</v>
      </c>
      <c r="E977" s="298">
        <f>IFERROR(__xludf.DUMMYFUNCTION("""COMPUTED_VALUE"""),361.956)</f>
        <v>361.956</v>
      </c>
      <c r="F977" s="298">
        <f>IFERROR(__xludf.DUMMYFUNCTION("""COMPUTED_VALUE"""),10.8)</f>
        <v>10.8</v>
      </c>
      <c r="G977" s="298">
        <f>IFERROR(__xludf.DUMMYFUNCTION("""COMPUTED_VALUE"""),0.0)</f>
        <v>0</v>
      </c>
      <c r="H977" s="223">
        <f>IFERROR(__xludf.DUMMYFUNCTION("""COMPUTED_VALUE"""),351.156)</f>
        <v>351.156</v>
      </c>
      <c r="I977" s="298"/>
      <c r="J977" s="223" t="str">
        <f>IFERROR(__xludf.DUMMYFUNCTION("""COMPUTED_VALUE"""),"Monthly")</f>
        <v>Monthly</v>
      </c>
      <c r="K977" s="317">
        <f>IFERROR(__xludf.DUMMYFUNCTION("""COMPUTED_VALUE"""),2023.07)</f>
        <v>2023.07</v>
      </c>
      <c r="L977" s="298"/>
      <c r="M977" s="223"/>
      <c r="N977" s="223"/>
      <c r="O977" s="223"/>
      <c r="P977" s="223"/>
      <c r="Q977" s="223"/>
      <c r="R977" s="223"/>
      <c r="S977" s="223"/>
      <c r="T977" s="223"/>
      <c r="U977" s="223"/>
      <c r="V977" s="223"/>
      <c r="W977" s="223"/>
      <c r="X977" s="223"/>
      <c r="Y977" s="223"/>
      <c r="Z977" s="223"/>
    </row>
    <row r="978">
      <c r="A978" s="223" t="str">
        <f>IFERROR(__xludf.DUMMYFUNCTION("""COMPUTED_VALUE"""),"Classic LifeCare : Monthly Google Ads (PPC) Management")</f>
        <v>Classic LifeCare : Monthly Google Ads (PPC) Management</v>
      </c>
      <c r="B978" s="223" t="str">
        <f>IFERROR(__xludf.DUMMYFUNCTION("""COMPUTED_VALUE"""),"Classic LifeCare")</f>
        <v>Classic LifeCare</v>
      </c>
      <c r="C978" s="223" t="str">
        <f>IFERROR(__xludf.DUMMYFUNCTION("""COMPUTED_VALUE"""),"Monthly Google Ads (PPC) Management")</f>
        <v>Monthly Google Ads (PPC) Management</v>
      </c>
      <c r="D978" s="316">
        <f>IFERROR(__xludf.DUMMYFUNCTION("""COMPUTED_VALUE"""),45122.0)</f>
        <v>45122</v>
      </c>
      <c r="E978" s="298">
        <f>IFERROR(__xludf.DUMMYFUNCTION("""COMPUTED_VALUE"""),865.0)</f>
        <v>865</v>
      </c>
      <c r="F978" s="298">
        <f>IFERROR(__xludf.DUMMYFUNCTION("""COMPUTED_VALUE"""),0.0)</f>
        <v>0</v>
      </c>
      <c r="G978" s="298">
        <f>IFERROR(__xludf.DUMMYFUNCTION("""COMPUTED_VALUE"""),0.0)</f>
        <v>0</v>
      </c>
      <c r="H978" s="223">
        <f>IFERROR(__xludf.DUMMYFUNCTION("""COMPUTED_VALUE"""),865.0)</f>
        <v>865</v>
      </c>
      <c r="I978" s="298"/>
      <c r="J978" s="223" t="str">
        <f>IFERROR(__xludf.DUMMYFUNCTION("""COMPUTED_VALUE"""),"Monthly")</f>
        <v>Monthly</v>
      </c>
      <c r="K978" s="317">
        <f>IFERROR(__xludf.DUMMYFUNCTION("""COMPUTED_VALUE"""),2023.07)</f>
        <v>2023.07</v>
      </c>
      <c r="L978" s="298"/>
      <c r="M978" s="223"/>
      <c r="N978" s="223"/>
      <c r="O978" s="223"/>
      <c r="P978" s="223"/>
      <c r="Q978" s="223"/>
      <c r="R978" s="223"/>
      <c r="S978" s="223"/>
      <c r="T978" s="223"/>
      <c r="U978" s="223"/>
      <c r="V978" s="223"/>
      <c r="W978" s="223"/>
      <c r="X978" s="223"/>
      <c r="Y978" s="223"/>
      <c r="Z978" s="223"/>
    </row>
    <row r="979">
      <c r="A979" s="223" t="str">
        <f>IFERROR(__xludf.DUMMYFUNCTION("""COMPUTED_VALUE"""),"Ultimate Tools : Monthly SEO &amp; PPC Management")</f>
        <v>Ultimate Tools : Monthly SEO &amp; PPC Management</v>
      </c>
      <c r="B979" s="223" t="str">
        <f>IFERROR(__xludf.DUMMYFUNCTION("""COMPUTED_VALUE"""),"Ultimate Tools")</f>
        <v>Ultimate Tools</v>
      </c>
      <c r="C979" s="223" t="str">
        <f>IFERROR(__xludf.DUMMYFUNCTION("""COMPUTED_VALUE"""),"Monthly SEO &amp; PPC Management")</f>
        <v>Monthly SEO &amp; PPC Management</v>
      </c>
      <c r="D979" s="316">
        <f>IFERROR(__xludf.DUMMYFUNCTION("""COMPUTED_VALUE"""),45122.0)</f>
        <v>45122</v>
      </c>
      <c r="E979" s="298">
        <f>IFERROR(__xludf.DUMMYFUNCTION("""COMPUTED_VALUE"""),2500.0)</f>
        <v>2500</v>
      </c>
      <c r="F979" s="298">
        <f>IFERROR(__xludf.DUMMYFUNCTION("""COMPUTED_VALUE"""),0.0)</f>
        <v>0</v>
      </c>
      <c r="G979" s="298">
        <f>IFERROR(__xludf.DUMMYFUNCTION("""COMPUTED_VALUE"""),0.0)</f>
        <v>0</v>
      </c>
      <c r="H979" s="223">
        <f>IFERROR(__xludf.DUMMYFUNCTION("""COMPUTED_VALUE"""),2500.0)</f>
        <v>2500</v>
      </c>
      <c r="I979" s="298"/>
      <c r="J979" s="223" t="str">
        <f>IFERROR(__xludf.DUMMYFUNCTION("""COMPUTED_VALUE"""),"Monthly")</f>
        <v>Monthly</v>
      </c>
      <c r="K979" s="317">
        <f>IFERROR(__xludf.DUMMYFUNCTION("""COMPUTED_VALUE"""),2023.07)</f>
        <v>2023.07</v>
      </c>
      <c r="L979" s="298"/>
      <c r="M979" s="223"/>
      <c r="N979" s="223"/>
      <c r="O979" s="223"/>
      <c r="P979" s="223"/>
      <c r="Q979" s="223"/>
      <c r="R979" s="223"/>
      <c r="S979" s="223"/>
      <c r="T979" s="223"/>
      <c r="U979" s="223"/>
      <c r="V979" s="223"/>
      <c r="W979" s="223"/>
      <c r="X979" s="223"/>
      <c r="Y979" s="223"/>
      <c r="Z979" s="223"/>
    </row>
    <row r="980">
      <c r="A980" s="223" t="str">
        <f>IFERROR(__xludf.DUMMYFUNCTION("""COMPUTED_VALUE"""),"McAllister Marketing : Copernic PPC / SEO")</f>
        <v>McAllister Marketing : Copernic PPC / SEO</v>
      </c>
      <c r="B980" s="223" t="str">
        <f>IFERROR(__xludf.DUMMYFUNCTION("""COMPUTED_VALUE"""),"McAllister Marketing")</f>
        <v>McAllister Marketing</v>
      </c>
      <c r="C980" s="223" t="str">
        <f>IFERROR(__xludf.DUMMYFUNCTION("""COMPUTED_VALUE"""),"Copernic PPC / SEO")</f>
        <v>Copernic PPC / SEO</v>
      </c>
      <c r="D980" s="316">
        <f>IFERROR(__xludf.DUMMYFUNCTION("""COMPUTED_VALUE"""),45122.0)</f>
        <v>45122</v>
      </c>
      <c r="E980" s="298">
        <f>IFERROR(__xludf.DUMMYFUNCTION("""COMPUTED_VALUE"""),2000.0)</f>
        <v>2000</v>
      </c>
      <c r="F980" s="298">
        <f>IFERROR(__xludf.DUMMYFUNCTION("""COMPUTED_VALUE"""),0.0)</f>
        <v>0</v>
      </c>
      <c r="G980" s="298">
        <f>IFERROR(__xludf.DUMMYFUNCTION("""COMPUTED_VALUE"""),0.0)</f>
        <v>0</v>
      </c>
      <c r="H980" s="223">
        <f>IFERROR(__xludf.DUMMYFUNCTION("""COMPUTED_VALUE"""),2000.0)</f>
        <v>2000</v>
      </c>
      <c r="I980" s="298"/>
      <c r="J980" s="223" t="str">
        <f>IFERROR(__xludf.DUMMYFUNCTION("""COMPUTED_VALUE"""),"Monthly")</f>
        <v>Monthly</v>
      </c>
      <c r="K980" s="317">
        <f>IFERROR(__xludf.DUMMYFUNCTION("""COMPUTED_VALUE"""),2023.07)</f>
        <v>2023.07</v>
      </c>
      <c r="L980" s="298"/>
      <c r="M980" s="223"/>
      <c r="N980" s="223"/>
      <c r="O980" s="223"/>
      <c r="P980" s="223"/>
      <c r="Q980" s="223"/>
      <c r="R980" s="223"/>
      <c r="S980" s="223"/>
      <c r="T980" s="223"/>
      <c r="U980" s="223"/>
      <c r="V980" s="223"/>
      <c r="W980" s="223"/>
      <c r="X980" s="223"/>
      <c r="Y980" s="223"/>
      <c r="Z980" s="223"/>
    </row>
    <row r="981">
      <c r="A981" s="223" t="str">
        <f>IFERROR(__xludf.DUMMYFUNCTION("""COMPUTED_VALUE"""),"Terra Insights : Monthly PPC")</f>
        <v>Terra Insights : Monthly PPC</v>
      </c>
      <c r="B981" s="223" t="str">
        <f>IFERROR(__xludf.DUMMYFUNCTION("""COMPUTED_VALUE"""),"Terra Insights")</f>
        <v>Terra Insights</v>
      </c>
      <c r="C981" s="223" t="str">
        <f>IFERROR(__xludf.DUMMYFUNCTION("""COMPUTED_VALUE"""),"Monthly PPC")</f>
        <v>Monthly PPC</v>
      </c>
      <c r="D981" s="316">
        <f>IFERROR(__xludf.DUMMYFUNCTION("""COMPUTED_VALUE"""),45122.0)</f>
        <v>45122</v>
      </c>
      <c r="E981" s="298">
        <f>IFERROR(__xludf.DUMMYFUNCTION("""COMPUTED_VALUE"""),2000.0)</f>
        <v>2000</v>
      </c>
      <c r="F981" s="298">
        <f>IFERROR(__xludf.DUMMYFUNCTION("""COMPUTED_VALUE"""),62.22)</f>
        <v>62.22</v>
      </c>
      <c r="G981" s="298">
        <f>IFERROR(__xludf.DUMMYFUNCTION("""COMPUTED_VALUE"""),0.0)</f>
        <v>0</v>
      </c>
      <c r="H981" s="223">
        <f>IFERROR(__xludf.DUMMYFUNCTION("""COMPUTED_VALUE"""),1937.78)</f>
        <v>1937.78</v>
      </c>
      <c r="I981" s="298"/>
      <c r="J981" s="223" t="str">
        <f>IFERROR(__xludf.DUMMYFUNCTION("""COMPUTED_VALUE"""),"Monthly")</f>
        <v>Monthly</v>
      </c>
      <c r="K981" s="317">
        <f>IFERROR(__xludf.DUMMYFUNCTION("""COMPUTED_VALUE"""),2023.07)</f>
        <v>2023.07</v>
      </c>
      <c r="L981" s="298"/>
      <c r="M981" s="223"/>
      <c r="N981" s="223"/>
      <c r="O981" s="223"/>
      <c r="P981" s="223"/>
      <c r="Q981" s="223"/>
      <c r="R981" s="223"/>
      <c r="S981" s="223"/>
      <c r="T981" s="223"/>
      <c r="U981" s="223"/>
      <c r="V981" s="223"/>
      <c r="W981" s="223"/>
      <c r="X981" s="223"/>
      <c r="Y981" s="223"/>
      <c r="Z981" s="223"/>
    </row>
    <row r="982">
      <c r="A982" s="223" t="str">
        <f>IFERROR(__xludf.DUMMYFUNCTION("""COMPUTED_VALUE"""),"Markey Machine : General Support Retainer")</f>
        <v>Markey Machine : General Support Retainer</v>
      </c>
      <c r="B982" s="223" t="str">
        <f>IFERROR(__xludf.DUMMYFUNCTION("""COMPUTED_VALUE"""),"Markey Machine")</f>
        <v>Markey Machine</v>
      </c>
      <c r="C982" s="223" t="str">
        <f>IFERROR(__xludf.DUMMYFUNCTION("""COMPUTED_VALUE"""),"General Support Retainer")</f>
        <v>General Support Retainer</v>
      </c>
      <c r="D982" s="316">
        <f>IFERROR(__xludf.DUMMYFUNCTION("""COMPUTED_VALUE"""),45122.0)</f>
        <v>45122</v>
      </c>
      <c r="E982" s="298">
        <f>IFERROR(__xludf.DUMMYFUNCTION("""COMPUTED_VALUE"""),326.40000000000003)</f>
        <v>326.4</v>
      </c>
      <c r="F982" s="298">
        <f>IFERROR(__xludf.DUMMYFUNCTION("""COMPUTED_VALUE"""),0.0)</f>
        <v>0</v>
      </c>
      <c r="G982" s="298">
        <f>IFERROR(__xludf.DUMMYFUNCTION("""COMPUTED_VALUE"""),65.28000000000002)</f>
        <v>65.28</v>
      </c>
      <c r="H982" s="223">
        <f>IFERROR(__xludf.DUMMYFUNCTION("""COMPUTED_VALUE"""),261.12)</f>
        <v>261.12</v>
      </c>
      <c r="I982" s="298"/>
      <c r="J982" s="223" t="str">
        <f>IFERROR(__xludf.DUMMYFUNCTION("""COMPUTED_VALUE"""),"Monthly")</f>
        <v>Monthly</v>
      </c>
      <c r="K982" s="317">
        <f>IFERROR(__xludf.DUMMYFUNCTION("""COMPUTED_VALUE"""),2023.07)</f>
        <v>2023.07</v>
      </c>
      <c r="L982" s="298"/>
      <c r="M982" s="223"/>
      <c r="N982" s="223"/>
      <c r="O982" s="223"/>
      <c r="P982" s="223"/>
      <c r="Q982" s="223"/>
      <c r="R982" s="223"/>
      <c r="S982" s="223"/>
      <c r="T982" s="223"/>
      <c r="U982" s="223"/>
      <c r="V982" s="223"/>
      <c r="W982" s="223"/>
      <c r="X982" s="223"/>
      <c r="Y982" s="223"/>
      <c r="Z982" s="223"/>
    </row>
    <row r="983">
      <c r="A983" s="223" t="str">
        <f>IFERROR(__xludf.DUMMYFUNCTION("""COMPUTED_VALUE"""),"WhistleBlower Security : Monthly PPC and SEO")</f>
        <v>WhistleBlower Security : Monthly PPC and SEO</v>
      </c>
      <c r="B983" s="223" t="str">
        <f>IFERROR(__xludf.DUMMYFUNCTION("""COMPUTED_VALUE"""),"WhistleBlower Security")</f>
        <v>WhistleBlower Security</v>
      </c>
      <c r="C983" s="223" t="str">
        <f>IFERROR(__xludf.DUMMYFUNCTION("""COMPUTED_VALUE"""),"Monthly PPC and SEO")</f>
        <v>Monthly PPC and SEO</v>
      </c>
      <c r="D983" s="316">
        <f>IFERROR(__xludf.DUMMYFUNCTION("""COMPUTED_VALUE"""),45122.0)</f>
        <v>45122</v>
      </c>
      <c r="E983" s="298">
        <f>IFERROR(__xludf.DUMMYFUNCTION("""COMPUTED_VALUE"""),1800.0)</f>
        <v>1800</v>
      </c>
      <c r="F983" s="298">
        <f>IFERROR(__xludf.DUMMYFUNCTION("""COMPUTED_VALUE"""),56.0)</f>
        <v>56</v>
      </c>
      <c r="G983" s="298">
        <f>IFERROR(__xludf.DUMMYFUNCTION("""COMPUTED_VALUE"""),174.4)</f>
        <v>174.4</v>
      </c>
      <c r="H983" s="223">
        <f>IFERROR(__xludf.DUMMYFUNCTION("""COMPUTED_VALUE"""),1569.6)</f>
        <v>1569.6</v>
      </c>
      <c r="I983" s="298"/>
      <c r="J983" s="223" t="str">
        <f>IFERROR(__xludf.DUMMYFUNCTION("""COMPUTED_VALUE"""),"Monthly")</f>
        <v>Monthly</v>
      </c>
      <c r="K983" s="317">
        <f>IFERROR(__xludf.DUMMYFUNCTION("""COMPUTED_VALUE"""),2023.07)</f>
        <v>2023.07</v>
      </c>
      <c r="L983" s="298"/>
      <c r="M983" s="223"/>
      <c r="N983" s="223"/>
      <c r="O983" s="223"/>
      <c r="P983" s="223"/>
      <c r="Q983" s="223"/>
      <c r="R983" s="223"/>
      <c r="S983" s="223"/>
      <c r="T983" s="223"/>
      <c r="U983" s="223"/>
      <c r="V983" s="223"/>
      <c r="W983" s="223"/>
      <c r="X983" s="223"/>
      <c r="Y983" s="223"/>
      <c r="Z983" s="223"/>
    </row>
    <row r="984">
      <c r="A984" s="223" t="str">
        <f>IFERROR(__xludf.DUMMYFUNCTION("""COMPUTED_VALUE"""),"Terra Insights : Monthly PPC")</f>
        <v>Terra Insights : Monthly PPC</v>
      </c>
      <c r="B984" s="223" t="str">
        <f>IFERROR(__xludf.DUMMYFUNCTION("""COMPUTED_VALUE"""),"Terra Insights")</f>
        <v>Terra Insights</v>
      </c>
      <c r="C984" s="223" t="str">
        <f>IFERROR(__xludf.DUMMYFUNCTION("""COMPUTED_VALUE"""),"Monthly PPC")</f>
        <v>Monthly PPC</v>
      </c>
      <c r="D984" s="316">
        <f>IFERROR(__xludf.DUMMYFUNCTION("""COMPUTED_VALUE"""),45138.0)</f>
        <v>45138</v>
      </c>
      <c r="E984" s="298">
        <f>IFERROR(__xludf.DUMMYFUNCTION("""COMPUTED_VALUE"""),600.0)</f>
        <v>600</v>
      </c>
      <c r="F984" s="298">
        <f>IFERROR(__xludf.DUMMYFUNCTION("""COMPUTED_VALUE"""),18.67)</f>
        <v>18.67</v>
      </c>
      <c r="G984" s="298">
        <f>IFERROR(__xludf.DUMMYFUNCTION("""COMPUTED_VALUE"""),0.0)</f>
        <v>0</v>
      </c>
      <c r="H984" s="223">
        <f>IFERROR(__xludf.DUMMYFUNCTION("""COMPUTED_VALUE"""),581.33)</f>
        <v>581.33</v>
      </c>
      <c r="I984" s="298"/>
      <c r="J984" s="223" t="str">
        <f>IFERROR(__xludf.DUMMYFUNCTION("""COMPUTED_VALUE"""),"Monthly")</f>
        <v>Monthly</v>
      </c>
      <c r="K984" s="317">
        <f>IFERROR(__xludf.DUMMYFUNCTION("""COMPUTED_VALUE"""),2023.07)</f>
        <v>2023.07</v>
      </c>
      <c r="L984" s="298"/>
      <c r="M984" s="223"/>
      <c r="N984" s="223"/>
      <c r="O984" s="223"/>
      <c r="P984" s="223"/>
      <c r="Q984" s="223"/>
      <c r="R984" s="223"/>
      <c r="S984" s="223"/>
      <c r="T984" s="223"/>
      <c r="U984" s="223"/>
      <c r="V984" s="223"/>
      <c r="W984" s="223"/>
      <c r="X984" s="223"/>
      <c r="Y984" s="223"/>
      <c r="Z984" s="223"/>
    </row>
    <row r="985">
      <c r="A985" s="223" t="str">
        <f>IFERROR(__xludf.DUMMYFUNCTION("""COMPUTED_VALUE"""),"Anook Athletics : Monthly Services")</f>
        <v>Anook Athletics : Monthly Services</v>
      </c>
      <c r="B985" s="223" t="str">
        <f>IFERROR(__xludf.DUMMYFUNCTION("""COMPUTED_VALUE"""),"Anook Athletics")</f>
        <v>Anook Athletics</v>
      </c>
      <c r="C985" s="223" t="str">
        <f>IFERROR(__xludf.DUMMYFUNCTION("""COMPUTED_VALUE"""),"Monthly Services")</f>
        <v>Monthly Services</v>
      </c>
      <c r="D985" s="316">
        <f>IFERROR(__xludf.DUMMYFUNCTION("""COMPUTED_VALUE"""),45138.0)</f>
        <v>45138</v>
      </c>
      <c r="E985" s="298">
        <f>IFERROR(__xludf.DUMMYFUNCTION("""COMPUTED_VALUE"""),800.0)</f>
        <v>800</v>
      </c>
      <c r="F985" s="298">
        <f>IFERROR(__xludf.DUMMYFUNCTION("""COMPUTED_VALUE"""),24.89)</f>
        <v>24.89</v>
      </c>
      <c r="G985" s="298">
        <f>IFERROR(__xludf.DUMMYFUNCTION("""COMPUTED_VALUE"""),0.0)</f>
        <v>0</v>
      </c>
      <c r="H985" s="223">
        <f>IFERROR(__xludf.DUMMYFUNCTION("""COMPUTED_VALUE"""),775.11)</f>
        <v>775.11</v>
      </c>
      <c r="I985" s="298"/>
      <c r="J985" s="223" t="str">
        <f>IFERROR(__xludf.DUMMYFUNCTION("""COMPUTED_VALUE"""),"Monthly")</f>
        <v>Monthly</v>
      </c>
      <c r="K985" s="317">
        <f>IFERROR(__xludf.DUMMYFUNCTION("""COMPUTED_VALUE"""),2023.07)</f>
        <v>2023.07</v>
      </c>
      <c r="L985" s="298"/>
      <c r="M985" s="223"/>
      <c r="N985" s="223"/>
      <c r="O985" s="223"/>
      <c r="P985" s="223"/>
      <c r="Q985" s="223"/>
      <c r="R985" s="223"/>
      <c r="S985" s="223"/>
      <c r="T985" s="223"/>
      <c r="U985" s="223"/>
      <c r="V985" s="223"/>
      <c r="W985" s="223"/>
      <c r="X985" s="223"/>
      <c r="Y985" s="223"/>
      <c r="Z985" s="223"/>
    </row>
    <row r="986">
      <c r="A986" s="223" t="str">
        <f>IFERROR(__xludf.DUMMYFUNCTION("""COMPUTED_VALUE"""),"Availed Technologies : Monthly Services")</f>
        <v>Availed Technologies : Monthly Services</v>
      </c>
      <c r="B986" s="223" t="str">
        <f>IFERROR(__xludf.DUMMYFUNCTION("""COMPUTED_VALUE"""),"Availed Technologies")</f>
        <v>Availed Technologies</v>
      </c>
      <c r="C986" s="223" t="str">
        <f>IFERROR(__xludf.DUMMYFUNCTION("""COMPUTED_VALUE"""),"Monthly Services")</f>
        <v>Monthly Services</v>
      </c>
      <c r="D986" s="316">
        <f>IFERROR(__xludf.DUMMYFUNCTION("""COMPUTED_VALUE"""),45138.0)</f>
        <v>45138</v>
      </c>
      <c r="E986" s="298">
        <f>IFERROR(__xludf.DUMMYFUNCTION("""COMPUTED_VALUE"""),750.0)</f>
        <v>750</v>
      </c>
      <c r="F986" s="298">
        <f>IFERROR(__xludf.DUMMYFUNCTION("""COMPUTED_VALUE"""),23.33)</f>
        <v>23.33</v>
      </c>
      <c r="G986" s="298">
        <f>IFERROR(__xludf.DUMMYFUNCTION("""COMPUTED_VALUE"""),0.0)</f>
        <v>0</v>
      </c>
      <c r="H986" s="223">
        <f>IFERROR(__xludf.DUMMYFUNCTION("""COMPUTED_VALUE"""),726.67)</f>
        <v>726.67</v>
      </c>
      <c r="I986" s="298"/>
      <c r="J986" s="223" t="str">
        <f>IFERROR(__xludf.DUMMYFUNCTION("""COMPUTED_VALUE"""),"Monthly")</f>
        <v>Monthly</v>
      </c>
      <c r="K986" s="317">
        <f>IFERROR(__xludf.DUMMYFUNCTION("""COMPUTED_VALUE"""),2023.07)</f>
        <v>2023.07</v>
      </c>
      <c r="L986" s="298"/>
      <c r="M986" s="223"/>
      <c r="N986" s="223"/>
      <c r="O986" s="223"/>
      <c r="P986" s="223"/>
      <c r="Q986" s="223"/>
      <c r="R986" s="223"/>
      <c r="S986" s="223"/>
      <c r="T986" s="223"/>
      <c r="U986" s="223"/>
      <c r="V986" s="223"/>
      <c r="W986" s="223"/>
      <c r="X986" s="223"/>
      <c r="Y986" s="223"/>
      <c r="Z986" s="223"/>
    </row>
    <row r="987">
      <c r="A987" s="223" t="str">
        <f>IFERROR(__xludf.DUMMYFUNCTION("""COMPUTED_VALUE"""),"Community Financials : Monthly Services")</f>
        <v>Community Financials : Monthly Services</v>
      </c>
      <c r="B987" s="223" t="str">
        <f>IFERROR(__xludf.DUMMYFUNCTION("""COMPUTED_VALUE"""),"Community Financials")</f>
        <v>Community Financials</v>
      </c>
      <c r="C987" s="223" t="str">
        <f>IFERROR(__xludf.DUMMYFUNCTION("""COMPUTED_VALUE"""),"Monthly Services")</f>
        <v>Monthly Services</v>
      </c>
      <c r="D987" s="316">
        <f>IFERROR(__xludf.DUMMYFUNCTION("""COMPUTED_VALUE"""),45138.0)</f>
        <v>45138</v>
      </c>
      <c r="E987" s="298">
        <f>IFERROR(__xludf.DUMMYFUNCTION("""COMPUTED_VALUE"""),1308.9180000000001)</f>
        <v>1308.918</v>
      </c>
      <c r="F987" s="298">
        <f>IFERROR(__xludf.DUMMYFUNCTION("""COMPUTED_VALUE"""),48.822641399999995)</f>
        <v>48.8226414</v>
      </c>
      <c r="G987" s="298">
        <f>IFERROR(__xludf.DUMMYFUNCTION("""COMPUTED_VALUE"""),252.01907172000003)</f>
        <v>252.0190717</v>
      </c>
      <c r="H987" s="223">
        <f>IFERROR(__xludf.DUMMYFUNCTION("""COMPUTED_VALUE"""),1008.07628688)</f>
        <v>1008.076287</v>
      </c>
      <c r="I987" s="298"/>
      <c r="J987" s="223" t="str">
        <f>IFERROR(__xludf.DUMMYFUNCTION("""COMPUTED_VALUE"""),"Monthly")</f>
        <v>Monthly</v>
      </c>
      <c r="K987" s="317">
        <f>IFERROR(__xludf.DUMMYFUNCTION("""COMPUTED_VALUE"""),2023.07)</f>
        <v>2023.07</v>
      </c>
      <c r="L987" s="298"/>
      <c r="M987" s="223"/>
      <c r="N987" s="223"/>
      <c r="O987" s="223"/>
      <c r="P987" s="223"/>
      <c r="Q987" s="223"/>
      <c r="R987" s="223"/>
      <c r="S987" s="223"/>
      <c r="T987" s="223"/>
      <c r="U987" s="223"/>
      <c r="V987" s="223"/>
      <c r="W987" s="223"/>
      <c r="X987" s="223"/>
      <c r="Y987" s="223"/>
      <c r="Z987" s="223"/>
    </row>
    <row r="988">
      <c r="A988" s="223" t="str">
        <f>IFERROR(__xludf.DUMMYFUNCTION("""COMPUTED_VALUE"""),"Hastings House : Monthly Services")</f>
        <v>Hastings House : Monthly Services</v>
      </c>
      <c r="B988" s="223" t="str">
        <f>IFERROR(__xludf.DUMMYFUNCTION("""COMPUTED_VALUE"""),"Hastings House")</f>
        <v>Hastings House</v>
      </c>
      <c r="C988" s="223" t="str">
        <f>IFERROR(__xludf.DUMMYFUNCTION("""COMPUTED_VALUE"""),"Monthly Services")</f>
        <v>Monthly Services</v>
      </c>
      <c r="D988" s="316">
        <f>IFERROR(__xludf.DUMMYFUNCTION("""COMPUTED_VALUE"""),45138.0)</f>
        <v>45138</v>
      </c>
      <c r="E988" s="298">
        <f>IFERROR(__xludf.DUMMYFUNCTION("""COMPUTED_VALUE"""),1500.0)</f>
        <v>1500</v>
      </c>
      <c r="F988" s="298"/>
      <c r="G988" s="298">
        <f>IFERROR(__xludf.DUMMYFUNCTION("""COMPUTED_VALUE"""),225.0)</f>
        <v>225</v>
      </c>
      <c r="H988" s="223">
        <f>IFERROR(__xludf.DUMMYFUNCTION("""COMPUTED_VALUE"""),1275.0)</f>
        <v>1275</v>
      </c>
      <c r="I988" s="298"/>
      <c r="J988" s="223" t="str">
        <f>IFERROR(__xludf.DUMMYFUNCTION("""COMPUTED_VALUE"""),"Monthly")</f>
        <v>Monthly</v>
      </c>
      <c r="K988" s="317">
        <f>IFERROR(__xludf.DUMMYFUNCTION("""COMPUTED_VALUE"""),2023.07)</f>
        <v>2023.07</v>
      </c>
      <c r="L988" s="298"/>
      <c r="M988" s="223"/>
      <c r="N988" s="223"/>
      <c r="O988" s="223"/>
      <c r="P988" s="223"/>
      <c r="Q988" s="223"/>
      <c r="R988" s="223"/>
      <c r="S988" s="223"/>
      <c r="T988" s="223"/>
      <c r="U988" s="223"/>
      <c r="V988" s="223"/>
      <c r="W988" s="223"/>
      <c r="X988" s="223"/>
      <c r="Y988" s="223"/>
      <c r="Z988" s="223"/>
    </row>
    <row r="989">
      <c r="A989" s="223" t="str">
        <f>IFERROR(__xludf.DUMMYFUNCTION("""COMPUTED_VALUE"""),"HSJ Lawyers : Monthly Services")</f>
        <v>HSJ Lawyers : Monthly Services</v>
      </c>
      <c r="B989" s="223" t="str">
        <f>IFERROR(__xludf.DUMMYFUNCTION("""COMPUTED_VALUE"""),"HSJ Lawyers")</f>
        <v>HSJ Lawyers</v>
      </c>
      <c r="C989" s="223" t="str">
        <f>IFERROR(__xludf.DUMMYFUNCTION("""COMPUTED_VALUE"""),"Monthly Services")</f>
        <v>Monthly Services</v>
      </c>
      <c r="D989" s="316">
        <f>IFERROR(__xludf.DUMMYFUNCTION("""COMPUTED_VALUE"""),45138.0)</f>
        <v>45138</v>
      </c>
      <c r="E989" s="298">
        <f>IFERROR(__xludf.DUMMYFUNCTION("""COMPUTED_VALUE"""),860.0)</f>
        <v>860</v>
      </c>
      <c r="F989" s="298">
        <f>IFERROR(__xludf.DUMMYFUNCTION("""COMPUTED_VALUE"""),0.0)</f>
        <v>0</v>
      </c>
      <c r="G989" s="298">
        <f>IFERROR(__xludf.DUMMYFUNCTION("""COMPUTED_VALUE"""),0.0)</f>
        <v>0</v>
      </c>
      <c r="H989" s="223">
        <f>IFERROR(__xludf.DUMMYFUNCTION("""COMPUTED_VALUE"""),860.0)</f>
        <v>860</v>
      </c>
      <c r="I989" s="298"/>
      <c r="J989" s="223" t="str">
        <f>IFERROR(__xludf.DUMMYFUNCTION("""COMPUTED_VALUE"""),"Monthly")</f>
        <v>Monthly</v>
      </c>
      <c r="K989" s="317">
        <f>IFERROR(__xludf.DUMMYFUNCTION("""COMPUTED_VALUE"""),2023.07)</f>
        <v>2023.07</v>
      </c>
      <c r="L989" s="298"/>
      <c r="M989" s="223"/>
      <c r="N989" s="223"/>
      <c r="O989" s="223"/>
      <c r="P989" s="223"/>
      <c r="Q989" s="223"/>
      <c r="R989" s="223"/>
      <c r="S989" s="223"/>
      <c r="T989" s="223"/>
      <c r="U989" s="223"/>
      <c r="V989" s="223"/>
      <c r="W989" s="223"/>
      <c r="X989" s="223"/>
      <c r="Y989" s="223"/>
      <c r="Z989" s="223"/>
    </row>
    <row r="990">
      <c r="A990" s="223" t="str">
        <f>IFERROR(__xludf.DUMMYFUNCTION("""COMPUTED_VALUE"""),"MortgagePal : Monthly Services")</f>
        <v>MortgagePal : Monthly Services</v>
      </c>
      <c r="B990" s="223" t="str">
        <f>IFERROR(__xludf.DUMMYFUNCTION("""COMPUTED_VALUE"""),"MortgagePal")</f>
        <v>MortgagePal</v>
      </c>
      <c r="C990" s="223" t="str">
        <f>IFERROR(__xludf.DUMMYFUNCTION("""COMPUTED_VALUE"""),"Monthly Services")</f>
        <v>Monthly Services</v>
      </c>
      <c r="D990" s="316">
        <f>IFERROR(__xludf.DUMMYFUNCTION("""COMPUTED_VALUE"""),45138.0)</f>
        <v>45138</v>
      </c>
      <c r="E990" s="298">
        <f>IFERROR(__xludf.DUMMYFUNCTION("""COMPUTED_VALUE"""),500.0)</f>
        <v>500</v>
      </c>
      <c r="F990" s="298">
        <f>IFERROR(__xludf.DUMMYFUNCTION("""COMPUTED_VALUE"""),15.56)</f>
        <v>15.56</v>
      </c>
      <c r="G990" s="298">
        <f>IFERROR(__xludf.DUMMYFUNCTION("""COMPUTED_VALUE"""),0.0)</f>
        <v>0</v>
      </c>
      <c r="H990" s="223">
        <f>IFERROR(__xludf.DUMMYFUNCTION("""COMPUTED_VALUE"""),484.44)</f>
        <v>484.44</v>
      </c>
      <c r="I990" s="298"/>
      <c r="J990" s="223" t="str">
        <f>IFERROR(__xludf.DUMMYFUNCTION("""COMPUTED_VALUE"""),"Monthly")</f>
        <v>Monthly</v>
      </c>
      <c r="K990" s="317">
        <f>IFERROR(__xludf.DUMMYFUNCTION("""COMPUTED_VALUE"""),2023.07)</f>
        <v>2023.07</v>
      </c>
      <c r="L990" s="298"/>
      <c r="M990" s="223"/>
      <c r="N990" s="223"/>
      <c r="O990" s="223"/>
      <c r="P990" s="223"/>
      <c r="Q990" s="223"/>
      <c r="R990" s="223"/>
      <c r="S990" s="223"/>
      <c r="T990" s="223"/>
      <c r="U990" s="223"/>
      <c r="V990" s="223"/>
      <c r="W990" s="223"/>
      <c r="X990" s="223"/>
      <c r="Y990" s="223"/>
      <c r="Z990" s="223"/>
    </row>
    <row r="991">
      <c r="A991" s="223" t="str">
        <f>IFERROR(__xludf.DUMMYFUNCTION("""COMPUTED_VALUE"""),"PMDI : Monthly Services")</f>
        <v>PMDI : Monthly Services</v>
      </c>
      <c r="B991" s="223" t="str">
        <f>IFERROR(__xludf.DUMMYFUNCTION("""COMPUTED_VALUE"""),"PMDI")</f>
        <v>PMDI</v>
      </c>
      <c r="C991" s="223" t="str">
        <f>IFERROR(__xludf.DUMMYFUNCTION("""COMPUTED_VALUE"""),"Monthly Services")</f>
        <v>Monthly Services</v>
      </c>
      <c r="D991" s="316">
        <f>IFERROR(__xludf.DUMMYFUNCTION("""COMPUTED_VALUE"""),45138.0)</f>
        <v>45138</v>
      </c>
      <c r="E991" s="298">
        <f>IFERROR(__xludf.DUMMYFUNCTION("""COMPUTED_VALUE"""),412.5)</f>
        <v>412.5</v>
      </c>
      <c r="F991" s="298">
        <f>IFERROR(__xludf.DUMMYFUNCTION("""COMPUTED_VALUE"""),0.0)</f>
        <v>0</v>
      </c>
      <c r="G991" s="298">
        <f>IFERROR(__xludf.DUMMYFUNCTION("""COMPUTED_VALUE"""),0.0)</f>
        <v>0</v>
      </c>
      <c r="H991" s="223">
        <f>IFERROR(__xludf.DUMMYFUNCTION("""COMPUTED_VALUE"""),412.5)</f>
        <v>412.5</v>
      </c>
      <c r="I991" s="298"/>
      <c r="J991" s="223" t="str">
        <f>IFERROR(__xludf.DUMMYFUNCTION("""COMPUTED_VALUE"""),"Monthly")</f>
        <v>Monthly</v>
      </c>
      <c r="K991" s="317">
        <f>IFERROR(__xludf.DUMMYFUNCTION("""COMPUTED_VALUE"""),2023.07)</f>
        <v>2023.07</v>
      </c>
      <c r="L991" s="298"/>
      <c r="M991" s="223"/>
      <c r="N991" s="223"/>
      <c r="O991" s="223"/>
      <c r="P991" s="223"/>
      <c r="Q991" s="223"/>
      <c r="R991" s="223"/>
      <c r="S991" s="223"/>
      <c r="T991" s="223"/>
      <c r="U991" s="223"/>
      <c r="V991" s="223"/>
      <c r="W991" s="223"/>
      <c r="X991" s="223"/>
      <c r="Y991" s="223"/>
      <c r="Z991" s="223"/>
    </row>
    <row r="992">
      <c r="A992" s="223" t="str">
        <f>IFERROR(__xludf.DUMMYFUNCTION("""COMPUTED_VALUE"""),"Service First : Monthly Services")</f>
        <v>Service First : Monthly Services</v>
      </c>
      <c r="B992" s="223" t="str">
        <f>IFERROR(__xludf.DUMMYFUNCTION("""COMPUTED_VALUE"""),"Service First")</f>
        <v>Service First</v>
      </c>
      <c r="C992" s="223" t="str">
        <f>IFERROR(__xludf.DUMMYFUNCTION("""COMPUTED_VALUE"""),"Monthly Services")</f>
        <v>Monthly Services</v>
      </c>
      <c r="D992" s="316">
        <f>IFERROR(__xludf.DUMMYFUNCTION("""COMPUTED_VALUE"""),45138.0)</f>
        <v>45138</v>
      </c>
      <c r="E992" s="298">
        <f>IFERROR(__xludf.DUMMYFUNCTION("""COMPUTED_VALUE"""),330.0)</f>
        <v>330</v>
      </c>
      <c r="F992" s="298">
        <f>IFERROR(__xludf.DUMMYFUNCTION("""COMPUTED_VALUE"""),10.27)</f>
        <v>10.27</v>
      </c>
      <c r="G992" s="298">
        <f>IFERROR(__xludf.DUMMYFUNCTION("""COMPUTED_VALUE"""),0.0)</f>
        <v>0</v>
      </c>
      <c r="H992" s="223">
        <f>IFERROR(__xludf.DUMMYFUNCTION("""COMPUTED_VALUE"""),319.73)</f>
        <v>319.73</v>
      </c>
      <c r="I992" s="298"/>
      <c r="J992" s="223" t="str">
        <f>IFERROR(__xludf.DUMMYFUNCTION("""COMPUTED_VALUE"""),"Monthly")</f>
        <v>Monthly</v>
      </c>
      <c r="K992" s="317">
        <f>IFERROR(__xludf.DUMMYFUNCTION("""COMPUTED_VALUE"""),2023.07)</f>
        <v>2023.07</v>
      </c>
      <c r="L992" s="298"/>
      <c r="M992" s="223"/>
      <c r="N992" s="223"/>
      <c r="O992" s="223"/>
      <c r="P992" s="223"/>
      <c r="Q992" s="223"/>
      <c r="R992" s="223"/>
      <c r="S992" s="223"/>
      <c r="T992" s="223"/>
      <c r="U992" s="223"/>
      <c r="V992" s="223"/>
      <c r="W992" s="223"/>
      <c r="X992" s="223"/>
      <c r="Y992" s="223"/>
      <c r="Z992" s="223"/>
    </row>
    <row r="993">
      <c r="A993" s="223" t="str">
        <f>IFERROR(__xludf.DUMMYFUNCTION("""COMPUTED_VALUE"""),"Spraggs : Monthly Services")</f>
        <v>Spraggs : Monthly Services</v>
      </c>
      <c r="B993" s="223" t="str">
        <f>IFERROR(__xludf.DUMMYFUNCTION("""COMPUTED_VALUE"""),"Spraggs")</f>
        <v>Spraggs</v>
      </c>
      <c r="C993" s="223" t="str">
        <f>IFERROR(__xludf.DUMMYFUNCTION("""COMPUTED_VALUE"""),"Monthly Services")</f>
        <v>Monthly Services</v>
      </c>
      <c r="D993" s="316">
        <f>IFERROR(__xludf.DUMMYFUNCTION("""COMPUTED_VALUE"""),45138.0)</f>
        <v>45138</v>
      </c>
      <c r="E993" s="298">
        <f>IFERROR(__xludf.DUMMYFUNCTION("""COMPUTED_VALUE"""),2500.0)</f>
        <v>2500</v>
      </c>
      <c r="F993" s="298">
        <f>IFERROR(__xludf.DUMMYFUNCTION("""COMPUTED_VALUE"""),77.78)</f>
        <v>77.78</v>
      </c>
      <c r="G993" s="298">
        <f>IFERROR(__xludf.DUMMYFUNCTION("""COMPUTED_VALUE"""),0.0)</f>
        <v>0</v>
      </c>
      <c r="H993" s="223">
        <f>IFERROR(__xludf.DUMMYFUNCTION("""COMPUTED_VALUE"""),2422.22)</f>
        <v>2422.22</v>
      </c>
      <c r="I993" s="298"/>
      <c r="J993" s="223" t="str">
        <f>IFERROR(__xludf.DUMMYFUNCTION("""COMPUTED_VALUE"""),"Monthly")</f>
        <v>Monthly</v>
      </c>
      <c r="K993" s="317">
        <f>IFERROR(__xludf.DUMMYFUNCTION("""COMPUTED_VALUE"""),2023.07)</f>
        <v>2023.07</v>
      </c>
      <c r="L993" s="298"/>
      <c r="M993" s="223"/>
      <c r="N993" s="223"/>
      <c r="O993" s="223"/>
      <c r="P993" s="223"/>
      <c r="Q993" s="223"/>
      <c r="R993" s="223"/>
      <c r="S993" s="223"/>
      <c r="T993" s="223"/>
      <c r="U993" s="223"/>
      <c r="V993" s="223"/>
      <c r="W993" s="223"/>
      <c r="X993" s="223"/>
      <c r="Y993" s="223"/>
      <c r="Z993" s="223"/>
    </row>
    <row r="994">
      <c r="A994" s="223" t="str">
        <f>IFERROR(__xludf.DUMMYFUNCTION("""COMPUTED_VALUE"""),"TisBest : Monthly Services")</f>
        <v>TisBest : Monthly Services</v>
      </c>
      <c r="B994" s="223" t="str">
        <f>IFERROR(__xludf.DUMMYFUNCTION("""COMPUTED_VALUE"""),"TisBest")</f>
        <v>TisBest</v>
      </c>
      <c r="C994" s="223" t="str">
        <f>IFERROR(__xludf.DUMMYFUNCTION("""COMPUTED_VALUE"""),"Monthly Services")</f>
        <v>Monthly Services</v>
      </c>
      <c r="D994" s="316">
        <f>IFERROR(__xludf.DUMMYFUNCTION("""COMPUTED_VALUE"""),45138.0)</f>
        <v>45138</v>
      </c>
      <c r="E994" s="298">
        <f>IFERROR(__xludf.DUMMYFUNCTION("""COMPUTED_VALUE"""),3000.0)</f>
        <v>3000</v>
      </c>
      <c r="F994" s="298"/>
      <c r="G994" s="298">
        <f>IFERROR(__xludf.DUMMYFUNCTION("""COMPUTED_VALUE"""),600.0)</f>
        <v>600</v>
      </c>
      <c r="H994" s="223">
        <f>IFERROR(__xludf.DUMMYFUNCTION("""COMPUTED_VALUE"""),2400.0)</f>
        <v>2400</v>
      </c>
      <c r="I994" s="298"/>
      <c r="J994" s="223" t="str">
        <f>IFERROR(__xludf.DUMMYFUNCTION("""COMPUTED_VALUE"""),"Monthly")</f>
        <v>Monthly</v>
      </c>
      <c r="K994" s="317">
        <f>IFERROR(__xludf.DUMMYFUNCTION("""COMPUTED_VALUE"""),2023.07)</f>
        <v>2023.07</v>
      </c>
      <c r="L994" s="298"/>
      <c r="M994" s="223"/>
      <c r="N994" s="223"/>
      <c r="O994" s="223"/>
      <c r="P994" s="223"/>
      <c r="Q994" s="223"/>
      <c r="R994" s="223"/>
      <c r="S994" s="223"/>
      <c r="T994" s="223"/>
      <c r="U994" s="223"/>
      <c r="V994" s="223"/>
      <c r="W994" s="223"/>
      <c r="X994" s="223"/>
      <c r="Y994" s="223"/>
      <c r="Z994" s="223"/>
    </row>
    <row r="995">
      <c r="A995" s="223" t="str">
        <f>IFERROR(__xludf.DUMMYFUNCTION("""COMPUTED_VALUE"""),"Tuscany : Monthly Services")</f>
        <v>Tuscany : Monthly Services</v>
      </c>
      <c r="B995" s="223" t="str">
        <f>IFERROR(__xludf.DUMMYFUNCTION("""COMPUTED_VALUE"""),"Tuscany")</f>
        <v>Tuscany</v>
      </c>
      <c r="C995" s="223" t="str">
        <f>IFERROR(__xludf.DUMMYFUNCTION("""COMPUTED_VALUE"""),"Monthly Services")</f>
        <v>Monthly Services</v>
      </c>
      <c r="D995" s="316">
        <f>IFERROR(__xludf.DUMMYFUNCTION("""COMPUTED_VALUE"""),45138.0)</f>
        <v>45138</v>
      </c>
      <c r="E995" s="298">
        <f>IFERROR(__xludf.DUMMYFUNCTION("""COMPUTED_VALUE"""),3255.6249999999995)</f>
        <v>3255.625</v>
      </c>
      <c r="F995" s="298">
        <f>IFERROR(__xludf.DUMMYFUNCTION("""COMPUTED_VALUE"""),0.0)</f>
        <v>0</v>
      </c>
      <c r="G995" s="298">
        <f>IFERROR(__xludf.DUMMYFUNCTION("""COMPUTED_VALUE"""),0.0)</f>
        <v>0</v>
      </c>
      <c r="H995" s="223">
        <f>IFERROR(__xludf.DUMMYFUNCTION("""COMPUTED_VALUE"""),3255.6249999999995)</f>
        <v>3255.625</v>
      </c>
      <c r="I995" s="298"/>
      <c r="J995" s="223" t="str">
        <f>IFERROR(__xludf.DUMMYFUNCTION("""COMPUTED_VALUE"""),"Monthly")</f>
        <v>Monthly</v>
      </c>
      <c r="K995" s="317">
        <f>IFERROR(__xludf.DUMMYFUNCTION("""COMPUTED_VALUE"""),2023.07)</f>
        <v>2023.07</v>
      </c>
      <c r="L995" s="298"/>
      <c r="M995" s="223"/>
      <c r="N995" s="223"/>
      <c r="O995" s="223"/>
      <c r="P995" s="223"/>
      <c r="Q995" s="223"/>
      <c r="R995" s="223"/>
      <c r="S995" s="223"/>
      <c r="T995" s="223"/>
      <c r="U995" s="223"/>
      <c r="V995" s="223"/>
      <c r="W995" s="223"/>
      <c r="X995" s="223"/>
      <c r="Y995" s="223"/>
      <c r="Z995" s="223"/>
    </row>
    <row r="996">
      <c r="A996" s="223" t="str">
        <f>IFERROR(__xludf.DUMMYFUNCTION("""COMPUTED_VALUE"""),"Venetian : Monthly Services")</f>
        <v>Venetian : Monthly Services</v>
      </c>
      <c r="B996" s="223" t="str">
        <f>IFERROR(__xludf.DUMMYFUNCTION("""COMPUTED_VALUE"""),"Venetian")</f>
        <v>Venetian</v>
      </c>
      <c r="C996" s="223" t="str">
        <f>IFERROR(__xludf.DUMMYFUNCTION("""COMPUTED_VALUE"""),"Monthly Services")</f>
        <v>Monthly Services</v>
      </c>
      <c r="D996" s="316">
        <f>IFERROR(__xludf.DUMMYFUNCTION("""COMPUTED_VALUE"""),45138.0)</f>
        <v>45138</v>
      </c>
      <c r="E996" s="298">
        <f>IFERROR(__xludf.DUMMYFUNCTION("""COMPUTED_VALUE"""),3255.6249999999995)</f>
        <v>3255.625</v>
      </c>
      <c r="F996" s="298">
        <f>IFERROR(__xludf.DUMMYFUNCTION("""COMPUTED_VALUE"""),0.0)</f>
        <v>0</v>
      </c>
      <c r="G996" s="298">
        <f>IFERROR(__xludf.DUMMYFUNCTION("""COMPUTED_VALUE"""),0.0)</f>
        <v>0</v>
      </c>
      <c r="H996" s="223">
        <f>IFERROR(__xludf.DUMMYFUNCTION("""COMPUTED_VALUE"""),3255.6249999999995)</f>
        <v>3255.625</v>
      </c>
      <c r="I996" s="298"/>
      <c r="J996" s="223" t="str">
        <f>IFERROR(__xludf.DUMMYFUNCTION("""COMPUTED_VALUE"""),"Monthly")</f>
        <v>Monthly</v>
      </c>
      <c r="K996" s="317">
        <f>IFERROR(__xludf.DUMMYFUNCTION("""COMPUTED_VALUE"""),2023.07)</f>
        <v>2023.07</v>
      </c>
      <c r="L996" s="298"/>
      <c r="M996" s="223"/>
      <c r="N996" s="223"/>
      <c r="O996" s="223"/>
      <c r="P996" s="223"/>
      <c r="Q996" s="223"/>
      <c r="R996" s="223"/>
      <c r="S996" s="223"/>
      <c r="T996" s="223"/>
      <c r="U996" s="223"/>
      <c r="V996" s="223"/>
      <c r="W996" s="223"/>
      <c r="X996" s="223"/>
      <c r="Y996" s="223"/>
      <c r="Z996" s="223"/>
    </row>
    <row r="997">
      <c r="A997" s="223" t="str">
        <f>IFERROR(__xludf.DUMMYFUNCTION("""COMPUTED_VALUE"""),"Wallack's Art Supplies : Monthly Services")</f>
        <v>Wallack's Art Supplies : Monthly Services</v>
      </c>
      <c r="B997" s="223" t="str">
        <f>IFERROR(__xludf.DUMMYFUNCTION("""COMPUTED_VALUE"""),"Wallack's Art Supplies")</f>
        <v>Wallack's Art Supplies</v>
      </c>
      <c r="C997" s="223" t="str">
        <f>IFERROR(__xludf.DUMMYFUNCTION("""COMPUTED_VALUE"""),"Monthly Services")</f>
        <v>Monthly Services</v>
      </c>
      <c r="D997" s="316">
        <f>IFERROR(__xludf.DUMMYFUNCTION("""COMPUTED_VALUE"""),45138.0)</f>
        <v>45138</v>
      </c>
      <c r="E997" s="298">
        <f>IFERROR(__xludf.DUMMYFUNCTION("""COMPUTED_VALUE"""),770.0)</f>
        <v>770</v>
      </c>
      <c r="F997" s="298"/>
      <c r="G997" s="298">
        <f>IFERROR(__xludf.DUMMYFUNCTION("""COMPUTED_VALUE"""),0.0)</f>
        <v>0</v>
      </c>
      <c r="H997" s="223">
        <f>IFERROR(__xludf.DUMMYFUNCTION("""COMPUTED_VALUE"""),770.0)</f>
        <v>770</v>
      </c>
      <c r="I997" s="298"/>
      <c r="J997" s="223" t="str">
        <f>IFERROR(__xludf.DUMMYFUNCTION("""COMPUTED_VALUE"""),"Monthly")</f>
        <v>Monthly</v>
      </c>
      <c r="K997" s="317">
        <f>IFERROR(__xludf.DUMMYFUNCTION("""COMPUTED_VALUE"""),2023.07)</f>
        <v>2023.07</v>
      </c>
      <c r="L997" s="298"/>
      <c r="M997" s="223"/>
      <c r="N997" s="223"/>
      <c r="O997" s="223"/>
      <c r="P997" s="223"/>
      <c r="Q997" s="223"/>
      <c r="R997" s="223"/>
      <c r="S997" s="223"/>
      <c r="T997" s="223"/>
      <c r="U997" s="223"/>
      <c r="V997" s="223"/>
      <c r="W997" s="223"/>
      <c r="X997" s="223"/>
      <c r="Y997" s="223"/>
      <c r="Z997" s="223"/>
    </row>
    <row r="998">
      <c r="A998" s="223" t="str">
        <f>IFERROR(__xludf.DUMMYFUNCTION("""COMPUTED_VALUE"""),"Howard Fine Jewellers : Ongoing PPC and SEO Support")</f>
        <v>Howard Fine Jewellers : Ongoing PPC and SEO Support</v>
      </c>
      <c r="B998" s="223" t="str">
        <f>IFERROR(__xludf.DUMMYFUNCTION("""COMPUTED_VALUE"""),"Howard Fine Jewellers")</f>
        <v>Howard Fine Jewellers</v>
      </c>
      <c r="C998" s="223" t="str">
        <f>IFERROR(__xludf.DUMMYFUNCTION("""COMPUTED_VALUE"""),"Ongoing PPC and SEO Support")</f>
        <v>Ongoing PPC and SEO Support</v>
      </c>
      <c r="D998" s="316">
        <f>IFERROR(__xludf.DUMMYFUNCTION("""COMPUTED_VALUE"""),45138.0)</f>
        <v>45138</v>
      </c>
      <c r="E998" s="298">
        <f>IFERROR(__xludf.DUMMYFUNCTION("""COMPUTED_VALUE"""),1650.0)</f>
        <v>1650</v>
      </c>
      <c r="F998" s="298">
        <f>IFERROR(__xludf.DUMMYFUNCTION("""COMPUTED_VALUE"""),55.23)</f>
        <v>55.23</v>
      </c>
      <c r="G998" s="298">
        <f>IFERROR(__xludf.DUMMYFUNCTION("""COMPUTED_VALUE"""),0.0)</f>
        <v>0</v>
      </c>
      <c r="H998" s="223">
        <f>IFERROR(__xludf.DUMMYFUNCTION("""COMPUTED_VALUE"""),1594.77)</f>
        <v>1594.77</v>
      </c>
      <c r="I998" s="298"/>
      <c r="J998" s="223" t="str">
        <f>IFERROR(__xludf.DUMMYFUNCTION("""COMPUTED_VALUE"""),"Monthly")</f>
        <v>Monthly</v>
      </c>
      <c r="K998" s="317">
        <f>IFERROR(__xludf.DUMMYFUNCTION("""COMPUTED_VALUE"""),2023.07)</f>
        <v>2023.07</v>
      </c>
      <c r="L998" s="298"/>
      <c r="M998" s="223"/>
      <c r="N998" s="223"/>
      <c r="O998" s="223"/>
      <c r="P998" s="223"/>
      <c r="Q998" s="223"/>
      <c r="R998" s="223"/>
      <c r="S998" s="223"/>
      <c r="T998" s="223"/>
      <c r="U998" s="223"/>
      <c r="V998" s="223"/>
      <c r="W998" s="223"/>
      <c r="X998" s="223"/>
      <c r="Y998" s="223"/>
      <c r="Z998" s="223"/>
    </row>
    <row r="999">
      <c r="A999" s="223" t="str">
        <f>IFERROR(__xludf.DUMMYFUNCTION("""COMPUTED_VALUE"""),"Crisp Media : Monthly Genus Google PPC Mgmt")</f>
        <v>Crisp Media : Monthly Genus Google PPC Mgmt</v>
      </c>
      <c r="B999" s="223" t="str">
        <f>IFERROR(__xludf.DUMMYFUNCTION("""COMPUTED_VALUE"""),"Crisp Media")</f>
        <v>Crisp Media</v>
      </c>
      <c r="C999" s="223" t="str">
        <f>IFERROR(__xludf.DUMMYFUNCTION("""COMPUTED_VALUE"""),"Monthly Genus Google PPC Mgmt")</f>
        <v>Monthly Genus Google PPC Mgmt</v>
      </c>
      <c r="D999" s="316">
        <f>IFERROR(__xludf.DUMMYFUNCTION("""COMPUTED_VALUE"""),45138.0)</f>
        <v>45138</v>
      </c>
      <c r="E999" s="298">
        <f>IFERROR(__xludf.DUMMYFUNCTION("""COMPUTED_VALUE"""),600.0)</f>
        <v>600</v>
      </c>
      <c r="F999" s="298">
        <f>IFERROR(__xludf.DUMMYFUNCTION("""COMPUTED_VALUE"""),18.67)</f>
        <v>18.67</v>
      </c>
      <c r="G999" s="298">
        <f>IFERROR(__xludf.DUMMYFUNCTION("""COMPUTED_VALUE"""),0.0)</f>
        <v>0</v>
      </c>
      <c r="H999" s="223">
        <f>IFERROR(__xludf.DUMMYFUNCTION("""COMPUTED_VALUE"""),581.33)</f>
        <v>581.33</v>
      </c>
      <c r="I999" s="298"/>
      <c r="J999" s="223" t="str">
        <f>IFERROR(__xludf.DUMMYFUNCTION("""COMPUTED_VALUE"""),"Monthly")</f>
        <v>Monthly</v>
      </c>
      <c r="K999" s="317">
        <f>IFERROR(__xludf.DUMMYFUNCTION("""COMPUTED_VALUE"""),2023.07)</f>
        <v>2023.07</v>
      </c>
      <c r="L999" s="298"/>
      <c r="M999" s="223"/>
      <c r="N999" s="223"/>
      <c r="O999" s="223"/>
      <c r="P999" s="223"/>
      <c r="Q999" s="223"/>
      <c r="R999" s="223"/>
      <c r="S999" s="223"/>
      <c r="T999" s="223"/>
      <c r="U999" s="223"/>
      <c r="V999" s="223"/>
      <c r="W999" s="223"/>
      <c r="X999" s="223"/>
      <c r="Y999" s="223"/>
      <c r="Z999" s="223"/>
    </row>
    <row r="1000">
      <c r="A1000" s="223" t="str">
        <f>IFERROR(__xludf.DUMMYFUNCTION("""COMPUTED_VALUE"""),"Big Hammer Wines : Monthly PPC")</f>
        <v>Big Hammer Wines : Monthly PPC</v>
      </c>
      <c r="B1000" s="223" t="str">
        <f>IFERROR(__xludf.DUMMYFUNCTION("""COMPUTED_VALUE"""),"Big Hammer Wines")</f>
        <v>Big Hammer Wines</v>
      </c>
      <c r="C1000" s="223" t="str">
        <f>IFERROR(__xludf.DUMMYFUNCTION("""COMPUTED_VALUE"""),"Monthly PPC")</f>
        <v>Monthly PPC</v>
      </c>
      <c r="D1000" s="316">
        <f>IFERROR(__xludf.DUMMYFUNCTION("""COMPUTED_VALUE"""),45138.0)</f>
        <v>45138</v>
      </c>
      <c r="E1000" s="298">
        <f>IFERROR(__xludf.DUMMYFUNCTION("""COMPUTED_VALUE"""),1153.2136)</f>
        <v>1153.2136</v>
      </c>
      <c r="F1000" s="298">
        <f>IFERROR(__xludf.DUMMYFUNCTION("""COMPUTED_VALUE"""),43.0620442)</f>
        <v>43.0620442</v>
      </c>
      <c r="G1000" s="298">
        <f>IFERROR(__xludf.DUMMYFUNCTION("""COMPUTED_VALUE"""),0.0)</f>
        <v>0</v>
      </c>
      <c r="H1000" s="223">
        <f>IFERROR(__xludf.DUMMYFUNCTION("""COMPUTED_VALUE"""),1110.1515558)</f>
        <v>1110.151556</v>
      </c>
      <c r="I1000" s="298"/>
      <c r="J1000" s="223" t="str">
        <f>IFERROR(__xludf.DUMMYFUNCTION("""COMPUTED_VALUE"""),"Monthly")</f>
        <v>Monthly</v>
      </c>
      <c r="K1000" s="317">
        <f>IFERROR(__xludf.DUMMYFUNCTION("""COMPUTED_VALUE"""),2023.07)</f>
        <v>2023.07</v>
      </c>
      <c r="L1000" s="298"/>
      <c r="M1000" s="223"/>
      <c r="N1000" s="223"/>
      <c r="O1000" s="223"/>
      <c r="P1000" s="223"/>
      <c r="Q1000" s="223"/>
      <c r="R1000" s="223"/>
      <c r="S1000" s="223"/>
      <c r="T1000" s="223"/>
      <c r="U1000" s="223"/>
      <c r="V1000" s="223"/>
      <c r="W1000" s="223"/>
      <c r="X1000" s="223"/>
      <c r="Y1000" s="223"/>
      <c r="Z1000" s="223"/>
    </row>
    <row r="1001">
      <c r="A1001" s="223" t="str">
        <f>IFERROR(__xludf.DUMMYFUNCTION("""COMPUTED_VALUE"""),"Sacred Deathcare : Maintainance Retainer")</f>
        <v>Sacred Deathcare : Maintainance Retainer</v>
      </c>
      <c r="B1001" s="223" t="str">
        <f>IFERROR(__xludf.DUMMYFUNCTION("""COMPUTED_VALUE"""),"Sacred Deathcare")</f>
        <v>Sacred Deathcare</v>
      </c>
      <c r="C1001" s="223" t="str">
        <f>IFERROR(__xludf.DUMMYFUNCTION("""COMPUTED_VALUE"""),"Maintainance Retainer")</f>
        <v>Maintainance Retainer</v>
      </c>
      <c r="D1001" s="316">
        <f>IFERROR(__xludf.DUMMYFUNCTION("""COMPUTED_VALUE"""),45138.0)</f>
        <v>45138</v>
      </c>
      <c r="E1001" s="298">
        <f>IFERROR(__xludf.DUMMYFUNCTION("""COMPUTED_VALUE"""),250.0)</f>
        <v>250</v>
      </c>
      <c r="F1001" s="298">
        <f>IFERROR(__xludf.DUMMYFUNCTION("""COMPUTED_VALUE"""),7.78)</f>
        <v>7.78</v>
      </c>
      <c r="G1001" s="298">
        <f>IFERROR(__xludf.DUMMYFUNCTION("""COMPUTED_VALUE"""),0.0)</f>
        <v>0</v>
      </c>
      <c r="H1001" s="223">
        <f>IFERROR(__xludf.DUMMYFUNCTION("""COMPUTED_VALUE"""),242.22)</f>
        <v>242.22</v>
      </c>
      <c r="I1001" s="298"/>
      <c r="J1001" s="223" t="str">
        <f>IFERROR(__xludf.DUMMYFUNCTION("""COMPUTED_VALUE"""),"Monthly")</f>
        <v>Monthly</v>
      </c>
      <c r="K1001" s="317">
        <f>IFERROR(__xludf.DUMMYFUNCTION("""COMPUTED_VALUE"""),2023.07)</f>
        <v>2023.07</v>
      </c>
      <c r="L1001" s="298"/>
      <c r="M1001" s="223"/>
      <c r="N1001" s="223"/>
      <c r="O1001" s="223"/>
      <c r="P1001" s="223"/>
      <c r="Q1001" s="223"/>
      <c r="R1001" s="223"/>
      <c r="S1001" s="223"/>
      <c r="T1001" s="223"/>
      <c r="U1001" s="223"/>
      <c r="V1001" s="223"/>
      <c r="W1001" s="223"/>
      <c r="X1001" s="223"/>
      <c r="Y1001" s="223"/>
      <c r="Z1001" s="223"/>
    </row>
    <row r="1002">
      <c r="A1002" s="223" t="str">
        <f>IFERROR(__xludf.DUMMYFUNCTION("""COMPUTED_VALUE"""),"Luxe Bridal LLC : Monthly PPC")</f>
        <v>Luxe Bridal LLC : Monthly PPC</v>
      </c>
      <c r="B1002" s="223" t="str">
        <f>IFERROR(__xludf.DUMMYFUNCTION("""COMPUTED_VALUE"""),"Luxe Bridal LLC")</f>
        <v>Luxe Bridal LLC</v>
      </c>
      <c r="C1002" s="223" t="str">
        <f>IFERROR(__xludf.DUMMYFUNCTION("""COMPUTED_VALUE"""),"Monthly PPC")</f>
        <v>Monthly PPC</v>
      </c>
      <c r="D1002" s="316">
        <f>IFERROR(__xludf.DUMMYFUNCTION("""COMPUTED_VALUE"""),45138.0)</f>
        <v>45138</v>
      </c>
      <c r="E1002" s="298">
        <f>IFERROR(__xludf.DUMMYFUNCTION("""COMPUTED_VALUE"""),1750.0)</f>
        <v>1750</v>
      </c>
      <c r="F1002" s="298"/>
      <c r="G1002" s="298">
        <f>IFERROR(__xludf.DUMMYFUNCTION("""COMPUTED_VALUE"""),350.0)</f>
        <v>350</v>
      </c>
      <c r="H1002" s="223">
        <f>IFERROR(__xludf.DUMMYFUNCTION("""COMPUTED_VALUE"""),1400.0)</f>
        <v>1400</v>
      </c>
      <c r="I1002" s="298"/>
      <c r="J1002" s="223" t="str">
        <f>IFERROR(__xludf.DUMMYFUNCTION("""COMPUTED_VALUE"""),"Monthly")</f>
        <v>Monthly</v>
      </c>
      <c r="K1002" s="317">
        <f>IFERROR(__xludf.DUMMYFUNCTION("""COMPUTED_VALUE"""),2023.07)</f>
        <v>2023.07</v>
      </c>
      <c r="L1002" s="298"/>
      <c r="M1002" s="223"/>
      <c r="N1002" s="223"/>
      <c r="O1002" s="223"/>
      <c r="P1002" s="223"/>
      <c r="Q1002" s="223"/>
      <c r="R1002" s="223"/>
      <c r="S1002" s="223"/>
      <c r="T1002" s="223"/>
      <c r="U1002" s="223"/>
      <c r="V1002" s="223"/>
      <c r="W1002" s="223"/>
      <c r="X1002" s="223"/>
      <c r="Y1002" s="223"/>
      <c r="Z1002" s="223"/>
    </row>
    <row r="1003">
      <c r="A1003" s="223" t="str">
        <f>IFERROR(__xludf.DUMMYFUNCTION("""COMPUTED_VALUE"""),"Luxe Bridal LLC (LJM) : Monthly PPC")</f>
        <v>Luxe Bridal LLC (LJM) : Monthly PPC</v>
      </c>
      <c r="B1003" s="223" t="str">
        <f>IFERROR(__xludf.DUMMYFUNCTION("""COMPUTED_VALUE"""),"Luxe Bridal LLC (LJM)")</f>
        <v>Luxe Bridal LLC (LJM)</v>
      </c>
      <c r="C1003" s="223" t="str">
        <f>IFERROR(__xludf.DUMMYFUNCTION("""COMPUTED_VALUE"""),"Monthly PPC")</f>
        <v>Monthly PPC</v>
      </c>
      <c r="D1003" s="316">
        <f>IFERROR(__xludf.DUMMYFUNCTION("""COMPUTED_VALUE"""),45138.0)</f>
        <v>45138</v>
      </c>
      <c r="E1003" s="298">
        <f>IFERROR(__xludf.DUMMYFUNCTION("""COMPUTED_VALUE"""),750.0)</f>
        <v>750</v>
      </c>
      <c r="F1003" s="298"/>
      <c r="G1003" s="298">
        <f>IFERROR(__xludf.DUMMYFUNCTION("""COMPUTED_VALUE"""),150.0)</f>
        <v>150</v>
      </c>
      <c r="H1003" s="223">
        <f>IFERROR(__xludf.DUMMYFUNCTION("""COMPUTED_VALUE"""),600.0)</f>
        <v>600</v>
      </c>
      <c r="I1003" s="298"/>
      <c r="J1003" s="223" t="str">
        <f>IFERROR(__xludf.DUMMYFUNCTION("""COMPUTED_VALUE"""),"Monthly")</f>
        <v>Monthly</v>
      </c>
      <c r="K1003" s="317">
        <f>IFERROR(__xludf.DUMMYFUNCTION("""COMPUTED_VALUE"""),2023.07)</f>
        <v>2023.07</v>
      </c>
      <c r="L1003" s="298"/>
      <c r="M1003" s="223"/>
      <c r="N1003" s="223"/>
      <c r="O1003" s="223"/>
      <c r="P1003" s="223"/>
      <c r="Q1003" s="223"/>
      <c r="R1003" s="223"/>
      <c r="S1003" s="223"/>
      <c r="T1003" s="223"/>
      <c r="U1003" s="223"/>
      <c r="V1003" s="223"/>
      <c r="W1003" s="223"/>
      <c r="X1003" s="223"/>
      <c r="Y1003" s="223"/>
      <c r="Z1003" s="223"/>
    </row>
    <row r="1004">
      <c r="A1004" s="223" t="str">
        <f>IFERROR(__xludf.DUMMYFUNCTION("""COMPUTED_VALUE"""),"GreenLane Offroad : Monthly Ads Support")</f>
        <v>GreenLane Offroad : Monthly Ads Support</v>
      </c>
      <c r="B1004" s="223" t="str">
        <f>IFERROR(__xludf.DUMMYFUNCTION("""COMPUTED_VALUE"""),"GreenLane Offroad")</f>
        <v>GreenLane Offroad</v>
      </c>
      <c r="C1004" s="223" t="str">
        <f>IFERROR(__xludf.DUMMYFUNCTION("""COMPUTED_VALUE"""),"Monthly Ads Support")</f>
        <v>Monthly Ads Support</v>
      </c>
      <c r="D1004" s="316">
        <f>IFERROR(__xludf.DUMMYFUNCTION("""COMPUTED_VALUE"""),45138.0)</f>
        <v>45138</v>
      </c>
      <c r="E1004" s="298">
        <f>IFERROR(__xludf.DUMMYFUNCTION("""COMPUTED_VALUE"""),1000.0)</f>
        <v>1000</v>
      </c>
      <c r="F1004" s="298"/>
      <c r="G1004" s="298">
        <f>IFERROR(__xludf.DUMMYFUNCTION("""COMPUTED_VALUE"""),0.0)</f>
        <v>0</v>
      </c>
      <c r="H1004" s="223">
        <f>IFERROR(__xludf.DUMMYFUNCTION("""COMPUTED_VALUE"""),1000.0)</f>
        <v>1000</v>
      </c>
      <c r="I1004" s="298"/>
      <c r="J1004" s="223" t="str">
        <f>IFERROR(__xludf.DUMMYFUNCTION("""COMPUTED_VALUE"""),"Monthly")</f>
        <v>Monthly</v>
      </c>
      <c r="K1004" s="317">
        <f>IFERROR(__xludf.DUMMYFUNCTION("""COMPUTED_VALUE"""),2023.07)</f>
        <v>2023.07</v>
      </c>
      <c r="L1004" s="298"/>
      <c r="M1004" s="223"/>
      <c r="N1004" s="223"/>
      <c r="O1004" s="223"/>
      <c r="P1004" s="223"/>
      <c r="Q1004" s="223"/>
      <c r="R1004" s="223"/>
      <c r="S1004" s="223"/>
      <c r="T1004" s="223"/>
      <c r="U1004" s="223"/>
      <c r="V1004" s="223"/>
      <c r="W1004" s="223"/>
      <c r="X1004" s="223"/>
      <c r="Y1004" s="223"/>
      <c r="Z1004" s="223"/>
    </row>
    <row r="1005">
      <c r="A1005" s="223" t="str">
        <f>IFERROR(__xludf.DUMMYFUNCTION("""COMPUTED_VALUE"""),"Advisicon : Quarterly Website Maintenance Support")</f>
        <v>Advisicon : Quarterly Website Maintenance Support</v>
      </c>
      <c r="B1005" s="223" t="str">
        <f>IFERROR(__xludf.DUMMYFUNCTION("""COMPUTED_VALUE"""),"Advisicon")</f>
        <v>Advisicon</v>
      </c>
      <c r="C1005" s="223" t="str">
        <f>IFERROR(__xludf.DUMMYFUNCTION("""COMPUTED_VALUE"""),"Quarterly Website Maintenance Support")</f>
        <v>Quarterly Website Maintenance Support</v>
      </c>
      <c r="D1005" s="316">
        <f>IFERROR(__xludf.DUMMYFUNCTION("""COMPUTED_VALUE"""),45230.0)</f>
        <v>45230</v>
      </c>
      <c r="E1005" s="298">
        <f>IFERROR(__xludf.DUMMYFUNCTION("""COMPUTED_VALUE"""),150.0)</f>
        <v>150</v>
      </c>
      <c r="F1005" s="298"/>
      <c r="G1005" s="298">
        <f>IFERROR(__xludf.DUMMYFUNCTION("""COMPUTED_VALUE"""),0.0)</f>
        <v>0</v>
      </c>
      <c r="H1005" s="223">
        <f>IFERROR(__xludf.DUMMYFUNCTION("""COMPUTED_VALUE"""),150.0)</f>
        <v>150</v>
      </c>
      <c r="I1005" s="298"/>
      <c r="J1005" s="223" t="str">
        <f>IFERROR(__xludf.DUMMYFUNCTION("""COMPUTED_VALUE"""),"Quarterly")</f>
        <v>Quarterly</v>
      </c>
      <c r="K1005" s="317">
        <f>IFERROR(__xludf.DUMMYFUNCTION("""COMPUTED_VALUE"""),2023.0)</f>
        <v>2023</v>
      </c>
      <c r="L1005" s="298"/>
      <c r="M1005" s="223"/>
      <c r="N1005" s="223"/>
      <c r="O1005" s="223"/>
      <c r="P1005" s="223"/>
      <c r="Q1005" s="223"/>
      <c r="R1005" s="223"/>
      <c r="S1005" s="223"/>
      <c r="T1005" s="223"/>
      <c r="U1005" s="223"/>
      <c r="V1005" s="223"/>
      <c r="W1005" s="223"/>
      <c r="X1005" s="223"/>
      <c r="Y1005" s="223"/>
      <c r="Z1005" s="223"/>
    </row>
    <row r="1006">
      <c r="A1006" s="223" t="str">
        <f>IFERROR(__xludf.DUMMYFUNCTION("""COMPUTED_VALUE"""),"Booginhead : Monthly Services")</f>
        <v>Booginhead : Monthly Services</v>
      </c>
      <c r="B1006" s="223" t="str">
        <f>IFERROR(__xludf.DUMMYFUNCTION("""COMPUTED_VALUE"""),"Booginhead")</f>
        <v>Booginhead</v>
      </c>
      <c r="C1006" s="223" t="str">
        <f>IFERROR(__xludf.DUMMYFUNCTION("""COMPUTED_VALUE"""),"Monthly Services")</f>
        <v>Monthly Services</v>
      </c>
      <c r="D1006" s="316">
        <f>IFERROR(__xludf.DUMMYFUNCTION("""COMPUTED_VALUE"""),45153.0)</f>
        <v>45153</v>
      </c>
      <c r="E1006" s="298">
        <f>IFERROR(__xludf.DUMMYFUNCTION("""COMPUTED_VALUE"""),1871.61403)</f>
        <v>1871.61403</v>
      </c>
      <c r="F1006" s="298">
        <f>IFERROR(__xludf.DUMMYFUNCTION("""COMPUTED_VALUE"""),69.64236541)</f>
        <v>69.64236541</v>
      </c>
      <c r="G1006" s="298">
        <f>IFERROR(__xludf.DUMMYFUNCTION("""COMPUTED_VALUE"""),360.39433291800003)</f>
        <v>360.3943329</v>
      </c>
      <c r="H1006" s="223">
        <f>IFERROR(__xludf.DUMMYFUNCTION("""COMPUTED_VALUE"""),1441.5773316720001)</f>
        <v>1441.577332</v>
      </c>
      <c r="I1006" s="298"/>
      <c r="J1006" s="223" t="str">
        <f>IFERROR(__xludf.DUMMYFUNCTION("""COMPUTED_VALUE"""),"Monthly")</f>
        <v>Monthly</v>
      </c>
      <c r="K1006" s="317">
        <f>IFERROR(__xludf.DUMMYFUNCTION("""COMPUTED_VALUE"""),2023.08)</f>
        <v>2023.08</v>
      </c>
      <c r="L1006" s="298"/>
      <c r="M1006" s="223"/>
      <c r="N1006" s="223"/>
      <c r="O1006" s="223"/>
      <c r="P1006" s="223"/>
      <c r="Q1006" s="223"/>
      <c r="R1006" s="223"/>
      <c r="S1006" s="223"/>
      <c r="T1006" s="223"/>
      <c r="U1006" s="223"/>
      <c r="V1006" s="223"/>
      <c r="W1006" s="223"/>
      <c r="X1006" s="223"/>
      <c r="Y1006" s="223"/>
      <c r="Z1006" s="223"/>
    </row>
    <row r="1007">
      <c r="A1007" s="223" t="str">
        <f>IFERROR(__xludf.DUMMYFUNCTION("""COMPUTED_VALUE"""),"New Growth Ecommerce Inc : Monthly Services")</f>
        <v>New Growth Ecommerce Inc : Monthly Services</v>
      </c>
      <c r="B1007" s="223" t="str">
        <f>IFERROR(__xludf.DUMMYFUNCTION("""COMPUTED_VALUE"""),"New Growth Ecommerce Inc")</f>
        <v>New Growth Ecommerce Inc</v>
      </c>
      <c r="C1007" s="223" t="str">
        <f>IFERROR(__xludf.DUMMYFUNCTION("""COMPUTED_VALUE"""),"Monthly Services")</f>
        <v>Monthly Services</v>
      </c>
      <c r="D1007" s="316">
        <f>IFERROR(__xludf.DUMMYFUNCTION("""COMPUTED_VALUE"""),45153.0)</f>
        <v>45153</v>
      </c>
      <c r="E1007" s="298">
        <f>IFERROR(__xludf.DUMMYFUNCTION("""COMPUTED_VALUE"""),5000.0)</f>
        <v>5000</v>
      </c>
      <c r="F1007" s="298"/>
      <c r="G1007" s="298">
        <f>IFERROR(__xludf.DUMMYFUNCTION("""COMPUTED_VALUE"""),0.0)</f>
        <v>0</v>
      </c>
      <c r="H1007" s="223">
        <f>IFERROR(__xludf.DUMMYFUNCTION("""COMPUTED_VALUE"""),5000.0)</f>
        <v>5000</v>
      </c>
      <c r="I1007" s="298"/>
      <c r="J1007" s="223" t="str">
        <f>IFERROR(__xludf.DUMMYFUNCTION("""COMPUTED_VALUE"""),"Monthly")</f>
        <v>Monthly</v>
      </c>
      <c r="K1007" s="317">
        <f>IFERROR(__xludf.DUMMYFUNCTION("""COMPUTED_VALUE"""),2023.08)</f>
        <v>2023.08</v>
      </c>
      <c r="L1007" s="298"/>
      <c r="M1007" s="223"/>
      <c r="N1007" s="223"/>
      <c r="O1007" s="223"/>
      <c r="P1007" s="223"/>
      <c r="Q1007" s="223"/>
      <c r="R1007" s="223"/>
      <c r="S1007" s="223"/>
      <c r="T1007" s="223"/>
      <c r="U1007" s="223"/>
      <c r="V1007" s="223"/>
      <c r="W1007" s="223"/>
      <c r="X1007" s="223"/>
      <c r="Y1007" s="223"/>
      <c r="Z1007" s="223"/>
    </row>
    <row r="1008">
      <c r="A1008" s="223" t="str">
        <f>IFERROR(__xludf.DUMMYFUNCTION("""COMPUTED_VALUE"""),"OA Region 6 : Monthly Services")</f>
        <v>OA Region 6 : Monthly Services</v>
      </c>
      <c r="B1008" s="223" t="str">
        <f>IFERROR(__xludf.DUMMYFUNCTION("""COMPUTED_VALUE"""),"OA Region 6")</f>
        <v>OA Region 6</v>
      </c>
      <c r="C1008" s="223" t="str">
        <f>IFERROR(__xludf.DUMMYFUNCTION("""COMPUTED_VALUE"""),"Monthly Services")</f>
        <v>Monthly Services</v>
      </c>
      <c r="D1008" s="316">
        <f>IFERROR(__xludf.DUMMYFUNCTION("""COMPUTED_VALUE"""),45153.0)</f>
        <v>45153</v>
      </c>
      <c r="E1008" s="298">
        <f>IFERROR(__xludf.DUMMYFUNCTION("""COMPUTED_VALUE"""),350.0)</f>
        <v>350</v>
      </c>
      <c r="F1008" s="298"/>
      <c r="G1008" s="298">
        <f>IFERROR(__xludf.DUMMYFUNCTION("""COMPUTED_VALUE"""),0.0)</f>
        <v>0</v>
      </c>
      <c r="H1008" s="223">
        <f>IFERROR(__xludf.DUMMYFUNCTION("""COMPUTED_VALUE"""),350.0)</f>
        <v>350</v>
      </c>
      <c r="I1008" s="298"/>
      <c r="J1008" s="223" t="str">
        <f>IFERROR(__xludf.DUMMYFUNCTION("""COMPUTED_VALUE"""),"Monthly")</f>
        <v>Monthly</v>
      </c>
      <c r="K1008" s="317">
        <f>IFERROR(__xludf.DUMMYFUNCTION("""COMPUTED_VALUE"""),2023.08)</f>
        <v>2023.08</v>
      </c>
      <c r="L1008" s="298"/>
      <c r="M1008" s="223"/>
      <c r="N1008" s="223"/>
      <c r="O1008" s="223"/>
      <c r="P1008" s="223"/>
      <c r="Q1008" s="223"/>
      <c r="R1008" s="223"/>
      <c r="S1008" s="223"/>
      <c r="T1008" s="223"/>
      <c r="U1008" s="223"/>
      <c r="V1008" s="223"/>
      <c r="W1008" s="223"/>
      <c r="X1008" s="223"/>
      <c r="Y1008" s="223"/>
      <c r="Z1008" s="223"/>
    </row>
    <row r="1009">
      <c r="A1009" s="223" t="str">
        <f>IFERROR(__xludf.DUMMYFUNCTION("""COMPUTED_VALUE"""),"Rama Meditation Society : Monthly Hosting &amp; Updates")</f>
        <v>Rama Meditation Society : Monthly Hosting &amp; Updates</v>
      </c>
      <c r="B1009" s="223" t="str">
        <f>IFERROR(__xludf.DUMMYFUNCTION("""COMPUTED_VALUE"""),"Rama Meditation Society")</f>
        <v>Rama Meditation Society</v>
      </c>
      <c r="C1009" s="223" t="str">
        <f>IFERROR(__xludf.DUMMYFUNCTION("""COMPUTED_VALUE"""),"Monthly Hosting &amp; Updates")</f>
        <v>Monthly Hosting &amp; Updates</v>
      </c>
      <c r="D1009" s="316">
        <f>IFERROR(__xludf.DUMMYFUNCTION("""COMPUTED_VALUE"""),45153.0)</f>
        <v>45153</v>
      </c>
      <c r="E1009" s="298">
        <f>IFERROR(__xludf.DUMMYFUNCTION("""COMPUTED_VALUE"""),78.53508000000001)</f>
        <v>78.53508</v>
      </c>
      <c r="F1009" s="298">
        <f>IFERROR(__xludf.DUMMYFUNCTION("""COMPUTED_VALUE"""),3.29847336)</f>
        <v>3.29847336</v>
      </c>
      <c r="G1009" s="298">
        <f>IFERROR(__xludf.DUMMYFUNCTION("""COMPUTED_VALUE"""),0.0)</f>
        <v>0</v>
      </c>
      <c r="H1009" s="223">
        <f>IFERROR(__xludf.DUMMYFUNCTION("""COMPUTED_VALUE"""),75.23660664)</f>
        <v>75.23660664</v>
      </c>
      <c r="I1009" s="298"/>
      <c r="J1009" s="223" t="str">
        <f>IFERROR(__xludf.DUMMYFUNCTION("""COMPUTED_VALUE"""),"Monthly")</f>
        <v>Monthly</v>
      </c>
      <c r="K1009" s="317">
        <f>IFERROR(__xludf.DUMMYFUNCTION("""COMPUTED_VALUE"""),2023.08)</f>
        <v>2023.08</v>
      </c>
      <c r="L1009" s="298"/>
      <c r="M1009" s="223"/>
      <c r="N1009" s="223"/>
      <c r="O1009" s="223"/>
      <c r="P1009" s="223"/>
      <c r="Q1009" s="223"/>
      <c r="R1009" s="223"/>
      <c r="S1009" s="223"/>
      <c r="T1009" s="223"/>
      <c r="U1009" s="223"/>
      <c r="V1009" s="223"/>
      <c r="W1009" s="223"/>
      <c r="X1009" s="223"/>
      <c r="Y1009" s="223"/>
      <c r="Z1009" s="223"/>
    </row>
    <row r="1010">
      <c r="A1010" s="223" t="str">
        <f>IFERROR(__xludf.DUMMYFUNCTION("""COMPUTED_VALUE"""),"Tofino Resort + Marina : Monthly Services")</f>
        <v>Tofino Resort + Marina : Monthly Services</v>
      </c>
      <c r="B1010" s="223" t="str">
        <f>IFERROR(__xludf.DUMMYFUNCTION("""COMPUTED_VALUE"""),"Tofino Resort + Marina")</f>
        <v>Tofino Resort + Marina</v>
      </c>
      <c r="C1010" s="223" t="str">
        <f>IFERROR(__xludf.DUMMYFUNCTION("""COMPUTED_VALUE"""),"Monthly Services")</f>
        <v>Monthly Services</v>
      </c>
      <c r="D1010" s="316">
        <f>IFERROR(__xludf.DUMMYFUNCTION("""COMPUTED_VALUE"""),45153.0)</f>
        <v>45153</v>
      </c>
      <c r="E1010" s="298">
        <f>IFERROR(__xludf.DUMMYFUNCTION("""COMPUTED_VALUE"""),1600.0)</f>
        <v>1600</v>
      </c>
      <c r="F1010" s="298">
        <f>IFERROR(__xludf.DUMMYFUNCTION("""COMPUTED_VALUE"""),49.78)</f>
        <v>49.78</v>
      </c>
      <c r="G1010" s="298">
        <f>IFERROR(__xludf.DUMMYFUNCTION("""COMPUTED_VALUE"""),0.0)</f>
        <v>0</v>
      </c>
      <c r="H1010" s="223">
        <f>IFERROR(__xludf.DUMMYFUNCTION("""COMPUTED_VALUE"""),1550.22)</f>
        <v>1550.22</v>
      </c>
      <c r="I1010" s="298"/>
      <c r="J1010" s="223" t="str">
        <f>IFERROR(__xludf.DUMMYFUNCTION("""COMPUTED_VALUE"""),"Monthly")</f>
        <v>Monthly</v>
      </c>
      <c r="K1010" s="317">
        <f>IFERROR(__xludf.DUMMYFUNCTION("""COMPUTED_VALUE"""),2023.08)</f>
        <v>2023.08</v>
      </c>
      <c r="L1010" s="298"/>
      <c r="M1010" s="223"/>
      <c r="N1010" s="223"/>
      <c r="O1010" s="223"/>
      <c r="P1010" s="223"/>
      <c r="Q1010" s="223"/>
      <c r="R1010" s="223"/>
      <c r="S1010" s="223"/>
      <c r="T1010" s="223"/>
      <c r="U1010" s="223"/>
      <c r="V1010" s="223"/>
      <c r="W1010" s="223"/>
      <c r="X1010" s="223"/>
      <c r="Y1010" s="223"/>
      <c r="Z1010" s="223"/>
    </row>
    <row r="1011">
      <c r="A1011" s="223" t="str">
        <f>IFERROR(__xludf.DUMMYFUNCTION("""COMPUTED_VALUE"""),"Canyon's Construction : Enhanced Hosting &amp; WordPress Support")</f>
        <v>Canyon's Construction : Enhanced Hosting &amp; WordPress Support</v>
      </c>
      <c r="B1011" s="223" t="str">
        <f>IFERROR(__xludf.DUMMYFUNCTION("""COMPUTED_VALUE"""),"Canyon's Construction")</f>
        <v>Canyon's Construction</v>
      </c>
      <c r="C1011" s="223" t="str">
        <f>IFERROR(__xludf.DUMMYFUNCTION("""COMPUTED_VALUE"""),"Enhanced Hosting &amp; WordPress Support")</f>
        <v>Enhanced Hosting &amp; WordPress Support</v>
      </c>
      <c r="D1011" s="316">
        <f>IFERROR(__xludf.DUMMYFUNCTION("""COMPUTED_VALUE"""),45153.0)</f>
        <v>45153</v>
      </c>
      <c r="E1011" s="298">
        <f>IFERROR(__xludf.DUMMYFUNCTION("""COMPUTED_VALUE"""),280.0)</f>
        <v>280</v>
      </c>
      <c r="F1011" s="298"/>
      <c r="G1011" s="298">
        <f>IFERROR(__xludf.DUMMYFUNCTION("""COMPUTED_VALUE"""),56.0)</f>
        <v>56</v>
      </c>
      <c r="H1011" s="223">
        <f>IFERROR(__xludf.DUMMYFUNCTION("""COMPUTED_VALUE"""),224.0)</f>
        <v>224</v>
      </c>
      <c r="I1011" s="298"/>
      <c r="J1011" s="223" t="str">
        <f>IFERROR(__xludf.DUMMYFUNCTION("""COMPUTED_VALUE"""),"Monthly")</f>
        <v>Monthly</v>
      </c>
      <c r="K1011" s="317">
        <f>IFERROR(__xludf.DUMMYFUNCTION("""COMPUTED_VALUE"""),2023.08)</f>
        <v>2023.08</v>
      </c>
      <c r="L1011" s="298"/>
      <c r="M1011" s="223"/>
      <c r="N1011" s="223"/>
      <c r="O1011" s="223"/>
      <c r="P1011" s="223"/>
      <c r="Q1011" s="223"/>
      <c r="R1011" s="223"/>
      <c r="S1011" s="223"/>
      <c r="T1011" s="223"/>
      <c r="U1011" s="223"/>
      <c r="V1011" s="223"/>
      <c r="W1011" s="223"/>
      <c r="X1011" s="223"/>
      <c r="Y1011" s="223"/>
      <c r="Z1011" s="223"/>
    </row>
    <row r="1012">
      <c r="A1012" s="223" t="str">
        <f>IFERROR(__xludf.DUMMYFUNCTION("""COMPUTED_VALUE"""),"Villa del Mar : Enhanced Hosting &amp; WordPress Support")</f>
        <v>Villa del Mar : Enhanced Hosting &amp; WordPress Support</v>
      </c>
      <c r="B1012" s="223" t="str">
        <f>IFERROR(__xludf.DUMMYFUNCTION("""COMPUTED_VALUE"""),"Villa del Mar")</f>
        <v>Villa del Mar</v>
      </c>
      <c r="C1012" s="223" t="str">
        <f>IFERROR(__xludf.DUMMYFUNCTION("""COMPUTED_VALUE"""),"Enhanced Hosting &amp; WordPress Support")</f>
        <v>Enhanced Hosting &amp; WordPress Support</v>
      </c>
      <c r="D1012" s="316">
        <f>IFERROR(__xludf.DUMMYFUNCTION("""COMPUTED_VALUE"""),45153.0)</f>
        <v>45153</v>
      </c>
      <c r="E1012" s="298">
        <f>IFERROR(__xludf.DUMMYFUNCTION("""COMPUTED_VALUE"""),370.5632)</f>
        <v>370.5632</v>
      </c>
      <c r="F1012" s="298">
        <f>IFERROR(__xludf.DUMMYFUNCTION("""COMPUTED_VALUE"""),11.05)</f>
        <v>11.05</v>
      </c>
      <c r="G1012" s="298">
        <f>IFERROR(__xludf.DUMMYFUNCTION("""COMPUTED_VALUE"""),0.0)</f>
        <v>0</v>
      </c>
      <c r="H1012" s="223">
        <f>IFERROR(__xludf.DUMMYFUNCTION("""COMPUTED_VALUE"""),359.5132)</f>
        <v>359.5132</v>
      </c>
      <c r="I1012" s="298"/>
      <c r="J1012" s="223" t="str">
        <f>IFERROR(__xludf.DUMMYFUNCTION("""COMPUTED_VALUE"""),"Monthly")</f>
        <v>Monthly</v>
      </c>
      <c r="K1012" s="317">
        <f>IFERROR(__xludf.DUMMYFUNCTION("""COMPUTED_VALUE"""),2023.08)</f>
        <v>2023.08</v>
      </c>
      <c r="L1012" s="298"/>
      <c r="M1012" s="223"/>
      <c r="N1012" s="223"/>
      <c r="O1012" s="223"/>
      <c r="P1012" s="223"/>
      <c r="Q1012" s="223"/>
      <c r="R1012" s="223"/>
      <c r="S1012" s="223"/>
      <c r="T1012" s="223"/>
      <c r="U1012" s="223"/>
      <c r="V1012" s="223"/>
      <c r="W1012" s="223"/>
      <c r="X1012" s="223"/>
      <c r="Y1012" s="223"/>
      <c r="Z1012" s="223"/>
    </row>
    <row r="1013">
      <c r="A1013" s="223" t="str">
        <f>IFERROR(__xludf.DUMMYFUNCTION("""COMPUTED_VALUE"""),"Classic LifeCare : Monthly Google Ads (PPC) Management")</f>
        <v>Classic LifeCare : Monthly Google Ads (PPC) Management</v>
      </c>
      <c r="B1013" s="223" t="str">
        <f>IFERROR(__xludf.DUMMYFUNCTION("""COMPUTED_VALUE"""),"Classic LifeCare")</f>
        <v>Classic LifeCare</v>
      </c>
      <c r="C1013" s="223" t="str">
        <f>IFERROR(__xludf.DUMMYFUNCTION("""COMPUTED_VALUE"""),"Monthly Google Ads (PPC) Management")</f>
        <v>Monthly Google Ads (PPC) Management</v>
      </c>
      <c r="D1013" s="316">
        <f>IFERROR(__xludf.DUMMYFUNCTION("""COMPUTED_VALUE"""),45153.0)</f>
        <v>45153</v>
      </c>
      <c r="E1013" s="298">
        <f>IFERROR(__xludf.DUMMYFUNCTION("""COMPUTED_VALUE"""),865.0)</f>
        <v>865</v>
      </c>
      <c r="F1013" s="298">
        <f>IFERROR(__xludf.DUMMYFUNCTION("""COMPUTED_VALUE"""),0.0)</f>
        <v>0</v>
      </c>
      <c r="G1013" s="298">
        <f>IFERROR(__xludf.DUMMYFUNCTION("""COMPUTED_VALUE"""),0.0)</f>
        <v>0</v>
      </c>
      <c r="H1013" s="223">
        <f>IFERROR(__xludf.DUMMYFUNCTION("""COMPUTED_VALUE"""),865.0)</f>
        <v>865</v>
      </c>
      <c r="I1013" s="298"/>
      <c r="J1013" s="223" t="str">
        <f>IFERROR(__xludf.DUMMYFUNCTION("""COMPUTED_VALUE"""),"Monthly")</f>
        <v>Monthly</v>
      </c>
      <c r="K1013" s="317">
        <f>IFERROR(__xludf.DUMMYFUNCTION("""COMPUTED_VALUE"""),2023.08)</f>
        <v>2023.08</v>
      </c>
      <c r="L1013" s="298"/>
      <c r="M1013" s="223"/>
      <c r="N1013" s="223"/>
      <c r="O1013" s="223"/>
      <c r="P1013" s="223"/>
      <c r="Q1013" s="223"/>
      <c r="R1013" s="223"/>
      <c r="S1013" s="223"/>
      <c r="T1013" s="223"/>
      <c r="U1013" s="223"/>
      <c r="V1013" s="223"/>
      <c r="W1013" s="223"/>
      <c r="X1013" s="223"/>
      <c r="Y1013" s="223"/>
      <c r="Z1013" s="223"/>
    </row>
    <row r="1014">
      <c r="A1014" s="223" t="str">
        <f>IFERROR(__xludf.DUMMYFUNCTION("""COMPUTED_VALUE"""),"Ultimate Tools : Monthly SEO &amp; PPC Management")</f>
        <v>Ultimate Tools : Monthly SEO &amp; PPC Management</v>
      </c>
      <c r="B1014" s="223" t="str">
        <f>IFERROR(__xludf.DUMMYFUNCTION("""COMPUTED_VALUE"""),"Ultimate Tools")</f>
        <v>Ultimate Tools</v>
      </c>
      <c r="C1014" s="223" t="str">
        <f>IFERROR(__xludf.DUMMYFUNCTION("""COMPUTED_VALUE"""),"Monthly SEO &amp; PPC Management")</f>
        <v>Monthly SEO &amp; PPC Management</v>
      </c>
      <c r="D1014" s="316">
        <f>IFERROR(__xludf.DUMMYFUNCTION("""COMPUTED_VALUE"""),45153.0)</f>
        <v>45153</v>
      </c>
      <c r="E1014" s="298">
        <f>IFERROR(__xludf.DUMMYFUNCTION("""COMPUTED_VALUE"""),2500.0)</f>
        <v>2500</v>
      </c>
      <c r="F1014" s="298"/>
      <c r="G1014" s="298">
        <f>IFERROR(__xludf.DUMMYFUNCTION("""COMPUTED_VALUE"""),0.0)</f>
        <v>0</v>
      </c>
      <c r="H1014" s="223">
        <f>IFERROR(__xludf.DUMMYFUNCTION("""COMPUTED_VALUE"""),2500.0)</f>
        <v>2500</v>
      </c>
      <c r="I1014" s="298"/>
      <c r="J1014" s="223" t="str">
        <f>IFERROR(__xludf.DUMMYFUNCTION("""COMPUTED_VALUE"""),"Monthly")</f>
        <v>Monthly</v>
      </c>
      <c r="K1014" s="317">
        <f>IFERROR(__xludf.DUMMYFUNCTION("""COMPUTED_VALUE"""),2023.08)</f>
        <v>2023.08</v>
      </c>
      <c r="L1014" s="298"/>
      <c r="M1014" s="223"/>
      <c r="N1014" s="223"/>
      <c r="O1014" s="223"/>
      <c r="P1014" s="223"/>
      <c r="Q1014" s="223"/>
      <c r="R1014" s="223"/>
      <c r="S1014" s="223"/>
      <c r="T1014" s="223"/>
      <c r="U1014" s="223"/>
      <c r="V1014" s="223"/>
      <c r="W1014" s="223"/>
      <c r="X1014" s="223"/>
      <c r="Y1014" s="223"/>
      <c r="Z1014" s="223"/>
    </row>
    <row r="1015">
      <c r="A1015" s="223" t="str">
        <f>IFERROR(__xludf.DUMMYFUNCTION("""COMPUTED_VALUE"""),"McAllister Marketing : Copernic PPC / SEO")</f>
        <v>McAllister Marketing : Copernic PPC / SEO</v>
      </c>
      <c r="B1015" s="223" t="str">
        <f>IFERROR(__xludf.DUMMYFUNCTION("""COMPUTED_VALUE"""),"McAllister Marketing")</f>
        <v>McAllister Marketing</v>
      </c>
      <c r="C1015" s="223" t="str">
        <f>IFERROR(__xludf.DUMMYFUNCTION("""COMPUTED_VALUE"""),"Copernic PPC / SEO")</f>
        <v>Copernic PPC / SEO</v>
      </c>
      <c r="D1015" s="316">
        <f>IFERROR(__xludf.DUMMYFUNCTION("""COMPUTED_VALUE"""),45153.0)</f>
        <v>45153</v>
      </c>
      <c r="E1015" s="298">
        <f>IFERROR(__xludf.DUMMYFUNCTION("""COMPUTED_VALUE"""),2000.0)</f>
        <v>2000</v>
      </c>
      <c r="F1015" s="298"/>
      <c r="G1015" s="298">
        <f>IFERROR(__xludf.DUMMYFUNCTION("""COMPUTED_VALUE"""),0.0)</f>
        <v>0</v>
      </c>
      <c r="H1015" s="223">
        <f>IFERROR(__xludf.DUMMYFUNCTION("""COMPUTED_VALUE"""),2000.0)</f>
        <v>2000</v>
      </c>
      <c r="I1015" s="298"/>
      <c r="J1015" s="223" t="str">
        <f>IFERROR(__xludf.DUMMYFUNCTION("""COMPUTED_VALUE"""),"Monthly")</f>
        <v>Monthly</v>
      </c>
      <c r="K1015" s="317">
        <f>IFERROR(__xludf.DUMMYFUNCTION("""COMPUTED_VALUE"""),2023.08)</f>
        <v>2023.08</v>
      </c>
      <c r="L1015" s="298"/>
      <c r="M1015" s="223"/>
      <c r="N1015" s="223"/>
      <c r="O1015" s="223"/>
      <c r="P1015" s="223"/>
      <c r="Q1015" s="223"/>
      <c r="R1015" s="223"/>
      <c r="S1015" s="223"/>
      <c r="T1015" s="223"/>
      <c r="U1015" s="223"/>
      <c r="V1015" s="223"/>
      <c r="W1015" s="223"/>
      <c r="X1015" s="223"/>
      <c r="Y1015" s="223"/>
      <c r="Z1015" s="223"/>
    </row>
    <row r="1016">
      <c r="A1016" s="223" t="str">
        <f>IFERROR(__xludf.DUMMYFUNCTION("""COMPUTED_VALUE"""),"Terra Insights : Monthly PPC")</f>
        <v>Terra Insights : Monthly PPC</v>
      </c>
      <c r="B1016" s="223" t="str">
        <f>IFERROR(__xludf.DUMMYFUNCTION("""COMPUTED_VALUE"""),"Terra Insights")</f>
        <v>Terra Insights</v>
      </c>
      <c r="C1016" s="223" t="str">
        <f>IFERROR(__xludf.DUMMYFUNCTION("""COMPUTED_VALUE"""),"Monthly PPC")</f>
        <v>Monthly PPC</v>
      </c>
      <c r="D1016" s="316">
        <f>IFERROR(__xludf.DUMMYFUNCTION("""COMPUTED_VALUE"""),45153.0)</f>
        <v>45153</v>
      </c>
      <c r="E1016" s="298">
        <f>IFERROR(__xludf.DUMMYFUNCTION("""COMPUTED_VALUE"""),2000.0)</f>
        <v>2000</v>
      </c>
      <c r="F1016" s="298"/>
      <c r="G1016" s="298">
        <f>IFERROR(__xludf.DUMMYFUNCTION("""COMPUTED_VALUE"""),0.0)</f>
        <v>0</v>
      </c>
      <c r="H1016" s="223">
        <f>IFERROR(__xludf.DUMMYFUNCTION("""COMPUTED_VALUE"""),2000.0)</f>
        <v>2000</v>
      </c>
      <c r="I1016" s="298"/>
      <c r="J1016" s="223" t="str">
        <f>IFERROR(__xludf.DUMMYFUNCTION("""COMPUTED_VALUE"""),"Monthly")</f>
        <v>Monthly</v>
      </c>
      <c r="K1016" s="317">
        <f>IFERROR(__xludf.DUMMYFUNCTION("""COMPUTED_VALUE"""),2023.08)</f>
        <v>2023.08</v>
      </c>
      <c r="L1016" s="298"/>
      <c r="M1016" s="223"/>
      <c r="N1016" s="223"/>
      <c r="O1016" s="223"/>
      <c r="P1016" s="223"/>
      <c r="Q1016" s="223"/>
      <c r="R1016" s="223"/>
      <c r="S1016" s="223"/>
      <c r="T1016" s="223"/>
      <c r="U1016" s="223"/>
      <c r="V1016" s="223"/>
      <c r="W1016" s="223"/>
      <c r="X1016" s="223"/>
      <c r="Y1016" s="223"/>
      <c r="Z1016" s="223"/>
    </row>
    <row r="1017">
      <c r="A1017" s="223" t="str">
        <f>IFERROR(__xludf.DUMMYFUNCTION("""COMPUTED_VALUE"""),"Markey Machine : General Support Retainer")</f>
        <v>Markey Machine : General Support Retainer</v>
      </c>
      <c r="B1017" s="223" t="str">
        <f>IFERROR(__xludf.DUMMYFUNCTION("""COMPUTED_VALUE"""),"Markey Machine")</f>
        <v>Markey Machine</v>
      </c>
      <c r="C1017" s="223" t="str">
        <f>IFERROR(__xludf.DUMMYFUNCTION("""COMPUTED_VALUE"""),"General Support Retainer")</f>
        <v>General Support Retainer</v>
      </c>
      <c r="D1017" s="316">
        <f>IFERROR(__xludf.DUMMYFUNCTION("""COMPUTED_VALUE"""),45153.0)</f>
        <v>45153</v>
      </c>
      <c r="E1017" s="298">
        <f>IFERROR(__xludf.DUMMYFUNCTION("""COMPUTED_VALUE"""),326.40000000000003)</f>
        <v>326.4</v>
      </c>
      <c r="F1017" s="298">
        <f>IFERROR(__xludf.DUMMYFUNCTION("""COMPUTED_VALUE"""),0.0)</f>
        <v>0</v>
      </c>
      <c r="G1017" s="298">
        <f>IFERROR(__xludf.DUMMYFUNCTION("""COMPUTED_VALUE"""),65.28000000000002)</f>
        <v>65.28</v>
      </c>
      <c r="H1017" s="223">
        <f>IFERROR(__xludf.DUMMYFUNCTION("""COMPUTED_VALUE"""),261.12)</f>
        <v>261.12</v>
      </c>
      <c r="I1017" s="298"/>
      <c r="J1017" s="223" t="str">
        <f>IFERROR(__xludf.DUMMYFUNCTION("""COMPUTED_VALUE"""),"Monthly")</f>
        <v>Monthly</v>
      </c>
      <c r="K1017" s="317">
        <f>IFERROR(__xludf.DUMMYFUNCTION("""COMPUTED_VALUE"""),2023.08)</f>
        <v>2023.08</v>
      </c>
      <c r="L1017" s="298"/>
      <c r="M1017" s="223"/>
      <c r="N1017" s="223"/>
      <c r="O1017" s="223"/>
      <c r="P1017" s="223"/>
      <c r="Q1017" s="223"/>
      <c r="R1017" s="223"/>
      <c r="S1017" s="223"/>
      <c r="T1017" s="223"/>
      <c r="U1017" s="223"/>
      <c r="V1017" s="223"/>
      <c r="W1017" s="223"/>
      <c r="X1017" s="223"/>
      <c r="Y1017" s="223"/>
      <c r="Z1017" s="223"/>
    </row>
    <row r="1018">
      <c r="A1018" s="223" t="str">
        <f>IFERROR(__xludf.DUMMYFUNCTION("""COMPUTED_VALUE"""),"WhistleBlower Security : Monthly PPC and SEO")</f>
        <v>WhistleBlower Security : Monthly PPC and SEO</v>
      </c>
      <c r="B1018" s="223" t="str">
        <f>IFERROR(__xludf.DUMMYFUNCTION("""COMPUTED_VALUE"""),"WhistleBlower Security")</f>
        <v>WhistleBlower Security</v>
      </c>
      <c r="C1018" s="223" t="str">
        <f>IFERROR(__xludf.DUMMYFUNCTION("""COMPUTED_VALUE"""),"Monthly PPC and SEO")</f>
        <v>Monthly PPC and SEO</v>
      </c>
      <c r="D1018" s="316">
        <f>IFERROR(__xludf.DUMMYFUNCTION("""COMPUTED_VALUE"""),45153.0)</f>
        <v>45153</v>
      </c>
      <c r="E1018" s="298">
        <f>IFERROR(__xludf.DUMMYFUNCTION("""COMPUTED_VALUE"""),1800.0)</f>
        <v>1800</v>
      </c>
      <c r="F1018" s="298"/>
      <c r="G1018" s="298">
        <f>IFERROR(__xludf.DUMMYFUNCTION("""COMPUTED_VALUE"""),180.0)</f>
        <v>180</v>
      </c>
      <c r="H1018" s="223">
        <f>IFERROR(__xludf.DUMMYFUNCTION("""COMPUTED_VALUE"""),1620.0)</f>
        <v>1620</v>
      </c>
      <c r="I1018" s="298"/>
      <c r="J1018" s="223" t="str">
        <f>IFERROR(__xludf.DUMMYFUNCTION("""COMPUTED_VALUE"""),"Monthly")</f>
        <v>Monthly</v>
      </c>
      <c r="K1018" s="317">
        <f>IFERROR(__xludf.DUMMYFUNCTION("""COMPUTED_VALUE"""),2023.08)</f>
        <v>2023.08</v>
      </c>
      <c r="L1018" s="298"/>
      <c r="M1018" s="223"/>
      <c r="N1018" s="223"/>
      <c r="O1018" s="223"/>
      <c r="P1018" s="223"/>
      <c r="Q1018" s="223"/>
      <c r="R1018" s="223"/>
      <c r="S1018" s="223"/>
      <c r="T1018" s="223"/>
      <c r="U1018" s="223"/>
      <c r="V1018" s="223"/>
      <c r="W1018" s="223"/>
      <c r="X1018" s="223"/>
      <c r="Y1018" s="223"/>
      <c r="Z1018" s="223"/>
    </row>
    <row r="1019">
      <c r="A1019" s="223" t="str">
        <f>IFERROR(__xludf.DUMMYFUNCTION("""COMPUTED_VALUE"""),"Acton ADU : Monthly SEO &amp; PPC")</f>
        <v>Acton ADU : Monthly SEO &amp; PPC</v>
      </c>
      <c r="B1019" s="223" t="str">
        <f>IFERROR(__xludf.DUMMYFUNCTION("""COMPUTED_VALUE"""),"Acton ADU")</f>
        <v>Acton ADU</v>
      </c>
      <c r="C1019" s="223" t="str">
        <f>IFERROR(__xludf.DUMMYFUNCTION("""COMPUTED_VALUE"""),"Monthly SEO &amp; PPC")</f>
        <v>Monthly SEO &amp; PPC</v>
      </c>
      <c r="D1019" s="316">
        <f>IFERROR(__xludf.DUMMYFUNCTION("""COMPUTED_VALUE"""),45153.0)</f>
        <v>45153</v>
      </c>
      <c r="E1019" s="298">
        <f>IFERROR(__xludf.DUMMYFUNCTION("""COMPUTED_VALUE"""),1963.377)</f>
        <v>1963.377</v>
      </c>
      <c r="F1019" s="298">
        <f>IFERROR(__xludf.DUMMYFUNCTION("""COMPUTED_VALUE"""),0.0)</f>
        <v>0</v>
      </c>
      <c r="G1019" s="298">
        <f>IFERROR(__xludf.DUMMYFUNCTION("""COMPUTED_VALUE"""),392.6754)</f>
        <v>392.6754</v>
      </c>
      <c r="H1019" s="223">
        <f>IFERROR(__xludf.DUMMYFUNCTION("""COMPUTED_VALUE"""),1570.7015999999999)</f>
        <v>1570.7016</v>
      </c>
      <c r="I1019" s="298"/>
      <c r="J1019" s="223" t="str">
        <f>IFERROR(__xludf.DUMMYFUNCTION("""COMPUTED_VALUE"""),"Monthly")</f>
        <v>Monthly</v>
      </c>
      <c r="K1019" s="317">
        <f>IFERROR(__xludf.DUMMYFUNCTION("""COMPUTED_VALUE"""),2023.08)</f>
        <v>2023.08</v>
      </c>
      <c r="L1019" s="298"/>
      <c r="M1019" s="223"/>
      <c r="N1019" s="223"/>
      <c r="O1019" s="223"/>
      <c r="P1019" s="223"/>
      <c r="Q1019" s="223"/>
      <c r="R1019" s="223"/>
      <c r="S1019" s="223"/>
      <c r="T1019" s="223"/>
      <c r="U1019" s="223"/>
      <c r="V1019" s="223"/>
      <c r="W1019" s="223"/>
      <c r="X1019" s="223"/>
      <c r="Y1019" s="223"/>
      <c r="Z1019" s="223"/>
    </row>
    <row r="1020">
      <c r="A1020" s="223" t="str">
        <f>IFERROR(__xludf.DUMMYFUNCTION("""COMPUTED_VALUE"""),"Halo Programs : Monthly PPC")</f>
        <v>Halo Programs : Monthly PPC</v>
      </c>
      <c r="B1020" s="223" t="str">
        <f>IFERROR(__xludf.DUMMYFUNCTION("""COMPUTED_VALUE"""),"Halo Programs")</f>
        <v>Halo Programs</v>
      </c>
      <c r="C1020" s="223" t="str">
        <f>IFERROR(__xludf.DUMMYFUNCTION("""COMPUTED_VALUE"""),"Monthly PPC")</f>
        <v>Monthly PPC</v>
      </c>
      <c r="D1020" s="316">
        <f>IFERROR(__xludf.DUMMYFUNCTION("""COMPUTED_VALUE"""),45153.0)</f>
        <v>45153</v>
      </c>
      <c r="E1020" s="298">
        <f>IFERROR(__xludf.DUMMYFUNCTION("""COMPUTED_VALUE"""),750.0)</f>
        <v>750</v>
      </c>
      <c r="F1020" s="298"/>
      <c r="G1020" s="298">
        <f>IFERROR(__xludf.DUMMYFUNCTION("""COMPUTED_VALUE"""),150.0)</f>
        <v>150</v>
      </c>
      <c r="H1020" s="223">
        <f>IFERROR(__xludf.DUMMYFUNCTION("""COMPUTED_VALUE"""),600.0)</f>
        <v>600</v>
      </c>
      <c r="I1020" s="298"/>
      <c r="J1020" s="223" t="str">
        <f>IFERROR(__xludf.DUMMYFUNCTION("""COMPUTED_VALUE"""),"Monthly")</f>
        <v>Monthly</v>
      </c>
      <c r="K1020" s="317">
        <f>IFERROR(__xludf.DUMMYFUNCTION("""COMPUTED_VALUE"""),2023.08)</f>
        <v>2023.08</v>
      </c>
      <c r="L1020" s="298"/>
      <c r="M1020" s="223"/>
      <c r="N1020" s="223"/>
      <c r="O1020" s="223"/>
      <c r="P1020" s="223"/>
      <c r="Q1020" s="223"/>
      <c r="R1020" s="223"/>
      <c r="S1020" s="223"/>
      <c r="T1020" s="223"/>
      <c r="U1020" s="223"/>
      <c r="V1020" s="223"/>
      <c r="W1020" s="223"/>
      <c r="X1020" s="223"/>
      <c r="Y1020" s="223"/>
      <c r="Z1020" s="223"/>
    </row>
    <row r="1021">
      <c r="A1021" s="223" t="str">
        <f>IFERROR(__xludf.DUMMYFUNCTION("""COMPUTED_VALUE"""),"Cobble Beach : PPC Project")</f>
        <v>Cobble Beach : PPC Project</v>
      </c>
      <c r="B1021" s="223" t="str">
        <f>IFERROR(__xludf.DUMMYFUNCTION("""COMPUTED_VALUE"""),"Cobble Beach")</f>
        <v>Cobble Beach</v>
      </c>
      <c r="C1021" s="223" t="str">
        <f>IFERROR(__xludf.DUMMYFUNCTION("""COMPUTED_VALUE"""),"PPC Project")</f>
        <v>PPC Project</v>
      </c>
      <c r="D1021" s="316">
        <f>IFERROR(__xludf.DUMMYFUNCTION("""COMPUTED_VALUE"""),45169.0)</f>
        <v>45169</v>
      </c>
      <c r="E1021" s="298">
        <f>IFERROR(__xludf.DUMMYFUNCTION("""COMPUTED_VALUE"""),1000.0)</f>
        <v>1000</v>
      </c>
      <c r="F1021" s="298"/>
      <c r="G1021" s="298">
        <f>IFERROR(__xludf.DUMMYFUNCTION("""COMPUTED_VALUE"""),0.0)</f>
        <v>0</v>
      </c>
      <c r="H1021" s="223">
        <f>IFERROR(__xludf.DUMMYFUNCTION("""COMPUTED_VALUE"""),1000.0)</f>
        <v>1000</v>
      </c>
      <c r="I1021" s="298"/>
      <c r="J1021" s="223" t="str">
        <f>IFERROR(__xludf.DUMMYFUNCTION("""COMPUTED_VALUE"""),"1/2 month one, 1/2 for month 2")</f>
        <v>1/2 month one, 1/2 for month 2</v>
      </c>
      <c r="K1021" s="317">
        <f>IFERROR(__xludf.DUMMYFUNCTION("""COMPUTED_VALUE"""),2023.08)</f>
        <v>2023.08</v>
      </c>
      <c r="L1021" s="298"/>
      <c r="M1021" s="223"/>
      <c r="N1021" s="223"/>
      <c r="O1021" s="223"/>
      <c r="P1021" s="223"/>
      <c r="Q1021" s="223"/>
      <c r="R1021" s="223"/>
      <c r="S1021" s="223"/>
      <c r="T1021" s="223"/>
      <c r="U1021" s="223"/>
      <c r="V1021" s="223"/>
      <c r="W1021" s="223"/>
      <c r="X1021" s="223"/>
      <c r="Y1021" s="223"/>
      <c r="Z1021" s="223"/>
    </row>
    <row r="1022">
      <c r="A1022" s="223" t="str">
        <f>IFERROR(__xludf.DUMMYFUNCTION("""COMPUTED_VALUE"""),"Cobble Beach : PPC Project")</f>
        <v>Cobble Beach : PPC Project</v>
      </c>
      <c r="B1022" s="223" t="str">
        <f>IFERROR(__xludf.DUMMYFUNCTION("""COMPUTED_VALUE"""),"Cobble Beach")</f>
        <v>Cobble Beach</v>
      </c>
      <c r="C1022" s="223" t="str">
        <f>IFERROR(__xludf.DUMMYFUNCTION("""COMPUTED_VALUE"""),"PPC Project")</f>
        <v>PPC Project</v>
      </c>
      <c r="D1022" s="316">
        <f>IFERROR(__xludf.DUMMYFUNCTION("""COMPUTED_VALUE"""),45170.0)</f>
        <v>45170</v>
      </c>
      <c r="E1022" s="298">
        <f>IFERROR(__xludf.DUMMYFUNCTION("""COMPUTED_VALUE"""),1000.0)</f>
        <v>1000</v>
      </c>
      <c r="F1022" s="298"/>
      <c r="G1022" s="298">
        <f>IFERROR(__xludf.DUMMYFUNCTION("""COMPUTED_VALUE"""),0.0)</f>
        <v>0</v>
      </c>
      <c r="H1022" s="223">
        <f>IFERROR(__xludf.DUMMYFUNCTION("""COMPUTED_VALUE"""),1000.0)</f>
        <v>1000</v>
      </c>
      <c r="I1022" s="298"/>
      <c r="J1022" s="223" t="str">
        <f>IFERROR(__xludf.DUMMYFUNCTION("""COMPUTED_VALUE"""),"1/2 month one, 1/2 for month 2")</f>
        <v>1/2 month one, 1/2 for month 2</v>
      </c>
      <c r="K1022" s="317">
        <f>IFERROR(__xludf.DUMMYFUNCTION("""COMPUTED_VALUE"""),2023.09)</f>
        <v>2023.09</v>
      </c>
      <c r="L1022" s="298"/>
      <c r="M1022" s="223"/>
      <c r="N1022" s="223"/>
      <c r="O1022" s="223"/>
      <c r="P1022" s="223"/>
      <c r="Q1022" s="223"/>
      <c r="R1022" s="223"/>
      <c r="S1022" s="223"/>
      <c r="T1022" s="223"/>
      <c r="U1022" s="223"/>
      <c r="V1022" s="223"/>
      <c r="W1022" s="223"/>
      <c r="X1022" s="223"/>
      <c r="Y1022" s="223"/>
      <c r="Z1022" s="223"/>
    </row>
    <row r="1023">
      <c r="A1023" s="223" t="str">
        <f>IFERROR(__xludf.DUMMYFUNCTION("""COMPUTED_VALUE"""),"McAllister Marketing : Tailbase SEO Project")</f>
        <v>McAllister Marketing : Tailbase SEO Project</v>
      </c>
      <c r="B1023" s="223" t="str">
        <f>IFERROR(__xludf.DUMMYFUNCTION("""COMPUTED_VALUE"""),"McAllister Marketing")</f>
        <v>McAllister Marketing</v>
      </c>
      <c r="C1023" s="223" t="str">
        <f>IFERROR(__xludf.DUMMYFUNCTION("""COMPUTED_VALUE"""),"Tailbase SEO Project")</f>
        <v>Tailbase SEO Project</v>
      </c>
      <c r="D1023" s="316">
        <f>IFERROR(__xludf.DUMMYFUNCTION("""COMPUTED_VALUE"""),45153.0)</f>
        <v>45153</v>
      </c>
      <c r="E1023" s="298">
        <f>IFERROR(__xludf.DUMMYFUNCTION("""COMPUTED_VALUE"""),1800.0)</f>
        <v>1800</v>
      </c>
      <c r="F1023" s="298"/>
      <c r="G1023" s="298">
        <f>IFERROR(__xludf.DUMMYFUNCTION("""COMPUTED_VALUE"""),0.0)</f>
        <v>0</v>
      </c>
      <c r="H1023" s="223">
        <f>IFERROR(__xludf.DUMMYFUNCTION("""COMPUTED_VALUE"""),1800.0)</f>
        <v>1800</v>
      </c>
      <c r="I1023" s="298"/>
      <c r="J1023" s="223" t="str">
        <f>IFERROR(__xludf.DUMMYFUNCTION("""COMPUTED_VALUE"""),"Monthly")</f>
        <v>Monthly</v>
      </c>
      <c r="K1023" s="317">
        <f>IFERROR(__xludf.DUMMYFUNCTION("""COMPUTED_VALUE"""),2023.08)</f>
        <v>2023.08</v>
      </c>
      <c r="L1023" s="298"/>
      <c r="M1023" s="223"/>
      <c r="N1023" s="223"/>
      <c r="O1023" s="223"/>
      <c r="P1023" s="223"/>
      <c r="Q1023" s="223"/>
      <c r="R1023" s="223"/>
      <c r="S1023" s="223"/>
      <c r="T1023" s="223"/>
      <c r="U1023" s="223"/>
      <c r="V1023" s="223"/>
      <c r="W1023" s="223"/>
      <c r="X1023" s="223"/>
      <c r="Y1023" s="223"/>
      <c r="Z1023" s="223"/>
    </row>
    <row r="1024">
      <c r="A1024" s="223" t="str">
        <f>IFERROR(__xludf.DUMMYFUNCTION("""COMPUTED_VALUE"""),"AI Smart Marketing : Website")</f>
        <v>AI Smart Marketing : Website</v>
      </c>
      <c r="B1024" s="223" t="str">
        <f>IFERROR(__xludf.DUMMYFUNCTION("""COMPUTED_VALUE"""),"AI Smart Marketing")</f>
        <v>AI Smart Marketing</v>
      </c>
      <c r="C1024" s="223" t="str">
        <f>IFERROR(__xludf.DUMMYFUNCTION("""COMPUTED_VALUE"""),"Website")</f>
        <v>Website</v>
      </c>
      <c r="D1024" s="316">
        <f>IFERROR(__xludf.DUMMYFUNCTION("""COMPUTED_VALUE"""),45155.0)</f>
        <v>45155</v>
      </c>
      <c r="E1024" s="298">
        <f>IFERROR(__xludf.DUMMYFUNCTION("""COMPUTED_VALUE"""),5000.0)</f>
        <v>5000</v>
      </c>
      <c r="F1024" s="298"/>
      <c r="G1024" s="298">
        <f>IFERROR(__xludf.DUMMYFUNCTION("""COMPUTED_VALUE"""),0.0)</f>
        <v>0</v>
      </c>
      <c r="H1024" s="223">
        <f>IFERROR(__xludf.DUMMYFUNCTION("""COMPUTED_VALUE"""),5000.0)</f>
        <v>5000</v>
      </c>
      <c r="I1024" s="298"/>
      <c r="J1024" s="223" t="str">
        <f>IFERROR(__xludf.DUMMYFUNCTION("""COMPUTED_VALUE"""),"Pre-entered")</f>
        <v>Pre-entered</v>
      </c>
      <c r="K1024" s="317">
        <f>IFERROR(__xludf.DUMMYFUNCTION("""COMPUTED_VALUE"""),2023.08)</f>
        <v>2023.08</v>
      </c>
      <c r="L1024" s="298"/>
      <c r="M1024" s="223"/>
      <c r="N1024" s="223"/>
      <c r="O1024" s="223"/>
      <c r="P1024" s="223"/>
      <c r="Q1024" s="223"/>
      <c r="R1024" s="223"/>
      <c r="S1024" s="223"/>
      <c r="T1024" s="223"/>
      <c r="U1024" s="223"/>
      <c r="V1024" s="223"/>
      <c r="W1024" s="223"/>
      <c r="X1024" s="223"/>
      <c r="Y1024" s="223"/>
      <c r="Z1024" s="223"/>
    </row>
    <row r="1025">
      <c r="A1025" s="223" t="str">
        <f>IFERROR(__xludf.DUMMYFUNCTION("""COMPUTED_VALUE"""),"AI Smart Marketing : Website")</f>
        <v>AI Smart Marketing : Website</v>
      </c>
      <c r="B1025" s="223" t="str">
        <f>IFERROR(__xludf.DUMMYFUNCTION("""COMPUTED_VALUE"""),"AI Smart Marketing")</f>
        <v>AI Smart Marketing</v>
      </c>
      <c r="C1025" s="223" t="str">
        <f>IFERROR(__xludf.DUMMYFUNCTION("""COMPUTED_VALUE"""),"Website")</f>
        <v>Website</v>
      </c>
      <c r="D1025" s="316"/>
      <c r="E1025" s="298">
        <f>IFERROR(__xludf.DUMMYFUNCTION("""COMPUTED_VALUE"""),5000.0)</f>
        <v>5000</v>
      </c>
      <c r="F1025" s="298"/>
      <c r="G1025" s="298">
        <f>IFERROR(__xludf.DUMMYFUNCTION("""COMPUTED_VALUE"""),0.0)</f>
        <v>0</v>
      </c>
      <c r="H1025" s="223">
        <f>IFERROR(__xludf.DUMMYFUNCTION("""COMPUTED_VALUE"""),5000.0)</f>
        <v>5000</v>
      </c>
      <c r="I1025" s="298"/>
      <c r="J1025" s="223" t="str">
        <f>IFERROR(__xludf.DUMMYFUNCTION("""COMPUTED_VALUE"""),"Pre-entered")</f>
        <v>Pre-entered</v>
      </c>
      <c r="K1025" s="317">
        <f>IFERROR(__xludf.DUMMYFUNCTION("""COMPUTED_VALUE"""),1899.12)</f>
        <v>1899.12</v>
      </c>
      <c r="L1025" s="298"/>
      <c r="M1025" s="223"/>
      <c r="N1025" s="223"/>
      <c r="O1025" s="223"/>
      <c r="P1025" s="223"/>
      <c r="Q1025" s="223"/>
      <c r="R1025" s="223"/>
      <c r="S1025" s="223"/>
      <c r="T1025" s="223"/>
      <c r="U1025" s="223"/>
      <c r="V1025" s="223"/>
      <c r="W1025" s="223"/>
      <c r="X1025" s="223"/>
      <c r="Y1025" s="223"/>
      <c r="Z1025" s="223"/>
    </row>
    <row r="1026">
      <c r="A1026" s="223" t="str">
        <f>IFERROR(__xludf.DUMMYFUNCTION("""COMPUTED_VALUE"""),"AI Smart Marketing : Website")</f>
        <v>AI Smart Marketing : Website</v>
      </c>
      <c r="B1026" s="223" t="str">
        <f>IFERROR(__xludf.DUMMYFUNCTION("""COMPUTED_VALUE"""),"AI Smart Marketing")</f>
        <v>AI Smart Marketing</v>
      </c>
      <c r="C1026" s="223" t="str">
        <f>IFERROR(__xludf.DUMMYFUNCTION("""COMPUTED_VALUE"""),"Website")</f>
        <v>Website</v>
      </c>
      <c r="D1026" s="316"/>
      <c r="E1026" s="298">
        <f>IFERROR(__xludf.DUMMYFUNCTION("""COMPUTED_VALUE"""),5000.0)</f>
        <v>5000</v>
      </c>
      <c r="F1026" s="298"/>
      <c r="G1026" s="298">
        <f>IFERROR(__xludf.DUMMYFUNCTION("""COMPUTED_VALUE"""),0.0)</f>
        <v>0</v>
      </c>
      <c r="H1026" s="223">
        <f>IFERROR(__xludf.DUMMYFUNCTION("""COMPUTED_VALUE"""),5000.0)</f>
        <v>5000</v>
      </c>
      <c r="I1026" s="298"/>
      <c r="J1026" s="223" t="str">
        <f>IFERROR(__xludf.DUMMYFUNCTION("""COMPUTED_VALUE"""),"Pre-entered")</f>
        <v>Pre-entered</v>
      </c>
      <c r="K1026" s="317">
        <f>IFERROR(__xludf.DUMMYFUNCTION("""COMPUTED_VALUE"""),1899.12)</f>
        <v>1899.12</v>
      </c>
      <c r="L1026" s="298"/>
      <c r="M1026" s="223"/>
      <c r="N1026" s="223"/>
      <c r="O1026" s="223"/>
      <c r="P1026" s="223"/>
      <c r="Q1026" s="223"/>
      <c r="R1026" s="223"/>
      <c r="S1026" s="223"/>
      <c r="T1026" s="223"/>
      <c r="U1026" s="223"/>
      <c r="V1026" s="223"/>
      <c r="W1026" s="223"/>
      <c r="X1026" s="223"/>
      <c r="Y1026" s="223"/>
      <c r="Z1026" s="223"/>
    </row>
    <row r="1027">
      <c r="A1027" s="223" t="str">
        <f>IFERROR(__xludf.DUMMYFUNCTION("""COMPUTED_VALUE"""),"Alcohol Professor : Mockups")</f>
        <v>Alcohol Professor : Mockups</v>
      </c>
      <c r="B1027" s="223" t="str">
        <f>IFERROR(__xludf.DUMMYFUNCTION("""COMPUTED_VALUE"""),"Alcohol Professor")</f>
        <v>Alcohol Professor</v>
      </c>
      <c r="C1027" s="223" t="str">
        <f>IFERROR(__xludf.DUMMYFUNCTION("""COMPUTED_VALUE"""),"Mockups")</f>
        <v>Mockups</v>
      </c>
      <c r="D1027" s="316">
        <f>IFERROR(__xludf.DUMMYFUNCTION("""COMPUTED_VALUE"""),45153.0)</f>
        <v>45153</v>
      </c>
      <c r="E1027" s="298">
        <f>IFERROR(__xludf.DUMMYFUNCTION("""COMPUTED_VALUE"""),1963.377)</f>
        <v>1963.377</v>
      </c>
      <c r="F1027" s="298">
        <f>IFERROR(__xludf.DUMMYFUNCTION("""COMPUTED_VALUE"""),73.0376244)</f>
        <v>73.0376244</v>
      </c>
      <c r="G1027" s="298">
        <f>IFERROR(__xludf.DUMMYFUNCTION("""COMPUTED_VALUE"""),0.0)</f>
        <v>0</v>
      </c>
      <c r="H1027" s="223">
        <f>IFERROR(__xludf.DUMMYFUNCTION("""COMPUTED_VALUE"""),1890.3393756)</f>
        <v>1890.339376</v>
      </c>
      <c r="I1027" s="298"/>
      <c r="J1027" s="223" t="str">
        <f>IFERROR(__xludf.DUMMYFUNCTION("""COMPUTED_VALUE"""),"Pre-entered")</f>
        <v>Pre-entered</v>
      </c>
      <c r="K1027" s="317">
        <f>IFERROR(__xludf.DUMMYFUNCTION("""COMPUTED_VALUE"""),2023.08)</f>
        <v>2023.08</v>
      </c>
      <c r="L1027" s="298"/>
      <c r="M1027" s="223"/>
      <c r="N1027" s="223"/>
      <c r="O1027" s="223"/>
      <c r="P1027" s="223"/>
      <c r="Q1027" s="223"/>
      <c r="R1027" s="223"/>
      <c r="S1027" s="223"/>
      <c r="T1027" s="223"/>
      <c r="U1027" s="223"/>
      <c r="V1027" s="223"/>
      <c r="W1027" s="223"/>
      <c r="X1027" s="223"/>
      <c r="Y1027" s="223"/>
      <c r="Z1027" s="223"/>
    </row>
    <row r="1028">
      <c r="A1028" s="223" t="str">
        <f>IFERROR(__xludf.DUMMYFUNCTION("""COMPUTED_VALUE"""),"The Sands : 10 Hour General Support Block")</f>
        <v>The Sands : 10 Hour General Support Block</v>
      </c>
      <c r="B1028" s="223" t="str">
        <f>IFERROR(__xludf.DUMMYFUNCTION("""COMPUTED_VALUE"""),"The Sands")</f>
        <v>The Sands</v>
      </c>
      <c r="C1028" s="223" t="str">
        <f>IFERROR(__xludf.DUMMYFUNCTION("""COMPUTED_VALUE"""),"10 Hour General Support Block")</f>
        <v>10 Hour General Support Block</v>
      </c>
      <c r="D1028" s="316">
        <f>IFERROR(__xludf.DUMMYFUNCTION("""COMPUTED_VALUE"""),45169.0)</f>
        <v>45169</v>
      </c>
      <c r="E1028" s="298">
        <f>IFERROR(__xludf.DUMMYFUNCTION("""COMPUTED_VALUE"""),995.0)</f>
        <v>995</v>
      </c>
      <c r="F1028" s="298"/>
      <c r="G1028" s="298">
        <f>IFERROR(__xludf.DUMMYFUNCTION("""COMPUTED_VALUE"""),0.0)</f>
        <v>0</v>
      </c>
      <c r="H1028" s="223">
        <f>IFERROR(__xludf.DUMMYFUNCTION("""COMPUTED_VALUE"""),995.0)</f>
        <v>995</v>
      </c>
      <c r="I1028" s="298"/>
      <c r="J1028" s="223"/>
      <c r="K1028" s="317">
        <f>IFERROR(__xludf.DUMMYFUNCTION("""COMPUTED_VALUE"""),2023.0)</f>
        <v>2023</v>
      </c>
      <c r="L1028" s="298"/>
      <c r="M1028" s="223"/>
      <c r="N1028" s="223"/>
      <c r="O1028" s="223"/>
      <c r="P1028" s="223"/>
      <c r="Q1028" s="223"/>
      <c r="R1028" s="223"/>
      <c r="S1028" s="223"/>
      <c r="T1028" s="223"/>
      <c r="U1028" s="223"/>
      <c r="V1028" s="223"/>
      <c r="W1028" s="223"/>
      <c r="X1028" s="223"/>
      <c r="Y1028" s="223"/>
      <c r="Z1028" s="223"/>
    </row>
    <row r="1029">
      <c r="A1029" s="223" t="str">
        <f>IFERROR(__xludf.DUMMYFUNCTION("""COMPUTED_VALUE"""),"Community Financials : Monthly Services")</f>
        <v>Community Financials : Monthly Services</v>
      </c>
      <c r="B1029" s="223" t="str">
        <f>IFERROR(__xludf.DUMMYFUNCTION("""COMPUTED_VALUE"""),"Community Financials")</f>
        <v>Community Financials</v>
      </c>
      <c r="C1029" s="223" t="str">
        <f>IFERROR(__xludf.DUMMYFUNCTION("""COMPUTED_VALUE"""),"Monthly Services")</f>
        <v>Monthly Services</v>
      </c>
      <c r="D1029" s="316">
        <f>IFERROR(__xludf.DUMMYFUNCTION("""COMPUTED_VALUE"""),45169.0)</f>
        <v>45169</v>
      </c>
      <c r="E1029" s="298">
        <f>IFERROR(__xludf.DUMMYFUNCTION("""COMPUTED_VALUE"""),1308.9180000000001)</f>
        <v>1308.918</v>
      </c>
      <c r="F1029" s="298">
        <f>IFERROR(__xludf.DUMMYFUNCTION("""COMPUTED_VALUE"""),48.822641399999995)</f>
        <v>48.8226414</v>
      </c>
      <c r="G1029" s="298">
        <f>IFERROR(__xludf.DUMMYFUNCTION("""COMPUTED_VALUE"""),252.01907172000003)</f>
        <v>252.0190717</v>
      </c>
      <c r="H1029" s="223">
        <f>IFERROR(__xludf.DUMMYFUNCTION("""COMPUTED_VALUE"""),1008.07628688)</f>
        <v>1008.076287</v>
      </c>
      <c r="I1029" s="298"/>
      <c r="J1029" s="223" t="str">
        <f>IFERROR(__xludf.DUMMYFUNCTION("""COMPUTED_VALUE"""),"Monthly")</f>
        <v>Monthly</v>
      </c>
      <c r="K1029" s="317">
        <f>IFERROR(__xludf.DUMMYFUNCTION("""COMPUTED_VALUE"""),2023.08)</f>
        <v>2023.08</v>
      </c>
      <c r="L1029" s="298"/>
      <c r="M1029" s="223"/>
      <c r="N1029" s="223"/>
      <c r="O1029" s="223"/>
      <c r="P1029" s="223"/>
      <c r="Q1029" s="223"/>
      <c r="R1029" s="223"/>
      <c r="S1029" s="223"/>
      <c r="T1029" s="223"/>
      <c r="U1029" s="223"/>
      <c r="V1029" s="223"/>
      <c r="W1029" s="223"/>
      <c r="X1029" s="223"/>
      <c r="Y1029" s="223"/>
      <c r="Z1029" s="223"/>
    </row>
    <row r="1030">
      <c r="A1030" s="223" t="str">
        <f>IFERROR(__xludf.DUMMYFUNCTION("""COMPUTED_VALUE"""),"City Dogs and City Kitties : Website")</f>
        <v>City Dogs and City Kitties : Website</v>
      </c>
      <c r="B1030" s="223" t="str">
        <f>IFERROR(__xludf.DUMMYFUNCTION("""COMPUTED_VALUE"""),"City Dogs and City Kitties")</f>
        <v>City Dogs and City Kitties</v>
      </c>
      <c r="C1030" s="223" t="str">
        <f>IFERROR(__xludf.DUMMYFUNCTION("""COMPUTED_VALUE"""),"Website")</f>
        <v>Website</v>
      </c>
      <c r="D1030" s="316">
        <f>IFERROR(__xludf.DUMMYFUNCTION("""COMPUTED_VALUE"""),45169.0)</f>
        <v>45169</v>
      </c>
      <c r="E1030" s="298">
        <f>IFERROR(__xludf.DUMMYFUNCTION("""COMPUTED_VALUE"""),1500.0)</f>
        <v>1500</v>
      </c>
      <c r="F1030" s="298"/>
      <c r="G1030" s="298">
        <f>IFERROR(__xludf.DUMMYFUNCTION("""COMPUTED_VALUE"""),0.0)</f>
        <v>0</v>
      </c>
      <c r="H1030" s="223">
        <f>IFERROR(__xludf.DUMMYFUNCTION("""COMPUTED_VALUE"""),1500.0)</f>
        <v>1500</v>
      </c>
      <c r="I1030" s="298"/>
      <c r="J1030" s="223"/>
      <c r="K1030" s="317">
        <f>IFERROR(__xludf.DUMMYFUNCTION("""COMPUTED_VALUE"""),2023.0)</f>
        <v>2023</v>
      </c>
      <c r="L1030" s="298"/>
      <c r="M1030" s="223"/>
      <c r="N1030" s="223"/>
      <c r="O1030" s="223"/>
      <c r="P1030" s="223"/>
      <c r="Q1030" s="223"/>
      <c r="R1030" s="223"/>
      <c r="S1030" s="223"/>
      <c r="T1030" s="223"/>
      <c r="U1030" s="223"/>
      <c r="V1030" s="223"/>
      <c r="W1030" s="223"/>
      <c r="X1030" s="223"/>
      <c r="Y1030" s="223"/>
      <c r="Z1030" s="223"/>
    </row>
    <row r="1031">
      <c r="A1031" s="223" t="str">
        <f>IFERROR(__xludf.DUMMYFUNCTION("""COMPUTED_VALUE"""),"City Dogs and City Kitties : Website")</f>
        <v>City Dogs and City Kitties : Website</v>
      </c>
      <c r="B1031" s="223" t="str">
        <f>IFERROR(__xludf.DUMMYFUNCTION("""COMPUTED_VALUE"""),"City Dogs and City Kitties")</f>
        <v>City Dogs and City Kitties</v>
      </c>
      <c r="C1031" s="223" t="str">
        <f>IFERROR(__xludf.DUMMYFUNCTION("""COMPUTED_VALUE"""),"Website")</f>
        <v>Website</v>
      </c>
      <c r="D1031" s="316"/>
      <c r="E1031" s="298">
        <f>IFERROR(__xludf.DUMMYFUNCTION("""COMPUTED_VALUE"""),0.0)</f>
        <v>0</v>
      </c>
      <c r="F1031" s="298"/>
      <c r="G1031" s="298">
        <f>IFERROR(__xludf.DUMMYFUNCTION("""COMPUTED_VALUE"""),0.0)</f>
        <v>0</v>
      </c>
      <c r="H1031" s="223">
        <f>IFERROR(__xludf.DUMMYFUNCTION("""COMPUTED_VALUE"""),0.0)</f>
        <v>0</v>
      </c>
      <c r="I1031" s="298"/>
      <c r="J1031" s="223"/>
      <c r="K1031" s="317">
        <f>IFERROR(__xludf.DUMMYFUNCTION("""COMPUTED_VALUE"""),1899.0)</f>
        <v>1899</v>
      </c>
      <c r="L1031" s="298"/>
      <c r="M1031" s="223"/>
      <c r="N1031" s="223"/>
      <c r="O1031" s="223"/>
      <c r="P1031" s="223"/>
      <c r="Q1031" s="223"/>
      <c r="R1031" s="223"/>
      <c r="S1031" s="223"/>
      <c r="T1031" s="223"/>
      <c r="U1031" s="223"/>
      <c r="V1031" s="223"/>
      <c r="W1031" s="223"/>
      <c r="X1031" s="223"/>
      <c r="Y1031" s="223"/>
      <c r="Z1031" s="223"/>
    </row>
    <row r="1032">
      <c r="A1032" s="223" t="str">
        <f>IFERROR(__xludf.DUMMYFUNCTION("""COMPUTED_VALUE"""),"Anook Athletics : Monthly Services")</f>
        <v>Anook Athletics : Monthly Services</v>
      </c>
      <c r="B1032" s="223" t="str">
        <f>IFERROR(__xludf.DUMMYFUNCTION("""COMPUTED_VALUE"""),"Anook Athletics")</f>
        <v>Anook Athletics</v>
      </c>
      <c r="C1032" s="223" t="str">
        <f>IFERROR(__xludf.DUMMYFUNCTION("""COMPUTED_VALUE"""),"Monthly Services")</f>
        <v>Monthly Services</v>
      </c>
      <c r="D1032" s="316">
        <f>IFERROR(__xludf.DUMMYFUNCTION("""COMPUTED_VALUE"""),45169.0)</f>
        <v>45169</v>
      </c>
      <c r="E1032" s="298">
        <f>IFERROR(__xludf.DUMMYFUNCTION("""COMPUTED_VALUE"""),880.0)</f>
        <v>880</v>
      </c>
      <c r="F1032" s="298"/>
      <c r="G1032" s="298">
        <f>IFERROR(__xludf.DUMMYFUNCTION("""COMPUTED_VALUE"""),0.0)</f>
        <v>0</v>
      </c>
      <c r="H1032" s="223">
        <f>IFERROR(__xludf.DUMMYFUNCTION("""COMPUTED_VALUE"""),880.0)</f>
        <v>880</v>
      </c>
      <c r="I1032" s="298"/>
      <c r="J1032" s="223" t="str">
        <f>IFERROR(__xludf.DUMMYFUNCTION("""COMPUTED_VALUE"""),"Monthly")</f>
        <v>Monthly</v>
      </c>
      <c r="K1032" s="317">
        <f>IFERROR(__xludf.DUMMYFUNCTION("""COMPUTED_VALUE"""),2023.08)</f>
        <v>2023.08</v>
      </c>
      <c r="L1032" s="298"/>
      <c r="M1032" s="223"/>
      <c r="N1032" s="223"/>
      <c r="O1032" s="223"/>
      <c r="P1032" s="223"/>
      <c r="Q1032" s="223"/>
      <c r="R1032" s="223"/>
      <c r="S1032" s="223"/>
      <c r="T1032" s="223"/>
      <c r="U1032" s="223"/>
      <c r="V1032" s="223"/>
      <c r="W1032" s="223"/>
      <c r="X1032" s="223"/>
      <c r="Y1032" s="223"/>
      <c r="Z1032" s="223"/>
    </row>
    <row r="1033">
      <c r="A1033" s="223" t="str">
        <f>IFERROR(__xludf.DUMMYFUNCTION("""COMPUTED_VALUE"""),"Availed Technologies : Monthly Services")</f>
        <v>Availed Technologies : Monthly Services</v>
      </c>
      <c r="B1033" s="223" t="str">
        <f>IFERROR(__xludf.DUMMYFUNCTION("""COMPUTED_VALUE"""),"Availed Technologies")</f>
        <v>Availed Technologies</v>
      </c>
      <c r="C1033" s="223" t="str">
        <f>IFERROR(__xludf.DUMMYFUNCTION("""COMPUTED_VALUE"""),"Monthly Services")</f>
        <v>Monthly Services</v>
      </c>
      <c r="D1033" s="316">
        <f>IFERROR(__xludf.DUMMYFUNCTION("""COMPUTED_VALUE"""),45169.0)</f>
        <v>45169</v>
      </c>
      <c r="E1033" s="298">
        <f>IFERROR(__xludf.DUMMYFUNCTION("""COMPUTED_VALUE"""),750.0)</f>
        <v>750</v>
      </c>
      <c r="F1033" s="298"/>
      <c r="G1033" s="298">
        <f>IFERROR(__xludf.DUMMYFUNCTION("""COMPUTED_VALUE"""),0.0)</f>
        <v>0</v>
      </c>
      <c r="H1033" s="223">
        <f>IFERROR(__xludf.DUMMYFUNCTION("""COMPUTED_VALUE"""),750.0)</f>
        <v>750</v>
      </c>
      <c r="I1033" s="298"/>
      <c r="J1033" s="223" t="str">
        <f>IFERROR(__xludf.DUMMYFUNCTION("""COMPUTED_VALUE"""),"Monthly")</f>
        <v>Monthly</v>
      </c>
      <c r="K1033" s="317">
        <f>IFERROR(__xludf.DUMMYFUNCTION("""COMPUTED_VALUE"""),2023.08)</f>
        <v>2023.08</v>
      </c>
      <c r="L1033" s="298"/>
      <c r="M1033" s="223"/>
      <c r="N1033" s="223"/>
      <c r="O1033" s="223"/>
      <c r="P1033" s="223"/>
      <c r="Q1033" s="223"/>
      <c r="R1033" s="223"/>
      <c r="S1033" s="223"/>
      <c r="T1033" s="223"/>
      <c r="U1033" s="223"/>
      <c r="V1033" s="223"/>
      <c r="W1033" s="223"/>
      <c r="X1033" s="223"/>
      <c r="Y1033" s="223"/>
      <c r="Z1033" s="223"/>
    </row>
    <row r="1034">
      <c r="A1034" s="223" t="str">
        <f>IFERROR(__xludf.DUMMYFUNCTION("""COMPUTED_VALUE"""),"Hastings House : Monthly Services")</f>
        <v>Hastings House : Monthly Services</v>
      </c>
      <c r="B1034" s="223" t="str">
        <f>IFERROR(__xludf.DUMMYFUNCTION("""COMPUTED_VALUE"""),"Hastings House")</f>
        <v>Hastings House</v>
      </c>
      <c r="C1034" s="223" t="str">
        <f>IFERROR(__xludf.DUMMYFUNCTION("""COMPUTED_VALUE"""),"Monthly Services")</f>
        <v>Monthly Services</v>
      </c>
      <c r="D1034" s="316">
        <f>IFERROR(__xludf.DUMMYFUNCTION("""COMPUTED_VALUE"""),45169.0)</f>
        <v>45169</v>
      </c>
      <c r="E1034" s="298">
        <f>IFERROR(__xludf.DUMMYFUNCTION("""COMPUTED_VALUE"""),1500.0)</f>
        <v>1500</v>
      </c>
      <c r="F1034" s="298">
        <f>IFERROR(__xludf.DUMMYFUNCTION("""COMPUTED_VALUE"""),46.67)</f>
        <v>46.67</v>
      </c>
      <c r="G1034" s="298">
        <f>IFERROR(__xludf.DUMMYFUNCTION("""COMPUTED_VALUE"""),217.99949999999998)</f>
        <v>217.9995</v>
      </c>
      <c r="H1034" s="223">
        <f>IFERROR(__xludf.DUMMYFUNCTION("""COMPUTED_VALUE"""),1235.3305)</f>
        <v>1235.3305</v>
      </c>
      <c r="I1034" s="298"/>
      <c r="J1034" s="223" t="str">
        <f>IFERROR(__xludf.DUMMYFUNCTION("""COMPUTED_VALUE"""),"Monthly")</f>
        <v>Monthly</v>
      </c>
      <c r="K1034" s="317">
        <f>IFERROR(__xludf.DUMMYFUNCTION("""COMPUTED_VALUE"""),2023.08)</f>
        <v>2023.08</v>
      </c>
      <c r="L1034" s="298"/>
      <c r="M1034" s="223"/>
      <c r="N1034" s="223"/>
      <c r="O1034" s="223"/>
      <c r="P1034" s="223"/>
      <c r="Q1034" s="223"/>
      <c r="R1034" s="223"/>
      <c r="S1034" s="223"/>
      <c r="T1034" s="223"/>
      <c r="U1034" s="223"/>
      <c r="V1034" s="223"/>
      <c r="W1034" s="223"/>
      <c r="X1034" s="223"/>
      <c r="Y1034" s="223"/>
      <c r="Z1034" s="223"/>
    </row>
    <row r="1035">
      <c r="A1035" s="223" t="str">
        <f>IFERROR(__xludf.DUMMYFUNCTION("""COMPUTED_VALUE"""),"HSJ Lawyers")</f>
        <v>HSJ Lawyers</v>
      </c>
      <c r="B1035" s="223"/>
      <c r="C1035" s="223"/>
      <c r="D1035" s="316">
        <f>IFERROR(__xludf.DUMMYFUNCTION("""COMPUTED_VALUE"""),45169.0)</f>
        <v>45169</v>
      </c>
      <c r="E1035" s="298">
        <f>IFERROR(__xludf.DUMMYFUNCTION("""COMPUTED_VALUE"""),860.0)</f>
        <v>860</v>
      </c>
      <c r="F1035" s="298"/>
      <c r="G1035" s="298">
        <f>IFERROR(__xludf.DUMMYFUNCTION("""COMPUTED_VALUE"""),0.0)</f>
        <v>0</v>
      </c>
      <c r="H1035" s="223">
        <f>IFERROR(__xludf.DUMMYFUNCTION("""COMPUTED_VALUE"""),860.0)</f>
        <v>860</v>
      </c>
      <c r="I1035" s="298"/>
      <c r="J1035" s="223" t="str">
        <f>IFERROR(__xludf.DUMMYFUNCTION("""COMPUTED_VALUE"""),"Monthly")</f>
        <v>Monthly</v>
      </c>
      <c r="K1035" s="317">
        <f>IFERROR(__xludf.DUMMYFUNCTION("""COMPUTED_VALUE"""),2023.08)</f>
        <v>2023.08</v>
      </c>
      <c r="L1035" s="298"/>
      <c r="M1035" s="223"/>
      <c r="N1035" s="223"/>
      <c r="O1035" s="223"/>
      <c r="P1035" s="223"/>
      <c r="Q1035" s="223"/>
      <c r="R1035" s="223"/>
      <c r="S1035" s="223"/>
      <c r="T1035" s="223"/>
      <c r="U1035" s="223"/>
      <c r="V1035" s="223"/>
      <c r="W1035" s="223"/>
      <c r="X1035" s="223"/>
      <c r="Y1035" s="223"/>
      <c r="Z1035" s="223"/>
    </row>
    <row r="1036">
      <c r="A1036" s="223" t="str">
        <f>IFERROR(__xludf.DUMMYFUNCTION("""COMPUTED_VALUE"""),"MortgagePal : Monthly Services")</f>
        <v>MortgagePal : Monthly Services</v>
      </c>
      <c r="B1036" s="223" t="str">
        <f>IFERROR(__xludf.DUMMYFUNCTION("""COMPUTED_VALUE"""),"MortgagePal")</f>
        <v>MortgagePal</v>
      </c>
      <c r="C1036" s="223" t="str">
        <f>IFERROR(__xludf.DUMMYFUNCTION("""COMPUTED_VALUE"""),"Monthly Services")</f>
        <v>Monthly Services</v>
      </c>
      <c r="D1036" s="316">
        <f>IFERROR(__xludf.DUMMYFUNCTION("""COMPUTED_VALUE"""),45169.0)</f>
        <v>45169</v>
      </c>
      <c r="E1036" s="298">
        <f>IFERROR(__xludf.DUMMYFUNCTION("""COMPUTED_VALUE"""),500.0)</f>
        <v>500</v>
      </c>
      <c r="F1036" s="298"/>
      <c r="G1036" s="298">
        <f>IFERROR(__xludf.DUMMYFUNCTION("""COMPUTED_VALUE"""),0.0)</f>
        <v>0</v>
      </c>
      <c r="H1036" s="223">
        <f>IFERROR(__xludf.DUMMYFUNCTION("""COMPUTED_VALUE"""),500.0)</f>
        <v>500</v>
      </c>
      <c r="I1036" s="298"/>
      <c r="J1036" s="223" t="str">
        <f>IFERROR(__xludf.DUMMYFUNCTION("""COMPUTED_VALUE"""),"Monthly")</f>
        <v>Monthly</v>
      </c>
      <c r="K1036" s="317">
        <f>IFERROR(__xludf.DUMMYFUNCTION("""COMPUTED_VALUE"""),2023.08)</f>
        <v>2023.08</v>
      </c>
      <c r="L1036" s="298"/>
      <c r="M1036" s="223"/>
      <c r="N1036" s="223"/>
      <c r="O1036" s="223"/>
      <c r="P1036" s="223"/>
      <c r="Q1036" s="223"/>
      <c r="R1036" s="223"/>
      <c r="S1036" s="223"/>
      <c r="T1036" s="223"/>
      <c r="U1036" s="223"/>
      <c r="V1036" s="223"/>
      <c r="W1036" s="223"/>
      <c r="X1036" s="223"/>
      <c r="Y1036" s="223"/>
      <c r="Z1036" s="223"/>
    </row>
    <row r="1037">
      <c r="A1037" s="223" t="str">
        <f>IFERROR(__xludf.DUMMYFUNCTION("""COMPUTED_VALUE"""),"PMDI : Monthly Services")</f>
        <v>PMDI : Monthly Services</v>
      </c>
      <c r="B1037" s="223" t="str">
        <f>IFERROR(__xludf.DUMMYFUNCTION("""COMPUTED_VALUE"""),"PMDI")</f>
        <v>PMDI</v>
      </c>
      <c r="C1037" s="223" t="str">
        <f>IFERROR(__xludf.DUMMYFUNCTION("""COMPUTED_VALUE"""),"Monthly Services")</f>
        <v>Monthly Services</v>
      </c>
      <c r="D1037" s="316">
        <f>IFERROR(__xludf.DUMMYFUNCTION("""COMPUTED_VALUE"""),45169.0)</f>
        <v>45169</v>
      </c>
      <c r="E1037" s="298">
        <f>IFERROR(__xludf.DUMMYFUNCTION("""COMPUTED_VALUE"""),412.5)</f>
        <v>412.5</v>
      </c>
      <c r="F1037" s="298"/>
      <c r="G1037" s="298">
        <f>IFERROR(__xludf.DUMMYFUNCTION("""COMPUTED_VALUE"""),0.0)</f>
        <v>0</v>
      </c>
      <c r="H1037" s="223">
        <f>IFERROR(__xludf.DUMMYFUNCTION("""COMPUTED_VALUE"""),412.5)</f>
        <v>412.5</v>
      </c>
      <c r="I1037" s="298"/>
      <c r="J1037" s="223" t="str">
        <f>IFERROR(__xludf.DUMMYFUNCTION("""COMPUTED_VALUE"""),"Monthly")</f>
        <v>Monthly</v>
      </c>
      <c r="K1037" s="317">
        <f>IFERROR(__xludf.DUMMYFUNCTION("""COMPUTED_VALUE"""),2023.08)</f>
        <v>2023.08</v>
      </c>
      <c r="L1037" s="298"/>
      <c r="M1037" s="223"/>
      <c r="N1037" s="223"/>
      <c r="O1037" s="223"/>
      <c r="P1037" s="223"/>
      <c r="Q1037" s="223"/>
      <c r="R1037" s="223"/>
      <c r="S1037" s="223"/>
      <c r="T1037" s="223"/>
      <c r="U1037" s="223"/>
      <c r="V1037" s="223"/>
      <c r="W1037" s="223"/>
      <c r="X1037" s="223"/>
      <c r="Y1037" s="223"/>
      <c r="Z1037" s="223"/>
    </row>
    <row r="1038">
      <c r="A1038" s="223" t="str">
        <f>IFERROR(__xludf.DUMMYFUNCTION("""COMPUTED_VALUE"""),"Service First : Monthly Services")</f>
        <v>Service First : Monthly Services</v>
      </c>
      <c r="B1038" s="223" t="str">
        <f>IFERROR(__xludf.DUMMYFUNCTION("""COMPUTED_VALUE"""),"Service First")</f>
        <v>Service First</v>
      </c>
      <c r="C1038" s="223" t="str">
        <f>IFERROR(__xludf.DUMMYFUNCTION("""COMPUTED_VALUE"""),"Monthly Services")</f>
        <v>Monthly Services</v>
      </c>
      <c r="D1038" s="316">
        <f>IFERROR(__xludf.DUMMYFUNCTION("""COMPUTED_VALUE"""),45169.0)</f>
        <v>45169</v>
      </c>
      <c r="E1038" s="298">
        <f>IFERROR(__xludf.DUMMYFUNCTION("""COMPUTED_VALUE"""),330.0)</f>
        <v>330</v>
      </c>
      <c r="F1038" s="298">
        <f>IFERROR(__xludf.DUMMYFUNCTION("""COMPUTED_VALUE"""),10.27)</f>
        <v>10.27</v>
      </c>
      <c r="G1038" s="298">
        <f>IFERROR(__xludf.DUMMYFUNCTION("""COMPUTED_VALUE"""),0.0)</f>
        <v>0</v>
      </c>
      <c r="H1038" s="223">
        <f>IFERROR(__xludf.DUMMYFUNCTION("""COMPUTED_VALUE"""),319.73)</f>
        <v>319.73</v>
      </c>
      <c r="I1038" s="298"/>
      <c r="J1038" s="223" t="str">
        <f>IFERROR(__xludf.DUMMYFUNCTION("""COMPUTED_VALUE"""),"Monthly")</f>
        <v>Monthly</v>
      </c>
      <c r="K1038" s="317">
        <f>IFERROR(__xludf.DUMMYFUNCTION("""COMPUTED_VALUE"""),2023.08)</f>
        <v>2023.08</v>
      </c>
      <c r="L1038" s="298"/>
      <c r="M1038" s="223"/>
      <c r="N1038" s="223"/>
      <c r="O1038" s="223"/>
      <c r="P1038" s="223"/>
      <c r="Q1038" s="223"/>
      <c r="R1038" s="223"/>
      <c r="S1038" s="223"/>
      <c r="T1038" s="223"/>
      <c r="U1038" s="223"/>
      <c r="V1038" s="223"/>
      <c r="W1038" s="223"/>
      <c r="X1038" s="223"/>
      <c r="Y1038" s="223"/>
      <c r="Z1038" s="223"/>
    </row>
    <row r="1039">
      <c r="A1039" s="223" t="str">
        <f>IFERROR(__xludf.DUMMYFUNCTION("""COMPUTED_VALUE"""),"Spraggs : Monthly Services")</f>
        <v>Spraggs : Monthly Services</v>
      </c>
      <c r="B1039" s="223" t="str">
        <f>IFERROR(__xludf.DUMMYFUNCTION("""COMPUTED_VALUE"""),"Spraggs")</f>
        <v>Spraggs</v>
      </c>
      <c r="C1039" s="223" t="str">
        <f>IFERROR(__xludf.DUMMYFUNCTION("""COMPUTED_VALUE"""),"Monthly Services")</f>
        <v>Monthly Services</v>
      </c>
      <c r="D1039" s="316">
        <f>IFERROR(__xludf.DUMMYFUNCTION("""COMPUTED_VALUE"""),45169.0)</f>
        <v>45169</v>
      </c>
      <c r="E1039" s="298">
        <f>IFERROR(__xludf.DUMMYFUNCTION("""COMPUTED_VALUE"""),2500.0)</f>
        <v>2500</v>
      </c>
      <c r="F1039" s="298"/>
      <c r="G1039" s="298">
        <f>IFERROR(__xludf.DUMMYFUNCTION("""COMPUTED_VALUE"""),0.0)</f>
        <v>0</v>
      </c>
      <c r="H1039" s="223">
        <f>IFERROR(__xludf.DUMMYFUNCTION("""COMPUTED_VALUE"""),2500.0)</f>
        <v>2500</v>
      </c>
      <c r="I1039" s="298"/>
      <c r="J1039" s="223" t="str">
        <f>IFERROR(__xludf.DUMMYFUNCTION("""COMPUTED_VALUE"""),"Monthly")</f>
        <v>Monthly</v>
      </c>
      <c r="K1039" s="317">
        <f>IFERROR(__xludf.DUMMYFUNCTION("""COMPUTED_VALUE"""),2023.08)</f>
        <v>2023.08</v>
      </c>
      <c r="L1039" s="298"/>
      <c r="M1039" s="223"/>
      <c r="N1039" s="223"/>
      <c r="O1039" s="223"/>
      <c r="P1039" s="223"/>
      <c r="Q1039" s="223"/>
      <c r="R1039" s="223"/>
      <c r="S1039" s="223"/>
      <c r="T1039" s="223"/>
      <c r="U1039" s="223"/>
      <c r="V1039" s="223"/>
      <c r="W1039" s="223"/>
      <c r="X1039" s="223"/>
      <c r="Y1039" s="223"/>
      <c r="Z1039" s="223"/>
    </row>
    <row r="1040">
      <c r="A1040" s="223" t="str">
        <f>IFERROR(__xludf.DUMMYFUNCTION("""COMPUTED_VALUE"""),"TisBest : Monthly Services")</f>
        <v>TisBest : Monthly Services</v>
      </c>
      <c r="B1040" s="223" t="str">
        <f>IFERROR(__xludf.DUMMYFUNCTION("""COMPUTED_VALUE"""),"TisBest")</f>
        <v>TisBest</v>
      </c>
      <c r="C1040" s="223" t="str">
        <f>IFERROR(__xludf.DUMMYFUNCTION("""COMPUTED_VALUE"""),"Monthly Services")</f>
        <v>Monthly Services</v>
      </c>
      <c r="D1040" s="316">
        <f>IFERROR(__xludf.DUMMYFUNCTION("""COMPUTED_VALUE"""),45169.0)</f>
        <v>45169</v>
      </c>
      <c r="E1040" s="298">
        <f>IFERROR(__xludf.DUMMYFUNCTION("""COMPUTED_VALUE"""),250.0)</f>
        <v>250</v>
      </c>
      <c r="F1040" s="298"/>
      <c r="G1040" s="298">
        <f>IFERROR(__xludf.DUMMYFUNCTION("""COMPUTED_VALUE"""),50.0)</f>
        <v>50</v>
      </c>
      <c r="H1040" s="223">
        <f>IFERROR(__xludf.DUMMYFUNCTION("""COMPUTED_VALUE"""),200.0)</f>
        <v>200</v>
      </c>
      <c r="I1040" s="298"/>
      <c r="J1040" s="223" t="str">
        <f>IFERROR(__xludf.DUMMYFUNCTION("""COMPUTED_VALUE"""),"Monthly")</f>
        <v>Monthly</v>
      </c>
      <c r="K1040" s="317">
        <f>IFERROR(__xludf.DUMMYFUNCTION("""COMPUTED_VALUE"""),2023.08)</f>
        <v>2023.08</v>
      </c>
      <c r="L1040" s="298"/>
      <c r="M1040" s="223"/>
      <c r="N1040" s="223"/>
      <c r="O1040" s="223"/>
      <c r="P1040" s="223"/>
      <c r="Q1040" s="223"/>
      <c r="R1040" s="223"/>
      <c r="S1040" s="223"/>
      <c r="T1040" s="223"/>
      <c r="U1040" s="223"/>
      <c r="V1040" s="223"/>
      <c r="W1040" s="223"/>
      <c r="X1040" s="223"/>
      <c r="Y1040" s="223"/>
      <c r="Z1040" s="223"/>
    </row>
    <row r="1041">
      <c r="A1041" s="223" t="str">
        <f>IFERROR(__xludf.DUMMYFUNCTION("""COMPUTED_VALUE"""),"Tuscany : Monthly Services")</f>
        <v>Tuscany : Monthly Services</v>
      </c>
      <c r="B1041" s="223" t="str">
        <f>IFERROR(__xludf.DUMMYFUNCTION("""COMPUTED_VALUE"""),"Tuscany")</f>
        <v>Tuscany</v>
      </c>
      <c r="C1041" s="223" t="str">
        <f>IFERROR(__xludf.DUMMYFUNCTION("""COMPUTED_VALUE"""),"Monthly Services")</f>
        <v>Monthly Services</v>
      </c>
      <c r="D1041" s="316">
        <f>IFERROR(__xludf.DUMMYFUNCTION("""COMPUTED_VALUE"""),45169.0)</f>
        <v>45169</v>
      </c>
      <c r="E1041" s="298">
        <f>IFERROR(__xludf.DUMMYFUNCTION("""COMPUTED_VALUE"""),2500.0)</f>
        <v>2500</v>
      </c>
      <c r="F1041" s="298"/>
      <c r="G1041" s="298">
        <f>IFERROR(__xludf.DUMMYFUNCTION("""COMPUTED_VALUE"""),0.0)</f>
        <v>0</v>
      </c>
      <c r="H1041" s="223">
        <f>IFERROR(__xludf.DUMMYFUNCTION("""COMPUTED_VALUE"""),2500.0)</f>
        <v>2500</v>
      </c>
      <c r="I1041" s="298"/>
      <c r="J1041" s="223" t="str">
        <f>IFERROR(__xludf.DUMMYFUNCTION("""COMPUTED_VALUE"""),"Monthly")</f>
        <v>Monthly</v>
      </c>
      <c r="K1041" s="317">
        <f>IFERROR(__xludf.DUMMYFUNCTION("""COMPUTED_VALUE"""),2023.08)</f>
        <v>2023.08</v>
      </c>
      <c r="L1041" s="298"/>
      <c r="M1041" s="223"/>
      <c r="N1041" s="223"/>
      <c r="O1041" s="223"/>
      <c r="P1041" s="223"/>
      <c r="Q1041" s="223"/>
      <c r="R1041" s="223"/>
      <c r="S1041" s="223"/>
      <c r="T1041" s="223"/>
      <c r="U1041" s="223"/>
      <c r="V1041" s="223"/>
      <c r="W1041" s="223"/>
      <c r="X1041" s="223"/>
      <c r="Y1041" s="223"/>
      <c r="Z1041" s="223"/>
    </row>
    <row r="1042">
      <c r="A1042" s="223" t="str">
        <f>IFERROR(__xludf.DUMMYFUNCTION("""COMPUTED_VALUE"""),"Venetian : Monthly Services")</f>
        <v>Venetian : Monthly Services</v>
      </c>
      <c r="B1042" s="223" t="str">
        <f>IFERROR(__xludf.DUMMYFUNCTION("""COMPUTED_VALUE"""),"Venetian")</f>
        <v>Venetian</v>
      </c>
      <c r="C1042" s="223" t="str">
        <f>IFERROR(__xludf.DUMMYFUNCTION("""COMPUTED_VALUE"""),"Monthly Services")</f>
        <v>Monthly Services</v>
      </c>
      <c r="D1042" s="316">
        <f>IFERROR(__xludf.DUMMYFUNCTION("""COMPUTED_VALUE"""),45169.0)</f>
        <v>45169</v>
      </c>
      <c r="E1042" s="298">
        <f>IFERROR(__xludf.DUMMYFUNCTION("""COMPUTED_VALUE"""),2500.0)</f>
        <v>2500</v>
      </c>
      <c r="F1042" s="298"/>
      <c r="G1042" s="298">
        <f>IFERROR(__xludf.DUMMYFUNCTION("""COMPUTED_VALUE"""),0.0)</f>
        <v>0</v>
      </c>
      <c r="H1042" s="223">
        <f>IFERROR(__xludf.DUMMYFUNCTION("""COMPUTED_VALUE"""),2500.0)</f>
        <v>2500</v>
      </c>
      <c r="I1042" s="298"/>
      <c r="J1042" s="223" t="str">
        <f>IFERROR(__xludf.DUMMYFUNCTION("""COMPUTED_VALUE"""),"Monthly")</f>
        <v>Monthly</v>
      </c>
      <c r="K1042" s="317">
        <f>IFERROR(__xludf.DUMMYFUNCTION("""COMPUTED_VALUE"""),2023.08)</f>
        <v>2023.08</v>
      </c>
      <c r="L1042" s="298"/>
      <c r="M1042" s="223"/>
      <c r="N1042" s="223"/>
      <c r="O1042" s="223"/>
      <c r="P1042" s="223"/>
      <c r="Q1042" s="223"/>
      <c r="R1042" s="223"/>
      <c r="S1042" s="223"/>
      <c r="T1042" s="223"/>
      <c r="U1042" s="223"/>
      <c r="V1042" s="223"/>
      <c r="W1042" s="223"/>
      <c r="X1042" s="223"/>
      <c r="Y1042" s="223"/>
      <c r="Z1042" s="223"/>
    </row>
    <row r="1043">
      <c r="A1043" s="223" t="str">
        <f>IFERROR(__xludf.DUMMYFUNCTION("""COMPUTED_VALUE"""),"Wallack's Art Supplies : Monthly Services")</f>
        <v>Wallack's Art Supplies : Monthly Services</v>
      </c>
      <c r="B1043" s="223" t="str">
        <f>IFERROR(__xludf.DUMMYFUNCTION("""COMPUTED_VALUE"""),"Wallack's Art Supplies")</f>
        <v>Wallack's Art Supplies</v>
      </c>
      <c r="C1043" s="223" t="str">
        <f>IFERROR(__xludf.DUMMYFUNCTION("""COMPUTED_VALUE"""),"Monthly Services")</f>
        <v>Monthly Services</v>
      </c>
      <c r="D1043" s="316">
        <f>IFERROR(__xludf.DUMMYFUNCTION("""COMPUTED_VALUE"""),45169.0)</f>
        <v>45169</v>
      </c>
      <c r="E1043" s="298">
        <f>IFERROR(__xludf.DUMMYFUNCTION("""COMPUTED_VALUE"""),770.0)</f>
        <v>770</v>
      </c>
      <c r="F1043" s="298"/>
      <c r="G1043" s="298">
        <f>IFERROR(__xludf.DUMMYFUNCTION("""COMPUTED_VALUE"""),0.0)</f>
        <v>0</v>
      </c>
      <c r="H1043" s="223">
        <f>IFERROR(__xludf.DUMMYFUNCTION("""COMPUTED_VALUE"""),770.0)</f>
        <v>770</v>
      </c>
      <c r="I1043" s="298"/>
      <c r="J1043" s="223" t="str">
        <f>IFERROR(__xludf.DUMMYFUNCTION("""COMPUTED_VALUE"""),"Monthly")</f>
        <v>Monthly</v>
      </c>
      <c r="K1043" s="317">
        <f>IFERROR(__xludf.DUMMYFUNCTION("""COMPUTED_VALUE"""),2023.08)</f>
        <v>2023.08</v>
      </c>
      <c r="L1043" s="298"/>
      <c r="M1043" s="223"/>
      <c r="N1043" s="223"/>
      <c r="O1043" s="223"/>
      <c r="P1043" s="223"/>
      <c r="Q1043" s="223"/>
      <c r="R1043" s="223"/>
      <c r="S1043" s="223"/>
      <c r="T1043" s="223"/>
      <c r="U1043" s="223"/>
      <c r="V1043" s="223"/>
      <c r="W1043" s="223"/>
      <c r="X1043" s="223"/>
      <c r="Y1043" s="223"/>
      <c r="Z1043" s="223"/>
    </row>
    <row r="1044">
      <c r="A1044" s="223" t="str">
        <f>IFERROR(__xludf.DUMMYFUNCTION("""COMPUTED_VALUE"""),"Howard Fine Jewellers : Ongoing PPC and SEO Support")</f>
        <v>Howard Fine Jewellers : Ongoing PPC and SEO Support</v>
      </c>
      <c r="B1044" s="223" t="str">
        <f>IFERROR(__xludf.DUMMYFUNCTION("""COMPUTED_VALUE"""),"Howard Fine Jewellers")</f>
        <v>Howard Fine Jewellers</v>
      </c>
      <c r="C1044" s="223" t="str">
        <f>IFERROR(__xludf.DUMMYFUNCTION("""COMPUTED_VALUE"""),"Ongoing PPC and SEO Support")</f>
        <v>Ongoing PPC and SEO Support</v>
      </c>
      <c r="D1044" s="316">
        <f>IFERROR(__xludf.DUMMYFUNCTION("""COMPUTED_VALUE"""),45169.0)</f>
        <v>45169</v>
      </c>
      <c r="E1044" s="298">
        <f>IFERROR(__xludf.DUMMYFUNCTION("""COMPUTED_VALUE"""),1650.0)</f>
        <v>1650</v>
      </c>
      <c r="F1044" s="298">
        <f>IFERROR(__xludf.DUMMYFUNCTION("""COMPUTED_VALUE"""),55.25)</f>
        <v>55.25</v>
      </c>
      <c r="G1044" s="298">
        <f>IFERROR(__xludf.DUMMYFUNCTION("""COMPUTED_VALUE"""),0.0)</f>
        <v>0</v>
      </c>
      <c r="H1044" s="223">
        <f>IFERROR(__xludf.DUMMYFUNCTION("""COMPUTED_VALUE"""),1594.75)</f>
        <v>1594.75</v>
      </c>
      <c r="I1044" s="298"/>
      <c r="J1044" s="223" t="str">
        <f>IFERROR(__xludf.DUMMYFUNCTION("""COMPUTED_VALUE"""),"Monthly")</f>
        <v>Monthly</v>
      </c>
      <c r="K1044" s="317">
        <f>IFERROR(__xludf.DUMMYFUNCTION("""COMPUTED_VALUE"""),2023.08)</f>
        <v>2023.08</v>
      </c>
      <c r="L1044" s="298"/>
      <c r="M1044" s="223"/>
      <c r="N1044" s="223"/>
      <c r="O1044" s="223"/>
      <c r="P1044" s="223"/>
      <c r="Q1044" s="223"/>
      <c r="R1044" s="223"/>
      <c r="S1044" s="223"/>
      <c r="T1044" s="223"/>
      <c r="U1044" s="223"/>
      <c r="V1044" s="223"/>
      <c r="W1044" s="223"/>
      <c r="X1044" s="223"/>
      <c r="Y1044" s="223"/>
      <c r="Z1044" s="223"/>
    </row>
    <row r="1045">
      <c r="A1045" s="223" t="str">
        <f>IFERROR(__xludf.DUMMYFUNCTION("""COMPUTED_VALUE"""),"Crisp Media : Monthly Genus Google PPC Mgmt")</f>
        <v>Crisp Media : Monthly Genus Google PPC Mgmt</v>
      </c>
      <c r="B1045" s="223" t="str">
        <f>IFERROR(__xludf.DUMMYFUNCTION("""COMPUTED_VALUE"""),"Crisp Media")</f>
        <v>Crisp Media</v>
      </c>
      <c r="C1045" s="223" t="str">
        <f>IFERROR(__xludf.DUMMYFUNCTION("""COMPUTED_VALUE"""),"Monthly Genus Google PPC Mgmt")</f>
        <v>Monthly Genus Google PPC Mgmt</v>
      </c>
      <c r="D1045" s="316">
        <f>IFERROR(__xludf.DUMMYFUNCTION("""COMPUTED_VALUE"""),45169.0)</f>
        <v>45169</v>
      </c>
      <c r="E1045" s="298">
        <f>IFERROR(__xludf.DUMMYFUNCTION("""COMPUTED_VALUE"""),600.0)</f>
        <v>600</v>
      </c>
      <c r="F1045" s="298">
        <f>IFERROR(__xludf.DUMMYFUNCTION("""COMPUTED_VALUE"""),18.67)</f>
        <v>18.67</v>
      </c>
      <c r="G1045" s="298">
        <f>IFERROR(__xludf.DUMMYFUNCTION("""COMPUTED_VALUE"""),0.0)</f>
        <v>0</v>
      </c>
      <c r="H1045" s="223">
        <f>IFERROR(__xludf.DUMMYFUNCTION("""COMPUTED_VALUE"""),581.33)</f>
        <v>581.33</v>
      </c>
      <c r="I1045" s="298"/>
      <c r="J1045" s="223" t="str">
        <f>IFERROR(__xludf.DUMMYFUNCTION("""COMPUTED_VALUE"""),"Monthly")</f>
        <v>Monthly</v>
      </c>
      <c r="K1045" s="317">
        <f>IFERROR(__xludf.DUMMYFUNCTION("""COMPUTED_VALUE"""),2023.08)</f>
        <v>2023.08</v>
      </c>
      <c r="L1045" s="298"/>
      <c r="M1045" s="223"/>
      <c r="N1045" s="223"/>
      <c r="O1045" s="223"/>
      <c r="P1045" s="223"/>
      <c r="Q1045" s="223"/>
      <c r="R1045" s="223"/>
      <c r="S1045" s="223"/>
      <c r="T1045" s="223"/>
      <c r="U1045" s="223"/>
      <c r="V1045" s="223"/>
      <c r="W1045" s="223"/>
      <c r="X1045" s="223"/>
      <c r="Y1045" s="223"/>
      <c r="Z1045" s="223"/>
    </row>
    <row r="1046">
      <c r="A1046" s="223" t="str">
        <f>IFERROR(__xludf.DUMMYFUNCTION("""COMPUTED_VALUE"""),"Big Hammer Wines : Monthly PPC")</f>
        <v>Big Hammer Wines : Monthly PPC</v>
      </c>
      <c r="B1046" s="223" t="str">
        <f>IFERROR(__xludf.DUMMYFUNCTION("""COMPUTED_VALUE"""),"Big Hammer Wines")</f>
        <v>Big Hammer Wines</v>
      </c>
      <c r="C1046" s="223" t="str">
        <f>IFERROR(__xludf.DUMMYFUNCTION("""COMPUTED_VALUE"""),"Monthly PPC")</f>
        <v>Monthly PPC</v>
      </c>
      <c r="D1046" s="316">
        <f>IFERROR(__xludf.DUMMYFUNCTION("""COMPUTED_VALUE"""),45169.0)</f>
        <v>45169</v>
      </c>
      <c r="E1046" s="298">
        <f>IFERROR(__xludf.DUMMYFUNCTION("""COMPUTED_VALUE"""),880.0)</f>
        <v>880</v>
      </c>
      <c r="F1046" s="298"/>
      <c r="G1046" s="298">
        <f>IFERROR(__xludf.DUMMYFUNCTION("""COMPUTED_VALUE"""),0.0)</f>
        <v>0</v>
      </c>
      <c r="H1046" s="223">
        <f>IFERROR(__xludf.DUMMYFUNCTION("""COMPUTED_VALUE"""),880.0)</f>
        <v>880</v>
      </c>
      <c r="I1046" s="298"/>
      <c r="J1046" s="223" t="str">
        <f>IFERROR(__xludf.DUMMYFUNCTION("""COMPUTED_VALUE"""),"Monthly")</f>
        <v>Monthly</v>
      </c>
      <c r="K1046" s="317">
        <f>IFERROR(__xludf.DUMMYFUNCTION("""COMPUTED_VALUE"""),2023.08)</f>
        <v>2023.08</v>
      </c>
      <c r="L1046" s="298"/>
      <c r="M1046" s="223"/>
      <c r="N1046" s="223"/>
      <c r="O1046" s="223"/>
      <c r="P1046" s="223"/>
      <c r="Q1046" s="223"/>
      <c r="R1046" s="223"/>
      <c r="S1046" s="223"/>
      <c r="T1046" s="223"/>
      <c r="U1046" s="223"/>
      <c r="V1046" s="223"/>
      <c r="W1046" s="223"/>
      <c r="X1046" s="223"/>
      <c r="Y1046" s="223"/>
      <c r="Z1046" s="223"/>
    </row>
    <row r="1047">
      <c r="A1047" s="223" t="str">
        <f>IFERROR(__xludf.DUMMYFUNCTION("""COMPUTED_VALUE"""),"Sacred Deathcare : Maintainance Retainer")</f>
        <v>Sacred Deathcare : Maintainance Retainer</v>
      </c>
      <c r="B1047" s="223" t="str">
        <f>IFERROR(__xludf.DUMMYFUNCTION("""COMPUTED_VALUE"""),"Sacred Deathcare")</f>
        <v>Sacred Deathcare</v>
      </c>
      <c r="C1047" s="223" t="str">
        <f>IFERROR(__xludf.DUMMYFUNCTION("""COMPUTED_VALUE"""),"Maintainance Retainer")</f>
        <v>Maintainance Retainer</v>
      </c>
      <c r="D1047" s="316">
        <f>IFERROR(__xludf.DUMMYFUNCTION("""COMPUTED_VALUE"""),45169.0)</f>
        <v>45169</v>
      </c>
      <c r="E1047" s="298">
        <f>IFERROR(__xludf.DUMMYFUNCTION("""COMPUTED_VALUE"""),250.0)</f>
        <v>250</v>
      </c>
      <c r="F1047" s="298"/>
      <c r="G1047" s="298">
        <f>IFERROR(__xludf.DUMMYFUNCTION("""COMPUTED_VALUE"""),0.0)</f>
        <v>0</v>
      </c>
      <c r="H1047" s="223">
        <f>IFERROR(__xludf.DUMMYFUNCTION("""COMPUTED_VALUE"""),250.0)</f>
        <v>250</v>
      </c>
      <c r="I1047" s="298"/>
      <c r="J1047" s="223" t="str">
        <f>IFERROR(__xludf.DUMMYFUNCTION("""COMPUTED_VALUE"""),"Monthly")</f>
        <v>Monthly</v>
      </c>
      <c r="K1047" s="317">
        <f>IFERROR(__xludf.DUMMYFUNCTION("""COMPUTED_VALUE"""),2023.08)</f>
        <v>2023.08</v>
      </c>
      <c r="L1047" s="298"/>
      <c r="M1047" s="223"/>
      <c r="N1047" s="223"/>
      <c r="O1047" s="223"/>
      <c r="P1047" s="223"/>
      <c r="Q1047" s="223"/>
      <c r="R1047" s="223"/>
      <c r="S1047" s="223"/>
      <c r="T1047" s="223"/>
      <c r="U1047" s="223"/>
      <c r="V1047" s="223"/>
      <c r="W1047" s="223"/>
      <c r="X1047" s="223"/>
      <c r="Y1047" s="223"/>
      <c r="Z1047" s="223"/>
    </row>
    <row r="1048">
      <c r="A1048" s="223" t="str">
        <f>IFERROR(__xludf.DUMMYFUNCTION("""COMPUTED_VALUE"""),"Luxe Bridal LLC : Monthly PPC")</f>
        <v>Luxe Bridal LLC : Monthly PPC</v>
      </c>
      <c r="B1048" s="223" t="str">
        <f>IFERROR(__xludf.DUMMYFUNCTION("""COMPUTED_VALUE"""),"Luxe Bridal LLC")</f>
        <v>Luxe Bridal LLC</v>
      </c>
      <c r="C1048" s="223" t="str">
        <f>IFERROR(__xludf.DUMMYFUNCTION("""COMPUTED_VALUE"""),"Monthly PPC")</f>
        <v>Monthly PPC</v>
      </c>
      <c r="D1048" s="316">
        <f>IFERROR(__xludf.DUMMYFUNCTION("""COMPUTED_VALUE"""),45169.0)</f>
        <v>45169</v>
      </c>
      <c r="E1048" s="298">
        <f>IFERROR(__xludf.DUMMYFUNCTION("""COMPUTED_VALUE"""),1750.0)</f>
        <v>1750</v>
      </c>
      <c r="F1048" s="298"/>
      <c r="G1048" s="298">
        <f>IFERROR(__xludf.DUMMYFUNCTION("""COMPUTED_VALUE"""),350.0)</f>
        <v>350</v>
      </c>
      <c r="H1048" s="223">
        <f>IFERROR(__xludf.DUMMYFUNCTION("""COMPUTED_VALUE"""),1400.0)</f>
        <v>1400</v>
      </c>
      <c r="I1048" s="298"/>
      <c r="J1048" s="223" t="str">
        <f>IFERROR(__xludf.DUMMYFUNCTION("""COMPUTED_VALUE"""),"Monthly")</f>
        <v>Monthly</v>
      </c>
      <c r="K1048" s="317">
        <f>IFERROR(__xludf.DUMMYFUNCTION("""COMPUTED_VALUE"""),2023.08)</f>
        <v>2023.08</v>
      </c>
      <c r="L1048" s="298"/>
      <c r="M1048" s="223"/>
      <c r="N1048" s="223"/>
      <c r="O1048" s="223"/>
      <c r="P1048" s="223"/>
      <c r="Q1048" s="223"/>
      <c r="R1048" s="223"/>
      <c r="S1048" s="223"/>
      <c r="T1048" s="223"/>
      <c r="U1048" s="223"/>
      <c r="V1048" s="223"/>
      <c r="W1048" s="223"/>
      <c r="X1048" s="223"/>
      <c r="Y1048" s="223"/>
      <c r="Z1048" s="223"/>
    </row>
    <row r="1049">
      <c r="A1049" s="223" t="str">
        <f>IFERROR(__xludf.DUMMYFUNCTION("""COMPUTED_VALUE"""),"Luxe Bridal LLC (LJM) : Monthly PPC")</f>
        <v>Luxe Bridal LLC (LJM) : Monthly PPC</v>
      </c>
      <c r="B1049" s="223" t="str">
        <f>IFERROR(__xludf.DUMMYFUNCTION("""COMPUTED_VALUE"""),"Luxe Bridal LLC (LJM)")</f>
        <v>Luxe Bridal LLC (LJM)</v>
      </c>
      <c r="C1049" s="223" t="str">
        <f>IFERROR(__xludf.DUMMYFUNCTION("""COMPUTED_VALUE"""),"Monthly PPC")</f>
        <v>Monthly PPC</v>
      </c>
      <c r="D1049" s="316">
        <f>IFERROR(__xludf.DUMMYFUNCTION("""COMPUTED_VALUE"""),45169.0)</f>
        <v>45169</v>
      </c>
      <c r="E1049" s="298">
        <f>IFERROR(__xludf.DUMMYFUNCTION("""COMPUTED_VALUE"""),750.0)</f>
        <v>750</v>
      </c>
      <c r="F1049" s="298"/>
      <c r="G1049" s="298">
        <f>IFERROR(__xludf.DUMMYFUNCTION("""COMPUTED_VALUE"""),150.0)</f>
        <v>150</v>
      </c>
      <c r="H1049" s="223">
        <f>IFERROR(__xludf.DUMMYFUNCTION("""COMPUTED_VALUE"""),600.0)</f>
        <v>600</v>
      </c>
      <c r="I1049" s="298"/>
      <c r="J1049" s="223" t="str">
        <f>IFERROR(__xludf.DUMMYFUNCTION("""COMPUTED_VALUE"""),"Monthly")</f>
        <v>Monthly</v>
      </c>
      <c r="K1049" s="317">
        <f>IFERROR(__xludf.DUMMYFUNCTION("""COMPUTED_VALUE"""),2023.08)</f>
        <v>2023.08</v>
      </c>
      <c r="L1049" s="298"/>
      <c r="M1049" s="223"/>
      <c r="N1049" s="223"/>
      <c r="O1049" s="223"/>
      <c r="P1049" s="223"/>
      <c r="Q1049" s="223"/>
      <c r="R1049" s="223"/>
      <c r="S1049" s="223"/>
      <c r="T1049" s="223"/>
      <c r="U1049" s="223"/>
      <c r="V1049" s="223"/>
      <c r="W1049" s="223"/>
      <c r="X1049" s="223"/>
      <c r="Y1049" s="223"/>
      <c r="Z1049" s="223"/>
    </row>
    <row r="1050">
      <c r="A1050" s="223" t="str">
        <f>IFERROR(__xludf.DUMMYFUNCTION("""COMPUTED_VALUE"""),"GreenLane Offroad : Monthly Ads Support")</f>
        <v>GreenLane Offroad : Monthly Ads Support</v>
      </c>
      <c r="B1050" s="223" t="str">
        <f>IFERROR(__xludf.DUMMYFUNCTION("""COMPUTED_VALUE"""),"GreenLane Offroad")</f>
        <v>GreenLane Offroad</v>
      </c>
      <c r="C1050" s="223" t="str">
        <f>IFERROR(__xludf.DUMMYFUNCTION("""COMPUTED_VALUE"""),"Monthly Ads Support")</f>
        <v>Monthly Ads Support</v>
      </c>
      <c r="D1050" s="316">
        <f>IFERROR(__xludf.DUMMYFUNCTION("""COMPUTED_VALUE"""),45169.0)</f>
        <v>45169</v>
      </c>
      <c r="E1050" s="298">
        <f>IFERROR(__xludf.DUMMYFUNCTION("""COMPUTED_VALUE"""),1000.0)</f>
        <v>1000</v>
      </c>
      <c r="F1050" s="298"/>
      <c r="G1050" s="298">
        <f>IFERROR(__xludf.DUMMYFUNCTION("""COMPUTED_VALUE"""),0.0)</f>
        <v>0</v>
      </c>
      <c r="H1050" s="223">
        <f>IFERROR(__xludf.DUMMYFUNCTION("""COMPUTED_VALUE"""),1000.0)</f>
        <v>1000</v>
      </c>
      <c r="I1050" s="298"/>
      <c r="J1050" s="223" t="str">
        <f>IFERROR(__xludf.DUMMYFUNCTION("""COMPUTED_VALUE"""),"Monthly")</f>
        <v>Monthly</v>
      </c>
      <c r="K1050" s="317">
        <f>IFERROR(__xludf.DUMMYFUNCTION("""COMPUTED_VALUE"""),2023.08)</f>
        <v>2023.08</v>
      </c>
      <c r="L1050" s="298"/>
      <c r="M1050" s="223"/>
      <c r="N1050" s="223"/>
      <c r="O1050" s="223"/>
      <c r="P1050" s="223"/>
      <c r="Q1050" s="223"/>
      <c r="R1050" s="223"/>
      <c r="S1050" s="223"/>
      <c r="T1050" s="223"/>
      <c r="U1050" s="223"/>
      <c r="V1050" s="223"/>
      <c r="W1050" s="223"/>
      <c r="X1050" s="223"/>
      <c r="Y1050" s="223"/>
      <c r="Z1050" s="223"/>
    </row>
    <row r="1051">
      <c r="A1051" s="223" t="str">
        <f>IFERROR(__xludf.DUMMYFUNCTION("""COMPUTED_VALUE"""),"Stackd Consulting : GA4 + Blog")</f>
        <v>Stackd Consulting : GA4 + Blog</v>
      </c>
      <c r="B1051" s="223" t="str">
        <f>IFERROR(__xludf.DUMMYFUNCTION("""COMPUTED_VALUE"""),"Stackd Consulting")</f>
        <v>Stackd Consulting</v>
      </c>
      <c r="C1051" s="223" t="str">
        <f>IFERROR(__xludf.DUMMYFUNCTION("""COMPUTED_VALUE"""),"GA4 + Blog")</f>
        <v>GA4 + Blog</v>
      </c>
      <c r="D1051" s="316">
        <f>IFERROR(__xludf.DUMMYFUNCTION("""COMPUTED_VALUE"""),45169.0)</f>
        <v>45169</v>
      </c>
      <c r="E1051" s="298">
        <f>IFERROR(__xludf.DUMMYFUNCTION("""COMPUTED_VALUE"""),1100.0)</f>
        <v>1100</v>
      </c>
      <c r="F1051" s="298"/>
      <c r="G1051" s="298">
        <f>IFERROR(__xludf.DUMMYFUNCTION("""COMPUTED_VALUE"""),0.0)</f>
        <v>0</v>
      </c>
      <c r="H1051" s="223">
        <f>IFERROR(__xludf.DUMMYFUNCTION("""COMPUTED_VALUE"""),1100.0)</f>
        <v>1100</v>
      </c>
      <c r="I1051" s="298"/>
      <c r="J1051" s="223" t="str">
        <f>IFERROR(__xludf.DUMMYFUNCTION("""COMPUTED_VALUE"""),"Monthly")</f>
        <v>Monthly</v>
      </c>
      <c r="K1051" s="317">
        <f>IFERROR(__xludf.DUMMYFUNCTION("""COMPUTED_VALUE"""),2023.08)</f>
        <v>2023.08</v>
      </c>
      <c r="L1051" s="298"/>
      <c r="M1051" s="223"/>
      <c r="N1051" s="223"/>
      <c r="O1051" s="223"/>
      <c r="P1051" s="223"/>
      <c r="Q1051" s="223"/>
      <c r="R1051" s="223"/>
      <c r="S1051" s="223"/>
      <c r="T1051" s="223"/>
      <c r="U1051" s="223"/>
      <c r="V1051" s="223"/>
      <c r="W1051" s="223"/>
      <c r="X1051" s="223"/>
      <c r="Y1051" s="223"/>
      <c r="Z1051" s="223"/>
    </row>
    <row r="1052">
      <c r="A1052" s="223" t="str">
        <f>IFERROR(__xludf.DUMMYFUNCTION("""COMPUTED_VALUE"""),"Life UNPacked : Monthly Services")</f>
        <v>Life UNPacked : Monthly Services</v>
      </c>
      <c r="B1052" s="223" t="str">
        <f>IFERROR(__xludf.DUMMYFUNCTION("""COMPUTED_VALUE"""),"Life UNPacked")</f>
        <v>Life UNPacked</v>
      </c>
      <c r="C1052" s="223" t="str">
        <f>IFERROR(__xludf.DUMMYFUNCTION("""COMPUTED_VALUE"""),"Monthly Services")</f>
        <v>Monthly Services</v>
      </c>
      <c r="D1052" s="316">
        <f>IFERROR(__xludf.DUMMYFUNCTION("""COMPUTED_VALUE"""),45169.0)</f>
        <v>45169</v>
      </c>
      <c r="E1052" s="298">
        <f>IFERROR(__xludf.DUMMYFUNCTION("""COMPUTED_VALUE"""),1200.0)</f>
        <v>1200</v>
      </c>
      <c r="F1052" s="298"/>
      <c r="G1052" s="298">
        <f>IFERROR(__xludf.DUMMYFUNCTION("""COMPUTED_VALUE"""),0.0)</f>
        <v>0</v>
      </c>
      <c r="H1052" s="223">
        <f>IFERROR(__xludf.DUMMYFUNCTION("""COMPUTED_VALUE"""),1200.0)</f>
        <v>1200</v>
      </c>
      <c r="I1052" s="298"/>
      <c r="J1052" s="223" t="str">
        <f>IFERROR(__xludf.DUMMYFUNCTION("""COMPUTED_VALUE"""),"Monthly")</f>
        <v>Monthly</v>
      </c>
      <c r="K1052" s="317">
        <f>IFERROR(__xludf.DUMMYFUNCTION("""COMPUTED_VALUE"""),2023.08)</f>
        <v>2023.08</v>
      </c>
      <c r="L1052" s="298"/>
      <c r="M1052" s="223"/>
      <c r="N1052" s="223"/>
      <c r="O1052" s="223"/>
      <c r="P1052" s="223"/>
      <c r="Q1052" s="223"/>
      <c r="R1052" s="223"/>
      <c r="S1052" s="223"/>
      <c r="T1052" s="223"/>
      <c r="U1052" s="223"/>
      <c r="V1052" s="223"/>
      <c r="W1052" s="223"/>
      <c r="X1052" s="223"/>
      <c r="Y1052" s="223"/>
      <c r="Z1052" s="223"/>
    </row>
    <row r="1053">
      <c r="A1053" s="223" t="str">
        <f>IFERROR(__xludf.DUMMYFUNCTION("""COMPUTED_VALUE"""),"Crisp Media : Google PPC Mgmt")</f>
        <v>Crisp Media : Google PPC Mgmt</v>
      </c>
      <c r="B1053" s="223" t="str">
        <f>IFERROR(__xludf.DUMMYFUNCTION("""COMPUTED_VALUE"""),"Crisp Media")</f>
        <v>Crisp Media</v>
      </c>
      <c r="C1053" s="223" t="str">
        <f>IFERROR(__xludf.DUMMYFUNCTION("""COMPUTED_VALUE"""),"Google PPC Mgmt")</f>
        <v>Google PPC Mgmt</v>
      </c>
      <c r="D1053" s="316">
        <f>IFERROR(__xludf.DUMMYFUNCTION("""COMPUTED_VALUE"""),45169.0)</f>
        <v>45169</v>
      </c>
      <c r="E1053" s="298">
        <f>IFERROR(__xludf.DUMMYFUNCTION("""COMPUTED_VALUE"""),450.0)</f>
        <v>450</v>
      </c>
      <c r="F1053" s="298">
        <f>IFERROR(__xludf.DUMMYFUNCTION("""COMPUTED_VALUE"""),14.0)</f>
        <v>14</v>
      </c>
      <c r="G1053" s="298">
        <f>IFERROR(__xludf.DUMMYFUNCTION("""COMPUTED_VALUE"""),0.0)</f>
        <v>0</v>
      </c>
      <c r="H1053" s="223">
        <f>IFERROR(__xludf.DUMMYFUNCTION("""COMPUTED_VALUE"""),436.0)</f>
        <v>436</v>
      </c>
      <c r="I1053" s="298"/>
      <c r="J1053" s="223" t="str">
        <f>IFERROR(__xludf.DUMMYFUNCTION("""COMPUTED_VALUE"""),"Monthly")</f>
        <v>Monthly</v>
      </c>
      <c r="K1053" s="317">
        <f>IFERROR(__xludf.DUMMYFUNCTION("""COMPUTED_VALUE"""),2023.08)</f>
        <v>2023.08</v>
      </c>
      <c r="L1053" s="298"/>
      <c r="M1053" s="223"/>
      <c r="N1053" s="223"/>
      <c r="O1053" s="223"/>
      <c r="P1053" s="223"/>
      <c r="Q1053" s="223"/>
      <c r="R1053" s="223"/>
      <c r="S1053" s="223"/>
      <c r="T1053" s="223"/>
      <c r="U1053" s="223"/>
      <c r="V1053" s="223"/>
      <c r="W1053" s="223"/>
      <c r="X1053" s="223"/>
      <c r="Y1053" s="223"/>
      <c r="Z1053" s="223"/>
    </row>
    <row r="1054">
      <c r="A1054" s="223" t="str">
        <f>IFERROR(__xludf.DUMMYFUNCTION("""COMPUTED_VALUE"""),"Project ID")</f>
        <v>Project ID</v>
      </c>
      <c r="B1054" s="223" t="str">
        <f>IFERROR(__xludf.DUMMYFUNCTION("""COMPUTED_VALUE"""),"Client")</f>
        <v>Client</v>
      </c>
      <c r="C1054" s="223" t="str">
        <f>IFERROR(__xludf.DUMMYFUNCTION("""COMPUTED_VALUE"""),"Project")</f>
        <v>Project</v>
      </c>
      <c r="D1054" s="316"/>
      <c r="E1054" s="298"/>
      <c r="F1054" s="298"/>
      <c r="G1054" s="298"/>
      <c r="H1054" s="223"/>
      <c r="I1054" s="298"/>
      <c r="J1054" s="223" t="str">
        <f>IFERROR(__xludf.DUMMYFUNCTION("""COMPUTED_VALUE"""),"Type")</f>
        <v>Type</v>
      </c>
      <c r="K1054" s="317"/>
      <c r="L1054" s="298"/>
      <c r="M1054" s="223"/>
      <c r="N1054" s="223"/>
      <c r="O1054" s="223"/>
      <c r="P1054" s="223"/>
      <c r="Q1054" s="223"/>
      <c r="R1054" s="223"/>
      <c r="S1054" s="223"/>
      <c r="T1054" s="223"/>
      <c r="U1054" s="223"/>
      <c r="V1054" s="223"/>
      <c r="W1054" s="223"/>
      <c r="X1054" s="223"/>
      <c r="Y1054" s="223"/>
      <c r="Z1054" s="223"/>
    </row>
    <row r="1055">
      <c r="A1055" s="223" t="str">
        <f>IFERROR(__xludf.DUMMYFUNCTION("""COMPUTED_VALUE"""),"PMDI : Grant Program")</f>
        <v>PMDI : Grant Program</v>
      </c>
      <c r="B1055" s="223" t="str">
        <f>IFERROR(__xludf.DUMMYFUNCTION("""COMPUTED_VALUE"""),"PMDI")</f>
        <v>PMDI</v>
      </c>
      <c r="C1055" s="223" t="str">
        <f>IFERROR(__xludf.DUMMYFUNCTION("""COMPUTED_VALUE"""),"Grant Program")</f>
        <v>Grant Program</v>
      </c>
      <c r="D1055" s="316">
        <f>IFERROR(__xludf.DUMMYFUNCTION("""COMPUTED_VALUE"""),44228.0)</f>
        <v>44228</v>
      </c>
      <c r="E1055" s="298"/>
      <c r="F1055" s="298"/>
      <c r="G1055" s="298"/>
      <c r="H1055" s="223"/>
      <c r="I1055" s="298">
        <f>IFERROR(__xludf.DUMMYFUNCTION("""COMPUTED_VALUE"""),500.87)</f>
        <v>500.87</v>
      </c>
      <c r="J1055" s="223" t="str">
        <f>IFERROR(__xludf.DUMMYFUNCTION("""COMPUTED_VALUE"""),"Fixed Project")</f>
        <v>Fixed Project</v>
      </c>
      <c r="K1055" s="317">
        <f>IFERROR(__xludf.DUMMYFUNCTION("""COMPUTED_VALUE"""),2021.0)</f>
        <v>2021</v>
      </c>
      <c r="L1055" s="298">
        <f>IFERROR(__xludf.DUMMYFUNCTION("""COMPUTED_VALUE"""),500.87)</f>
        <v>500.87</v>
      </c>
      <c r="M1055" s="223"/>
      <c r="N1055" s="223"/>
      <c r="O1055" s="223"/>
      <c r="P1055" s="223"/>
      <c r="Q1055" s="223"/>
      <c r="R1055" s="223"/>
      <c r="S1055" s="223"/>
      <c r="T1055" s="223"/>
      <c r="U1055" s="223"/>
      <c r="V1055" s="223"/>
      <c r="W1055" s="223"/>
      <c r="X1055" s="223"/>
      <c r="Y1055" s="223"/>
      <c r="Z1055" s="223"/>
    </row>
    <row r="1056">
      <c r="A1056" s="223" t="str">
        <f>IFERROR(__xludf.DUMMYFUNCTION("""COMPUTED_VALUE"""),"MortgagePal : Monthly Services")</f>
        <v>MortgagePal : Monthly Services</v>
      </c>
      <c r="B1056" s="223" t="str">
        <f>IFERROR(__xludf.DUMMYFUNCTION("""COMPUTED_VALUE"""),"MortgagePal")</f>
        <v>MortgagePal</v>
      </c>
      <c r="C1056" s="223" t="str">
        <f>IFERROR(__xludf.DUMMYFUNCTION("""COMPUTED_VALUE"""),"Monthly Services")</f>
        <v>Monthly Services</v>
      </c>
      <c r="D1056" s="316">
        <f>IFERROR(__xludf.DUMMYFUNCTION("""COMPUTED_VALUE"""),44530.0)</f>
        <v>44530</v>
      </c>
      <c r="E1056" s="298"/>
      <c r="F1056" s="298"/>
      <c r="G1056" s="298"/>
      <c r="H1056" s="223"/>
      <c r="I1056" s="298">
        <f>IFERROR(__xludf.DUMMYFUNCTION("""COMPUTED_VALUE"""),212.5)</f>
        <v>212.5</v>
      </c>
      <c r="J1056" s="223" t="str">
        <f>IFERROR(__xludf.DUMMYFUNCTION("""COMPUTED_VALUE"""),"Monthly")</f>
        <v>Monthly</v>
      </c>
      <c r="K1056" s="317">
        <f>IFERROR(__xludf.DUMMYFUNCTION("""COMPUTED_VALUE"""),2021.11)</f>
        <v>2021.11</v>
      </c>
      <c r="L1056" s="298"/>
      <c r="M1056" s="223"/>
      <c r="N1056" s="223"/>
      <c r="O1056" s="223"/>
      <c r="P1056" s="223"/>
      <c r="Q1056" s="223"/>
      <c r="R1056" s="223"/>
      <c r="S1056" s="223"/>
      <c r="T1056" s="223"/>
      <c r="U1056" s="223"/>
      <c r="V1056" s="223"/>
      <c r="W1056" s="223"/>
      <c r="X1056" s="223"/>
      <c r="Y1056" s="223"/>
      <c r="Z1056" s="223"/>
    </row>
    <row r="1057">
      <c r="A1057" s="223" t="str">
        <f>IFERROR(__xludf.DUMMYFUNCTION("""COMPUTED_VALUE"""),"BookKing (Pacific Tier) : Monthly Services")</f>
        <v>BookKing (Pacific Tier) : Monthly Services</v>
      </c>
      <c r="B1057" s="223" t="str">
        <f>IFERROR(__xludf.DUMMYFUNCTION("""COMPUTED_VALUE"""),"BookKing (Pacific Tier)")</f>
        <v>BookKing (Pacific Tier)</v>
      </c>
      <c r="C1057" s="223" t="str">
        <f>IFERROR(__xludf.DUMMYFUNCTION("""COMPUTED_VALUE"""),"Monthly Services")</f>
        <v>Monthly Services</v>
      </c>
      <c r="D1057" s="316">
        <f>IFERROR(__xludf.DUMMYFUNCTION("""COMPUTED_VALUE"""),44530.0)</f>
        <v>44530</v>
      </c>
      <c r="E1057" s="298"/>
      <c r="F1057" s="298"/>
      <c r="G1057" s="298"/>
      <c r="H1057" s="223"/>
      <c r="I1057" s="298">
        <f>IFERROR(__xludf.DUMMYFUNCTION("""COMPUTED_VALUE"""),200.0)</f>
        <v>200</v>
      </c>
      <c r="J1057" s="223" t="str">
        <f>IFERROR(__xludf.DUMMYFUNCTION("""COMPUTED_VALUE"""),"Monthly")</f>
        <v>Monthly</v>
      </c>
      <c r="K1057" s="317">
        <f>IFERROR(__xludf.DUMMYFUNCTION("""COMPUTED_VALUE"""),2021.11)</f>
        <v>2021.11</v>
      </c>
      <c r="L1057" s="298"/>
      <c r="M1057" s="223"/>
      <c r="N1057" s="223"/>
      <c r="O1057" s="223"/>
      <c r="P1057" s="223"/>
      <c r="Q1057" s="223"/>
      <c r="R1057" s="223"/>
      <c r="S1057" s="223"/>
      <c r="T1057" s="223"/>
      <c r="U1057" s="223"/>
      <c r="V1057" s="223"/>
      <c r="W1057" s="223"/>
      <c r="X1057" s="223"/>
      <c r="Y1057" s="223"/>
      <c r="Z1057" s="223"/>
    </row>
    <row r="1058">
      <c r="A1058" s="223" t="str">
        <f>IFERROR(__xludf.DUMMYFUNCTION("""COMPUTED_VALUE"""),"Booginhead : Monthly Services")</f>
        <v>Booginhead : Monthly Services</v>
      </c>
      <c r="B1058" s="223" t="str">
        <f>IFERROR(__xludf.DUMMYFUNCTION("""COMPUTED_VALUE"""),"Booginhead")</f>
        <v>Booginhead</v>
      </c>
      <c r="C1058" s="223" t="str">
        <f>IFERROR(__xludf.DUMMYFUNCTION("""COMPUTED_VALUE"""),"Monthly Services")</f>
        <v>Monthly Services</v>
      </c>
      <c r="D1058" s="316">
        <f>IFERROR(__xludf.DUMMYFUNCTION("""COMPUTED_VALUE"""),44530.0)</f>
        <v>44530</v>
      </c>
      <c r="E1058" s="298"/>
      <c r="F1058" s="298"/>
      <c r="G1058" s="298"/>
      <c r="H1058" s="223"/>
      <c r="I1058" s="298">
        <f>IFERROR(__xludf.DUMMYFUNCTION("""COMPUTED_VALUE"""),125.0)</f>
        <v>125</v>
      </c>
      <c r="J1058" s="223" t="str">
        <f>IFERROR(__xludf.DUMMYFUNCTION("""COMPUTED_VALUE"""),"Monthly")</f>
        <v>Monthly</v>
      </c>
      <c r="K1058" s="317">
        <f>IFERROR(__xludf.DUMMYFUNCTION("""COMPUTED_VALUE"""),2021.11)</f>
        <v>2021.11</v>
      </c>
      <c r="L1058" s="298"/>
      <c r="M1058" s="223"/>
      <c r="N1058" s="223"/>
      <c r="O1058" s="223"/>
      <c r="P1058" s="223"/>
      <c r="Q1058" s="223"/>
      <c r="R1058" s="223"/>
      <c r="S1058" s="223"/>
      <c r="T1058" s="223"/>
      <c r="U1058" s="223"/>
      <c r="V1058" s="223"/>
      <c r="W1058" s="223"/>
      <c r="X1058" s="223"/>
      <c r="Y1058" s="223"/>
      <c r="Z1058" s="223"/>
    </row>
    <row r="1059">
      <c r="A1059" s="223" t="str">
        <f>IFERROR(__xludf.DUMMYFUNCTION("""COMPUTED_VALUE"""),"Wallack's Art Supplies : Monthly Services")</f>
        <v>Wallack's Art Supplies : Monthly Services</v>
      </c>
      <c r="B1059" s="223" t="str">
        <f>IFERROR(__xludf.DUMMYFUNCTION("""COMPUTED_VALUE"""),"Wallack's Art Supplies")</f>
        <v>Wallack's Art Supplies</v>
      </c>
      <c r="C1059" s="223" t="str">
        <f>IFERROR(__xludf.DUMMYFUNCTION("""COMPUTED_VALUE"""),"Monthly Services")</f>
        <v>Monthly Services</v>
      </c>
      <c r="D1059" s="316">
        <f>IFERROR(__xludf.DUMMYFUNCTION("""COMPUTED_VALUE"""),44530.0)</f>
        <v>44530</v>
      </c>
      <c r="E1059" s="298"/>
      <c r="F1059" s="298"/>
      <c r="G1059" s="298"/>
      <c r="H1059" s="223"/>
      <c r="I1059" s="298">
        <f>IFERROR(__xludf.DUMMYFUNCTION("""COMPUTED_VALUE"""),250.0)</f>
        <v>250</v>
      </c>
      <c r="J1059" s="223" t="str">
        <f>IFERROR(__xludf.DUMMYFUNCTION("""COMPUTED_VALUE"""),"Monthly")</f>
        <v>Monthly</v>
      </c>
      <c r="K1059" s="317">
        <f>IFERROR(__xludf.DUMMYFUNCTION("""COMPUTED_VALUE"""),2021.11)</f>
        <v>2021.11</v>
      </c>
      <c r="L1059" s="298"/>
      <c r="M1059" s="223"/>
      <c r="N1059" s="223"/>
      <c r="O1059" s="223"/>
      <c r="P1059" s="223"/>
      <c r="Q1059" s="223"/>
      <c r="R1059" s="223"/>
      <c r="S1059" s="223"/>
      <c r="T1059" s="223"/>
      <c r="U1059" s="223"/>
      <c r="V1059" s="223"/>
      <c r="W1059" s="223"/>
      <c r="X1059" s="223"/>
      <c r="Y1059" s="223"/>
      <c r="Z1059" s="223"/>
    </row>
    <row r="1060">
      <c r="A1060" s="223" t="str">
        <f>IFERROR(__xludf.DUMMYFUNCTION("""COMPUTED_VALUE"""),"AbodeZero : Monthly Services")</f>
        <v>AbodeZero : Monthly Services</v>
      </c>
      <c r="B1060" s="223" t="str">
        <f>IFERROR(__xludf.DUMMYFUNCTION("""COMPUTED_VALUE"""),"AbodeZero")</f>
        <v>AbodeZero</v>
      </c>
      <c r="C1060" s="223" t="str">
        <f>IFERROR(__xludf.DUMMYFUNCTION("""COMPUTED_VALUE"""),"Monthly Services")</f>
        <v>Monthly Services</v>
      </c>
      <c r="D1060" s="316">
        <f>IFERROR(__xludf.DUMMYFUNCTION("""COMPUTED_VALUE"""),44530.0)</f>
        <v>44530</v>
      </c>
      <c r="E1060" s="298"/>
      <c r="F1060" s="298"/>
      <c r="G1060" s="298"/>
      <c r="H1060" s="223"/>
      <c r="I1060" s="298">
        <f>IFERROR(__xludf.DUMMYFUNCTION("""COMPUTED_VALUE"""),187.5)</f>
        <v>187.5</v>
      </c>
      <c r="J1060" s="223" t="str">
        <f>IFERROR(__xludf.DUMMYFUNCTION("""COMPUTED_VALUE"""),"Monthly")</f>
        <v>Monthly</v>
      </c>
      <c r="K1060" s="317">
        <f>IFERROR(__xludf.DUMMYFUNCTION("""COMPUTED_VALUE"""),2021.11)</f>
        <v>2021.11</v>
      </c>
      <c r="L1060" s="298"/>
      <c r="M1060" s="223"/>
      <c r="N1060" s="223"/>
      <c r="O1060" s="223"/>
      <c r="P1060" s="223"/>
      <c r="Q1060" s="223"/>
      <c r="R1060" s="223"/>
      <c r="S1060" s="223"/>
      <c r="T1060" s="223"/>
      <c r="U1060" s="223"/>
      <c r="V1060" s="223"/>
      <c r="W1060" s="223"/>
      <c r="X1060" s="223"/>
      <c r="Y1060" s="223"/>
      <c r="Z1060" s="223"/>
    </row>
    <row r="1061">
      <c r="A1061" s="223" t="str">
        <f>IFERROR(__xludf.DUMMYFUNCTION("""COMPUTED_VALUE"""),"Hey Blinds : Monthly Services")</f>
        <v>Hey Blinds : Monthly Services</v>
      </c>
      <c r="B1061" s="223" t="str">
        <f>IFERROR(__xludf.DUMMYFUNCTION("""COMPUTED_VALUE"""),"Hey Blinds")</f>
        <v>Hey Blinds</v>
      </c>
      <c r="C1061" s="223" t="str">
        <f>IFERROR(__xludf.DUMMYFUNCTION("""COMPUTED_VALUE"""),"Monthly Services")</f>
        <v>Monthly Services</v>
      </c>
      <c r="D1061" s="316">
        <f>IFERROR(__xludf.DUMMYFUNCTION("""COMPUTED_VALUE"""),44530.0)</f>
        <v>44530</v>
      </c>
      <c r="E1061" s="298"/>
      <c r="F1061" s="298"/>
      <c r="G1061" s="298"/>
      <c r="H1061" s="223"/>
      <c r="I1061" s="298">
        <f>IFERROR(__xludf.DUMMYFUNCTION("""COMPUTED_VALUE"""),250.0)</f>
        <v>250</v>
      </c>
      <c r="J1061" s="223" t="str">
        <f>IFERROR(__xludf.DUMMYFUNCTION("""COMPUTED_VALUE"""),"Monthly")</f>
        <v>Monthly</v>
      </c>
      <c r="K1061" s="317">
        <f>IFERROR(__xludf.DUMMYFUNCTION("""COMPUTED_VALUE"""),2021.11)</f>
        <v>2021.11</v>
      </c>
      <c r="L1061" s="298"/>
      <c r="M1061" s="223"/>
      <c r="N1061" s="223"/>
      <c r="O1061" s="223"/>
      <c r="P1061" s="223"/>
      <c r="Q1061" s="223"/>
      <c r="R1061" s="223"/>
      <c r="S1061" s="223"/>
      <c r="T1061" s="223"/>
      <c r="U1061" s="223"/>
      <c r="V1061" s="223"/>
      <c r="W1061" s="223"/>
      <c r="X1061" s="223"/>
      <c r="Y1061" s="223"/>
      <c r="Z1061" s="223"/>
    </row>
    <row r="1062">
      <c r="A1062" s="223" t="str">
        <f>IFERROR(__xludf.DUMMYFUNCTION("""COMPUTED_VALUE"""),"HSJ Lawyers : Monthly Services")</f>
        <v>HSJ Lawyers : Monthly Services</v>
      </c>
      <c r="B1062" s="223" t="str">
        <f>IFERROR(__xludf.DUMMYFUNCTION("""COMPUTED_VALUE"""),"HSJ Lawyers")</f>
        <v>HSJ Lawyers</v>
      </c>
      <c r="C1062" s="223" t="str">
        <f>IFERROR(__xludf.DUMMYFUNCTION("""COMPUTED_VALUE"""),"Monthly Services")</f>
        <v>Monthly Services</v>
      </c>
      <c r="D1062" s="316">
        <f>IFERROR(__xludf.DUMMYFUNCTION("""COMPUTED_VALUE"""),44530.0)</f>
        <v>44530</v>
      </c>
      <c r="E1062" s="298"/>
      <c r="F1062" s="298"/>
      <c r="G1062" s="298"/>
      <c r="H1062" s="223"/>
      <c r="I1062" s="298">
        <f>IFERROR(__xludf.DUMMYFUNCTION("""COMPUTED_VALUE"""),300.0)</f>
        <v>300</v>
      </c>
      <c r="J1062" s="223" t="str">
        <f>IFERROR(__xludf.DUMMYFUNCTION("""COMPUTED_VALUE"""),"Monthly")</f>
        <v>Monthly</v>
      </c>
      <c r="K1062" s="317">
        <f>IFERROR(__xludf.DUMMYFUNCTION("""COMPUTED_VALUE"""),2021.11)</f>
        <v>2021.11</v>
      </c>
      <c r="L1062" s="298"/>
      <c r="M1062" s="223"/>
      <c r="N1062" s="223"/>
      <c r="O1062" s="223"/>
      <c r="P1062" s="223"/>
      <c r="Q1062" s="223"/>
      <c r="R1062" s="223"/>
      <c r="S1062" s="223"/>
      <c r="T1062" s="223"/>
      <c r="U1062" s="223"/>
      <c r="V1062" s="223"/>
      <c r="W1062" s="223"/>
      <c r="X1062" s="223"/>
      <c r="Y1062" s="223"/>
      <c r="Z1062" s="223"/>
    </row>
    <row r="1063">
      <c r="A1063" s="223" t="str">
        <f>IFERROR(__xludf.DUMMYFUNCTION("""COMPUTED_VALUE"""),"Bratopia : Monthly Services")</f>
        <v>Bratopia : Monthly Services</v>
      </c>
      <c r="B1063" s="223" t="str">
        <f>IFERROR(__xludf.DUMMYFUNCTION("""COMPUTED_VALUE"""),"Bratopia")</f>
        <v>Bratopia</v>
      </c>
      <c r="C1063" s="223" t="str">
        <f>IFERROR(__xludf.DUMMYFUNCTION("""COMPUTED_VALUE"""),"Monthly Services")</f>
        <v>Monthly Services</v>
      </c>
      <c r="D1063" s="316">
        <f>IFERROR(__xludf.DUMMYFUNCTION("""COMPUTED_VALUE"""),44530.0)</f>
        <v>44530</v>
      </c>
      <c r="E1063" s="298"/>
      <c r="F1063" s="298"/>
      <c r="G1063" s="298"/>
      <c r="H1063" s="223"/>
      <c r="I1063" s="298">
        <f>IFERROR(__xludf.DUMMYFUNCTION("""COMPUTED_VALUE"""),400.0)</f>
        <v>400</v>
      </c>
      <c r="J1063" s="223" t="str">
        <f>IFERROR(__xludf.DUMMYFUNCTION("""COMPUTED_VALUE"""),"Monthly")</f>
        <v>Monthly</v>
      </c>
      <c r="K1063" s="317">
        <f>IFERROR(__xludf.DUMMYFUNCTION("""COMPUTED_VALUE"""),2021.11)</f>
        <v>2021.11</v>
      </c>
      <c r="L1063" s="298"/>
      <c r="M1063" s="223"/>
      <c r="N1063" s="223"/>
      <c r="O1063" s="223"/>
      <c r="P1063" s="223"/>
      <c r="Q1063" s="223"/>
      <c r="R1063" s="223"/>
      <c r="S1063" s="223"/>
      <c r="T1063" s="223"/>
      <c r="U1063" s="223"/>
      <c r="V1063" s="223"/>
      <c r="W1063" s="223"/>
      <c r="X1063" s="223"/>
      <c r="Y1063" s="223"/>
      <c r="Z1063" s="223"/>
    </row>
    <row r="1064">
      <c r="A1064" s="223" t="str">
        <f>IFERROR(__xludf.DUMMYFUNCTION("""COMPUTED_VALUE"""),"Hastings House : Monthly Services")</f>
        <v>Hastings House : Monthly Services</v>
      </c>
      <c r="B1064" s="223" t="str">
        <f>IFERROR(__xludf.DUMMYFUNCTION("""COMPUTED_VALUE"""),"Hastings House")</f>
        <v>Hastings House</v>
      </c>
      <c r="C1064" s="223" t="str">
        <f>IFERROR(__xludf.DUMMYFUNCTION("""COMPUTED_VALUE"""),"Monthly Services")</f>
        <v>Monthly Services</v>
      </c>
      <c r="D1064" s="316">
        <f>IFERROR(__xludf.DUMMYFUNCTION("""COMPUTED_VALUE"""),44530.0)</f>
        <v>44530</v>
      </c>
      <c r="E1064" s="298"/>
      <c r="F1064" s="298"/>
      <c r="G1064" s="298"/>
      <c r="H1064" s="223"/>
      <c r="I1064" s="298">
        <f>IFERROR(__xludf.DUMMYFUNCTION("""COMPUTED_VALUE"""),322.5)</f>
        <v>322.5</v>
      </c>
      <c r="J1064" s="223" t="str">
        <f>IFERROR(__xludf.DUMMYFUNCTION("""COMPUTED_VALUE"""),"Monthly")</f>
        <v>Monthly</v>
      </c>
      <c r="K1064" s="317">
        <f>IFERROR(__xludf.DUMMYFUNCTION("""COMPUTED_VALUE"""),2021.11)</f>
        <v>2021.11</v>
      </c>
      <c r="L1064" s="298"/>
      <c r="M1064" s="223"/>
      <c r="N1064" s="223"/>
      <c r="O1064" s="223"/>
      <c r="P1064" s="223"/>
      <c r="Q1064" s="223"/>
      <c r="R1064" s="223"/>
      <c r="S1064" s="223"/>
      <c r="T1064" s="223"/>
      <c r="U1064" s="223"/>
      <c r="V1064" s="223"/>
      <c r="W1064" s="223"/>
      <c r="X1064" s="223"/>
      <c r="Y1064" s="223"/>
      <c r="Z1064" s="223"/>
    </row>
    <row r="1065">
      <c r="A1065" s="223" t="str">
        <f>IFERROR(__xludf.DUMMYFUNCTION("""COMPUTED_VALUE"""),"PMDI : Grant Program")</f>
        <v>PMDI : Grant Program</v>
      </c>
      <c r="B1065" s="223" t="str">
        <f>IFERROR(__xludf.DUMMYFUNCTION("""COMPUTED_VALUE"""),"PMDI")</f>
        <v>PMDI</v>
      </c>
      <c r="C1065" s="223" t="str">
        <f>IFERROR(__xludf.DUMMYFUNCTION("""COMPUTED_VALUE"""),"Grant Program")</f>
        <v>Grant Program</v>
      </c>
      <c r="D1065" s="316">
        <f>IFERROR(__xludf.DUMMYFUNCTION("""COMPUTED_VALUE"""),44530.0)</f>
        <v>44530</v>
      </c>
      <c r="E1065" s="298"/>
      <c r="F1065" s="298"/>
      <c r="G1065" s="298"/>
      <c r="H1065" s="223"/>
      <c r="I1065" s="298">
        <f>IFERROR(__xludf.DUMMYFUNCTION("""COMPUTED_VALUE"""),167.5)</f>
        <v>167.5</v>
      </c>
      <c r="J1065" s="223" t="str">
        <f>IFERROR(__xludf.DUMMYFUNCTION("""COMPUTED_VALUE"""),"Fixed Project")</f>
        <v>Fixed Project</v>
      </c>
      <c r="K1065" s="317">
        <f>IFERROR(__xludf.DUMMYFUNCTION("""COMPUTED_VALUE"""),2021.0)</f>
        <v>2021</v>
      </c>
      <c r="L1065" s="298"/>
      <c r="M1065" s="223"/>
      <c r="N1065" s="223"/>
      <c r="O1065" s="223"/>
      <c r="P1065" s="223"/>
      <c r="Q1065" s="223"/>
      <c r="R1065" s="223"/>
      <c r="S1065" s="223"/>
      <c r="T1065" s="223"/>
      <c r="U1065" s="223"/>
      <c r="V1065" s="223"/>
      <c r="W1065" s="223"/>
      <c r="X1065" s="223"/>
      <c r="Y1065" s="223"/>
      <c r="Z1065" s="223"/>
    </row>
    <row r="1066">
      <c r="A1066" s="223" t="str">
        <f>IFERROR(__xludf.DUMMYFUNCTION("""COMPUTED_VALUE"""),"AbodeZero : Monthly Services")</f>
        <v>AbodeZero : Monthly Services</v>
      </c>
      <c r="B1066" s="223" t="str">
        <f>IFERROR(__xludf.DUMMYFUNCTION("""COMPUTED_VALUE"""),"AbodeZero")</f>
        <v>AbodeZero</v>
      </c>
      <c r="C1066" s="223" t="str">
        <f>IFERROR(__xludf.DUMMYFUNCTION("""COMPUTED_VALUE"""),"Monthly Services")</f>
        <v>Monthly Services</v>
      </c>
      <c r="D1066" s="316">
        <f>IFERROR(__xludf.DUMMYFUNCTION("""COMPUTED_VALUE"""),44530.0)</f>
        <v>44530</v>
      </c>
      <c r="E1066" s="298"/>
      <c r="F1066" s="298"/>
      <c r="G1066" s="298"/>
      <c r="H1066" s="223"/>
      <c r="I1066" s="298">
        <f>IFERROR(__xludf.DUMMYFUNCTION("""COMPUTED_VALUE"""),45.0)</f>
        <v>45</v>
      </c>
      <c r="J1066" s="223" t="str">
        <f>IFERROR(__xludf.DUMMYFUNCTION("""COMPUTED_VALUE"""),"Monthly")</f>
        <v>Monthly</v>
      </c>
      <c r="K1066" s="317">
        <f>IFERROR(__xludf.DUMMYFUNCTION("""COMPUTED_VALUE"""),2021.11)</f>
        <v>2021.11</v>
      </c>
      <c r="L1066" s="298"/>
      <c r="M1066" s="223"/>
      <c r="N1066" s="223"/>
      <c r="O1066" s="223"/>
      <c r="P1066" s="223"/>
      <c r="Q1066" s="223"/>
      <c r="R1066" s="223"/>
      <c r="S1066" s="223"/>
      <c r="T1066" s="223"/>
      <c r="U1066" s="223"/>
      <c r="V1066" s="223"/>
      <c r="W1066" s="223"/>
      <c r="X1066" s="223"/>
      <c r="Y1066" s="223"/>
      <c r="Z1066" s="223"/>
    </row>
    <row r="1067">
      <c r="A1067" s="223" t="str">
        <f>IFERROR(__xludf.DUMMYFUNCTION("""COMPUTED_VALUE"""),"Wallack's Art Supplies : Monthly Services")</f>
        <v>Wallack's Art Supplies : Monthly Services</v>
      </c>
      <c r="B1067" s="223" t="str">
        <f>IFERROR(__xludf.DUMMYFUNCTION("""COMPUTED_VALUE"""),"Wallack's Art Supplies")</f>
        <v>Wallack's Art Supplies</v>
      </c>
      <c r="C1067" s="223" t="str">
        <f>IFERROR(__xludf.DUMMYFUNCTION("""COMPUTED_VALUE"""),"Monthly Services")</f>
        <v>Monthly Services</v>
      </c>
      <c r="D1067" s="316">
        <f>IFERROR(__xludf.DUMMYFUNCTION("""COMPUTED_VALUE"""),44530.0)</f>
        <v>44530</v>
      </c>
      <c r="E1067" s="298"/>
      <c r="F1067" s="298"/>
      <c r="G1067" s="298"/>
      <c r="H1067" s="223"/>
      <c r="I1067" s="298">
        <f>IFERROR(__xludf.DUMMYFUNCTION("""COMPUTED_VALUE"""),60.0)</f>
        <v>60</v>
      </c>
      <c r="J1067" s="223" t="str">
        <f>IFERROR(__xludf.DUMMYFUNCTION("""COMPUTED_VALUE"""),"Monthly")</f>
        <v>Monthly</v>
      </c>
      <c r="K1067" s="317">
        <f>IFERROR(__xludf.DUMMYFUNCTION("""COMPUTED_VALUE"""),2021.11)</f>
        <v>2021.11</v>
      </c>
      <c r="L1067" s="298"/>
      <c r="M1067" s="223"/>
      <c r="N1067" s="223"/>
      <c r="O1067" s="223"/>
      <c r="P1067" s="223"/>
      <c r="Q1067" s="223"/>
      <c r="R1067" s="223"/>
      <c r="S1067" s="223"/>
      <c r="T1067" s="223"/>
      <c r="U1067" s="223"/>
      <c r="V1067" s="223"/>
      <c r="W1067" s="223"/>
      <c r="X1067" s="223"/>
      <c r="Y1067" s="223"/>
      <c r="Z1067" s="223"/>
    </row>
    <row r="1068">
      <c r="A1068" s="223" t="str">
        <f>IFERROR(__xludf.DUMMYFUNCTION("""COMPUTED_VALUE"""),"TisBest : Monthly Services")</f>
        <v>TisBest : Monthly Services</v>
      </c>
      <c r="B1068" s="223" t="str">
        <f>IFERROR(__xludf.DUMMYFUNCTION("""COMPUTED_VALUE"""),"TisBest")</f>
        <v>TisBest</v>
      </c>
      <c r="C1068" s="223" t="str">
        <f>IFERROR(__xludf.DUMMYFUNCTION("""COMPUTED_VALUE"""),"Monthly Services")</f>
        <v>Monthly Services</v>
      </c>
      <c r="D1068" s="316">
        <f>IFERROR(__xludf.DUMMYFUNCTION("""COMPUTED_VALUE"""),44530.0)</f>
        <v>44530</v>
      </c>
      <c r="E1068" s="298"/>
      <c r="F1068" s="298"/>
      <c r="G1068" s="298"/>
      <c r="H1068" s="223"/>
      <c r="I1068" s="298">
        <f>IFERROR(__xludf.DUMMYFUNCTION("""COMPUTED_VALUE"""),587.5)</f>
        <v>587.5</v>
      </c>
      <c r="J1068" s="223" t="str">
        <f>IFERROR(__xludf.DUMMYFUNCTION("""COMPUTED_VALUE"""),"Monthly")</f>
        <v>Monthly</v>
      </c>
      <c r="K1068" s="317">
        <f>IFERROR(__xludf.DUMMYFUNCTION("""COMPUTED_VALUE"""),2021.11)</f>
        <v>2021.11</v>
      </c>
      <c r="L1068" s="298"/>
      <c r="M1068" s="223"/>
      <c r="N1068" s="223"/>
      <c r="O1068" s="223"/>
      <c r="P1068" s="223"/>
      <c r="Q1068" s="223"/>
      <c r="R1068" s="223"/>
      <c r="S1068" s="223"/>
      <c r="T1068" s="223"/>
      <c r="U1068" s="223"/>
      <c r="V1068" s="223"/>
      <c r="W1068" s="223"/>
      <c r="X1068" s="223"/>
      <c r="Y1068" s="223"/>
      <c r="Z1068" s="223"/>
    </row>
    <row r="1069">
      <c r="A1069" s="223" t="str">
        <f>IFERROR(__xludf.DUMMYFUNCTION("""COMPUTED_VALUE"""),"Arazy Group : Monthly Services")</f>
        <v>Arazy Group : Monthly Services</v>
      </c>
      <c r="B1069" s="223" t="str">
        <f>IFERROR(__xludf.DUMMYFUNCTION("""COMPUTED_VALUE"""),"Arazy Group")</f>
        <v>Arazy Group</v>
      </c>
      <c r="C1069" s="223" t="str">
        <f>IFERROR(__xludf.DUMMYFUNCTION("""COMPUTED_VALUE"""),"Monthly Services")</f>
        <v>Monthly Services</v>
      </c>
      <c r="D1069" s="316">
        <f>IFERROR(__xludf.DUMMYFUNCTION("""COMPUTED_VALUE"""),44530.0)</f>
        <v>44530</v>
      </c>
      <c r="E1069" s="298"/>
      <c r="F1069" s="298"/>
      <c r="G1069" s="298"/>
      <c r="H1069" s="223"/>
      <c r="I1069" s="298">
        <f>IFERROR(__xludf.DUMMYFUNCTION("""COMPUTED_VALUE"""),297.5)</f>
        <v>297.5</v>
      </c>
      <c r="J1069" s="223" t="str">
        <f>IFERROR(__xludf.DUMMYFUNCTION("""COMPUTED_VALUE"""),"Monthly")</f>
        <v>Monthly</v>
      </c>
      <c r="K1069" s="317">
        <f>IFERROR(__xludf.DUMMYFUNCTION("""COMPUTED_VALUE"""),2021.11)</f>
        <v>2021.11</v>
      </c>
      <c r="L1069" s="298"/>
      <c r="M1069" s="223"/>
      <c r="N1069" s="223"/>
      <c r="O1069" s="223"/>
      <c r="P1069" s="223"/>
      <c r="Q1069" s="223"/>
      <c r="R1069" s="223"/>
      <c r="S1069" s="223"/>
      <c r="T1069" s="223"/>
      <c r="U1069" s="223"/>
      <c r="V1069" s="223"/>
      <c r="W1069" s="223"/>
      <c r="X1069" s="223"/>
      <c r="Y1069" s="223"/>
      <c r="Z1069" s="223"/>
    </row>
    <row r="1070">
      <c r="A1070" s="223" t="str">
        <f>IFERROR(__xludf.DUMMYFUNCTION("""COMPUTED_VALUE"""),"Booginhead : Monthly Services")</f>
        <v>Booginhead : Monthly Services</v>
      </c>
      <c r="B1070" s="223" t="str">
        <f>IFERROR(__xludf.DUMMYFUNCTION("""COMPUTED_VALUE"""),"Booginhead")</f>
        <v>Booginhead</v>
      </c>
      <c r="C1070" s="223" t="str">
        <f>IFERROR(__xludf.DUMMYFUNCTION("""COMPUTED_VALUE"""),"Monthly Services")</f>
        <v>Monthly Services</v>
      </c>
      <c r="D1070" s="316">
        <f>IFERROR(__xludf.DUMMYFUNCTION("""COMPUTED_VALUE"""),44530.0)</f>
        <v>44530</v>
      </c>
      <c r="E1070" s="298"/>
      <c r="F1070" s="298"/>
      <c r="G1070" s="298"/>
      <c r="H1070" s="223"/>
      <c r="I1070" s="298">
        <f>IFERROR(__xludf.DUMMYFUNCTION("""COMPUTED_VALUE"""),495.0)</f>
        <v>495</v>
      </c>
      <c r="J1070" s="223" t="str">
        <f>IFERROR(__xludf.DUMMYFUNCTION("""COMPUTED_VALUE"""),"Monthly")</f>
        <v>Monthly</v>
      </c>
      <c r="K1070" s="317">
        <f>IFERROR(__xludf.DUMMYFUNCTION("""COMPUTED_VALUE"""),2021.11)</f>
        <v>2021.11</v>
      </c>
      <c r="L1070" s="298"/>
      <c r="M1070" s="223"/>
      <c r="N1070" s="223"/>
      <c r="O1070" s="223"/>
      <c r="P1070" s="223"/>
      <c r="Q1070" s="223"/>
      <c r="R1070" s="223"/>
      <c r="S1070" s="223"/>
      <c r="T1070" s="223"/>
      <c r="U1070" s="223"/>
      <c r="V1070" s="223"/>
      <c r="W1070" s="223"/>
      <c r="X1070" s="223"/>
      <c r="Y1070" s="223"/>
      <c r="Z1070" s="223"/>
    </row>
    <row r="1071">
      <c r="A1071" s="223" t="str">
        <f>IFERROR(__xludf.DUMMYFUNCTION("""COMPUTED_VALUE"""),"Service First : Monthly Services")</f>
        <v>Service First : Monthly Services</v>
      </c>
      <c r="B1071" s="223" t="str">
        <f>IFERROR(__xludf.DUMMYFUNCTION("""COMPUTED_VALUE"""),"Service First")</f>
        <v>Service First</v>
      </c>
      <c r="C1071" s="223" t="str">
        <f>IFERROR(__xludf.DUMMYFUNCTION("""COMPUTED_VALUE"""),"Monthly Services")</f>
        <v>Monthly Services</v>
      </c>
      <c r="D1071" s="316">
        <f>IFERROR(__xludf.DUMMYFUNCTION("""COMPUTED_VALUE"""),44530.0)</f>
        <v>44530</v>
      </c>
      <c r="E1071" s="298"/>
      <c r="F1071" s="298"/>
      <c r="G1071" s="298"/>
      <c r="H1071" s="223"/>
      <c r="I1071" s="298">
        <f>IFERROR(__xludf.DUMMYFUNCTION("""COMPUTED_VALUE"""),30.0)</f>
        <v>30</v>
      </c>
      <c r="J1071" s="223" t="str">
        <f>IFERROR(__xludf.DUMMYFUNCTION("""COMPUTED_VALUE"""),"Monthly")</f>
        <v>Monthly</v>
      </c>
      <c r="K1071" s="317">
        <f>IFERROR(__xludf.DUMMYFUNCTION("""COMPUTED_VALUE"""),2021.11)</f>
        <v>2021.11</v>
      </c>
      <c r="L1071" s="298"/>
      <c r="M1071" s="223"/>
      <c r="N1071" s="223"/>
      <c r="O1071" s="223"/>
      <c r="P1071" s="223"/>
      <c r="Q1071" s="223"/>
      <c r="R1071" s="223"/>
      <c r="S1071" s="223"/>
      <c r="T1071" s="223"/>
      <c r="U1071" s="223"/>
      <c r="V1071" s="223"/>
      <c r="W1071" s="223"/>
      <c r="X1071" s="223"/>
      <c r="Y1071" s="223"/>
      <c r="Z1071" s="223"/>
    </row>
    <row r="1072">
      <c r="A1072" s="223" t="str">
        <f>IFERROR(__xludf.DUMMYFUNCTION("""COMPUTED_VALUE"""),"Tofino Resort + Marina : Monthly Services")</f>
        <v>Tofino Resort + Marina : Monthly Services</v>
      </c>
      <c r="B1072" s="223" t="str">
        <f>IFERROR(__xludf.DUMMYFUNCTION("""COMPUTED_VALUE"""),"Tofino Resort + Marina")</f>
        <v>Tofino Resort + Marina</v>
      </c>
      <c r="C1072" s="223" t="str">
        <f>IFERROR(__xludf.DUMMYFUNCTION("""COMPUTED_VALUE"""),"Monthly Services")</f>
        <v>Monthly Services</v>
      </c>
      <c r="D1072" s="316">
        <f>IFERROR(__xludf.DUMMYFUNCTION("""COMPUTED_VALUE"""),44530.0)</f>
        <v>44530</v>
      </c>
      <c r="E1072" s="298"/>
      <c r="F1072" s="298"/>
      <c r="G1072" s="298"/>
      <c r="H1072" s="223"/>
      <c r="I1072" s="298">
        <f>IFERROR(__xludf.DUMMYFUNCTION("""COMPUTED_VALUE"""),350.0)</f>
        <v>350</v>
      </c>
      <c r="J1072" s="223" t="str">
        <f>IFERROR(__xludf.DUMMYFUNCTION("""COMPUTED_VALUE"""),"Monthly")</f>
        <v>Monthly</v>
      </c>
      <c r="K1072" s="317">
        <f>IFERROR(__xludf.DUMMYFUNCTION("""COMPUTED_VALUE"""),2021.11)</f>
        <v>2021.11</v>
      </c>
      <c r="L1072" s="298"/>
      <c r="M1072" s="223"/>
      <c r="N1072" s="223"/>
      <c r="O1072" s="223"/>
      <c r="P1072" s="223"/>
      <c r="Q1072" s="223"/>
      <c r="R1072" s="223"/>
      <c r="S1072" s="223"/>
      <c r="T1072" s="223"/>
      <c r="U1072" s="223"/>
      <c r="V1072" s="223"/>
      <c r="W1072" s="223"/>
      <c r="X1072" s="223"/>
      <c r="Y1072" s="223"/>
      <c r="Z1072" s="223"/>
    </row>
    <row r="1073">
      <c r="A1073" s="223" t="str">
        <f>IFERROR(__xludf.DUMMYFUNCTION("""COMPUTED_VALUE"""),"Life UNPacked : Monthly Services")</f>
        <v>Life UNPacked : Monthly Services</v>
      </c>
      <c r="B1073" s="223" t="str">
        <f>IFERROR(__xludf.DUMMYFUNCTION("""COMPUTED_VALUE"""),"Life UNPacked")</f>
        <v>Life UNPacked</v>
      </c>
      <c r="C1073" s="223" t="str">
        <f>IFERROR(__xludf.DUMMYFUNCTION("""COMPUTED_VALUE"""),"Monthly Services")</f>
        <v>Monthly Services</v>
      </c>
      <c r="D1073" s="316">
        <f>IFERROR(__xludf.DUMMYFUNCTION("""COMPUTED_VALUE"""),44530.0)</f>
        <v>44530</v>
      </c>
      <c r="E1073" s="298"/>
      <c r="F1073" s="298"/>
      <c r="G1073" s="298"/>
      <c r="H1073" s="223"/>
      <c r="I1073" s="298">
        <f>IFERROR(__xludf.DUMMYFUNCTION("""COMPUTED_VALUE"""),257.5)</f>
        <v>257.5</v>
      </c>
      <c r="J1073" s="223" t="str">
        <f>IFERROR(__xludf.DUMMYFUNCTION("""COMPUTED_VALUE"""),"Monthly")</f>
        <v>Monthly</v>
      </c>
      <c r="K1073" s="317">
        <f>IFERROR(__xludf.DUMMYFUNCTION("""COMPUTED_VALUE"""),2021.11)</f>
        <v>2021.11</v>
      </c>
      <c r="L1073" s="298"/>
      <c r="M1073" s="223"/>
      <c r="N1073" s="223"/>
      <c r="O1073" s="223"/>
      <c r="P1073" s="223"/>
      <c r="Q1073" s="223"/>
      <c r="R1073" s="223"/>
      <c r="S1073" s="223"/>
      <c r="T1073" s="223"/>
      <c r="U1073" s="223"/>
      <c r="V1073" s="223"/>
      <c r="W1073" s="223"/>
      <c r="X1073" s="223"/>
      <c r="Y1073" s="223"/>
      <c r="Z1073" s="223"/>
    </row>
    <row r="1074">
      <c r="A1074" s="223" t="str">
        <f>IFERROR(__xludf.DUMMYFUNCTION("""COMPUTED_VALUE"""),"Olivia Shoppe : Monthly Services")</f>
        <v>Olivia Shoppe : Monthly Services</v>
      </c>
      <c r="B1074" s="223" t="str">
        <f>IFERROR(__xludf.DUMMYFUNCTION("""COMPUTED_VALUE"""),"Olivia Shoppe")</f>
        <v>Olivia Shoppe</v>
      </c>
      <c r="C1074" s="223" t="str">
        <f>IFERROR(__xludf.DUMMYFUNCTION("""COMPUTED_VALUE"""),"Monthly Services")</f>
        <v>Monthly Services</v>
      </c>
      <c r="D1074" s="316">
        <f>IFERROR(__xludf.DUMMYFUNCTION("""COMPUTED_VALUE"""),44530.0)</f>
        <v>44530</v>
      </c>
      <c r="E1074" s="298"/>
      <c r="F1074" s="298"/>
      <c r="G1074" s="298"/>
      <c r="H1074" s="223"/>
      <c r="I1074" s="298">
        <f>IFERROR(__xludf.DUMMYFUNCTION("""COMPUTED_VALUE"""),310.0)</f>
        <v>310</v>
      </c>
      <c r="J1074" s="223" t="str">
        <f>IFERROR(__xludf.DUMMYFUNCTION("""COMPUTED_VALUE"""),"Monthly")</f>
        <v>Monthly</v>
      </c>
      <c r="K1074" s="317">
        <f>IFERROR(__xludf.DUMMYFUNCTION("""COMPUTED_VALUE"""),2021.11)</f>
        <v>2021.11</v>
      </c>
      <c r="L1074" s="298"/>
      <c r="M1074" s="223"/>
      <c r="N1074" s="223"/>
      <c r="O1074" s="223"/>
      <c r="P1074" s="223"/>
      <c r="Q1074" s="223"/>
      <c r="R1074" s="223"/>
      <c r="S1074" s="223"/>
      <c r="T1074" s="223"/>
      <c r="U1074" s="223"/>
      <c r="V1074" s="223"/>
      <c r="W1074" s="223"/>
      <c r="X1074" s="223"/>
      <c r="Y1074" s="223"/>
      <c r="Z1074" s="223"/>
    </row>
    <row r="1075">
      <c r="A1075" s="223" t="str">
        <f>IFERROR(__xludf.DUMMYFUNCTION("""COMPUTED_VALUE"""),"BookKing (Pacific Tier) : Monthly Services")</f>
        <v>BookKing (Pacific Tier) : Monthly Services</v>
      </c>
      <c r="B1075" s="223" t="str">
        <f>IFERROR(__xludf.DUMMYFUNCTION("""COMPUTED_VALUE"""),"BookKing (Pacific Tier)")</f>
        <v>BookKing (Pacific Tier)</v>
      </c>
      <c r="C1075" s="223" t="str">
        <f>IFERROR(__xludf.DUMMYFUNCTION("""COMPUTED_VALUE"""),"Monthly Services")</f>
        <v>Monthly Services</v>
      </c>
      <c r="D1075" s="316">
        <f>IFERROR(__xludf.DUMMYFUNCTION("""COMPUTED_VALUE"""),44530.0)</f>
        <v>44530</v>
      </c>
      <c r="E1075" s="298"/>
      <c r="F1075" s="298"/>
      <c r="G1075" s="298"/>
      <c r="H1075" s="223"/>
      <c r="I1075" s="298">
        <f>IFERROR(__xludf.DUMMYFUNCTION("""COMPUTED_VALUE"""),75.0)</f>
        <v>75</v>
      </c>
      <c r="J1075" s="223" t="str">
        <f>IFERROR(__xludf.DUMMYFUNCTION("""COMPUTED_VALUE"""),"Monthly")</f>
        <v>Monthly</v>
      </c>
      <c r="K1075" s="317">
        <f>IFERROR(__xludf.DUMMYFUNCTION("""COMPUTED_VALUE"""),2021.11)</f>
        <v>2021.11</v>
      </c>
      <c r="L1075" s="298"/>
      <c r="M1075" s="223"/>
      <c r="N1075" s="223"/>
      <c r="O1075" s="223"/>
      <c r="P1075" s="223"/>
      <c r="Q1075" s="223"/>
      <c r="R1075" s="223"/>
      <c r="S1075" s="223"/>
      <c r="T1075" s="223"/>
      <c r="U1075" s="223"/>
      <c r="V1075" s="223"/>
      <c r="W1075" s="223"/>
      <c r="X1075" s="223"/>
      <c r="Y1075" s="223"/>
      <c r="Z1075" s="223"/>
    </row>
    <row r="1076">
      <c r="A1076" s="223" t="str">
        <f>IFERROR(__xludf.DUMMYFUNCTION("""COMPUTED_VALUE"""),"Tires Easy : Monthly Services for Tires-Easy.com")</f>
        <v>Tires Easy : Monthly Services for Tires-Easy.com</v>
      </c>
      <c r="B1076" s="223" t="str">
        <f>IFERROR(__xludf.DUMMYFUNCTION("""COMPUTED_VALUE"""),"Tires Easy")</f>
        <v>Tires Easy</v>
      </c>
      <c r="C1076" s="223" t="str">
        <f>IFERROR(__xludf.DUMMYFUNCTION("""COMPUTED_VALUE"""),"Monthly Services for Tires-Easy.com")</f>
        <v>Monthly Services for Tires-Easy.com</v>
      </c>
      <c r="D1076" s="316">
        <f>IFERROR(__xludf.DUMMYFUNCTION("""COMPUTED_VALUE"""),44530.0)</f>
        <v>44530</v>
      </c>
      <c r="E1076" s="298"/>
      <c r="F1076" s="298"/>
      <c r="G1076" s="298"/>
      <c r="H1076" s="223"/>
      <c r="I1076" s="298">
        <f>IFERROR(__xludf.DUMMYFUNCTION("""COMPUTED_VALUE"""),180.0)</f>
        <v>180</v>
      </c>
      <c r="J1076" s="223" t="str">
        <f>IFERROR(__xludf.DUMMYFUNCTION("""COMPUTED_VALUE"""),"Monthly")</f>
        <v>Monthly</v>
      </c>
      <c r="K1076" s="317">
        <f>IFERROR(__xludf.DUMMYFUNCTION("""COMPUTED_VALUE"""),2021.11)</f>
        <v>2021.11</v>
      </c>
      <c r="L1076" s="298"/>
      <c r="M1076" s="223"/>
      <c r="N1076" s="223"/>
      <c r="O1076" s="223"/>
      <c r="P1076" s="223"/>
      <c r="Q1076" s="223"/>
      <c r="R1076" s="223"/>
      <c r="S1076" s="223"/>
      <c r="T1076" s="223"/>
      <c r="U1076" s="223"/>
      <c r="V1076" s="223"/>
      <c r="W1076" s="223"/>
      <c r="X1076" s="223"/>
      <c r="Y1076" s="223"/>
      <c r="Z1076" s="223"/>
    </row>
    <row r="1077">
      <c r="A1077" s="223" t="str">
        <f>IFERROR(__xludf.DUMMYFUNCTION("""COMPUTED_VALUE"""),"Giga Tires : Monthly Services")</f>
        <v>Giga Tires : Monthly Services</v>
      </c>
      <c r="B1077" s="223" t="str">
        <f>IFERROR(__xludf.DUMMYFUNCTION("""COMPUTED_VALUE"""),"Giga Tires")</f>
        <v>Giga Tires</v>
      </c>
      <c r="C1077" s="223" t="str">
        <f>IFERROR(__xludf.DUMMYFUNCTION("""COMPUTED_VALUE"""),"Monthly Services")</f>
        <v>Monthly Services</v>
      </c>
      <c r="D1077" s="316">
        <f>IFERROR(__xludf.DUMMYFUNCTION("""COMPUTED_VALUE"""),44530.0)</f>
        <v>44530</v>
      </c>
      <c r="E1077" s="298"/>
      <c r="F1077" s="298"/>
      <c r="G1077" s="298"/>
      <c r="H1077" s="223"/>
      <c r="I1077" s="298">
        <f>IFERROR(__xludf.DUMMYFUNCTION("""COMPUTED_VALUE"""),180.0)</f>
        <v>180</v>
      </c>
      <c r="J1077" s="223" t="str">
        <f>IFERROR(__xludf.DUMMYFUNCTION("""COMPUTED_VALUE"""),"Monthly")</f>
        <v>Monthly</v>
      </c>
      <c r="K1077" s="317">
        <f>IFERROR(__xludf.DUMMYFUNCTION("""COMPUTED_VALUE"""),2021.11)</f>
        <v>2021.11</v>
      </c>
      <c r="L1077" s="298"/>
      <c r="M1077" s="223"/>
      <c r="N1077" s="223"/>
      <c r="O1077" s="223"/>
      <c r="P1077" s="223"/>
      <c r="Q1077" s="223"/>
      <c r="R1077" s="223"/>
      <c r="S1077" s="223"/>
      <c r="T1077" s="223"/>
      <c r="U1077" s="223"/>
      <c r="V1077" s="223"/>
      <c r="W1077" s="223"/>
      <c r="X1077" s="223"/>
      <c r="Y1077" s="223"/>
      <c r="Z1077" s="223"/>
    </row>
    <row r="1078">
      <c r="A1078" s="223" t="str">
        <f>IFERROR(__xludf.DUMMYFUNCTION("""COMPUTED_VALUE"""),"MortgagePal : Monthly Services")</f>
        <v>MortgagePal : Monthly Services</v>
      </c>
      <c r="B1078" s="223" t="str">
        <f>IFERROR(__xludf.DUMMYFUNCTION("""COMPUTED_VALUE"""),"MortgagePal")</f>
        <v>MortgagePal</v>
      </c>
      <c r="C1078" s="223" t="str">
        <f>IFERROR(__xludf.DUMMYFUNCTION("""COMPUTED_VALUE"""),"Monthly Services")</f>
        <v>Monthly Services</v>
      </c>
      <c r="D1078" s="316">
        <f>IFERROR(__xludf.DUMMYFUNCTION("""COMPUTED_VALUE"""),44530.0)</f>
        <v>44530</v>
      </c>
      <c r="E1078" s="298"/>
      <c r="F1078" s="298"/>
      <c r="G1078" s="298"/>
      <c r="H1078" s="223"/>
      <c r="I1078" s="298">
        <f>IFERROR(__xludf.DUMMYFUNCTION("""COMPUTED_VALUE"""),45.0)</f>
        <v>45</v>
      </c>
      <c r="J1078" s="223" t="str">
        <f>IFERROR(__xludf.DUMMYFUNCTION("""COMPUTED_VALUE"""),"Monthly")</f>
        <v>Monthly</v>
      </c>
      <c r="K1078" s="317">
        <f>IFERROR(__xludf.DUMMYFUNCTION("""COMPUTED_VALUE"""),2021.11)</f>
        <v>2021.11</v>
      </c>
      <c r="L1078" s="298"/>
      <c r="M1078" s="223"/>
      <c r="N1078" s="223"/>
      <c r="O1078" s="223"/>
      <c r="P1078" s="223"/>
      <c r="Q1078" s="223"/>
      <c r="R1078" s="223"/>
      <c r="S1078" s="223"/>
      <c r="T1078" s="223"/>
      <c r="U1078" s="223"/>
      <c r="V1078" s="223"/>
      <c r="W1078" s="223"/>
      <c r="X1078" s="223"/>
      <c r="Y1078" s="223"/>
      <c r="Z1078" s="223"/>
    </row>
    <row r="1079">
      <c r="A1079" s="223" t="str">
        <f>IFERROR(__xludf.DUMMYFUNCTION("""COMPUTED_VALUE"""),"Spraggs : Monthly Services")</f>
        <v>Spraggs : Monthly Services</v>
      </c>
      <c r="B1079" s="223" t="str">
        <f>IFERROR(__xludf.DUMMYFUNCTION("""COMPUTED_VALUE"""),"Spraggs")</f>
        <v>Spraggs</v>
      </c>
      <c r="C1079" s="223" t="str">
        <f>IFERROR(__xludf.DUMMYFUNCTION("""COMPUTED_VALUE"""),"Monthly Services")</f>
        <v>Monthly Services</v>
      </c>
      <c r="D1079" s="316">
        <f>IFERROR(__xludf.DUMMYFUNCTION("""COMPUTED_VALUE"""),44530.0)</f>
        <v>44530</v>
      </c>
      <c r="E1079" s="298"/>
      <c r="F1079" s="298"/>
      <c r="G1079" s="298"/>
      <c r="H1079" s="223"/>
      <c r="I1079" s="298">
        <f>IFERROR(__xludf.DUMMYFUNCTION("""COMPUTED_VALUE"""),575.0)</f>
        <v>575</v>
      </c>
      <c r="J1079" s="223" t="str">
        <f>IFERROR(__xludf.DUMMYFUNCTION("""COMPUTED_VALUE"""),"Monthly")</f>
        <v>Monthly</v>
      </c>
      <c r="K1079" s="317">
        <f>IFERROR(__xludf.DUMMYFUNCTION("""COMPUTED_VALUE"""),2021.11)</f>
        <v>2021.11</v>
      </c>
      <c r="L1079" s="298"/>
      <c r="M1079" s="223"/>
      <c r="N1079" s="223"/>
      <c r="O1079" s="223"/>
      <c r="P1079" s="223"/>
      <c r="Q1079" s="223"/>
      <c r="R1079" s="223"/>
      <c r="S1079" s="223"/>
      <c r="T1079" s="223"/>
      <c r="U1079" s="223"/>
      <c r="V1079" s="223"/>
      <c r="W1079" s="223"/>
      <c r="X1079" s="223"/>
      <c r="Y1079" s="223"/>
      <c r="Z1079" s="223"/>
    </row>
    <row r="1080">
      <c r="A1080" s="223" t="str">
        <f>IFERROR(__xludf.DUMMYFUNCTION("""COMPUTED_VALUE"""),"Diversified Health : Monthly Services")</f>
        <v>Diversified Health : Monthly Services</v>
      </c>
      <c r="B1080" s="223" t="str">
        <f>IFERROR(__xludf.DUMMYFUNCTION("""COMPUTED_VALUE"""),"Diversified Health")</f>
        <v>Diversified Health</v>
      </c>
      <c r="C1080" s="223" t="str">
        <f>IFERROR(__xludf.DUMMYFUNCTION("""COMPUTED_VALUE"""),"Monthly Services")</f>
        <v>Monthly Services</v>
      </c>
      <c r="D1080" s="316">
        <f>IFERROR(__xludf.DUMMYFUNCTION("""COMPUTED_VALUE"""),44530.0)</f>
        <v>44530</v>
      </c>
      <c r="E1080" s="298"/>
      <c r="F1080" s="298"/>
      <c r="G1080" s="298"/>
      <c r="H1080" s="223"/>
      <c r="I1080" s="298">
        <f>IFERROR(__xludf.DUMMYFUNCTION("""COMPUTED_VALUE"""),475.0)</f>
        <v>475</v>
      </c>
      <c r="J1080" s="223" t="str">
        <f>IFERROR(__xludf.DUMMYFUNCTION("""COMPUTED_VALUE"""),"Monthly")</f>
        <v>Monthly</v>
      </c>
      <c r="K1080" s="317">
        <f>IFERROR(__xludf.DUMMYFUNCTION("""COMPUTED_VALUE"""),2021.11)</f>
        <v>2021.11</v>
      </c>
      <c r="L1080" s="298"/>
      <c r="M1080" s="223"/>
      <c r="N1080" s="223"/>
      <c r="O1080" s="223"/>
      <c r="P1080" s="223"/>
      <c r="Q1080" s="223"/>
      <c r="R1080" s="223"/>
      <c r="S1080" s="223"/>
      <c r="T1080" s="223"/>
      <c r="U1080" s="223"/>
      <c r="V1080" s="223"/>
      <c r="W1080" s="223"/>
      <c r="X1080" s="223"/>
      <c r="Y1080" s="223"/>
      <c r="Z1080" s="223"/>
    </row>
    <row r="1081">
      <c r="A1081" s="223" t="str">
        <f>IFERROR(__xludf.DUMMYFUNCTION("""COMPUTED_VALUE"""),"Bratopia : Monthly Services")</f>
        <v>Bratopia : Monthly Services</v>
      </c>
      <c r="B1081" s="223" t="str">
        <f>IFERROR(__xludf.DUMMYFUNCTION("""COMPUTED_VALUE"""),"Bratopia")</f>
        <v>Bratopia</v>
      </c>
      <c r="C1081" s="223" t="str">
        <f>IFERROR(__xludf.DUMMYFUNCTION("""COMPUTED_VALUE"""),"Monthly Services")</f>
        <v>Monthly Services</v>
      </c>
      <c r="D1081" s="316">
        <f>IFERROR(__xludf.DUMMYFUNCTION("""COMPUTED_VALUE"""),44530.0)</f>
        <v>44530</v>
      </c>
      <c r="E1081" s="298"/>
      <c r="F1081" s="298"/>
      <c r="G1081" s="298"/>
      <c r="H1081" s="223"/>
      <c r="I1081" s="298">
        <f>IFERROR(__xludf.DUMMYFUNCTION("""COMPUTED_VALUE"""),350.0)</f>
        <v>350</v>
      </c>
      <c r="J1081" s="223" t="str">
        <f>IFERROR(__xludf.DUMMYFUNCTION("""COMPUTED_VALUE"""),"Monthly")</f>
        <v>Monthly</v>
      </c>
      <c r="K1081" s="317">
        <f>IFERROR(__xludf.DUMMYFUNCTION("""COMPUTED_VALUE"""),2021.11)</f>
        <v>2021.11</v>
      </c>
      <c r="L1081" s="298"/>
      <c r="M1081" s="223"/>
      <c r="N1081" s="223"/>
      <c r="O1081" s="223"/>
      <c r="P1081" s="223"/>
      <c r="Q1081" s="223"/>
      <c r="R1081" s="223"/>
      <c r="S1081" s="223"/>
      <c r="T1081" s="223"/>
      <c r="U1081" s="223"/>
      <c r="V1081" s="223"/>
      <c r="W1081" s="223"/>
      <c r="X1081" s="223"/>
      <c r="Y1081" s="223"/>
      <c r="Z1081" s="223"/>
    </row>
    <row r="1082">
      <c r="A1082" s="223" t="str">
        <f>IFERROR(__xludf.DUMMYFUNCTION("""COMPUTED_VALUE"""),"Tofino Resort + Marina : Monthly Services")</f>
        <v>Tofino Resort + Marina : Monthly Services</v>
      </c>
      <c r="B1082" s="223" t="str">
        <f>IFERROR(__xludf.DUMMYFUNCTION("""COMPUTED_VALUE"""),"Tofino Resort + Marina")</f>
        <v>Tofino Resort + Marina</v>
      </c>
      <c r="C1082" s="223" t="str">
        <f>IFERROR(__xludf.DUMMYFUNCTION("""COMPUTED_VALUE"""),"Monthly Services")</f>
        <v>Monthly Services</v>
      </c>
      <c r="D1082" s="316">
        <f>IFERROR(__xludf.DUMMYFUNCTION("""COMPUTED_VALUE"""),44530.0)</f>
        <v>44530</v>
      </c>
      <c r="E1082" s="298"/>
      <c r="F1082" s="298"/>
      <c r="G1082" s="298"/>
      <c r="H1082" s="223"/>
      <c r="I1082" s="298">
        <f>IFERROR(__xludf.DUMMYFUNCTION("""COMPUTED_VALUE"""),400.0)</f>
        <v>400</v>
      </c>
      <c r="J1082" s="223" t="str">
        <f>IFERROR(__xludf.DUMMYFUNCTION("""COMPUTED_VALUE"""),"Monthly")</f>
        <v>Monthly</v>
      </c>
      <c r="K1082" s="317">
        <f>IFERROR(__xludf.DUMMYFUNCTION("""COMPUTED_VALUE"""),2021.11)</f>
        <v>2021.11</v>
      </c>
      <c r="L1082" s="298"/>
      <c r="M1082" s="223"/>
      <c r="N1082" s="223"/>
      <c r="O1082" s="223"/>
      <c r="P1082" s="223"/>
      <c r="Q1082" s="223"/>
      <c r="R1082" s="223"/>
      <c r="S1082" s="223"/>
      <c r="T1082" s="223"/>
      <c r="U1082" s="223"/>
      <c r="V1082" s="223"/>
      <c r="W1082" s="223"/>
      <c r="X1082" s="223"/>
      <c r="Y1082" s="223"/>
      <c r="Z1082" s="223"/>
    </row>
    <row r="1083">
      <c r="A1083" s="223" t="str">
        <f>IFERROR(__xludf.DUMMYFUNCTION("""COMPUTED_VALUE"""),"Tuscany : Monthly Services")</f>
        <v>Tuscany : Monthly Services</v>
      </c>
      <c r="B1083" s="223" t="str">
        <f>IFERROR(__xludf.DUMMYFUNCTION("""COMPUTED_VALUE"""),"Tuscany")</f>
        <v>Tuscany</v>
      </c>
      <c r="C1083" s="223" t="str">
        <f>IFERROR(__xludf.DUMMYFUNCTION("""COMPUTED_VALUE"""),"Monthly Services")</f>
        <v>Monthly Services</v>
      </c>
      <c r="D1083" s="316">
        <f>IFERROR(__xludf.DUMMYFUNCTION("""COMPUTED_VALUE"""),44530.0)</f>
        <v>44530</v>
      </c>
      <c r="E1083" s="298"/>
      <c r="F1083" s="298"/>
      <c r="G1083" s="298"/>
      <c r="H1083" s="223"/>
      <c r="I1083" s="298">
        <f>IFERROR(__xludf.DUMMYFUNCTION("""COMPUTED_VALUE"""),562.5)</f>
        <v>562.5</v>
      </c>
      <c r="J1083" s="223" t="str">
        <f>IFERROR(__xludf.DUMMYFUNCTION("""COMPUTED_VALUE"""),"Monthly")</f>
        <v>Monthly</v>
      </c>
      <c r="K1083" s="317">
        <f>IFERROR(__xludf.DUMMYFUNCTION("""COMPUTED_VALUE"""),2021.11)</f>
        <v>2021.11</v>
      </c>
      <c r="L1083" s="298"/>
      <c r="M1083" s="223"/>
      <c r="N1083" s="223"/>
      <c r="O1083" s="223"/>
      <c r="P1083" s="223"/>
      <c r="Q1083" s="223"/>
      <c r="R1083" s="223"/>
      <c r="S1083" s="223"/>
      <c r="T1083" s="223"/>
      <c r="U1083" s="223"/>
      <c r="V1083" s="223"/>
      <c r="W1083" s="223"/>
      <c r="X1083" s="223"/>
      <c r="Y1083" s="223"/>
      <c r="Z1083" s="223"/>
    </row>
    <row r="1084">
      <c r="A1084" s="223" t="str">
        <f>IFERROR(__xludf.DUMMYFUNCTION("""COMPUTED_VALUE"""),"Venetian : Monthly Services")</f>
        <v>Venetian : Monthly Services</v>
      </c>
      <c r="B1084" s="223" t="str">
        <f>IFERROR(__xludf.DUMMYFUNCTION("""COMPUTED_VALUE"""),"Venetian")</f>
        <v>Venetian</v>
      </c>
      <c r="C1084" s="223" t="str">
        <f>IFERROR(__xludf.DUMMYFUNCTION("""COMPUTED_VALUE"""),"Monthly Services")</f>
        <v>Monthly Services</v>
      </c>
      <c r="D1084" s="316">
        <f>IFERROR(__xludf.DUMMYFUNCTION("""COMPUTED_VALUE"""),44530.0)</f>
        <v>44530</v>
      </c>
      <c r="E1084" s="298"/>
      <c r="F1084" s="298"/>
      <c r="G1084" s="298"/>
      <c r="H1084" s="223"/>
      <c r="I1084" s="298">
        <f>IFERROR(__xludf.DUMMYFUNCTION("""COMPUTED_VALUE"""),562.5)</f>
        <v>562.5</v>
      </c>
      <c r="J1084" s="223" t="str">
        <f>IFERROR(__xludf.DUMMYFUNCTION("""COMPUTED_VALUE"""),"Monthly")</f>
        <v>Monthly</v>
      </c>
      <c r="K1084" s="317">
        <f>IFERROR(__xludf.DUMMYFUNCTION("""COMPUTED_VALUE"""),2021.11)</f>
        <v>2021.11</v>
      </c>
      <c r="L1084" s="298"/>
      <c r="M1084" s="223"/>
      <c r="N1084" s="223"/>
      <c r="O1084" s="223"/>
      <c r="P1084" s="223"/>
      <c r="Q1084" s="223"/>
      <c r="R1084" s="223"/>
      <c r="S1084" s="223"/>
      <c r="T1084" s="223"/>
      <c r="U1084" s="223"/>
      <c r="V1084" s="223"/>
      <c r="W1084" s="223"/>
      <c r="X1084" s="223"/>
      <c r="Y1084" s="223"/>
      <c r="Z1084" s="223"/>
    </row>
    <row r="1085">
      <c r="A1085" s="223" t="str">
        <f>IFERROR(__xludf.DUMMYFUNCTION("""COMPUTED_VALUE"""),"TisBest : Monthly Services")</f>
        <v>TisBest : Monthly Services</v>
      </c>
      <c r="B1085" s="223" t="str">
        <f>IFERROR(__xludf.DUMMYFUNCTION("""COMPUTED_VALUE"""),"TisBest")</f>
        <v>TisBest</v>
      </c>
      <c r="C1085" s="223" t="str">
        <f>IFERROR(__xludf.DUMMYFUNCTION("""COMPUTED_VALUE"""),"Monthly Services")</f>
        <v>Monthly Services</v>
      </c>
      <c r="D1085" s="316">
        <f>IFERROR(__xludf.DUMMYFUNCTION("""COMPUTED_VALUE"""),44530.0)</f>
        <v>44530</v>
      </c>
      <c r="E1085" s="298"/>
      <c r="F1085" s="298"/>
      <c r="G1085" s="298"/>
      <c r="H1085" s="223"/>
      <c r="I1085" s="298">
        <f>IFERROR(__xludf.DUMMYFUNCTION("""COMPUTED_VALUE"""),1512.5)</f>
        <v>1512.5</v>
      </c>
      <c r="J1085" s="223" t="str">
        <f>IFERROR(__xludf.DUMMYFUNCTION("""COMPUTED_VALUE"""),"Monthly")</f>
        <v>Monthly</v>
      </c>
      <c r="K1085" s="317">
        <f>IFERROR(__xludf.DUMMYFUNCTION("""COMPUTED_VALUE"""),2021.11)</f>
        <v>2021.11</v>
      </c>
      <c r="L1085" s="298"/>
      <c r="M1085" s="223"/>
      <c r="N1085" s="223"/>
      <c r="O1085" s="223"/>
      <c r="P1085" s="223"/>
      <c r="Q1085" s="223"/>
      <c r="R1085" s="223"/>
      <c r="S1085" s="223"/>
      <c r="T1085" s="223"/>
      <c r="U1085" s="223"/>
      <c r="V1085" s="223"/>
      <c r="W1085" s="223"/>
      <c r="X1085" s="223"/>
      <c r="Y1085" s="223"/>
      <c r="Z1085" s="223"/>
    </row>
    <row r="1086">
      <c r="A1086" s="223" t="str">
        <f>IFERROR(__xludf.DUMMYFUNCTION("""COMPUTED_VALUE"""),"Monk : Monthly Services")</f>
        <v>Monk : Monthly Services</v>
      </c>
      <c r="B1086" s="223" t="str">
        <f>IFERROR(__xludf.DUMMYFUNCTION("""COMPUTED_VALUE"""),"Monk")</f>
        <v>Monk</v>
      </c>
      <c r="C1086" s="223" t="str">
        <f>IFERROR(__xludf.DUMMYFUNCTION("""COMPUTED_VALUE"""),"Monthly Services")</f>
        <v>Monthly Services</v>
      </c>
      <c r="D1086" s="316">
        <f>IFERROR(__xludf.DUMMYFUNCTION("""COMPUTED_VALUE"""),44530.0)</f>
        <v>44530</v>
      </c>
      <c r="E1086" s="298"/>
      <c r="F1086" s="298"/>
      <c r="G1086" s="298"/>
      <c r="H1086" s="223"/>
      <c r="I1086" s="298">
        <f>IFERROR(__xludf.DUMMYFUNCTION("""COMPUTED_VALUE"""),250.0)</f>
        <v>250</v>
      </c>
      <c r="J1086" s="223" t="str">
        <f>IFERROR(__xludf.DUMMYFUNCTION("""COMPUTED_VALUE"""),"Monthly")</f>
        <v>Monthly</v>
      </c>
      <c r="K1086" s="317">
        <f>IFERROR(__xludf.DUMMYFUNCTION("""COMPUTED_VALUE"""),2021.11)</f>
        <v>2021.11</v>
      </c>
      <c r="L1086" s="298"/>
      <c r="M1086" s="223"/>
      <c r="N1086" s="223"/>
      <c r="O1086" s="223"/>
      <c r="P1086" s="223"/>
      <c r="Q1086" s="223"/>
      <c r="R1086" s="223"/>
      <c r="S1086" s="223"/>
      <c r="T1086" s="223"/>
      <c r="U1086" s="223"/>
      <c r="V1086" s="223"/>
      <c r="W1086" s="223"/>
      <c r="X1086" s="223"/>
      <c r="Y1086" s="223"/>
      <c r="Z1086" s="223"/>
    </row>
    <row r="1087">
      <c r="A1087" s="223" t="str">
        <f>IFERROR(__xludf.DUMMYFUNCTION("""COMPUTED_VALUE"""),"Spraggs : Monthly Services")</f>
        <v>Spraggs : Monthly Services</v>
      </c>
      <c r="B1087" s="223" t="str">
        <f>IFERROR(__xludf.DUMMYFUNCTION("""COMPUTED_VALUE"""),"Spraggs")</f>
        <v>Spraggs</v>
      </c>
      <c r="C1087" s="223" t="str">
        <f>IFERROR(__xludf.DUMMYFUNCTION("""COMPUTED_VALUE"""),"Monthly Services")</f>
        <v>Monthly Services</v>
      </c>
      <c r="D1087" s="316">
        <f>IFERROR(__xludf.DUMMYFUNCTION("""COMPUTED_VALUE"""),44530.0)</f>
        <v>44530</v>
      </c>
      <c r="E1087" s="298"/>
      <c r="F1087" s="298"/>
      <c r="G1087" s="298"/>
      <c r="H1087" s="223"/>
      <c r="I1087" s="298">
        <f>IFERROR(__xludf.DUMMYFUNCTION("""COMPUTED_VALUE"""),425.0)</f>
        <v>425</v>
      </c>
      <c r="J1087" s="223" t="str">
        <f>IFERROR(__xludf.DUMMYFUNCTION("""COMPUTED_VALUE"""),"Monthly")</f>
        <v>Monthly</v>
      </c>
      <c r="K1087" s="317">
        <f>IFERROR(__xludf.DUMMYFUNCTION("""COMPUTED_VALUE"""),2021.11)</f>
        <v>2021.11</v>
      </c>
      <c r="L1087" s="298"/>
      <c r="M1087" s="223"/>
      <c r="N1087" s="223"/>
      <c r="O1087" s="223"/>
      <c r="P1087" s="223"/>
      <c r="Q1087" s="223"/>
      <c r="R1087" s="223"/>
      <c r="S1087" s="223"/>
      <c r="T1087" s="223"/>
      <c r="U1087" s="223"/>
      <c r="V1087" s="223"/>
      <c r="W1087" s="223"/>
      <c r="X1087" s="223"/>
      <c r="Y1087" s="223"/>
      <c r="Z1087" s="223"/>
    </row>
    <row r="1088">
      <c r="A1088" s="223" t="str">
        <f>IFERROR(__xludf.DUMMYFUNCTION("""COMPUTED_VALUE"""),"C360 : C360 Site Review")</f>
        <v>C360 : C360 Site Review</v>
      </c>
      <c r="B1088" s="223" t="str">
        <f>IFERROR(__xludf.DUMMYFUNCTION("""COMPUTED_VALUE"""),"C360")</f>
        <v>C360</v>
      </c>
      <c r="C1088" s="223" t="str">
        <f>IFERROR(__xludf.DUMMYFUNCTION("""COMPUTED_VALUE"""),"C360 Site Review")</f>
        <v>C360 Site Review</v>
      </c>
      <c r="D1088" s="316">
        <f>IFERROR(__xludf.DUMMYFUNCTION("""COMPUTED_VALUE"""),44530.0)</f>
        <v>44530</v>
      </c>
      <c r="E1088" s="298"/>
      <c r="F1088" s="298"/>
      <c r="G1088" s="298"/>
      <c r="H1088" s="223"/>
      <c r="I1088" s="298">
        <f>IFERROR(__xludf.DUMMYFUNCTION("""COMPUTED_VALUE"""),200.0)</f>
        <v>200</v>
      </c>
      <c r="J1088" s="223" t="str">
        <f>IFERROR(__xludf.DUMMYFUNCTION("""COMPUTED_VALUE"""),"Fixed Project")</f>
        <v>Fixed Project</v>
      </c>
      <c r="K1088" s="317">
        <f>IFERROR(__xludf.DUMMYFUNCTION("""COMPUTED_VALUE"""),2021.0)</f>
        <v>2021</v>
      </c>
      <c r="L1088" s="298"/>
      <c r="M1088" s="223"/>
      <c r="N1088" s="223"/>
      <c r="O1088" s="223"/>
      <c r="P1088" s="223"/>
      <c r="Q1088" s="223"/>
      <c r="R1088" s="223"/>
      <c r="S1088" s="223"/>
      <c r="T1088" s="223"/>
      <c r="U1088" s="223"/>
      <c r="V1088" s="223"/>
      <c r="W1088" s="223"/>
      <c r="X1088" s="223"/>
      <c r="Y1088" s="223"/>
      <c r="Z1088" s="223"/>
    </row>
    <row r="1089">
      <c r="A1089" s="223" t="str">
        <f>IFERROR(__xludf.DUMMYFUNCTION("""COMPUTED_VALUE"""),"C360 : Grasshopper Farms Site Review")</f>
        <v>C360 : Grasshopper Farms Site Review</v>
      </c>
      <c r="B1089" s="223" t="str">
        <f>IFERROR(__xludf.DUMMYFUNCTION("""COMPUTED_VALUE"""),"C360")</f>
        <v>C360</v>
      </c>
      <c r="C1089" s="223" t="str">
        <f>IFERROR(__xludf.DUMMYFUNCTION("""COMPUTED_VALUE"""),"Grasshopper Farms Site Review")</f>
        <v>Grasshopper Farms Site Review</v>
      </c>
      <c r="D1089" s="316">
        <f>IFERROR(__xludf.DUMMYFUNCTION("""COMPUTED_VALUE"""),44530.0)</f>
        <v>44530</v>
      </c>
      <c r="E1089" s="298"/>
      <c r="F1089" s="298"/>
      <c r="G1089" s="298"/>
      <c r="H1089" s="223"/>
      <c r="I1089" s="298">
        <f>IFERROR(__xludf.DUMMYFUNCTION("""COMPUTED_VALUE"""),200.0)</f>
        <v>200</v>
      </c>
      <c r="J1089" s="223" t="str">
        <f>IFERROR(__xludf.DUMMYFUNCTION("""COMPUTED_VALUE"""),"Fixed Project")</f>
        <v>Fixed Project</v>
      </c>
      <c r="K1089" s="317">
        <f>IFERROR(__xludf.DUMMYFUNCTION("""COMPUTED_VALUE"""),2021.0)</f>
        <v>2021</v>
      </c>
      <c r="L1089" s="298"/>
      <c r="M1089" s="223"/>
      <c r="N1089" s="223"/>
      <c r="O1089" s="223"/>
      <c r="P1089" s="223"/>
      <c r="Q1089" s="223"/>
      <c r="R1089" s="223"/>
      <c r="S1089" s="223"/>
      <c r="T1089" s="223"/>
      <c r="U1089" s="223"/>
      <c r="V1089" s="223"/>
      <c r="W1089" s="223"/>
      <c r="X1089" s="223"/>
      <c r="Y1089" s="223"/>
      <c r="Z1089" s="223"/>
    </row>
    <row r="1090">
      <c r="A1090" s="223" t="str">
        <f>IFERROR(__xludf.DUMMYFUNCTION("""COMPUTED_VALUE"""),"Hastings House : Monthly Services")</f>
        <v>Hastings House : Monthly Services</v>
      </c>
      <c r="B1090" s="223" t="str">
        <f>IFERROR(__xludf.DUMMYFUNCTION("""COMPUTED_VALUE"""),"Hastings House")</f>
        <v>Hastings House</v>
      </c>
      <c r="C1090" s="223" t="str">
        <f>IFERROR(__xludf.DUMMYFUNCTION("""COMPUTED_VALUE"""),"Monthly Services")</f>
        <v>Monthly Services</v>
      </c>
      <c r="D1090" s="316">
        <f>IFERROR(__xludf.DUMMYFUNCTION("""COMPUTED_VALUE"""),44530.0)</f>
        <v>44530</v>
      </c>
      <c r="E1090" s="298"/>
      <c r="F1090" s="298"/>
      <c r="G1090" s="298"/>
      <c r="H1090" s="223"/>
      <c r="I1090" s="298">
        <f>IFERROR(__xludf.DUMMYFUNCTION("""COMPUTED_VALUE"""),300.0)</f>
        <v>300</v>
      </c>
      <c r="J1090" s="223" t="str">
        <f>IFERROR(__xludf.DUMMYFUNCTION("""COMPUTED_VALUE"""),"Monthly")</f>
        <v>Monthly</v>
      </c>
      <c r="K1090" s="317">
        <f>IFERROR(__xludf.DUMMYFUNCTION("""COMPUTED_VALUE"""),2021.11)</f>
        <v>2021.11</v>
      </c>
      <c r="L1090" s="298"/>
      <c r="M1090" s="223"/>
      <c r="N1090" s="223"/>
      <c r="O1090" s="223"/>
      <c r="P1090" s="223"/>
      <c r="Q1090" s="223"/>
      <c r="R1090" s="223"/>
      <c r="S1090" s="223"/>
      <c r="T1090" s="223"/>
      <c r="U1090" s="223"/>
      <c r="V1090" s="223"/>
      <c r="W1090" s="223"/>
      <c r="X1090" s="223"/>
      <c r="Y1090" s="223"/>
      <c r="Z1090" s="223"/>
    </row>
    <row r="1091">
      <c r="A1091" s="223" t="str">
        <f>IFERROR(__xludf.DUMMYFUNCTION("""COMPUTED_VALUE"""),"Bratopia : Monthly Services")</f>
        <v>Bratopia : Monthly Services</v>
      </c>
      <c r="B1091" s="223" t="str">
        <f>IFERROR(__xludf.DUMMYFUNCTION("""COMPUTED_VALUE"""),"Bratopia")</f>
        <v>Bratopia</v>
      </c>
      <c r="C1091" s="223" t="str">
        <f>IFERROR(__xludf.DUMMYFUNCTION("""COMPUTED_VALUE"""),"Monthly Services")</f>
        <v>Monthly Services</v>
      </c>
      <c r="D1091" s="316">
        <f>IFERROR(__xludf.DUMMYFUNCTION("""COMPUTED_VALUE"""),44530.0)</f>
        <v>44530</v>
      </c>
      <c r="E1091" s="298"/>
      <c r="F1091" s="298"/>
      <c r="G1091" s="298"/>
      <c r="H1091" s="223"/>
      <c r="I1091" s="298">
        <f>IFERROR(__xludf.DUMMYFUNCTION("""COMPUTED_VALUE"""),300.0)</f>
        <v>300</v>
      </c>
      <c r="J1091" s="223" t="str">
        <f>IFERROR(__xludf.DUMMYFUNCTION("""COMPUTED_VALUE"""),"Monthly")</f>
        <v>Monthly</v>
      </c>
      <c r="K1091" s="317">
        <f>IFERROR(__xludf.DUMMYFUNCTION("""COMPUTED_VALUE"""),2021.11)</f>
        <v>2021.11</v>
      </c>
      <c r="L1091" s="298"/>
      <c r="M1091" s="223"/>
      <c r="N1091" s="223"/>
      <c r="O1091" s="223"/>
      <c r="P1091" s="223"/>
      <c r="Q1091" s="223"/>
      <c r="R1091" s="223"/>
      <c r="S1091" s="223"/>
      <c r="T1091" s="223"/>
      <c r="U1091" s="223"/>
      <c r="V1091" s="223"/>
      <c r="W1091" s="223"/>
      <c r="X1091" s="223"/>
      <c r="Y1091" s="223"/>
      <c r="Z1091" s="223"/>
    </row>
    <row r="1092">
      <c r="A1092" s="223" t="str">
        <f>IFERROR(__xludf.DUMMYFUNCTION("""COMPUTED_VALUE"""),"Monk : Monthly Services")</f>
        <v>Monk : Monthly Services</v>
      </c>
      <c r="B1092" s="223" t="str">
        <f>IFERROR(__xludf.DUMMYFUNCTION("""COMPUTED_VALUE"""),"Monk")</f>
        <v>Monk</v>
      </c>
      <c r="C1092" s="223" t="str">
        <f>IFERROR(__xludf.DUMMYFUNCTION("""COMPUTED_VALUE"""),"Monthly Services")</f>
        <v>Monthly Services</v>
      </c>
      <c r="D1092" s="316">
        <f>IFERROR(__xludf.DUMMYFUNCTION("""COMPUTED_VALUE"""),44530.0)</f>
        <v>44530</v>
      </c>
      <c r="E1092" s="298"/>
      <c r="F1092" s="298"/>
      <c r="G1092" s="298"/>
      <c r="H1092" s="223"/>
      <c r="I1092" s="298">
        <f>IFERROR(__xludf.DUMMYFUNCTION("""COMPUTED_VALUE"""),167.5)</f>
        <v>167.5</v>
      </c>
      <c r="J1092" s="223" t="str">
        <f>IFERROR(__xludf.DUMMYFUNCTION("""COMPUTED_VALUE"""),"Monthly")</f>
        <v>Monthly</v>
      </c>
      <c r="K1092" s="317">
        <f>IFERROR(__xludf.DUMMYFUNCTION("""COMPUTED_VALUE"""),2021.11)</f>
        <v>2021.11</v>
      </c>
      <c r="L1092" s="298"/>
      <c r="M1092" s="223"/>
      <c r="N1092" s="223"/>
      <c r="O1092" s="223"/>
      <c r="P1092" s="223"/>
      <c r="Q1092" s="223"/>
      <c r="R1092" s="223"/>
      <c r="S1092" s="223"/>
      <c r="T1092" s="223"/>
      <c r="U1092" s="223"/>
      <c r="V1092" s="223"/>
      <c r="W1092" s="223"/>
      <c r="X1092" s="223"/>
      <c r="Y1092" s="223"/>
      <c r="Z1092" s="223"/>
    </row>
    <row r="1093">
      <c r="A1093" s="223" t="str">
        <f>IFERROR(__xludf.DUMMYFUNCTION("""COMPUTED_VALUE"""),"Prime Engineering : Monthly Services")</f>
        <v>Prime Engineering : Monthly Services</v>
      </c>
      <c r="B1093" s="223" t="str">
        <f>IFERROR(__xludf.DUMMYFUNCTION("""COMPUTED_VALUE"""),"Prime Engineering")</f>
        <v>Prime Engineering</v>
      </c>
      <c r="C1093" s="223" t="str">
        <f>IFERROR(__xludf.DUMMYFUNCTION("""COMPUTED_VALUE"""),"Monthly Services")</f>
        <v>Monthly Services</v>
      </c>
      <c r="D1093" s="316">
        <f>IFERROR(__xludf.DUMMYFUNCTION("""COMPUTED_VALUE"""),44530.0)</f>
        <v>44530</v>
      </c>
      <c r="E1093" s="298"/>
      <c r="F1093" s="298"/>
      <c r="G1093" s="298"/>
      <c r="H1093" s="223"/>
      <c r="I1093" s="298">
        <f>IFERROR(__xludf.DUMMYFUNCTION("""COMPUTED_VALUE"""),225.0)</f>
        <v>225</v>
      </c>
      <c r="J1093" s="223" t="str">
        <f>IFERROR(__xludf.DUMMYFUNCTION("""COMPUTED_VALUE"""),"Monthly")</f>
        <v>Monthly</v>
      </c>
      <c r="K1093" s="317">
        <f>IFERROR(__xludf.DUMMYFUNCTION("""COMPUTED_VALUE"""),2021.11)</f>
        <v>2021.11</v>
      </c>
      <c r="L1093" s="298"/>
      <c r="M1093" s="223"/>
      <c r="N1093" s="223"/>
      <c r="O1093" s="223"/>
      <c r="P1093" s="223"/>
      <c r="Q1093" s="223"/>
      <c r="R1093" s="223"/>
      <c r="S1093" s="223"/>
      <c r="T1093" s="223"/>
      <c r="U1093" s="223"/>
      <c r="V1093" s="223"/>
      <c r="W1093" s="223"/>
      <c r="X1093" s="223"/>
      <c r="Y1093" s="223"/>
      <c r="Z1093" s="223"/>
    </row>
    <row r="1094">
      <c r="A1094" s="223" t="str">
        <f>IFERROR(__xludf.DUMMYFUNCTION("""COMPUTED_VALUE"""),"Community Financials : Monthly Services")</f>
        <v>Community Financials : Monthly Services</v>
      </c>
      <c r="B1094" s="223" t="str">
        <f>IFERROR(__xludf.DUMMYFUNCTION("""COMPUTED_VALUE"""),"Community Financials")</f>
        <v>Community Financials</v>
      </c>
      <c r="C1094" s="223" t="str">
        <f>IFERROR(__xludf.DUMMYFUNCTION("""COMPUTED_VALUE"""),"Monthly Services")</f>
        <v>Monthly Services</v>
      </c>
      <c r="D1094" s="316">
        <f>IFERROR(__xludf.DUMMYFUNCTION("""COMPUTED_VALUE"""),44530.0)</f>
        <v>44530</v>
      </c>
      <c r="E1094" s="298"/>
      <c r="F1094" s="298"/>
      <c r="G1094" s="298"/>
      <c r="H1094" s="223"/>
      <c r="I1094" s="298">
        <f>IFERROR(__xludf.DUMMYFUNCTION("""COMPUTED_VALUE"""),487.5)</f>
        <v>487.5</v>
      </c>
      <c r="J1094" s="223" t="str">
        <f>IFERROR(__xludf.DUMMYFUNCTION("""COMPUTED_VALUE"""),"Monthly")</f>
        <v>Monthly</v>
      </c>
      <c r="K1094" s="317">
        <f>IFERROR(__xludf.DUMMYFUNCTION("""COMPUTED_VALUE"""),2021.11)</f>
        <v>2021.11</v>
      </c>
      <c r="L1094" s="298"/>
      <c r="M1094" s="223"/>
      <c r="N1094" s="223"/>
      <c r="O1094" s="223"/>
      <c r="P1094" s="223"/>
      <c r="Q1094" s="223"/>
      <c r="R1094" s="223"/>
      <c r="S1094" s="223"/>
      <c r="T1094" s="223"/>
      <c r="U1094" s="223"/>
      <c r="V1094" s="223"/>
      <c r="W1094" s="223"/>
      <c r="X1094" s="223"/>
      <c r="Y1094" s="223"/>
      <c r="Z1094" s="223"/>
    </row>
    <row r="1095">
      <c r="A1095" s="223" t="str">
        <f>IFERROR(__xludf.DUMMYFUNCTION("""COMPUTED_VALUE"""),"C360 : C360 Site Review")</f>
        <v>C360 : C360 Site Review</v>
      </c>
      <c r="B1095" s="223" t="str">
        <f>IFERROR(__xludf.DUMMYFUNCTION("""COMPUTED_VALUE"""),"C360")</f>
        <v>C360</v>
      </c>
      <c r="C1095" s="223" t="str">
        <f>IFERROR(__xludf.DUMMYFUNCTION("""COMPUTED_VALUE"""),"C360 Site Review")</f>
        <v>C360 Site Review</v>
      </c>
      <c r="D1095" s="316">
        <f>IFERROR(__xludf.DUMMYFUNCTION("""COMPUTED_VALUE"""),44530.0)</f>
        <v>44530</v>
      </c>
      <c r="E1095" s="298"/>
      <c r="F1095" s="298"/>
      <c r="G1095" s="298"/>
      <c r="H1095" s="223"/>
      <c r="I1095" s="298">
        <f>IFERROR(__xludf.DUMMYFUNCTION("""COMPUTED_VALUE"""),500.0)</f>
        <v>500</v>
      </c>
      <c r="J1095" s="223" t="str">
        <f>IFERROR(__xludf.DUMMYFUNCTION("""COMPUTED_VALUE"""),"Fixed Project")</f>
        <v>Fixed Project</v>
      </c>
      <c r="K1095" s="317">
        <f>IFERROR(__xludf.DUMMYFUNCTION("""COMPUTED_VALUE"""),2021.0)</f>
        <v>2021</v>
      </c>
      <c r="L1095" s="298"/>
      <c r="M1095" s="223"/>
      <c r="N1095" s="223"/>
      <c r="O1095" s="223"/>
      <c r="P1095" s="223"/>
      <c r="Q1095" s="223"/>
      <c r="R1095" s="223"/>
      <c r="S1095" s="223"/>
      <c r="T1095" s="223"/>
      <c r="U1095" s="223"/>
      <c r="V1095" s="223"/>
      <c r="W1095" s="223"/>
      <c r="X1095" s="223"/>
      <c r="Y1095" s="223"/>
      <c r="Z1095" s="223"/>
    </row>
    <row r="1096">
      <c r="A1096" s="223" t="str">
        <f>IFERROR(__xludf.DUMMYFUNCTION("""COMPUTED_VALUE"""),"C360 : Grasshopper Farms Site Review")</f>
        <v>C360 : Grasshopper Farms Site Review</v>
      </c>
      <c r="B1096" s="223" t="str">
        <f>IFERROR(__xludf.DUMMYFUNCTION("""COMPUTED_VALUE"""),"C360")</f>
        <v>C360</v>
      </c>
      <c r="C1096" s="223" t="str">
        <f>IFERROR(__xludf.DUMMYFUNCTION("""COMPUTED_VALUE"""),"Grasshopper Farms Site Review")</f>
        <v>Grasshopper Farms Site Review</v>
      </c>
      <c r="D1096" s="316">
        <f>IFERROR(__xludf.DUMMYFUNCTION("""COMPUTED_VALUE"""),44530.0)</f>
        <v>44530</v>
      </c>
      <c r="E1096" s="298"/>
      <c r="F1096" s="298"/>
      <c r="G1096" s="298"/>
      <c r="H1096" s="223"/>
      <c r="I1096" s="298">
        <f>IFERROR(__xludf.DUMMYFUNCTION("""COMPUTED_VALUE"""),500.0)</f>
        <v>500</v>
      </c>
      <c r="J1096" s="223" t="str">
        <f>IFERROR(__xludf.DUMMYFUNCTION("""COMPUTED_VALUE"""),"Fixed Project")</f>
        <v>Fixed Project</v>
      </c>
      <c r="K1096" s="317">
        <f>IFERROR(__xludf.DUMMYFUNCTION("""COMPUTED_VALUE"""),2021.0)</f>
        <v>2021</v>
      </c>
      <c r="L1096" s="298"/>
      <c r="M1096" s="223"/>
      <c r="N1096" s="223"/>
      <c r="O1096" s="223"/>
      <c r="P1096" s="223"/>
      <c r="Q1096" s="223"/>
      <c r="R1096" s="223"/>
      <c r="S1096" s="223"/>
      <c r="T1096" s="223"/>
      <c r="U1096" s="223"/>
      <c r="V1096" s="223"/>
      <c r="W1096" s="223"/>
      <c r="X1096" s="223"/>
      <c r="Y1096" s="223"/>
      <c r="Z1096" s="223"/>
    </row>
    <row r="1097">
      <c r="A1097" s="223" t="str">
        <f>IFERROR(__xludf.DUMMYFUNCTION("""COMPUTED_VALUE"""),"Technology Rivers : Monthly Services")</f>
        <v>Technology Rivers : Monthly Services</v>
      </c>
      <c r="B1097" s="223" t="str">
        <f>IFERROR(__xludf.DUMMYFUNCTION("""COMPUTED_VALUE"""),"Technology Rivers")</f>
        <v>Technology Rivers</v>
      </c>
      <c r="C1097" s="223" t="str">
        <f>IFERROR(__xludf.DUMMYFUNCTION("""COMPUTED_VALUE"""),"Monthly Services")</f>
        <v>Monthly Services</v>
      </c>
      <c r="D1097" s="316">
        <f>IFERROR(__xludf.DUMMYFUNCTION("""COMPUTED_VALUE"""),44530.0)</f>
        <v>44530</v>
      </c>
      <c r="E1097" s="298"/>
      <c r="F1097" s="298"/>
      <c r="G1097" s="298"/>
      <c r="H1097" s="223"/>
      <c r="I1097" s="298">
        <f>IFERROR(__xludf.DUMMYFUNCTION("""COMPUTED_VALUE"""),30.0)</f>
        <v>30</v>
      </c>
      <c r="J1097" s="223" t="str">
        <f>IFERROR(__xludf.DUMMYFUNCTION("""COMPUTED_VALUE"""),"Monthly")</f>
        <v>Monthly</v>
      </c>
      <c r="K1097" s="317">
        <f>IFERROR(__xludf.DUMMYFUNCTION("""COMPUTED_VALUE"""),2021.11)</f>
        <v>2021.11</v>
      </c>
      <c r="L1097" s="298"/>
      <c r="M1097" s="223"/>
      <c r="N1097" s="223"/>
      <c r="O1097" s="223"/>
      <c r="P1097" s="223"/>
      <c r="Q1097" s="223"/>
      <c r="R1097" s="223"/>
      <c r="S1097" s="223"/>
      <c r="T1097" s="223"/>
      <c r="U1097" s="223"/>
      <c r="V1097" s="223"/>
      <c r="W1097" s="223"/>
      <c r="X1097" s="223"/>
      <c r="Y1097" s="223"/>
      <c r="Z1097" s="223"/>
    </row>
    <row r="1098">
      <c r="A1098" s="223" t="str">
        <f>IFERROR(__xludf.DUMMYFUNCTION("""COMPUTED_VALUE"""),"Availed Technologies : Monthly Services")</f>
        <v>Availed Technologies : Monthly Services</v>
      </c>
      <c r="B1098" s="223" t="str">
        <f>IFERROR(__xludf.DUMMYFUNCTION("""COMPUTED_VALUE"""),"Availed Technologies")</f>
        <v>Availed Technologies</v>
      </c>
      <c r="C1098" s="223" t="str">
        <f>IFERROR(__xludf.DUMMYFUNCTION("""COMPUTED_VALUE"""),"Monthly Services")</f>
        <v>Monthly Services</v>
      </c>
      <c r="D1098" s="316">
        <f>IFERROR(__xludf.DUMMYFUNCTION("""COMPUTED_VALUE"""),44530.0)</f>
        <v>44530</v>
      </c>
      <c r="E1098" s="298"/>
      <c r="F1098" s="298"/>
      <c r="G1098" s="298"/>
      <c r="H1098" s="223"/>
      <c r="I1098" s="298">
        <f>IFERROR(__xludf.DUMMYFUNCTION("""COMPUTED_VALUE"""),192.5)</f>
        <v>192.5</v>
      </c>
      <c r="J1098" s="223" t="str">
        <f>IFERROR(__xludf.DUMMYFUNCTION("""COMPUTED_VALUE"""),"Monthly")</f>
        <v>Monthly</v>
      </c>
      <c r="K1098" s="317">
        <f>IFERROR(__xludf.DUMMYFUNCTION("""COMPUTED_VALUE"""),2021.11)</f>
        <v>2021.11</v>
      </c>
      <c r="L1098" s="298"/>
      <c r="M1098" s="223"/>
      <c r="N1098" s="223"/>
      <c r="O1098" s="223"/>
      <c r="P1098" s="223"/>
      <c r="Q1098" s="223"/>
      <c r="R1098" s="223"/>
      <c r="S1098" s="223"/>
      <c r="T1098" s="223"/>
      <c r="U1098" s="223"/>
      <c r="V1098" s="223"/>
      <c r="W1098" s="223"/>
      <c r="X1098" s="223"/>
      <c r="Y1098" s="223"/>
      <c r="Z1098" s="223"/>
    </row>
    <row r="1099">
      <c r="A1099" s="223" t="str">
        <f>IFERROR(__xludf.DUMMYFUNCTION("""COMPUTED_VALUE"""),"Allsalt : Monthly Services")</f>
        <v>Allsalt : Monthly Services</v>
      </c>
      <c r="B1099" s="223" t="str">
        <f>IFERROR(__xludf.DUMMYFUNCTION("""COMPUTED_VALUE"""),"Allsalt")</f>
        <v>Allsalt</v>
      </c>
      <c r="C1099" s="223" t="str">
        <f>IFERROR(__xludf.DUMMYFUNCTION("""COMPUTED_VALUE"""),"Monthly Services")</f>
        <v>Monthly Services</v>
      </c>
      <c r="D1099" s="316">
        <f>IFERROR(__xludf.DUMMYFUNCTION("""COMPUTED_VALUE"""),44530.0)</f>
        <v>44530</v>
      </c>
      <c r="E1099" s="298"/>
      <c r="F1099" s="298"/>
      <c r="G1099" s="298"/>
      <c r="H1099" s="223"/>
      <c r="I1099" s="298">
        <f>IFERROR(__xludf.DUMMYFUNCTION("""COMPUTED_VALUE"""),82.5)</f>
        <v>82.5</v>
      </c>
      <c r="J1099" s="223" t="str">
        <f>IFERROR(__xludf.DUMMYFUNCTION("""COMPUTED_VALUE"""),"Fixed Project")</f>
        <v>Fixed Project</v>
      </c>
      <c r="K1099" s="317">
        <f>IFERROR(__xludf.DUMMYFUNCTION("""COMPUTED_VALUE"""),2021.0)</f>
        <v>2021</v>
      </c>
      <c r="L1099" s="298"/>
      <c r="M1099" s="223"/>
      <c r="N1099" s="223"/>
      <c r="O1099" s="223"/>
      <c r="P1099" s="223"/>
      <c r="Q1099" s="223"/>
      <c r="R1099" s="223"/>
      <c r="S1099" s="223"/>
      <c r="T1099" s="223"/>
      <c r="U1099" s="223"/>
      <c r="V1099" s="223"/>
      <c r="W1099" s="223"/>
      <c r="X1099" s="223"/>
      <c r="Y1099" s="223"/>
      <c r="Z1099" s="223"/>
    </row>
    <row r="1100">
      <c r="A1100" s="223" t="str">
        <f>IFERROR(__xludf.DUMMYFUNCTION("""COMPUTED_VALUE"""),"OA Region 6 : Monthly Services")</f>
        <v>OA Region 6 : Monthly Services</v>
      </c>
      <c r="B1100" s="223" t="str">
        <f>IFERROR(__xludf.DUMMYFUNCTION("""COMPUTED_VALUE"""),"OA Region 6")</f>
        <v>OA Region 6</v>
      </c>
      <c r="C1100" s="223" t="str">
        <f>IFERROR(__xludf.DUMMYFUNCTION("""COMPUTED_VALUE"""),"Monthly Services")</f>
        <v>Monthly Services</v>
      </c>
      <c r="D1100" s="316">
        <f>IFERROR(__xludf.DUMMYFUNCTION("""COMPUTED_VALUE"""),44530.0)</f>
        <v>44530</v>
      </c>
      <c r="E1100" s="298"/>
      <c r="F1100" s="298"/>
      <c r="G1100" s="298"/>
      <c r="H1100" s="223"/>
      <c r="I1100" s="298">
        <f>IFERROR(__xludf.DUMMYFUNCTION("""COMPUTED_VALUE"""),250.0)</f>
        <v>250</v>
      </c>
      <c r="J1100" s="223" t="str">
        <f>IFERROR(__xludf.DUMMYFUNCTION("""COMPUTED_VALUE"""),"Monthly")</f>
        <v>Monthly</v>
      </c>
      <c r="K1100" s="317">
        <f>IFERROR(__xludf.DUMMYFUNCTION("""COMPUTED_VALUE"""),2021.11)</f>
        <v>2021.11</v>
      </c>
      <c r="L1100" s="298"/>
      <c r="M1100" s="223"/>
      <c r="N1100" s="223"/>
      <c r="O1100" s="223"/>
      <c r="P1100" s="223"/>
      <c r="Q1100" s="223"/>
      <c r="R1100" s="223"/>
      <c r="S1100" s="223"/>
      <c r="T1100" s="223"/>
      <c r="U1100" s="223"/>
      <c r="V1100" s="223"/>
      <c r="W1100" s="223"/>
      <c r="X1100" s="223"/>
      <c r="Y1100" s="223"/>
      <c r="Z1100" s="223"/>
    </row>
    <row r="1101">
      <c r="A1101" s="223" t="str">
        <f>IFERROR(__xludf.DUMMYFUNCTION("""COMPUTED_VALUE"""),"Bratopia : Monthly Services")</f>
        <v>Bratopia : Monthly Services</v>
      </c>
      <c r="B1101" s="223" t="str">
        <f>IFERROR(__xludf.DUMMYFUNCTION("""COMPUTED_VALUE"""),"Bratopia")</f>
        <v>Bratopia</v>
      </c>
      <c r="C1101" s="223" t="str">
        <f>IFERROR(__xludf.DUMMYFUNCTION("""COMPUTED_VALUE"""),"Monthly Services")</f>
        <v>Monthly Services</v>
      </c>
      <c r="D1101" s="316">
        <f>IFERROR(__xludf.DUMMYFUNCTION("""COMPUTED_VALUE"""),44501.0)</f>
        <v>44501</v>
      </c>
      <c r="E1101" s="298"/>
      <c r="F1101" s="298"/>
      <c r="G1101" s="298"/>
      <c r="H1101" s="223"/>
      <c r="I1101" s="298">
        <f>IFERROR(__xludf.DUMMYFUNCTION("""COMPUTED_VALUE"""),44.39)</f>
        <v>44.39</v>
      </c>
      <c r="J1101" s="223" t="str">
        <f>IFERROR(__xludf.DUMMYFUNCTION("""COMPUTED_VALUE"""),"Monthly")</f>
        <v>Monthly</v>
      </c>
      <c r="K1101" s="317">
        <f>IFERROR(__xludf.DUMMYFUNCTION("""COMPUTED_VALUE"""),2021.11)</f>
        <v>2021.11</v>
      </c>
      <c r="L1101" s="298">
        <f>IFERROR(__xludf.DUMMYFUNCTION("""COMPUTED_VALUE"""),44.39)</f>
        <v>44.39</v>
      </c>
      <c r="M1101" s="223"/>
      <c r="N1101" s="223"/>
      <c r="O1101" s="223"/>
      <c r="P1101" s="223"/>
      <c r="Q1101" s="223"/>
      <c r="R1101" s="223"/>
      <c r="S1101" s="223"/>
      <c r="T1101" s="223"/>
      <c r="U1101" s="223"/>
      <c r="V1101" s="223"/>
      <c r="W1101" s="223"/>
      <c r="X1101" s="223"/>
      <c r="Y1101" s="223"/>
      <c r="Z1101" s="223"/>
    </row>
    <row r="1102">
      <c r="A1102" s="223" t="str">
        <f>IFERROR(__xludf.DUMMYFUNCTION("""COMPUTED_VALUE"""),"Bratopia : Monthly Services")</f>
        <v>Bratopia : Monthly Services</v>
      </c>
      <c r="B1102" s="223" t="str">
        <f>IFERROR(__xludf.DUMMYFUNCTION("""COMPUTED_VALUE"""),"Bratopia")</f>
        <v>Bratopia</v>
      </c>
      <c r="C1102" s="223" t="str">
        <f>IFERROR(__xludf.DUMMYFUNCTION("""COMPUTED_VALUE"""),"Monthly Services")</f>
        <v>Monthly Services</v>
      </c>
      <c r="D1102" s="316">
        <f>IFERROR(__xludf.DUMMYFUNCTION("""COMPUTED_VALUE"""),44501.0)</f>
        <v>44501</v>
      </c>
      <c r="E1102" s="298"/>
      <c r="F1102" s="298"/>
      <c r="G1102" s="298"/>
      <c r="H1102" s="223"/>
      <c r="I1102" s="298">
        <f>IFERROR(__xludf.DUMMYFUNCTION("""COMPUTED_VALUE"""),73.39)</f>
        <v>73.39</v>
      </c>
      <c r="J1102" s="223" t="str">
        <f>IFERROR(__xludf.DUMMYFUNCTION("""COMPUTED_VALUE"""),"Monthly")</f>
        <v>Monthly</v>
      </c>
      <c r="K1102" s="317">
        <f>IFERROR(__xludf.DUMMYFUNCTION("""COMPUTED_VALUE"""),2021.11)</f>
        <v>2021.11</v>
      </c>
      <c r="L1102" s="298"/>
      <c r="M1102" s="223"/>
      <c r="N1102" s="223"/>
      <c r="O1102" s="223"/>
      <c r="P1102" s="223"/>
      <c r="Q1102" s="223"/>
      <c r="R1102" s="223"/>
      <c r="S1102" s="223"/>
      <c r="T1102" s="223"/>
      <c r="U1102" s="223"/>
      <c r="V1102" s="223"/>
      <c r="W1102" s="223"/>
      <c r="X1102" s="223"/>
      <c r="Y1102" s="223"/>
      <c r="Z1102" s="223"/>
    </row>
    <row r="1103">
      <c r="A1103" s="223" t="str">
        <f>IFERROR(__xludf.DUMMYFUNCTION("""COMPUTED_VALUE"""),"PlusROI : Training")</f>
        <v>PlusROI : Training</v>
      </c>
      <c r="B1103" s="223" t="str">
        <f>IFERROR(__xludf.DUMMYFUNCTION("""COMPUTED_VALUE"""),"PlusROI")</f>
        <v>PlusROI</v>
      </c>
      <c r="C1103" s="223" t="str">
        <f>IFERROR(__xludf.DUMMYFUNCTION("""COMPUTED_VALUE"""),"Training")</f>
        <v>Training</v>
      </c>
      <c r="D1103" s="316">
        <f>IFERROR(__xludf.DUMMYFUNCTION("""COMPUTED_VALUE"""),44530.0)</f>
        <v>44530</v>
      </c>
      <c r="E1103" s="298"/>
      <c r="F1103" s="298"/>
      <c r="G1103" s="298"/>
      <c r="H1103" s="223"/>
      <c r="I1103" s="298">
        <f>IFERROR(__xludf.DUMMYFUNCTION("""COMPUTED_VALUE"""),50.0)</f>
        <v>50</v>
      </c>
      <c r="J1103" s="223" t="str">
        <f>IFERROR(__xludf.DUMMYFUNCTION("""COMPUTED_VALUE"""),"Not Set")</f>
        <v>Not Set</v>
      </c>
      <c r="K1103" s="317">
        <f>IFERROR(__xludf.DUMMYFUNCTION("""COMPUTED_VALUE"""),2021.0)</f>
        <v>2021</v>
      </c>
      <c r="L1103" s="298"/>
      <c r="M1103" s="223"/>
      <c r="N1103" s="223"/>
      <c r="O1103" s="223"/>
      <c r="P1103" s="223"/>
      <c r="Q1103" s="223"/>
      <c r="R1103" s="223"/>
      <c r="S1103" s="223"/>
      <c r="T1103" s="223"/>
      <c r="U1103" s="223"/>
      <c r="V1103" s="223"/>
      <c r="W1103" s="223"/>
      <c r="X1103" s="223"/>
      <c r="Y1103" s="223"/>
      <c r="Z1103" s="223"/>
    </row>
    <row r="1104">
      <c r="A1104" s="223" t="str">
        <f>IFERROR(__xludf.DUMMYFUNCTION("""COMPUTED_VALUE"""),"VIATeC : Nezza Naturals DER3")</f>
        <v>VIATeC : Nezza Naturals DER3</v>
      </c>
      <c r="B1104" s="223" t="str">
        <f>IFERROR(__xludf.DUMMYFUNCTION("""COMPUTED_VALUE"""),"VIATeC")</f>
        <v>VIATeC</v>
      </c>
      <c r="C1104" s="223" t="str">
        <f>IFERROR(__xludf.DUMMYFUNCTION("""COMPUTED_VALUE"""),"Nezza Naturals DER3")</f>
        <v>Nezza Naturals DER3</v>
      </c>
      <c r="D1104" s="316">
        <f>IFERROR(__xludf.DUMMYFUNCTION("""COMPUTED_VALUE"""),44530.0)</f>
        <v>44530</v>
      </c>
      <c r="E1104" s="298"/>
      <c r="F1104" s="298"/>
      <c r="G1104" s="298"/>
      <c r="H1104" s="223"/>
      <c r="I1104" s="298">
        <f>IFERROR(__xludf.DUMMYFUNCTION("""COMPUTED_VALUE"""),200.0)</f>
        <v>200</v>
      </c>
      <c r="J1104" s="223" t="str">
        <f>IFERROR(__xludf.DUMMYFUNCTION("""COMPUTED_VALUE"""),"Fixed Project")</f>
        <v>Fixed Project</v>
      </c>
      <c r="K1104" s="317">
        <f>IFERROR(__xludf.DUMMYFUNCTION("""COMPUTED_VALUE"""),2021.0)</f>
        <v>2021</v>
      </c>
      <c r="L1104" s="298"/>
      <c r="M1104" s="223"/>
      <c r="N1104" s="223"/>
      <c r="O1104" s="223"/>
      <c r="P1104" s="223"/>
      <c r="Q1104" s="223"/>
      <c r="R1104" s="223"/>
      <c r="S1104" s="223"/>
      <c r="T1104" s="223"/>
      <c r="U1104" s="223"/>
      <c r="V1104" s="223"/>
      <c r="W1104" s="223"/>
      <c r="X1104" s="223"/>
      <c r="Y1104" s="223"/>
      <c r="Z1104" s="223"/>
    </row>
    <row r="1105">
      <c r="A1105" s="223" t="str">
        <f>IFERROR(__xludf.DUMMYFUNCTION("""COMPUTED_VALUE"""),"VIATeC : Arostegui Studio				")</f>
        <v>VIATeC : Arostegui Studio				</v>
      </c>
      <c r="B1105" s="223" t="str">
        <f>IFERROR(__xludf.DUMMYFUNCTION("""COMPUTED_VALUE"""),"VIATeC")</f>
        <v>VIATeC</v>
      </c>
      <c r="C1105" s="223" t="str">
        <f>IFERROR(__xludf.DUMMYFUNCTION("""COMPUTED_VALUE"""),"Arostegui Studio")</f>
        <v>Arostegui Studio</v>
      </c>
      <c r="D1105" s="316">
        <f>IFERROR(__xludf.DUMMYFUNCTION("""COMPUTED_VALUE"""),44530.0)</f>
        <v>44530</v>
      </c>
      <c r="E1105" s="298"/>
      <c r="F1105" s="298"/>
      <c r="G1105" s="298"/>
      <c r="H1105" s="223"/>
      <c r="I1105" s="298">
        <f>IFERROR(__xludf.DUMMYFUNCTION("""COMPUTED_VALUE"""),200.0)</f>
        <v>200</v>
      </c>
      <c r="J1105" s="223" t="str">
        <f>IFERROR(__xludf.DUMMYFUNCTION("""COMPUTED_VALUE"""),"Fixed Project")</f>
        <v>Fixed Project</v>
      </c>
      <c r="K1105" s="317">
        <f>IFERROR(__xludf.DUMMYFUNCTION("""COMPUTED_VALUE"""),2021.0)</f>
        <v>2021</v>
      </c>
      <c r="L1105" s="298"/>
      <c r="M1105" s="223"/>
      <c r="N1105" s="223"/>
      <c r="O1105" s="223"/>
      <c r="P1105" s="223"/>
      <c r="Q1105" s="223"/>
      <c r="R1105" s="223"/>
      <c r="S1105" s="223"/>
      <c r="T1105" s="223"/>
      <c r="U1105" s="223"/>
      <c r="V1105" s="223"/>
      <c r="W1105" s="223"/>
      <c r="X1105" s="223"/>
      <c r="Y1105" s="223"/>
      <c r="Z1105" s="223"/>
    </row>
    <row r="1106">
      <c r="A1106" s="223" t="str">
        <f>IFERROR(__xludf.DUMMYFUNCTION("""COMPUTED_VALUE"""),"Rama Meditation Society : Premium Hosting + Support")</f>
        <v>Rama Meditation Society : Premium Hosting + Support</v>
      </c>
      <c r="B1106" s="223" t="str">
        <f>IFERROR(__xludf.DUMMYFUNCTION("""COMPUTED_VALUE"""),"Rama Meditation Society")</f>
        <v>Rama Meditation Society</v>
      </c>
      <c r="C1106" s="223" t="str">
        <f>IFERROR(__xludf.DUMMYFUNCTION("""COMPUTED_VALUE"""),"Premium Hosting + Support")</f>
        <v>Premium Hosting + Support</v>
      </c>
      <c r="D1106" s="316">
        <f>IFERROR(__xludf.DUMMYFUNCTION("""COMPUTED_VALUE"""),44501.0)</f>
        <v>44501</v>
      </c>
      <c r="E1106" s="298"/>
      <c r="F1106" s="298"/>
      <c r="G1106" s="298"/>
      <c r="H1106" s="223"/>
      <c r="I1106" s="298">
        <f>IFERROR(__xludf.DUMMYFUNCTION("""COMPUTED_VALUE"""),12.0)</f>
        <v>12</v>
      </c>
      <c r="J1106" s="223" t="str">
        <f>IFERROR(__xludf.DUMMYFUNCTION("""COMPUTED_VALUE"""),"Not Set")</f>
        <v>Not Set</v>
      </c>
      <c r="K1106" s="317">
        <f>IFERROR(__xludf.DUMMYFUNCTION("""COMPUTED_VALUE"""),2021.0)</f>
        <v>2021</v>
      </c>
      <c r="L1106" s="298"/>
      <c r="M1106" s="223"/>
      <c r="N1106" s="223"/>
      <c r="O1106" s="223"/>
      <c r="P1106" s="223"/>
      <c r="Q1106" s="223"/>
      <c r="R1106" s="223"/>
      <c r="S1106" s="223"/>
      <c r="T1106" s="223"/>
      <c r="U1106" s="223"/>
      <c r="V1106" s="223"/>
      <c r="W1106" s="223"/>
      <c r="X1106" s="223"/>
      <c r="Y1106" s="223"/>
      <c r="Z1106" s="223"/>
    </row>
    <row r="1107">
      <c r="A1107" s="223" t="str">
        <f>IFERROR(__xludf.DUMMYFUNCTION("""COMPUTED_VALUE"""),"PlusROI : Training")</f>
        <v>PlusROI : Training</v>
      </c>
      <c r="B1107" s="223" t="str">
        <f>IFERROR(__xludf.DUMMYFUNCTION("""COMPUTED_VALUE"""),"PlusROI")</f>
        <v>PlusROI</v>
      </c>
      <c r="C1107" s="223" t="str">
        <f>IFERROR(__xludf.DUMMYFUNCTION("""COMPUTED_VALUE"""),"Training")</f>
        <v>Training</v>
      </c>
      <c r="D1107" s="316">
        <f>IFERROR(__xludf.DUMMYFUNCTION("""COMPUTED_VALUE"""),44530.0)</f>
        <v>44530</v>
      </c>
      <c r="E1107" s="298"/>
      <c r="F1107" s="298"/>
      <c r="G1107" s="298"/>
      <c r="H1107" s="223"/>
      <c r="I1107" s="298">
        <f>IFERROR(__xludf.DUMMYFUNCTION("""COMPUTED_VALUE"""),150.0)</f>
        <v>150</v>
      </c>
      <c r="J1107" s="223" t="str">
        <f>IFERROR(__xludf.DUMMYFUNCTION("""COMPUTED_VALUE"""),"Not Set")</f>
        <v>Not Set</v>
      </c>
      <c r="K1107" s="317">
        <f>IFERROR(__xludf.DUMMYFUNCTION("""COMPUTED_VALUE"""),2021.0)</f>
        <v>2021</v>
      </c>
      <c r="L1107" s="298"/>
      <c r="M1107" s="223"/>
      <c r="N1107" s="223"/>
      <c r="O1107" s="223"/>
      <c r="P1107" s="223"/>
      <c r="Q1107" s="223"/>
      <c r="R1107" s="223"/>
      <c r="S1107" s="223"/>
      <c r="T1107" s="223"/>
      <c r="U1107" s="223"/>
      <c r="V1107" s="223"/>
      <c r="W1107" s="223"/>
      <c r="X1107" s="223"/>
      <c r="Y1107" s="223"/>
      <c r="Z1107" s="223"/>
    </row>
    <row r="1108">
      <c r="A1108" s="223" t="str">
        <f>IFERROR(__xludf.DUMMYFUNCTION("""COMPUTED_VALUE"""),"PlusROI : Training")</f>
        <v>PlusROI : Training</v>
      </c>
      <c r="B1108" s="223" t="str">
        <f>IFERROR(__xludf.DUMMYFUNCTION("""COMPUTED_VALUE"""),"PlusROI")</f>
        <v>PlusROI</v>
      </c>
      <c r="C1108" s="223" t="str">
        <f>IFERROR(__xludf.DUMMYFUNCTION("""COMPUTED_VALUE"""),"Training")</f>
        <v>Training</v>
      </c>
      <c r="D1108" s="316">
        <f>IFERROR(__xludf.DUMMYFUNCTION("""COMPUTED_VALUE"""),44530.0)</f>
        <v>44530</v>
      </c>
      <c r="E1108" s="298"/>
      <c r="F1108" s="298"/>
      <c r="G1108" s="298"/>
      <c r="H1108" s="223"/>
      <c r="I1108" s="298">
        <f>IFERROR(__xludf.DUMMYFUNCTION("""COMPUTED_VALUE"""),100.0)</f>
        <v>100</v>
      </c>
      <c r="J1108" s="223" t="str">
        <f>IFERROR(__xludf.DUMMYFUNCTION("""COMPUTED_VALUE"""),"Not Set")</f>
        <v>Not Set</v>
      </c>
      <c r="K1108" s="317">
        <f>IFERROR(__xludf.DUMMYFUNCTION("""COMPUTED_VALUE"""),2021.0)</f>
        <v>2021</v>
      </c>
      <c r="L1108" s="298"/>
      <c r="M1108" s="223"/>
      <c r="N1108" s="223"/>
      <c r="O1108" s="223"/>
      <c r="P1108" s="223"/>
      <c r="Q1108" s="223"/>
      <c r="R1108" s="223"/>
      <c r="S1108" s="223"/>
      <c r="T1108" s="223"/>
      <c r="U1108" s="223"/>
      <c r="V1108" s="223"/>
      <c r="W1108" s="223"/>
      <c r="X1108" s="223"/>
      <c r="Y1108" s="223"/>
      <c r="Z1108" s="223"/>
    </row>
    <row r="1109">
      <c r="A1109" s="223" t="str">
        <f>IFERROR(__xludf.DUMMYFUNCTION("""COMPUTED_VALUE"""),"PlusROI : Admin")</f>
        <v>PlusROI : Admin</v>
      </c>
      <c r="B1109" s="223" t="str">
        <f>IFERROR(__xludf.DUMMYFUNCTION("""COMPUTED_VALUE"""),"PlusROI")</f>
        <v>PlusROI</v>
      </c>
      <c r="C1109" s="223" t="str">
        <f>IFERROR(__xludf.DUMMYFUNCTION("""COMPUTED_VALUE"""),"Admin")</f>
        <v>Admin</v>
      </c>
      <c r="D1109" s="316">
        <f>IFERROR(__xludf.DUMMYFUNCTION("""COMPUTED_VALUE"""),44530.0)</f>
        <v>44530</v>
      </c>
      <c r="E1109" s="298"/>
      <c r="F1109" s="298"/>
      <c r="G1109" s="298"/>
      <c r="H1109" s="223"/>
      <c r="I1109" s="298">
        <f>IFERROR(__xludf.DUMMYFUNCTION("""COMPUTED_VALUE"""),90.0)</f>
        <v>90</v>
      </c>
      <c r="J1109" s="223" t="str">
        <f>IFERROR(__xludf.DUMMYFUNCTION("""COMPUTED_VALUE"""),"Hourly")</f>
        <v>Hourly</v>
      </c>
      <c r="K1109" s="317">
        <f>IFERROR(__xludf.DUMMYFUNCTION("""COMPUTED_VALUE"""),2021.0)</f>
        <v>2021</v>
      </c>
      <c r="L1109" s="298"/>
      <c r="M1109" s="223"/>
      <c r="N1109" s="223"/>
      <c r="O1109" s="223"/>
      <c r="P1109" s="223"/>
      <c r="Q1109" s="223"/>
      <c r="R1109" s="223"/>
      <c r="S1109" s="223"/>
      <c r="T1109" s="223"/>
      <c r="U1109" s="223"/>
      <c r="V1109" s="223"/>
      <c r="W1109" s="223"/>
      <c r="X1109" s="223"/>
      <c r="Y1109" s="223"/>
      <c r="Z1109" s="223"/>
    </row>
    <row r="1110">
      <c r="A1110" s="223" t="str">
        <f>IFERROR(__xludf.DUMMYFUNCTION("""COMPUTED_VALUE"""),"PlusROI : Marketing")</f>
        <v>PlusROI : Marketing</v>
      </c>
      <c r="B1110" s="223" t="str">
        <f>IFERROR(__xludf.DUMMYFUNCTION("""COMPUTED_VALUE"""),"PlusROI")</f>
        <v>PlusROI</v>
      </c>
      <c r="C1110" s="223" t="str">
        <f>IFERROR(__xludf.DUMMYFUNCTION("""COMPUTED_VALUE"""),"Marketing")</f>
        <v>Marketing</v>
      </c>
      <c r="D1110" s="316">
        <f>IFERROR(__xludf.DUMMYFUNCTION("""COMPUTED_VALUE"""),44530.0)</f>
        <v>44530</v>
      </c>
      <c r="E1110" s="298"/>
      <c r="F1110" s="298"/>
      <c r="G1110" s="298"/>
      <c r="H1110" s="223"/>
      <c r="I1110" s="298">
        <f>IFERROR(__xludf.DUMMYFUNCTION("""COMPUTED_VALUE"""),250.0)</f>
        <v>250</v>
      </c>
      <c r="J1110" s="223" t="str">
        <f>IFERROR(__xludf.DUMMYFUNCTION("""COMPUTED_VALUE"""),"Hourly")</f>
        <v>Hourly</v>
      </c>
      <c r="K1110" s="317">
        <f>IFERROR(__xludf.DUMMYFUNCTION("""COMPUTED_VALUE"""),2021.0)</f>
        <v>2021</v>
      </c>
      <c r="L1110" s="298"/>
      <c r="M1110" s="223"/>
      <c r="N1110" s="223"/>
      <c r="O1110" s="223"/>
      <c r="P1110" s="223"/>
      <c r="Q1110" s="223"/>
      <c r="R1110" s="223"/>
      <c r="S1110" s="223"/>
      <c r="T1110" s="223"/>
      <c r="U1110" s="223"/>
      <c r="V1110" s="223"/>
      <c r="W1110" s="223"/>
      <c r="X1110" s="223"/>
      <c r="Y1110" s="223"/>
      <c r="Z1110" s="223"/>
    </row>
    <row r="1111">
      <c r="A1111" s="223" t="str">
        <f>IFERROR(__xludf.DUMMYFUNCTION("""COMPUTED_VALUE"""),"PlusROI : Overhead")</f>
        <v>PlusROI : Overhead</v>
      </c>
      <c r="B1111" s="223" t="str">
        <f>IFERROR(__xludf.DUMMYFUNCTION("""COMPUTED_VALUE"""),"PlusROI")</f>
        <v>PlusROI</v>
      </c>
      <c r="C1111" s="223" t="str">
        <f>IFERROR(__xludf.DUMMYFUNCTION("""COMPUTED_VALUE"""),"Overhead")</f>
        <v>Overhead</v>
      </c>
      <c r="D1111" s="316">
        <f>IFERROR(__xludf.DUMMYFUNCTION("""COMPUTED_VALUE"""),44501.0)</f>
        <v>44501</v>
      </c>
      <c r="E1111" s="298"/>
      <c r="F1111" s="298"/>
      <c r="G1111" s="298"/>
      <c r="H1111" s="223"/>
      <c r="I1111" s="298">
        <f>IFERROR(__xludf.DUMMYFUNCTION("""COMPUTED_VALUE"""),6.46)</f>
        <v>6.46</v>
      </c>
      <c r="J1111" s="223" t="str">
        <f>IFERROR(__xludf.DUMMYFUNCTION("""COMPUTED_VALUE"""),"Hourly")</f>
        <v>Hourly</v>
      </c>
      <c r="K1111" s="317">
        <f>IFERROR(__xludf.DUMMYFUNCTION("""COMPUTED_VALUE"""),2021.0)</f>
        <v>2021</v>
      </c>
      <c r="L1111" s="298"/>
      <c r="M1111" s="223"/>
      <c r="N1111" s="223"/>
      <c r="O1111" s="223"/>
      <c r="P1111" s="223"/>
      <c r="Q1111" s="223"/>
      <c r="R1111" s="223"/>
      <c r="S1111" s="223"/>
      <c r="T1111" s="223"/>
      <c r="U1111" s="223"/>
      <c r="V1111" s="223"/>
      <c r="W1111" s="223"/>
      <c r="X1111" s="223"/>
      <c r="Y1111" s="223"/>
      <c r="Z1111" s="223"/>
    </row>
    <row r="1112">
      <c r="A1112" s="223" t="str">
        <f>IFERROR(__xludf.DUMMYFUNCTION("""COMPUTED_VALUE"""),"PlusROI : Overhead")</f>
        <v>PlusROI : Overhead</v>
      </c>
      <c r="B1112" s="223" t="str">
        <f>IFERROR(__xludf.DUMMYFUNCTION("""COMPUTED_VALUE"""),"PlusROI")</f>
        <v>PlusROI</v>
      </c>
      <c r="C1112" s="223" t="str">
        <f>IFERROR(__xludf.DUMMYFUNCTION("""COMPUTED_VALUE"""),"Overhead")</f>
        <v>Overhead</v>
      </c>
      <c r="D1112" s="316">
        <f>IFERROR(__xludf.DUMMYFUNCTION("""COMPUTED_VALUE"""),44501.0)</f>
        <v>44501</v>
      </c>
      <c r="E1112" s="298"/>
      <c r="F1112" s="298"/>
      <c r="G1112" s="298"/>
      <c r="H1112" s="223"/>
      <c r="I1112" s="298">
        <f>IFERROR(__xludf.DUMMYFUNCTION("""COMPUTED_VALUE"""),57.7)</f>
        <v>57.7</v>
      </c>
      <c r="J1112" s="223" t="str">
        <f>IFERROR(__xludf.DUMMYFUNCTION("""COMPUTED_VALUE"""),"Hourly")</f>
        <v>Hourly</v>
      </c>
      <c r="K1112" s="317">
        <f>IFERROR(__xludf.DUMMYFUNCTION("""COMPUTED_VALUE"""),2021.0)</f>
        <v>2021</v>
      </c>
      <c r="L1112" s="298"/>
      <c r="M1112" s="223"/>
      <c r="N1112" s="223"/>
      <c r="O1112" s="223"/>
      <c r="P1112" s="223"/>
      <c r="Q1112" s="223"/>
      <c r="R1112" s="223"/>
      <c r="S1112" s="223"/>
      <c r="T1112" s="223"/>
      <c r="U1112" s="223"/>
      <c r="V1112" s="223"/>
      <c r="W1112" s="223"/>
      <c r="X1112" s="223"/>
      <c r="Y1112" s="223"/>
      <c r="Z1112" s="223"/>
    </row>
    <row r="1113">
      <c r="A1113" s="223" t="str">
        <f>IFERROR(__xludf.DUMMYFUNCTION("""COMPUTED_VALUE"""),"Rama Meditation Society : Premium Hosting + Support")</f>
        <v>Rama Meditation Society : Premium Hosting + Support</v>
      </c>
      <c r="B1113" s="223" t="str">
        <f>IFERROR(__xludf.DUMMYFUNCTION("""COMPUTED_VALUE"""),"Rama Meditation Society")</f>
        <v>Rama Meditation Society</v>
      </c>
      <c r="C1113" s="223" t="str">
        <f>IFERROR(__xludf.DUMMYFUNCTION("""COMPUTED_VALUE"""),"Premium Hosting + Support")</f>
        <v>Premium Hosting + Support</v>
      </c>
      <c r="D1113" s="316">
        <f>IFERROR(__xludf.DUMMYFUNCTION("""COMPUTED_VALUE"""),44501.0)</f>
        <v>44501</v>
      </c>
      <c r="E1113" s="298"/>
      <c r="F1113" s="298"/>
      <c r="G1113" s="298"/>
      <c r="H1113" s="223"/>
      <c r="I1113" s="298">
        <f>IFERROR(__xludf.DUMMYFUNCTION("""COMPUTED_VALUE"""),68.02)</f>
        <v>68.02</v>
      </c>
      <c r="J1113" s="223" t="str">
        <f>IFERROR(__xludf.DUMMYFUNCTION("""COMPUTED_VALUE"""),"Not Set")</f>
        <v>Not Set</v>
      </c>
      <c r="K1113" s="317">
        <f>IFERROR(__xludf.DUMMYFUNCTION("""COMPUTED_VALUE"""),2021.0)</f>
        <v>2021</v>
      </c>
      <c r="L1113" s="298"/>
      <c r="M1113" s="223"/>
      <c r="N1113" s="223"/>
      <c r="O1113" s="223"/>
      <c r="P1113" s="223"/>
      <c r="Q1113" s="223"/>
      <c r="R1113" s="223"/>
      <c r="S1113" s="223"/>
      <c r="T1113" s="223"/>
      <c r="U1113" s="223"/>
      <c r="V1113" s="223"/>
      <c r="W1113" s="223"/>
      <c r="X1113" s="223"/>
      <c r="Y1113" s="223"/>
      <c r="Z1113" s="223"/>
    </row>
    <row r="1114">
      <c r="A1114" s="223" t="str">
        <f>IFERROR(__xludf.DUMMYFUNCTION("""COMPUTED_VALUE"""),"PlusROI : Overhead")</f>
        <v>PlusROI : Overhead</v>
      </c>
      <c r="B1114" s="223" t="str">
        <f>IFERROR(__xludf.DUMMYFUNCTION("""COMPUTED_VALUE"""),"PlusROI")</f>
        <v>PlusROI</v>
      </c>
      <c r="C1114" s="223" t="str">
        <f>IFERROR(__xludf.DUMMYFUNCTION("""COMPUTED_VALUE"""),"Overhead")</f>
        <v>Overhead</v>
      </c>
      <c r="D1114" s="316">
        <f>IFERROR(__xludf.DUMMYFUNCTION("""COMPUTED_VALUE"""),44501.0)</f>
        <v>44501</v>
      </c>
      <c r="E1114" s="298"/>
      <c r="F1114" s="298"/>
      <c r="G1114" s="298"/>
      <c r="H1114" s="223"/>
      <c r="I1114" s="298">
        <f>IFERROR(__xludf.DUMMYFUNCTION("""COMPUTED_VALUE"""),51.35)</f>
        <v>51.35</v>
      </c>
      <c r="J1114" s="223" t="str">
        <f>IFERROR(__xludf.DUMMYFUNCTION("""COMPUTED_VALUE"""),"Hourly")</f>
        <v>Hourly</v>
      </c>
      <c r="K1114" s="317">
        <f>IFERROR(__xludf.DUMMYFUNCTION("""COMPUTED_VALUE"""),2021.0)</f>
        <v>2021</v>
      </c>
      <c r="L1114" s="298"/>
      <c r="M1114" s="223"/>
      <c r="N1114" s="223"/>
      <c r="O1114" s="223"/>
      <c r="P1114" s="223"/>
      <c r="Q1114" s="223"/>
      <c r="R1114" s="223"/>
      <c r="S1114" s="223"/>
      <c r="T1114" s="223"/>
      <c r="U1114" s="223"/>
      <c r="V1114" s="223"/>
      <c r="W1114" s="223"/>
      <c r="X1114" s="223"/>
      <c r="Y1114" s="223"/>
      <c r="Z1114" s="223"/>
    </row>
    <row r="1115">
      <c r="A1115" s="223" t="str">
        <f>IFERROR(__xludf.DUMMYFUNCTION("""COMPUTED_VALUE"""),"PlusROI : Overhead")</f>
        <v>PlusROI : Overhead</v>
      </c>
      <c r="B1115" s="223" t="str">
        <f>IFERROR(__xludf.DUMMYFUNCTION("""COMPUTED_VALUE"""),"PlusROI")</f>
        <v>PlusROI</v>
      </c>
      <c r="C1115" s="223" t="str">
        <f>IFERROR(__xludf.DUMMYFUNCTION("""COMPUTED_VALUE"""),"Overhead")</f>
        <v>Overhead</v>
      </c>
      <c r="D1115" s="316">
        <f>IFERROR(__xludf.DUMMYFUNCTION("""COMPUTED_VALUE"""),44501.0)</f>
        <v>44501</v>
      </c>
      <c r="E1115" s="298"/>
      <c r="F1115" s="298"/>
      <c r="G1115" s="298"/>
      <c r="H1115" s="223"/>
      <c r="I1115" s="298">
        <f>IFERROR(__xludf.DUMMYFUNCTION("""COMPUTED_VALUE"""),130.38)</f>
        <v>130.38</v>
      </c>
      <c r="J1115" s="223" t="str">
        <f>IFERROR(__xludf.DUMMYFUNCTION("""COMPUTED_VALUE"""),"Hourly")</f>
        <v>Hourly</v>
      </c>
      <c r="K1115" s="317">
        <f>IFERROR(__xludf.DUMMYFUNCTION("""COMPUTED_VALUE"""),2021.0)</f>
        <v>2021</v>
      </c>
      <c r="L1115" s="298"/>
      <c r="M1115" s="223"/>
      <c r="N1115" s="223"/>
      <c r="O1115" s="223"/>
      <c r="P1115" s="223"/>
      <c r="Q1115" s="223"/>
      <c r="R1115" s="223"/>
      <c r="S1115" s="223"/>
      <c r="T1115" s="223"/>
      <c r="U1115" s="223"/>
      <c r="V1115" s="223"/>
      <c r="W1115" s="223"/>
      <c r="X1115" s="223"/>
      <c r="Y1115" s="223"/>
      <c r="Z1115" s="223"/>
    </row>
    <row r="1116">
      <c r="A1116" s="223" t="str">
        <f>IFERROR(__xludf.DUMMYFUNCTION("""COMPUTED_VALUE"""),"PlusROI : Marketing")</f>
        <v>PlusROI : Marketing</v>
      </c>
      <c r="B1116" s="223" t="str">
        <f>IFERROR(__xludf.DUMMYFUNCTION("""COMPUTED_VALUE"""),"PlusROI")</f>
        <v>PlusROI</v>
      </c>
      <c r="C1116" s="223" t="str">
        <f>IFERROR(__xludf.DUMMYFUNCTION("""COMPUTED_VALUE"""),"Marketing")</f>
        <v>Marketing</v>
      </c>
      <c r="D1116" s="316">
        <f>IFERROR(__xludf.DUMMYFUNCTION("""COMPUTED_VALUE"""),44501.0)</f>
        <v>44501</v>
      </c>
      <c r="E1116" s="298"/>
      <c r="F1116" s="298"/>
      <c r="G1116" s="298"/>
      <c r="H1116" s="223"/>
      <c r="I1116" s="298">
        <f>IFERROR(__xludf.DUMMYFUNCTION("""COMPUTED_VALUE"""),210.0)</f>
        <v>210</v>
      </c>
      <c r="J1116" s="223" t="str">
        <f>IFERROR(__xludf.DUMMYFUNCTION("""COMPUTED_VALUE"""),"Hourly")</f>
        <v>Hourly</v>
      </c>
      <c r="K1116" s="317">
        <f>IFERROR(__xludf.DUMMYFUNCTION("""COMPUTED_VALUE"""),2021.0)</f>
        <v>2021</v>
      </c>
      <c r="L1116" s="298"/>
      <c r="M1116" s="223"/>
      <c r="N1116" s="223"/>
      <c r="O1116" s="223"/>
      <c r="P1116" s="223"/>
      <c r="Q1116" s="223"/>
      <c r="R1116" s="223"/>
      <c r="S1116" s="223"/>
      <c r="T1116" s="223"/>
      <c r="U1116" s="223"/>
      <c r="V1116" s="223"/>
      <c r="W1116" s="223"/>
      <c r="X1116" s="223"/>
      <c r="Y1116" s="223"/>
      <c r="Z1116" s="223"/>
    </row>
    <row r="1117">
      <c r="A1117" s="223" t="str">
        <f>IFERROR(__xludf.DUMMYFUNCTION("""COMPUTED_VALUE"""),"Spraggs : Monthly Services")</f>
        <v>Spraggs : Monthly Services</v>
      </c>
      <c r="B1117" s="223" t="str">
        <f>IFERROR(__xludf.DUMMYFUNCTION("""COMPUTED_VALUE"""),"Spraggs")</f>
        <v>Spraggs</v>
      </c>
      <c r="C1117" s="223" t="str">
        <f>IFERROR(__xludf.DUMMYFUNCTION("""COMPUTED_VALUE"""),"Monthly Services")</f>
        <v>Monthly Services</v>
      </c>
      <c r="D1117" s="316">
        <f>IFERROR(__xludf.DUMMYFUNCTION("""COMPUTED_VALUE"""),44501.0)</f>
        <v>44501</v>
      </c>
      <c r="E1117" s="298"/>
      <c r="F1117" s="298"/>
      <c r="G1117" s="298"/>
      <c r="H1117" s="223"/>
      <c r="I1117" s="298">
        <f>IFERROR(__xludf.DUMMYFUNCTION("""COMPUTED_VALUE"""),58.8)</f>
        <v>58.8</v>
      </c>
      <c r="J1117" s="223" t="str">
        <f>IFERROR(__xludf.DUMMYFUNCTION("""COMPUTED_VALUE"""),"Monthly")</f>
        <v>Monthly</v>
      </c>
      <c r="K1117" s="317">
        <f>IFERROR(__xludf.DUMMYFUNCTION("""COMPUTED_VALUE"""),2021.11)</f>
        <v>2021.11</v>
      </c>
      <c r="L1117" s="298">
        <f>IFERROR(__xludf.DUMMYFUNCTION("""COMPUTED_VALUE"""),58.8)</f>
        <v>58.8</v>
      </c>
      <c r="M1117" s="223"/>
      <c r="N1117" s="223"/>
      <c r="O1117" s="223"/>
      <c r="P1117" s="223"/>
      <c r="Q1117" s="223"/>
      <c r="R1117" s="223"/>
      <c r="S1117" s="223"/>
      <c r="T1117" s="223"/>
      <c r="U1117" s="223"/>
      <c r="V1117" s="223"/>
      <c r="W1117" s="223"/>
      <c r="X1117" s="223"/>
      <c r="Y1117" s="223"/>
      <c r="Z1117" s="223"/>
    </row>
    <row r="1118">
      <c r="A1118" s="223" t="str">
        <f>IFERROR(__xludf.DUMMYFUNCTION("""COMPUTED_VALUE"""),"Tuscany : Monthly Services")</f>
        <v>Tuscany : Monthly Services</v>
      </c>
      <c r="B1118" s="223" t="str">
        <f>IFERROR(__xludf.DUMMYFUNCTION("""COMPUTED_VALUE"""),"Tuscany")</f>
        <v>Tuscany</v>
      </c>
      <c r="C1118" s="223" t="str">
        <f>IFERROR(__xludf.DUMMYFUNCTION("""COMPUTED_VALUE"""),"Monthly Services")</f>
        <v>Monthly Services</v>
      </c>
      <c r="D1118" s="316">
        <f>IFERROR(__xludf.DUMMYFUNCTION("""COMPUTED_VALUE"""),44501.0)</f>
        <v>44501</v>
      </c>
      <c r="E1118" s="298"/>
      <c r="F1118" s="298"/>
      <c r="G1118" s="298"/>
      <c r="H1118" s="223"/>
      <c r="I1118" s="298">
        <f>IFERROR(__xludf.DUMMYFUNCTION("""COMPUTED_VALUE"""),1666.58)</f>
        <v>1666.58</v>
      </c>
      <c r="J1118" s="223" t="str">
        <f>IFERROR(__xludf.DUMMYFUNCTION("""COMPUTED_VALUE"""),"Monthly")</f>
        <v>Monthly</v>
      </c>
      <c r="K1118" s="317">
        <f>IFERROR(__xludf.DUMMYFUNCTION("""COMPUTED_VALUE"""),2021.11)</f>
        <v>2021.11</v>
      </c>
      <c r="L1118" s="298">
        <f>IFERROR(__xludf.DUMMYFUNCTION("""COMPUTED_VALUE"""),1666.58)</f>
        <v>1666.58</v>
      </c>
      <c r="M1118" s="223"/>
      <c r="N1118" s="223"/>
      <c r="O1118" s="223"/>
      <c r="P1118" s="223"/>
      <c r="Q1118" s="223"/>
      <c r="R1118" s="223"/>
      <c r="S1118" s="223"/>
      <c r="T1118" s="223"/>
      <c r="U1118" s="223"/>
      <c r="V1118" s="223"/>
      <c r="W1118" s="223"/>
      <c r="X1118" s="223"/>
      <c r="Y1118" s="223"/>
      <c r="Z1118" s="223"/>
    </row>
    <row r="1119">
      <c r="A1119" s="223" t="str">
        <f>IFERROR(__xludf.DUMMYFUNCTION("""COMPUTED_VALUE"""),"Venetian : Monthly Services")</f>
        <v>Venetian : Monthly Services</v>
      </c>
      <c r="B1119" s="223" t="str">
        <f>IFERROR(__xludf.DUMMYFUNCTION("""COMPUTED_VALUE"""),"Venetian")</f>
        <v>Venetian</v>
      </c>
      <c r="C1119" s="223" t="str">
        <f>IFERROR(__xludf.DUMMYFUNCTION("""COMPUTED_VALUE"""),"Monthly Services")</f>
        <v>Monthly Services</v>
      </c>
      <c r="D1119" s="316">
        <f>IFERROR(__xludf.DUMMYFUNCTION("""COMPUTED_VALUE"""),44501.0)</f>
        <v>44501</v>
      </c>
      <c r="E1119" s="298"/>
      <c r="F1119" s="298"/>
      <c r="G1119" s="298"/>
      <c r="H1119" s="223"/>
      <c r="I1119" s="298">
        <f>IFERROR(__xludf.DUMMYFUNCTION("""COMPUTED_VALUE"""),1665.89)</f>
        <v>1665.89</v>
      </c>
      <c r="J1119" s="223" t="str">
        <f>IFERROR(__xludf.DUMMYFUNCTION("""COMPUTED_VALUE"""),"Monthly")</f>
        <v>Monthly</v>
      </c>
      <c r="K1119" s="317">
        <f>IFERROR(__xludf.DUMMYFUNCTION("""COMPUTED_VALUE"""),2021.11)</f>
        <v>2021.11</v>
      </c>
      <c r="L1119" s="298">
        <f>IFERROR(__xludf.DUMMYFUNCTION("""COMPUTED_VALUE"""),1665.89)</f>
        <v>1665.89</v>
      </c>
      <c r="M1119" s="223"/>
      <c r="N1119" s="223"/>
      <c r="O1119" s="223"/>
      <c r="P1119" s="223"/>
      <c r="Q1119" s="223"/>
      <c r="R1119" s="223"/>
      <c r="S1119" s="223"/>
      <c r="T1119" s="223"/>
      <c r="U1119" s="223"/>
      <c r="V1119" s="223"/>
      <c r="W1119" s="223"/>
      <c r="X1119" s="223"/>
      <c r="Y1119" s="223"/>
      <c r="Z1119" s="223"/>
    </row>
    <row r="1120">
      <c r="A1120" s="223" t="str">
        <f>IFERROR(__xludf.DUMMYFUNCTION("""COMPUTED_VALUE"""),"Argos Products : Grant Program")</f>
        <v>Argos Products : Grant Program</v>
      </c>
      <c r="B1120" s="223" t="str">
        <f>IFERROR(__xludf.DUMMYFUNCTION("""COMPUTED_VALUE"""),"Argos Products")</f>
        <v>Argos Products</v>
      </c>
      <c r="C1120" s="223" t="str">
        <f>IFERROR(__xludf.DUMMYFUNCTION("""COMPUTED_VALUE"""),"Grant Program")</f>
        <v>Grant Program</v>
      </c>
      <c r="D1120" s="316">
        <f>IFERROR(__xludf.DUMMYFUNCTION("""COMPUTED_VALUE"""),44501.0)</f>
        <v>44501</v>
      </c>
      <c r="E1120" s="298"/>
      <c r="F1120" s="298"/>
      <c r="G1120" s="298"/>
      <c r="H1120" s="223"/>
      <c r="I1120" s="298">
        <f>IFERROR(__xludf.DUMMYFUNCTION("""COMPUTED_VALUE"""),7.84)</f>
        <v>7.84</v>
      </c>
      <c r="J1120" s="223" t="str">
        <f>IFERROR(__xludf.DUMMYFUNCTION("""COMPUTED_VALUE"""),"Fixed Project")</f>
        <v>Fixed Project</v>
      </c>
      <c r="K1120" s="317">
        <f>IFERROR(__xludf.DUMMYFUNCTION("""COMPUTED_VALUE"""),2021.0)</f>
        <v>2021</v>
      </c>
      <c r="L1120" s="298">
        <f>IFERROR(__xludf.DUMMYFUNCTION("""COMPUTED_VALUE"""),7.84)</f>
        <v>7.84</v>
      </c>
      <c r="M1120" s="223"/>
      <c r="N1120" s="223"/>
      <c r="O1120" s="223"/>
      <c r="P1120" s="223"/>
      <c r="Q1120" s="223"/>
      <c r="R1120" s="223"/>
      <c r="S1120" s="223"/>
      <c r="T1120" s="223"/>
      <c r="U1120" s="223"/>
      <c r="V1120" s="223"/>
      <c r="W1120" s="223"/>
      <c r="X1120" s="223"/>
      <c r="Y1120" s="223"/>
      <c r="Z1120" s="223"/>
    </row>
    <row r="1121">
      <c r="A1121" s="223" t="str">
        <f>IFERROR(__xludf.DUMMYFUNCTION("""COMPUTED_VALUE"""),"PlusROI : Overhead")</f>
        <v>PlusROI : Overhead</v>
      </c>
      <c r="B1121" s="223" t="str">
        <f>IFERROR(__xludf.DUMMYFUNCTION("""COMPUTED_VALUE"""),"PlusROI")</f>
        <v>PlusROI</v>
      </c>
      <c r="C1121" s="223" t="str">
        <f>IFERROR(__xludf.DUMMYFUNCTION("""COMPUTED_VALUE"""),"Overhead")</f>
        <v>Overhead</v>
      </c>
      <c r="D1121" s="316">
        <f>IFERROR(__xludf.DUMMYFUNCTION("""COMPUTED_VALUE"""),44501.0)</f>
        <v>44501</v>
      </c>
      <c r="E1121" s="298"/>
      <c r="F1121" s="298"/>
      <c r="G1121" s="298"/>
      <c r="H1121" s="223"/>
      <c r="I1121" s="298">
        <f>IFERROR(__xludf.DUMMYFUNCTION("""COMPUTED_VALUE"""),453.2)</f>
        <v>453.2</v>
      </c>
      <c r="J1121" s="223" t="str">
        <f>IFERROR(__xludf.DUMMYFUNCTION("""COMPUTED_VALUE"""),"Hourly")</f>
        <v>Hourly</v>
      </c>
      <c r="K1121" s="317">
        <f>IFERROR(__xludf.DUMMYFUNCTION("""COMPUTED_VALUE"""),2021.0)</f>
        <v>2021</v>
      </c>
      <c r="L1121" s="298"/>
      <c r="M1121" s="223"/>
      <c r="N1121" s="223"/>
      <c r="O1121" s="223"/>
      <c r="P1121" s="223"/>
      <c r="Q1121" s="223"/>
      <c r="R1121" s="223"/>
      <c r="S1121" s="223"/>
      <c r="T1121" s="223"/>
      <c r="U1121" s="223"/>
      <c r="V1121" s="223"/>
      <c r="W1121" s="223"/>
      <c r="X1121" s="223"/>
      <c r="Y1121" s="223"/>
      <c r="Z1121" s="223"/>
    </row>
    <row r="1122">
      <c r="A1122" s="223" t="str">
        <f>IFERROR(__xludf.DUMMYFUNCTION("""COMPUTED_VALUE"""),"The Academy : Website")</f>
        <v>The Academy : Website</v>
      </c>
      <c r="B1122" s="223" t="str">
        <f>IFERROR(__xludf.DUMMYFUNCTION("""COMPUTED_VALUE"""),"The Academy")</f>
        <v>The Academy</v>
      </c>
      <c r="C1122" s="223" t="str">
        <f>IFERROR(__xludf.DUMMYFUNCTION("""COMPUTED_VALUE"""),"Website")</f>
        <v>Website</v>
      </c>
      <c r="D1122" s="316">
        <f>IFERROR(__xludf.DUMMYFUNCTION("""COMPUTED_VALUE"""),44501.0)</f>
        <v>44501</v>
      </c>
      <c r="E1122" s="298"/>
      <c r="F1122" s="298"/>
      <c r="G1122" s="298"/>
      <c r="H1122" s="223"/>
      <c r="I1122" s="298">
        <f>IFERROR(__xludf.DUMMYFUNCTION("""COMPUTED_VALUE"""),33.14)</f>
        <v>33.14</v>
      </c>
      <c r="J1122" s="223" t="str">
        <f>IFERROR(__xludf.DUMMYFUNCTION("""COMPUTED_VALUE"""),"Fixed Project")</f>
        <v>Fixed Project</v>
      </c>
      <c r="K1122" s="317">
        <f>IFERROR(__xludf.DUMMYFUNCTION("""COMPUTED_VALUE"""),2021.0)</f>
        <v>2021</v>
      </c>
      <c r="L1122" s="298"/>
      <c r="M1122" s="223"/>
      <c r="N1122" s="223"/>
      <c r="O1122" s="223"/>
      <c r="P1122" s="223"/>
      <c r="Q1122" s="223"/>
      <c r="R1122" s="223"/>
      <c r="S1122" s="223"/>
      <c r="T1122" s="223"/>
      <c r="U1122" s="223"/>
      <c r="V1122" s="223"/>
      <c r="W1122" s="223"/>
      <c r="X1122" s="223"/>
      <c r="Y1122" s="223"/>
      <c r="Z1122" s="223"/>
    </row>
    <row r="1123">
      <c r="A1123" s="223" t="str">
        <f>IFERROR(__xludf.DUMMYFUNCTION("""COMPUTED_VALUE"""),"Alluvial Consulting : Grant Program")</f>
        <v>Alluvial Consulting : Grant Program</v>
      </c>
      <c r="B1123" s="223" t="str">
        <f>IFERROR(__xludf.DUMMYFUNCTION("""COMPUTED_VALUE"""),"Alluvial Consulting")</f>
        <v>Alluvial Consulting</v>
      </c>
      <c r="C1123" s="223" t="str">
        <f>IFERROR(__xludf.DUMMYFUNCTION("""COMPUTED_VALUE"""),"Grant Program")</f>
        <v>Grant Program</v>
      </c>
      <c r="D1123" s="316">
        <f>IFERROR(__xludf.DUMMYFUNCTION("""COMPUTED_VALUE"""),44501.0)</f>
        <v>44501</v>
      </c>
      <c r="E1123" s="298"/>
      <c r="F1123" s="298"/>
      <c r="G1123" s="298"/>
      <c r="H1123" s="223"/>
      <c r="I1123" s="298">
        <f>IFERROR(__xludf.DUMMYFUNCTION("""COMPUTED_VALUE"""),102.19)</f>
        <v>102.19</v>
      </c>
      <c r="J1123" s="223" t="str">
        <f>IFERROR(__xludf.DUMMYFUNCTION("""COMPUTED_VALUE"""),"Fixed Project")</f>
        <v>Fixed Project</v>
      </c>
      <c r="K1123" s="317">
        <f>IFERROR(__xludf.DUMMYFUNCTION("""COMPUTED_VALUE"""),2021.0)</f>
        <v>2021</v>
      </c>
      <c r="L1123" s="298">
        <f>IFERROR(__xludf.DUMMYFUNCTION("""COMPUTED_VALUE"""),102.19)</f>
        <v>102.19</v>
      </c>
      <c r="M1123" s="223"/>
      <c r="N1123" s="223"/>
      <c r="O1123" s="223"/>
      <c r="P1123" s="223"/>
      <c r="Q1123" s="223"/>
      <c r="R1123" s="223"/>
      <c r="S1123" s="223"/>
      <c r="T1123" s="223"/>
      <c r="U1123" s="223"/>
      <c r="V1123" s="223"/>
      <c r="W1123" s="223"/>
      <c r="X1123" s="223"/>
      <c r="Y1123" s="223"/>
      <c r="Z1123" s="223"/>
    </row>
    <row r="1124">
      <c r="A1124" s="223" t="str">
        <f>IFERROR(__xludf.DUMMYFUNCTION("""COMPUTED_VALUE"""),"Advisicon : Maintance &amp; Speed Optimization")</f>
        <v>Advisicon : Maintance &amp; Speed Optimization</v>
      </c>
      <c r="B1124" s="223" t="str">
        <f>IFERROR(__xludf.DUMMYFUNCTION("""COMPUTED_VALUE"""),"Advisicon")</f>
        <v>Advisicon</v>
      </c>
      <c r="C1124" s="223" t="str">
        <f>IFERROR(__xludf.DUMMYFUNCTION("""COMPUTED_VALUE"""),"Maintance &amp; Speed Optimization")</f>
        <v>Maintance &amp; Speed Optimization</v>
      </c>
      <c r="D1124" s="316">
        <f>IFERROR(__xludf.DUMMYFUNCTION("""COMPUTED_VALUE"""),44501.0)</f>
        <v>44501</v>
      </c>
      <c r="E1124" s="298"/>
      <c r="F1124" s="298"/>
      <c r="G1124" s="298"/>
      <c r="H1124" s="223"/>
      <c r="I1124" s="298">
        <f>IFERROR(__xludf.DUMMYFUNCTION("""COMPUTED_VALUE"""),168.33)</f>
        <v>168.33</v>
      </c>
      <c r="J1124" s="223" t="str">
        <f>IFERROR(__xludf.DUMMYFUNCTION("""COMPUTED_VALUE"""),"Fixed Project")</f>
        <v>Fixed Project</v>
      </c>
      <c r="K1124" s="317">
        <f>IFERROR(__xludf.DUMMYFUNCTION("""COMPUTED_VALUE"""),2021.0)</f>
        <v>2021</v>
      </c>
      <c r="L1124" s="298"/>
      <c r="M1124" s="223"/>
      <c r="N1124" s="223"/>
      <c r="O1124" s="223"/>
      <c r="P1124" s="223"/>
      <c r="Q1124" s="223"/>
      <c r="R1124" s="223"/>
      <c r="S1124" s="223"/>
      <c r="T1124" s="223"/>
      <c r="U1124" s="223"/>
      <c r="V1124" s="223"/>
      <c r="W1124" s="223"/>
      <c r="X1124" s="223"/>
      <c r="Y1124" s="223"/>
      <c r="Z1124" s="223"/>
    </row>
    <row r="1125">
      <c r="A1125" s="223" t="str">
        <f>IFERROR(__xludf.DUMMYFUNCTION("""COMPUTED_VALUE"""),"AEON : Website")</f>
        <v>AEON : Website</v>
      </c>
      <c r="B1125" s="223" t="str">
        <f>IFERROR(__xludf.DUMMYFUNCTION("""COMPUTED_VALUE"""),"AEON")</f>
        <v>AEON</v>
      </c>
      <c r="C1125" s="223" t="str">
        <f>IFERROR(__xludf.DUMMYFUNCTION("""COMPUTED_VALUE"""),"Website")</f>
        <v>Website</v>
      </c>
      <c r="D1125" s="316">
        <f>IFERROR(__xludf.DUMMYFUNCTION("""COMPUTED_VALUE"""),44501.0)</f>
        <v>44501</v>
      </c>
      <c r="E1125" s="298"/>
      <c r="F1125" s="298"/>
      <c r="G1125" s="298"/>
      <c r="H1125" s="223"/>
      <c r="I1125" s="298">
        <f>IFERROR(__xludf.DUMMYFUNCTION("""COMPUTED_VALUE"""),172.48)</f>
        <v>172.48</v>
      </c>
      <c r="J1125" s="223" t="str">
        <f>IFERROR(__xludf.DUMMYFUNCTION("""COMPUTED_VALUE"""),"Fixed Project")</f>
        <v>Fixed Project</v>
      </c>
      <c r="K1125" s="317">
        <f>IFERROR(__xludf.DUMMYFUNCTION("""COMPUTED_VALUE"""),2021.0)</f>
        <v>2021</v>
      </c>
      <c r="L1125" s="298"/>
      <c r="M1125" s="223"/>
      <c r="N1125" s="223"/>
      <c r="O1125" s="223"/>
      <c r="P1125" s="223"/>
      <c r="Q1125" s="223"/>
      <c r="R1125" s="223"/>
      <c r="S1125" s="223"/>
      <c r="T1125" s="223"/>
      <c r="U1125" s="223"/>
      <c r="V1125" s="223"/>
      <c r="W1125" s="223"/>
      <c r="X1125" s="223"/>
      <c r="Y1125" s="223"/>
      <c r="Z1125" s="223"/>
    </row>
    <row r="1126">
      <c r="A1126" s="223" t="str">
        <f>IFERROR(__xludf.DUMMYFUNCTION("""COMPUTED_VALUE"""),"Athlone Golf &amp; Sports : Website")</f>
        <v>Athlone Golf &amp; Sports : Website</v>
      </c>
      <c r="B1126" s="223" t="str">
        <f>IFERROR(__xludf.DUMMYFUNCTION("""COMPUTED_VALUE"""),"Athlone Golf &amp; Sports")</f>
        <v>Athlone Golf &amp; Sports</v>
      </c>
      <c r="C1126" s="223" t="str">
        <f>IFERROR(__xludf.DUMMYFUNCTION("""COMPUTED_VALUE"""),"Website")</f>
        <v>Website</v>
      </c>
      <c r="D1126" s="316">
        <f>IFERROR(__xludf.DUMMYFUNCTION("""COMPUTED_VALUE"""),44501.0)</f>
        <v>44501</v>
      </c>
      <c r="E1126" s="298"/>
      <c r="F1126" s="298"/>
      <c r="G1126" s="298"/>
      <c r="H1126" s="223"/>
      <c r="I1126" s="298">
        <f>IFERROR(__xludf.DUMMYFUNCTION("""COMPUTED_VALUE"""),1478.44)</f>
        <v>1478.44</v>
      </c>
      <c r="J1126" s="223" t="str">
        <f>IFERROR(__xludf.DUMMYFUNCTION("""COMPUTED_VALUE"""),"Fixed Project")</f>
        <v>Fixed Project</v>
      </c>
      <c r="K1126" s="317">
        <f>IFERROR(__xludf.DUMMYFUNCTION("""COMPUTED_VALUE"""),2021.0)</f>
        <v>2021</v>
      </c>
      <c r="L1126" s="298"/>
      <c r="M1126" s="223"/>
      <c r="N1126" s="223"/>
      <c r="O1126" s="223"/>
      <c r="P1126" s="223"/>
      <c r="Q1126" s="223"/>
      <c r="R1126" s="223"/>
      <c r="S1126" s="223"/>
      <c r="T1126" s="223"/>
      <c r="U1126" s="223"/>
      <c r="V1126" s="223"/>
      <c r="W1126" s="223"/>
      <c r="X1126" s="223"/>
      <c r="Y1126" s="223"/>
      <c r="Z1126" s="223"/>
    </row>
    <row r="1127">
      <c r="A1127" s="223" t="str">
        <f>IFERROR(__xludf.DUMMYFUNCTION("""COMPUTED_VALUE"""),"Aware360 : Monthly Services")</f>
        <v>Aware360 : Monthly Services</v>
      </c>
      <c r="B1127" s="223" t="str">
        <f>IFERROR(__xludf.DUMMYFUNCTION("""COMPUTED_VALUE"""),"Aware360")</f>
        <v>Aware360</v>
      </c>
      <c r="C1127" s="223" t="str">
        <f>IFERROR(__xludf.DUMMYFUNCTION("""COMPUTED_VALUE"""),"Monthly Services")</f>
        <v>Monthly Services</v>
      </c>
      <c r="D1127" s="316">
        <f>IFERROR(__xludf.DUMMYFUNCTION("""COMPUTED_VALUE"""),44501.0)</f>
        <v>44501</v>
      </c>
      <c r="E1127" s="298"/>
      <c r="F1127" s="298"/>
      <c r="G1127" s="298"/>
      <c r="H1127" s="223"/>
      <c r="I1127" s="298">
        <f>IFERROR(__xludf.DUMMYFUNCTION("""COMPUTED_VALUE"""),21.4)</f>
        <v>21.4</v>
      </c>
      <c r="J1127" s="223" t="str">
        <f>IFERROR(__xludf.DUMMYFUNCTION("""COMPUTED_VALUE"""),"Monthly")</f>
        <v>Monthly</v>
      </c>
      <c r="K1127" s="317">
        <f>IFERROR(__xludf.DUMMYFUNCTION("""COMPUTED_VALUE"""),2021.11)</f>
        <v>2021.11</v>
      </c>
      <c r="L1127" s="298"/>
      <c r="M1127" s="223"/>
      <c r="N1127" s="223"/>
      <c r="O1127" s="223"/>
      <c r="P1127" s="223"/>
      <c r="Q1127" s="223"/>
      <c r="R1127" s="223"/>
      <c r="S1127" s="223"/>
      <c r="T1127" s="223"/>
      <c r="U1127" s="223"/>
      <c r="V1127" s="223"/>
      <c r="W1127" s="223"/>
      <c r="X1127" s="223"/>
      <c r="Y1127" s="223"/>
      <c r="Z1127" s="223"/>
    </row>
    <row r="1128">
      <c r="A1128" s="223" t="str">
        <f>IFERROR(__xludf.DUMMYFUNCTION("""COMPUTED_VALUE"""),"VIATeC : Bateman Foundation")</f>
        <v>VIATeC : Bateman Foundation</v>
      </c>
      <c r="B1128" s="223" t="str">
        <f>IFERROR(__xludf.DUMMYFUNCTION("""COMPUTED_VALUE"""),"VIATeC")</f>
        <v>VIATeC</v>
      </c>
      <c r="C1128" s="223" t="str">
        <f>IFERROR(__xludf.DUMMYFUNCTION("""COMPUTED_VALUE"""),"Bateman Foundation")</f>
        <v>Bateman Foundation</v>
      </c>
      <c r="D1128" s="316">
        <f>IFERROR(__xludf.DUMMYFUNCTION("""COMPUTED_VALUE"""),44501.0)</f>
        <v>44501</v>
      </c>
      <c r="E1128" s="298"/>
      <c r="F1128" s="298"/>
      <c r="G1128" s="298"/>
      <c r="H1128" s="223"/>
      <c r="I1128" s="298">
        <f>IFERROR(__xludf.DUMMYFUNCTION("""COMPUTED_VALUE"""),186.34)</f>
        <v>186.34</v>
      </c>
      <c r="J1128" s="223" t="str">
        <f>IFERROR(__xludf.DUMMYFUNCTION("""COMPUTED_VALUE"""),"Fixed Project")</f>
        <v>Fixed Project</v>
      </c>
      <c r="K1128" s="317">
        <f>IFERROR(__xludf.DUMMYFUNCTION("""COMPUTED_VALUE"""),2021.0)</f>
        <v>2021</v>
      </c>
      <c r="L1128" s="298"/>
      <c r="M1128" s="223"/>
      <c r="N1128" s="223"/>
      <c r="O1128" s="223"/>
      <c r="P1128" s="223"/>
      <c r="Q1128" s="223"/>
      <c r="R1128" s="223"/>
      <c r="S1128" s="223"/>
      <c r="T1128" s="223"/>
      <c r="U1128" s="223"/>
      <c r="V1128" s="223"/>
      <c r="W1128" s="223"/>
      <c r="X1128" s="223"/>
      <c r="Y1128" s="223"/>
      <c r="Z1128" s="223"/>
    </row>
    <row r="1129">
      <c r="A1129" s="223" t="str">
        <f>IFERROR(__xludf.DUMMYFUNCTION("""COMPUTED_VALUE"""),"C360 : C360 Site Review")</f>
        <v>C360 : C360 Site Review</v>
      </c>
      <c r="B1129" s="223" t="str">
        <f>IFERROR(__xludf.DUMMYFUNCTION("""COMPUTED_VALUE"""),"C360")</f>
        <v>C360</v>
      </c>
      <c r="C1129" s="223" t="str">
        <f>IFERROR(__xludf.DUMMYFUNCTION("""COMPUTED_VALUE"""),"C360 Site Review")</f>
        <v>C360 Site Review</v>
      </c>
      <c r="D1129" s="316">
        <f>IFERROR(__xludf.DUMMYFUNCTION("""COMPUTED_VALUE"""),44501.0)</f>
        <v>44501</v>
      </c>
      <c r="E1129" s="298"/>
      <c r="F1129" s="298"/>
      <c r="G1129" s="298"/>
      <c r="H1129" s="223"/>
      <c r="I1129" s="298">
        <f>IFERROR(__xludf.DUMMYFUNCTION("""COMPUTED_VALUE"""),54.54)</f>
        <v>54.54</v>
      </c>
      <c r="J1129" s="223" t="str">
        <f>IFERROR(__xludf.DUMMYFUNCTION("""COMPUTED_VALUE"""),"Fixed Project")</f>
        <v>Fixed Project</v>
      </c>
      <c r="K1129" s="317">
        <f>IFERROR(__xludf.DUMMYFUNCTION("""COMPUTED_VALUE"""),2021.0)</f>
        <v>2021</v>
      </c>
      <c r="L1129" s="298"/>
      <c r="M1129" s="223"/>
      <c r="N1129" s="223"/>
      <c r="O1129" s="223"/>
      <c r="P1129" s="223"/>
      <c r="Q1129" s="223"/>
      <c r="R1129" s="223"/>
      <c r="S1129" s="223"/>
      <c r="T1129" s="223"/>
      <c r="U1129" s="223"/>
      <c r="V1129" s="223"/>
      <c r="W1129" s="223"/>
      <c r="X1129" s="223"/>
      <c r="Y1129" s="223"/>
      <c r="Z1129" s="223"/>
    </row>
    <row r="1130">
      <c r="A1130" s="223" t="str">
        <f>IFERROR(__xludf.DUMMYFUNCTION("""COMPUTED_VALUE"""),"Community Financials : Monthly Services")</f>
        <v>Community Financials : Monthly Services</v>
      </c>
      <c r="B1130" s="223" t="str">
        <f>IFERROR(__xludf.DUMMYFUNCTION("""COMPUTED_VALUE"""),"Community Financials")</f>
        <v>Community Financials</v>
      </c>
      <c r="C1130" s="223" t="str">
        <f>IFERROR(__xludf.DUMMYFUNCTION("""COMPUTED_VALUE"""),"Monthly Services")</f>
        <v>Monthly Services</v>
      </c>
      <c r="D1130" s="316">
        <f>IFERROR(__xludf.DUMMYFUNCTION("""COMPUTED_VALUE"""),44501.0)</f>
        <v>44501</v>
      </c>
      <c r="E1130" s="298"/>
      <c r="F1130" s="298"/>
      <c r="G1130" s="298"/>
      <c r="H1130" s="223"/>
      <c r="I1130" s="298">
        <f>IFERROR(__xludf.DUMMYFUNCTION("""COMPUTED_VALUE"""),207.46)</f>
        <v>207.46</v>
      </c>
      <c r="J1130" s="223" t="str">
        <f>IFERROR(__xludf.DUMMYFUNCTION("""COMPUTED_VALUE"""),"Monthly")</f>
        <v>Monthly</v>
      </c>
      <c r="K1130" s="317">
        <f>IFERROR(__xludf.DUMMYFUNCTION("""COMPUTED_VALUE"""),2021.11)</f>
        <v>2021.11</v>
      </c>
      <c r="L1130" s="298"/>
      <c r="M1130" s="223"/>
      <c r="N1130" s="223"/>
      <c r="O1130" s="223"/>
      <c r="P1130" s="223"/>
      <c r="Q1130" s="223"/>
      <c r="R1130" s="223"/>
      <c r="S1130" s="223"/>
      <c r="T1130" s="223"/>
      <c r="U1130" s="223"/>
      <c r="V1130" s="223"/>
      <c r="W1130" s="223"/>
      <c r="X1130" s="223"/>
      <c r="Y1130" s="223"/>
      <c r="Z1130" s="223"/>
    </row>
    <row r="1131">
      <c r="A1131" s="223" t="str">
        <f>IFERROR(__xludf.DUMMYFUNCTION("""COMPUTED_VALUE"""),"C360 : Grasshopper Farms Site Review")</f>
        <v>C360 : Grasshopper Farms Site Review</v>
      </c>
      <c r="B1131" s="223" t="str">
        <f>IFERROR(__xludf.DUMMYFUNCTION("""COMPUTED_VALUE"""),"C360")</f>
        <v>C360</v>
      </c>
      <c r="C1131" s="223" t="str">
        <f>IFERROR(__xludf.DUMMYFUNCTION("""COMPUTED_VALUE"""),"Grasshopper Farms Site Review")</f>
        <v>Grasshopper Farms Site Review</v>
      </c>
      <c r="D1131" s="316">
        <f>IFERROR(__xludf.DUMMYFUNCTION("""COMPUTED_VALUE"""),44501.0)</f>
        <v>44501</v>
      </c>
      <c r="E1131" s="298"/>
      <c r="F1131" s="298"/>
      <c r="G1131" s="298"/>
      <c r="H1131" s="223"/>
      <c r="I1131" s="298">
        <f>IFERROR(__xludf.DUMMYFUNCTION("""COMPUTED_VALUE"""),189.41)</f>
        <v>189.41</v>
      </c>
      <c r="J1131" s="223" t="str">
        <f>IFERROR(__xludf.DUMMYFUNCTION("""COMPUTED_VALUE"""),"Fixed Project")</f>
        <v>Fixed Project</v>
      </c>
      <c r="K1131" s="317">
        <f>IFERROR(__xludf.DUMMYFUNCTION("""COMPUTED_VALUE"""),2021.0)</f>
        <v>2021</v>
      </c>
      <c r="L1131" s="298"/>
      <c r="M1131" s="223"/>
      <c r="N1131" s="223"/>
      <c r="O1131" s="223"/>
      <c r="P1131" s="223"/>
      <c r="Q1131" s="223"/>
      <c r="R1131" s="223"/>
      <c r="S1131" s="223"/>
      <c r="T1131" s="223"/>
      <c r="U1131" s="223"/>
      <c r="V1131" s="223"/>
      <c r="W1131" s="223"/>
      <c r="X1131" s="223"/>
      <c r="Y1131" s="223"/>
      <c r="Z1131" s="223"/>
    </row>
    <row r="1132">
      <c r="A1132" s="223" t="str">
        <f>IFERROR(__xludf.DUMMYFUNCTION("""COMPUTED_VALUE"""),"HSJ Lawyers : Monthly Services")</f>
        <v>HSJ Lawyers : Monthly Services</v>
      </c>
      <c r="B1132" s="223" t="str">
        <f>IFERROR(__xludf.DUMMYFUNCTION("""COMPUTED_VALUE"""),"HSJ Lawyers")</f>
        <v>HSJ Lawyers</v>
      </c>
      <c r="C1132" s="223" t="str">
        <f>IFERROR(__xludf.DUMMYFUNCTION("""COMPUTED_VALUE"""),"Monthly Services")</f>
        <v>Monthly Services</v>
      </c>
      <c r="D1132" s="316">
        <f>IFERROR(__xludf.DUMMYFUNCTION("""COMPUTED_VALUE"""),44501.0)</f>
        <v>44501</v>
      </c>
      <c r="E1132" s="298"/>
      <c r="F1132" s="298"/>
      <c r="G1132" s="298"/>
      <c r="H1132" s="223"/>
      <c r="I1132" s="298">
        <f>IFERROR(__xludf.DUMMYFUNCTION("""COMPUTED_VALUE"""),57.36)</f>
        <v>57.36</v>
      </c>
      <c r="J1132" s="223" t="str">
        <f>IFERROR(__xludf.DUMMYFUNCTION("""COMPUTED_VALUE"""),"Monthly")</f>
        <v>Monthly</v>
      </c>
      <c r="K1132" s="317">
        <f>IFERROR(__xludf.DUMMYFUNCTION("""COMPUTED_VALUE"""),2021.11)</f>
        <v>2021.11</v>
      </c>
      <c r="L1132" s="298"/>
      <c r="M1132" s="223"/>
      <c r="N1132" s="223"/>
      <c r="O1132" s="223"/>
      <c r="P1132" s="223"/>
      <c r="Q1132" s="223"/>
      <c r="R1132" s="223"/>
      <c r="S1132" s="223"/>
      <c r="T1132" s="223"/>
      <c r="U1132" s="223"/>
      <c r="V1132" s="223"/>
      <c r="W1132" s="223"/>
      <c r="X1132" s="223"/>
      <c r="Y1132" s="223"/>
      <c r="Z1132" s="223"/>
    </row>
    <row r="1133">
      <c r="A1133" s="223" t="str">
        <f>IFERROR(__xludf.DUMMYFUNCTION("""COMPUTED_VALUE"""),"InPlace Technology : 5 Hour Support Block")</f>
        <v>InPlace Technology : 5 Hour Support Block</v>
      </c>
      <c r="B1133" s="223" t="str">
        <f>IFERROR(__xludf.DUMMYFUNCTION("""COMPUTED_VALUE"""),"InPlace Technology")</f>
        <v>InPlace Technology</v>
      </c>
      <c r="C1133" s="223" t="str">
        <f>IFERROR(__xludf.DUMMYFUNCTION("""COMPUTED_VALUE"""),"5 Hour Support Block")</f>
        <v>5 Hour Support Block</v>
      </c>
      <c r="D1133" s="316">
        <f>IFERROR(__xludf.DUMMYFUNCTION("""COMPUTED_VALUE"""),44501.0)</f>
        <v>44501</v>
      </c>
      <c r="E1133" s="298"/>
      <c r="F1133" s="298"/>
      <c r="G1133" s="298"/>
      <c r="H1133" s="223"/>
      <c r="I1133" s="298">
        <f>IFERROR(__xludf.DUMMYFUNCTION("""COMPUTED_VALUE"""),9.34)</f>
        <v>9.34</v>
      </c>
      <c r="J1133" s="223" t="str">
        <f>IFERROR(__xludf.DUMMYFUNCTION("""COMPUTED_VALUE"""),"Hourly")</f>
        <v>Hourly</v>
      </c>
      <c r="K1133" s="317">
        <f>IFERROR(__xludf.DUMMYFUNCTION("""COMPUTED_VALUE"""),2021.0)</f>
        <v>2021</v>
      </c>
      <c r="L1133" s="298"/>
      <c r="M1133" s="223"/>
      <c r="N1133" s="223"/>
      <c r="O1133" s="223"/>
      <c r="P1133" s="223"/>
      <c r="Q1133" s="223"/>
      <c r="R1133" s="223"/>
      <c r="S1133" s="223"/>
      <c r="T1133" s="223"/>
      <c r="U1133" s="223"/>
      <c r="V1133" s="223"/>
      <c r="W1133" s="223"/>
      <c r="X1133" s="223"/>
      <c r="Y1133" s="223"/>
      <c r="Z1133" s="223"/>
    </row>
    <row r="1134">
      <c r="A1134" s="223" t="str">
        <f>IFERROR(__xludf.DUMMYFUNCTION("""COMPUTED_VALUE"""),"PlusROI : Internal Skills and Capabilities Development")</f>
        <v>PlusROI : Internal Skills and Capabilities Development</v>
      </c>
      <c r="B1134" s="223" t="str">
        <f>IFERROR(__xludf.DUMMYFUNCTION("""COMPUTED_VALUE"""),"PlusROI")</f>
        <v>PlusROI</v>
      </c>
      <c r="C1134" s="223" t="str">
        <f>IFERROR(__xludf.DUMMYFUNCTION("""COMPUTED_VALUE"""),"Internal Skills and Capabilities Development")</f>
        <v>Internal Skills and Capabilities Development</v>
      </c>
      <c r="D1134" s="316">
        <f>IFERROR(__xludf.DUMMYFUNCTION("""COMPUTED_VALUE"""),44501.0)</f>
        <v>44501</v>
      </c>
      <c r="E1134" s="298"/>
      <c r="F1134" s="298"/>
      <c r="G1134" s="298"/>
      <c r="H1134" s="223"/>
      <c r="I1134" s="298">
        <f>IFERROR(__xludf.DUMMYFUNCTION("""COMPUTED_VALUE"""),890.17)</f>
        <v>890.17</v>
      </c>
      <c r="J1134" s="223" t="str">
        <f>IFERROR(__xludf.DUMMYFUNCTION("""COMPUTED_VALUE"""),"Hourly")</f>
        <v>Hourly</v>
      </c>
      <c r="K1134" s="317">
        <f>IFERROR(__xludf.DUMMYFUNCTION("""COMPUTED_VALUE"""),2021.0)</f>
        <v>2021</v>
      </c>
      <c r="L1134" s="298"/>
      <c r="M1134" s="223"/>
      <c r="N1134" s="223"/>
      <c r="O1134" s="223"/>
      <c r="P1134" s="223"/>
      <c r="Q1134" s="223"/>
      <c r="R1134" s="223"/>
      <c r="S1134" s="223"/>
      <c r="T1134" s="223"/>
      <c r="U1134" s="223"/>
      <c r="V1134" s="223"/>
      <c r="W1134" s="223"/>
      <c r="X1134" s="223"/>
      <c r="Y1134" s="223"/>
      <c r="Z1134" s="223"/>
    </row>
    <row r="1135">
      <c r="A1135" s="223" t="str">
        <f>IFERROR(__xludf.DUMMYFUNCTION("""COMPUTED_VALUE"""),"Joel Kohm : Website")</f>
        <v>Joel Kohm : Website</v>
      </c>
      <c r="B1135" s="223" t="str">
        <f>IFERROR(__xludf.DUMMYFUNCTION("""COMPUTED_VALUE"""),"Joel Kohm")</f>
        <v>Joel Kohm</v>
      </c>
      <c r="C1135" s="223" t="str">
        <f>IFERROR(__xludf.DUMMYFUNCTION("""COMPUTED_VALUE"""),"Website")</f>
        <v>Website</v>
      </c>
      <c r="D1135" s="316">
        <f>IFERROR(__xludf.DUMMYFUNCTION("""COMPUTED_VALUE"""),44501.0)</f>
        <v>44501</v>
      </c>
      <c r="E1135" s="298"/>
      <c r="F1135" s="298"/>
      <c r="G1135" s="298"/>
      <c r="H1135" s="223"/>
      <c r="I1135" s="298">
        <f>IFERROR(__xludf.DUMMYFUNCTION("""COMPUTED_VALUE"""),352.38)</f>
        <v>352.38</v>
      </c>
      <c r="J1135" s="223" t="str">
        <f>IFERROR(__xludf.DUMMYFUNCTION("""COMPUTED_VALUE"""),"Fixed Project")</f>
        <v>Fixed Project</v>
      </c>
      <c r="K1135" s="317">
        <f>IFERROR(__xludf.DUMMYFUNCTION("""COMPUTED_VALUE"""),2021.0)</f>
        <v>2021</v>
      </c>
      <c r="L1135" s="298"/>
      <c r="M1135" s="223"/>
      <c r="N1135" s="223"/>
      <c r="O1135" s="223"/>
      <c r="P1135" s="223"/>
      <c r="Q1135" s="223"/>
      <c r="R1135" s="223"/>
      <c r="S1135" s="223"/>
      <c r="T1135" s="223"/>
      <c r="U1135" s="223"/>
      <c r="V1135" s="223"/>
      <c r="W1135" s="223"/>
      <c r="X1135" s="223"/>
      <c r="Y1135" s="223"/>
      <c r="Z1135" s="223"/>
    </row>
    <row r="1136">
      <c r="A1136" s="223" t="str">
        <f>IFERROR(__xludf.DUMMYFUNCTION("""COMPUTED_VALUE"""),"Monk : Monthly Services")</f>
        <v>Monk : Monthly Services</v>
      </c>
      <c r="B1136" s="223" t="str">
        <f>IFERROR(__xludf.DUMMYFUNCTION("""COMPUTED_VALUE"""),"Monk")</f>
        <v>Monk</v>
      </c>
      <c r="C1136" s="223" t="str">
        <f>IFERROR(__xludf.DUMMYFUNCTION("""COMPUTED_VALUE"""),"Monthly Services")</f>
        <v>Monthly Services</v>
      </c>
      <c r="D1136" s="316">
        <f>IFERROR(__xludf.DUMMYFUNCTION("""COMPUTED_VALUE"""),44501.0)</f>
        <v>44501</v>
      </c>
      <c r="E1136" s="298"/>
      <c r="F1136" s="298"/>
      <c r="G1136" s="298"/>
      <c r="H1136" s="223"/>
      <c r="I1136" s="298">
        <f>IFERROR(__xludf.DUMMYFUNCTION("""COMPUTED_VALUE"""),35.48)</f>
        <v>35.48</v>
      </c>
      <c r="J1136" s="223" t="str">
        <f>IFERROR(__xludf.DUMMYFUNCTION("""COMPUTED_VALUE"""),"Monthly")</f>
        <v>Monthly</v>
      </c>
      <c r="K1136" s="317">
        <f>IFERROR(__xludf.DUMMYFUNCTION("""COMPUTED_VALUE"""),2021.11)</f>
        <v>2021.11</v>
      </c>
      <c r="L1136" s="298"/>
      <c r="M1136" s="223"/>
      <c r="N1136" s="223"/>
      <c r="O1136" s="223"/>
      <c r="P1136" s="223"/>
      <c r="Q1136" s="223"/>
      <c r="R1136" s="223"/>
      <c r="S1136" s="223"/>
      <c r="T1136" s="223"/>
      <c r="U1136" s="223"/>
      <c r="V1136" s="223"/>
      <c r="W1136" s="223"/>
      <c r="X1136" s="223"/>
      <c r="Y1136" s="223"/>
      <c r="Z1136" s="223"/>
    </row>
    <row r="1137">
      <c r="A1137" s="223" t="str">
        <f>IFERROR(__xludf.DUMMYFUNCTION("""COMPUTED_VALUE"""),"VIATeC : Motorcycle Offsetters")</f>
        <v>VIATeC : Motorcycle Offsetters</v>
      </c>
      <c r="B1137" s="223" t="str">
        <f>IFERROR(__xludf.DUMMYFUNCTION("""COMPUTED_VALUE"""),"VIATeC")</f>
        <v>VIATeC</v>
      </c>
      <c r="C1137" s="223" t="str">
        <f>IFERROR(__xludf.DUMMYFUNCTION("""COMPUTED_VALUE"""),"Motorcycle Offsetters")</f>
        <v>Motorcycle Offsetters</v>
      </c>
      <c r="D1137" s="316">
        <f>IFERROR(__xludf.DUMMYFUNCTION("""COMPUTED_VALUE"""),44501.0)</f>
        <v>44501</v>
      </c>
      <c r="E1137" s="298"/>
      <c r="F1137" s="298"/>
      <c r="G1137" s="298"/>
      <c r="H1137" s="223"/>
      <c r="I1137" s="298">
        <f>IFERROR(__xludf.DUMMYFUNCTION("""COMPUTED_VALUE"""),21.23)</f>
        <v>21.23</v>
      </c>
      <c r="J1137" s="223" t="str">
        <f>IFERROR(__xludf.DUMMYFUNCTION("""COMPUTED_VALUE"""),"Fixed Project")</f>
        <v>Fixed Project</v>
      </c>
      <c r="K1137" s="317">
        <f>IFERROR(__xludf.DUMMYFUNCTION("""COMPUTED_VALUE"""),2021.0)</f>
        <v>2021</v>
      </c>
      <c r="L1137" s="298"/>
      <c r="M1137" s="223"/>
      <c r="N1137" s="223"/>
      <c r="O1137" s="223"/>
      <c r="P1137" s="223"/>
      <c r="Q1137" s="223"/>
      <c r="R1137" s="223"/>
      <c r="S1137" s="223"/>
      <c r="T1137" s="223"/>
      <c r="U1137" s="223"/>
      <c r="V1137" s="223"/>
      <c r="W1137" s="223"/>
      <c r="X1137" s="223"/>
      <c r="Y1137" s="223"/>
      <c r="Z1137" s="223"/>
    </row>
    <row r="1138">
      <c r="A1138" s="223" t="str">
        <f>IFERROR(__xludf.DUMMYFUNCTION("""COMPUTED_VALUE"""),"OA Region 6 : Website")</f>
        <v>OA Region 6 : Website</v>
      </c>
      <c r="B1138" s="223" t="str">
        <f>IFERROR(__xludf.DUMMYFUNCTION("""COMPUTED_VALUE"""),"OA Region 6")</f>
        <v>OA Region 6</v>
      </c>
      <c r="C1138" s="223" t="str">
        <f>IFERROR(__xludf.DUMMYFUNCTION("""COMPUTED_VALUE"""),"Website")</f>
        <v>Website</v>
      </c>
      <c r="D1138" s="316">
        <f>IFERROR(__xludf.DUMMYFUNCTION("""COMPUTED_VALUE"""),44501.0)</f>
        <v>44501</v>
      </c>
      <c r="E1138" s="298"/>
      <c r="F1138" s="298"/>
      <c r="G1138" s="298"/>
      <c r="H1138" s="223"/>
      <c r="I1138" s="298">
        <f>IFERROR(__xludf.DUMMYFUNCTION("""COMPUTED_VALUE"""),380.94)</f>
        <v>380.94</v>
      </c>
      <c r="J1138" s="223" t="str">
        <f>IFERROR(__xludf.DUMMYFUNCTION("""COMPUTED_VALUE"""),"Fixed Project")</f>
        <v>Fixed Project</v>
      </c>
      <c r="K1138" s="317">
        <f>IFERROR(__xludf.DUMMYFUNCTION("""COMPUTED_VALUE"""),2021.0)</f>
        <v>2021</v>
      </c>
      <c r="L1138" s="298"/>
      <c r="M1138" s="223"/>
      <c r="N1138" s="223"/>
      <c r="O1138" s="223"/>
      <c r="P1138" s="223"/>
      <c r="Q1138" s="223"/>
      <c r="R1138" s="223"/>
      <c r="S1138" s="223"/>
      <c r="T1138" s="223"/>
      <c r="U1138" s="223"/>
      <c r="V1138" s="223"/>
      <c r="W1138" s="223"/>
      <c r="X1138" s="223"/>
      <c r="Y1138" s="223"/>
      <c r="Z1138" s="223"/>
    </row>
    <row r="1139">
      <c r="A1139" s="223" t="str">
        <f>IFERROR(__xludf.DUMMYFUNCTION("""COMPUTED_VALUE"""),"PlusROI : Admin")</f>
        <v>PlusROI : Admin</v>
      </c>
      <c r="B1139" s="223" t="str">
        <f>IFERROR(__xludf.DUMMYFUNCTION("""COMPUTED_VALUE"""),"PlusROI")</f>
        <v>PlusROI</v>
      </c>
      <c r="C1139" s="223" t="str">
        <f>IFERROR(__xludf.DUMMYFUNCTION("""COMPUTED_VALUE"""),"Admin")</f>
        <v>Admin</v>
      </c>
      <c r="D1139" s="316">
        <f>IFERROR(__xludf.DUMMYFUNCTION("""COMPUTED_VALUE"""),44501.0)</f>
        <v>44501</v>
      </c>
      <c r="E1139" s="298"/>
      <c r="F1139" s="298"/>
      <c r="G1139" s="298"/>
      <c r="H1139" s="223"/>
      <c r="I1139" s="298">
        <f>IFERROR(__xludf.DUMMYFUNCTION("""COMPUTED_VALUE"""),204.95)</f>
        <v>204.95</v>
      </c>
      <c r="J1139" s="223" t="str">
        <f>IFERROR(__xludf.DUMMYFUNCTION("""COMPUTED_VALUE"""),"Hourly")</f>
        <v>Hourly</v>
      </c>
      <c r="K1139" s="317">
        <f>IFERROR(__xludf.DUMMYFUNCTION("""COMPUTED_VALUE"""),2021.0)</f>
        <v>2021</v>
      </c>
      <c r="L1139" s="298"/>
      <c r="M1139" s="223"/>
      <c r="N1139" s="223"/>
      <c r="O1139" s="223"/>
      <c r="P1139" s="223"/>
      <c r="Q1139" s="223"/>
      <c r="R1139" s="223"/>
      <c r="S1139" s="223"/>
      <c r="T1139" s="223"/>
      <c r="U1139" s="223"/>
      <c r="V1139" s="223"/>
      <c r="W1139" s="223"/>
      <c r="X1139" s="223"/>
      <c r="Y1139" s="223"/>
      <c r="Z1139" s="223"/>
    </row>
    <row r="1140">
      <c r="A1140" s="223" t="str">
        <f>IFERROR(__xludf.DUMMYFUNCTION("""COMPUTED_VALUE"""),"Rama Meditation Society : Website")</f>
        <v>Rama Meditation Society : Website</v>
      </c>
      <c r="B1140" s="223" t="str">
        <f>IFERROR(__xludf.DUMMYFUNCTION("""COMPUTED_VALUE"""),"Rama Meditation Society")</f>
        <v>Rama Meditation Society</v>
      </c>
      <c r="C1140" s="223" t="str">
        <f>IFERROR(__xludf.DUMMYFUNCTION("""COMPUTED_VALUE"""),"Website")</f>
        <v>Website</v>
      </c>
      <c r="D1140" s="316">
        <f>IFERROR(__xludf.DUMMYFUNCTION("""COMPUTED_VALUE"""),44501.0)</f>
        <v>44501</v>
      </c>
      <c r="E1140" s="298"/>
      <c r="F1140" s="298"/>
      <c r="G1140" s="298"/>
      <c r="H1140" s="223"/>
      <c r="I1140" s="298">
        <f>IFERROR(__xludf.DUMMYFUNCTION("""COMPUTED_VALUE"""),367.6)</f>
        <v>367.6</v>
      </c>
      <c r="J1140" s="223" t="str">
        <f>IFERROR(__xludf.DUMMYFUNCTION("""COMPUTED_VALUE"""),"Fixed Project")</f>
        <v>Fixed Project</v>
      </c>
      <c r="K1140" s="317">
        <f>IFERROR(__xludf.DUMMYFUNCTION("""COMPUTED_VALUE"""),2021.0)</f>
        <v>2021</v>
      </c>
      <c r="L1140" s="298"/>
      <c r="M1140" s="223"/>
      <c r="N1140" s="223"/>
      <c r="O1140" s="223"/>
      <c r="P1140" s="223"/>
      <c r="Q1140" s="223"/>
      <c r="R1140" s="223"/>
      <c r="S1140" s="223"/>
      <c r="T1140" s="223"/>
      <c r="U1140" s="223"/>
      <c r="V1140" s="223"/>
      <c r="W1140" s="223"/>
      <c r="X1140" s="223"/>
      <c r="Y1140" s="223"/>
      <c r="Z1140" s="223"/>
    </row>
    <row r="1141">
      <c r="A1141" s="223" t="str">
        <f>IFERROR(__xludf.DUMMYFUNCTION("""COMPUTED_VALUE"""),"Red Seal : Monthly Services")</f>
        <v>Red Seal : Monthly Services</v>
      </c>
      <c r="B1141" s="223" t="str">
        <f>IFERROR(__xludf.DUMMYFUNCTION("""COMPUTED_VALUE"""),"Red Seal")</f>
        <v>Red Seal</v>
      </c>
      <c r="C1141" s="223" t="str">
        <f>IFERROR(__xludf.DUMMYFUNCTION("""COMPUTED_VALUE"""),"Monthly Services")</f>
        <v>Monthly Services</v>
      </c>
      <c r="D1141" s="316">
        <f>IFERROR(__xludf.DUMMYFUNCTION("""COMPUTED_VALUE"""),44501.0)</f>
        <v>44501</v>
      </c>
      <c r="E1141" s="298"/>
      <c r="F1141" s="298"/>
      <c r="G1141" s="298"/>
      <c r="H1141" s="223"/>
      <c r="I1141" s="298">
        <f>IFERROR(__xludf.DUMMYFUNCTION("""COMPUTED_VALUE"""),19.76)</f>
        <v>19.76</v>
      </c>
      <c r="J1141" s="223" t="str">
        <f>IFERROR(__xludf.DUMMYFUNCTION("""COMPUTED_VALUE"""),"Monthly")</f>
        <v>Monthly</v>
      </c>
      <c r="K1141" s="317">
        <f>IFERROR(__xludf.DUMMYFUNCTION("""COMPUTED_VALUE"""),2021.11)</f>
        <v>2021.11</v>
      </c>
      <c r="L1141" s="298"/>
      <c r="M1141" s="223"/>
      <c r="N1141" s="223"/>
      <c r="O1141" s="223"/>
      <c r="P1141" s="223"/>
      <c r="Q1141" s="223"/>
      <c r="R1141" s="223"/>
      <c r="S1141" s="223"/>
      <c r="T1141" s="223"/>
      <c r="U1141" s="223"/>
      <c r="V1141" s="223"/>
      <c r="W1141" s="223"/>
      <c r="X1141" s="223"/>
      <c r="Y1141" s="223"/>
      <c r="Z1141" s="223"/>
    </row>
    <row r="1142">
      <c r="A1142" s="223" t="str">
        <f>IFERROR(__xludf.DUMMYFUNCTION("""COMPUTED_VALUE"""),"Spraggs : Monthly Services")</f>
        <v>Spraggs : Monthly Services</v>
      </c>
      <c r="B1142" s="223" t="str">
        <f>IFERROR(__xludf.DUMMYFUNCTION("""COMPUTED_VALUE"""),"Spraggs")</f>
        <v>Spraggs</v>
      </c>
      <c r="C1142" s="223" t="str">
        <f>IFERROR(__xludf.DUMMYFUNCTION("""COMPUTED_VALUE"""),"Monthly Services")</f>
        <v>Monthly Services</v>
      </c>
      <c r="D1142" s="316">
        <f>IFERROR(__xludf.DUMMYFUNCTION("""COMPUTED_VALUE"""),44501.0)</f>
        <v>44501</v>
      </c>
      <c r="E1142" s="298"/>
      <c r="F1142" s="298"/>
      <c r="G1142" s="298"/>
      <c r="H1142" s="223"/>
      <c r="I1142" s="298">
        <f>IFERROR(__xludf.DUMMYFUNCTION("""COMPUTED_VALUE"""),48.02)</f>
        <v>48.02</v>
      </c>
      <c r="J1142" s="223" t="str">
        <f>IFERROR(__xludf.DUMMYFUNCTION("""COMPUTED_VALUE"""),"Monthly")</f>
        <v>Monthly</v>
      </c>
      <c r="K1142" s="317">
        <f>IFERROR(__xludf.DUMMYFUNCTION("""COMPUTED_VALUE"""),2021.11)</f>
        <v>2021.11</v>
      </c>
      <c r="L1142" s="298"/>
      <c r="M1142" s="223"/>
      <c r="N1142" s="223"/>
      <c r="O1142" s="223"/>
      <c r="P1142" s="223"/>
      <c r="Q1142" s="223"/>
      <c r="R1142" s="223"/>
      <c r="S1142" s="223"/>
      <c r="T1142" s="223"/>
      <c r="U1142" s="223"/>
      <c r="V1142" s="223"/>
      <c r="W1142" s="223"/>
      <c r="X1142" s="223"/>
      <c r="Y1142" s="223"/>
      <c r="Z1142" s="223"/>
    </row>
    <row r="1143">
      <c r="A1143" s="223" t="str">
        <f>IFERROR(__xludf.DUMMYFUNCTION("""COMPUTED_VALUE"""),"Stackd Consulting : 10 Hour Support Block")</f>
        <v>Stackd Consulting : 10 Hour Support Block</v>
      </c>
      <c r="B1143" s="223" t="str">
        <f>IFERROR(__xludf.DUMMYFUNCTION("""COMPUTED_VALUE"""),"Stackd Consulting")</f>
        <v>Stackd Consulting</v>
      </c>
      <c r="C1143" s="223" t="str">
        <f>IFERROR(__xludf.DUMMYFUNCTION("""COMPUTED_VALUE"""),"10 Hour Support Block")</f>
        <v>10 Hour Support Block</v>
      </c>
      <c r="D1143" s="316">
        <f>IFERROR(__xludf.DUMMYFUNCTION("""COMPUTED_VALUE"""),44501.0)</f>
        <v>44501</v>
      </c>
      <c r="E1143" s="298"/>
      <c r="F1143" s="298"/>
      <c r="G1143" s="298"/>
      <c r="H1143" s="223"/>
      <c r="I1143" s="298">
        <f>IFERROR(__xludf.DUMMYFUNCTION("""COMPUTED_VALUE"""),55.17)</f>
        <v>55.17</v>
      </c>
      <c r="J1143" s="223" t="str">
        <f>IFERROR(__xludf.DUMMYFUNCTION("""COMPUTED_VALUE"""),"Hourly")</f>
        <v>Hourly</v>
      </c>
      <c r="K1143" s="317">
        <f>IFERROR(__xludf.DUMMYFUNCTION("""COMPUTED_VALUE"""),2021.0)</f>
        <v>2021</v>
      </c>
      <c r="L1143" s="298"/>
      <c r="M1143" s="223"/>
      <c r="N1143" s="223"/>
      <c r="O1143" s="223"/>
      <c r="P1143" s="223"/>
      <c r="Q1143" s="223"/>
      <c r="R1143" s="223"/>
      <c r="S1143" s="223"/>
      <c r="T1143" s="223"/>
      <c r="U1143" s="223"/>
      <c r="V1143" s="223"/>
      <c r="W1143" s="223"/>
      <c r="X1143" s="223"/>
      <c r="Y1143" s="223"/>
      <c r="Z1143" s="223"/>
    </row>
    <row r="1144">
      <c r="A1144" s="223" t="str">
        <f>IFERROR(__xludf.DUMMYFUNCTION("""COMPUTED_VALUE"""),"The Academy : Website")</f>
        <v>The Academy : Website</v>
      </c>
      <c r="B1144" s="223" t="str">
        <f>IFERROR(__xludf.DUMMYFUNCTION("""COMPUTED_VALUE"""),"The Academy")</f>
        <v>The Academy</v>
      </c>
      <c r="C1144" s="223" t="str">
        <f>IFERROR(__xludf.DUMMYFUNCTION("""COMPUTED_VALUE"""),"Website")</f>
        <v>Website</v>
      </c>
      <c r="D1144" s="316">
        <f>IFERROR(__xludf.DUMMYFUNCTION("""COMPUTED_VALUE"""),44501.0)</f>
        <v>44501</v>
      </c>
      <c r="E1144" s="298"/>
      <c r="F1144" s="298"/>
      <c r="G1144" s="298"/>
      <c r="H1144" s="223"/>
      <c r="I1144" s="298">
        <f>IFERROR(__xludf.DUMMYFUNCTION("""COMPUTED_VALUE"""),1880.22)</f>
        <v>1880.22</v>
      </c>
      <c r="J1144" s="223" t="str">
        <f>IFERROR(__xludf.DUMMYFUNCTION("""COMPUTED_VALUE"""),"Fixed Project")</f>
        <v>Fixed Project</v>
      </c>
      <c r="K1144" s="317">
        <f>IFERROR(__xludf.DUMMYFUNCTION("""COMPUTED_VALUE"""),2021.0)</f>
        <v>2021</v>
      </c>
      <c r="L1144" s="298"/>
      <c r="M1144" s="223"/>
      <c r="N1144" s="223"/>
      <c r="O1144" s="223"/>
      <c r="P1144" s="223"/>
      <c r="Q1144" s="223"/>
      <c r="R1144" s="223"/>
      <c r="S1144" s="223"/>
      <c r="T1144" s="223"/>
      <c r="U1144" s="223"/>
      <c r="V1144" s="223"/>
      <c r="W1144" s="223"/>
      <c r="X1144" s="223"/>
      <c r="Y1144" s="223"/>
      <c r="Z1144" s="223"/>
    </row>
    <row r="1145">
      <c r="A1145" s="223" t="str">
        <f>IFERROR(__xludf.DUMMYFUNCTION("""COMPUTED_VALUE"""),"TisBest : Monthly Services")</f>
        <v>TisBest : Monthly Services</v>
      </c>
      <c r="B1145" s="223" t="str">
        <f>IFERROR(__xludf.DUMMYFUNCTION("""COMPUTED_VALUE"""),"TisBest")</f>
        <v>TisBest</v>
      </c>
      <c r="C1145" s="223" t="str">
        <f>IFERROR(__xludf.DUMMYFUNCTION("""COMPUTED_VALUE"""),"Monthly Services")</f>
        <v>Monthly Services</v>
      </c>
      <c r="D1145" s="316">
        <f>IFERROR(__xludf.DUMMYFUNCTION("""COMPUTED_VALUE"""),44501.0)</f>
        <v>44501</v>
      </c>
      <c r="E1145" s="298"/>
      <c r="F1145" s="298"/>
      <c r="G1145" s="298"/>
      <c r="H1145" s="223"/>
      <c r="I1145" s="298">
        <f>IFERROR(__xludf.DUMMYFUNCTION("""COMPUTED_VALUE"""),76.49)</f>
        <v>76.49</v>
      </c>
      <c r="J1145" s="223" t="str">
        <f>IFERROR(__xludf.DUMMYFUNCTION("""COMPUTED_VALUE"""),"Monthly")</f>
        <v>Monthly</v>
      </c>
      <c r="K1145" s="317">
        <f>IFERROR(__xludf.DUMMYFUNCTION("""COMPUTED_VALUE"""),2021.11)</f>
        <v>2021.11</v>
      </c>
      <c r="L1145" s="298"/>
      <c r="M1145" s="223"/>
      <c r="N1145" s="223"/>
      <c r="O1145" s="223"/>
      <c r="P1145" s="223"/>
      <c r="Q1145" s="223"/>
      <c r="R1145" s="223"/>
      <c r="S1145" s="223"/>
      <c r="T1145" s="223"/>
      <c r="U1145" s="223"/>
      <c r="V1145" s="223"/>
      <c r="W1145" s="223"/>
      <c r="X1145" s="223"/>
      <c r="Y1145" s="223"/>
      <c r="Z1145" s="223"/>
    </row>
    <row r="1146">
      <c r="A1146" s="223" t="str">
        <f>IFERROR(__xludf.DUMMYFUNCTION("""COMPUTED_VALUE"""),"Tuscany : Monthly Services")</f>
        <v>Tuscany : Monthly Services</v>
      </c>
      <c r="B1146" s="223" t="str">
        <f>IFERROR(__xludf.DUMMYFUNCTION("""COMPUTED_VALUE"""),"Tuscany")</f>
        <v>Tuscany</v>
      </c>
      <c r="C1146" s="223" t="str">
        <f>IFERROR(__xludf.DUMMYFUNCTION("""COMPUTED_VALUE"""),"Monthly Services")</f>
        <v>Monthly Services</v>
      </c>
      <c r="D1146" s="316">
        <f>IFERROR(__xludf.DUMMYFUNCTION("""COMPUTED_VALUE"""),44501.0)</f>
        <v>44501</v>
      </c>
      <c r="E1146" s="298"/>
      <c r="F1146" s="298"/>
      <c r="G1146" s="298"/>
      <c r="H1146" s="223"/>
      <c r="I1146" s="298">
        <f>IFERROR(__xludf.DUMMYFUNCTION("""COMPUTED_VALUE"""),18.52)</f>
        <v>18.52</v>
      </c>
      <c r="J1146" s="223" t="str">
        <f>IFERROR(__xludf.DUMMYFUNCTION("""COMPUTED_VALUE"""),"Monthly")</f>
        <v>Monthly</v>
      </c>
      <c r="K1146" s="317">
        <f>IFERROR(__xludf.DUMMYFUNCTION("""COMPUTED_VALUE"""),2021.11)</f>
        <v>2021.11</v>
      </c>
      <c r="L1146" s="298"/>
      <c r="M1146" s="223"/>
      <c r="N1146" s="223"/>
      <c r="O1146" s="223"/>
      <c r="P1146" s="223"/>
      <c r="Q1146" s="223"/>
      <c r="R1146" s="223"/>
      <c r="S1146" s="223"/>
      <c r="T1146" s="223"/>
      <c r="U1146" s="223"/>
      <c r="V1146" s="223"/>
      <c r="W1146" s="223"/>
      <c r="X1146" s="223"/>
      <c r="Y1146" s="223"/>
      <c r="Z1146" s="223"/>
    </row>
    <row r="1147">
      <c r="A1147" s="223" t="str">
        <f>IFERROR(__xludf.DUMMYFUNCTION("""COMPUTED_VALUE"""),"Booginhead : Monthly Services")</f>
        <v>Booginhead : Monthly Services</v>
      </c>
      <c r="B1147" s="223" t="str">
        <f>IFERROR(__xludf.DUMMYFUNCTION("""COMPUTED_VALUE"""),"Booginhead")</f>
        <v>Booginhead</v>
      </c>
      <c r="C1147" s="223" t="str">
        <f>IFERROR(__xludf.DUMMYFUNCTION("""COMPUTED_VALUE"""),"Monthly Services")</f>
        <v>Monthly Services</v>
      </c>
      <c r="D1147" s="316">
        <f>IFERROR(__xludf.DUMMYFUNCTION("""COMPUTED_VALUE"""),44501.0)</f>
        <v>44501</v>
      </c>
      <c r="E1147" s="298"/>
      <c r="F1147" s="298"/>
      <c r="G1147" s="298"/>
      <c r="H1147" s="223"/>
      <c r="I1147" s="298">
        <f>IFERROR(__xludf.DUMMYFUNCTION("""COMPUTED_VALUE"""),1.19)</f>
        <v>1.19</v>
      </c>
      <c r="J1147" s="223" t="str">
        <f>IFERROR(__xludf.DUMMYFUNCTION("""COMPUTED_VALUE"""),"Monthly")</f>
        <v>Monthly</v>
      </c>
      <c r="K1147" s="317">
        <f>IFERROR(__xludf.DUMMYFUNCTION("""COMPUTED_VALUE"""),2021.11)</f>
        <v>2021.11</v>
      </c>
      <c r="L1147" s="298"/>
      <c r="M1147" s="223"/>
      <c r="N1147" s="223"/>
      <c r="O1147" s="223"/>
      <c r="P1147" s="223"/>
      <c r="Q1147" s="223"/>
      <c r="R1147" s="223"/>
      <c r="S1147" s="223"/>
      <c r="T1147" s="223"/>
      <c r="U1147" s="223"/>
      <c r="V1147" s="223"/>
      <c r="W1147" s="223"/>
      <c r="X1147" s="223"/>
      <c r="Y1147" s="223"/>
      <c r="Z1147" s="223"/>
    </row>
    <row r="1148">
      <c r="A1148" s="223" t="str">
        <f>IFERROR(__xludf.DUMMYFUNCTION("""COMPUTED_VALUE"""),"Bratopia : Monthly Services")</f>
        <v>Bratopia : Monthly Services</v>
      </c>
      <c r="B1148" s="223" t="str">
        <f>IFERROR(__xludf.DUMMYFUNCTION("""COMPUTED_VALUE"""),"Bratopia")</f>
        <v>Bratopia</v>
      </c>
      <c r="C1148" s="223" t="str">
        <f>IFERROR(__xludf.DUMMYFUNCTION("""COMPUTED_VALUE"""),"Monthly Services")</f>
        <v>Monthly Services</v>
      </c>
      <c r="D1148" s="316">
        <f>IFERROR(__xludf.DUMMYFUNCTION("""COMPUTED_VALUE"""),44501.0)</f>
        <v>44501</v>
      </c>
      <c r="E1148" s="298"/>
      <c r="F1148" s="298"/>
      <c r="G1148" s="298"/>
      <c r="H1148" s="223"/>
      <c r="I1148" s="298">
        <f>IFERROR(__xludf.DUMMYFUNCTION("""COMPUTED_VALUE"""),210.92)</f>
        <v>210.92</v>
      </c>
      <c r="J1148" s="223" t="str">
        <f>IFERROR(__xludf.DUMMYFUNCTION("""COMPUTED_VALUE"""),"Monthly")</f>
        <v>Monthly</v>
      </c>
      <c r="K1148" s="317">
        <f>IFERROR(__xludf.DUMMYFUNCTION("""COMPUTED_VALUE"""),2021.11)</f>
        <v>2021.11</v>
      </c>
      <c r="L1148" s="298"/>
      <c r="M1148" s="223"/>
      <c r="N1148" s="223"/>
      <c r="O1148" s="223"/>
      <c r="P1148" s="223"/>
      <c r="Q1148" s="223"/>
      <c r="R1148" s="223"/>
      <c r="S1148" s="223"/>
      <c r="T1148" s="223"/>
      <c r="U1148" s="223"/>
      <c r="V1148" s="223"/>
      <c r="W1148" s="223"/>
      <c r="X1148" s="223"/>
      <c r="Y1148" s="223"/>
      <c r="Z1148" s="223"/>
    </row>
    <row r="1149">
      <c r="A1149" s="223" t="str">
        <f>IFERROR(__xludf.DUMMYFUNCTION("""COMPUTED_VALUE"""),"PlusROI : Admin")</f>
        <v>PlusROI : Admin</v>
      </c>
      <c r="B1149" s="223" t="str">
        <f>IFERROR(__xludf.DUMMYFUNCTION("""COMPUTED_VALUE"""),"PlusROI")</f>
        <v>PlusROI</v>
      </c>
      <c r="C1149" s="223" t="str">
        <f>IFERROR(__xludf.DUMMYFUNCTION("""COMPUTED_VALUE"""),"Admin")</f>
        <v>Admin</v>
      </c>
      <c r="D1149" s="316">
        <f>IFERROR(__xludf.DUMMYFUNCTION("""COMPUTED_VALUE"""),44501.0)</f>
        <v>44501</v>
      </c>
      <c r="E1149" s="298"/>
      <c r="F1149" s="298"/>
      <c r="G1149" s="298"/>
      <c r="H1149" s="223"/>
      <c r="I1149" s="298">
        <f>IFERROR(__xludf.DUMMYFUNCTION("""COMPUTED_VALUE"""),23.33)</f>
        <v>23.33</v>
      </c>
      <c r="J1149" s="223" t="str">
        <f>IFERROR(__xludf.DUMMYFUNCTION("""COMPUTED_VALUE"""),"Hourly")</f>
        <v>Hourly</v>
      </c>
      <c r="K1149" s="317">
        <f>IFERROR(__xludf.DUMMYFUNCTION("""COMPUTED_VALUE"""),2021.0)</f>
        <v>2021</v>
      </c>
      <c r="L1149" s="298"/>
      <c r="M1149" s="223"/>
      <c r="N1149" s="223"/>
      <c r="O1149" s="223"/>
      <c r="P1149" s="223"/>
      <c r="Q1149" s="223"/>
      <c r="R1149" s="223"/>
      <c r="S1149" s="223"/>
      <c r="T1149" s="223"/>
      <c r="U1149" s="223"/>
      <c r="V1149" s="223"/>
      <c r="W1149" s="223"/>
      <c r="X1149" s="223"/>
      <c r="Y1149" s="223"/>
      <c r="Z1149" s="223"/>
    </row>
    <row r="1150">
      <c r="A1150" s="223" t="str">
        <f>IFERROR(__xludf.DUMMYFUNCTION("""COMPUTED_VALUE"""),"PlusROI : Admin")</f>
        <v>PlusROI : Admin</v>
      </c>
      <c r="B1150" s="223" t="str">
        <f>IFERROR(__xludf.DUMMYFUNCTION("""COMPUTED_VALUE"""),"PlusROI")</f>
        <v>PlusROI</v>
      </c>
      <c r="C1150" s="223" t="str">
        <f>IFERROR(__xludf.DUMMYFUNCTION("""COMPUTED_VALUE"""),"Admin")</f>
        <v>Admin</v>
      </c>
      <c r="D1150" s="316">
        <f>IFERROR(__xludf.DUMMYFUNCTION("""COMPUTED_VALUE"""),44501.0)</f>
        <v>44501</v>
      </c>
      <c r="E1150" s="298"/>
      <c r="F1150" s="298"/>
      <c r="G1150" s="298"/>
      <c r="H1150" s="223"/>
      <c r="I1150" s="298">
        <f>IFERROR(__xludf.DUMMYFUNCTION("""COMPUTED_VALUE"""),37.33)</f>
        <v>37.33</v>
      </c>
      <c r="J1150" s="223" t="str">
        <f>IFERROR(__xludf.DUMMYFUNCTION("""COMPUTED_VALUE"""),"Hourly")</f>
        <v>Hourly</v>
      </c>
      <c r="K1150" s="317">
        <f>IFERROR(__xludf.DUMMYFUNCTION("""COMPUTED_VALUE"""),2021.0)</f>
        <v>2021</v>
      </c>
      <c r="L1150" s="298"/>
      <c r="M1150" s="223"/>
      <c r="N1150" s="223"/>
      <c r="O1150" s="223"/>
      <c r="P1150" s="223"/>
      <c r="Q1150" s="223"/>
      <c r="R1150" s="223"/>
      <c r="S1150" s="223"/>
      <c r="T1150" s="223"/>
      <c r="U1150" s="223"/>
      <c r="V1150" s="223"/>
      <c r="W1150" s="223"/>
      <c r="X1150" s="223"/>
      <c r="Y1150" s="223"/>
      <c r="Z1150" s="223"/>
    </row>
    <row r="1151">
      <c r="A1151" s="223" t="str">
        <f>IFERROR(__xludf.DUMMYFUNCTION("""COMPUTED_VALUE"""),"PlusROI : Admin")</f>
        <v>PlusROI : Admin</v>
      </c>
      <c r="B1151" s="223" t="str">
        <f>IFERROR(__xludf.DUMMYFUNCTION("""COMPUTED_VALUE"""),"PlusROI")</f>
        <v>PlusROI</v>
      </c>
      <c r="C1151" s="223" t="str">
        <f>IFERROR(__xludf.DUMMYFUNCTION("""COMPUTED_VALUE"""),"Admin")</f>
        <v>Admin</v>
      </c>
      <c r="D1151" s="316">
        <f>IFERROR(__xludf.DUMMYFUNCTION("""COMPUTED_VALUE"""),44501.0)</f>
        <v>44501</v>
      </c>
      <c r="E1151" s="298"/>
      <c r="F1151" s="298"/>
      <c r="G1151" s="298"/>
      <c r="H1151" s="223"/>
      <c r="I1151" s="298">
        <f>IFERROR(__xludf.DUMMYFUNCTION("""COMPUTED_VALUE"""),2576.96)</f>
        <v>2576.96</v>
      </c>
      <c r="J1151" s="223" t="str">
        <f>IFERROR(__xludf.DUMMYFUNCTION("""COMPUTED_VALUE"""),"Hourly")</f>
        <v>Hourly</v>
      </c>
      <c r="K1151" s="317">
        <f>IFERROR(__xludf.DUMMYFUNCTION("""COMPUTED_VALUE"""),2021.0)</f>
        <v>2021</v>
      </c>
      <c r="L1151" s="298"/>
      <c r="M1151" s="223"/>
      <c r="N1151" s="223"/>
      <c r="O1151" s="223"/>
      <c r="P1151" s="223"/>
      <c r="Q1151" s="223"/>
      <c r="R1151" s="223"/>
      <c r="S1151" s="223"/>
      <c r="T1151" s="223"/>
      <c r="U1151" s="223"/>
      <c r="V1151" s="223"/>
      <c r="W1151" s="223"/>
      <c r="X1151" s="223"/>
      <c r="Y1151" s="223"/>
      <c r="Z1151" s="223"/>
    </row>
    <row r="1152">
      <c r="A1152" s="223" t="str">
        <f>IFERROR(__xludf.DUMMYFUNCTION("""COMPUTED_VALUE"""),"Allsalt : Monthly Services")</f>
        <v>Allsalt : Monthly Services</v>
      </c>
      <c r="B1152" s="223" t="str">
        <f>IFERROR(__xludf.DUMMYFUNCTION("""COMPUTED_VALUE"""),"Allsalt")</f>
        <v>Allsalt</v>
      </c>
      <c r="C1152" s="223" t="str">
        <f>IFERROR(__xludf.DUMMYFUNCTION("""COMPUTED_VALUE"""),"Monthly Services")</f>
        <v>Monthly Services</v>
      </c>
      <c r="D1152" s="316">
        <f>IFERROR(__xludf.DUMMYFUNCTION("""COMPUTED_VALUE"""),44561.0)</f>
        <v>44561</v>
      </c>
      <c r="E1152" s="298"/>
      <c r="F1152" s="298"/>
      <c r="G1152" s="298"/>
      <c r="H1152" s="223"/>
      <c r="I1152" s="298">
        <f>IFERROR(__xludf.DUMMYFUNCTION("""COMPUTED_VALUE"""),147.6)</f>
        <v>147.6</v>
      </c>
      <c r="J1152" s="223" t="str">
        <f>IFERROR(__xludf.DUMMYFUNCTION("""COMPUTED_VALUE"""),"Fixed Project")</f>
        <v>Fixed Project</v>
      </c>
      <c r="K1152" s="317">
        <f>IFERROR(__xludf.DUMMYFUNCTION("""COMPUTED_VALUE"""),2021.0)</f>
        <v>2021</v>
      </c>
      <c r="L1152" s="298"/>
      <c r="M1152" s="223"/>
      <c r="N1152" s="223"/>
      <c r="O1152" s="223"/>
      <c r="P1152" s="223"/>
      <c r="Q1152" s="223"/>
      <c r="R1152" s="223"/>
      <c r="S1152" s="223"/>
      <c r="T1152" s="223"/>
      <c r="U1152" s="223"/>
      <c r="V1152" s="223"/>
      <c r="W1152" s="223"/>
      <c r="X1152" s="223"/>
      <c r="Y1152" s="223"/>
      <c r="Z1152" s="223"/>
    </row>
    <row r="1153">
      <c r="A1153" s="223" t="str">
        <f>IFERROR(__xludf.DUMMYFUNCTION("""COMPUTED_VALUE"""),"Athlone Golf &amp; Sports : Website")</f>
        <v>Athlone Golf &amp; Sports : Website</v>
      </c>
      <c r="B1153" s="223" t="str">
        <f>IFERROR(__xludf.DUMMYFUNCTION("""COMPUTED_VALUE"""),"Athlone Golf &amp; Sports")</f>
        <v>Athlone Golf &amp; Sports</v>
      </c>
      <c r="C1153" s="223" t="str">
        <f>IFERROR(__xludf.DUMMYFUNCTION("""COMPUTED_VALUE"""),"Website")</f>
        <v>Website</v>
      </c>
      <c r="D1153" s="316">
        <f>IFERROR(__xludf.DUMMYFUNCTION("""COMPUTED_VALUE"""),44561.0)</f>
        <v>44561</v>
      </c>
      <c r="E1153" s="298"/>
      <c r="F1153" s="298"/>
      <c r="G1153" s="298"/>
      <c r="H1153" s="223"/>
      <c r="I1153" s="298">
        <f>IFERROR(__xludf.DUMMYFUNCTION("""COMPUTED_VALUE"""),95.1)</f>
        <v>95.1</v>
      </c>
      <c r="J1153" s="223" t="str">
        <f>IFERROR(__xludf.DUMMYFUNCTION("""COMPUTED_VALUE"""),"Fixed Project")</f>
        <v>Fixed Project</v>
      </c>
      <c r="K1153" s="317">
        <f>IFERROR(__xludf.DUMMYFUNCTION("""COMPUTED_VALUE"""),2021.0)</f>
        <v>2021</v>
      </c>
      <c r="L1153" s="298"/>
      <c r="M1153" s="223"/>
      <c r="N1153" s="223"/>
      <c r="O1153" s="223"/>
      <c r="P1153" s="223"/>
      <c r="Q1153" s="223"/>
      <c r="R1153" s="223"/>
      <c r="S1153" s="223"/>
      <c r="T1153" s="223"/>
      <c r="U1153" s="223"/>
      <c r="V1153" s="223"/>
      <c r="W1153" s="223"/>
      <c r="X1153" s="223"/>
      <c r="Y1153" s="223"/>
      <c r="Z1153" s="223"/>
    </row>
    <row r="1154">
      <c r="A1154" s="223" t="str">
        <f>IFERROR(__xludf.DUMMYFUNCTION("""COMPUTED_VALUE"""),"New Growth Ecommerce Inc : Monthly Services")</f>
        <v>New Growth Ecommerce Inc : Monthly Services</v>
      </c>
      <c r="B1154" s="223" t="str">
        <f>IFERROR(__xludf.DUMMYFUNCTION("""COMPUTED_VALUE"""),"New Growth Ecommerce Inc")</f>
        <v>New Growth Ecommerce Inc</v>
      </c>
      <c r="C1154" s="223" t="str">
        <f>IFERROR(__xludf.DUMMYFUNCTION("""COMPUTED_VALUE"""),"Monthly Services")</f>
        <v>Monthly Services</v>
      </c>
      <c r="D1154" s="316">
        <f>IFERROR(__xludf.DUMMYFUNCTION("""COMPUTED_VALUE"""),44561.0)</f>
        <v>44561</v>
      </c>
      <c r="E1154" s="298"/>
      <c r="F1154" s="298"/>
      <c r="G1154" s="298"/>
      <c r="H1154" s="223"/>
      <c r="I1154" s="298">
        <f>IFERROR(__xludf.DUMMYFUNCTION("""COMPUTED_VALUE"""),54.9)</f>
        <v>54.9</v>
      </c>
      <c r="J1154" s="223" t="str">
        <f>IFERROR(__xludf.DUMMYFUNCTION("""COMPUTED_VALUE"""),"Monthly")</f>
        <v>Monthly</v>
      </c>
      <c r="K1154" s="317">
        <f>IFERROR(__xludf.DUMMYFUNCTION("""COMPUTED_VALUE"""),2021.12)</f>
        <v>2021.12</v>
      </c>
      <c r="L1154" s="298"/>
      <c r="M1154" s="223"/>
      <c r="N1154" s="223"/>
      <c r="O1154" s="223"/>
      <c r="P1154" s="223"/>
      <c r="Q1154" s="223"/>
      <c r="R1154" s="223"/>
      <c r="S1154" s="223"/>
      <c r="T1154" s="223"/>
      <c r="U1154" s="223"/>
      <c r="V1154" s="223"/>
      <c r="W1154" s="223"/>
      <c r="X1154" s="223"/>
      <c r="Y1154" s="223"/>
      <c r="Z1154" s="223"/>
    </row>
    <row r="1155">
      <c r="A1155" s="223" t="str">
        <f>IFERROR(__xludf.DUMMYFUNCTION("""COMPUTED_VALUE"""),"PlusROI : Training")</f>
        <v>PlusROI : Training</v>
      </c>
      <c r="B1155" s="223" t="str">
        <f>IFERROR(__xludf.DUMMYFUNCTION("""COMPUTED_VALUE"""),"PlusROI")</f>
        <v>PlusROI</v>
      </c>
      <c r="C1155" s="223" t="str">
        <f>IFERROR(__xludf.DUMMYFUNCTION("""COMPUTED_VALUE"""),"Training")</f>
        <v>Training</v>
      </c>
      <c r="D1155" s="316">
        <f>IFERROR(__xludf.DUMMYFUNCTION("""COMPUTED_VALUE"""),44561.0)</f>
        <v>44561</v>
      </c>
      <c r="E1155" s="298"/>
      <c r="F1155" s="298"/>
      <c r="G1155" s="298"/>
      <c r="H1155" s="223"/>
      <c r="I1155" s="298">
        <f>IFERROR(__xludf.DUMMYFUNCTION("""COMPUTED_VALUE"""),200.0)</f>
        <v>200</v>
      </c>
      <c r="J1155" s="223" t="str">
        <f>IFERROR(__xludf.DUMMYFUNCTION("""COMPUTED_VALUE"""),"Not Set")</f>
        <v>Not Set</v>
      </c>
      <c r="K1155" s="317">
        <f>IFERROR(__xludf.DUMMYFUNCTION("""COMPUTED_VALUE"""),2021.0)</f>
        <v>2021</v>
      </c>
      <c r="L1155" s="298"/>
      <c r="M1155" s="223"/>
      <c r="N1155" s="223"/>
      <c r="O1155" s="223"/>
      <c r="P1155" s="223"/>
      <c r="Q1155" s="223"/>
      <c r="R1155" s="223"/>
      <c r="S1155" s="223"/>
      <c r="T1155" s="223"/>
      <c r="U1155" s="223"/>
      <c r="V1155" s="223"/>
      <c r="W1155" s="223"/>
      <c r="X1155" s="223"/>
      <c r="Y1155" s="223"/>
      <c r="Z1155" s="223"/>
    </row>
    <row r="1156">
      <c r="A1156" s="223" t="str">
        <f>IFERROR(__xludf.DUMMYFUNCTION("""COMPUTED_VALUE"""),"Service First : Monthly Services")</f>
        <v>Service First : Monthly Services</v>
      </c>
      <c r="B1156" s="223" t="str">
        <f>IFERROR(__xludf.DUMMYFUNCTION("""COMPUTED_VALUE"""),"Service First")</f>
        <v>Service First</v>
      </c>
      <c r="C1156" s="223" t="str">
        <f>IFERROR(__xludf.DUMMYFUNCTION("""COMPUTED_VALUE"""),"Monthly Services")</f>
        <v>Monthly Services</v>
      </c>
      <c r="D1156" s="316">
        <f>IFERROR(__xludf.DUMMYFUNCTION("""COMPUTED_VALUE"""),44561.0)</f>
        <v>44561</v>
      </c>
      <c r="E1156" s="298"/>
      <c r="F1156" s="298"/>
      <c r="G1156" s="298"/>
      <c r="H1156" s="223"/>
      <c r="I1156" s="298">
        <f>IFERROR(__xludf.DUMMYFUNCTION("""COMPUTED_VALUE"""),125.0)</f>
        <v>125</v>
      </c>
      <c r="J1156" s="223" t="str">
        <f>IFERROR(__xludf.DUMMYFUNCTION("""COMPUTED_VALUE"""),"Monthly")</f>
        <v>Monthly</v>
      </c>
      <c r="K1156" s="317">
        <f>IFERROR(__xludf.DUMMYFUNCTION("""COMPUTED_VALUE"""),2021.12)</f>
        <v>2021.12</v>
      </c>
      <c r="L1156" s="298"/>
      <c r="M1156" s="223"/>
      <c r="N1156" s="223"/>
      <c r="O1156" s="223"/>
      <c r="P1156" s="223"/>
      <c r="Q1156" s="223"/>
      <c r="R1156" s="223"/>
      <c r="S1156" s="223"/>
      <c r="T1156" s="223"/>
      <c r="U1156" s="223"/>
      <c r="V1156" s="223"/>
      <c r="W1156" s="223"/>
      <c r="X1156" s="223"/>
      <c r="Y1156" s="223"/>
      <c r="Z1156" s="223"/>
    </row>
    <row r="1157">
      <c r="A1157" s="223" t="str">
        <f>IFERROR(__xludf.DUMMYFUNCTION("""COMPUTED_VALUE"""),"BookKing (Pacific Tier) : Monthly Services")</f>
        <v>BookKing (Pacific Tier) : Monthly Services</v>
      </c>
      <c r="B1157" s="223" t="str">
        <f>IFERROR(__xludf.DUMMYFUNCTION("""COMPUTED_VALUE"""),"BookKing (Pacific Tier)")</f>
        <v>BookKing (Pacific Tier)</v>
      </c>
      <c r="C1157" s="223" t="str">
        <f>IFERROR(__xludf.DUMMYFUNCTION("""COMPUTED_VALUE"""),"Monthly Services")</f>
        <v>Monthly Services</v>
      </c>
      <c r="D1157" s="316">
        <f>IFERROR(__xludf.DUMMYFUNCTION("""COMPUTED_VALUE"""),44561.0)</f>
        <v>44561</v>
      </c>
      <c r="E1157" s="298"/>
      <c r="F1157" s="298"/>
      <c r="G1157" s="298"/>
      <c r="H1157" s="223"/>
      <c r="I1157" s="298">
        <f>IFERROR(__xludf.DUMMYFUNCTION("""COMPUTED_VALUE"""),200.0)</f>
        <v>200</v>
      </c>
      <c r="J1157" s="223" t="str">
        <f>IFERROR(__xludf.DUMMYFUNCTION("""COMPUTED_VALUE"""),"Monthly")</f>
        <v>Monthly</v>
      </c>
      <c r="K1157" s="317">
        <f>IFERROR(__xludf.DUMMYFUNCTION("""COMPUTED_VALUE"""),2021.12)</f>
        <v>2021.12</v>
      </c>
      <c r="L1157" s="298"/>
      <c r="M1157" s="223"/>
      <c r="N1157" s="223"/>
      <c r="O1157" s="223"/>
      <c r="P1157" s="223"/>
      <c r="Q1157" s="223"/>
      <c r="R1157" s="223"/>
      <c r="S1157" s="223"/>
      <c r="T1157" s="223"/>
      <c r="U1157" s="223"/>
      <c r="V1157" s="223"/>
      <c r="W1157" s="223"/>
      <c r="X1157" s="223"/>
      <c r="Y1157" s="223"/>
      <c r="Z1157" s="223"/>
    </row>
    <row r="1158">
      <c r="A1158" s="223" t="str">
        <f>IFERROR(__xludf.DUMMYFUNCTION("""COMPUTED_VALUE"""),"MortgagePal : Monthly Services")</f>
        <v>MortgagePal : Monthly Services</v>
      </c>
      <c r="B1158" s="223" t="str">
        <f>IFERROR(__xludf.DUMMYFUNCTION("""COMPUTED_VALUE"""),"MortgagePal")</f>
        <v>MortgagePal</v>
      </c>
      <c r="C1158" s="223" t="str">
        <f>IFERROR(__xludf.DUMMYFUNCTION("""COMPUTED_VALUE"""),"Monthly Services")</f>
        <v>Monthly Services</v>
      </c>
      <c r="D1158" s="316">
        <f>IFERROR(__xludf.DUMMYFUNCTION("""COMPUTED_VALUE"""),44561.0)</f>
        <v>44561</v>
      </c>
      <c r="E1158" s="298"/>
      <c r="F1158" s="298"/>
      <c r="G1158" s="298"/>
      <c r="H1158" s="223"/>
      <c r="I1158" s="298">
        <f>IFERROR(__xludf.DUMMYFUNCTION("""COMPUTED_VALUE"""),212.5)</f>
        <v>212.5</v>
      </c>
      <c r="J1158" s="223" t="str">
        <f>IFERROR(__xludf.DUMMYFUNCTION("""COMPUTED_VALUE"""),"Monthly")</f>
        <v>Monthly</v>
      </c>
      <c r="K1158" s="317">
        <f>IFERROR(__xludf.DUMMYFUNCTION("""COMPUTED_VALUE"""),2021.12)</f>
        <v>2021.12</v>
      </c>
      <c r="L1158" s="298"/>
      <c r="M1158" s="223"/>
      <c r="N1158" s="223"/>
      <c r="O1158" s="223"/>
      <c r="P1158" s="223"/>
      <c r="Q1158" s="223"/>
      <c r="R1158" s="223"/>
      <c r="S1158" s="223"/>
      <c r="T1158" s="223"/>
      <c r="U1158" s="223"/>
      <c r="V1158" s="223"/>
      <c r="W1158" s="223"/>
      <c r="X1158" s="223"/>
      <c r="Y1158" s="223"/>
      <c r="Z1158" s="223"/>
    </row>
    <row r="1159">
      <c r="A1159" s="223" t="str">
        <f>IFERROR(__xludf.DUMMYFUNCTION("""COMPUTED_VALUE"""),"Wallack's Art Supplies : Monthly Services")</f>
        <v>Wallack's Art Supplies : Monthly Services</v>
      </c>
      <c r="B1159" s="223" t="str">
        <f>IFERROR(__xludf.DUMMYFUNCTION("""COMPUTED_VALUE"""),"Wallack's Art Supplies")</f>
        <v>Wallack's Art Supplies</v>
      </c>
      <c r="C1159" s="223" t="str">
        <f>IFERROR(__xludf.DUMMYFUNCTION("""COMPUTED_VALUE"""),"Monthly Services")</f>
        <v>Monthly Services</v>
      </c>
      <c r="D1159" s="316">
        <f>IFERROR(__xludf.DUMMYFUNCTION("""COMPUTED_VALUE"""),44561.0)</f>
        <v>44561</v>
      </c>
      <c r="E1159" s="298"/>
      <c r="F1159" s="298"/>
      <c r="G1159" s="298"/>
      <c r="H1159" s="223"/>
      <c r="I1159" s="298">
        <f>IFERROR(__xludf.DUMMYFUNCTION("""COMPUTED_VALUE"""),250.0)</f>
        <v>250</v>
      </c>
      <c r="J1159" s="223" t="str">
        <f>IFERROR(__xludf.DUMMYFUNCTION("""COMPUTED_VALUE"""),"Monthly")</f>
        <v>Monthly</v>
      </c>
      <c r="K1159" s="317">
        <f>IFERROR(__xludf.DUMMYFUNCTION("""COMPUTED_VALUE"""),2021.12)</f>
        <v>2021.12</v>
      </c>
      <c r="L1159" s="298"/>
      <c r="M1159" s="223"/>
      <c r="N1159" s="223"/>
      <c r="O1159" s="223"/>
      <c r="P1159" s="223"/>
      <c r="Q1159" s="223"/>
      <c r="R1159" s="223"/>
      <c r="S1159" s="223"/>
      <c r="T1159" s="223"/>
      <c r="U1159" s="223"/>
      <c r="V1159" s="223"/>
      <c r="W1159" s="223"/>
      <c r="X1159" s="223"/>
      <c r="Y1159" s="223"/>
      <c r="Z1159" s="223"/>
    </row>
    <row r="1160">
      <c r="A1160" s="223" t="str">
        <f>IFERROR(__xludf.DUMMYFUNCTION("""COMPUTED_VALUE"""),"Hey Blinds : Monthly Services")</f>
        <v>Hey Blinds : Monthly Services</v>
      </c>
      <c r="B1160" s="223" t="str">
        <f>IFERROR(__xludf.DUMMYFUNCTION("""COMPUTED_VALUE"""),"Hey Blinds")</f>
        <v>Hey Blinds</v>
      </c>
      <c r="C1160" s="223" t="str">
        <f>IFERROR(__xludf.DUMMYFUNCTION("""COMPUTED_VALUE"""),"Monthly Services")</f>
        <v>Monthly Services</v>
      </c>
      <c r="D1160" s="316">
        <f>IFERROR(__xludf.DUMMYFUNCTION("""COMPUTED_VALUE"""),44561.0)</f>
        <v>44561</v>
      </c>
      <c r="E1160" s="298"/>
      <c r="F1160" s="298"/>
      <c r="G1160" s="298"/>
      <c r="H1160" s="223"/>
      <c r="I1160" s="298">
        <f>IFERROR(__xludf.DUMMYFUNCTION("""COMPUTED_VALUE"""),250.0)</f>
        <v>250</v>
      </c>
      <c r="J1160" s="223" t="str">
        <f>IFERROR(__xludf.DUMMYFUNCTION("""COMPUTED_VALUE"""),"Monthly")</f>
        <v>Monthly</v>
      </c>
      <c r="K1160" s="317">
        <f>IFERROR(__xludf.DUMMYFUNCTION("""COMPUTED_VALUE"""),2021.12)</f>
        <v>2021.12</v>
      </c>
      <c r="L1160" s="298"/>
      <c r="M1160" s="223"/>
      <c r="N1160" s="223"/>
      <c r="O1160" s="223"/>
      <c r="P1160" s="223"/>
      <c r="Q1160" s="223"/>
      <c r="R1160" s="223"/>
      <c r="S1160" s="223"/>
      <c r="T1160" s="223"/>
      <c r="U1160" s="223"/>
      <c r="V1160" s="223"/>
      <c r="W1160" s="223"/>
      <c r="X1160" s="223"/>
      <c r="Y1160" s="223"/>
      <c r="Z1160" s="223"/>
    </row>
    <row r="1161">
      <c r="A1161" s="223" t="str">
        <f>IFERROR(__xludf.DUMMYFUNCTION("""COMPUTED_VALUE"""),"VIATeC : Nezza Naturals DER3")</f>
        <v>VIATeC : Nezza Naturals DER3</v>
      </c>
      <c r="B1161" s="223" t="str">
        <f>IFERROR(__xludf.DUMMYFUNCTION("""COMPUTED_VALUE"""),"VIATeC")</f>
        <v>VIATeC</v>
      </c>
      <c r="C1161" s="223" t="str">
        <f>IFERROR(__xludf.DUMMYFUNCTION("""COMPUTED_VALUE"""),"Nezza Naturals DER3")</f>
        <v>Nezza Naturals DER3</v>
      </c>
      <c r="D1161" s="316">
        <f>IFERROR(__xludf.DUMMYFUNCTION("""COMPUTED_VALUE"""),44561.0)</f>
        <v>44561</v>
      </c>
      <c r="E1161" s="298"/>
      <c r="F1161" s="298"/>
      <c r="G1161" s="298"/>
      <c r="H1161" s="223"/>
      <c r="I1161" s="298">
        <f>IFERROR(__xludf.DUMMYFUNCTION("""COMPUTED_VALUE"""),150.0)</f>
        <v>150</v>
      </c>
      <c r="J1161" s="223" t="str">
        <f>IFERROR(__xludf.DUMMYFUNCTION("""COMPUTED_VALUE"""),"Fixed Project")</f>
        <v>Fixed Project</v>
      </c>
      <c r="K1161" s="317">
        <f>IFERROR(__xludf.DUMMYFUNCTION("""COMPUTED_VALUE"""),2021.0)</f>
        <v>2021</v>
      </c>
      <c r="L1161" s="298"/>
      <c r="M1161" s="223"/>
      <c r="N1161" s="223"/>
      <c r="O1161" s="223"/>
      <c r="P1161" s="223"/>
      <c r="Q1161" s="223"/>
      <c r="R1161" s="223"/>
      <c r="S1161" s="223"/>
      <c r="T1161" s="223"/>
      <c r="U1161" s="223"/>
      <c r="V1161" s="223"/>
      <c r="W1161" s="223"/>
      <c r="X1161" s="223"/>
      <c r="Y1161" s="223"/>
      <c r="Z1161" s="223"/>
    </row>
    <row r="1162">
      <c r="A1162" s="223" t="str">
        <f>IFERROR(__xludf.DUMMYFUNCTION("""COMPUTED_VALUE"""),"Hastings House : Monthly Services")</f>
        <v>Hastings House : Monthly Services</v>
      </c>
      <c r="B1162" s="223" t="str">
        <f>IFERROR(__xludf.DUMMYFUNCTION("""COMPUTED_VALUE"""),"Hastings House")</f>
        <v>Hastings House</v>
      </c>
      <c r="C1162" s="223" t="str">
        <f>IFERROR(__xludf.DUMMYFUNCTION("""COMPUTED_VALUE"""),"Monthly Services")</f>
        <v>Monthly Services</v>
      </c>
      <c r="D1162" s="316">
        <f>IFERROR(__xludf.DUMMYFUNCTION("""COMPUTED_VALUE"""),44561.0)</f>
        <v>44561</v>
      </c>
      <c r="E1162" s="298"/>
      <c r="F1162" s="298"/>
      <c r="G1162" s="298"/>
      <c r="H1162" s="223"/>
      <c r="I1162" s="298">
        <f>IFERROR(__xludf.DUMMYFUNCTION("""COMPUTED_VALUE"""),300.0)</f>
        <v>300</v>
      </c>
      <c r="J1162" s="223" t="str">
        <f>IFERROR(__xludf.DUMMYFUNCTION("""COMPUTED_VALUE"""),"Monthly")</f>
        <v>Monthly</v>
      </c>
      <c r="K1162" s="317">
        <f>IFERROR(__xludf.DUMMYFUNCTION("""COMPUTED_VALUE"""),2021.12)</f>
        <v>2021.12</v>
      </c>
      <c r="L1162" s="298"/>
      <c r="M1162" s="223"/>
      <c r="N1162" s="223"/>
      <c r="O1162" s="223"/>
      <c r="P1162" s="223"/>
      <c r="Q1162" s="223"/>
      <c r="R1162" s="223"/>
      <c r="S1162" s="223"/>
      <c r="T1162" s="223"/>
      <c r="U1162" s="223"/>
      <c r="V1162" s="223"/>
      <c r="W1162" s="223"/>
      <c r="X1162" s="223"/>
      <c r="Y1162" s="223"/>
      <c r="Z1162" s="223"/>
    </row>
    <row r="1163">
      <c r="A1163" s="223" t="str">
        <f>IFERROR(__xludf.DUMMYFUNCTION("""COMPUTED_VALUE"""),"Spraggs : Monthly Services")</f>
        <v>Spraggs : Monthly Services</v>
      </c>
      <c r="B1163" s="223" t="str">
        <f>IFERROR(__xludf.DUMMYFUNCTION("""COMPUTED_VALUE"""),"Spraggs")</f>
        <v>Spraggs</v>
      </c>
      <c r="C1163" s="223" t="str">
        <f>IFERROR(__xludf.DUMMYFUNCTION("""COMPUTED_VALUE"""),"Monthly Services")</f>
        <v>Monthly Services</v>
      </c>
      <c r="D1163" s="316">
        <f>IFERROR(__xludf.DUMMYFUNCTION("""COMPUTED_VALUE"""),44561.0)</f>
        <v>44561</v>
      </c>
      <c r="E1163" s="298"/>
      <c r="F1163" s="298"/>
      <c r="G1163" s="298"/>
      <c r="H1163" s="223"/>
      <c r="I1163" s="298">
        <f>IFERROR(__xludf.DUMMYFUNCTION("""COMPUTED_VALUE"""),212.5)</f>
        <v>212.5</v>
      </c>
      <c r="J1163" s="223" t="str">
        <f>IFERROR(__xludf.DUMMYFUNCTION("""COMPUTED_VALUE"""),"Monthly")</f>
        <v>Monthly</v>
      </c>
      <c r="K1163" s="317">
        <f>IFERROR(__xludf.DUMMYFUNCTION("""COMPUTED_VALUE"""),2021.12)</f>
        <v>2021.12</v>
      </c>
      <c r="L1163" s="298"/>
      <c r="M1163" s="223"/>
      <c r="N1163" s="223"/>
      <c r="O1163" s="223"/>
      <c r="P1163" s="223"/>
      <c r="Q1163" s="223"/>
      <c r="R1163" s="223"/>
      <c r="S1163" s="223"/>
      <c r="T1163" s="223"/>
      <c r="U1163" s="223"/>
      <c r="V1163" s="223"/>
      <c r="W1163" s="223"/>
      <c r="X1163" s="223"/>
      <c r="Y1163" s="223"/>
      <c r="Z1163" s="223"/>
    </row>
    <row r="1164">
      <c r="A1164" s="223" t="str">
        <f>IFERROR(__xludf.DUMMYFUNCTION("""COMPUTED_VALUE"""),"Availed Technologies : Monthly Services")</f>
        <v>Availed Technologies : Monthly Services</v>
      </c>
      <c r="B1164" s="223" t="str">
        <f>IFERROR(__xludf.DUMMYFUNCTION("""COMPUTED_VALUE"""),"Availed Technologies")</f>
        <v>Availed Technologies</v>
      </c>
      <c r="C1164" s="223" t="str">
        <f>IFERROR(__xludf.DUMMYFUNCTION("""COMPUTED_VALUE"""),"Monthly Services")</f>
        <v>Monthly Services</v>
      </c>
      <c r="D1164" s="316">
        <f>IFERROR(__xludf.DUMMYFUNCTION("""COMPUTED_VALUE"""),44561.0)</f>
        <v>44561</v>
      </c>
      <c r="E1164" s="298"/>
      <c r="F1164" s="298"/>
      <c r="G1164" s="298"/>
      <c r="H1164" s="223"/>
      <c r="I1164" s="298">
        <f>IFERROR(__xludf.DUMMYFUNCTION("""COMPUTED_VALUE"""),450.0)</f>
        <v>450</v>
      </c>
      <c r="J1164" s="223" t="str">
        <f>IFERROR(__xludf.DUMMYFUNCTION("""COMPUTED_VALUE"""),"Monthly")</f>
        <v>Monthly</v>
      </c>
      <c r="K1164" s="317">
        <f>IFERROR(__xludf.DUMMYFUNCTION("""COMPUTED_VALUE"""),2021.12)</f>
        <v>2021.12</v>
      </c>
      <c r="L1164" s="298"/>
      <c r="M1164" s="223"/>
      <c r="N1164" s="223"/>
      <c r="O1164" s="223"/>
      <c r="P1164" s="223"/>
      <c r="Q1164" s="223"/>
      <c r="R1164" s="223"/>
      <c r="S1164" s="223"/>
      <c r="T1164" s="223"/>
      <c r="U1164" s="223"/>
      <c r="V1164" s="223"/>
      <c r="W1164" s="223"/>
      <c r="X1164" s="223"/>
      <c r="Y1164" s="223"/>
      <c r="Z1164" s="223"/>
    </row>
    <row r="1165">
      <c r="A1165" s="223" t="str">
        <f>IFERROR(__xludf.DUMMYFUNCTION("""COMPUTED_VALUE"""),"BookKing (Pacific Tier) : Monthly Services")</f>
        <v>BookKing (Pacific Tier) : Monthly Services</v>
      </c>
      <c r="B1165" s="223" t="str">
        <f>IFERROR(__xludf.DUMMYFUNCTION("""COMPUTED_VALUE"""),"BookKing (Pacific Tier)")</f>
        <v>BookKing (Pacific Tier)</v>
      </c>
      <c r="C1165" s="223" t="str">
        <f>IFERROR(__xludf.DUMMYFUNCTION("""COMPUTED_VALUE"""),"Monthly Services")</f>
        <v>Monthly Services</v>
      </c>
      <c r="D1165" s="316">
        <f>IFERROR(__xludf.DUMMYFUNCTION("""COMPUTED_VALUE"""),44561.0)</f>
        <v>44561</v>
      </c>
      <c r="E1165" s="298"/>
      <c r="F1165" s="298"/>
      <c r="G1165" s="298"/>
      <c r="H1165" s="223"/>
      <c r="I1165" s="298">
        <f>IFERROR(__xludf.DUMMYFUNCTION("""COMPUTED_VALUE"""),250.0)</f>
        <v>250</v>
      </c>
      <c r="J1165" s="223" t="str">
        <f>IFERROR(__xludf.DUMMYFUNCTION("""COMPUTED_VALUE"""),"Monthly")</f>
        <v>Monthly</v>
      </c>
      <c r="K1165" s="317">
        <f>IFERROR(__xludf.DUMMYFUNCTION("""COMPUTED_VALUE"""),2021.12)</f>
        <v>2021.12</v>
      </c>
      <c r="L1165" s="298"/>
      <c r="M1165" s="223"/>
      <c r="N1165" s="223"/>
      <c r="O1165" s="223"/>
      <c r="P1165" s="223"/>
      <c r="Q1165" s="223"/>
      <c r="R1165" s="223"/>
      <c r="S1165" s="223"/>
      <c r="T1165" s="223"/>
      <c r="U1165" s="223"/>
      <c r="V1165" s="223"/>
      <c r="W1165" s="223"/>
      <c r="X1165" s="223"/>
      <c r="Y1165" s="223"/>
      <c r="Z1165" s="223"/>
    </row>
    <row r="1166">
      <c r="A1166" s="223" t="str">
        <f>IFERROR(__xludf.DUMMYFUNCTION("""COMPUTED_VALUE"""),"OA Region 6 : Monthly Services")</f>
        <v>OA Region 6 : Monthly Services</v>
      </c>
      <c r="B1166" s="223" t="str">
        <f>IFERROR(__xludf.DUMMYFUNCTION("""COMPUTED_VALUE"""),"OA Region 6")</f>
        <v>OA Region 6</v>
      </c>
      <c r="C1166" s="223" t="str">
        <f>IFERROR(__xludf.DUMMYFUNCTION("""COMPUTED_VALUE"""),"Monthly Services")</f>
        <v>Monthly Services</v>
      </c>
      <c r="D1166" s="316">
        <f>IFERROR(__xludf.DUMMYFUNCTION("""COMPUTED_VALUE"""),44561.0)</f>
        <v>44561</v>
      </c>
      <c r="E1166" s="298"/>
      <c r="F1166" s="298"/>
      <c r="G1166" s="298"/>
      <c r="H1166" s="223"/>
      <c r="I1166" s="298">
        <f>IFERROR(__xludf.DUMMYFUNCTION("""COMPUTED_VALUE"""),250.0)</f>
        <v>250</v>
      </c>
      <c r="J1166" s="223" t="str">
        <f>IFERROR(__xludf.DUMMYFUNCTION("""COMPUTED_VALUE"""),"Monthly")</f>
        <v>Monthly</v>
      </c>
      <c r="K1166" s="317">
        <f>IFERROR(__xludf.DUMMYFUNCTION("""COMPUTED_VALUE"""),2021.12)</f>
        <v>2021.12</v>
      </c>
      <c r="L1166" s="298"/>
      <c r="M1166" s="223"/>
      <c r="N1166" s="223"/>
      <c r="O1166" s="223"/>
      <c r="P1166" s="223"/>
      <c r="Q1166" s="223"/>
      <c r="R1166" s="223"/>
      <c r="S1166" s="223"/>
      <c r="T1166" s="223"/>
      <c r="U1166" s="223"/>
      <c r="V1166" s="223"/>
      <c r="W1166" s="223"/>
      <c r="X1166" s="223"/>
      <c r="Y1166" s="223"/>
      <c r="Z1166" s="223"/>
    </row>
    <row r="1167">
      <c r="A1167" s="223" t="str">
        <f>IFERROR(__xludf.DUMMYFUNCTION("""COMPUTED_VALUE"""),"PlusROI : Marketing")</f>
        <v>PlusROI : Marketing</v>
      </c>
      <c r="B1167" s="223" t="str">
        <f>IFERROR(__xludf.DUMMYFUNCTION("""COMPUTED_VALUE"""),"PlusROI")</f>
        <v>PlusROI</v>
      </c>
      <c r="C1167" s="223" t="str">
        <f>IFERROR(__xludf.DUMMYFUNCTION("""COMPUTED_VALUE"""),"Marketing")</f>
        <v>Marketing</v>
      </c>
      <c r="D1167" s="316">
        <f>IFERROR(__xludf.DUMMYFUNCTION("""COMPUTED_VALUE"""),44561.0)</f>
        <v>44561</v>
      </c>
      <c r="E1167" s="298"/>
      <c r="F1167" s="298"/>
      <c r="G1167" s="298"/>
      <c r="H1167" s="223"/>
      <c r="I1167" s="298">
        <f>IFERROR(__xludf.DUMMYFUNCTION("""COMPUTED_VALUE"""),100.0)</f>
        <v>100</v>
      </c>
      <c r="J1167" s="223" t="str">
        <f>IFERROR(__xludf.DUMMYFUNCTION("""COMPUTED_VALUE"""),"Hourly")</f>
        <v>Hourly</v>
      </c>
      <c r="K1167" s="317">
        <f>IFERROR(__xludf.DUMMYFUNCTION("""COMPUTED_VALUE"""),2021.0)</f>
        <v>2021</v>
      </c>
      <c r="L1167" s="298"/>
      <c r="M1167" s="223"/>
      <c r="N1167" s="223"/>
      <c r="O1167" s="223"/>
      <c r="P1167" s="223"/>
      <c r="Q1167" s="223"/>
      <c r="R1167" s="223"/>
      <c r="S1167" s="223"/>
      <c r="T1167" s="223"/>
      <c r="U1167" s="223"/>
      <c r="V1167" s="223"/>
      <c r="W1167" s="223"/>
      <c r="X1167" s="223"/>
      <c r="Y1167" s="223"/>
      <c r="Z1167" s="223"/>
    </row>
    <row r="1168">
      <c r="A1168" s="223" t="str">
        <f>IFERROR(__xludf.DUMMYFUNCTION("""COMPUTED_VALUE"""),"Frank &amp; Ellis : Online Presence Review + PPC Setup")</f>
        <v>Frank &amp; Ellis : Online Presence Review + PPC Setup</v>
      </c>
      <c r="B1168" s="223" t="str">
        <f>IFERROR(__xludf.DUMMYFUNCTION("""COMPUTED_VALUE"""),"Frank &amp; Ellis")</f>
        <v>Frank &amp; Ellis</v>
      </c>
      <c r="C1168" s="223" t="str">
        <f>IFERROR(__xludf.DUMMYFUNCTION("""COMPUTED_VALUE"""),"Online Presence Review + PPC Setup")</f>
        <v>Online Presence Review + PPC Setup</v>
      </c>
      <c r="D1168" s="316">
        <f>IFERROR(__xludf.DUMMYFUNCTION("""COMPUTED_VALUE"""),44561.0)</f>
        <v>44561</v>
      </c>
      <c r="E1168" s="298"/>
      <c r="F1168" s="298"/>
      <c r="G1168" s="298"/>
      <c r="H1168" s="223"/>
      <c r="I1168" s="298">
        <f>IFERROR(__xludf.DUMMYFUNCTION("""COMPUTED_VALUE"""),137.5)</f>
        <v>137.5</v>
      </c>
      <c r="J1168" s="223" t="str">
        <f>IFERROR(__xludf.DUMMYFUNCTION("""COMPUTED_VALUE"""),"Fixed Project")</f>
        <v>Fixed Project</v>
      </c>
      <c r="K1168" s="317">
        <f>IFERROR(__xludf.DUMMYFUNCTION("""COMPUTED_VALUE"""),2021.0)</f>
        <v>2021</v>
      </c>
      <c r="L1168" s="298"/>
      <c r="M1168" s="223"/>
      <c r="N1168" s="223"/>
      <c r="O1168" s="223"/>
      <c r="P1168" s="223"/>
      <c r="Q1168" s="223"/>
      <c r="R1168" s="223"/>
      <c r="S1168" s="223"/>
      <c r="T1168" s="223"/>
      <c r="U1168" s="223"/>
      <c r="V1168" s="223"/>
      <c r="W1168" s="223"/>
      <c r="X1168" s="223"/>
      <c r="Y1168" s="223"/>
      <c r="Z1168" s="223"/>
    </row>
    <row r="1169">
      <c r="A1169" s="223" t="str">
        <f>IFERROR(__xludf.DUMMYFUNCTION("""COMPUTED_VALUE"""),"Monk : Monthly Services")</f>
        <v>Monk : Monthly Services</v>
      </c>
      <c r="B1169" s="223" t="str">
        <f>IFERROR(__xludf.DUMMYFUNCTION("""COMPUTED_VALUE"""),"Monk")</f>
        <v>Monk</v>
      </c>
      <c r="C1169" s="223" t="str">
        <f>IFERROR(__xludf.DUMMYFUNCTION("""COMPUTED_VALUE"""),"Monthly Services")</f>
        <v>Monthly Services</v>
      </c>
      <c r="D1169" s="316">
        <f>IFERROR(__xludf.DUMMYFUNCTION("""COMPUTED_VALUE"""),44561.0)</f>
        <v>44561</v>
      </c>
      <c r="E1169" s="298"/>
      <c r="F1169" s="298"/>
      <c r="G1169" s="298"/>
      <c r="H1169" s="223"/>
      <c r="I1169" s="298">
        <f>IFERROR(__xludf.DUMMYFUNCTION("""COMPUTED_VALUE"""),250.0)</f>
        <v>250</v>
      </c>
      <c r="J1169" s="223" t="str">
        <f>IFERROR(__xludf.DUMMYFUNCTION("""COMPUTED_VALUE"""),"Monthly")</f>
        <v>Monthly</v>
      </c>
      <c r="K1169" s="317">
        <f>IFERROR(__xludf.DUMMYFUNCTION("""COMPUTED_VALUE"""),2021.12)</f>
        <v>2021.12</v>
      </c>
      <c r="L1169" s="298"/>
      <c r="M1169" s="223"/>
      <c r="N1169" s="223"/>
      <c r="O1169" s="223"/>
      <c r="P1169" s="223"/>
      <c r="Q1169" s="223"/>
      <c r="R1169" s="223"/>
      <c r="S1169" s="223"/>
      <c r="T1169" s="223"/>
      <c r="U1169" s="223"/>
      <c r="V1169" s="223"/>
      <c r="W1169" s="223"/>
      <c r="X1169" s="223"/>
      <c r="Y1169" s="223"/>
      <c r="Z1169" s="223"/>
    </row>
    <row r="1170">
      <c r="A1170" s="223" t="str">
        <f>IFERROR(__xludf.DUMMYFUNCTION("""COMPUTED_VALUE"""),"PlusROI : Marketing")</f>
        <v>PlusROI : Marketing</v>
      </c>
      <c r="B1170" s="223" t="str">
        <f>IFERROR(__xludf.DUMMYFUNCTION("""COMPUTED_VALUE"""),"PlusROI")</f>
        <v>PlusROI</v>
      </c>
      <c r="C1170" s="223" t="str">
        <f>IFERROR(__xludf.DUMMYFUNCTION("""COMPUTED_VALUE"""),"Marketing")</f>
        <v>Marketing</v>
      </c>
      <c r="D1170" s="316">
        <f>IFERROR(__xludf.DUMMYFUNCTION("""COMPUTED_VALUE"""),44561.0)</f>
        <v>44561</v>
      </c>
      <c r="E1170" s="298"/>
      <c r="F1170" s="298"/>
      <c r="G1170" s="298"/>
      <c r="H1170" s="223"/>
      <c r="I1170" s="298">
        <f>IFERROR(__xludf.DUMMYFUNCTION("""COMPUTED_VALUE"""),62.5)</f>
        <v>62.5</v>
      </c>
      <c r="J1170" s="223" t="str">
        <f>IFERROR(__xludf.DUMMYFUNCTION("""COMPUTED_VALUE"""),"Hourly")</f>
        <v>Hourly</v>
      </c>
      <c r="K1170" s="317">
        <f>IFERROR(__xludf.DUMMYFUNCTION("""COMPUTED_VALUE"""),2021.0)</f>
        <v>2021</v>
      </c>
      <c r="L1170" s="298"/>
      <c r="M1170" s="223"/>
      <c r="N1170" s="223"/>
      <c r="O1170" s="223"/>
      <c r="P1170" s="223"/>
      <c r="Q1170" s="223"/>
      <c r="R1170" s="223"/>
      <c r="S1170" s="223"/>
      <c r="T1170" s="223"/>
      <c r="U1170" s="223"/>
      <c r="V1170" s="223"/>
      <c r="W1170" s="223"/>
      <c r="X1170" s="223"/>
      <c r="Y1170" s="223"/>
      <c r="Z1170" s="223"/>
    </row>
    <row r="1171">
      <c r="A1171" s="223" t="str">
        <f>IFERROR(__xludf.DUMMYFUNCTION("""COMPUTED_VALUE"""),"Tuscany : Monthly Services")</f>
        <v>Tuscany : Monthly Services</v>
      </c>
      <c r="B1171" s="223" t="str">
        <f>IFERROR(__xludf.DUMMYFUNCTION("""COMPUTED_VALUE"""),"Tuscany")</f>
        <v>Tuscany</v>
      </c>
      <c r="C1171" s="223" t="str">
        <f>IFERROR(__xludf.DUMMYFUNCTION("""COMPUTED_VALUE"""),"Monthly Services")</f>
        <v>Monthly Services</v>
      </c>
      <c r="D1171" s="316">
        <f>IFERROR(__xludf.DUMMYFUNCTION("""COMPUTED_VALUE"""),44561.0)</f>
        <v>44561</v>
      </c>
      <c r="E1171" s="298"/>
      <c r="F1171" s="298"/>
      <c r="G1171" s="298"/>
      <c r="H1171" s="223"/>
      <c r="I1171" s="298">
        <f>IFERROR(__xludf.DUMMYFUNCTION("""COMPUTED_VALUE"""),662.5)</f>
        <v>662.5</v>
      </c>
      <c r="J1171" s="223" t="str">
        <f>IFERROR(__xludf.DUMMYFUNCTION("""COMPUTED_VALUE"""),"Monthly")</f>
        <v>Monthly</v>
      </c>
      <c r="K1171" s="317">
        <f>IFERROR(__xludf.DUMMYFUNCTION("""COMPUTED_VALUE"""),2021.12)</f>
        <v>2021.12</v>
      </c>
      <c r="L1171" s="298"/>
      <c r="M1171" s="223"/>
      <c r="N1171" s="223"/>
      <c r="O1171" s="223"/>
      <c r="P1171" s="223"/>
      <c r="Q1171" s="223"/>
      <c r="R1171" s="223"/>
      <c r="S1171" s="223"/>
      <c r="T1171" s="223"/>
      <c r="U1171" s="223"/>
      <c r="V1171" s="223"/>
      <c r="W1171" s="223"/>
      <c r="X1171" s="223"/>
      <c r="Y1171" s="223"/>
      <c r="Z1171" s="223"/>
    </row>
    <row r="1172">
      <c r="A1172" s="223" t="str">
        <f>IFERROR(__xludf.DUMMYFUNCTION("""COMPUTED_VALUE"""),"Venetian : Monthly Services")</f>
        <v>Venetian : Monthly Services</v>
      </c>
      <c r="B1172" s="223" t="str">
        <f>IFERROR(__xludf.DUMMYFUNCTION("""COMPUTED_VALUE"""),"Venetian")</f>
        <v>Venetian</v>
      </c>
      <c r="C1172" s="223" t="str">
        <f>IFERROR(__xludf.DUMMYFUNCTION("""COMPUTED_VALUE"""),"Monthly Services")</f>
        <v>Monthly Services</v>
      </c>
      <c r="D1172" s="316">
        <f>IFERROR(__xludf.DUMMYFUNCTION("""COMPUTED_VALUE"""),44561.0)</f>
        <v>44561</v>
      </c>
      <c r="E1172" s="298"/>
      <c r="F1172" s="298"/>
      <c r="G1172" s="298"/>
      <c r="H1172" s="223"/>
      <c r="I1172" s="298">
        <f>IFERROR(__xludf.DUMMYFUNCTION("""COMPUTED_VALUE"""),662.5)</f>
        <v>662.5</v>
      </c>
      <c r="J1172" s="223" t="str">
        <f>IFERROR(__xludf.DUMMYFUNCTION("""COMPUTED_VALUE"""),"Monthly")</f>
        <v>Monthly</v>
      </c>
      <c r="K1172" s="317">
        <f>IFERROR(__xludf.DUMMYFUNCTION("""COMPUTED_VALUE"""),2021.12)</f>
        <v>2021.12</v>
      </c>
      <c r="L1172" s="298"/>
      <c r="M1172" s="223"/>
      <c r="N1172" s="223"/>
      <c r="O1172" s="223"/>
      <c r="P1172" s="223"/>
      <c r="Q1172" s="223"/>
      <c r="R1172" s="223"/>
      <c r="S1172" s="223"/>
      <c r="T1172" s="223"/>
      <c r="U1172" s="223"/>
      <c r="V1172" s="223"/>
      <c r="W1172" s="223"/>
      <c r="X1172" s="223"/>
      <c r="Y1172" s="223"/>
      <c r="Z1172" s="223"/>
    </row>
    <row r="1173">
      <c r="A1173" s="223" t="str">
        <f>IFERROR(__xludf.DUMMYFUNCTION("""COMPUTED_VALUE"""),"Spraggs : Monthly Services")</f>
        <v>Spraggs : Monthly Services</v>
      </c>
      <c r="B1173" s="223" t="str">
        <f>IFERROR(__xludf.DUMMYFUNCTION("""COMPUTED_VALUE"""),"Spraggs")</f>
        <v>Spraggs</v>
      </c>
      <c r="C1173" s="223" t="str">
        <f>IFERROR(__xludf.DUMMYFUNCTION("""COMPUTED_VALUE"""),"Monthly Services")</f>
        <v>Monthly Services</v>
      </c>
      <c r="D1173" s="316">
        <f>IFERROR(__xludf.DUMMYFUNCTION("""COMPUTED_VALUE"""),44561.0)</f>
        <v>44561</v>
      </c>
      <c r="E1173" s="298"/>
      <c r="F1173" s="298"/>
      <c r="G1173" s="298"/>
      <c r="H1173" s="223"/>
      <c r="I1173" s="298">
        <f>IFERROR(__xludf.DUMMYFUNCTION("""COMPUTED_VALUE"""),350.0)</f>
        <v>350</v>
      </c>
      <c r="J1173" s="223" t="str">
        <f>IFERROR(__xludf.DUMMYFUNCTION("""COMPUTED_VALUE"""),"Monthly")</f>
        <v>Monthly</v>
      </c>
      <c r="K1173" s="317">
        <f>IFERROR(__xludf.DUMMYFUNCTION("""COMPUTED_VALUE"""),2021.12)</f>
        <v>2021.12</v>
      </c>
      <c r="L1173" s="298"/>
      <c r="M1173" s="223"/>
      <c r="N1173" s="223"/>
      <c r="O1173" s="223"/>
      <c r="P1173" s="223"/>
      <c r="Q1173" s="223"/>
      <c r="R1173" s="223"/>
      <c r="S1173" s="223"/>
      <c r="T1173" s="223"/>
      <c r="U1173" s="223"/>
      <c r="V1173" s="223"/>
      <c r="W1173" s="223"/>
      <c r="X1173" s="223"/>
      <c r="Y1173" s="223"/>
      <c r="Z1173" s="223"/>
    </row>
    <row r="1174">
      <c r="A1174" s="223" t="str">
        <f>IFERROR(__xludf.DUMMYFUNCTION("""COMPUTED_VALUE"""),"Diversified Health : Monthly Services")</f>
        <v>Diversified Health : Monthly Services</v>
      </c>
      <c r="B1174" s="223" t="str">
        <f>IFERROR(__xludf.DUMMYFUNCTION("""COMPUTED_VALUE"""),"Diversified Health")</f>
        <v>Diversified Health</v>
      </c>
      <c r="C1174" s="223" t="str">
        <f>IFERROR(__xludf.DUMMYFUNCTION("""COMPUTED_VALUE"""),"Monthly Services")</f>
        <v>Monthly Services</v>
      </c>
      <c r="D1174" s="316">
        <f>IFERROR(__xludf.DUMMYFUNCTION("""COMPUTED_VALUE"""),44561.0)</f>
        <v>44561</v>
      </c>
      <c r="E1174" s="298"/>
      <c r="F1174" s="298"/>
      <c r="G1174" s="298"/>
      <c r="H1174" s="223"/>
      <c r="I1174" s="298">
        <f>IFERROR(__xludf.DUMMYFUNCTION("""COMPUTED_VALUE"""),475.0)</f>
        <v>475</v>
      </c>
      <c r="J1174" s="223" t="str">
        <f>IFERROR(__xludf.DUMMYFUNCTION("""COMPUTED_VALUE"""),"Monthly")</f>
        <v>Monthly</v>
      </c>
      <c r="K1174" s="317">
        <f>IFERROR(__xludf.DUMMYFUNCTION("""COMPUTED_VALUE"""),2021.12)</f>
        <v>2021.12</v>
      </c>
      <c r="L1174" s="298"/>
      <c r="M1174" s="223"/>
      <c r="N1174" s="223"/>
      <c r="O1174" s="223"/>
      <c r="P1174" s="223"/>
      <c r="Q1174" s="223"/>
      <c r="R1174" s="223"/>
      <c r="S1174" s="223"/>
      <c r="T1174" s="223"/>
      <c r="U1174" s="223"/>
      <c r="V1174" s="223"/>
      <c r="W1174" s="223"/>
      <c r="X1174" s="223"/>
      <c r="Y1174" s="223"/>
      <c r="Z1174" s="223"/>
    </row>
    <row r="1175">
      <c r="A1175" s="223" t="str">
        <f>IFERROR(__xludf.DUMMYFUNCTION("""COMPUTED_VALUE"""),"TisBest : Monthly Services")</f>
        <v>TisBest : Monthly Services</v>
      </c>
      <c r="B1175" s="223" t="str">
        <f>IFERROR(__xludf.DUMMYFUNCTION("""COMPUTED_VALUE"""),"TisBest")</f>
        <v>TisBest</v>
      </c>
      <c r="C1175" s="223" t="str">
        <f>IFERROR(__xludf.DUMMYFUNCTION("""COMPUTED_VALUE"""),"Monthly Services")</f>
        <v>Monthly Services</v>
      </c>
      <c r="D1175" s="316">
        <f>IFERROR(__xludf.DUMMYFUNCTION("""COMPUTED_VALUE"""),44561.0)</f>
        <v>44561</v>
      </c>
      <c r="E1175" s="298"/>
      <c r="F1175" s="298"/>
      <c r="G1175" s="298"/>
      <c r="H1175" s="223"/>
      <c r="I1175" s="298">
        <f>IFERROR(__xludf.DUMMYFUNCTION("""COMPUTED_VALUE"""),1287.5)</f>
        <v>1287.5</v>
      </c>
      <c r="J1175" s="223" t="str">
        <f>IFERROR(__xludf.DUMMYFUNCTION("""COMPUTED_VALUE"""),"Monthly")</f>
        <v>Monthly</v>
      </c>
      <c r="K1175" s="317">
        <f>IFERROR(__xludf.DUMMYFUNCTION("""COMPUTED_VALUE"""),2021.12)</f>
        <v>2021.12</v>
      </c>
      <c r="L1175" s="298"/>
      <c r="M1175" s="223"/>
      <c r="N1175" s="223"/>
      <c r="O1175" s="223"/>
      <c r="P1175" s="223"/>
      <c r="Q1175" s="223"/>
      <c r="R1175" s="223"/>
      <c r="S1175" s="223"/>
      <c r="T1175" s="223"/>
      <c r="U1175" s="223"/>
      <c r="V1175" s="223"/>
      <c r="W1175" s="223"/>
      <c r="X1175" s="223"/>
      <c r="Y1175" s="223"/>
      <c r="Z1175" s="223"/>
    </row>
    <row r="1176">
      <c r="A1176" s="223" t="str">
        <f>IFERROR(__xludf.DUMMYFUNCTION("""COMPUTED_VALUE"""),"Tofino Resort + Marina : Monthly Services")</f>
        <v>Tofino Resort + Marina : Monthly Services</v>
      </c>
      <c r="B1176" s="223" t="str">
        <f>IFERROR(__xludf.DUMMYFUNCTION("""COMPUTED_VALUE"""),"Tofino Resort + Marina")</f>
        <v>Tofino Resort + Marina</v>
      </c>
      <c r="C1176" s="223" t="str">
        <f>IFERROR(__xludf.DUMMYFUNCTION("""COMPUTED_VALUE"""),"Monthly Services")</f>
        <v>Monthly Services</v>
      </c>
      <c r="D1176" s="316">
        <f>IFERROR(__xludf.DUMMYFUNCTION("""COMPUTED_VALUE"""),44561.0)</f>
        <v>44561</v>
      </c>
      <c r="E1176" s="298"/>
      <c r="F1176" s="298"/>
      <c r="G1176" s="298"/>
      <c r="H1176" s="223"/>
      <c r="I1176" s="298">
        <f>IFERROR(__xludf.DUMMYFUNCTION("""COMPUTED_VALUE"""),400.0)</f>
        <v>400</v>
      </c>
      <c r="J1176" s="223" t="str">
        <f>IFERROR(__xludf.DUMMYFUNCTION("""COMPUTED_VALUE"""),"Monthly")</f>
        <v>Monthly</v>
      </c>
      <c r="K1176" s="317">
        <f>IFERROR(__xludf.DUMMYFUNCTION("""COMPUTED_VALUE"""),2021.12)</f>
        <v>2021.12</v>
      </c>
      <c r="L1176" s="298"/>
      <c r="M1176" s="223"/>
      <c r="N1176" s="223"/>
      <c r="O1176" s="223"/>
      <c r="P1176" s="223"/>
      <c r="Q1176" s="223"/>
      <c r="R1176" s="223"/>
      <c r="S1176" s="223"/>
      <c r="T1176" s="223"/>
      <c r="U1176" s="223"/>
      <c r="V1176" s="223"/>
      <c r="W1176" s="223"/>
      <c r="X1176" s="223"/>
      <c r="Y1176" s="223"/>
      <c r="Z1176" s="223"/>
    </row>
    <row r="1177">
      <c r="A1177" s="223" t="str">
        <f>IFERROR(__xludf.DUMMYFUNCTION("""COMPUTED_VALUE"""),"BookKing (Pacific Tier) : Monthly Services")</f>
        <v>BookKing (Pacific Tier) : Monthly Services</v>
      </c>
      <c r="B1177" s="223" t="str">
        <f>IFERROR(__xludf.DUMMYFUNCTION("""COMPUTED_VALUE"""),"BookKing (Pacific Tier)")</f>
        <v>BookKing (Pacific Tier)</v>
      </c>
      <c r="C1177" s="223" t="str">
        <f>IFERROR(__xludf.DUMMYFUNCTION("""COMPUTED_VALUE"""),"Monthly Services")</f>
        <v>Monthly Services</v>
      </c>
      <c r="D1177" s="316">
        <f>IFERROR(__xludf.DUMMYFUNCTION("""COMPUTED_VALUE"""),44561.0)</f>
        <v>44561</v>
      </c>
      <c r="E1177" s="298"/>
      <c r="F1177" s="298"/>
      <c r="G1177" s="298"/>
      <c r="H1177" s="223"/>
      <c r="I1177" s="298">
        <f>IFERROR(__xludf.DUMMYFUNCTION("""COMPUTED_VALUE"""),75.0)</f>
        <v>75</v>
      </c>
      <c r="J1177" s="223" t="str">
        <f>IFERROR(__xludf.DUMMYFUNCTION("""COMPUTED_VALUE"""),"Monthly")</f>
        <v>Monthly</v>
      </c>
      <c r="K1177" s="317">
        <f>IFERROR(__xludf.DUMMYFUNCTION("""COMPUTED_VALUE"""),2021.12)</f>
        <v>2021.12</v>
      </c>
      <c r="L1177" s="298"/>
      <c r="M1177" s="223"/>
      <c r="N1177" s="223"/>
      <c r="O1177" s="223"/>
      <c r="P1177" s="223"/>
      <c r="Q1177" s="223"/>
      <c r="R1177" s="223"/>
      <c r="S1177" s="223"/>
      <c r="T1177" s="223"/>
      <c r="U1177" s="223"/>
      <c r="V1177" s="223"/>
      <c r="W1177" s="223"/>
      <c r="X1177" s="223"/>
      <c r="Y1177" s="223"/>
      <c r="Z1177" s="223"/>
    </row>
    <row r="1178">
      <c r="A1178" s="223" t="str">
        <f>IFERROR(__xludf.DUMMYFUNCTION("""COMPUTED_VALUE"""),"Spraggs : Monthly Services")</f>
        <v>Spraggs : Monthly Services</v>
      </c>
      <c r="B1178" s="223" t="str">
        <f>IFERROR(__xludf.DUMMYFUNCTION("""COMPUTED_VALUE"""),"Spraggs")</f>
        <v>Spraggs</v>
      </c>
      <c r="C1178" s="223" t="str">
        <f>IFERROR(__xludf.DUMMYFUNCTION("""COMPUTED_VALUE"""),"Monthly Services")</f>
        <v>Monthly Services</v>
      </c>
      <c r="D1178" s="316">
        <f>IFERROR(__xludf.DUMMYFUNCTION("""COMPUTED_VALUE"""),44561.0)</f>
        <v>44561</v>
      </c>
      <c r="E1178" s="298"/>
      <c r="F1178" s="298"/>
      <c r="G1178" s="298"/>
      <c r="H1178" s="223"/>
      <c r="I1178" s="298">
        <f>IFERROR(__xludf.DUMMYFUNCTION("""COMPUTED_VALUE"""),575.0)</f>
        <v>575</v>
      </c>
      <c r="J1178" s="223" t="str">
        <f>IFERROR(__xludf.DUMMYFUNCTION("""COMPUTED_VALUE"""),"Monthly")</f>
        <v>Monthly</v>
      </c>
      <c r="K1178" s="317">
        <f>IFERROR(__xludf.DUMMYFUNCTION("""COMPUTED_VALUE"""),2021.12)</f>
        <v>2021.12</v>
      </c>
      <c r="L1178" s="298"/>
      <c r="M1178" s="223"/>
      <c r="N1178" s="223"/>
      <c r="O1178" s="223"/>
      <c r="P1178" s="223"/>
      <c r="Q1178" s="223"/>
      <c r="R1178" s="223"/>
      <c r="S1178" s="223"/>
      <c r="T1178" s="223"/>
      <c r="U1178" s="223"/>
      <c r="V1178" s="223"/>
      <c r="W1178" s="223"/>
      <c r="X1178" s="223"/>
      <c r="Y1178" s="223"/>
      <c r="Z1178" s="223"/>
    </row>
    <row r="1179">
      <c r="A1179" s="223" t="str">
        <f>IFERROR(__xludf.DUMMYFUNCTION("""COMPUTED_VALUE"""),"MortgagePal : Monthly Services")</f>
        <v>MortgagePal : Monthly Services</v>
      </c>
      <c r="B1179" s="223" t="str">
        <f>IFERROR(__xludf.DUMMYFUNCTION("""COMPUTED_VALUE"""),"MortgagePal")</f>
        <v>MortgagePal</v>
      </c>
      <c r="C1179" s="223" t="str">
        <f>IFERROR(__xludf.DUMMYFUNCTION("""COMPUTED_VALUE"""),"Monthly Services")</f>
        <v>Monthly Services</v>
      </c>
      <c r="D1179" s="316">
        <f>IFERROR(__xludf.DUMMYFUNCTION("""COMPUTED_VALUE"""),44561.0)</f>
        <v>44561</v>
      </c>
      <c r="E1179" s="298"/>
      <c r="F1179" s="298"/>
      <c r="G1179" s="298"/>
      <c r="H1179" s="223"/>
      <c r="I1179" s="298">
        <f>IFERROR(__xludf.DUMMYFUNCTION("""COMPUTED_VALUE"""),45.0)</f>
        <v>45</v>
      </c>
      <c r="J1179" s="223" t="str">
        <f>IFERROR(__xludf.DUMMYFUNCTION("""COMPUTED_VALUE"""),"Monthly")</f>
        <v>Monthly</v>
      </c>
      <c r="K1179" s="317">
        <f>IFERROR(__xludf.DUMMYFUNCTION("""COMPUTED_VALUE"""),2021.12)</f>
        <v>2021.12</v>
      </c>
      <c r="L1179" s="298"/>
      <c r="M1179" s="223"/>
      <c r="N1179" s="223"/>
      <c r="O1179" s="223"/>
      <c r="P1179" s="223"/>
      <c r="Q1179" s="223"/>
      <c r="R1179" s="223"/>
      <c r="S1179" s="223"/>
      <c r="T1179" s="223"/>
      <c r="U1179" s="223"/>
      <c r="V1179" s="223"/>
      <c r="W1179" s="223"/>
      <c r="X1179" s="223"/>
      <c r="Y1179" s="223"/>
      <c r="Z1179" s="223"/>
    </row>
    <row r="1180">
      <c r="A1180" s="223" t="str">
        <f>IFERROR(__xludf.DUMMYFUNCTION("""COMPUTED_VALUE"""),"Olivia Shoppe : Monthly Services")</f>
        <v>Olivia Shoppe : Monthly Services</v>
      </c>
      <c r="B1180" s="223" t="str">
        <f>IFERROR(__xludf.DUMMYFUNCTION("""COMPUTED_VALUE"""),"Olivia Shoppe")</f>
        <v>Olivia Shoppe</v>
      </c>
      <c r="C1180" s="223" t="str">
        <f>IFERROR(__xludf.DUMMYFUNCTION("""COMPUTED_VALUE"""),"Monthly Services")</f>
        <v>Monthly Services</v>
      </c>
      <c r="D1180" s="316">
        <f>IFERROR(__xludf.DUMMYFUNCTION("""COMPUTED_VALUE"""),44561.0)</f>
        <v>44561</v>
      </c>
      <c r="E1180" s="298"/>
      <c r="F1180" s="298"/>
      <c r="G1180" s="298"/>
      <c r="H1180" s="223"/>
      <c r="I1180" s="298">
        <f>IFERROR(__xludf.DUMMYFUNCTION("""COMPUTED_VALUE"""),310.0)</f>
        <v>310</v>
      </c>
      <c r="J1180" s="223" t="str">
        <f>IFERROR(__xludf.DUMMYFUNCTION("""COMPUTED_VALUE"""),"Monthly")</f>
        <v>Monthly</v>
      </c>
      <c r="K1180" s="317">
        <f>IFERROR(__xludf.DUMMYFUNCTION("""COMPUTED_VALUE"""),2021.12)</f>
        <v>2021.12</v>
      </c>
      <c r="L1180" s="298"/>
      <c r="M1180" s="223"/>
      <c r="N1180" s="223"/>
      <c r="O1180" s="223"/>
      <c r="P1180" s="223"/>
      <c r="Q1180" s="223"/>
      <c r="R1180" s="223"/>
      <c r="S1180" s="223"/>
      <c r="T1180" s="223"/>
      <c r="U1180" s="223"/>
      <c r="V1180" s="223"/>
      <c r="W1180" s="223"/>
      <c r="X1180" s="223"/>
      <c r="Y1180" s="223"/>
      <c r="Z1180" s="223"/>
    </row>
    <row r="1181">
      <c r="A1181" s="223" t="str">
        <f>IFERROR(__xludf.DUMMYFUNCTION("""COMPUTED_VALUE"""),"Tires Easy : Monthly Services for Tires-Easy.com")</f>
        <v>Tires Easy : Monthly Services for Tires-Easy.com</v>
      </c>
      <c r="B1181" s="223" t="str">
        <f>IFERROR(__xludf.DUMMYFUNCTION("""COMPUTED_VALUE"""),"Tires Easy")</f>
        <v>Tires Easy</v>
      </c>
      <c r="C1181" s="223" t="str">
        <f>IFERROR(__xludf.DUMMYFUNCTION("""COMPUTED_VALUE"""),"Monthly Services for Tires-Easy.com")</f>
        <v>Monthly Services for Tires-Easy.com</v>
      </c>
      <c r="D1181" s="316">
        <f>IFERROR(__xludf.DUMMYFUNCTION("""COMPUTED_VALUE"""),44561.0)</f>
        <v>44561</v>
      </c>
      <c r="E1181" s="298"/>
      <c r="F1181" s="298"/>
      <c r="G1181" s="298"/>
      <c r="H1181" s="223"/>
      <c r="I1181" s="298">
        <f>IFERROR(__xludf.DUMMYFUNCTION("""COMPUTED_VALUE"""),180.0)</f>
        <v>180</v>
      </c>
      <c r="J1181" s="223" t="str">
        <f>IFERROR(__xludf.DUMMYFUNCTION("""COMPUTED_VALUE"""),"Monthly")</f>
        <v>Monthly</v>
      </c>
      <c r="K1181" s="317">
        <f>IFERROR(__xludf.DUMMYFUNCTION("""COMPUTED_VALUE"""),2021.12)</f>
        <v>2021.12</v>
      </c>
      <c r="L1181" s="298"/>
      <c r="M1181" s="223"/>
      <c r="N1181" s="223"/>
      <c r="O1181" s="223"/>
      <c r="P1181" s="223"/>
      <c r="Q1181" s="223"/>
      <c r="R1181" s="223"/>
      <c r="S1181" s="223"/>
      <c r="T1181" s="223"/>
      <c r="U1181" s="223"/>
      <c r="V1181" s="223"/>
      <c r="W1181" s="223"/>
      <c r="X1181" s="223"/>
      <c r="Y1181" s="223"/>
      <c r="Z1181" s="223"/>
    </row>
    <row r="1182">
      <c r="A1182" s="223" t="str">
        <f>IFERROR(__xludf.DUMMYFUNCTION("""COMPUTED_VALUE"""),"Giga Tires : Monthly Services")</f>
        <v>Giga Tires : Monthly Services</v>
      </c>
      <c r="B1182" s="223" t="str">
        <f>IFERROR(__xludf.DUMMYFUNCTION("""COMPUTED_VALUE"""),"Giga Tires")</f>
        <v>Giga Tires</v>
      </c>
      <c r="C1182" s="223" t="str">
        <f>IFERROR(__xludf.DUMMYFUNCTION("""COMPUTED_VALUE"""),"Monthly Services")</f>
        <v>Monthly Services</v>
      </c>
      <c r="D1182" s="316">
        <f>IFERROR(__xludf.DUMMYFUNCTION("""COMPUTED_VALUE"""),44561.0)</f>
        <v>44561</v>
      </c>
      <c r="E1182" s="298"/>
      <c r="F1182" s="298"/>
      <c r="G1182" s="298"/>
      <c r="H1182" s="223"/>
      <c r="I1182" s="298">
        <f>IFERROR(__xludf.DUMMYFUNCTION("""COMPUTED_VALUE"""),180.0)</f>
        <v>180</v>
      </c>
      <c r="J1182" s="223" t="str">
        <f>IFERROR(__xludf.DUMMYFUNCTION("""COMPUTED_VALUE"""),"Monthly")</f>
        <v>Monthly</v>
      </c>
      <c r="K1182" s="317">
        <f>IFERROR(__xludf.DUMMYFUNCTION("""COMPUTED_VALUE"""),2021.12)</f>
        <v>2021.12</v>
      </c>
      <c r="L1182" s="298"/>
      <c r="M1182" s="223"/>
      <c r="N1182" s="223"/>
      <c r="O1182" s="223"/>
      <c r="P1182" s="223"/>
      <c r="Q1182" s="223"/>
      <c r="R1182" s="223"/>
      <c r="S1182" s="223"/>
      <c r="T1182" s="223"/>
      <c r="U1182" s="223"/>
      <c r="V1182" s="223"/>
      <c r="W1182" s="223"/>
      <c r="X1182" s="223"/>
      <c r="Y1182" s="223"/>
      <c r="Z1182" s="223"/>
    </row>
    <row r="1183">
      <c r="A1183" s="223" t="str">
        <f>IFERROR(__xludf.DUMMYFUNCTION("""COMPUTED_VALUE"""),"Service First : Monthly Services")</f>
        <v>Service First : Monthly Services</v>
      </c>
      <c r="B1183" s="223" t="str">
        <f>IFERROR(__xludf.DUMMYFUNCTION("""COMPUTED_VALUE"""),"Service First")</f>
        <v>Service First</v>
      </c>
      <c r="C1183" s="223" t="str">
        <f>IFERROR(__xludf.DUMMYFUNCTION("""COMPUTED_VALUE"""),"Monthly Services")</f>
        <v>Monthly Services</v>
      </c>
      <c r="D1183" s="316">
        <f>IFERROR(__xludf.DUMMYFUNCTION("""COMPUTED_VALUE"""),44561.0)</f>
        <v>44561</v>
      </c>
      <c r="E1183" s="298"/>
      <c r="F1183" s="298"/>
      <c r="G1183" s="298"/>
      <c r="H1183" s="223"/>
      <c r="I1183" s="298">
        <f>IFERROR(__xludf.DUMMYFUNCTION("""COMPUTED_VALUE"""),30.0)</f>
        <v>30</v>
      </c>
      <c r="J1183" s="223" t="str">
        <f>IFERROR(__xludf.DUMMYFUNCTION("""COMPUTED_VALUE"""),"Monthly")</f>
        <v>Monthly</v>
      </c>
      <c r="K1183" s="317">
        <f>IFERROR(__xludf.DUMMYFUNCTION("""COMPUTED_VALUE"""),2021.12)</f>
        <v>2021.12</v>
      </c>
      <c r="L1183" s="298"/>
      <c r="M1183" s="223"/>
      <c r="N1183" s="223"/>
      <c r="O1183" s="223"/>
      <c r="P1183" s="223"/>
      <c r="Q1183" s="223"/>
      <c r="R1183" s="223"/>
      <c r="S1183" s="223"/>
      <c r="T1183" s="223"/>
      <c r="U1183" s="223"/>
      <c r="V1183" s="223"/>
      <c r="W1183" s="223"/>
      <c r="X1183" s="223"/>
      <c r="Y1183" s="223"/>
      <c r="Z1183" s="223"/>
    </row>
    <row r="1184">
      <c r="A1184" s="223" t="str">
        <f>IFERROR(__xludf.DUMMYFUNCTION("""COMPUTED_VALUE"""),"HSJ Lawyers : Monthly Services")</f>
        <v>HSJ Lawyers : Monthly Services</v>
      </c>
      <c r="B1184" s="223" t="str">
        <f>IFERROR(__xludf.DUMMYFUNCTION("""COMPUTED_VALUE"""),"HSJ Lawyers")</f>
        <v>HSJ Lawyers</v>
      </c>
      <c r="C1184" s="223" t="str">
        <f>IFERROR(__xludf.DUMMYFUNCTION("""COMPUTED_VALUE"""),"Monthly Services")</f>
        <v>Monthly Services</v>
      </c>
      <c r="D1184" s="316">
        <f>IFERROR(__xludf.DUMMYFUNCTION("""COMPUTED_VALUE"""),44561.0)</f>
        <v>44561</v>
      </c>
      <c r="E1184" s="298"/>
      <c r="F1184" s="298"/>
      <c r="G1184" s="298"/>
      <c r="H1184" s="223"/>
      <c r="I1184" s="298">
        <f>IFERROR(__xludf.DUMMYFUNCTION("""COMPUTED_VALUE"""),300.0)</f>
        <v>300</v>
      </c>
      <c r="J1184" s="223" t="str">
        <f>IFERROR(__xludf.DUMMYFUNCTION("""COMPUTED_VALUE"""),"Monthly")</f>
        <v>Monthly</v>
      </c>
      <c r="K1184" s="317">
        <f>IFERROR(__xludf.DUMMYFUNCTION("""COMPUTED_VALUE"""),2021.12)</f>
        <v>2021.12</v>
      </c>
      <c r="L1184" s="298"/>
      <c r="M1184" s="223"/>
      <c r="N1184" s="223"/>
      <c r="O1184" s="223"/>
      <c r="P1184" s="223"/>
      <c r="Q1184" s="223"/>
      <c r="R1184" s="223"/>
      <c r="S1184" s="223"/>
      <c r="T1184" s="223"/>
      <c r="U1184" s="223"/>
      <c r="V1184" s="223"/>
      <c r="W1184" s="223"/>
      <c r="X1184" s="223"/>
      <c r="Y1184" s="223"/>
      <c r="Z1184" s="223"/>
    </row>
    <row r="1185">
      <c r="A1185" s="223" t="str">
        <f>IFERROR(__xludf.DUMMYFUNCTION("""COMPUTED_VALUE"""),"Booginhead : Monthly Services")</f>
        <v>Booginhead : Monthly Services</v>
      </c>
      <c r="B1185" s="223" t="str">
        <f>IFERROR(__xludf.DUMMYFUNCTION("""COMPUTED_VALUE"""),"Booginhead")</f>
        <v>Booginhead</v>
      </c>
      <c r="C1185" s="223" t="str">
        <f>IFERROR(__xludf.DUMMYFUNCTION("""COMPUTED_VALUE"""),"Monthly Services")</f>
        <v>Monthly Services</v>
      </c>
      <c r="D1185" s="316">
        <f>IFERROR(__xludf.DUMMYFUNCTION("""COMPUTED_VALUE"""),44561.0)</f>
        <v>44561</v>
      </c>
      <c r="E1185" s="298"/>
      <c r="F1185" s="298"/>
      <c r="G1185" s="298"/>
      <c r="H1185" s="223"/>
      <c r="I1185" s="298">
        <f>IFERROR(__xludf.DUMMYFUNCTION("""COMPUTED_VALUE"""),495.0)</f>
        <v>495</v>
      </c>
      <c r="J1185" s="223" t="str">
        <f>IFERROR(__xludf.DUMMYFUNCTION("""COMPUTED_VALUE"""),"Monthly")</f>
        <v>Monthly</v>
      </c>
      <c r="K1185" s="317">
        <f>IFERROR(__xludf.DUMMYFUNCTION("""COMPUTED_VALUE"""),2021.12)</f>
        <v>2021.12</v>
      </c>
      <c r="L1185" s="298"/>
      <c r="M1185" s="223"/>
      <c r="N1185" s="223"/>
      <c r="O1185" s="223"/>
      <c r="P1185" s="223"/>
      <c r="Q1185" s="223"/>
      <c r="R1185" s="223"/>
      <c r="S1185" s="223"/>
      <c r="T1185" s="223"/>
      <c r="U1185" s="223"/>
      <c r="V1185" s="223"/>
      <c r="W1185" s="223"/>
      <c r="X1185" s="223"/>
      <c r="Y1185" s="223"/>
      <c r="Z1185" s="223"/>
    </row>
    <row r="1186">
      <c r="A1186" s="223" t="str">
        <f>IFERROR(__xludf.DUMMYFUNCTION("""COMPUTED_VALUE"""),"Arazy Group : Monthly Services")</f>
        <v>Arazy Group : Monthly Services</v>
      </c>
      <c r="B1186" s="223" t="str">
        <f>IFERROR(__xludf.DUMMYFUNCTION("""COMPUTED_VALUE"""),"Arazy Group")</f>
        <v>Arazy Group</v>
      </c>
      <c r="C1186" s="223" t="str">
        <f>IFERROR(__xludf.DUMMYFUNCTION("""COMPUTED_VALUE"""),"Monthly Services")</f>
        <v>Monthly Services</v>
      </c>
      <c r="D1186" s="316">
        <f>IFERROR(__xludf.DUMMYFUNCTION("""COMPUTED_VALUE"""),44561.0)</f>
        <v>44561</v>
      </c>
      <c r="E1186" s="298"/>
      <c r="F1186" s="298"/>
      <c r="G1186" s="298"/>
      <c r="H1186" s="223"/>
      <c r="I1186" s="298">
        <f>IFERROR(__xludf.DUMMYFUNCTION("""COMPUTED_VALUE"""),297.5)</f>
        <v>297.5</v>
      </c>
      <c r="J1186" s="223" t="str">
        <f>IFERROR(__xludf.DUMMYFUNCTION("""COMPUTED_VALUE"""),"Monthly")</f>
        <v>Monthly</v>
      </c>
      <c r="K1186" s="317">
        <f>IFERROR(__xludf.DUMMYFUNCTION("""COMPUTED_VALUE"""),2021.12)</f>
        <v>2021.12</v>
      </c>
      <c r="L1186" s="298"/>
      <c r="M1186" s="223"/>
      <c r="N1186" s="223"/>
      <c r="O1186" s="223"/>
      <c r="P1186" s="223"/>
      <c r="Q1186" s="223"/>
      <c r="R1186" s="223"/>
      <c r="S1186" s="223"/>
      <c r="T1186" s="223"/>
      <c r="U1186" s="223"/>
      <c r="V1186" s="223"/>
      <c r="W1186" s="223"/>
      <c r="X1186" s="223"/>
      <c r="Y1186" s="223"/>
      <c r="Z1186" s="223"/>
    </row>
    <row r="1187">
      <c r="A1187" s="223" t="str">
        <f>IFERROR(__xludf.DUMMYFUNCTION("""COMPUTED_VALUE"""),"Hastings House : Monthly Services")</f>
        <v>Hastings House : Monthly Services</v>
      </c>
      <c r="B1187" s="223" t="str">
        <f>IFERROR(__xludf.DUMMYFUNCTION("""COMPUTED_VALUE"""),"Hastings House")</f>
        <v>Hastings House</v>
      </c>
      <c r="C1187" s="223" t="str">
        <f>IFERROR(__xludf.DUMMYFUNCTION("""COMPUTED_VALUE"""),"Monthly Services")</f>
        <v>Monthly Services</v>
      </c>
      <c r="D1187" s="316">
        <f>IFERROR(__xludf.DUMMYFUNCTION("""COMPUTED_VALUE"""),44561.0)</f>
        <v>44561</v>
      </c>
      <c r="E1187" s="298"/>
      <c r="F1187" s="298"/>
      <c r="G1187" s="298"/>
      <c r="H1187" s="223"/>
      <c r="I1187" s="298">
        <f>IFERROR(__xludf.DUMMYFUNCTION("""COMPUTED_VALUE"""),322.5)</f>
        <v>322.5</v>
      </c>
      <c r="J1187" s="223" t="str">
        <f>IFERROR(__xludf.DUMMYFUNCTION("""COMPUTED_VALUE"""),"Monthly")</f>
        <v>Monthly</v>
      </c>
      <c r="K1187" s="317">
        <f>IFERROR(__xludf.DUMMYFUNCTION("""COMPUTED_VALUE"""),2021.12)</f>
        <v>2021.12</v>
      </c>
      <c r="L1187" s="298"/>
      <c r="M1187" s="223"/>
      <c r="N1187" s="223"/>
      <c r="O1187" s="223"/>
      <c r="P1187" s="223"/>
      <c r="Q1187" s="223"/>
      <c r="R1187" s="223"/>
      <c r="S1187" s="223"/>
      <c r="T1187" s="223"/>
      <c r="U1187" s="223"/>
      <c r="V1187" s="223"/>
      <c r="W1187" s="223"/>
      <c r="X1187" s="223"/>
      <c r="Y1187" s="223"/>
      <c r="Z1187" s="223"/>
    </row>
    <row r="1188">
      <c r="A1188" s="223" t="str">
        <f>IFERROR(__xludf.DUMMYFUNCTION("""COMPUTED_VALUE"""),"Bratopia : Monthly Services")</f>
        <v>Bratopia : Monthly Services</v>
      </c>
      <c r="B1188" s="223" t="str">
        <f>IFERROR(__xludf.DUMMYFUNCTION("""COMPUTED_VALUE"""),"Bratopia")</f>
        <v>Bratopia</v>
      </c>
      <c r="C1188" s="223" t="str">
        <f>IFERROR(__xludf.DUMMYFUNCTION("""COMPUTED_VALUE"""),"Monthly Services")</f>
        <v>Monthly Services</v>
      </c>
      <c r="D1188" s="316">
        <f>IFERROR(__xludf.DUMMYFUNCTION("""COMPUTED_VALUE"""),44561.0)</f>
        <v>44561</v>
      </c>
      <c r="E1188" s="298"/>
      <c r="F1188" s="298"/>
      <c r="G1188" s="298"/>
      <c r="H1188" s="223"/>
      <c r="I1188" s="298">
        <f>IFERROR(__xludf.DUMMYFUNCTION("""COMPUTED_VALUE"""),400.0)</f>
        <v>400</v>
      </c>
      <c r="J1188" s="223" t="str">
        <f>IFERROR(__xludf.DUMMYFUNCTION("""COMPUTED_VALUE"""),"Monthly")</f>
        <v>Monthly</v>
      </c>
      <c r="K1188" s="317">
        <f>IFERROR(__xludf.DUMMYFUNCTION("""COMPUTED_VALUE"""),2021.12)</f>
        <v>2021.12</v>
      </c>
      <c r="L1188" s="298"/>
      <c r="M1188" s="223"/>
      <c r="N1188" s="223"/>
      <c r="O1188" s="223"/>
      <c r="P1188" s="223"/>
      <c r="Q1188" s="223"/>
      <c r="R1188" s="223"/>
      <c r="S1188" s="223"/>
      <c r="T1188" s="223"/>
      <c r="U1188" s="223"/>
      <c r="V1188" s="223"/>
      <c r="W1188" s="223"/>
      <c r="X1188" s="223"/>
      <c r="Y1188" s="223"/>
      <c r="Z1188" s="223"/>
    </row>
    <row r="1189">
      <c r="A1189" s="223" t="str">
        <f>IFERROR(__xludf.DUMMYFUNCTION("""COMPUTED_VALUE"""),"TisBest : Monthly Services")</f>
        <v>TisBest : Monthly Services</v>
      </c>
      <c r="B1189" s="223" t="str">
        <f>IFERROR(__xludf.DUMMYFUNCTION("""COMPUTED_VALUE"""),"TisBest")</f>
        <v>TisBest</v>
      </c>
      <c r="C1189" s="223" t="str">
        <f>IFERROR(__xludf.DUMMYFUNCTION("""COMPUTED_VALUE"""),"Monthly Services")</f>
        <v>Monthly Services</v>
      </c>
      <c r="D1189" s="316">
        <f>IFERROR(__xludf.DUMMYFUNCTION("""COMPUTED_VALUE"""),44561.0)</f>
        <v>44561</v>
      </c>
      <c r="E1189" s="298"/>
      <c r="F1189" s="298"/>
      <c r="G1189" s="298"/>
      <c r="H1189" s="223"/>
      <c r="I1189" s="298">
        <f>IFERROR(__xludf.DUMMYFUNCTION("""COMPUTED_VALUE"""),700.0)</f>
        <v>700</v>
      </c>
      <c r="J1189" s="223" t="str">
        <f>IFERROR(__xludf.DUMMYFUNCTION("""COMPUTED_VALUE"""),"Monthly")</f>
        <v>Monthly</v>
      </c>
      <c r="K1189" s="317">
        <f>IFERROR(__xludf.DUMMYFUNCTION("""COMPUTED_VALUE"""),2021.12)</f>
        <v>2021.12</v>
      </c>
      <c r="L1189" s="298"/>
      <c r="M1189" s="223"/>
      <c r="N1189" s="223"/>
      <c r="O1189" s="223"/>
      <c r="P1189" s="223"/>
      <c r="Q1189" s="223"/>
      <c r="R1189" s="223"/>
      <c r="S1189" s="223"/>
      <c r="T1189" s="223"/>
      <c r="U1189" s="223"/>
      <c r="V1189" s="223"/>
      <c r="W1189" s="223"/>
      <c r="X1189" s="223"/>
      <c r="Y1189" s="223"/>
      <c r="Z1189" s="223"/>
    </row>
    <row r="1190">
      <c r="A1190" s="223" t="str">
        <f>IFERROR(__xludf.DUMMYFUNCTION("""COMPUTED_VALUE"""),"Wallack's Art Supplies : Monthly Services")</f>
        <v>Wallack's Art Supplies : Monthly Services</v>
      </c>
      <c r="B1190" s="223" t="str">
        <f>IFERROR(__xludf.DUMMYFUNCTION("""COMPUTED_VALUE"""),"Wallack's Art Supplies")</f>
        <v>Wallack's Art Supplies</v>
      </c>
      <c r="C1190" s="223" t="str">
        <f>IFERROR(__xludf.DUMMYFUNCTION("""COMPUTED_VALUE"""),"Monthly Services")</f>
        <v>Monthly Services</v>
      </c>
      <c r="D1190" s="316">
        <f>IFERROR(__xludf.DUMMYFUNCTION("""COMPUTED_VALUE"""),44561.0)</f>
        <v>44561</v>
      </c>
      <c r="E1190" s="298"/>
      <c r="F1190" s="298"/>
      <c r="G1190" s="298"/>
      <c r="H1190" s="223"/>
      <c r="I1190" s="298">
        <f>IFERROR(__xludf.DUMMYFUNCTION("""COMPUTED_VALUE"""),60.0)</f>
        <v>60</v>
      </c>
      <c r="J1190" s="223" t="str">
        <f>IFERROR(__xludf.DUMMYFUNCTION("""COMPUTED_VALUE"""),"Monthly")</f>
        <v>Monthly</v>
      </c>
      <c r="K1190" s="317">
        <f>IFERROR(__xludf.DUMMYFUNCTION("""COMPUTED_VALUE"""),2021.12)</f>
        <v>2021.12</v>
      </c>
      <c r="L1190" s="298"/>
      <c r="M1190" s="223"/>
      <c r="N1190" s="223"/>
      <c r="O1190" s="223"/>
      <c r="P1190" s="223"/>
      <c r="Q1190" s="223"/>
      <c r="R1190" s="223"/>
      <c r="S1190" s="223"/>
      <c r="T1190" s="223"/>
      <c r="U1190" s="223"/>
      <c r="V1190" s="223"/>
      <c r="W1190" s="223"/>
      <c r="X1190" s="223"/>
      <c r="Y1190" s="223"/>
      <c r="Z1190" s="223"/>
    </row>
    <row r="1191">
      <c r="A1191" s="223" t="str">
        <f>IFERROR(__xludf.DUMMYFUNCTION("""COMPUTED_VALUE"""),"PMDI : Monthly Services")</f>
        <v>PMDI : Monthly Services</v>
      </c>
      <c r="B1191" s="223" t="str">
        <f>IFERROR(__xludf.DUMMYFUNCTION("""COMPUTED_VALUE"""),"PMDI")</f>
        <v>PMDI</v>
      </c>
      <c r="C1191" s="223" t="str">
        <f>IFERROR(__xludf.DUMMYFUNCTION("""COMPUTED_VALUE"""),"Monthly Services")</f>
        <v>Monthly Services</v>
      </c>
      <c r="D1191" s="316">
        <f>IFERROR(__xludf.DUMMYFUNCTION("""COMPUTED_VALUE"""),44561.0)</f>
        <v>44561</v>
      </c>
      <c r="E1191" s="298"/>
      <c r="F1191" s="298"/>
      <c r="G1191" s="298"/>
      <c r="H1191" s="223"/>
      <c r="I1191" s="298">
        <f>IFERROR(__xludf.DUMMYFUNCTION("""COMPUTED_VALUE"""),167.5)</f>
        <v>167.5</v>
      </c>
      <c r="J1191" s="223" t="str">
        <f>IFERROR(__xludf.DUMMYFUNCTION("""COMPUTED_VALUE"""),"Monthly")</f>
        <v>Monthly</v>
      </c>
      <c r="K1191" s="317">
        <f>IFERROR(__xludf.DUMMYFUNCTION("""COMPUTED_VALUE"""),2021.12)</f>
        <v>2021.12</v>
      </c>
      <c r="L1191" s="298"/>
      <c r="M1191" s="223"/>
      <c r="N1191" s="223"/>
      <c r="O1191" s="223"/>
      <c r="P1191" s="223"/>
      <c r="Q1191" s="223"/>
      <c r="R1191" s="223"/>
      <c r="S1191" s="223"/>
      <c r="T1191" s="223"/>
      <c r="U1191" s="223"/>
      <c r="V1191" s="223"/>
      <c r="W1191" s="223"/>
      <c r="X1191" s="223"/>
      <c r="Y1191" s="223"/>
      <c r="Z1191" s="223"/>
    </row>
    <row r="1192">
      <c r="A1192" s="223" t="str">
        <f>IFERROR(__xludf.DUMMYFUNCTION("""COMPUTED_VALUE"""),"Tofino Resort + Marina : Monthly Services")</f>
        <v>Tofino Resort + Marina : Monthly Services</v>
      </c>
      <c r="B1192" s="223" t="str">
        <f>IFERROR(__xludf.DUMMYFUNCTION("""COMPUTED_VALUE"""),"Tofino Resort + Marina")</f>
        <v>Tofino Resort + Marina</v>
      </c>
      <c r="C1192" s="223" t="str">
        <f>IFERROR(__xludf.DUMMYFUNCTION("""COMPUTED_VALUE"""),"Monthly Services")</f>
        <v>Monthly Services</v>
      </c>
      <c r="D1192" s="316">
        <f>IFERROR(__xludf.DUMMYFUNCTION("""COMPUTED_VALUE"""),44561.0)</f>
        <v>44561</v>
      </c>
      <c r="E1192" s="298"/>
      <c r="F1192" s="298"/>
      <c r="G1192" s="298"/>
      <c r="H1192" s="223"/>
      <c r="I1192" s="298">
        <f>IFERROR(__xludf.DUMMYFUNCTION("""COMPUTED_VALUE"""),350.0)</f>
        <v>350</v>
      </c>
      <c r="J1192" s="223" t="str">
        <f>IFERROR(__xludf.DUMMYFUNCTION("""COMPUTED_VALUE"""),"Monthly")</f>
        <v>Monthly</v>
      </c>
      <c r="K1192" s="317">
        <f>IFERROR(__xludf.DUMMYFUNCTION("""COMPUTED_VALUE"""),2021.12)</f>
        <v>2021.12</v>
      </c>
      <c r="L1192" s="298"/>
      <c r="M1192" s="223"/>
      <c r="N1192" s="223"/>
      <c r="O1192" s="223"/>
      <c r="P1192" s="223"/>
      <c r="Q1192" s="223"/>
      <c r="R1192" s="223"/>
      <c r="S1192" s="223"/>
      <c r="T1192" s="223"/>
      <c r="U1192" s="223"/>
      <c r="V1192" s="223"/>
      <c r="W1192" s="223"/>
      <c r="X1192" s="223"/>
      <c r="Y1192" s="223"/>
      <c r="Z1192" s="223"/>
    </row>
    <row r="1193">
      <c r="A1193" s="223" t="str">
        <f>IFERROR(__xludf.DUMMYFUNCTION("""COMPUTED_VALUE"""),"UnityWest Capital : Scryb 3 Month PPC")</f>
        <v>UnityWest Capital : Scryb 3 Month PPC</v>
      </c>
      <c r="B1193" s="223" t="str">
        <f>IFERROR(__xludf.DUMMYFUNCTION("""COMPUTED_VALUE"""),"UnityWest Capital")</f>
        <v>UnityWest Capital</v>
      </c>
      <c r="C1193" s="223" t="str">
        <f>IFERROR(__xludf.DUMMYFUNCTION("""COMPUTED_VALUE"""),"Scryb 3 Month PPC")</f>
        <v>Scryb 3 Month PPC</v>
      </c>
      <c r="D1193" s="316">
        <f>IFERROR(__xludf.DUMMYFUNCTION("""COMPUTED_VALUE"""),44561.0)</f>
        <v>44561</v>
      </c>
      <c r="E1193" s="298"/>
      <c r="F1193" s="298"/>
      <c r="G1193" s="298"/>
      <c r="H1193" s="223"/>
      <c r="I1193" s="298">
        <f>IFERROR(__xludf.DUMMYFUNCTION("""COMPUTED_VALUE"""),750.0)</f>
        <v>750</v>
      </c>
      <c r="J1193" s="223" t="str">
        <f>IFERROR(__xludf.DUMMYFUNCTION("""COMPUTED_VALUE"""),"Fixed Project")</f>
        <v>Fixed Project</v>
      </c>
      <c r="K1193" s="317">
        <f>IFERROR(__xludf.DUMMYFUNCTION("""COMPUTED_VALUE"""),2021.0)</f>
        <v>2021</v>
      </c>
      <c r="L1193" s="298"/>
      <c r="M1193" s="223"/>
      <c r="N1193" s="223"/>
      <c r="O1193" s="223"/>
      <c r="P1193" s="223"/>
      <c r="Q1193" s="223"/>
      <c r="R1193" s="223"/>
      <c r="S1193" s="223"/>
      <c r="T1193" s="223"/>
      <c r="U1193" s="223"/>
      <c r="V1193" s="223"/>
      <c r="W1193" s="223"/>
      <c r="X1193" s="223"/>
      <c r="Y1193" s="223"/>
      <c r="Z1193" s="223"/>
    </row>
    <row r="1194">
      <c r="A1194" s="223" t="str">
        <f>IFERROR(__xludf.DUMMYFUNCTION("""COMPUTED_VALUE"""),"New Growth Ecommerce Inc : Monthly Services")</f>
        <v>New Growth Ecommerce Inc : Monthly Services</v>
      </c>
      <c r="B1194" s="223" t="str">
        <f>IFERROR(__xludf.DUMMYFUNCTION("""COMPUTED_VALUE"""),"New Growth Ecommerce Inc")</f>
        <v>New Growth Ecommerce Inc</v>
      </c>
      <c r="C1194" s="223" t="str">
        <f>IFERROR(__xludf.DUMMYFUNCTION("""COMPUTED_VALUE"""),"Monthly Services")</f>
        <v>Monthly Services</v>
      </c>
      <c r="D1194" s="316">
        <f>IFERROR(__xludf.DUMMYFUNCTION("""COMPUTED_VALUE"""),44561.0)</f>
        <v>44561</v>
      </c>
      <c r="E1194" s="298"/>
      <c r="F1194" s="298"/>
      <c r="G1194" s="298"/>
      <c r="H1194" s="223"/>
      <c r="I1194" s="298">
        <f>IFERROR(__xludf.DUMMYFUNCTION("""COMPUTED_VALUE"""),50.0)</f>
        <v>50</v>
      </c>
      <c r="J1194" s="223" t="str">
        <f>IFERROR(__xludf.DUMMYFUNCTION("""COMPUTED_VALUE"""),"Monthly")</f>
        <v>Monthly</v>
      </c>
      <c r="K1194" s="317">
        <f>IFERROR(__xludf.DUMMYFUNCTION("""COMPUTED_VALUE"""),2021.12)</f>
        <v>2021.12</v>
      </c>
      <c r="L1194" s="298"/>
      <c r="M1194" s="223"/>
      <c r="N1194" s="223"/>
      <c r="O1194" s="223"/>
      <c r="P1194" s="223"/>
      <c r="Q1194" s="223"/>
      <c r="R1194" s="223"/>
      <c r="S1194" s="223"/>
      <c r="T1194" s="223"/>
      <c r="U1194" s="223"/>
      <c r="V1194" s="223"/>
      <c r="W1194" s="223"/>
      <c r="X1194" s="223"/>
      <c r="Y1194" s="223"/>
      <c r="Z1194" s="223"/>
    </row>
    <row r="1195">
      <c r="A1195" s="223" t="str">
        <f>IFERROR(__xludf.DUMMYFUNCTION("""COMPUTED_VALUE"""),"Community Financials : Monthly Services")</f>
        <v>Community Financials : Monthly Services</v>
      </c>
      <c r="B1195" s="223" t="str">
        <f>IFERROR(__xludf.DUMMYFUNCTION("""COMPUTED_VALUE"""),"Community Financials")</f>
        <v>Community Financials</v>
      </c>
      <c r="C1195" s="223" t="str">
        <f>IFERROR(__xludf.DUMMYFUNCTION("""COMPUTED_VALUE"""),"Monthly Services")</f>
        <v>Monthly Services</v>
      </c>
      <c r="D1195" s="316">
        <f>IFERROR(__xludf.DUMMYFUNCTION("""COMPUTED_VALUE"""),44561.0)</f>
        <v>44561</v>
      </c>
      <c r="E1195" s="298"/>
      <c r="F1195" s="298"/>
      <c r="G1195" s="298"/>
      <c r="H1195" s="223"/>
      <c r="I1195" s="298">
        <f>IFERROR(__xludf.DUMMYFUNCTION("""COMPUTED_VALUE"""),387.5)</f>
        <v>387.5</v>
      </c>
      <c r="J1195" s="223" t="str">
        <f>IFERROR(__xludf.DUMMYFUNCTION("""COMPUTED_VALUE"""),"Monthly")</f>
        <v>Monthly</v>
      </c>
      <c r="K1195" s="317">
        <f>IFERROR(__xludf.DUMMYFUNCTION("""COMPUTED_VALUE"""),2021.12)</f>
        <v>2021.12</v>
      </c>
      <c r="L1195" s="298"/>
      <c r="M1195" s="223"/>
      <c r="N1195" s="223"/>
      <c r="O1195" s="223"/>
      <c r="P1195" s="223"/>
      <c r="Q1195" s="223"/>
      <c r="R1195" s="223"/>
      <c r="S1195" s="223"/>
      <c r="T1195" s="223"/>
      <c r="U1195" s="223"/>
      <c r="V1195" s="223"/>
      <c r="W1195" s="223"/>
      <c r="X1195" s="223"/>
      <c r="Y1195" s="223"/>
      <c r="Z1195" s="223"/>
    </row>
    <row r="1196">
      <c r="A1196" s="223" t="str">
        <f>IFERROR(__xludf.DUMMYFUNCTION("""COMPUTED_VALUE"""),"Bratopia : Monthly Services")</f>
        <v>Bratopia : Monthly Services</v>
      </c>
      <c r="B1196" s="223" t="str">
        <f>IFERROR(__xludf.DUMMYFUNCTION("""COMPUTED_VALUE"""),"Bratopia")</f>
        <v>Bratopia</v>
      </c>
      <c r="C1196" s="223" t="str">
        <f>IFERROR(__xludf.DUMMYFUNCTION("""COMPUTED_VALUE"""),"Monthly Services")</f>
        <v>Monthly Services</v>
      </c>
      <c r="D1196" s="316">
        <f>IFERROR(__xludf.DUMMYFUNCTION("""COMPUTED_VALUE"""),44561.0)</f>
        <v>44561</v>
      </c>
      <c r="E1196" s="298"/>
      <c r="F1196" s="298"/>
      <c r="G1196" s="298"/>
      <c r="H1196" s="223"/>
      <c r="I1196" s="298">
        <f>IFERROR(__xludf.DUMMYFUNCTION("""COMPUTED_VALUE"""),250.0)</f>
        <v>250</v>
      </c>
      <c r="J1196" s="223" t="str">
        <f>IFERROR(__xludf.DUMMYFUNCTION("""COMPUTED_VALUE"""),"Monthly")</f>
        <v>Monthly</v>
      </c>
      <c r="K1196" s="317">
        <f>IFERROR(__xludf.DUMMYFUNCTION("""COMPUTED_VALUE"""),2021.12)</f>
        <v>2021.12</v>
      </c>
      <c r="L1196" s="298"/>
      <c r="M1196" s="223"/>
      <c r="N1196" s="223"/>
      <c r="O1196" s="223"/>
      <c r="P1196" s="223"/>
      <c r="Q1196" s="223"/>
      <c r="R1196" s="223"/>
      <c r="S1196" s="223"/>
      <c r="T1196" s="223"/>
      <c r="U1196" s="223"/>
      <c r="V1196" s="223"/>
      <c r="W1196" s="223"/>
      <c r="X1196" s="223"/>
      <c r="Y1196" s="223"/>
      <c r="Z1196" s="223"/>
    </row>
    <row r="1197">
      <c r="A1197" s="223" t="str">
        <f>IFERROR(__xludf.DUMMYFUNCTION("""COMPUTED_VALUE"""),"Monk : Monthly Services")</f>
        <v>Monk : Monthly Services</v>
      </c>
      <c r="B1197" s="223" t="str">
        <f>IFERROR(__xludf.DUMMYFUNCTION("""COMPUTED_VALUE"""),"Monk")</f>
        <v>Monk</v>
      </c>
      <c r="C1197" s="223" t="str">
        <f>IFERROR(__xludf.DUMMYFUNCTION("""COMPUTED_VALUE"""),"Monthly Services")</f>
        <v>Monthly Services</v>
      </c>
      <c r="D1197" s="316">
        <f>IFERROR(__xludf.DUMMYFUNCTION("""COMPUTED_VALUE"""),44561.0)</f>
        <v>44561</v>
      </c>
      <c r="E1197" s="298"/>
      <c r="F1197" s="298"/>
      <c r="G1197" s="298"/>
      <c r="H1197" s="223"/>
      <c r="I1197" s="298">
        <f>IFERROR(__xludf.DUMMYFUNCTION("""COMPUTED_VALUE"""),347.5)</f>
        <v>347.5</v>
      </c>
      <c r="J1197" s="223" t="str">
        <f>IFERROR(__xludf.DUMMYFUNCTION("""COMPUTED_VALUE"""),"Monthly")</f>
        <v>Monthly</v>
      </c>
      <c r="K1197" s="317">
        <f>IFERROR(__xludf.DUMMYFUNCTION("""COMPUTED_VALUE"""),2021.12)</f>
        <v>2021.12</v>
      </c>
      <c r="L1197" s="298"/>
      <c r="M1197" s="223"/>
      <c r="N1197" s="223"/>
      <c r="O1197" s="223"/>
      <c r="P1197" s="223"/>
      <c r="Q1197" s="223"/>
      <c r="R1197" s="223"/>
      <c r="S1197" s="223"/>
      <c r="T1197" s="223"/>
      <c r="U1197" s="223"/>
      <c r="V1197" s="223"/>
      <c r="W1197" s="223"/>
      <c r="X1197" s="223"/>
      <c r="Y1197" s="223"/>
      <c r="Z1197" s="223"/>
    </row>
    <row r="1198">
      <c r="A1198" s="223" t="str">
        <f>IFERROR(__xludf.DUMMYFUNCTION("""COMPUTED_VALUE"""),"Availed Technologies : Monthly Services")</f>
        <v>Availed Technologies : Monthly Services</v>
      </c>
      <c r="B1198" s="223" t="str">
        <f>IFERROR(__xludf.DUMMYFUNCTION("""COMPUTED_VALUE"""),"Availed Technologies")</f>
        <v>Availed Technologies</v>
      </c>
      <c r="C1198" s="223" t="str">
        <f>IFERROR(__xludf.DUMMYFUNCTION("""COMPUTED_VALUE"""),"Monthly Services")</f>
        <v>Monthly Services</v>
      </c>
      <c r="D1198" s="316">
        <f>IFERROR(__xludf.DUMMYFUNCTION("""COMPUTED_VALUE"""),44561.0)</f>
        <v>44561</v>
      </c>
      <c r="E1198" s="298"/>
      <c r="F1198" s="298"/>
      <c r="G1198" s="298"/>
      <c r="H1198" s="223"/>
      <c r="I1198" s="298">
        <f>IFERROR(__xludf.DUMMYFUNCTION("""COMPUTED_VALUE"""),212.5)</f>
        <v>212.5</v>
      </c>
      <c r="J1198" s="223" t="str">
        <f>IFERROR(__xludf.DUMMYFUNCTION("""COMPUTED_VALUE"""),"Monthly")</f>
        <v>Monthly</v>
      </c>
      <c r="K1198" s="317">
        <f>IFERROR(__xludf.DUMMYFUNCTION("""COMPUTED_VALUE"""),2021.12)</f>
        <v>2021.12</v>
      </c>
      <c r="L1198" s="298"/>
      <c r="M1198" s="223"/>
      <c r="N1198" s="223"/>
      <c r="O1198" s="223"/>
      <c r="P1198" s="223"/>
      <c r="Q1198" s="223"/>
      <c r="R1198" s="223"/>
      <c r="S1198" s="223"/>
      <c r="T1198" s="223"/>
      <c r="U1198" s="223"/>
      <c r="V1198" s="223"/>
      <c r="W1198" s="223"/>
      <c r="X1198" s="223"/>
      <c r="Y1198" s="223"/>
      <c r="Z1198" s="223"/>
    </row>
    <row r="1199">
      <c r="A1199" s="223" t="str">
        <f>IFERROR(__xludf.DUMMYFUNCTION("""COMPUTED_VALUE"""),"Prime Engineering : Monthly Services")</f>
        <v>Prime Engineering : Monthly Services</v>
      </c>
      <c r="B1199" s="223" t="str">
        <f>IFERROR(__xludf.DUMMYFUNCTION("""COMPUTED_VALUE"""),"Prime Engineering")</f>
        <v>Prime Engineering</v>
      </c>
      <c r="C1199" s="223" t="str">
        <f>IFERROR(__xludf.DUMMYFUNCTION("""COMPUTED_VALUE"""),"Monthly Services")</f>
        <v>Monthly Services</v>
      </c>
      <c r="D1199" s="316">
        <f>IFERROR(__xludf.DUMMYFUNCTION("""COMPUTED_VALUE"""),44561.0)</f>
        <v>44561</v>
      </c>
      <c r="E1199" s="298"/>
      <c r="F1199" s="298"/>
      <c r="G1199" s="298"/>
      <c r="H1199" s="223"/>
      <c r="I1199" s="298">
        <f>IFERROR(__xludf.DUMMYFUNCTION("""COMPUTED_VALUE"""),225.0)</f>
        <v>225</v>
      </c>
      <c r="J1199" s="223" t="str">
        <f>IFERROR(__xludf.DUMMYFUNCTION("""COMPUTED_VALUE"""),"Monthly")</f>
        <v>Monthly</v>
      </c>
      <c r="K1199" s="317">
        <f>IFERROR(__xludf.DUMMYFUNCTION("""COMPUTED_VALUE"""),2021.12)</f>
        <v>2021.12</v>
      </c>
      <c r="L1199" s="298"/>
      <c r="M1199" s="223"/>
      <c r="N1199" s="223"/>
      <c r="O1199" s="223"/>
      <c r="P1199" s="223"/>
      <c r="Q1199" s="223"/>
      <c r="R1199" s="223"/>
      <c r="S1199" s="223"/>
      <c r="T1199" s="223"/>
      <c r="U1199" s="223"/>
      <c r="V1199" s="223"/>
      <c r="W1199" s="223"/>
      <c r="X1199" s="223"/>
      <c r="Y1199" s="223"/>
      <c r="Z1199" s="223"/>
    </row>
    <row r="1200">
      <c r="A1200" s="223" t="str">
        <f>IFERROR(__xludf.DUMMYFUNCTION("""COMPUTED_VALUE"""),"Frank &amp; Ellis : Online Presence Review + PPC Setup")</f>
        <v>Frank &amp; Ellis : Online Presence Review + PPC Setup</v>
      </c>
      <c r="B1200" s="223" t="str">
        <f>IFERROR(__xludf.DUMMYFUNCTION("""COMPUTED_VALUE"""),"Frank &amp; Ellis")</f>
        <v>Frank &amp; Ellis</v>
      </c>
      <c r="C1200" s="223" t="str">
        <f>IFERROR(__xludf.DUMMYFUNCTION("""COMPUTED_VALUE"""),"Online Presence Review + PPC Setup")</f>
        <v>Online Presence Review + PPC Setup</v>
      </c>
      <c r="D1200" s="316">
        <f>IFERROR(__xludf.DUMMYFUNCTION("""COMPUTED_VALUE"""),44561.0)</f>
        <v>44561</v>
      </c>
      <c r="E1200" s="298"/>
      <c r="F1200" s="298"/>
      <c r="G1200" s="298"/>
      <c r="H1200" s="223"/>
      <c r="I1200" s="298">
        <f>IFERROR(__xludf.DUMMYFUNCTION("""COMPUTED_VALUE"""),600.0)</f>
        <v>600</v>
      </c>
      <c r="J1200" s="223" t="str">
        <f>IFERROR(__xludf.DUMMYFUNCTION("""COMPUTED_VALUE"""),"Fixed Project")</f>
        <v>Fixed Project</v>
      </c>
      <c r="K1200" s="317">
        <f>IFERROR(__xludf.DUMMYFUNCTION("""COMPUTED_VALUE"""),2021.0)</f>
        <v>2021</v>
      </c>
      <c r="L1200" s="298"/>
      <c r="M1200" s="223"/>
      <c r="N1200" s="223"/>
      <c r="O1200" s="223"/>
      <c r="P1200" s="223"/>
      <c r="Q1200" s="223"/>
      <c r="R1200" s="223"/>
      <c r="S1200" s="223"/>
      <c r="T1200" s="223"/>
      <c r="U1200" s="223"/>
      <c r="V1200" s="223"/>
      <c r="W1200" s="223"/>
      <c r="X1200" s="223"/>
      <c r="Y1200" s="223"/>
      <c r="Z1200" s="223"/>
    </row>
    <row r="1201">
      <c r="A1201" s="223" t="str">
        <f>IFERROR(__xludf.DUMMYFUNCTION("""COMPUTED_VALUE"""),"Technology Rivers : Monthly Services")</f>
        <v>Technology Rivers : Monthly Services</v>
      </c>
      <c r="B1201" s="223" t="str">
        <f>IFERROR(__xludf.DUMMYFUNCTION("""COMPUTED_VALUE"""),"Technology Rivers")</f>
        <v>Technology Rivers</v>
      </c>
      <c r="C1201" s="223" t="str">
        <f>IFERROR(__xludf.DUMMYFUNCTION("""COMPUTED_VALUE"""),"Monthly Services")</f>
        <v>Monthly Services</v>
      </c>
      <c r="D1201" s="316">
        <f>IFERROR(__xludf.DUMMYFUNCTION("""COMPUTED_VALUE"""),44561.0)</f>
        <v>44561</v>
      </c>
      <c r="E1201" s="298"/>
      <c r="F1201" s="298"/>
      <c r="G1201" s="298"/>
      <c r="H1201" s="223"/>
      <c r="I1201" s="298">
        <f>IFERROR(__xludf.DUMMYFUNCTION("""COMPUTED_VALUE"""),225.0)</f>
        <v>225</v>
      </c>
      <c r="J1201" s="223" t="str">
        <f>IFERROR(__xludf.DUMMYFUNCTION("""COMPUTED_VALUE"""),"Monthly")</f>
        <v>Monthly</v>
      </c>
      <c r="K1201" s="317">
        <f>IFERROR(__xludf.DUMMYFUNCTION("""COMPUTED_VALUE"""),2021.12)</f>
        <v>2021.12</v>
      </c>
      <c r="L1201" s="298"/>
      <c r="M1201" s="223"/>
      <c r="N1201" s="223"/>
      <c r="O1201" s="223"/>
      <c r="P1201" s="223"/>
      <c r="Q1201" s="223"/>
      <c r="R1201" s="223"/>
      <c r="S1201" s="223"/>
      <c r="T1201" s="223"/>
      <c r="U1201" s="223"/>
      <c r="V1201" s="223"/>
      <c r="W1201" s="223"/>
      <c r="X1201" s="223"/>
      <c r="Y1201" s="223"/>
      <c r="Z1201" s="223"/>
    </row>
    <row r="1202">
      <c r="A1202" s="223" t="str">
        <f>IFERROR(__xludf.DUMMYFUNCTION("""COMPUTED_VALUE"""),"Crisp Media : Aspect Engineers Review")</f>
        <v>Crisp Media : Aspect Engineers Review</v>
      </c>
      <c r="B1202" s="223" t="str">
        <f>IFERROR(__xludf.DUMMYFUNCTION("""COMPUTED_VALUE"""),"Crisp Media")</f>
        <v>Crisp Media</v>
      </c>
      <c r="C1202" s="223" t="str">
        <f>IFERROR(__xludf.DUMMYFUNCTION("""COMPUTED_VALUE"""),"Aspect Engineers Review")</f>
        <v>Aspect Engineers Review</v>
      </c>
      <c r="D1202" s="316">
        <f>IFERROR(__xludf.DUMMYFUNCTION("""COMPUTED_VALUE"""),44561.0)</f>
        <v>44561</v>
      </c>
      <c r="E1202" s="298"/>
      <c r="F1202" s="298"/>
      <c r="G1202" s="298"/>
      <c r="H1202" s="223"/>
      <c r="I1202" s="298">
        <f>IFERROR(__xludf.DUMMYFUNCTION("""COMPUTED_VALUE"""),250.0)</f>
        <v>250</v>
      </c>
      <c r="J1202" s="223" t="str">
        <f>IFERROR(__xludf.DUMMYFUNCTION("""COMPUTED_VALUE"""),"Fixed Project")</f>
        <v>Fixed Project</v>
      </c>
      <c r="K1202" s="317">
        <f>IFERROR(__xludf.DUMMYFUNCTION("""COMPUTED_VALUE"""),2021.0)</f>
        <v>2021</v>
      </c>
      <c r="L1202" s="298"/>
      <c r="M1202" s="223"/>
      <c r="N1202" s="223"/>
      <c r="O1202" s="223"/>
      <c r="P1202" s="223"/>
      <c r="Q1202" s="223"/>
      <c r="R1202" s="223"/>
      <c r="S1202" s="223"/>
      <c r="T1202" s="223"/>
      <c r="U1202" s="223"/>
      <c r="V1202" s="223"/>
      <c r="W1202" s="223"/>
      <c r="X1202" s="223"/>
      <c r="Y1202" s="223"/>
      <c r="Z1202" s="223"/>
    </row>
    <row r="1203">
      <c r="A1203" s="223" t="str">
        <f>IFERROR(__xludf.DUMMYFUNCTION("""COMPUTED_VALUE"""),"VIATeC : Bateman Foundation")</f>
        <v>VIATeC : Bateman Foundation</v>
      </c>
      <c r="B1203" s="223" t="str">
        <f>IFERROR(__xludf.DUMMYFUNCTION("""COMPUTED_VALUE"""),"VIATeC")</f>
        <v>VIATeC</v>
      </c>
      <c r="C1203" s="223" t="str">
        <f>IFERROR(__xludf.DUMMYFUNCTION("""COMPUTED_VALUE"""),"Bateman Foundation")</f>
        <v>Bateman Foundation</v>
      </c>
      <c r="D1203" s="316">
        <f>IFERROR(__xludf.DUMMYFUNCTION("""COMPUTED_VALUE"""),44561.0)</f>
        <v>44561</v>
      </c>
      <c r="E1203" s="298"/>
      <c r="F1203" s="298"/>
      <c r="G1203" s="298"/>
      <c r="H1203" s="223"/>
      <c r="I1203" s="298">
        <f>IFERROR(__xludf.DUMMYFUNCTION("""COMPUTED_VALUE"""),400.0)</f>
        <v>400</v>
      </c>
      <c r="J1203" s="223" t="str">
        <f>IFERROR(__xludf.DUMMYFUNCTION("""COMPUTED_VALUE"""),"Fixed Project")</f>
        <v>Fixed Project</v>
      </c>
      <c r="K1203" s="317">
        <f>IFERROR(__xludf.DUMMYFUNCTION("""COMPUTED_VALUE"""),2021.0)</f>
        <v>2021</v>
      </c>
      <c r="L1203" s="298"/>
      <c r="M1203" s="223"/>
      <c r="N1203" s="223"/>
      <c r="O1203" s="223"/>
      <c r="P1203" s="223"/>
      <c r="Q1203" s="223"/>
      <c r="R1203" s="223"/>
      <c r="S1203" s="223"/>
      <c r="T1203" s="223"/>
      <c r="U1203" s="223"/>
      <c r="V1203" s="223"/>
      <c r="W1203" s="223"/>
      <c r="X1203" s="223"/>
      <c r="Y1203" s="223"/>
      <c r="Z1203" s="223"/>
    </row>
    <row r="1204">
      <c r="A1204" s="223" t="str">
        <f>IFERROR(__xludf.DUMMYFUNCTION("""COMPUTED_VALUE"""),"Spraggs : Monthly Services")</f>
        <v>Spraggs : Monthly Services</v>
      </c>
      <c r="B1204" s="223" t="str">
        <f>IFERROR(__xludf.DUMMYFUNCTION("""COMPUTED_VALUE"""),"Spraggs")</f>
        <v>Spraggs</v>
      </c>
      <c r="C1204" s="223" t="str">
        <f>IFERROR(__xludf.DUMMYFUNCTION("""COMPUTED_VALUE"""),"Monthly Services")</f>
        <v>Monthly Services</v>
      </c>
      <c r="D1204" s="316">
        <f>IFERROR(__xludf.DUMMYFUNCTION("""COMPUTED_VALUE"""),44561.0)</f>
        <v>44561</v>
      </c>
      <c r="E1204" s="298"/>
      <c r="F1204" s="298"/>
      <c r="G1204" s="298"/>
      <c r="H1204" s="223"/>
      <c r="I1204" s="298">
        <f>IFERROR(__xludf.DUMMYFUNCTION("""COMPUTED_VALUE"""),450.0)</f>
        <v>450</v>
      </c>
      <c r="J1204" s="223" t="str">
        <f>IFERROR(__xludf.DUMMYFUNCTION("""COMPUTED_VALUE"""),"Monthly")</f>
        <v>Monthly</v>
      </c>
      <c r="K1204" s="317">
        <f>IFERROR(__xludf.DUMMYFUNCTION("""COMPUTED_VALUE"""),2021.12)</f>
        <v>2021.12</v>
      </c>
      <c r="L1204" s="298"/>
      <c r="M1204" s="223"/>
      <c r="N1204" s="223"/>
      <c r="O1204" s="223"/>
      <c r="P1204" s="223"/>
      <c r="Q1204" s="223"/>
      <c r="R1204" s="223"/>
      <c r="S1204" s="223"/>
      <c r="T1204" s="223"/>
      <c r="U1204" s="223"/>
      <c r="V1204" s="223"/>
      <c r="W1204" s="223"/>
      <c r="X1204" s="223"/>
      <c r="Y1204" s="223"/>
      <c r="Z1204" s="223"/>
    </row>
    <row r="1205">
      <c r="A1205" s="223" t="str">
        <f>IFERROR(__xludf.DUMMYFUNCTION("""COMPUTED_VALUE"""),"PlusROI : Admin")</f>
        <v>PlusROI : Admin</v>
      </c>
      <c r="B1205" s="223" t="str">
        <f>IFERROR(__xludf.DUMMYFUNCTION("""COMPUTED_VALUE"""),"PlusROI")</f>
        <v>PlusROI</v>
      </c>
      <c r="C1205" s="223" t="str">
        <f>IFERROR(__xludf.DUMMYFUNCTION("""COMPUTED_VALUE"""),"Admin")</f>
        <v>Admin</v>
      </c>
      <c r="D1205" s="316">
        <f>IFERROR(__xludf.DUMMYFUNCTION("""COMPUTED_VALUE"""),44561.0)</f>
        <v>44561</v>
      </c>
      <c r="E1205" s="298"/>
      <c r="F1205" s="298"/>
      <c r="G1205" s="298"/>
      <c r="H1205" s="223"/>
      <c r="I1205" s="298">
        <f>IFERROR(__xludf.DUMMYFUNCTION("""COMPUTED_VALUE"""),112.5)</f>
        <v>112.5</v>
      </c>
      <c r="J1205" s="223" t="str">
        <f>IFERROR(__xludf.DUMMYFUNCTION("""COMPUTED_VALUE"""),"Hourly")</f>
        <v>Hourly</v>
      </c>
      <c r="K1205" s="317">
        <f>IFERROR(__xludf.DUMMYFUNCTION("""COMPUTED_VALUE"""),2021.0)</f>
        <v>2021</v>
      </c>
      <c r="L1205" s="298"/>
      <c r="M1205" s="223"/>
      <c r="N1205" s="223"/>
      <c r="O1205" s="223"/>
      <c r="P1205" s="223"/>
      <c r="Q1205" s="223"/>
      <c r="R1205" s="223"/>
      <c r="S1205" s="223"/>
      <c r="T1205" s="223"/>
      <c r="U1205" s="223"/>
      <c r="V1205" s="223"/>
      <c r="W1205" s="223"/>
      <c r="X1205" s="223"/>
      <c r="Y1205" s="223"/>
      <c r="Z1205" s="223"/>
    </row>
    <row r="1206">
      <c r="A1206" s="223" t="str">
        <f>IFERROR(__xludf.DUMMYFUNCTION("""COMPUTED_VALUE"""),"VRX : Grant Program")</f>
        <v>VRX : Grant Program</v>
      </c>
      <c r="B1206" s="223" t="str">
        <f>IFERROR(__xludf.DUMMYFUNCTION("""COMPUTED_VALUE"""),"VRX")</f>
        <v>VRX</v>
      </c>
      <c r="C1206" s="223" t="str">
        <f>IFERROR(__xludf.DUMMYFUNCTION("""COMPUTED_VALUE"""),"Grant Program")</f>
        <v>Grant Program</v>
      </c>
      <c r="D1206" s="316">
        <f>IFERROR(__xludf.DUMMYFUNCTION("""COMPUTED_VALUE"""),44531.0)</f>
        <v>44531</v>
      </c>
      <c r="E1206" s="298"/>
      <c r="F1206" s="298"/>
      <c r="G1206" s="298"/>
      <c r="H1206" s="223"/>
      <c r="I1206" s="298">
        <f>IFERROR(__xludf.DUMMYFUNCTION("""COMPUTED_VALUE"""),159.58)</f>
        <v>159.58</v>
      </c>
      <c r="J1206" s="223" t="str">
        <f>IFERROR(__xludf.DUMMYFUNCTION("""COMPUTED_VALUE"""),"Fixed Project")</f>
        <v>Fixed Project</v>
      </c>
      <c r="K1206" s="317">
        <f>IFERROR(__xludf.DUMMYFUNCTION("""COMPUTED_VALUE"""),2021.0)</f>
        <v>2021</v>
      </c>
      <c r="L1206" s="298">
        <f>IFERROR(__xludf.DUMMYFUNCTION("""COMPUTED_VALUE"""),159.58)</f>
        <v>159.58</v>
      </c>
      <c r="M1206" s="223"/>
      <c r="N1206" s="223"/>
      <c r="O1206" s="223"/>
      <c r="P1206" s="223"/>
      <c r="Q1206" s="223"/>
      <c r="R1206" s="223"/>
      <c r="S1206" s="223"/>
      <c r="T1206" s="223"/>
      <c r="U1206" s="223"/>
      <c r="V1206" s="223"/>
      <c r="W1206" s="223"/>
      <c r="X1206" s="223"/>
      <c r="Y1206" s="223"/>
      <c r="Z1206" s="223"/>
    </row>
    <row r="1207">
      <c r="A1207" s="223" t="str">
        <f>IFERROR(__xludf.DUMMYFUNCTION("""COMPUTED_VALUE"""),"PlusROI : Overhead")</f>
        <v>PlusROI : Overhead</v>
      </c>
      <c r="B1207" s="223" t="str">
        <f>IFERROR(__xludf.DUMMYFUNCTION("""COMPUTED_VALUE"""),"PlusROI")</f>
        <v>PlusROI</v>
      </c>
      <c r="C1207" s="223" t="str">
        <f>IFERROR(__xludf.DUMMYFUNCTION("""COMPUTED_VALUE"""),"Overhead")</f>
        <v>Overhead</v>
      </c>
      <c r="D1207" s="316">
        <f>IFERROR(__xludf.DUMMYFUNCTION("""COMPUTED_VALUE"""),44539.0)</f>
        <v>44539</v>
      </c>
      <c r="E1207" s="298"/>
      <c r="F1207" s="298"/>
      <c r="G1207" s="298"/>
      <c r="H1207" s="223"/>
      <c r="I1207" s="298">
        <f>IFERROR(__xludf.DUMMYFUNCTION("""COMPUTED_VALUE"""),336.35)</f>
        <v>336.35</v>
      </c>
      <c r="J1207" s="223" t="str">
        <f>IFERROR(__xludf.DUMMYFUNCTION("""COMPUTED_VALUE"""),"Hourly")</f>
        <v>Hourly</v>
      </c>
      <c r="K1207" s="317">
        <f>IFERROR(__xludf.DUMMYFUNCTION("""COMPUTED_VALUE"""),2021.0)</f>
        <v>2021</v>
      </c>
      <c r="L1207" s="298"/>
      <c r="M1207" s="223"/>
      <c r="N1207" s="223"/>
      <c r="O1207" s="223"/>
      <c r="P1207" s="223"/>
      <c r="Q1207" s="223"/>
      <c r="R1207" s="223"/>
      <c r="S1207" s="223"/>
      <c r="T1207" s="223"/>
      <c r="U1207" s="223"/>
      <c r="V1207" s="223"/>
      <c r="W1207" s="223"/>
      <c r="X1207" s="223"/>
      <c r="Y1207" s="223"/>
      <c r="Z1207" s="223"/>
    </row>
    <row r="1208">
      <c r="A1208" s="223" t="str">
        <f>IFERROR(__xludf.DUMMYFUNCTION("""COMPUTED_VALUE"""),"UnityWest Capital : Scryb 3 Month PPC")</f>
        <v>UnityWest Capital : Scryb 3 Month PPC</v>
      </c>
      <c r="B1208" s="223" t="str">
        <f>IFERROR(__xludf.DUMMYFUNCTION("""COMPUTED_VALUE"""),"UnityWest Capital")</f>
        <v>UnityWest Capital</v>
      </c>
      <c r="C1208" s="223" t="str">
        <f>IFERROR(__xludf.DUMMYFUNCTION("""COMPUTED_VALUE"""),"Scryb 3 Month PPC")</f>
        <v>Scryb 3 Month PPC</v>
      </c>
      <c r="D1208" s="316">
        <f>IFERROR(__xludf.DUMMYFUNCTION("""COMPUTED_VALUE"""),44547.0)</f>
        <v>44547</v>
      </c>
      <c r="E1208" s="298"/>
      <c r="F1208" s="298"/>
      <c r="G1208" s="298"/>
      <c r="H1208" s="223"/>
      <c r="I1208" s="298">
        <f>IFERROR(__xludf.DUMMYFUNCTION("""COMPUTED_VALUE"""),90.95)</f>
        <v>90.95</v>
      </c>
      <c r="J1208" s="223" t="str">
        <f>IFERROR(__xludf.DUMMYFUNCTION("""COMPUTED_VALUE"""),"Fixed Project")</f>
        <v>Fixed Project</v>
      </c>
      <c r="K1208" s="317">
        <f>IFERROR(__xludf.DUMMYFUNCTION("""COMPUTED_VALUE"""),2021.0)</f>
        <v>2021</v>
      </c>
      <c r="L1208" s="298"/>
      <c r="M1208" s="223"/>
      <c r="N1208" s="223"/>
      <c r="O1208" s="223"/>
      <c r="P1208" s="223"/>
      <c r="Q1208" s="223"/>
      <c r="R1208" s="223"/>
      <c r="S1208" s="223"/>
      <c r="T1208" s="223"/>
      <c r="U1208" s="223"/>
      <c r="V1208" s="223"/>
      <c r="W1208" s="223"/>
      <c r="X1208" s="223"/>
      <c r="Y1208" s="223"/>
      <c r="Z1208" s="223"/>
    </row>
    <row r="1209">
      <c r="A1209" s="223" t="str">
        <f>IFERROR(__xludf.DUMMYFUNCTION("""COMPUTED_VALUE"""),"Tuscany : Monthly Services")</f>
        <v>Tuscany : Monthly Services</v>
      </c>
      <c r="B1209" s="223" t="str">
        <f>IFERROR(__xludf.DUMMYFUNCTION("""COMPUTED_VALUE"""),"Tuscany")</f>
        <v>Tuscany</v>
      </c>
      <c r="C1209" s="223" t="str">
        <f>IFERROR(__xludf.DUMMYFUNCTION("""COMPUTED_VALUE"""),"Monthly Services")</f>
        <v>Monthly Services</v>
      </c>
      <c r="D1209" s="316">
        <f>IFERROR(__xludf.DUMMYFUNCTION("""COMPUTED_VALUE"""),44550.0)</f>
        <v>44550</v>
      </c>
      <c r="E1209" s="298"/>
      <c r="F1209" s="298"/>
      <c r="G1209" s="298"/>
      <c r="H1209" s="223"/>
      <c r="I1209" s="298">
        <f>IFERROR(__xludf.DUMMYFUNCTION("""COMPUTED_VALUE"""),750.0)</f>
        <v>750</v>
      </c>
      <c r="J1209" s="223" t="str">
        <f>IFERROR(__xludf.DUMMYFUNCTION("""COMPUTED_VALUE"""),"Monthly")</f>
        <v>Monthly</v>
      </c>
      <c r="K1209" s="317">
        <f>IFERROR(__xludf.DUMMYFUNCTION("""COMPUTED_VALUE"""),2021.12)</f>
        <v>2021.12</v>
      </c>
      <c r="L1209" s="298">
        <f>IFERROR(__xludf.DUMMYFUNCTION("""COMPUTED_VALUE"""),750.0)</f>
        <v>750</v>
      </c>
      <c r="M1209" s="223"/>
      <c r="N1209" s="223"/>
      <c r="O1209" s="223"/>
      <c r="P1209" s="223"/>
      <c r="Q1209" s="223"/>
      <c r="R1209" s="223"/>
      <c r="S1209" s="223"/>
      <c r="T1209" s="223"/>
      <c r="U1209" s="223"/>
      <c r="V1209" s="223"/>
      <c r="W1209" s="223"/>
      <c r="X1209" s="223"/>
      <c r="Y1209" s="223"/>
      <c r="Z1209" s="223"/>
    </row>
    <row r="1210">
      <c r="A1210" s="223" t="str">
        <f>IFERROR(__xludf.DUMMYFUNCTION("""COMPUTED_VALUE"""),"Venetian : Monthly Services")</f>
        <v>Venetian : Monthly Services</v>
      </c>
      <c r="B1210" s="223" t="str">
        <f>IFERROR(__xludf.DUMMYFUNCTION("""COMPUTED_VALUE"""),"Venetian")</f>
        <v>Venetian</v>
      </c>
      <c r="C1210" s="223" t="str">
        <f>IFERROR(__xludf.DUMMYFUNCTION("""COMPUTED_VALUE"""),"Monthly Services")</f>
        <v>Monthly Services</v>
      </c>
      <c r="D1210" s="316">
        <f>IFERROR(__xludf.DUMMYFUNCTION("""COMPUTED_VALUE"""),44552.0)</f>
        <v>44552</v>
      </c>
      <c r="E1210" s="298"/>
      <c r="F1210" s="298"/>
      <c r="G1210" s="298"/>
      <c r="H1210" s="223"/>
      <c r="I1210" s="298">
        <f>IFERROR(__xludf.DUMMYFUNCTION("""COMPUTED_VALUE"""),750.0)</f>
        <v>750</v>
      </c>
      <c r="J1210" s="223" t="str">
        <f>IFERROR(__xludf.DUMMYFUNCTION("""COMPUTED_VALUE"""),"Monthly")</f>
        <v>Monthly</v>
      </c>
      <c r="K1210" s="317">
        <f>IFERROR(__xludf.DUMMYFUNCTION("""COMPUTED_VALUE"""),2021.12)</f>
        <v>2021.12</v>
      </c>
      <c r="L1210" s="298">
        <f>IFERROR(__xludf.DUMMYFUNCTION("""COMPUTED_VALUE"""),750.0)</f>
        <v>750</v>
      </c>
      <c r="M1210" s="223"/>
      <c r="N1210" s="223"/>
      <c r="O1210" s="223"/>
      <c r="P1210" s="223"/>
      <c r="Q1210" s="223"/>
      <c r="R1210" s="223"/>
      <c r="S1210" s="223"/>
      <c r="T1210" s="223"/>
      <c r="U1210" s="223"/>
      <c r="V1210" s="223"/>
      <c r="W1210" s="223"/>
      <c r="X1210" s="223"/>
      <c r="Y1210" s="223"/>
      <c r="Z1210" s="223"/>
    </row>
    <row r="1211">
      <c r="A1211" s="223" t="str">
        <f>IFERROR(__xludf.DUMMYFUNCTION("""COMPUTED_VALUE"""),"Spraggs : Monthly Services")</f>
        <v>Spraggs : Monthly Services</v>
      </c>
      <c r="B1211" s="223" t="str">
        <f>IFERROR(__xludf.DUMMYFUNCTION("""COMPUTED_VALUE"""),"Spraggs")</f>
        <v>Spraggs</v>
      </c>
      <c r="C1211" s="223" t="str">
        <f>IFERROR(__xludf.DUMMYFUNCTION("""COMPUTED_VALUE"""),"Monthly Services")</f>
        <v>Monthly Services</v>
      </c>
      <c r="D1211" s="316">
        <f>IFERROR(__xludf.DUMMYFUNCTION("""COMPUTED_VALUE"""),44553.0)</f>
        <v>44553</v>
      </c>
      <c r="E1211" s="298"/>
      <c r="F1211" s="298"/>
      <c r="G1211" s="298"/>
      <c r="H1211" s="223"/>
      <c r="I1211" s="298">
        <f>IFERROR(__xludf.DUMMYFUNCTION("""COMPUTED_VALUE"""),70.0)</f>
        <v>70</v>
      </c>
      <c r="J1211" s="223" t="str">
        <f>IFERROR(__xludf.DUMMYFUNCTION("""COMPUTED_VALUE"""),"Monthly")</f>
        <v>Monthly</v>
      </c>
      <c r="K1211" s="317">
        <f>IFERROR(__xludf.DUMMYFUNCTION("""COMPUTED_VALUE"""),2021.12)</f>
        <v>2021.12</v>
      </c>
      <c r="L1211" s="298">
        <f>IFERROR(__xludf.DUMMYFUNCTION("""COMPUTED_VALUE"""),70.0)</f>
        <v>70</v>
      </c>
      <c r="M1211" s="223"/>
      <c r="N1211" s="223"/>
      <c r="O1211" s="223"/>
      <c r="P1211" s="223"/>
      <c r="Q1211" s="223"/>
      <c r="R1211" s="223"/>
      <c r="S1211" s="223"/>
      <c r="T1211" s="223"/>
      <c r="U1211" s="223"/>
      <c r="V1211" s="223"/>
      <c r="W1211" s="223"/>
      <c r="X1211" s="223"/>
      <c r="Y1211" s="223"/>
      <c r="Z1211" s="223"/>
    </row>
    <row r="1212">
      <c r="A1212" s="223" t="str">
        <f>IFERROR(__xludf.DUMMYFUNCTION("""COMPUTED_VALUE"""),"Spraggs : Monthly Services")</f>
        <v>Spraggs : Monthly Services</v>
      </c>
      <c r="B1212" s="223" t="str">
        <f>IFERROR(__xludf.DUMMYFUNCTION("""COMPUTED_VALUE"""),"Spraggs")</f>
        <v>Spraggs</v>
      </c>
      <c r="C1212" s="223" t="str">
        <f>IFERROR(__xludf.DUMMYFUNCTION("""COMPUTED_VALUE"""),"Monthly Services")</f>
        <v>Monthly Services</v>
      </c>
      <c r="D1212" s="316">
        <f>IFERROR(__xludf.DUMMYFUNCTION("""COMPUTED_VALUE"""),44555.0)</f>
        <v>44555</v>
      </c>
      <c r="E1212" s="298"/>
      <c r="F1212" s="298"/>
      <c r="G1212" s="298"/>
      <c r="H1212" s="223"/>
      <c r="I1212" s="298">
        <f>IFERROR(__xludf.DUMMYFUNCTION("""COMPUTED_VALUE"""),13.4)</f>
        <v>13.4</v>
      </c>
      <c r="J1212" s="223" t="str">
        <f>IFERROR(__xludf.DUMMYFUNCTION("""COMPUTED_VALUE"""),"Monthly")</f>
        <v>Monthly</v>
      </c>
      <c r="K1212" s="317">
        <f>IFERROR(__xludf.DUMMYFUNCTION("""COMPUTED_VALUE"""),2021.12)</f>
        <v>2021.12</v>
      </c>
      <c r="L1212" s="298">
        <f>IFERROR(__xludf.DUMMYFUNCTION("""COMPUTED_VALUE"""),13.4)</f>
        <v>13.4</v>
      </c>
      <c r="M1212" s="223"/>
      <c r="N1212" s="223"/>
      <c r="O1212" s="223"/>
      <c r="P1212" s="223"/>
      <c r="Q1212" s="223"/>
      <c r="R1212" s="223"/>
      <c r="S1212" s="223"/>
      <c r="T1212" s="223"/>
      <c r="U1212" s="223"/>
      <c r="V1212" s="223"/>
      <c r="W1212" s="223"/>
      <c r="X1212" s="223"/>
      <c r="Y1212" s="223"/>
      <c r="Z1212" s="223"/>
    </row>
    <row r="1213">
      <c r="A1213" s="223" t="str">
        <f>IFERROR(__xludf.DUMMYFUNCTION("""COMPUTED_VALUE"""),"Advisicon : Case Study Project")</f>
        <v>Advisicon : Case Study Project</v>
      </c>
      <c r="B1213" s="223" t="str">
        <f>IFERROR(__xludf.DUMMYFUNCTION("""COMPUTED_VALUE"""),"Advisicon")</f>
        <v>Advisicon</v>
      </c>
      <c r="C1213" s="223" t="str">
        <f>IFERROR(__xludf.DUMMYFUNCTION("""COMPUTED_VALUE"""),"Case Study Project")</f>
        <v>Case Study Project</v>
      </c>
      <c r="D1213" s="316">
        <f>IFERROR(__xludf.DUMMYFUNCTION("""COMPUTED_VALUE"""),44561.0)</f>
        <v>44561</v>
      </c>
      <c r="E1213" s="298"/>
      <c r="F1213" s="298"/>
      <c r="G1213" s="298"/>
      <c r="H1213" s="223"/>
      <c r="I1213" s="298">
        <f>IFERROR(__xludf.DUMMYFUNCTION("""COMPUTED_VALUE"""),684.35)</f>
        <v>684.35</v>
      </c>
      <c r="J1213" s="223" t="str">
        <f>IFERROR(__xludf.DUMMYFUNCTION("""COMPUTED_VALUE"""),"Fixed Project")</f>
        <v>Fixed Project</v>
      </c>
      <c r="K1213" s="317">
        <f>IFERROR(__xludf.DUMMYFUNCTION("""COMPUTED_VALUE"""),2021.0)</f>
        <v>2021</v>
      </c>
      <c r="L1213" s="298"/>
      <c r="M1213" s="223"/>
      <c r="N1213" s="223"/>
      <c r="O1213" s="223"/>
      <c r="P1213" s="223"/>
      <c r="Q1213" s="223"/>
      <c r="R1213" s="223"/>
      <c r="S1213" s="223"/>
      <c r="T1213" s="223"/>
      <c r="U1213" s="223"/>
      <c r="V1213" s="223"/>
      <c r="W1213" s="223"/>
      <c r="X1213" s="223"/>
      <c r="Y1213" s="223"/>
      <c r="Z1213" s="223"/>
    </row>
    <row r="1214">
      <c r="A1214" s="223" t="str">
        <f>IFERROR(__xludf.DUMMYFUNCTION("""COMPUTED_VALUE"""),"Allsalt : SEO Review")</f>
        <v>Allsalt : SEO Review</v>
      </c>
      <c r="B1214" s="223" t="str">
        <f>IFERROR(__xludf.DUMMYFUNCTION("""COMPUTED_VALUE"""),"Allsalt")</f>
        <v>Allsalt</v>
      </c>
      <c r="C1214" s="223" t="str">
        <f>IFERROR(__xludf.DUMMYFUNCTION("""COMPUTED_VALUE"""),"SEO Review")</f>
        <v>SEO Review</v>
      </c>
      <c r="D1214" s="316">
        <f>IFERROR(__xludf.DUMMYFUNCTION("""COMPUTED_VALUE"""),44561.0)</f>
        <v>44561</v>
      </c>
      <c r="E1214" s="298"/>
      <c r="F1214" s="298"/>
      <c r="G1214" s="298"/>
      <c r="H1214" s="223"/>
      <c r="I1214" s="298">
        <f>IFERROR(__xludf.DUMMYFUNCTION("""COMPUTED_VALUE"""),48.65)</f>
        <v>48.65</v>
      </c>
      <c r="J1214" s="223" t="str">
        <f>IFERROR(__xludf.DUMMYFUNCTION("""COMPUTED_VALUE"""),"Fixed Project")</f>
        <v>Fixed Project</v>
      </c>
      <c r="K1214" s="317">
        <f>IFERROR(__xludf.DUMMYFUNCTION("""COMPUTED_VALUE"""),2021.0)</f>
        <v>2021</v>
      </c>
      <c r="L1214" s="298"/>
      <c r="M1214" s="223"/>
      <c r="N1214" s="223"/>
      <c r="O1214" s="223"/>
      <c r="P1214" s="223"/>
      <c r="Q1214" s="223"/>
      <c r="R1214" s="223"/>
      <c r="S1214" s="223"/>
      <c r="T1214" s="223"/>
      <c r="U1214" s="223"/>
      <c r="V1214" s="223"/>
      <c r="W1214" s="223"/>
      <c r="X1214" s="223"/>
      <c r="Y1214" s="223"/>
      <c r="Z1214" s="223"/>
    </row>
    <row r="1215">
      <c r="A1215" s="223" t="str">
        <f>IFERROR(__xludf.DUMMYFUNCTION("""COMPUTED_VALUE"""),"Athlone Golf &amp; Sports : Website")</f>
        <v>Athlone Golf &amp; Sports : Website</v>
      </c>
      <c r="B1215" s="223" t="str">
        <f>IFERROR(__xludf.DUMMYFUNCTION("""COMPUTED_VALUE"""),"Athlone Golf &amp; Sports")</f>
        <v>Athlone Golf &amp; Sports</v>
      </c>
      <c r="C1215" s="223" t="str">
        <f>IFERROR(__xludf.DUMMYFUNCTION("""COMPUTED_VALUE"""),"Website")</f>
        <v>Website</v>
      </c>
      <c r="D1215" s="316">
        <f>IFERROR(__xludf.DUMMYFUNCTION("""COMPUTED_VALUE"""),44561.0)</f>
        <v>44561</v>
      </c>
      <c r="E1215" s="298"/>
      <c r="F1215" s="298"/>
      <c r="G1215" s="298"/>
      <c r="H1215" s="223"/>
      <c r="I1215" s="298">
        <f>IFERROR(__xludf.DUMMYFUNCTION("""COMPUTED_VALUE"""),272.88)</f>
        <v>272.88</v>
      </c>
      <c r="J1215" s="223" t="str">
        <f>IFERROR(__xludf.DUMMYFUNCTION("""COMPUTED_VALUE"""),"Fixed Project")</f>
        <v>Fixed Project</v>
      </c>
      <c r="K1215" s="317">
        <f>IFERROR(__xludf.DUMMYFUNCTION("""COMPUTED_VALUE"""),2021.0)</f>
        <v>2021</v>
      </c>
      <c r="L1215" s="298"/>
      <c r="M1215" s="223"/>
      <c r="N1215" s="223"/>
      <c r="O1215" s="223"/>
      <c r="P1215" s="223"/>
      <c r="Q1215" s="223"/>
      <c r="R1215" s="223"/>
      <c r="S1215" s="223"/>
      <c r="T1215" s="223"/>
      <c r="U1215" s="223"/>
      <c r="V1215" s="223"/>
      <c r="W1215" s="223"/>
      <c r="X1215" s="223"/>
      <c r="Y1215" s="223"/>
      <c r="Z1215" s="223"/>
    </row>
    <row r="1216">
      <c r="A1216" s="223" t="str">
        <f>IFERROR(__xludf.DUMMYFUNCTION("""COMPUTED_VALUE"""),"Aware360 : Monthly Services")</f>
        <v>Aware360 : Monthly Services</v>
      </c>
      <c r="B1216" s="223" t="str">
        <f>IFERROR(__xludf.DUMMYFUNCTION("""COMPUTED_VALUE"""),"Aware360")</f>
        <v>Aware360</v>
      </c>
      <c r="C1216" s="223" t="str">
        <f>IFERROR(__xludf.DUMMYFUNCTION("""COMPUTED_VALUE"""),"Monthly Services")</f>
        <v>Monthly Services</v>
      </c>
      <c r="D1216" s="316">
        <f>IFERROR(__xludf.DUMMYFUNCTION("""COMPUTED_VALUE"""),44561.0)</f>
        <v>44561</v>
      </c>
      <c r="E1216" s="298"/>
      <c r="F1216" s="298"/>
      <c r="G1216" s="298"/>
      <c r="H1216" s="223"/>
      <c r="I1216" s="298">
        <f>IFERROR(__xludf.DUMMYFUNCTION("""COMPUTED_VALUE"""),1.3)</f>
        <v>1.3</v>
      </c>
      <c r="J1216" s="223" t="str">
        <f>IFERROR(__xludf.DUMMYFUNCTION("""COMPUTED_VALUE"""),"Monthly")</f>
        <v>Monthly</v>
      </c>
      <c r="K1216" s="317">
        <f>IFERROR(__xludf.DUMMYFUNCTION("""COMPUTED_VALUE"""),2021.12)</f>
        <v>2021.12</v>
      </c>
      <c r="L1216" s="298"/>
      <c r="M1216" s="223"/>
      <c r="N1216" s="223"/>
      <c r="O1216" s="223"/>
      <c r="P1216" s="223"/>
      <c r="Q1216" s="223"/>
      <c r="R1216" s="223"/>
      <c r="S1216" s="223"/>
      <c r="T1216" s="223"/>
      <c r="U1216" s="223"/>
      <c r="V1216" s="223"/>
      <c r="W1216" s="223"/>
      <c r="X1216" s="223"/>
      <c r="Y1216" s="223"/>
      <c r="Z1216" s="223"/>
    </row>
    <row r="1217">
      <c r="A1217" s="223" t="str">
        <f>IFERROR(__xludf.DUMMYFUNCTION("""COMPUTED_VALUE"""),"Beacon Law : 5 Hour Support Block")</f>
        <v>Beacon Law : 5 Hour Support Block</v>
      </c>
      <c r="B1217" s="223" t="str">
        <f>IFERROR(__xludf.DUMMYFUNCTION("""COMPUTED_VALUE"""),"Beacon Law")</f>
        <v>Beacon Law</v>
      </c>
      <c r="C1217" s="223" t="str">
        <f>IFERROR(__xludf.DUMMYFUNCTION("""COMPUTED_VALUE"""),"5 Hour Support Block")</f>
        <v>5 Hour Support Block</v>
      </c>
      <c r="D1217" s="316">
        <f>IFERROR(__xludf.DUMMYFUNCTION("""COMPUTED_VALUE"""),44561.0)</f>
        <v>44561</v>
      </c>
      <c r="E1217" s="298"/>
      <c r="F1217" s="298"/>
      <c r="G1217" s="298"/>
      <c r="H1217" s="223"/>
      <c r="I1217" s="298">
        <f>IFERROR(__xludf.DUMMYFUNCTION("""COMPUTED_VALUE"""),12.25)</f>
        <v>12.25</v>
      </c>
      <c r="J1217" s="223" t="str">
        <f>IFERROR(__xludf.DUMMYFUNCTION("""COMPUTED_VALUE"""),"Hourly")</f>
        <v>Hourly</v>
      </c>
      <c r="K1217" s="317">
        <f>IFERROR(__xludf.DUMMYFUNCTION("""COMPUTED_VALUE"""),2021.0)</f>
        <v>2021</v>
      </c>
      <c r="L1217" s="298"/>
      <c r="M1217" s="223"/>
      <c r="N1217" s="223"/>
      <c r="O1217" s="223"/>
      <c r="P1217" s="223"/>
      <c r="Q1217" s="223"/>
      <c r="R1217" s="223"/>
      <c r="S1217" s="223"/>
      <c r="T1217" s="223"/>
      <c r="U1217" s="223"/>
      <c r="V1217" s="223"/>
      <c r="W1217" s="223"/>
      <c r="X1217" s="223"/>
      <c r="Y1217" s="223"/>
      <c r="Z1217" s="223"/>
    </row>
    <row r="1218">
      <c r="A1218" s="223" t="str">
        <f>IFERROR(__xludf.DUMMYFUNCTION("""COMPUTED_VALUE"""),"Bratopia : Monthly Services")</f>
        <v>Bratopia : Monthly Services</v>
      </c>
      <c r="B1218" s="223" t="str">
        <f>IFERROR(__xludf.DUMMYFUNCTION("""COMPUTED_VALUE"""),"Bratopia")</f>
        <v>Bratopia</v>
      </c>
      <c r="C1218" s="223" t="str">
        <f>IFERROR(__xludf.DUMMYFUNCTION("""COMPUTED_VALUE"""),"Monthly Services")</f>
        <v>Monthly Services</v>
      </c>
      <c r="D1218" s="316">
        <f>IFERROR(__xludf.DUMMYFUNCTION("""COMPUTED_VALUE"""),44561.0)</f>
        <v>44561</v>
      </c>
      <c r="E1218" s="298"/>
      <c r="F1218" s="298"/>
      <c r="G1218" s="298"/>
      <c r="H1218" s="223"/>
      <c r="I1218" s="298">
        <f>IFERROR(__xludf.DUMMYFUNCTION("""COMPUTED_VALUE"""),36.61)</f>
        <v>36.61</v>
      </c>
      <c r="J1218" s="223" t="str">
        <f>IFERROR(__xludf.DUMMYFUNCTION("""COMPUTED_VALUE"""),"Monthly")</f>
        <v>Monthly</v>
      </c>
      <c r="K1218" s="317">
        <f>IFERROR(__xludf.DUMMYFUNCTION("""COMPUTED_VALUE"""),2021.12)</f>
        <v>2021.12</v>
      </c>
      <c r="L1218" s="298"/>
      <c r="M1218" s="223"/>
      <c r="N1218" s="223"/>
      <c r="O1218" s="223"/>
      <c r="P1218" s="223"/>
      <c r="Q1218" s="223"/>
      <c r="R1218" s="223"/>
      <c r="S1218" s="223"/>
      <c r="T1218" s="223"/>
      <c r="U1218" s="223"/>
      <c r="V1218" s="223"/>
      <c r="W1218" s="223"/>
      <c r="X1218" s="223"/>
      <c r="Y1218" s="223"/>
      <c r="Z1218" s="223"/>
    </row>
    <row r="1219">
      <c r="A1219" s="223" t="str">
        <f>IFERROR(__xludf.DUMMYFUNCTION("""COMPUTED_VALUE"""),"C360 : C360 Site Review")</f>
        <v>C360 : C360 Site Review</v>
      </c>
      <c r="B1219" s="223" t="str">
        <f>IFERROR(__xludf.DUMMYFUNCTION("""COMPUTED_VALUE"""),"C360")</f>
        <v>C360</v>
      </c>
      <c r="C1219" s="223" t="str">
        <f>IFERROR(__xludf.DUMMYFUNCTION("""COMPUTED_VALUE"""),"C360 Site Review")</f>
        <v>C360 Site Review</v>
      </c>
      <c r="D1219" s="316">
        <f>IFERROR(__xludf.DUMMYFUNCTION("""COMPUTED_VALUE"""),44561.0)</f>
        <v>44561</v>
      </c>
      <c r="E1219" s="298"/>
      <c r="F1219" s="298"/>
      <c r="G1219" s="298"/>
      <c r="H1219" s="223"/>
      <c r="I1219" s="298">
        <f>IFERROR(__xludf.DUMMYFUNCTION("""COMPUTED_VALUE"""),18.96)</f>
        <v>18.96</v>
      </c>
      <c r="J1219" s="223" t="str">
        <f>IFERROR(__xludf.DUMMYFUNCTION("""COMPUTED_VALUE"""),"Fixed Project")</f>
        <v>Fixed Project</v>
      </c>
      <c r="K1219" s="317">
        <f>IFERROR(__xludf.DUMMYFUNCTION("""COMPUTED_VALUE"""),2021.0)</f>
        <v>2021</v>
      </c>
      <c r="L1219" s="298"/>
      <c r="M1219" s="223"/>
      <c r="N1219" s="223"/>
      <c r="O1219" s="223"/>
      <c r="P1219" s="223"/>
      <c r="Q1219" s="223"/>
      <c r="R1219" s="223"/>
      <c r="S1219" s="223"/>
      <c r="T1219" s="223"/>
      <c r="U1219" s="223"/>
      <c r="V1219" s="223"/>
      <c r="W1219" s="223"/>
      <c r="X1219" s="223"/>
      <c r="Y1219" s="223"/>
      <c r="Z1219" s="223"/>
    </row>
    <row r="1220">
      <c r="A1220" s="223" t="str">
        <f>IFERROR(__xludf.DUMMYFUNCTION("""COMPUTED_VALUE"""),"Community Financials : Monthly Services")</f>
        <v>Community Financials : Monthly Services</v>
      </c>
      <c r="B1220" s="223" t="str">
        <f>IFERROR(__xludf.DUMMYFUNCTION("""COMPUTED_VALUE"""),"Community Financials")</f>
        <v>Community Financials</v>
      </c>
      <c r="C1220" s="223" t="str">
        <f>IFERROR(__xludf.DUMMYFUNCTION("""COMPUTED_VALUE"""),"Monthly Services")</f>
        <v>Monthly Services</v>
      </c>
      <c r="D1220" s="316">
        <f>IFERROR(__xludf.DUMMYFUNCTION("""COMPUTED_VALUE"""),44561.0)</f>
        <v>44561</v>
      </c>
      <c r="E1220" s="298"/>
      <c r="F1220" s="298"/>
      <c r="G1220" s="298"/>
      <c r="H1220" s="223"/>
      <c r="I1220" s="298">
        <f>IFERROR(__xludf.DUMMYFUNCTION("""COMPUTED_VALUE"""),135.14)</f>
        <v>135.14</v>
      </c>
      <c r="J1220" s="223" t="str">
        <f>IFERROR(__xludf.DUMMYFUNCTION("""COMPUTED_VALUE"""),"Monthly")</f>
        <v>Monthly</v>
      </c>
      <c r="K1220" s="317">
        <f>IFERROR(__xludf.DUMMYFUNCTION("""COMPUTED_VALUE"""),2021.12)</f>
        <v>2021.12</v>
      </c>
      <c r="L1220" s="298"/>
      <c r="M1220" s="223"/>
      <c r="N1220" s="223"/>
      <c r="O1220" s="223"/>
      <c r="P1220" s="223"/>
      <c r="Q1220" s="223"/>
      <c r="R1220" s="223"/>
      <c r="S1220" s="223"/>
      <c r="T1220" s="223"/>
      <c r="U1220" s="223"/>
      <c r="V1220" s="223"/>
      <c r="W1220" s="223"/>
      <c r="X1220" s="223"/>
      <c r="Y1220" s="223"/>
      <c r="Z1220" s="223"/>
    </row>
    <row r="1221">
      <c r="A1221" s="223" t="str">
        <f>IFERROR(__xludf.DUMMYFUNCTION("""COMPUTED_VALUE"""),"C360 : Grasshopper Farms Site Review")</f>
        <v>C360 : Grasshopper Farms Site Review</v>
      </c>
      <c r="B1221" s="223" t="str">
        <f>IFERROR(__xludf.DUMMYFUNCTION("""COMPUTED_VALUE"""),"C360")</f>
        <v>C360</v>
      </c>
      <c r="C1221" s="223" t="str">
        <f>IFERROR(__xludf.DUMMYFUNCTION("""COMPUTED_VALUE"""),"Grasshopper Farms Site Review")</f>
        <v>Grasshopper Farms Site Review</v>
      </c>
      <c r="D1221" s="316">
        <f>IFERROR(__xludf.DUMMYFUNCTION("""COMPUTED_VALUE"""),44561.0)</f>
        <v>44561</v>
      </c>
      <c r="E1221" s="298"/>
      <c r="F1221" s="298"/>
      <c r="G1221" s="298"/>
      <c r="H1221" s="223"/>
      <c r="I1221" s="298">
        <f>IFERROR(__xludf.DUMMYFUNCTION("""COMPUTED_VALUE"""),22.36)</f>
        <v>22.36</v>
      </c>
      <c r="J1221" s="223" t="str">
        <f>IFERROR(__xludf.DUMMYFUNCTION("""COMPUTED_VALUE"""),"Fixed Project")</f>
        <v>Fixed Project</v>
      </c>
      <c r="K1221" s="317">
        <f>IFERROR(__xludf.DUMMYFUNCTION("""COMPUTED_VALUE"""),2021.0)</f>
        <v>2021</v>
      </c>
      <c r="L1221" s="298"/>
      <c r="M1221" s="223"/>
      <c r="N1221" s="223"/>
      <c r="O1221" s="223"/>
      <c r="P1221" s="223"/>
      <c r="Q1221" s="223"/>
      <c r="R1221" s="223"/>
      <c r="S1221" s="223"/>
      <c r="T1221" s="223"/>
      <c r="U1221" s="223"/>
      <c r="V1221" s="223"/>
      <c r="W1221" s="223"/>
      <c r="X1221" s="223"/>
      <c r="Y1221" s="223"/>
      <c r="Z1221" s="223"/>
    </row>
    <row r="1222">
      <c r="A1222" s="223" t="str">
        <f>IFERROR(__xludf.DUMMYFUNCTION("""COMPUTED_VALUE"""),"Hastings House : Monthly Services")</f>
        <v>Hastings House : Monthly Services</v>
      </c>
      <c r="B1222" s="223" t="str">
        <f>IFERROR(__xludf.DUMMYFUNCTION("""COMPUTED_VALUE"""),"Hastings House")</f>
        <v>Hastings House</v>
      </c>
      <c r="C1222" s="223" t="str">
        <f>IFERROR(__xludf.DUMMYFUNCTION("""COMPUTED_VALUE"""),"Monthly Services")</f>
        <v>Monthly Services</v>
      </c>
      <c r="D1222" s="316">
        <f>IFERROR(__xludf.DUMMYFUNCTION("""COMPUTED_VALUE"""),44561.0)</f>
        <v>44561</v>
      </c>
      <c r="E1222" s="298"/>
      <c r="F1222" s="298"/>
      <c r="G1222" s="298"/>
      <c r="H1222" s="223"/>
      <c r="I1222" s="298">
        <f>IFERROR(__xludf.DUMMYFUNCTION("""COMPUTED_VALUE"""),131.39)</f>
        <v>131.39</v>
      </c>
      <c r="J1222" s="223" t="str">
        <f>IFERROR(__xludf.DUMMYFUNCTION("""COMPUTED_VALUE"""),"Monthly")</f>
        <v>Monthly</v>
      </c>
      <c r="K1222" s="317">
        <f>IFERROR(__xludf.DUMMYFUNCTION("""COMPUTED_VALUE"""),2021.12)</f>
        <v>2021.12</v>
      </c>
      <c r="L1222" s="298"/>
      <c r="M1222" s="223"/>
      <c r="N1222" s="223"/>
      <c r="O1222" s="223"/>
      <c r="P1222" s="223"/>
      <c r="Q1222" s="223"/>
      <c r="R1222" s="223"/>
      <c r="S1222" s="223"/>
      <c r="T1222" s="223"/>
      <c r="U1222" s="223"/>
      <c r="V1222" s="223"/>
      <c r="W1222" s="223"/>
      <c r="X1222" s="223"/>
      <c r="Y1222" s="223"/>
      <c r="Z1222" s="223"/>
    </row>
    <row r="1223">
      <c r="A1223" s="223" t="str">
        <f>IFERROR(__xludf.DUMMYFUNCTION("""COMPUTED_VALUE"""),"OA Region 6 : Website")</f>
        <v>OA Region 6 : Website</v>
      </c>
      <c r="B1223" s="223" t="str">
        <f>IFERROR(__xludf.DUMMYFUNCTION("""COMPUTED_VALUE"""),"OA Region 6")</f>
        <v>OA Region 6</v>
      </c>
      <c r="C1223" s="223" t="str">
        <f>IFERROR(__xludf.DUMMYFUNCTION("""COMPUTED_VALUE"""),"Website")</f>
        <v>Website</v>
      </c>
      <c r="D1223" s="316">
        <f>IFERROR(__xludf.DUMMYFUNCTION("""COMPUTED_VALUE"""),44561.0)</f>
        <v>44561</v>
      </c>
      <c r="E1223" s="298"/>
      <c r="F1223" s="298"/>
      <c r="G1223" s="298"/>
      <c r="H1223" s="223"/>
      <c r="I1223" s="298">
        <f>IFERROR(__xludf.DUMMYFUNCTION("""COMPUTED_VALUE"""),717.56)</f>
        <v>717.56</v>
      </c>
      <c r="J1223" s="223" t="str">
        <f>IFERROR(__xludf.DUMMYFUNCTION("""COMPUTED_VALUE"""),"Fixed Project")</f>
        <v>Fixed Project</v>
      </c>
      <c r="K1223" s="317">
        <f>IFERROR(__xludf.DUMMYFUNCTION("""COMPUTED_VALUE"""),2021.0)</f>
        <v>2021</v>
      </c>
      <c r="L1223" s="298"/>
      <c r="M1223" s="223"/>
      <c r="N1223" s="223"/>
      <c r="O1223" s="223"/>
      <c r="P1223" s="223"/>
      <c r="Q1223" s="223"/>
      <c r="R1223" s="223"/>
      <c r="S1223" s="223"/>
      <c r="T1223" s="223"/>
      <c r="U1223" s="223"/>
      <c r="V1223" s="223"/>
      <c r="W1223" s="223"/>
      <c r="X1223" s="223"/>
      <c r="Y1223" s="223"/>
      <c r="Z1223" s="223"/>
    </row>
    <row r="1224">
      <c r="A1224" s="223" t="str">
        <f>IFERROR(__xludf.DUMMYFUNCTION("""COMPUTED_VALUE"""),"PlusROI : Admin")</f>
        <v>PlusROI : Admin</v>
      </c>
      <c r="B1224" s="223" t="str">
        <f>IFERROR(__xludf.DUMMYFUNCTION("""COMPUTED_VALUE"""),"PlusROI")</f>
        <v>PlusROI</v>
      </c>
      <c r="C1224" s="223" t="str">
        <f>IFERROR(__xludf.DUMMYFUNCTION("""COMPUTED_VALUE"""),"Admin")</f>
        <v>Admin</v>
      </c>
      <c r="D1224" s="316">
        <f>IFERROR(__xludf.DUMMYFUNCTION("""COMPUTED_VALUE"""),44561.0)</f>
        <v>44561</v>
      </c>
      <c r="E1224" s="298"/>
      <c r="F1224" s="298"/>
      <c r="G1224" s="298"/>
      <c r="H1224" s="223"/>
      <c r="I1224" s="298">
        <f>IFERROR(__xludf.DUMMYFUNCTION("""COMPUTED_VALUE"""),78.08)</f>
        <v>78.08</v>
      </c>
      <c r="J1224" s="223" t="str">
        <f>IFERROR(__xludf.DUMMYFUNCTION("""COMPUTED_VALUE"""),"Hourly")</f>
        <v>Hourly</v>
      </c>
      <c r="K1224" s="317">
        <f>IFERROR(__xludf.DUMMYFUNCTION("""COMPUTED_VALUE"""),2021.0)</f>
        <v>2021</v>
      </c>
      <c r="L1224" s="298"/>
      <c r="M1224" s="223"/>
      <c r="N1224" s="223"/>
      <c r="O1224" s="223"/>
      <c r="P1224" s="223"/>
      <c r="Q1224" s="223"/>
      <c r="R1224" s="223"/>
      <c r="S1224" s="223"/>
      <c r="T1224" s="223"/>
      <c r="U1224" s="223"/>
      <c r="V1224" s="223"/>
      <c r="W1224" s="223"/>
      <c r="X1224" s="223"/>
      <c r="Y1224" s="223"/>
      <c r="Z1224" s="223"/>
    </row>
    <row r="1225">
      <c r="A1225" s="223" t="str">
        <f>IFERROR(__xludf.DUMMYFUNCTION("""COMPUTED_VALUE"""),"Rama Meditation Society : Premium Hosting + Support")</f>
        <v>Rama Meditation Society : Premium Hosting + Support</v>
      </c>
      <c r="B1225" s="223" t="str">
        <f>IFERROR(__xludf.DUMMYFUNCTION("""COMPUTED_VALUE"""),"Rama Meditation Society")</f>
        <v>Rama Meditation Society</v>
      </c>
      <c r="C1225" s="223" t="str">
        <f>IFERROR(__xludf.DUMMYFUNCTION("""COMPUTED_VALUE"""),"Premium Hosting + Support")</f>
        <v>Premium Hosting + Support</v>
      </c>
      <c r="D1225" s="316">
        <f>IFERROR(__xludf.DUMMYFUNCTION("""COMPUTED_VALUE"""),44561.0)</f>
        <v>44561</v>
      </c>
      <c r="E1225" s="298"/>
      <c r="F1225" s="298"/>
      <c r="G1225" s="298"/>
      <c r="H1225" s="223"/>
      <c r="I1225" s="298">
        <f>IFERROR(__xludf.DUMMYFUNCTION("""COMPUTED_VALUE"""),7.56)</f>
        <v>7.56</v>
      </c>
      <c r="J1225" s="223" t="str">
        <f>IFERROR(__xludf.DUMMYFUNCTION("""COMPUTED_VALUE"""),"Not Set")</f>
        <v>Not Set</v>
      </c>
      <c r="K1225" s="317">
        <f>IFERROR(__xludf.DUMMYFUNCTION("""COMPUTED_VALUE"""),2021.0)</f>
        <v>2021</v>
      </c>
      <c r="L1225" s="298"/>
      <c r="M1225" s="223"/>
      <c r="N1225" s="223"/>
      <c r="O1225" s="223"/>
      <c r="P1225" s="223"/>
      <c r="Q1225" s="223"/>
      <c r="R1225" s="223"/>
      <c r="S1225" s="223"/>
      <c r="T1225" s="223"/>
      <c r="U1225" s="223"/>
      <c r="V1225" s="223"/>
      <c r="W1225" s="223"/>
      <c r="X1225" s="223"/>
      <c r="Y1225" s="223"/>
      <c r="Z1225" s="223"/>
    </row>
    <row r="1226">
      <c r="A1226" s="223" t="str">
        <f>IFERROR(__xludf.DUMMYFUNCTION("""COMPUTED_VALUE"""),"Red Seal : Monthly Services")</f>
        <v>Red Seal : Monthly Services</v>
      </c>
      <c r="B1226" s="223" t="str">
        <f>IFERROR(__xludf.DUMMYFUNCTION("""COMPUTED_VALUE"""),"Red Seal")</f>
        <v>Red Seal</v>
      </c>
      <c r="C1226" s="223" t="str">
        <f>IFERROR(__xludf.DUMMYFUNCTION("""COMPUTED_VALUE"""),"Monthly Services")</f>
        <v>Monthly Services</v>
      </c>
      <c r="D1226" s="316">
        <f>IFERROR(__xludf.DUMMYFUNCTION("""COMPUTED_VALUE"""),44561.0)</f>
        <v>44561</v>
      </c>
      <c r="E1226" s="298"/>
      <c r="F1226" s="298"/>
      <c r="G1226" s="298"/>
      <c r="H1226" s="223"/>
      <c r="I1226" s="298">
        <f>IFERROR(__xludf.DUMMYFUNCTION("""COMPUTED_VALUE"""),63.93)</f>
        <v>63.93</v>
      </c>
      <c r="J1226" s="223" t="str">
        <f>IFERROR(__xludf.DUMMYFUNCTION("""COMPUTED_VALUE"""),"Monthly")</f>
        <v>Monthly</v>
      </c>
      <c r="K1226" s="317">
        <f>IFERROR(__xludf.DUMMYFUNCTION("""COMPUTED_VALUE"""),2021.12)</f>
        <v>2021.12</v>
      </c>
      <c r="L1226" s="298"/>
      <c r="M1226" s="223"/>
      <c r="N1226" s="223"/>
      <c r="O1226" s="223"/>
      <c r="P1226" s="223"/>
      <c r="Q1226" s="223"/>
      <c r="R1226" s="223"/>
      <c r="S1226" s="223"/>
      <c r="T1226" s="223"/>
      <c r="U1226" s="223"/>
      <c r="V1226" s="223"/>
      <c r="W1226" s="223"/>
      <c r="X1226" s="223"/>
      <c r="Y1226" s="223"/>
      <c r="Z1226" s="223"/>
    </row>
    <row r="1227">
      <c r="A1227" s="223" t="str">
        <f>IFERROR(__xludf.DUMMYFUNCTION("""COMPUTED_VALUE"""),"UnityWest Capital : Scryb 3 Month PPC")</f>
        <v>UnityWest Capital : Scryb 3 Month PPC</v>
      </c>
      <c r="B1227" s="223" t="str">
        <f>IFERROR(__xludf.DUMMYFUNCTION("""COMPUTED_VALUE"""),"UnityWest Capital")</f>
        <v>UnityWest Capital</v>
      </c>
      <c r="C1227" s="223" t="str">
        <f>IFERROR(__xludf.DUMMYFUNCTION("""COMPUTED_VALUE"""),"Scryb 3 Month PPC")</f>
        <v>Scryb 3 Month PPC</v>
      </c>
      <c r="D1227" s="316">
        <f>IFERROR(__xludf.DUMMYFUNCTION("""COMPUTED_VALUE"""),44561.0)</f>
        <v>44561</v>
      </c>
      <c r="E1227" s="298"/>
      <c r="F1227" s="298"/>
      <c r="G1227" s="298"/>
      <c r="H1227" s="223"/>
      <c r="I1227" s="298">
        <f>IFERROR(__xludf.DUMMYFUNCTION("""COMPUTED_VALUE"""),604.37)</f>
        <v>604.37</v>
      </c>
      <c r="J1227" s="223" t="str">
        <f>IFERROR(__xludf.DUMMYFUNCTION("""COMPUTED_VALUE"""),"Fixed Project")</f>
        <v>Fixed Project</v>
      </c>
      <c r="K1227" s="317">
        <f>IFERROR(__xludf.DUMMYFUNCTION("""COMPUTED_VALUE"""),2021.0)</f>
        <v>2021</v>
      </c>
      <c r="L1227" s="298"/>
      <c r="M1227" s="223"/>
      <c r="N1227" s="223"/>
      <c r="O1227" s="223"/>
      <c r="P1227" s="223"/>
      <c r="Q1227" s="223"/>
      <c r="R1227" s="223"/>
      <c r="S1227" s="223"/>
      <c r="T1227" s="223"/>
      <c r="U1227" s="223"/>
      <c r="V1227" s="223"/>
      <c r="W1227" s="223"/>
      <c r="X1227" s="223"/>
      <c r="Y1227" s="223"/>
      <c r="Z1227" s="223"/>
    </row>
    <row r="1228">
      <c r="A1228" s="223" t="str">
        <f>IFERROR(__xludf.DUMMYFUNCTION("""COMPUTED_VALUE"""),"Spraggs : Monthly Services")</f>
        <v>Spraggs : Monthly Services</v>
      </c>
      <c r="B1228" s="223" t="str">
        <f>IFERROR(__xludf.DUMMYFUNCTION("""COMPUTED_VALUE"""),"Spraggs")</f>
        <v>Spraggs</v>
      </c>
      <c r="C1228" s="223" t="str">
        <f>IFERROR(__xludf.DUMMYFUNCTION("""COMPUTED_VALUE"""),"Monthly Services")</f>
        <v>Monthly Services</v>
      </c>
      <c r="D1228" s="316">
        <f>IFERROR(__xludf.DUMMYFUNCTION("""COMPUTED_VALUE"""),44561.0)</f>
        <v>44561</v>
      </c>
      <c r="E1228" s="298"/>
      <c r="F1228" s="298"/>
      <c r="G1228" s="298"/>
      <c r="H1228" s="223"/>
      <c r="I1228" s="298">
        <f>IFERROR(__xludf.DUMMYFUNCTION("""COMPUTED_VALUE"""),1.21)</f>
        <v>1.21</v>
      </c>
      <c r="J1228" s="223" t="str">
        <f>IFERROR(__xludf.DUMMYFUNCTION("""COMPUTED_VALUE"""),"Monthly")</f>
        <v>Monthly</v>
      </c>
      <c r="K1228" s="317">
        <f>IFERROR(__xludf.DUMMYFUNCTION("""COMPUTED_VALUE"""),2021.12)</f>
        <v>2021.12</v>
      </c>
      <c r="L1228" s="298"/>
      <c r="M1228" s="223"/>
      <c r="N1228" s="223"/>
      <c r="O1228" s="223"/>
      <c r="P1228" s="223"/>
      <c r="Q1228" s="223"/>
      <c r="R1228" s="223"/>
      <c r="S1228" s="223"/>
      <c r="T1228" s="223"/>
      <c r="U1228" s="223"/>
      <c r="V1228" s="223"/>
      <c r="W1228" s="223"/>
      <c r="X1228" s="223"/>
      <c r="Y1228" s="223"/>
      <c r="Z1228" s="223"/>
    </row>
    <row r="1229">
      <c r="A1229" s="223" t="str">
        <f>IFERROR(__xludf.DUMMYFUNCTION("""COMPUTED_VALUE"""),"The Academy : Website")</f>
        <v>The Academy : Website</v>
      </c>
      <c r="B1229" s="223" t="str">
        <f>IFERROR(__xludf.DUMMYFUNCTION("""COMPUTED_VALUE"""),"The Academy")</f>
        <v>The Academy</v>
      </c>
      <c r="C1229" s="223" t="str">
        <f>IFERROR(__xludf.DUMMYFUNCTION("""COMPUTED_VALUE"""),"Website")</f>
        <v>Website</v>
      </c>
      <c r="D1229" s="316">
        <f>IFERROR(__xludf.DUMMYFUNCTION("""COMPUTED_VALUE"""),44561.0)</f>
        <v>44561</v>
      </c>
      <c r="E1229" s="298"/>
      <c r="F1229" s="298"/>
      <c r="G1229" s="298"/>
      <c r="H1229" s="223"/>
      <c r="I1229" s="298">
        <f>IFERROR(__xludf.DUMMYFUNCTION("""COMPUTED_VALUE"""),360.64)</f>
        <v>360.64</v>
      </c>
      <c r="J1229" s="223" t="str">
        <f>IFERROR(__xludf.DUMMYFUNCTION("""COMPUTED_VALUE"""),"Fixed Project")</f>
        <v>Fixed Project</v>
      </c>
      <c r="K1229" s="317">
        <f>IFERROR(__xludf.DUMMYFUNCTION("""COMPUTED_VALUE"""),2021.0)</f>
        <v>2021</v>
      </c>
      <c r="L1229" s="298"/>
      <c r="M1229" s="223"/>
      <c r="N1229" s="223"/>
      <c r="O1229" s="223"/>
      <c r="P1229" s="223"/>
      <c r="Q1229" s="223"/>
      <c r="R1229" s="223"/>
      <c r="S1229" s="223"/>
      <c r="T1229" s="223"/>
      <c r="U1229" s="223"/>
      <c r="V1229" s="223"/>
      <c r="W1229" s="223"/>
      <c r="X1229" s="223"/>
      <c r="Y1229" s="223"/>
      <c r="Z1229" s="223"/>
    </row>
    <row r="1230">
      <c r="A1230" s="223" t="str">
        <f>IFERROR(__xludf.DUMMYFUNCTION("""COMPUTED_VALUE"""),"VADARTS : Website")</f>
        <v>VADARTS : Website</v>
      </c>
      <c r="B1230" s="223" t="str">
        <f>IFERROR(__xludf.DUMMYFUNCTION("""COMPUTED_VALUE"""),"VADARTS")</f>
        <v>VADARTS</v>
      </c>
      <c r="C1230" s="223" t="str">
        <f>IFERROR(__xludf.DUMMYFUNCTION("""COMPUTED_VALUE"""),"Website")</f>
        <v>Website</v>
      </c>
      <c r="D1230" s="316">
        <f>IFERROR(__xludf.DUMMYFUNCTION("""COMPUTED_VALUE"""),44561.0)</f>
        <v>44561</v>
      </c>
      <c r="E1230" s="298"/>
      <c r="F1230" s="298"/>
      <c r="G1230" s="298"/>
      <c r="H1230" s="223"/>
      <c r="I1230" s="298">
        <f>IFERROR(__xludf.DUMMYFUNCTION("""COMPUTED_VALUE"""),830.91)</f>
        <v>830.91</v>
      </c>
      <c r="J1230" s="223" t="str">
        <f>IFERROR(__xludf.DUMMYFUNCTION("""COMPUTED_VALUE"""),"Fixed Project")</f>
        <v>Fixed Project</v>
      </c>
      <c r="K1230" s="317">
        <f>IFERROR(__xludf.DUMMYFUNCTION("""COMPUTED_VALUE"""),2021.0)</f>
        <v>2021</v>
      </c>
      <c r="L1230" s="298"/>
      <c r="M1230" s="223"/>
      <c r="N1230" s="223"/>
      <c r="O1230" s="223"/>
      <c r="P1230" s="223"/>
      <c r="Q1230" s="223"/>
      <c r="R1230" s="223"/>
      <c r="S1230" s="223"/>
      <c r="T1230" s="223"/>
      <c r="U1230" s="223"/>
      <c r="V1230" s="223"/>
      <c r="W1230" s="223"/>
      <c r="X1230" s="223"/>
      <c r="Y1230" s="223"/>
      <c r="Z1230" s="223"/>
    </row>
    <row r="1231">
      <c r="A1231" s="223" t="str">
        <f>IFERROR(__xludf.DUMMYFUNCTION("""COMPUTED_VALUE"""),"Ideon : Website")</f>
        <v>Ideon : Website</v>
      </c>
      <c r="B1231" s="223" t="str">
        <f>IFERROR(__xludf.DUMMYFUNCTION("""COMPUTED_VALUE"""),"Ideon")</f>
        <v>Ideon</v>
      </c>
      <c r="C1231" s="223" t="str">
        <f>IFERROR(__xludf.DUMMYFUNCTION("""COMPUTED_VALUE"""),"Website")</f>
        <v>Website</v>
      </c>
      <c r="D1231" s="316">
        <f>IFERROR(__xludf.DUMMYFUNCTION("""COMPUTED_VALUE"""),44561.0)</f>
        <v>44561</v>
      </c>
      <c r="E1231" s="298"/>
      <c r="F1231" s="298"/>
      <c r="G1231" s="298"/>
      <c r="H1231" s="223"/>
      <c r="I1231" s="298">
        <f>IFERROR(__xludf.DUMMYFUNCTION("""COMPUTED_VALUE"""),29.68)</f>
        <v>29.68</v>
      </c>
      <c r="J1231" s="223" t="str">
        <f>IFERROR(__xludf.DUMMYFUNCTION("""COMPUTED_VALUE"""),"Fixed Project")</f>
        <v>Fixed Project</v>
      </c>
      <c r="K1231" s="317">
        <f>IFERROR(__xludf.DUMMYFUNCTION("""COMPUTED_VALUE"""),2021.0)</f>
        <v>2021</v>
      </c>
      <c r="L1231" s="298"/>
      <c r="M1231" s="223"/>
      <c r="N1231" s="223"/>
      <c r="O1231" s="223"/>
      <c r="P1231" s="223"/>
      <c r="Q1231" s="223"/>
      <c r="R1231" s="223"/>
      <c r="S1231" s="223"/>
      <c r="T1231" s="223"/>
      <c r="U1231" s="223"/>
      <c r="V1231" s="223"/>
      <c r="W1231" s="223"/>
      <c r="X1231" s="223"/>
      <c r="Y1231" s="223"/>
      <c r="Z1231" s="223"/>
    </row>
    <row r="1232">
      <c r="A1232" s="223" t="str">
        <f>IFERROR(__xludf.DUMMYFUNCTION("""COMPUTED_VALUE"""),"PlusROI : Internal Skills and Capabilities Development")</f>
        <v>PlusROI : Internal Skills and Capabilities Development</v>
      </c>
      <c r="B1232" s="223" t="str">
        <f>IFERROR(__xludf.DUMMYFUNCTION("""COMPUTED_VALUE"""),"PlusROI")</f>
        <v>PlusROI</v>
      </c>
      <c r="C1232" s="223" t="str">
        <f>IFERROR(__xludf.DUMMYFUNCTION("""COMPUTED_VALUE"""),"Internal Skills and Capabilities Development")</f>
        <v>Internal Skills and Capabilities Development</v>
      </c>
      <c r="D1232" s="316">
        <f>IFERROR(__xludf.DUMMYFUNCTION("""COMPUTED_VALUE"""),44561.0)</f>
        <v>44561</v>
      </c>
      <c r="E1232" s="298"/>
      <c r="F1232" s="298"/>
      <c r="G1232" s="298"/>
      <c r="H1232" s="223"/>
      <c r="I1232" s="298">
        <f>IFERROR(__xludf.DUMMYFUNCTION("""COMPUTED_VALUE"""),158.96)</f>
        <v>158.96</v>
      </c>
      <c r="J1232" s="223" t="str">
        <f>IFERROR(__xludf.DUMMYFUNCTION("""COMPUTED_VALUE"""),"Hourly")</f>
        <v>Hourly</v>
      </c>
      <c r="K1232" s="317">
        <f>IFERROR(__xludf.DUMMYFUNCTION("""COMPUTED_VALUE"""),2021.0)</f>
        <v>2021</v>
      </c>
      <c r="L1232" s="298"/>
      <c r="M1232" s="223"/>
      <c r="N1232" s="223"/>
      <c r="O1232" s="223"/>
      <c r="P1232" s="223"/>
      <c r="Q1232" s="223"/>
      <c r="R1232" s="223"/>
      <c r="S1232" s="223"/>
      <c r="T1232" s="223"/>
      <c r="U1232" s="223"/>
      <c r="V1232" s="223"/>
      <c r="W1232" s="223"/>
      <c r="X1232" s="223"/>
      <c r="Y1232" s="223"/>
      <c r="Z1232" s="223"/>
    </row>
    <row r="1233">
      <c r="A1233" s="223" t="str">
        <f>IFERROR(__xludf.DUMMYFUNCTION("""COMPUTED_VALUE"""),"Tuscany : Monthly Services")</f>
        <v>Tuscany : Monthly Services</v>
      </c>
      <c r="B1233" s="223" t="str">
        <f>IFERROR(__xludf.DUMMYFUNCTION("""COMPUTED_VALUE"""),"Tuscany")</f>
        <v>Tuscany</v>
      </c>
      <c r="C1233" s="223" t="str">
        <f>IFERROR(__xludf.DUMMYFUNCTION("""COMPUTED_VALUE"""),"Monthly Services")</f>
        <v>Monthly Services</v>
      </c>
      <c r="D1233" s="316">
        <f>IFERROR(__xludf.DUMMYFUNCTION("""COMPUTED_VALUE"""),44575.0)</f>
        <v>44575</v>
      </c>
      <c r="E1233" s="298"/>
      <c r="F1233" s="298"/>
      <c r="G1233" s="298"/>
      <c r="H1233" s="223"/>
      <c r="I1233" s="298">
        <f>IFERROR(__xludf.DUMMYFUNCTION("""COMPUTED_VALUE"""),750.0)</f>
        <v>750</v>
      </c>
      <c r="J1233" s="223" t="str">
        <f>IFERROR(__xludf.DUMMYFUNCTION("""COMPUTED_VALUE"""),"Monthly")</f>
        <v>Monthly</v>
      </c>
      <c r="K1233" s="317">
        <f>IFERROR(__xludf.DUMMYFUNCTION("""COMPUTED_VALUE"""),2022.01)</f>
        <v>2022.01</v>
      </c>
      <c r="L1233" s="298">
        <f>IFERROR(__xludf.DUMMYFUNCTION("""COMPUTED_VALUE"""),750.0)</f>
        <v>750</v>
      </c>
      <c r="M1233" s="223"/>
      <c r="N1233" s="223"/>
      <c r="O1233" s="223"/>
      <c r="P1233" s="223"/>
      <c r="Q1233" s="223"/>
      <c r="R1233" s="223"/>
      <c r="S1233" s="223"/>
      <c r="T1233" s="223"/>
      <c r="U1233" s="223"/>
      <c r="V1233" s="223"/>
      <c r="W1233" s="223"/>
      <c r="X1233" s="223"/>
      <c r="Y1233" s="223"/>
      <c r="Z1233" s="223"/>
    </row>
    <row r="1234">
      <c r="A1234" s="223" t="str">
        <f>IFERROR(__xludf.DUMMYFUNCTION("""COMPUTED_VALUE"""),"Venetian : Monthly Services")</f>
        <v>Venetian : Monthly Services</v>
      </c>
      <c r="B1234" s="223" t="str">
        <f>IFERROR(__xludf.DUMMYFUNCTION("""COMPUTED_VALUE"""),"Venetian")</f>
        <v>Venetian</v>
      </c>
      <c r="C1234" s="223" t="str">
        <f>IFERROR(__xludf.DUMMYFUNCTION("""COMPUTED_VALUE"""),"Monthly Services")</f>
        <v>Monthly Services</v>
      </c>
      <c r="D1234" s="316">
        <f>IFERROR(__xludf.DUMMYFUNCTION("""COMPUTED_VALUE"""),44577.0)</f>
        <v>44577</v>
      </c>
      <c r="E1234" s="298"/>
      <c r="F1234" s="298"/>
      <c r="G1234" s="298"/>
      <c r="H1234" s="223"/>
      <c r="I1234" s="298">
        <f>IFERROR(__xludf.DUMMYFUNCTION("""COMPUTED_VALUE"""),750.0)</f>
        <v>750</v>
      </c>
      <c r="J1234" s="223" t="str">
        <f>IFERROR(__xludf.DUMMYFUNCTION("""COMPUTED_VALUE"""),"Monthly")</f>
        <v>Monthly</v>
      </c>
      <c r="K1234" s="317">
        <f>IFERROR(__xludf.DUMMYFUNCTION("""COMPUTED_VALUE"""),2022.01)</f>
        <v>2022.01</v>
      </c>
      <c r="L1234" s="298">
        <f>IFERROR(__xludf.DUMMYFUNCTION("""COMPUTED_VALUE"""),750.0)</f>
        <v>750</v>
      </c>
      <c r="M1234" s="223"/>
      <c r="N1234" s="223"/>
      <c r="O1234" s="223"/>
      <c r="P1234" s="223"/>
      <c r="Q1234" s="223"/>
      <c r="R1234" s="223"/>
      <c r="S1234" s="223"/>
      <c r="T1234" s="223"/>
      <c r="U1234" s="223"/>
      <c r="V1234" s="223"/>
      <c r="W1234" s="223"/>
      <c r="X1234" s="223"/>
      <c r="Y1234" s="223"/>
      <c r="Z1234" s="223"/>
    </row>
    <row r="1235">
      <c r="A1235" s="223" t="str">
        <f>IFERROR(__xludf.DUMMYFUNCTION("""COMPUTED_VALUE"""),"PlusROI : Admin")</f>
        <v>PlusROI : Admin</v>
      </c>
      <c r="B1235" s="223" t="str">
        <f>IFERROR(__xludf.DUMMYFUNCTION("""COMPUTED_VALUE"""),"PlusROI")</f>
        <v>PlusROI</v>
      </c>
      <c r="C1235" s="223" t="str">
        <f>IFERROR(__xludf.DUMMYFUNCTION("""COMPUTED_VALUE"""),"Admin")</f>
        <v>Admin</v>
      </c>
      <c r="D1235" s="316">
        <f>IFERROR(__xludf.DUMMYFUNCTION("""COMPUTED_VALUE"""),44544.0)</f>
        <v>44544</v>
      </c>
      <c r="E1235" s="298"/>
      <c r="F1235" s="298"/>
      <c r="G1235" s="298"/>
      <c r="H1235" s="223"/>
      <c r="I1235" s="298">
        <f>IFERROR(__xludf.DUMMYFUNCTION("""COMPUTED_VALUE"""),6.59)</f>
        <v>6.59</v>
      </c>
      <c r="J1235" s="223" t="str">
        <f>IFERROR(__xludf.DUMMYFUNCTION("""COMPUTED_VALUE"""),"Hourly")</f>
        <v>Hourly</v>
      </c>
      <c r="K1235" s="317">
        <f>IFERROR(__xludf.DUMMYFUNCTION("""COMPUTED_VALUE"""),2021.0)</f>
        <v>2021</v>
      </c>
      <c r="L1235" s="298"/>
      <c r="M1235" s="223"/>
      <c r="N1235" s="223"/>
      <c r="O1235" s="223"/>
      <c r="P1235" s="223"/>
      <c r="Q1235" s="223"/>
      <c r="R1235" s="223"/>
      <c r="S1235" s="223"/>
      <c r="T1235" s="223"/>
      <c r="U1235" s="223"/>
      <c r="V1235" s="223"/>
      <c r="W1235" s="223"/>
      <c r="X1235" s="223"/>
      <c r="Y1235" s="223"/>
      <c r="Z1235" s="223"/>
    </row>
    <row r="1236">
      <c r="A1236" s="223" t="str">
        <f>IFERROR(__xludf.DUMMYFUNCTION("""COMPUTED_VALUE"""),"PlusROI : Admin")</f>
        <v>PlusROI : Admin</v>
      </c>
      <c r="B1236" s="223" t="str">
        <f>IFERROR(__xludf.DUMMYFUNCTION("""COMPUTED_VALUE"""),"PlusROI")</f>
        <v>PlusROI</v>
      </c>
      <c r="C1236" s="223" t="str">
        <f>IFERROR(__xludf.DUMMYFUNCTION("""COMPUTED_VALUE"""),"Admin")</f>
        <v>Admin</v>
      </c>
      <c r="D1236" s="316">
        <f>IFERROR(__xludf.DUMMYFUNCTION("""COMPUTED_VALUE"""),44540.0)</f>
        <v>44540</v>
      </c>
      <c r="E1236" s="298"/>
      <c r="F1236" s="298"/>
      <c r="G1236" s="298"/>
      <c r="H1236" s="223"/>
      <c r="I1236" s="298">
        <f>IFERROR(__xludf.DUMMYFUNCTION("""COMPUTED_VALUE"""),29.66)</f>
        <v>29.66</v>
      </c>
      <c r="J1236" s="223" t="str">
        <f>IFERROR(__xludf.DUMMYFUNCTION("""COMPUTED_VALUE"""),"Hourly")</f>
        <v>Hourly</v>
      </c>
      <c r="K1236" s="317">
        <f>IFERROR(__xludf.DUMMYFUNCTION("""COMPUTED_VALUE"""),2021.0)</f>
        <v>2021</v>
      </c>
      <c r="L1236" s="298"/>
      <c r="M1236" s="223"/>
      <c r="N1236" s="223"/>
      <c r="O1236" s="223"/>
      <c r="P1236" s="223"/>
      <c r="Q1236" s="223"/>
      <c r="R1236" s="223"/>
      <c r="S1236" s="223"/>
      <c r="T1236" s="223"/>
      <c r="U1236" s="223"/>
      <c r="V1236" s="223"/>
      <c r="W1236" s="223"/>
      <c r="X1236" s="223"/>
      <c r="Y1236" s="223"/>
      <c r="Z1236" s="223"/>
    </row>
    <row r="1237">
      <c r="A1237" s="223" t="str">
        <f>IFERROR(__xludf.DUMMYFUNCTION("""COMPUTED_VALUE"""),"PlusROI : Admin")</f>
        <v>PlusROI : Admin</v>
      </c>
      <c r="B1237" s="223" t="str">
        <f>IFERROR(__xludf.DUMMYFUNCTION("""COMPUTED_VALUE"""),"PlusROI")</f>
        <v>PlusROI</v>
      </c>
      <c r="C1237" s="223" t="str">
        <f>IFERROR(__xludf.DUMMYFUNCTION("""COMPUTED_VALUE"""),"Admin")</f>
        <v>Admin</v>
      </c>
      <c r="D1237" s="316">
        <f>IFERROR(__xludf.DUMMYFUNCTION("""COMPUTED_VALUE"""),44566.0)</f>
        <v>44566</v>
      </c>
      <c r="E1237" s="298"/>
      <c r="F1237" s="298"/>
      <c r="G1237" s="298"/>
      <c r="H1237" s="223"/>
      <c r="I1237" s="298">
        <f>IFERROR(__xludf.DUMMYFUNCTION("""COMPUTED_VALUE"""),25.51)</f>
        <v>25.51</v>
      </c>
      <c r="J1237" s="223" t="str">
        <f>IFERROR(__xludf.DUMMYFUNCTION("""COMPUTED_VALUE"""),"Hourly")</f>
        <v>Hourly</v>
      </c>
      <c r="K1237" s="317">
        <f>IFERROR(__xludf.DUMMYFUNCTION("""COMPUTED_VALUE"""),2022.0)</f>
        <v>2022</v>
      </c>
      <c r="L1237" s="298"/>
      <c r="M1237" s="223"/>
      <c r="N1237" s="223"/>
      <c r="O1237" s="223"/>
      <c r="P1237" s="223"/>
      <c r="Q1237" s="223"/>
      <c r="R1237" s="223"/>
      <c r="S1237" s="223"/>
      <c r="T1237" s="223"/>
      <c r="U1237" s="223"/>
      <c r="V1237" s="223"/>
      <c r="W1237" s="223"/>
      <c r="X1237" s="223"/>
      <c r="Y1237" s="223"/>
      <c r="Z1237" s="223"/>
    </row>
    <row r="1238">
      <c r="A1238" s="223" t="str">
        <f>IFERROR(__xludf.DUMMYFUNCTION("""COMPUTED_VALUE"""),"Hastings House : Monthly Services")</f>
        <v>Hastings House : Monthly Services</v>
      </c>
      <c r="B1238" s="223" t="str">
        <f>IFERROR(__xludf.DUMMYFUNCTION("""COMPUTED_VALUE"""),"Hastings House")</f>
        <v>Hastings House</v>
      </c>
      <c r="C1238" s="223" t="str">
        <f>IFERROR(__xludf.DUMMYFUNCTION("""COMPUTED_VALUE"""),"Monthly Services")</f>
        <v>Monthly Services</v>
      </c>
      <c r="D1238" s="316">
        <f>IFERROR(__xludf.DUMMYFUNCTION("""COMPUTED_VALUE"""),44568.0)</f>
        <v>44568</v>
      </c>
      <c r="E1238" s="298"/>
      <c r="F1238" s="298"/>
      <c r="G1238" s="298"/>
      <c r="H1238" s="223"/>
      <c r="I1238" s="298">
        <f>IFERROR(__xludf.DUMMYFUNCTION("""COMPUTED_VALUE"""),9.19)</f>
        <v>9.19</v>
      </c>
      <c r="J1238" s="223" t="str">
        <f>IFERROR(__xludf.DUMMYFUNCTION("""COMPUTED_VALUE"""),"Monthly")</f>
        <v>Monthly</v>
      </c>
      <c r="K1238" s="317">
        <f>IFERROR(__xludf.DUMMYFUNCTION("""COMPUTED_VALUE"""),2022.01)</f>
        <v>2022.01</v>
      </c>
      <c r="L1238" s="298"/>
      <c r="M1238" s="223"/>
      <c r="N1238" s="223"/>
      <c r="O1238" s="223"/>
      <c r="P1238" s="223"/>
      <c r="Q1238" s="223"/>
      <c r="R1238" s="223"/>
      <c r="S1238" s="223"/>
      <c r="T1238" s="223"/>
      <c r="U1238" s="223"/>
      <c r="V1238" s="223"/>
      <c r="W1238" s="223"/>
      <c r="X1238" s="223"/>
      <c r="Y1238" s="223"/>
      <c r="Z1238" s="223"/>
    </row>
    <row r="1239">
      <c r="A1239" s="223" t="str">
        <f>IFERROR(__xludf.DUMMYFUNCTION("""COMPUTED_VALUE"""),"PlusROI : Admin")</f>
        <v>PlusROI : Admin</v>
      </c>
      <c r="B1239" s="223" t="str">
        <f>IFERROR(__xludf.DUMMYFUNCTION("""COMPUTED_VALUE"""),"PlusROI")</f>
        <v>PlusROI</v>
      </c>
      <c r="C1239" s="223" t="str">
        <f>IFERROR(__xludf.DUMMYFUNCTION("""COMPUTED_VALUE"""),"Admin")</f>
        <v>Admin</v>
      </c>
      <c r="D1239" s="316">
        <f>IFERROR(__xludf.DUMMYFUNCTION("""COMPUTED_VALUE"""),44568.0)</f>
        <v>44568</v>
      </c>
      <c r="E1239" s="298"/>
      <c r="F1239" s="298"/>
      <c r="G1239" s="298"/>
      <c r="H1239" s="223"/>
      <c r="I1239" s="298">
        <f>IFERROR(__xludf.DUMMYFUNCTION("""COMPUTED_VALUE"""),65.01)</f>
        <v>65.01</v>
      </c>
      <c r="J1239" s="223" t="str">
        <f>IFERROR(__xludf.DUMMYFUNCTION("""COMPUTED_VALUE"""),"Hourly")</f>
        <v>Hourly</v>
      </c>
      <c r="K1239" s="317">
        <f>IFERROR(__xludf.DUMMYFUNCTION("""COMPUTED_VALUE"""),2022.0)</f>
        <v>2022</v>
      </c>
      <c r="L1239" s="298"/>
      <c r="M1239" s="223"/>
      <c r="N1239" s="223"/>
      <c r="O1239" s="223"/>
      <c r="P1239" s="223"/>
      <c r="Q1239" s="223"/>
      <c r="R1239" s="223"/>
      <c r="S1239" s="223"/>
      <c r="T1239" s="223"/>
      <c r="U1239" s="223"/>
      <c r="V1239" s="223"/>
      <c r="W1239" s="223"/>
      <c r="X1239" s="223"/>
      <c r="Y1239" s="223"/>
      <c r="Z1239" s="223"/>
    </row>
    <row r="1240">
      <c r="A1240" s="223" t="str">
        <f>IFERROR(__xludf.DUMMYFUNCTION("""COMPUTED_VALUE"""),"PlusROI : Overhead")</f>
        <v>PlusROI : Overhead</v>
      </c>
      <c r="B1240" s="223" t="str">
        <f>IFERROR(__xludf.DUMMYFUNCTION("""COMPUTED_VALUE"""),"PlusROI")</f>
        <v>PlusROI</v>
      </c>
      <c r="C1240" s="223" t="str">
        <f>IFERROR(__xludf.DUMMYFUNCTION("""COMPUTED_VALUE"""),"Overhead")</f>
        <v>Overhead</v>
      </c>
      <c r="D1240" s="316">
        <f>IFERROR(__xludf.DUMMYFUNCTION("""COMPUTED_VALUE"""),44557.0)</f>
        <v>44557</v>
      </c>
      <c r="E1240" s="298"/>
      <c r="F1240" s="298"/>
      <c r="G1240" s="298"/>
      <c r="H1240" s="223"/>
      <c r="I1240" s="298">
        <f>IFERROR(__xludf.DUMMYFUNCTION("""COMPUTED_VALUE"""),51.97)</f>
        <v>51.97</v>
      </c>
      <c r="J1240" s="223" t="str">
        <f>IFERROR(__xludf.DUMMYFUNCTION("""COMPUTED_VALUE"""),"Hourly")</f>
        <v>Hourly</v>
      </c>
      <c r="K1240" s="317">
        <f>IFERROR(__xludf.DUMMYFUNCTION("""COMPUTED_VALUE"""),2021.0)</f>
        <v>2021</v>
      </c>
      <c r="L1240" s="298"/>
      <c r="M1240" s="223"/>
      <c r="N1240" s="223"/>
      <c r="O1240" s="223"/>
      <c r="P1240" s="223"/>
      <c r="Q1240" s="223"/>
      <c r="R1240" s="223"/>
      <c r="S1240" s="223"/>
      <c r="T1240" s="223"/>
      <c r="U1240" s="223"/>
      <c r="V1240" s="223"/>
      <c r="W1240" s="223"/>
      <c r="X1240" s="223"/>
      <c r="Y1240" s="223"/>
      <c r="Z1240" s="223"/>
    </row>
    <row r="1241">
      <c r="A1241" s="223" t="str">
        <f>IFERROR(__xludf.DUMMYFUNCTION("""COMPUTED_VALUE"""),"VIATeC : Arostegui Studio				")</f>
        <v>VIATeC : Arostegui Studio				</v>
      </c>
      <c r="B1241" s="223" t="str">
        <f>IFERROR(__xludf.DUMMYFUNCTION("""COMPUTED_VALUE"""),"VIATeC")</f>
        <v>VIATeC</v>
      </c>
      <c r="C1241" s="223" t="str">
        <f>IFERROR(__xludf.DUMMYFUNCTION("""COMPUTED_VALUE"""),"Arostegui Studio")</f>
        <v>Arostegui Studio</v>
      </c>
      <c r="D1241" s="316">
        <f>IFERROR(__xludf.DUMMYFUNCTION("""COMPUTED_VALUE"""),44562.0)</f>
        <v>44562</v>
      </c>
      <c r="E1241" s="298"/>
      <c r="F1241" s="298"/>
      <c r="G1241" s="298"/>
      <c r="H1241" s="223"/>
      <c r="I1241" s="298">
        <f>IFERROR(__xludf.DUMMYFUNCTION("""COMPUTED_VALUE"""),80.83)</f>
        <v>80.83</v>
      </c>
      <c r="J1241" s="223" t="str">
        <f>IFERROR(__xludf.DUMMYFUNCTION("""COMPUTED_VALUE"""),"Fixed Project")</f>
        <v>Fixed Project</v>
      </c>
      <c r="K1241" s="317">
        <f>IFERROR(__xludf.DUMMYFUNCTION("""COMPUTED_VALUE"""),2022.0)</f>
        <v>2022</v>
      </c>
      <c r="L1241" s="298">
        <f>IFERROR(__xludf.DUMMYFUNCTION("""COMPUTED_VALUE"""),80.83)</f>
        <v>80.83</v>
      </c>
      <c r="M1241" s="223"/>
      <c r="N1241" s="223"/>
      <c r="O1241" s="223"/>
      <c r="P1241" s="223"/>
      <c r="Q1241" s="223"/>
      <c r="R1241" s="223"/>
      <c r="S1241" s="223"/>
      <c r="T1241" s="223"/>
      <c r="U1241" s="223"/>
      <c r="V1241" s="223"/>
      <c r="W1241" s="223"/>
      <c r="X1241" s="223"/>
      <c r="Y1241" s="223"/>
      <c r="Z1241" s="223"/>
    </row>
    <row r="1242">
      <c r="A1242" s="223" t="str">
        <f>IFERROR(__xludf.DUMMYFUNCTION("""COMPUTED_VALUE"""),"Allsalt : SEO Review")</f>
        <v>Allsalt : SEO Review</v>
      </c>
      <c r="B1242" s="223" t="str">
        <f>IFERROR(__xludf.DUMMYFUNCTION("""COMPUTED_VALUE"""),"Allsalt")</f>
        <v>Allsalt</v>
      </c>
      <c r="C1242" s="223" t="str">
        <f>IFERROR(__xludf.DUMMYFUNCTION("""COMPUTED_VALUE"""),"SEO Review")</f>
        <v>SEO Review</v>
      </c>
      <c r="D1242" s="316">
        <f>IFERROR(__xludf.DUMMYFUNCTION("""COMPUTED_VALUE"""),44592.0)</f>
        <v>44592</v>
      </c>
      <c r="E1242" s="298"/>
      <c r="F1242" s="298"/>
      <c r="G1242" s="298"/>
      <c r="H1242" s="223"/>
      <c r="I1242" s="298">
        <f>IFERROR(__xludf.DUMMYFUNCTION("""COMPUTED_VALUE"""),12.6)</f>
        <v>12.6</v>
      </c>
      <c r="J1242" s="223" t="str">
        <f>IFERROR(__xludf.DUMMYFUNCTION("""COMPUTED_VALUE"""),"Fixed Project")</f>
        <v>Fixed Project</v>
      </c>
      <c r="K1242" s="317">
        <f>IFERROR(__xludf.DUMMYFUNCTION("""COMPUTED_VALUE"""),2022.0)</f>
        <v>2022</v>
      </c>
      <c r="L1242" s="298"/>
      <c r="M1242" s="223"/>
      <c r="N1242" s="223"/>
      <c r="O1242" s="223"/>
      <c r="P1242" s="223"/>
      <c r="Q1242" s="223"/>
      <c r="R1242" s="223"/>
      <c r="S1242" s="223"/>
      <c r="T1242" s="223"/>
      <c r="U1242" s="223"/>
      <c r="V1242" s="223"/>
      <c r="W1242" s="223"/>
      <c r="X1242" s="223"/>
      <c r="Y1242" s="223"/>
      <c r="Z1242" s="223"/>
    </row>
    <row r="1243">
      <c r="A1243" s="223" t="str">
        <f>IFERROR(__xludf.DUMMYFUNCTION("""COMPUTED_VALUE"""),"Argos Products : Monthly Services")</f>
        <v>Argos Products : Monthly Services</v>
      </c>
      <c r="B1243" s="223" t="str">
        <f>IFERROR(__xludf.DUMMYFUNCTION("""COMPUTED_VALUE"""),"Argos Products")</f>
        <v>Argos Products</v>
      </c>
      <c r="C1243" s="223" t="str">
        <f>IFERROR(__xludf.DUMMYFUNCTION("""COMPUTED_VALUE"""),"Monthly Services")</f>
        <v>Monthly Services</v>
      </c>
      <c r="D1243" s="316">
        <f>IFERROR(__xludf.DUMMYFUNCTION("""COMPUTED_VALUE"""),44592.0)</f>
        <v>44592</v>
      </c>
      <c r="E1243" s="298"/>
      <c r="F1243" s="298"/>
      <c r="G1243" s="298"/>
      <c r="H1243" s="223"/>
      <c r="I1243" s="298">
        <f>IFERROR(__xludf.DUMMYFUNCTION("""COMPUTED_VALUE"""),263.1)</f>
        <v>263.1</v>
      </c>
      <c r="J1243" s="223" t="str">
        <f>IFERROR(__xludf.DUMMYFUNCTION("""COMPUTED_VALUE"""),"Monthly")</f>
        <v>Monthly</v>
      </c>
      <c r="K1243" s="317">
        <f>IFERROR(__xludf.DUMMYFUNCTION("""COMPUTED_VALUE"""),2022.01)</f>
        <v>2022.01</v>
      </c>
      <c r="L1243" s="298"/>
      <c r="M1243" s="223"/>
      <c r="N1243" s="223"/>
      <c r="O1243" s="223"/>
      <c r="P1243" s="223"/>
      <c r="Q1243" s="223"/>
      <c r="R1243" s="223"/>
      <c r="S1243" s="223"/>
      <c r="T1243" s="223"/>
      <c r="U1243" s="223"/>
      <c r="V1243" s="223"/>
      <c r="W1243" s="223"/>
      <c r="X1243" s="223"/>
      <c r="Y1243" s="223"/>
      <c r="Z1243" s="223"/>
    </row>
    <row r="1244">
      <c r="A1244" s="223" t="str">
        <f>IFERROR(__xludf.DUMMYFUNCTION("""COMPUTED_VALUE"""),"VIATeC : Motorcycle Offsetters")</f>
        <v>VIATeC : Motorcycle Offsetters</v>
      </c>
      <c r="B1244" s="223" t="str">
        <f>IFERROR(__xludf.DUMMYFUNCTION("""COMPUTED_VALUE"""),"VIATeC")</f>
        <v>VIATeC</v>
      </c>
      <c r="C1244" s="223" t="str">
        <f>IFERROR(__xludf.DUMMYFUNCTION("""COMPUTED_VALUE"""),"Motorcycle Offsetters")</f>
        <v>Motorcycle Offsetters</v>
      </c>
      <c r="D1244" s="316">
        <f>IFERROR(__xludf.DUMMYFUNCTION("""COMPUTED_VALUE"""),44592.0)</f>
        <v>44592</v>
      </c>
      <c r="E1244" s="298"/>
      <c r="F1244" s="298"/>
      <c r="G1244" s="298"/>
      <c r="H1244" s="223"/>
      <c r="I1244" s="298">
        <f>IFERROR(__xludf.DUMMYFUNCTION("""COMPUTED_VALUE"""),750.0)</f>
        <v>750</v>
      </c>
      <c r="J1244" s="223" t="str">
        <f>IFERROR(__xludf.DUMMYFUNCTION("""COMPUTED_VALUE"""),"Fixed Project")</f>
        <v>Fixed Project</v>
      </c>
      <c r="K1244" s="317">
        <f>IFERROR(__xludf.DUMMYFUNCTION("""COMPUTED_VALUE"""),2022.0)</f>
        <v>2022</v>
      </c>
      <c r="L1244" s="298"/>
      <c r="M1244" s="223"/>
      <c r="N1244" s="223"/>
      <c r="O1244" s="223"/>
      <c r="P1244" s="223"/>
      <c r="Q1244" s="223"/>
      <c r="R1244" s="223"/>
      <c r="S1244" s="223"/>
      <c r="T1244" s="223"/>
      <c r="U1244" s="223"/>
      <c r="V1244" s="223"/>
      <c r="W1244" s="223"/>
      <c r="X1244" s="223"/>
      <c r="Y1244" s="223"/>
      <c r="Z1244" s="223"/>
    </row>
    <row r="1245">
      <c r="A1245" s="223" t="str">
        <f>IFERROR(__xludf.DUMMYFUNCTION("""COMPUTED_VALUE"""),"Service First : Monthly Services")</f>
        <v>Service First : Monthly Services</v>
      </c>
      <c r="B1245" s="223" t="str">
        <f>IFERROR(__xludf.DUMMYFUNCTION("""COMPUTED_VALUE"""),"Service First")</f>
        <v>Service First</v>
      </c>
      <c r="C1245" s="223" t="str">
        <f>IFERROR(__xludf.DUMMYFUNCTION("""COMPUTED_VALUE"""),"Monthly Services")</f>
        <v>Monthly Services</v>
      </c>
      <c r="D1245" s="316">
        <f>IFERROR(__xludf.DUMMYFUNCTION("""COMPUTED_VALUE"""),44592.0)</f>
        <v>44592</v>
      </c>
      <c r="E1245" s="298"/>
      <c r="F1245" s="298"/>
      <c r="G1245" s="298"/>
      <c r="H1245" s="223"/>
      <c r="I1245" s="298">
        <f>IFERROR(__xludf.DUMMYFUNCTION("""COMPUTED_VALUE"""),125.0)</f>
        <v>125</v>
      </c>
      <c r="J1245" s="223" t="str">
        <f>IFERROR(__xludf.DUMMYFUNCTION("""COMPUTED_VALUE"""),"Monthly")</f>
        <v>Monthly</v>
      </c>
      <c r="K1245" s="317">
        <f>IFERROR(__xludf.DUMMYFUNCTION("""COMPUTED_VALUE"""),2022.01)</f>
        <v>2022.01</v>
      </c>
      <c r="L1245" s="298"/>
      <c r="M1245" s="223"/>
      <c r="N1245" s="223"/>
      <c r="O1245" s="223"/>
      <c r="P1245" s="223"/>
      <c r="Q1245" s="223"/>
      <c r="R1245" s="223"/>
      <c r="S1245" s="223"/>
      <c r="T1245" s="223"/>
      <c r="U1245" s="223"/>
      <c r="V1245" s="223"/>
      <c r="W1245" s="223"/>
      <c r="X1245" s="223"/>
      <c r="Y1245" s="223"/>
      <c r="Z1245" s="223"/>
    </row>
    <row r="1246">
      <c r="A1246" s="223" t="str">
        <f>IFERROR(__xludf.DUMMYFUNCTION("""COMPUTED_VALUE"""),"BookKing (Pacific Tier) : Monthly Services")</f>
        <v>BookKing (Pacific Tier) : Monthly Services</v>
      </c>
      <c r="B1246" s="223" t="str">
        <f>IFERROR(__xludf.DUMMYFUNCTION("""COMPUTED_VALUE"""),"BookKing (Pacific Tier)")</f>
        <v>BookKing (Pacific Tier)</v>
      </c>
      <c r="C1246" s="223" t="str">
        <f>IFERROR(__xludf.DUMMYFUNCTION("""COMPUTED_VALUE"""),"Monthly Services")</f>
        <v>Monthly Services</v>
      </c>
      <c r="D1246" s="316">
        <f>IFERROR(__xludf.DUMMYFUNCTION("""COMPUTED_VALUE"""),44592.0)</f>
        <v>44592</v>
      </c>
      <c r="E1246" s="298"/>
      <c r="F1246" s="298"/>
      <c r="G1246" s="298"/>
      <c r="H1246" s="223"/>
      <c r="I1246" s="298">
        <f>IFERROR(__xludf.DUMMYFUNCTION("""COMPUTED_VALUE"""),200.0)</f>
        <v>200</v>
      </c>
      <c r="J1246" s="223" t="str">
        <f>IFERROR(__xludf.DUMMYFUNCTION("""COMPUTED_VALUE"""),"Monthly")</f>
        <v>Monthly</v>
      </c>
      <c r="K1246" s="317">
        <f>IFERROR(__xludf.DUMMYFUNCTION("""COMPUTED_VALUE"""),2022.01)</f>
        <v>2022.01</v>
      </c>
      <c r="L1246" s="298"/>
      <c r="M1246" s="223"/>
      <c r="N1246" s="223"/>
      <c r="O1246" s="223"/>
      <c r="P1246" s="223"/>
      <c r="Q1246" s="223"/>
      <c r="R1246" s="223"/>
      <c r="S1246" s="223"/>
      <c r="T1246" s="223"/>
      <c r="U1246" s="223"/>
      <c r="V1246" s="223"/>
      <c r="W1246" s="223"/>
      <c r="X1246" s="223"/>
      <c r="Y1246" s="223"/>
      <c r="Z1246" s="223"/>
    </row>
    <row r="1247">
      <c r="A1247" s="223" t="str">
        <f>IFERROR(__xludf.DUMMYFUNCTION("""COMPUTED_VALUE"""),"MortgagePal : Monthly Services")</f>
        <v>MortgagePal : Monthly Services</v>
      </c>
      <c r="B1247" s="223" t="str">
        <f>IFERROR(__xludf.DUMMYFUNCTION("""COMPUTED_VALUE"""),"MortgagePal")</f>
        <v>MortgagePal</v>
      </c>
      <c r="C1247" s="223" t="str">
        <f>IFERROR(__xludf.DUMMYFUNCTION("""COMPUTED_VALUE"""),"Monthly Services")</f>
        <v>Monthly Services</v>
      </c>
      <c r="D1247" s="316">
        <f>IFERROR(__xludf.DUMMYFUNCTION("""COMPUTED_VALUE"""),44592.0)</f>
        <v>44592</v>
      </c>
      <c r="E1247" s="298"/>
      <c r="F1247" s="298"/>
      <c r="G1247" s="298"/>
      <c r="H1247" s="223"/>
      <c r="I1247" s="298">
        <f>IFERROR(__xludf.DUMMYFUNCTION("""COMPUTED_VALUE"""),212.5)</f>
        <v>212.5</v>
      </c>
      <c r="J1247" s="223" t="str">
        <f>IFERROR(__xludf.DUMMYFUNCTION("""COMPUTED_VALUE"""),"Monthly")</f>
        <v>Monthly</v>
      </c>
      <c r="K1247" s="317">
        <f>IFERROR(__xludf.DUMMYFUNCTION("""COMPUTED_VALUE"""),2022.01)</f>
        <v>2022.01</v>
      </c>
      <c r="L1247" s="298"/>
      <c r="M1247" s="223"/>
      <c r="N1247" s="223"/>
      <c r="O1247" s="223"/>
      <c r="P1247" s="223"/>
      <c r="Q1247" s="223"/>
      <c r="R1247" s="223"/>
      <c r="S1247" s="223"/>
      <c r="T1247" s="223"/>
      <c r="U1247" s="223"/>
      <c r="V1247" s="223"/>
      <c r="W1247" s="223"/>
      <c r="X1247" s="223"/>
      <c r="Y1247" s="223"/>
      <c r="Z1247" s="223"/>
    </row>
    <row r="1248">
      <c r="A1248" s="223" t="str">
        <f>IFERROR(__xludf.DUMMYFUNCTION("""COMPUTED_VALUE"""),"Wallack's Art Supplies : Monthly Services")</f>
        <v>Wallack's Art Supplies : Monthly Services</v>
      </c>
      <c r="B1248" s="223" t="str">
        <f>IFERROR(__xludf.DUMMYFUNCTION("""COMPUTED_VALUE"""),"Wallack's Art Supplies")</f>
        <v>Wallack's Art Supplies</v>
      </c>
      <c r="C1248" s="223" t="str">
        <f>IFERROR(__xludf.DUMMYFUNCTION("""COMPUTED_VALUE"""),"Monthly Services")</f>
        <v>Monthly Services</v>
      </c>
      <c r="D1248" s="316">
        <f>IFERROR(__xludf.DUMMYFUNCTION("""COMPUTED_VALUE"""),44592.0)</f>
        <v>44592</v>
      </c>
      <c r="E1248" s="298"/>
      <c r="F1248" s="298"/>
      <c r="G1248" s="298"/>
      <c r="H1248" s="223"/>
      <c r="I1248" s="298">
        <f>IFERROR(__xludf.DUMMYFUNCTION("""COMPUTED_VALUE"""),250.0)</f>
        <v>250</v>
      </c>
      <c r="J1248" s="223" t="str">
        <f>IFERROR(__xludf.DUMMYFUNCTION("""COMPUTED_VALUE"""),"Monthly")</f>
        <v>Monthly</v>
      </c>
      <c r="K1248" s="317">
        <f>IFERROR(__xludf.DUMMYFUNCTION("""COMPUTED_VALUE"""),2022.01)</f>
        <v>2022.01</v>
      </c>
      <c r="L1248" s="298"/>
      <c r="M1248" s="223"/>
      <c r="N1248" s="223"/>
      <c r="O1248" s="223"/>
      <c r="P1248" s="223"/>
      <c r="Q1248" s="223"/>
      <c r="R1248" s="223"/>
      <c r="S1248" s="223"/>
      <c r="T1248" s="223"/>
      <c r="U1248" s="223"/>
      <c r="V1248" s="223"/>
      <c r="W1248" s="223"/>
      <c r="X1248" s="223"/>
      <c r="Y1248" s="223"/>
      <c r="Z1248" s="223"/>
    </row>
    <row r="1249">
      <c r="A1249" s="223" t="str">
        <f>IFERROR(__xludf.DUMMYFUNCTION("""COMPUTED_VALUE"""),"Hey Blinds : Monthly Services")</f>
        <v>Hey Blinds : Monthly Services</v>
      </c>
      <c r="B1249" s="223" t="str">
        <f>IFERROR(__xludf.DUMMYFUNCTION("""COMPUTED_VALUE"""),"Hey Blinds")</f>
        <v>Hey Blinds</v>
      </c>
      <c r="C1249" s="223" t="str">
        <f>IFERROR(__xludf.DUMMYFUNCTION("""COMPUTED_VALUE"""),"Monthly Services")</f>
        <v>Monthly Services</v>
      </c>
      <c r="D1249" s="316">
        <f>IFERROR(__xludf.DUMMYFUNCTION("""COMPUTED_VALUE"""),44592.0)</f>
        <v>44592</v>
      </c>
      <c r="E1249" s="298"/>
      <c r="F1249" s="298"/>
      <c r="G1249" s="298"/>
      <c r="H1249" s="223"/>
      <c r="I1249" s="298">
        <f>IFERROR(__xludf.DUMMYFUNCTION("""COMPUTED_VALUE"""),250.0)</f>
        <v>250</v>
      </c>
      <c r="J1249" s="223" t="str">
        <f>IFERROR(__xludf.DUMMYFUNCTION("""COMPUTED_VALUE"""),"Monthly")</f>
        <v>Monthly</v>
      </c>
      <c r="K1249" s="317">
        <f>IFERROR(__xludf.DUMMYFUNCTION("""COMPUTED_VALUE"""),2022.01)</f>
        <v>2022.01</v>
      </c>
      <c r="L1249" s="298"/>
      <c r="M1249" s="223"/>
      <c r="N1249" s="223"/>
      <c r="O1249" s="223"/>
      <c r="P1249" s="223"/>
      <c r="Q1249" s="223"/>
      <c r="R1249" s="223"/>
      <c r="S1249" s="223"/>
      <c r="T1249" s="223"/>
      <c r="U1249" s="223"/>
      <c r="V1249" s="223"/>
      <c r="W1249" s="223"/>
      <c r="X1249" s="223"/>
      <c r="Y1249" s="223"/>
      <c r="Z1249" s="223"/>
    </row>
    <row r="1250">
      <c r="A1250" s="223" t="str">
        <f>IFERROR(__xludf.DUMMYFUNCTION("""COMPUTED_VALUE"""),"VIATeC : Nezza Naturals DER3")</f>
        <v>VIATeC : Nezza Naturals DER3</v>
      </c>
      <c r="B1250" s="223" t="str">
        <f>IFERROR(__xludf.DUMMYFUNCTION("""COMPUTED_VALUE"""),"VIATeC")</f>
        <v>VIATeC</v>
      </c>
      <c r="C1250" s="223" t="str">
        <f>IFERROR(__xludf.DUMMYFUNCTION("""COMPUTED_VALUE"""),"Nezza Naturals DER3")</f>
        <v>Nezza Naturals DER3</v>
      </c>
      <c r="D1250" s="316">
        <f>IFERROR(__xludf.DUMMYFUNCTION("""COMPUTED_VALUE"""),44592.0)</f>
        <v>44592</v>
      </c>
      <c r="E1250" s="298"/>
      <c r="F1250" s="298"/>
      <c r="G1250" s="298"/>
      <c r="H1250" s="223"/>
      <c r="I1250" s="298">
        <f>IFERROR(__xludf.DUMMYFUNCTION("""COMPUTED_VALUE"""),150.0)</f>
        <v>150</v>
      </c>
      <c r="J1250" s="223" t="str">
        <f>IFERROR(__xludf.DUMMYFUNCTION("""COMPUTED_VALUE"""),"Fixed Project")</f>
        <v>Fixed Project</v>
      </c>
      <c r="K1250" s="317">
        <f>IFERROR(__xludf.DUMMYFUNCTION("""COMPUTED_VALUE"""),2022.0)</f>
        <v>2022</v>
      </c>
      <c r="L1250" s="298"/>
      <c r="M1250" s="223"/>
      <c r="N1250" s="223"/>
      <c r="O1250" s="223"/>
      <c r="P1250" s="223"/>
      <c r="Q1250" s="223"/>
      <c r="R1250" s="223"/>
      <c r="S1250" s="223"/>
      <c r="T1250" s="223"/>
      <c r="U1250" s="223"/>
      <c r="V1250" s="223"/>
      <c r="W1250" s="223"/>
      <c r="X1250" s="223"/>
      <c r="Y1250" s="223"/>
      <c r="Z1250" s="223"/>
    </row>
    <row r="1251">
      <c r="A1251" s="223" t="str">
        <f>IFERROR(__xludf.DUMMYFUNCTION("""COMPUTED_VALUE"""),"Anook Athletics : Monthly Services")</f>
        <v>Anook Athletics : Monthly Services</v>
      </c>
      <c r="B1251" s="223" t="str">
        <f>IFERROR(__xludf.DUMMYFUNCTION("""COMPUTED_VALUE"""),"Anook Athletics")</f>
        <v>Anook Athletics</v>
      </c>
      <c r="C1251" s="223" t="str">
        <f>IFERROR(__xludf.DUMMYFUNCTION("""COMPUTED_VALUE"""),"Monthly Services")</f>
        <v>Monthly Services</v>
      </c>
      <c r="D1251" s="316">
        <f>IFERROR(__xludf.DUMMYFUNCTION("""COMPUTED_VALUE"""),44592.0)</f>
        <v>44592</v>
      </c>
      <c r="E1251" s="298"/>
      <c r="F1251" s="298"/>
      <c r="G1251" s="298"/>
      <c r="H1251" s="223"/>
      <c r="I1251" s="298">
        <f>IFERROR(__xludf.DUMMYFUNCTION("""COMPUTED_VALUE"""),150.0)</f>
        <v>150</v>
      </c>
      <c r="J1251" s="223" t="str">
        <f>IFERROR(__xludf.DUMMYFUNCTION("""COMPUTED_VALUE"""),"Monthly")</f>
        <v>Monthly</v>
      </c>
      <c r="K1251" s="317">
        <f>IFERROR(__xludf.DUMMYFUNCTION("""COMPUTED_VALUE"""),2022.01)</f>
        <v>2022.01</v>
      </c>
      <c r="L1251" s="298"/>
      <c r="M1251" s="223"/>
      <c r="N1251" s="223"/>
      <c r="O1251" s="223"/>
      <c r="P1251" s="223"/>
      <c r="Q1251" s="223"/>
      <c r="R1251" s="223"/>
      <c r="S1251" s="223"/>
      <c r="T1251" s="223"/>
      <c r="U1251" s="223"/>
      <c r="V1251" s="223"/>
      <c r="W1251" s="223"/>
      <c r="X1251" s="223"/>
      <c r="Y1251" s="223"/>
      <c r="Z1251" s="223"/>
    </row>
    <row r="1252">
      <c r="A1252" s="223" t="str">
        <f>IFERROR(__xludf.DUMMYFUNCTION("""COMPUTED_VALUE"""),"C360 : SEO Implementation")</f>
        <v>C360 : SEO Implementation</v>
      </c>
      <c r="B1252" s="223" t="str">
        <f>IFERROR(__xludf.DUMMYFUNCTION("""COMPUTED_VALUE"""),"C360")</f>
        <v>C360</v>
      </c>
      <c r="C1252" s="223" t="str">
        <f>IFERROR(__xludf.DUMMYFUNCTION("""COMPUTED_VALUE"""),"SEO Implementation")</f>
        <v>SEO Implementation</v>
      </c>
      <c r="D1252" s="316">
        <f>IFERROR(__xludf.DUMMYFUNCTION("""COMPUTED_VALUE"""),44592.0)</f>
        <v>44592</v>
      </c>
      <c r="E1252" s="298"/>
      <c r="F1252" s="298"/>
      <c r="G1252" s="298"/>
      <c r="H1252" s="223"/>
      <c r="I1252" s="298">
        <f>IFERROR(__xludf.DUMMYFUNCTION("""COMPUTED_VALUE"""),175.0)</f>
        <v>175</v>
      </c>
      <c r="J1252" s="223" t="str">
        <f>IFERROR(__xludf.DUMMYFUNCTION("""COMPUTED_VALUE"""),"Fixed Project")</f>
        <v>Fixed Project</v>
      </c>
      <c r="K1252" s="317">
        <f>IFERROR(__xludf.DUMMYFUNCTION("""COMPUTED_VALUE"""),2022.0)</f>
        <v>2022</v>
      </c>
      <c r="L1252" s="298"/>
      <c r="M1252" s="223"/>
      <c r="N1252" s="223"/>
      <c r="O1252" s="223"/>
      <c r="P1252" s="223"/>
      <c r="Q1252" s="223"/>
      <c r="R1252" s="223"/>
      <c r="S1252" s="223"/>
      <c r="T1252" s="223"/>
      <c r="U1252" s="223"/>
      <c r="V1252" s="223"/>
      <c r="W1252" s="223"/>
      <c r="X1252" s="223"/>
      <c r="Y1252" s="223"/>
      <c r="Z1252" s="223"/>
    </row>
    <row r="1253">
      <c r="A1253" s="223" t="str">
        <f>IFERROR(__xludf.DUMMYFUNCTION("""COMPUTED_VALUE"""),"PlusROI : Marketing")</f>
        <v>PlusROI : Marketing</v>
      </c>
      <c r="B1253" s="223" t="str">
        <f>IFERROR(__xludf.DUMMYFUNCTION("""COMPUTED_VALUE"""),"PlusROI")</f>
        <v>PlusROI</v>
      </c>
      <c r="C1253" s="223" t="str">
        <f>IFERROR(__xludf.DUMMYFUNCTION("""COMPUTED_VALUE"""),"Marketing")</f>
        <v>Marketing</v>
      </c>
      <c r="D1253" s="316">
        <f>IFERROR(__xludf.DUMMYFUNCTION("""COMPUTED_VALUE"""),44592.0)</f>
        <v>44592</v>
      </c>
      <c r="E1253" s="298"/>
      <c r="F1253" s="298"/>
      <c r="G1253" s="298"/>
      <c r="H1253" s="223"/>
      <c r="I1253" s="298">
        <f>IFERROR(__xludf.DUMMYFUNCTION("""COMPUTED_VALUE"""),112.5)</f>
        <v>112.5</v>
      </c>
      <c r="J1253" s="223" t="str">
        <f>IFERROR(__xludf.DUMMYFUNCTION("""COMPUTED_VALUE"""),"Hourly")</f>
        <v>Hourly</v>
      </c>
      <c r="K1253" s="317">
        <f>IFERROR(__xludf.DUMMYFUNCTION("""COMPUTED_VALUE"""),2022.0)</f>
        <v>2022</v>
      </c>
      <c r="L1253" s="298"/>
      <c r="M1253" s="223"/>
      <c r="N1253" s="223"/>
      <c r="O1253" s="223"/>
      <c r="P1253" s="223"/>
      <c r="Q1253" s="223"/>
      <c r="R1253" s="223"/>
      <c r="S1253" s="223"/>
      <c r="T1253" s="223"/>
      <c r="U1253" s="223"/>
      <c r="V1253" s="223"/>
      <c r="W1253" s="223"/>
      <c r="X1253" s="223"/>
      <c r="Y1253" s="223"/>
      <c r="Z1253" s="223"/>
    </row>
    <row r="1254">
      <c r="A1254" s="223" t="str">
        <f>IFERROR(__xludf.DUMMYFUNCTION("""COMPUTED_VALUE"""),"Frank &amp; Ellis : Online Presence Review + PPC Setup")</f>
        <v>Frank &amp; Ellis : Online Presence Review + PPC Setup</v>
      </c>
      <c r="B1254" s="223" t="str">
        <f>IFERROR(__xludf.DUMMYFUNCTION("""COMPUTED_VALUE"""),"Frank &amp; Ellis")</f>
        <v>Frank &amp; Ellis</v>
      </c>
      <c r="C1254" s="223" t="str">
        <f>IFERROR(__xludf.DUMMYFUNCTION("""COMPUTED_VALUE"""),"Online Presence Review + PPC Setup")</f>
        <v>Online Presence Review + PPC Setup</v>
      </c>
      <c r="D1254" s="316">
        <f>IFERROR(__xludf.DUMMYFUNCTION("""COMPUTED_VALUE"""),44592.0)</f>
        <v>44592</v>
      </c>
      <c r="E1254" s="298"/>
      <c r="F1254" s="298"/>
      <c r="G1254" s="298"/>
      <c r="H1254" s="223"/>
      <c r="I1254" s="298">
        <f>IFERROR(__xludf.DUMMYFUNCTION("""COMPUTED_VALUE"""),175.0)</f>
        <v>175</v>
      </c>
      <c r="J1254" s="223" t="str">
        <f>IFERROR(__xludf.DUMMYFUNCTION("""COMPUTED_VALUE"""),"Fixed Project")</f>
        <v>Fixed Project</v>
      </c>
      <c r="K1254" s="317">
        <f>IFERROR(__xludf.DUMMYFUNCTION("""COMPUTED_VALUE"""),2022.0)</f>
        <v>2022</v>
      </c>
      <c r="L1254" s="298"/>
      <c r="M1254" s="223"/>
      <c r="N1254" s="223"/>
      <c r="O1254" s="223"/>
      <c r="P1254" s="223"/>
      <c r="Q1254" s="223"/>
      <c r="R1254" s="223"/>
      <c r="S1254" s="223"/>
      <c r="T1254" s="223"/>
      <c r="U1254" s="223"/>
      <c r="V1254" s="223"/>
      <c r="W1254" s="223"/>
      <c r="X1254" s="223"/>
      <c r="Y1254" s="223"/>
      <c r="Z1254" s="223"/>
    </row>
    <row r="1255">
      <c r="A1255" s="223" t="str">
        <f>IFERROR(__xludf.DUMMYFUNCTION("""COMPUTED_VALUE"""),"Monk : Monthly Services")</f>
        <v>Monk : Monthly Services</v>
      </c>
      <c r="B1255" s="223" t="str">
        <f>IFERROR(__xludf.DUMMYFUNCTION("""COMPUTED_VALUE"""),"Monk")</f>
        <v>Monk</v>
      </c>
      <c r="C1255" s="223" t="str">
        <f>IFERROR(__xludf.DUMMYFUNCTION("""COMPUTED_VALUE"""),"Monthly Services")</f>
        <v>Monthly Services</v>
      </c>
      <c r="D1255" s="316">
        <f>IFERROR(__xludf.DUMMYFUNCTION("""COMPUTED_VALUE"""),44592.0)</f>
        <v>44592</v>
      </c>
      <c r="E1255" s="298"/>
      <c r="F1255" s="298"/>
      <c r="G1255" s="298"/>
      <c r="H1255" s="223"/>
      <c r="I1255" s="298">
        <f>IFERROR(__xludf.DUMMYFUNCTION("""COMPUTED_VALUE"""),250.0)</f>
        <v>250</v>
      </c>
      <c r="J1255" s="223" t="str">
        <f>IFERROR(__xludf.DUMMYFUNCTION("""COMPUTED_VALUE"""),"Monthly")</f>
        <v>Monthly</v>
      </c>
      <c r="K1255" s="317">
        <f>IFERROR(__xludf.DUMMYFUNCTION("""COMPUTED_VALUE"""),2022.01)</f>
        <v>2022.01</v>
      </c>
      <c r="L1255" s="298"/>
      <c r="M1255" s="223"/>
      <c r="N1255" s="223"/>
      <c r="O1255" s="223"/>
      <c r="P1255" s="223"/>
      <c r="Q1255" s="223"/>
      <c r="R1255" s="223"/>
      <c r="S1255" s="223"/>
      <c r="T1255" s="223"/>
      <c r="U1255" s="223"/>
      <c r="V1255" s="223"/>
      <c r="W1255" s="223"/>
      <c r="X1255" s="223"/>
      <c r="Y1255" s="223"/>
      <c r="Z1255" s="223"/>
    </row>
    <row r="1256">
      <c r="A1256" s="223" t="str">
        <f>IFERROR(__xludf.DUMMYFUNCTION("""COMPUTED_VALUE"""),"Wallack's Art Supplies : Monthly Services")</f>
        <v>Wallack's Art Supplies : Monthly Services</v>
      </c>
      <c r="B1256" s="223" t="str">
        <f>IFERROR(__xludf.DUMMYFUNCTION("""COMPUTED_VALUE"""),"Wallack's Art Supplies")</f>
        <v>Wallack's Art Supplies</v>
      </c>
      <c r="C1256" s="223" t="str">
        <f>IFERROR(__xludf.DUMMYFUNCTION("""COMPUTED_VALUE"""),"Monthly Services")</f>
        <v>Monthly Services</v>
      </c>
      <c r="D1256" s="316">
        <f>IFERROR(__xludf.DUMMYFUNCTION("""COMPUTED_VALUE"""),44592.0)</f>
        <v>44592</v>
      </c>
      <c r="E1256" s="298"/>
      <c r="F1256" s="298"/>
      <c r="G1256" s="298"/>
      <c r="H1256" s="223"/>
      <c r="I1256" s="298">
        <f>IFERROR(__xludf.DUMMYFUNCTION("""COMPUTED_VALUE"""),50.0)</f>
        <v>50</v>
      </c>
      <c r="J1256" s="223" t="str">
        <f>IFERROR(__xludf.DUMMYFUNCTION("""COMPUTED_VALUE"""),"Monthly")</f>
        <v>Monthly</v>
      </c>
      <c r="K1256" s="317">
        <f>IFERROR(__xludf.DUMMYFUNCTION("""COMPUTED_VALUE"""),2022.01)</f>
        <v>2022.01</v>
      </c>
      <c r="L1256" s="298"/>
      <c r="M1256" s="223"/>
      <c r="N1256" s="223"/>
      <c r="O1256" s="223"/>
      <c r="P1256" s="223"/>
      <c r="Q1256" s="223"/>
      <c r="R1256" s="223"/>
      <c r="S1256" s="223"/>
      <c r="T1256" s="223"/>
      <c r="U1256" s="223"/>
      <c r="V1256" s="223"/>
      <c r="W1256" s="223"/>
      <c r="X1256" s="223"/>
      <c r="Y1256" s="223"/>
      <c r="Z1256" s="223"/>
    </row>
    <row r="1257">
      <c r="A1257" s="223" t="str">
        <f>IFERROR(__xludf.DUMMYFUNCTION("""COMPUTED_VALUE"""),"OA Region 6 : Monthly Services")</f>
        <v>OA Region 6 : Monthly Services</v>
      </c>
      <c r="B1257" s="223" t="str">
        <f>IFERROR(__xludf.DUMMYFUNCTION("""COMPUTED_VALUE"""),"OA Region 6")</f>
        <v>OA Region 6</v>
      </c>
      <c r="C1257" s="223" t="str">
        <f>IFERROR(__xludf.DUMMYFUNCTION("""COMPUTED_VALUE"""),"Monthly Services")</f>
        <v>Monthly Services</v>
      </c>
      <c r="D1257" s="316">
        <f>IFERROR(__xludf.DUMMYFUNCTION("""COMPUTED_VALUE"""),44592.0)</f>
        <v>44592</v>
      </c>
      <c r="E1257" s="298"/>
      <c r="F1257" s="298"/>
      <c r="G1257" s="298"/>
      <c r="H1257" s="223"/>
      <c r="I1257" s="298">
        <f>IFERROR(__xludf.DUMMYFUNCTION("""COMPUTED_VALUE"""),250.0)</f>
        <v>250</v>
      </c>
      <c r="J1257" s="223" t="str">
        <f>IFERROR(__xludf.DUMMYFUNCTION("""COMPUTED_VALUE"""),"Monthly")</f>
        <v>Monthly</v>
      </c>
      <c r="K1257" s="317">
        <f>IFERROR(__xludf.DUMMYFUNCTION("""COMPUTED_VALUE"""),2022.01)</f>
        <v>2022.01</v>
      </c>
      <c r="L1257" s="298"/>
      <c r="M1257" s="223"/>
      <c r="N1257" s="223"/>
      <c r="O1257" s="223"/>
      <c r="P1257" s="223"/>
      <c r="Q1257" s="223"/>
      <c r="R1257" s="223"/>
      <c r="S1257" s="223"/>
      <c r="T1257" s="223"/>
      <c r="U1257" s="223"/>
      <c r="V1257" s="223"/>
      <c r="W1257" s="223"/>
      <c r="X1257" s="223"/>
      <c r="Y1257" s="223"/>
      <c r="Z1257" s="223"/>
    </row>
    <row r="1258">
      <c r="A1258" s="223" t="str">
        <f>IFERROR(__xludf.DUMMYFUNCTION("""COMPUTED_VALUE"""),"Tuscany : Monthly Services")</f>
        <v>Tuscany : Monthly Services</v>
      </c>
      <c r="B1258" s="223" t="str">
        <f>IFERROR(__xludf.DUMMYFUNCTION("""COMPUTED_VALUE"""),"Tuscany")</f>
        <v>Tuscany</v>
      </c>
      <c r="C1258" s="223" t="str">
        <f>IFERROR(__xludf.DUMMYFUNCTION("""COMPUTED_VALUE"""),"Monthly Services")</f>
        <v>Monthly Services</v>
      </c>
      <c r="D1258" s="316">
        <f>IFERROR(__xludf.DUMMYFUNCTION("""COMPUTED_VALUE"""),44592.0)</f>
        <v>44592</v>
      </c>
      <c r="E1258" s="298"/>
      <c r="F1258" s="298"/>
      <c r="G1258" s="298"/>
      <c r="H1258" s="223"/>
      <c r="I1258" s="298">
        <f>IFERROR(__xludf.DUMMYFUNCTION("""COMPUTED_VALUE"""),662.5)</f>
        <v>662.5</v>
      </c>
      <c r="J1258" s="223" t="str">
        <f>IFERROR(__xludf.DUMMYFUNCTION("""COMPUTED_VALUE"""),"Monthly")</f>
        <v>Monthly</v>
      </c>
      <c r="K1258" s="317">
        <f>IFERROR(__xludf.DUMMYFUNCTION("""COMPUTED_VALUE"""),2022.01)</f>
        <v>2022.01</v>
      </c>
      <c r="L1258" s="298"/>
      <c r="M1258" s="223"/>
      <c r="N1258" s="223"/>
      <c r="O1258" s="223"/>
      <c r="P1258" s="223"/>
      <c r="Q1258" s="223"/>
      <c r="R1258" s="223"/>
      <c r="S1258" s="223"/>
      <c r="T1258" s="223"/>
      <c r="U1258" s="223"/>
      <c r="V1258" s="223"/>
      <c r="W1258" s="223"/>
      <c r="X1258" s="223"/>
      <c r="Y1258" s="223"/>
      <c r="Z1258" s="223"/>
    </row>
    <row r="1259">
      <c r="A1259" s="223" t="str">
        <f>IFERROR(__xludf.DUMMYFUNCTION("""COMPUTED_VALUE"""),"Venetian : Monthly Services")</f>
        <v>Venetian : Monthly Services</v>
      </c>
      <c r="B1259" s="223" t="str">
        <f>IFERROR(__xludf.DUMMYFUNCTION("""COMPUTED_VALUE"""),"Venetian")</f>
        <v>Venetian</v>
      </c>
      <c r="C1259" s="223" t="str">
        <f>IFERROR(__xludf.DUMMYFUNCTION("""COMPUTED_VALUE"""),"Monthly Services")</f>
        <v>Monthly Services</v>
      </c>
      <c r="D1259" s="316">
        <f>IFERROR(__xludf.DUMMYFUNCTION("""COMPUTED_VALUE"""),44592.0)</f>
        <v>44592</v>
      </c>
      <c r="E1259" s="298"/>
      <c r="F1259" s="298"/>
      <c r="G1259" s="298"/>
      <c r="H1259" s="223"/>
      <c r="I1259" s="298">
        <f>IFERROR(__xludf.DUMMYFUNCTION("""COMPUTED_VALUE"""),662.5)</f>
        <v>662.5</v>
      </c>
      <c r="J1259" s="223" t="str">
        <f>IFERROR(__xludf.DUMMYFUNCTION("""COMPUTED_VALUE"""),"Monthly")</f>
        <v>Monthly</v>
      </c>
      <c r="K1259" s="317">
        <f>IFERROR(__xludf.DUMMYFUNCTION("""COMPUTED_VALUE"""),2022.01)</f>
        <v>2022.01</v>
      </c>
      <c r="L1259" s="298"/>
      <c r="M1259" s="223"/>
      <c r="N1259" s="223"/>
      <c r="O1259" s="223"/>
      <c r="P1259" s="223"/>
      <c r="Q1259" s="223"/>
      <c r="R1259" s="223"/>
      <c r="S1259" s="223"/>
      <c r="T1259" s="223"/>
      <c r="U1259" s="223"/>
      <c r="V1259" s="223"/>
      <c r="W1259" s="223"/>
      <c r="X1259" s="223"/>
      <c r="Y1259" s="223"/>
      <c r="Z1259" s="223"/>
    </row>
    <row r="1260">
      <c r="A1260" s="223" t="str">
        <f>IFERROR(__xludf.DUMMYFUNCTION("""COMPUTED_VALUE"""),"Spraggs : Monthly Services")</f>
        <v>Spraggs : Monthly Services</v>
      </c>
      <c r="B1260" s="223" t="str">
        <f>IFERROR(__xludf.DUMMYFUNCTION("""COMPUTED_VALUE"""),"Spraggs")</f>
        <v>Spraggs</v>
      </c>
      <c r="C1260" s="223" t="str">
        <f>IFERROR(__xludf.DUMMYFUNCTION("""COMPUTED_VALUE"""),"Monthly Services")</f>
        <v>Monthly Services</v>
      </c>
      <c r="D1260" s="316">
        <f>IFERROR(__xludf.DUMMYFUNCTION("""COMPUTED_VALUE"""),44592.0)</f>
        <v>44592</v>
      </c>
      <c r="E1260" s="298"/>
      <c r="F1260" s="298"/>
      <c r="G1260" s="298"/>
      <c r="H1260" s="223"/>
      <c r="I1260" s="298">
        <f>IFERROR(__xludf.DUMMYFUNCTION("""COMPUTED_VALUE"""),350.0)</f>
        <v>350</v>
      </c>
      <c r="J1260" s="223" t="str">
        <f>IFERROR(__xludf.DUMMYFUNCTION("""COMPUTED_VALUE"""),"Monthly")</f>
        <v>Monthly</v>
      </c>
      <c r="K1260" s="317">
        <f>IFERROR(__xludf.DUMMYFUNCTION("""COMPUTED_VALUE"""),2022.01)</f>
        <v>2022.01</v>
      </c>
      <c r="L1260" s="298"/>
      <c r="M1260" s="223"/>
      <c r="N1260" s="223"/>
      <c r="O1260" s="223"/>
      <c r="P1260" s="223"/>
      <c r="Q1260" s="223"/>
      <c r="R1260" s="223"/>
      <c r="S1260" s="223"/>
      <c r="T1260" s="223"/>
      <c r="U1260" s="223"/>
      <c r="V1260" s="223"/>
      <c r="W1260" s="223"/>
      <c r="X1260" s="223"/>
      <c r="Y1260" s="223"/>
      <c r="Z1260" s="223"/>
    </row>
    <row r="1261">
      <c r="A1261" s="223" t="str">
        <f>IFERROR(__xludf.DUMMYFUNCTION("""COMPUTED_VALUE"""),"Diversified Health : Monthly Services")</f>
        <v>Diversified Health : Monthly Services</v>
      </c>
      <c r="B1261" s="223" t="str">
        <f>IFERROR(__xludf.DUMMYFUNCTION("""COMPUTED_VALUE"""),"Diversified Health")</f>
        <v>Diversified Health</v>
      </c>
      <c r="C1261" s="223" t="str">
        <f>IFERROR(__xludf.DUMMYFUNCTION("""COMPUTED_VALUE"""),"Monthly Services")</f>
        <v>Monthly Services</v>
      </c>
      <c r="D1261" s="316">
        <f>IFERROR(__xludf.DUMMYFUNCTION("""COMPUTED_VALUE"""),44592.0)</f>
        <v>44592</v>
      </c>
      <c r="E1261" s="298"/>
      <c r="F1261" s="298"/>
      <c r="G1261" s="298"/>
      <c r="H1261" s="223"/>
      <c r="I1261" s="298">
        <f>IFERROR(__xludf.DUMMYFUNCTION("""COMPUTED_VALUE"""),475.0)</f>
        <v>475</v>
      </c>
      <c r="J1261" s="223" t="str">
        <f>IFERROR(__xludf.DUMMYFUNCTION("""COMPUTED_VALUE"""),"Monthly")</f>
        <v>Monthly</v>
      </c>
      <c r="K1261" s="317">
        <f>IFERROR(__xludf.DUMMYFUNCTION("""COMPUTED_VALUE"""),2022.01)</f>
        <v>2022.01</v>
      </c>
      <c r="L1261" s="298"/>
      <c r="M1261" s="223"/>
      <c r="N1261" s="223"/>
      <c r="O1261" s="223"/>
      <c r="P1261" s="223"/>
      <c r="Q1261" s="223"/>
      <c r="R1261" s="223"/>
      <c r="S1261" s="223"/>
      <c r="T1261" s="223"/>
      <c r="U1261" s="223"/>
      <c r="V1261" s="223"/>
      <c r="W1261" s="223"/>
      <c r="X1261" s="223"/>
      <c r="Y1261" s="223"/>
      <c r="Z1261" s="223"/>
    </row>
    <row r="1262">
      <c r="A1262" s="223" t="str">
        <f>IFERROR(__xludf.DUMMYFUNCTION("""COMPUTED_VALUE"""),"TisBest : Monthly Services")</f>
        <v>TisBest : Monthly Services</v>
      </c>
      <c r="B1262" s="223" t="str">
        <f>IFERROR(__xludf.DUMMYFUNCTION("""COMPUTED_VALUE"""),"TisBest")</f>
        <v>TisBest</v>
      </c>
      <c r="C1262" s="223" t="str">
        <f>IFERROR(__xludf.DUMMYFUNCTION("""COMPUTED_VALUE"""),"Monthly Services")</f>
        <v>Monthly Services</v>
      </c>
      <c r="D1262" s="316">
        <f>IFERROR(__xludf.DUMMYFUNCTION("""COMPUTED_VALUE"""),44592.0)</f>
        <v>44592</v>
      </c>
      <c r="E1262" s="298"/>
      <c r="F1262" s="298"/>
      <c r="G1262" s="298"/>
      <c r="H1262" s="223"/>
      <c r="I1262" s="298">
        <f>IFERROR(__xludf.DUMMYFUNCTION("""COMPUTED_VALUE"""),1212.5)</f>
        <v>1212.5</v>
      </c>
      <c r="J1262" s="223" t="str">
        <f>IFERROR(__xludf.DUMMYFUNCTION("""COMPUTED_VALUE"""),"Monthly")</f>
        <v>Monthly</v>
      </c>
      <c r="K1262" s="317">
        <f>IFERROR(__xludf.DUMMYFUNCTION("""COMPUTED_VALUE"""),2022.01)</f>
        <v>2022.01</v>
      </c>
      <c r="L1262" s="298"/>
      <c r="M1262" s="223"/>
      <c r="N1262" s="223"/>
      <c r="O1262" s="223"/>
      <c r="P1262" s="223"/>
      <c r="Q1262" s="223"/>
      <c r="R1262" s="223"/>
      <c r="S1262" s="223"/>
      <c r="T1262" s="223"/>
      <c r="U1262" s="223"/>
      <c r="V1262" s="223"/>
      <c r="W1262" s="223"/>
      <c r="X1262" s="223"/>
      <c r="Y1262" s="223"/>
      <c r="Z1262" s="223"/>
    </row>
    <row r="1263">
      <c r="A1263" s="223" t="str">
        <f>IFERROR(__xludf.DUMMYFUNCTION("""COMPUTED_VALUE"""),"Tofino Resort + Marina : Monthly Services")</f>
        <v>Tofino Resort + Marina : Monthly Services</v>
      </c>
      <c r="B1263" s="223" t="str">
        <f>IFERROR(__xludf.DUMMYFUNCTION("""COMPUTED_VALUE"""),"Tofino Resort + Marina")</f>
        <v>Tofino Resort + Marina</v>
      </c>
      <c r="C1263" s="223" t="str">
        <f>IFERROR(__xludf.DUMMYFUNCTION("""COMPUTED_VALUE"""),"Monthly Services")</f>
        <v>Monthly Services</v>
      </c>
      <c r="D1263" s="316">
        <f>IFERROR(__xludf.DUMMYFUNCTION("""COMPUTED_VALUE"""),44592.0)</f>
        <v>44592</v>
      </c>
      <c r="E1263" s="298"/>
      <c r="F1263" s="298"/>
      <c r="G1263" s="298"/>
      <c r="H1263" s="223"/>
      <c r="I1263" s="298">
        <f>IFERROR(__xludf.DUMMYFUNCTION("""COMPUTED_VALUE"""),450.0)</f>
        <v>450</v>
      </c>
      <c r="J1263" s="223" t="str">
        <f>IFERROR(__xludf.DUMMYFUNCTION("""COMPUTED_VALUE"""),"Monthly")</f>
        <v>Monthly</v>
      </c>
      <c r="K1263" s="317">
        <f>IFERROR(__xludf.DUMMYFUNCTION("""COMPUTED_VALUE"""),2022.01)</f>
        <v>2022.01</v>
      </c>
      <c r="L1263" s="298"/>
      <c r="M1263" s="223"/>
      <c r="N1263" s="223"/>
      <c r="O1263" s="223"/>
      <c r="P1263" s="223"/>
      <c r="Q1263" s="223"/>
      <c r="R1263" s="223"/>
      <c r="S1263" s="223"/>
      <c r="T1263" s="223"/>
      <c r="U1263" s="223"/>
      <c r="V1263" s="223"/>
      <c r="W1263" s="223"/>
      <c r="X1263" s="223"/>
      <c r="Y1263" s="223"/>
      <c r="Z1263" s="223"/>
    </row>
    <row r="1264">
      <c r="A1264" s="223" t="str">
        <f>IFERROR(__xludf.DUMMYFUNCTION("""COMPUTED_VALUE"""),"BookKing (Pacific Tier) : Monthly Services")</f>
        <v>BookKing (Pacific Tier) : Monthly Services</v>
      </c>
      <c r="B1264" s="223" t="str">
        <f>IFERROR(__xludf.DUMMYFUNCTION("""COMPUTED_VALUE"""),"BookKing (Pacific Tier)")</f>
        <v>BookKing (Pacific Tier)</v>
      </c>
      <c r="C1264" s="223" t="str">
        <f>IFERROR(__xludf.DUMMYFUNCTION("""COMPUTED_VALUE"""),"Monthly Services")</f>
        <v>Monthly Services</v>
      </c>
      <c r="D1264" s="316">
        <f>IFERROR(__xludf.DUMMYFUNCTION("""COMPUTED_VALUE"""),44592.0)</f>
        <v>44592</v>
      </c>
      <c r="E1264" s="298"/>
      <c r="F1264" s="298"/>
      <c r="G1264" s="298"/>
      <c r="H1264" s="223"/>
      <c r="I1264" s="298">
        <f>IFERROR(__xludf.DUMMYFUNCTION("""COMPUTED_VALUE"""),75.0)</f>
        <v>75</v>
      </c>
      <c r="J1264" s="223" t="str">
        <f>IFERROR(__xludf.DUMMYFUNCTION("""COMPUTED_VALUE"""),"Monthly")</f>
        <v>Monthly</v>
      </c>
      <c r="K1264" s="317">
        <f>IFERROR(__xludf.DUMMYFUNCTION("""COMPUTED_VALUE"""),2022.01)</f>
        <v>2022.01</v>
      </c>
      <c r="L1264" s="298"/>
      <c r="M1264" s="223"/>
      <c r="N1264" s="223"/>
      <c r="O1264" s="223"/>
      <c r="P1264" s="223"/>
      <c r="Q1264" s="223"/>
      <c r="R1264" s="223"/>
      <c r="S1264" s="223"/>
      <c r="T1264" s="223"/>
      <c r="U1264" s="223"/>
      <c r="V1264" s="223"/>
      <c r="W1264" s="223"/>
      <c r="X1264" s="223"/>
      <c r="Y1264" s="223"/>
      <c r="Z1264" s="223"/>
    </row>
    <row r="1265">
      <c r="A1265" s="223" t="str">
        <f>IFERROR(__xludf.DUMMYFUNCTION("""COMPUTED_VALUE"""),"Spraggs : Monthly Services")</f>
        <v>Spraggs : Monthly Services</v>
      </c>
      <c r="B1265" s="223" t="str">
        <f>IFERROR(__xludf.DUMMYFUNCTION("""COMPUTED_VALUE"""),"Spraggs")</f>
        <v>Spraggs</v>
      </c>
      <c r="C1265" s="223" t="str">
        <f>IFERROR(__xludf.DUMMYFUNCTION("""COMPUTED_VALUE"""),"Monthly Services")</f>
        <v>Monthly Services</v>
      </c>
      <c r="D1265" s="316">
        <f>IFERROR(__xludf.DUMMYFUNCTION("""COMPUTED_VALUE"""),44592.0)</f>
        <v>44592</v>
      </c>
      <c r="E1265" s="298"/>
      <c r="F1265" s="298"/>
      <c r="G1265" s="298"/>
      <c r="H1265" s="223"/>
      <c r="I1265" s="298">
        <f>IFERROR(__xludf.DUMMYFUNCTION("""COMPUTED_VALUE"""),575.0)</f>
        <v>575</v>
      </c>
      <c r="J1265" s="223" t="str">
        <f>IFERROR(__xludf.DUMMYFUNCTION("""COMPUTED_VALUE"""),"Monthly")</f>
        <v>Monthly</v>
      </c>
      <c r="K1265" s="317">
        <f>IFERROR(__xludf.DUMMYFUNCTION("""COMPUTED_VALUE"""),2022.01)</f>
        <v>2022.01</v>
      </c>
      <c r="L1265" s="298"/>
      <c r="M1265" s="223"/>
      <c r="N1265" s="223"/>
      <c r="O1265" s="223"/>
      <c r="P1265" s="223"/>
      <c r="Q1265" s="223"/>
      <c r="R1265" s="223"/>
      <c r="S1265" s="223"/>
      <c r="T1265" s="223"/>
      <c r="U1265" s="223"/>
      <c r="V1265" s="223"/>
      <c r="W1265" s="223"/>
      <c r="X1265" s="223"/>
      <c r="Y1265" s="223"/>
      <c r="Z1265" s="223"/>
    </row>
    <row r="1266">
      <c r="A1266" s="223" t="str">
        <f>IFERROR(__xludf.DUMMYFUNCTION("""COMPUTED_VALUE"""),"MortgagePal : Monthly Services")</f>
        <v>MortgagePal : Monthly Services</v>
      </c>
      <c r="B1266" s="223" t="str">
        <f>IFERROR(__xludf.DUMMYFUNCTION("""COMPUTED_VALUE"""),"MortgagePal")</f>
        <v>MortgagePal</v>
      </c>
      <c r="C1266" s="223" t="str">
        <f>IFERROR(__xludf.DUMMYFUNCTION("""COMPUTED_VALUE"""),"Monthly Services")</f>
        <v>Monthly Services</v>
      </c>
      <c r="D1266" s="316">
        <f>IFERROR(__xludf.DUMMYFUNCTION("""COMPUTED_VALUE"""),44592.0)</f>
        <v>44592</v>
      </c>
      <c r="E1266" s="298"/>
      <c r="F1266" s="298"/>
      <c r="G1266" s="298"/>
      <c r="H1266" s="223"/>
      <c r="I1266" s="298">
        <f>IFERROR(__xludf.DUMMYFUNCTION("""COMPUTED_VALUE"""),45.0)</f>
        <v>45</v>
      </c>
      <c r="J1266" s="223" t="str">
        <f>IFERROR(__xludf.DUMMYFUNCTION("""COMPUTED_VALUE"""),"Monthly")</f>
        <v>Monthly</v>
      </c>
      <c r="K1266" s="317">
        <f>IFERROR(__xludf.DUMMYFUNCTION("""COMPUTED_VALUE"""),2022.01)</f>
        <v>2022.01</v>
      </c>
      <c r="L1266" s="298"/>
      <c r="M1266" s="223"/>
      <c r="N1266" s="223"/>
      <c r="O1266" s="223"/>
      <c r="P1266" s="223"/>
      <c r="Q1266" s="223"/>
      <c r="R1266" s="223"/>
      <c r="S1266" s="223"/>
      <c r="T1266" s="223"/>
      <c r="U1266" s="223"/>
      <c r="V1266" s="223"/>
      <c r="W1266" s="223"/>
      <c r="X1266" s="223"/>
      <c r="Y1266" s="223"/>
      <c r="Z1266" s="223"/>
    </row>
    <row r="1267">
      <c r="A1267" s="223" t="str">
        <f>IFERROR(__xludf.DUMMYFUNCTION("""COMPUTED_VALUE"""),"Olivia Shoppe : Monthly Services")</f>
        <v>Olivia Shoppe : Monthly Services</v>
      </c>
      <c r="B1267" s="223" t="str">
        <f>IFERROR(__xludf.DUMMYFUNCTION("""COMPUTED_VALUE"""),"Olivia Shoppe")</f>
        <v>Olivia Shoppe</v>
      </c>
      <c r="C1267" s="223" t="str">
        <f>IFERROR(__xludf.DUMMYFUNCTION("""COMPUTED_VALUE"""),"Monthly Services")</f>
        <v>Monthly Services</v>
      </c>
      <c r="D1267" s="316">
        <f>IFERROR(__xludf.DUMMYFUNCTION("""COMPUTED_VALUE"""),44592.0)</f>
        <v>44592</v>
      </c>
      <c r="E1267" s="298"/>
      <c r="F1267" s="298"/>
      <c r="G1267" s="298"/>
      <c r="H1267" s="223"/>
      <c r="I1267" s="298">
        <f>IFERROR(__xludf.DUMMYFUNCTION("""COMPUTED_VALUE"""),310.0)</f>
        <v>310</v>
      </c>
      <c r="J1267" s="223" t="str">
        <f>IFERROR(__xludf.DUMMYFUNCTION("""COMPUTED_VALUE"""),"Monthly")</f>
        <v>Monthly</v>
      </c>
      <c r="K1267" s="317">
        <f>IFERROR(__xludf.DUMMYFUNCTION("""COMPUTED_VALUE"""),2022.01)</f>
        <v>2022.01</v>
      </c>
      <c r="L1267" s="298"/>
      <c r="M1267" s="223"/>
      <c r="N1267" s="223"/>
      <c r="O1267" s="223"/>
      <c r="P1267" s="223"/>
      <c r="Q1267" s="223"/>
      <c r="R1267" s="223"/>
      <c r="S1267" s="223"/>
      <c r="T1267" s="223"/>
      <c r="U1267" s="223"/>
      <c r="V1267" s="223"/>
      <c r="W1267" s="223"/>
      <c r="X1267" s="223"/>
      <c r="Y1267" s="223"/>
      <c r="Z1267" s="223"/>
    </row>
    <row r="1268">
      <c r="A1268" s="223" t="str">
        <f>IFERROR(__xludf.DUMMYFUNCTION("""COMPUTED_VALUE"""),"Tires Easy : Monthly Services for Tires-Easy.com")</f>
        <v>Tires Easy : Monthly Services for Tires-Easy.com</v>
      </c>
      <c r="B1268" s="223" t="str">
        <f>IFERROR(__xludf.DUMMYFUNCTION("""COMPUTED_VALUE"""),"Tires Easy")</f>
        <v>Tires Easy</v>
      </c>
      <c r="C1268" s="223" t="str">
        <f>IFERROR(__xludf.DUMMYFUNCTION("""COMPUTED_VALUE"""),"Monthly Services for Tires-Easy.com")</f>
        <v>Monthly Services for Tires-Easy.com</v>
      </c>
      <c r="D1268" s="316">
        <f>IFERROR(__xludf.DUMMYFUNCTION("""COMPUTED_VALUE"""),44592.0)</f>
        <v>44592</v>
      </c>
      <c r="E1268" s="298"/>
      <c r="F1268" s="298"/>
      <c r="G1268" s="298"/>
      <c r="H1268" s="223"/>
      <c r="I1268" s="298">
        <f>IFERROR(__xludf.DUMMYFUNCTION("""COMPUTED_VALUE"""),180.0)</f>
        <v>180</v>
      </c>
      <c r="J1268" s="223" t="str">
        <f>IFERROR(__xludf.DUMMYFUNCTION("""COMPUTED_VALUE"""),"Monthly")</f>
        <v>Monthly</v>
      </c>
      <c r="K1268" s="317">
        <f>IFERROR(__xludf.DUMMYFUNCTION("""COMPUTED_VALUE"""),2022.01)</f>
        <v>2022.01</v>
      </c>
      <c r="L1268" s="298"/>
      <c r="M1268" s="223"/>
      <c r="N1268" s="223"/>
      <c r="O1268" s="223"/>
      <c r="P1268" s="223"/>
      <c r="Q1268" s="223"/>
      <c r="R1268" s="223"/>
      <c r="S1268" s="223"/>
      <c r="T1268" s="223"/>
      <c r="U1268" s="223"/>
      <c r="V1268" s="223"/>
      <c r="W1268" s="223"/>
      <c r="X1268" s="223"/>
      <c r="Y1268" s="223"/>
      <c r="Z1268" s="223"/>
    </row>
    <row r="1269">
      <c r="A1269" s="223" t="str">
        <f>IFERROR(__xludf.DUMMYFUNCTION("""COMPUTED_VALUE"""),"Giga Tires : Monthly Services")</f>
        <v>Giga Tires : Monthly Services</v>
      </c>
      <c r="B1269" s="223" t="str">
        <f>IFERROR(__xludf.DUMMYFUNCTION("""COMPUTED_VALUE"""),"Giga Tires")</f>
        <v>Giga Tires</v>
      </c>
      <c r="C1269" s="223" t="str">
        <f>IFERROR(__xludf.DUMMYFUNCTION("""COMPUTED_VALUE"""),"Monthly Services")</f>
        <v>Monthly Services</v>
      </c>
      <c r="D1269" s="316">
        <f>IFERROR(__xludf.DUMMYFUNCTION("""COMPUTED_VALUE"""),44592.0)</f>
        <v>44592</v>
      </c>
      <c r="E1269" s="298"/>
      <c r="F1269" s="298"/>
      <c r="G1269" s="298"/>
      <c r="H1269" s="223"/>
      <c r="I1269" s="298">
        <f>IFERROR(__xludf.DUMMYFUNCTION("""COMPUTED_VALUE"""),180.0)</f>
        <v>180</v>
      </c>
      <c r="J1269" s="223" t="str">
        <f>IFERROR(__xludf.DUMMYFUNCTION("""COMPUTED_VALUE"""),"Monthly")</f>
        <v>Monthly</v>
      </c>
      <c r="K1269" s="317">
        <f>IFERROR(__xludf.DUMMYFUNCTION("""COMPUTED_VALUE"""),2022.01)</f>
        <v>2022.01</v>
      </c>
      <c r="L1269" s="298"/>
      <c r="M1269" s="223"/>
      <c r="N1269" s="223"/>
      <c r="O1269" s="223"/>
      <c r="P1269" s="223"/>
      <c r="Q1269" s="223"/>
      <c r="R1269" s="223"/>
      <c r="S1269" s="223"/>
      <c r="T1269" s="223"/>
      <c r="U1269" s="223"/>
      <c r="V1269" s="223"/>
      <c r="W1269" s="223"/>
      <c r="X1269" s="223"/>
      <c r="Y1269" s="223"/>
      <c r="Z1269" s="223"/>
    </row>
    <row r="1270">
      <c r="A1270" s="223" t="str">
        <f>IFERROR(__xludf.DUMMYFUNCTION("""COMPUTED_VALUE"""),"Service First : Monthly Services")</f>
        <v>Service First : Monthly Services</v>
      </c>
      <c r="B1270" s="223" t="str">
        <f>IFERROR(__xludf.DUMMYFUNCTION("""COMPUTED_VALUE"""),"Service First")</f>
        <v>Service First</v>
      </c>
      <c r="C1270" s="223" t="str">
        <f>IFERROR(__xludf.DUMMYFUNCTION("""COMPUTED_VALUE"""),"Monthly Services")</f>
        <v>Monthly Services</v>
      </c>
      <c r="D1270" s="316">
        <f>IFERROR(__xludf.DUMMYFUNCTION("""COMPUTED_VALUE"""),44592.0)</f>
        <v>44592</v>
      </c>
      <c r="E1270" s="298"/>
      <c r="F1270" s="298"/>
      <c r="G1270" s="298"/>
      <c r="H1270" s="223"/>
      <c r="I1270" s="298">
        <f>IFERROR(__xludf.DUMMYFUNCTION("""COMPUTED_VALUE"""),30.0)</f>
        <v>30</v>
      </c>
      <c r="J1270" s="223" t="str">
        <f>IFERROR(__xludf.DUMMYFUNCTION("""COMPUTED_VALUE"""),"Monthly")</f>
        <v>Monthly</v>
      </c>
      <c r="K1270" s="317">
        <f>IFERROR(__xludf.DUMMYFUNCTION("""COMPUTED_VALUE"""),2022.01)</f>
        <v>2022.01</v>
      </c>
      <c r="L1270" s="298"/>
      <c r="M1270" s="223"/>
      <c r="N1270" s="223"/>
      <c r="O1270" s="223"/>
      <c r="P1270" s="223"/>
      <c r="Q1270" s="223"/>
      <c r="R1270" s="223"/>
      <c r="S1270" s="223"/>
      <c r="T1270" s="223"/>
      <c r="U1270" s="223"/>
      <c r="V1270" s="223"/>
      <c r="W1270" s="223"/>
      <c r="X1270" s="223"/>
      <c r="Y1270" s="223"/>
      <c r="Z1270" s="223"/>
    </row>
    <row r="1271">
      <c r="A1271" s="223" t="str">
        <f>IFERROR(__xludf.DUMMYFUNCTION("""COMPUTED_VALUE"""),"HSJ Lawyers : Monthly Services")</f>
        <v>HSJ Lawyers : Monthly Services</v>
      </c>
      <c r="B1271" s="223" t="str">
        <f>IFERROR(__xludf.DUMMYFUNCTION("""COMPUTED_VALUE"""),"HSJ Lawyers")</f>
        <v>HSJ Lawyers</v>
      </c>
      <c r="C1271" s="223" t="str">
        <f>IFERROR(__xludf.DUMMYFUNCTION("""COMPUTED_VALUE"""),"Monthly Services")</f>
        <v>Monthly Services</v>
      </c>
      <c r="D1271" s="316">
        <f>IFERROR(__xludf.DUMMYFUNCTION("""COMPUTED_VALUE"""),44592.0)</f>
        <v>44592</v>
      </c>
      <c r="E1271" s="298"/>
      <c r="F1271" s="298"/>
      <c r="G1271" s="298"/>
      <c r="H1271" s="223"/>
      <c r="I1271" s="298">
        <f>IFERROR(__xludf.DUMMYFUNCTION("""COMPUTED_VALUE"""),300.0)</f>
        <v>300</v>
      </c>
      <c r="J1271" s="223" t="str">
        <f>IFERROR(__xludf.DUMMYFUNCTION("""COMPUTED_VALUE"""),"Monthly")</f>
        <v>Monthly</v>
      </c>
      <c r="K1271" s="317">
        <f>IFERROR(__xludf.DUMMYFUNCTION("""COMPUTED_VALUE"""),2022.01)</f>
        <v>2022.01</v>
      </c>
      <c r="L1271" s="298"/>
      <c r="M1271" s="223"/>
      <c r="N1271" s="223"/>
      <c r="O1271" s="223"/>
      <c r="P1271" s="223"/>
      <c r="Q1271" s="223"/>
      <c r="R1271" s="223"/>
      <c r="S1271" s="223"/>
      <c r="T1271" s="223"/>
      <c r="U1271" s="223"/>
      <c r="V1271" s="223"/>
      <c r="W1271" s="223"/>
      <c r="X1271" s="223"/>
      <c r="Y1271" s="223"/>
      <c r="Z1271" s="223"/>
    </row>
    <row r="1272">
      <c r="A1272" s="223" t="str">
        <f>IFERROR(__xludf.DUMMYFUNCTION("""COMPUTED_VALUE"""),"Booginhead : Monthly Services")</f>
        <v>Booginhead : Monthly Services</v>
      </c>
      <c r="B1272" s="223" t="str">
        <f>IFERROR(__xludf.DUMMYFUNCTION("""COMPUTED_VALUE"""),"Booginhead")</f>
        <v>Booginhead</v>
      </c>
      <c r="C1272" s="223" t="str">
        <f>IFERROR(__xludf.DUMMYFUNCTION("""COMPUTED_VALUE"""),"Monthly Services")</f>
        <v>Monthly Services</v>
      </c>
      <c r="D1272" s="316">
        <f>IFERROR(__xludf.DUMMYFUNCTION("""COMPUTED_VALUE"""),44592.0)</f>
        <v>44592</v>
      </c>
      <c r="E1272" s="298"/>
      <c r="F1272" s="298"/>
      <c r="G1272" s="298"/>
      <c r="H1272" s="223"/>
      <c r="I1272" s="298">
        <f>IFERROR(__xludf.DUMMYFUNCTION("""COMPUTED_VALUE"""),495.0)</f>
        <v>495</v>
      </c>
      <c r="J1272" s="223" t="str">
        <f>IFERROR(__xludf.DUMMYFUNCTION("""COMPUTED_VALUE"""),"Monthly")</f>
        <v>Monthly</v>
      </c>
      <c r="K1272" s="317">
        <f>IFERROR(__xludf.DUMMYFUNCTION("""COMPUTED_VALUE"""),2022.01)</f>
        <v>2022.01</v>
      </c>
      <c r="L1272" s="298"/>
      <c r="M1272" s="223"/>
      <c r="N1272" s="223"/>
      <c r="O1272" s="223"/>
      <c r="P1272" s="223"/>
      <c r="Q1272" s="223"/>
      <c r="R1272" s="223"/>
      <c r="S1272" s="223"/>
      <c r="T1272" s="223"/>
      <c r="U1272" s="223"/>
      <c r="V1272" s="223"/>
      <c r="W1272" s="223"/>
      <c r="X1272" s="223"/>
      <c r="Y1272" s="223"/>
      <c r="Z1272" s="223"/>
    </row>
    <row r="1273">
      <c r="A1273" s="223" t="str">
        <f>IFERROR(__xludf.DUMMYFUNCTION("""COMPUTED_VALUE"""),"Arazy Group : Monthly Services")</f>
        <v>Arazy Group : Monthly Services</v>
      </c>
      <c r="B1273" s="223" t="str">
        <f>IFERROR(__xludf.DUMMYFUNCTION("""COMPUTED_VALUE"""),"Arazy Group")</f>
        <v>Arazy Group</v>
      </c>
      <c r="C1273" s="223" t="str">
        <f>IFERROR(__xludf.DUMMYFUNCTION("""COMPUTED_VALUE"""),"Monthly Services")</f>
        <v>Monthly Services</v>
      </c>
      <c r="D1273" s="316">
        <f>IFERROR(__xludf.DUMMYFUNCTION("""COMPUTED_VALUE"""),44592.0)</f>
        <v>44592</v>
      </c>
      <c r="E1273" s="298"/>
      <c r="F1273" s="298"/>
      <c r="G1273" s="298"/>
      <c r="H1273" s="223"/>
      <c r="I1273" s="298">
        <f>IFERROR(__xludf.DUMMYFUNCTION("""COMPUTED_VALUE"""),297.5)</f>
        <v>297.5</v>
      </c>
      <c r="J1273" s="223" t="str">
        <f>IFERROR(__xludf.DUMMYFUNCTION("""COMPUTED_VALUE"""),"Monthly")</f>
        <v>Monthly</v>
      </c>
      <c r="K1273" s="317">
        <f>IFERROR(__xludf.DUMMYFUNCTION("""COMPUTED_VALUE"""),2022.01)</f>
        <v>2022.01</v>
      </c>
      <c r="L1273" s="298"/>
      <c r="M1273" s="223"/>
      <c r="N1273" s="223"/>
      <c r="O1273" s="223"/>
      <c r="P1273" s="223"/>
      <c r="Q1273" s="223"/>
      <c r="R1273" s="223"/>
      <c r="S1273" s="223"/>
      <c r="T1273" s="223"/>
      <c r="U1273" s="223"/>
      <c r="V1273" s="223"/>
      <c r="W1273" s="223"/>
      <c r="X1273" s="223"/>
      <c r="Y1273" s="223"/>
      <c r="Z1273" s="223"/>
    </row>
    <row r="1274">
      <c r="A1274" s="223" t="str">
        <f>IFERROR(__xludf.DUMMYFUNCTION("""COMPUTED_VALUE"""),"Hastings House : Monthly Services")</f>
        <v>Hastings House : Monthly Services</v>
      </c>
      <c r="B1274" s="223" t="str">
        <f>IFERROR(__xludf.DUMMYFUNCTION("""COMPUTED_VALUE"""),"Hastings House")</f>
        <v>Hastings House</v>
      </c>
      <c r="C1274" s="223" t="str">
        <f>IFERROR(__xludf.DUMMYFUNCTION("""COMPUTED_VALUE"""),"Monthly Services")</f>
        <v>Monthly Services</v>
      </c>
      <c r="D1274" s="316">
        <f>IFERROR(__xludf.DUMMYFUNCTION("""COMPUTED_VALUE"""),44592.0)</f>
        <v>44592</v>
      </c>
      <c r="E1274" s="298"/>
      <c r="F1274" s="298"/>
      <c r="G1274" s="298"/>
      <c r="H1274" s="223"/>
      <c r="I1274" s="298">
        <f>IFERROR(__xludf.DUMMYFUNCTION("""COMPUTED_VALUE"""),322.5)</f>
        <v>322.5</v>
      </c>
      <c r="J1274" s="223" t="str">
        <f>IFERROR(__xludf.DUMMYFUNCTION("""COMPUTED_VALUE"""),"Monthly")</f>
        <v>Monthly</v>
      </c>
      <c r="K1274" s="317">
        <f>IFERROR(__xludf.DUMMYFUNCTION("""COMPUTED_VALUE"""),2022.01)</f>
        <v>2022.01</v>
      </c>
      <c r="L1274" s="298"/>
      <c r="M1274" s="223"/>
      <c r="N1274" s="223"/>
      <c r="O1274" s="223"/>
      <c r="P1274" s="223"/>
      <c r="Q1274" s="223"/>
      <c r="R1274" s="223"/>
      <c r="S1274" s="223"/>
      <c r="T1274" s="223"/>
      <c r="U1274" s="223"/>
      <c r="V1274" s="223"/>
      <c r="W1274" s="223"/>
      <c r="X1274" s="223"/>
      <c r="Y1274" s="223"/>
      <c r="Z1274" s="223"/>
    </row>
    <row r="1275">
      <c r="A1275" s="223" t="str">
        <f>IFERROR(__xludf.DUMMYFUNCTION("""COMPUTED_VALUE"""),"Bratopia : Monthly Services")</f>
        <v>Bratopia : Monthly Services</v>
      </c>
      <c r="B1275" s="223" t="str">
        <f>IFERROR(__xludf.DUMMYFUNCTION("""COMPUTED_VALUE"""),"Bratopia")</f>
        <v>Bratopia</v>
      </c>
      <c r="C1275" s="223" t="str">
        <f>IFERROR(__xludf.DUMMYFUNCTION("""COMPUTED_VALUE"""),"Monthly Services")</f>
        <v>Monthly Services</v>
      </c>
      <c r="D1275" s="316">
        <f>IFERROR(__xludf.DUMMYFUNCTION("""COMPUTED_VALUE"""),44592.0)</f>
        <v>44592</v>
      </c>
      <c r="E1275" s="298"/>
      <c r="F1275" s="298"/>
      <c r="G1275" s="298"/>
      <c r="H1275" s="223"/>
      <c r="I1275" s="298">
        <f>IFERROR(__xludf.DUMMYFUNCTION("""COMPUTED_VALUE"""),400.0)</f>
        <v>400</v>
      </c>
      <c r="J1275" s="223" t="str">
        <f>IFERROR(__xludf.DUMMYFUNCTION("""COMPUTED_VALUE"""),"Monthly")</f>
        <v>Monthly</v>
      </c>
      <c r="K1275" s="317">
        <f>IFERROR(__xludf.DUMMYFUNCTION("""COMPUTED_VALUE"""),2022.01)</f>
        <v>2022.01</v>
      </c>
      <c r="L1275" s="298"/>
      <c r="M1275" s="223"/>
      <c r="N1275" s="223"/>
      <c r="O1275" s="223"/>
      <c r="P1275" s="223"/>
      <c r="Q1275" s="223"/>
      <c r="R1275" s="223"/>
      <c r="S1275" s="223"/>
      <c r="T1275" s="223"/>
      <c r="U1275" s="223"/>
      <c r="V1275" s="223"/>
      <c r="W1275" s="223"/>
      <c r="X1275" s="223"/>
      <c r="Y1275" s="223"/>
      <c r="Z1275" s="223"/>
    </row>
    <row r="1276">
      <c r="A1276" s="223" t="str">
        <f>IFERROR(__xludf.DUMMYFUNCTION("""COMPUTED_VALUE"""),"TisBest : Monthly Services")</f>
        <v>TisBest : Monthly Services</v>
      </c>
      <c r="B1276" s="223" t="str">
        <f>IFERROR(__xludf.DUMMYFUNCTION("""COMPUTED_VALUE"""),"TisBest")</f>
        <v>TisBest</v>
      </c>
      <c r="C1276" s="223" t="str">
        <f>IFERROR(__xludf.DUMMYFUNCTION("""COMPUTED_VALUE"""),"Monthly Services")</f>
        <v>Monthly Services</v>
      </c>
      <c r="D1276" s="316">
        <f>IFERROR(__xludf.DUMMYFUNCTION("""COMPUTED_VALUE"""),44592.0)</f>
        <v>44592</v>
      </c>
      <c r="E1276" s="298"/>
      <c r="F1276" s="298"/>
      <c r="G1276" s="298"/>
      <c r="H1276" s="223"/>
      <c r="I1276" s="298">
        <f>IFERROR(__xludf.DUMMYFUNCTION("""COMPUTED_VALUE"""),837.5)</f>
        <v>837.5</v>
      </c>
      <c r="J1276" s="223" t="str">
        <f>IFERROR(__xludf.DUMMYFUNCTION("""COMPUTED_VALUE"""),"Monthly")</f>
        <v>Monthly</v>
      </c>
      <c r="K1276" s="317">
        <f>IFERROR(__xludf.DUMMYFUNCTION("""COMPUTED_VALUE"""),2022.01)</f>
        <v>2022.01</v>
      </c>
      <c r="L1276" s="298"/>
      <c r="M1276" s="223"/>
      <c r="N1276" s="223"/>
      <c r="O1276" s="223"/>
      <c r="P1276" s="223"/>
      <c r="Q1276" s="223"/>
      <c r="R1276" s="223"/>
      <c r="S1276" s="223"/>
      <c r="T1276" s="223"/>
      <c r="U1276" s="223"/>
      <c r="V1276" s="223"/>
      <c r="W1276" s="223"/>
      <c r="X1276" s="223"/>
      <c r="Y1276" s="223"/>
      <c r="Z1276" s="223"/>
    </row>
    <row r="1277">
      <c r="A1277" s="223" t="str">
        <f>IFERROR(__xludf.DUMMYFUNCTION("""COMPUTED_VALUE"""),"Wallack's Art Supplies : Monthly Services")</f>
        <v>Wallack's Art Supplies : Monthly Services</v>
      </c>
      <c r="B1277" s="223" t="str">
        <f>IFERROR(__xludf.DUMMYFUNCTION("""COMPUTED_VALUE"""),"Wallack's Art Supplies")</f>
        <v>Wallack's Art Supplies</v>
      </c>
      <c r="C1277" s="223" t="str">
        <f>IFERROR(__xludf.DUMMYFUNCTION("""COMPUTED_VALUE"""),"Monthly Services")</f>
        <v>Monthly Services</v>
      </c>
      <c r="D1277" s="316">
        <f>IFERROR(__xludf.DUMMYFUNCTION("""COMPUTED_VALUE"""),44592.0)</f>
        <v>44592</v>
      </c>
      <c r="E1277" s="298"/>
      <c r="F1277" s="298"/>
      <c r="G1277" s="298"/>
      <c r="H1277" s="223"/>
      <c r="I1277" s="298">
        <f>IFERROR(__xludf.DUMMYFUNCTION("""COMPUTED_VALUE"""),60.0)</f>
        <v>60</v>
      </c>
      <c r="J1277" s="223" t="str">
        <f>IFERROR(__xludf.DUMMYFUNCTION("""COMPUTED_VALUE"""),"Monthly")</f>
        <v>Monthly</v>
      </c>
      <c r="K1277" s="317">
        <f>IFERROR(__xludf.DUMMYFUNCTION("""COMPUTED_VALUE"""),2022.01)</f>
        <v>2022.01</v>
      </c>
      <c r="L1277" s="298"/>
      <c r="M1277" s="223"/>
      <c r="N1277" s="223"/>
      <c r="O1277" s="223"/>
      <c r="P1277" s="223"/>
      <c r="Q1277" s="223"/>
      <c r="R1277" s="223"/>
      <c r="S1277" s="223"/>
      <c r="T1277" s="223"/>
      <c r="U1277" s="223"/>
      <c r="V1277" s="223"/>
      <c r="W1277" s="223"/>
      <c r="X1277" s="223"/>
      <c r="Y1277" s="223"/>
      <c r="Z1277" s="223"/>
    </row>
    <row r="1278">
      <c r="A1278" s="223" t="str">
        <f>IFERROR(__xludf.DUMMYFUNCTION("""COMPUTED_VALUE"""),"PMDI : Monthly Services")</f>
        <v>PMDI : Monthly Services</v>
      </c>
      <c r="B1278" s="223" t="str">
        <f>IFERROR(__xludf.DUMMYFUNCTION("""COMPUTED_VALUE"""),"PMDI")</f>
        <v>PMDI</v>
      </c>
      <c r="C1278" s="223" t="str">
        <f>IFERROR(__xludf.DUMMYFUNCTION("""COMPUTED_VALUE"""),"Monthly Services")</f>
        <v>Monthly Services</v>
      </c>
      <c r="D1278" s="316">
        <f>IFERROR(__xludf.DUMMYFUNCTION("""COMPUTED_VALUE"""),44592.0)</f>
        <v>44592</v>
      </c>
      <c r="E1278" s="298"/>
      <c r="F1278" s="298"/>
      <c r="G1278" s="298"/>
      <c r="H1278" s="223"/>
      <c r="I1278" s="298">
        <f>IFERROR(__xludf.DUMMYFUNCTION("""COMPUTED_VALUE"""),167.5)</f>
        <v>167.5</v>
      </c>
      <c r="J1278" s="223" t="str">
        <f>IFERROR(__xludf.DUMMYFUNCTION("""COMPUTED_VALUE"""),"Monthly")</f>
        <v>Monthly</v>
      </c>
      <c r="K1278" s="317">
        <f>IFERROR(__xludf.DUMMYFUNCTION("""COMPUTED_VALUE"""),2022.01)</f>
        <v>2022.01</v>
      </c>
      <c r="L1278" s="298"/>
      <c r="M1278" s="223"/>
      <c r="N1278" s="223"/>
      <c r="O1278" s="223"/>
      <c r="P1278" s="223"/>
      <c r="Q1278" s="223"/>
      <c r="R1278" s="223"/>
      <c r="S1278" s="223"/>
      <c r="T1278" s="223"/>
      <c r="U1278" s="223"/>
      <c r="V1278" s="223"/>
      <c r="W1278" s="223"/>
      <c r="X1278" s="223"/>
      <c r="Y1278" s="223"/>
      <c r="Z1278" s="223"/>
    </row>
    <row r="1279">
      <c r="A1279" s="223" t="str">
        <f>IFERROR(__xludf.DUMMYFUNCTION("""COMPUTED_VALUE"""),"Tofino Resort + Marina : Monthly Services")</f>
        <v>Tofino Resort + Marina : Monthly Services</v>
      </c>
      <c r="B1279" s="223" t="str">
        <f>IFERROR(__xludf.DUMMYFUNCTION("""COMPUTED_VALUE"""),"Tofino Resort + Marina")</f>
        <v>Tofino Resort + Marina</v>
      </c>
      <c r="C1279" s="223" t="str">
        <f>IFERROR(__xludf.DUMMYFUNCTION("""COMPUTED_VALUE"""),"Monthly Services")</f>
        <v>Monthly Services</v>
      </c>
      <c r="D1279" s="316">
        <f>IFERROR(__xludf.DUMMYFUNCTION("""COMPUTED_VALUE"""),44592.0)</f>
        <v>44592</v>
      </c>
      <c r="E1279" s="298"/>
      <c r="F1279" s="298"/>
      <c r="G1279" s="298"/>
      <c r="H1279" s="223"/>
      <c r="I1279" s="298">
        <f>IFERROR(__xludf.DUMMYFUNCTION("""COMPUTED_VALUE"""),300.0)</f>
        <v>300</v>
      </c>
      <c r="J1279" s="223" t="str">
        <f>IFERROR(__xludf.DUMMYFUNCTION("""COMPUTED_VALUE"""),"Monthly")</f>
        <v>Monthly</v>
      </c>
      <c r="K1279" s="317">
        <f>IFERROR(__xludf.DUMMYFUNCTION("""COMPUTED_VALUE"""),2022.01)</f>
        <v>2022.01</v>
      </c>
      <c r="L1279" s="298"/>
      <c r="M1279" s="223"/>
      <c r="N1279" s="223"/>
      <c r="O1279" s="223"/>
      <c r="P1279" s="223"/>
      <c r="Q1279" s="223"/>
      <c r="R1279" s="223"/>
      <c r="S1279" s="223"/>
      <c r="T1279" s="223"/>
      <c r="U1279" s="223"/>
      <c r="V1279" s="223"/>
      <c r="W1279" s="223"/>
      <c r="X1279" s="223"/>
      <c r="Y1279" s="223"/>
      <c r="Z1279" s="223"/>
    </row>
    <row r="1280">
      <c r="A1280" s="223" t="str">
        <f>IFERROR(__xludf.DUMMYFUNCTION("""COMPUTED_VALUE"""),"Anook Athletics : Monthly Services")</f>
        <v>Anook Athletics : Monthly Services</v>
      </c>
      <c r="B1280" s="223" t="str">
        <f>IFERROR(__xludf.DUMMYFUNCTION("""COMPUTED_VALUE"""),"Anook Athletics")</f>
        <v>Anook Athletics</v>
      </c>
      <c r="C1280" s="223" t="str">
        <f>IFERROR(__xludf.DUMMYFUNCTION("""COMPUTED_VALUE"""),"Monthly Services")</f>
        <v>Monthly Services</v>
      </c>
      <c r="D1280" s="316">
        <f>IFERROR(__xludf.DUMMYFUNCTION("""COMPUTED_VALUE"""),44592.0)</f>
        <v>44592</v>
      </c>
      <c r="E1280" s="298"/>
      <c r="F1280" s="298"/>
      <c r="G1280" s="298"/>
      <c r="H1280" s="223"/>
      <c r="I1280" s="298">
        <f>IFERROR(__xludf.DUMMYFUNCTION("""COMPUTED_VALUE"""),225.0)</f>
        <v>225</v>
      </c>
      <c r="J1280" s="223" t="str">
        <f>IFERROR(__xludf.DUMMYFUNCTION("""COMPUTED_VALUE"""),"Monthly")</f>
        <v>Monthly</v>
      </c>
      <c r="K1280" s="317">
        <f>IFERROR(__xludf.DUMMYFUNCTION("""COMPUTED_VALUE"""),2022.01)</f>
        <v>2022.01</v>
      </c>
      <c r="L1280" s="298"/>
      <c r="M1280" s="223"/>
      <c r="N1280" s="223"/>
      <c r="O1280" s="223"/>
      <c r="P1280" s="223"/>
      <c r="Q1280" s="223"/>
      <c r="R1280" s="223"/>
      <c r="S1280" s="223"/>
      <c r="T1280" s="223"/>
      <c r="U1280" s="223"/>
      <c r="V1280" s="223"/>
      <c r="W1280" s="223"/>
      <c r="X1280" s="223"/>
      <c r="Y1280" s="223"/>
      <c r="Z1280" s="223"/>
    </row>
    <row r="1281">
      <c r="A1281" s="223" t="str">
        <f>IFERROR(__xludf.DUMMYFUNCTION("""COMPUTED_VALUE"""),"New Growth Ecommerce Inc : Monthly Services")</f>
        <v>New Growth Ecommerce Inc : Monthly Services</v>
      </c>
      <c r="B1281" s="223" t="str">
        <f>IFERROR(__xludf.DUMMYFUNCTION("""COMPUTED_VALUE"""),"New Growth Ecommerce Inc")</f>
        <v>New Growth Ecommerce Inc</v>
      </c>
      <c r="C1281" s="223" t="str">
        <f>IFERROR(__xludf.DUMMYFUNCTION("""COMPUTED_VALUE"""),"Monthly Services")</f>
        <v>Monthly Services</v>
      </c>
      <c r="D1281" s="316">
        <f>IFERROR(__xludf.DUMMYFUNCTION("""COMPUTED_VALUE"""),44592.0)</f>
        <v>44592</v>
      </c>
      <c r="E1281" s="298"/>
      <c r="F1281" s="298"/>
      <c r="G1281" s="298"/>
      <c r="H1281" s="223"/>
      <c r="I1281" s="298">
        <f>IFERROR(__xludf.DUMMYFUNCTION("""COMPUTED_VALUE"""),1000.0)</f>
        <v>1000</v>
      </c>
      <c r="J1281" s="223" t="str">
        <f>IFERROR(__xludf.DUMMYFUNCTION("""COMPUTED_VALUE"""),"Monthly")</f>
        <v>Monthly</v>
      </c>
      <c r="K1281" s="317">
        <f>IFERROR(__xludf.DUMMYFUNCTION("""COMPUTED_VALUE"""),2022.01)</f>
        <v>2022.01</v>
      </c>
      <c r="L1281" s="298"/>
      <c r="M1281" s="223"/>
      <c r="N1281" s="223"/>
      <c r="O1281" s="223"/>
      <c r="P1281" s="223"/>
      <c r="Q1281" s="223"/>
      <c r="R1281" s="223"/>
      <c r="S1281" s="223"/>
      <c r="T1281" s="223"/>
      <c r="U1281" s="223"/>
      <c r="V1281" s="223"/>
      <c r="W1281" s="223"/>
      <c r="X1281" s="223"/>
      <c r="Y1281" s="223"/>
      <c r="Z1281" s="223"/>
    </row>
    <row r="1282">
      <c r="A1282" s="223" t="str">
        <f>IFERROR(__xludf.DUMMYFUNCTION("""COMPUTED_VALUE"""),"Argos Products : Monthly Services")</f>
        <v>Argos Products : Monthly Services</v>
      </c>
      <c r="B1282" s="223" t="str">
        <f>IFERROR(__xludf.DUMMYFUNCTION("""COMPUTED_VALUE"""),"Argos Products")</f>
        <v>Argos Products</v>
      </c>
      <c r="C1282" s="223" t="str">
        <f>IFERROR(__xludf.DUMMYFUNCTION("""COMPUTED_VALUE"""),"Monthly Services")</f>
        <v>Monthly Services</v>
      </c>
      <c r="D1282" s="316">
        <f>IFERROR(__xludf.DUMMYFUNCTION("""COMPUTED_VALUE"""),44592.0)</f>
        <v>44592</v>
      </c>
      <c r="E1282" s="298"/>
      <c r="F1282" s="298"/>
      <c r="G1282" s="298"/>
      <c r="H1282" s="223"/>
      <c r="I1282" s="298">
        <f>IFERROR(__xludf.DUMMYFUNCTION("""COMPUTED_VALUE"""),195.0)</f>
        <v>195</v>
      </c>
      <c r="J1282" s="223" t="str">
        <f>IFERROR(__xludf.DUMMYFUNCTION("""COMPUTED_VALUE"""),"Monthly")</f>
        <v>Monthly</v>
      </c>
      <c r="K1282" s="317">
        <f>IFERROR(__xludf.DUMMYFUNCTION("""COMPUTED_VALUE"""),2022.01)</f>
        <v>2022.01</v>
      </c>
      <c r="L1282" s="298"/>
      <c r="M1282" s="223"/>
      <c r="N1282" s="223"/>
      <c r="O1282" s="223"/>
      <c r="P1282" s="223"/>
      <c r="Q1282" s="223"/>
      <c r="R1282" s="223"/>
      <c r="S1282" s="223"/>
      <c r="T1282" s="223"/>
      <c r="U1282" s="223"/>
      <c r="V1282" s="223"/>
      <c r="W1282" s="223"/>
      <c r="X1282" s="223"/>
      <c r="Y1282" s="223"/>
      <c r="Z1282" s="223"/>
    </row>
    <row r="1283">
      <c r="A1283" s="223" t="str">
        <f>IFERROR(__xludf.DUMMYFUNCTION("""COMPUTED_VALUE"""),"VIATeC : Sweeping Beauty DER3")</f>
        <v>VIATeC : Sweeping Beauty DER3</v>
      </c>
      <c r="B1283" s="223" t="str">
        <f>IFERROR(__xludf.DUMMYFUNCTION("""COMPUTED_VALUE"""),"VIATeC")</f>
        <v>VIATeC</v>
      </c>
      <c r="C1283" s="223" t="str">
        <f>IFERROR(__xludf.DUMMYFUNCTION("""COMPUTED_VALUE"""),"Sweeping Beauty DER3")</f>
        <v>Sweeping Beauty DER3</v>
      </c>
      <c r="D1283" s="316">
        <f>IFERROR(__xludf.DUMMYFUNCTION("""COMPUTED_VALUE"""),44592.0)</f>
        <v>44592</v>
      </c>
      <c r="E1283" s="298"/>
      <c r="F1283" s="298"/>
      <c r="G1283" s="298"/>
      <c r="H1283" s="223"/>
      <c r="I1283" s="298">
        <f>IFERROR(__xludf.DUMMYFUNCTION("""COMPUTED_VALUE"""),362.5)</f>
        <v>362.5</v>
      </c>
      <c r="J1283" s="223" t="str">
        <f>IFERROR(__xludf.DUMMYFUNCTION("""COMPUTED_VALUE"""),"Fixed Project")</f>
        <v>Fixed Project</v>
      </c>
      <c r="K1283" s="317">
        <f>IFERROR(__xludf.DUMMYFUNCTION("""COMPUTED_VALUE"""),2022.0)</f>
        <v>2022</v>
      </c>
      <c r="L1283" s="298"/>
      <c r="M1283" s="223"/>
      <c r="N1283" s="223"/>
      <c r="O1283" s="223"/>
      <c r="P1283" s="223"/>
      <c r="Q1283" s="223"/>
      <c r="R1283" s="223"/>
      <c r="S1283" s="223"/>
      <c r="T1283" s="223"/>
      <c r="U1283" s="223"/>
      <c r="V1283" s="223"/>
      <c r="W1283" s="223"/>
      <c r="X1283" s="223"/>
      <c r="Y1283" s="223"/>
      <c r="Z1283" s="223"/>
    </row>
    <row r="1284">
      <c r="A1284" s="223" t="str">
        <f>IFERROR(__xludf.DUMMYFUNCTION("""COMPUTED_VALUE"""),"C360 : Victory360")</f>
        <v>C360 : Victory360</v>
      </c>
      <c r="B1284" s="223" t="str">
        <f>IFERROR(__xludf.DUMMYFUNCTION("""COMPUTED_VALUE"""),"C360")</f>
        <v>C360</v>
      </c>
      <c r="C1284" s="223" t="str">
        <f>IFERROR(__xludf.DUMMYFUNCTION("""COMPUTED_VALUE"""),"Victory360")</f>
        <v>Victory360</v>
      </c>
      <c r="D1284" s="316">
        <f>IFERROR(__xludf.DUMMYFUNCTION("""COMPUTED_VALUE"""),44592.0)</f>
        <v>44592</v>
      </c>
      <c r="E1284" s="298"/>
      <c r="F1284" s="298"/>
      <c r="G1284" s="298"/>
      <c r="H1284" s="223"/>
      <c r="I1284" s="298">
        <f>IFERROR(__xludf.DUMMYFUNCTION("""COMPUTED_VALUE"""),30.0)</f>
        <v>30</v>
      </c>
      <c r="J1284" s="223" t="str">
        <f>IFERROR(__xludf.DUMMYFUNCTION("""COMPUTED_VALUE"""),"Monthly")</f>
        <v>Monthly</v>
      </c>
      <c r="K1284" s="317">
        <f>IFERROR(__xludf.DUMMYFUNCTION("""COMPUTED_VALUE"""),2022.01)</f>
        <v>2022.01</v>
      </c>
      <c r="L1284" s="298"/>
      <c r="M1284" s="223"/>
      <c r="N1284" s="223"/>
      <c r="O1284" s="223"/>
      <c r="P1284" s="223"/>
      <c r="Q1284" s="223"/>
      <c r="R1284" s="223"/>
      <c r="S1284" s="223"/>
      <c r="T1284" s="223"/>
      <c r="U1284" s="223"/>
      <c r="V1284" s="223"/>
      <c r="W1284" s="223"/>
      <c r="X1284" s="223"/>
      <c r="Y1284" s="223"/>
      <c r="Z1284" s="223"/>
    </row>
    <row r="1285">
      <c r="A1285" s="223" t="str">
        <f>IFERROR(__xludf.DUMMYFUNCTION("""COMPUTED_VALUE"""),"C360 : SEO Implementation")</f>
        <v>C360 : SEO Implementation</v>
      </c>
      <c r="B1285" s="223" t="str">
        <f>IFERROR(__xludf.DUMMYFUNCTION("""COMPUTED_VALUE"""),"C360")</f>
        <v>C360</v>
      </c>
      <c r="C1285" s="223" t="str">
        <f>IFERROR(__xludf.DUMMYFUNCTION("""COMPUTED_VALUE"""),"SEO Implementation")</f>
        <v>SEO Implementation</v>
      </c>
      <c r="D1285" s="316">
        <f>IFERROR(__xludf.DUMMYFUNCTION("""COMPUTED_VALUE"""),44592.0)</f>
        <v>44592</v>
      </c>
      <c r="E1285" s="298"/>
      <c r="F1285" s="298"/>
      <c r="G1285" s="298"/>
      <c r="H1285" s="223"/>
      <c r="I1285" s="298">
        <f>IFERROR(__xludf.DUMMYFUNCTION("""COMPUTED_VALUE"""),675.0)</f>
        <v>675</v>
      </c>
      <c r="J1285" s="223" t="str">
        <f>IFERROR(__xludf.DUMMYFUNCTION("""COMPUTED_VALUE"""),"Fixed Project")</f>
        <v>Fixed Project</v>
      </c>
      <c r="K1285" s="317">
        <f>IFERROR(__xludf.DUMMYFUNCTION("""COMPUTED_VALUE"""),2022.0)</f>
        <v>2022</v>
      </c>
      <c r="L1285" s="298"/>
      <c r="M1285" s="223"/>
      <c r="N1285" s="223"/>
      <c r="O1285" s="223"/>
      <c r="P1285" s="223"/>
      <c r="Q1285" s="223"/>
      <c r="R1285" s="223"/>
      <c r="S1285" s="223"/>
      <c r="T1285" s="223"/>
      <c r="U1285" s="223"/>
      <c r="V1285" s="223"/>
      <c r="W1285" s="223"/>
      <c r="X1285" s="223"/>
      <c r="Y1285" s="223"/>
      <c r="Z1285" s="223"/>
    </row>
    <row r="1286">
      <c r="A1286" s="223" t="str">
        <f>IFERROR(__xludf.DUMMYFUNCTION("""COMPUTED_VALUE"""),"Sacred Deathcare : Digital Presence Review &amp; Report")</f>
        <v>Sacred Deathcare : Digital Presence Review &amp; Report</v>
      </c>
      <c r="B1286" s="223" t="str">
        <f>IFERROR(__xludf.DUMMYFUNCTION("""COMPUTED_VALUE"""),"Sacred Deathcare")</f>
        <v>Sacred Deathcare</v>
      </c>
      <c r="C1286" s="223" t="str">
        <f>IFERROR(__xludf.DUMMYFUNCTION("""COMPUTED_VALUE"""),"Digital Presence Review &amp; Report")</f>
        <v>Digital Presence Review &amp; Report</v>
      </c>
      <c r="D1286" s="316">
        <f>IFERROR(__xludf.DUMMYFUNCTION("""COMPUTED_VALUE"""),44592.0)</f>
        <v>44592</v>
      </c>
      <c r="E1286" s="298"/>
      <c r="F1286" s="298"/>
      <c r="G1286" s="298"/>
      <c r="H1286" s="223"/>
      <c r="I1286" s="298">
        <f>IFERROR(__xludf.DUMMYFUNCTION("""COMPUTED_VALUE"""),500.0)</f>
        <v>500</v>
      </c>
      <c r="J1286" s="223" t="str">
        <f>IFERROR(__xludf.DUMMYFUNCTION("""COMPUTED_VALUE"""),"Fixed Project")</f>
        <v>Fixed Project</v>
      </c>
      <c r="K1286" s="317">
        <f>IFERROR(__xludf.DUMMYFUNCTION("""COMPUTED_VALUE"""),2022.0)</f>
        <v>2022</v>
      </c>
      <c r="L1286" s="298"/>
      <c r="M1286" s="223"/>
      <c r="N1286" s="223"/>
      <c r="O1286" s="223"/>
      <c r="P1286" s="223"/>
      <c r="Q1286" s="223"/>
      <c r="R1286" s="223"/>
      <c r="S1286" s="223"/>
      <c r="T1286" s="223"/>
      <c r="U1286" s="223"/>
      <c r="V1286" s="223"/>
      <c r="W1286" s="223"/>
      <c r="X1286" s="223"/>
      <c r="Y1286" s="223"/>
      <c r="Z1286" s="223"/>
    </row>
    <row r="1287">
      <c r="A1287" s="223" t="str">
        <f>IFERROR(__xludf.DUMMYFUNCTION("""COMPUTED_VALUE"""),"Technology Rivers : Monthly Services")</f>
        <v>Technology Rivers : Monthly Services</v>
      </c>
      <c r="B1287" s="223" t="str">
        <f>IFERROR(__xludf.DUMMYFUNCTION("""COMPUTED_VALUE"""),"Technology Rivers")</f>
        <v>Technology Rivers</v>
      </c>
      <c r="C1287" s="223" t="str">
        <f>IFERROR(__xludf.DUMMYFUNCTION("""COMPUTED_VALUE"""),"Monthly Services")</f>
        <v>Monthly Services</v>
      </c>
      <c r="D1287" s="316">
        <f>IFERROR(__xludf.DUMMYFUNCTION("""COMPUTED_VALUE"""),44592.0)</f>
        <v>44592</v>
      </c>
      <c r="E1287" s="298"/>
      <c r="F1287" s="298"/>
      <c r="G1287" s="298"/>
      <c r="H1287" s="223"/>
      <c r="I1287" s="298">
        <f>IFERROR(__xludf.DUMMYFUNCTION("""COMPUTED_VALUE"""),225.0)</f>
        <v>225</v>
      </c>
      <c r="J1287" s="223" t="str">
        <f>IFERROR(__xludf.DUMMYFUNCTION("""COMPUTED_VALUE"""),"Monthly")</f>
        <v>Monthly</v>
      </c>
      <c r="K1287" s="317">
        <f>IFERROR(__xludf.DUMMYFUNCTION("""COMPUTED_VALUE"""),2022.01)</f>
        <v>2022.01</v>
      </c>
      <c r="L1287" s="298"/>
      <c r="M1287" s="223"/>
      <c r="N1287" s="223"/>
      <c r="O1287" s="223"/>
      <c r="P1287" s="223"/>
      <c r="Q1287" s="223"/>
      <c r="R1287" s="223"/>
      <c r="S1287" s="223"/>
      <c r="T1287" s="223"/>
      <c r="U1287" s="223"/>
      <c r="V1287" s="223"/>
      <c r="W1287" s="223"/>
      <c r="X1287" s="223"/>
      <c r="Y1287" s="223"/>
      <c r="Z1287" s="223"/>
    </row>
    <row r="1288">
      <c r="A1288" s="223" t="str">
        <f>IFERROR(__xludf.DUMMYFUNCTION("""COMPUTED_VALUE"""),"Prime Engineering : Monthly Services")</f>
        <v>Prime Engineering : Monthly Services</v>
      </c>
      <c r="B1288" s="223" t="str">
        <f>IFERROR(__xludf.DUMMYFUNCTION("""COMPUTED_VALUE"""),"Prime Engineering")</f>
        <v>Prime Engineering</v>
      </c>
      <c r="C1288" s="223" t="str">
        <f>IFERROR(__xludf.DUMMYFUNCTION("""COMPUTED_VALUE"""),"Monthly Services")</f>
        <v>Monthly Services</v>
      </c>
      <c r="D1288" s="316">
        <f>IFERROR(__xludf.DUMMYFUNCTION("""COMPUTED_VALUE"""),44592.0)</f>
        <v>44592</v>
      </c>
      <c r="E1288" s="298"/>
      <c r="F1288" s="298"/>
      <c r="G1288" s="298"/>
      <c r="H1288" s="223"/>
      <c r="I1288" s="298">
        <f>IFERROR(__xludf.DUMMYFUNCTION("""COMPUTED_VALUE"""),225.0)</f>
        <v>225</v>
      </c>
      <c r="J1288" s="223" t="str">
        <f>IFERROR(__xludf.DUMMYFUNCTION("""COMPUTED_VALUE"""),"Monthly")</f>
        <v>Monthly</v>
      </c>
      <c r="K1288" s="317">
        <f>IFERROR(__xludf.DUMMYFUNCTION("""COMPUTED_VALUE"""),2022.01)</f>
        <v>2022.01</v>
      </c>
      <c r="L1288" s="298"/>
      <c r="M1288" s="223"/>
      <c r="N1288" s="223"/>
      <c r="O1288" s="223"/>
      <c r="P1288" s="223"/>
      <c r="Q1288" s="223"/>
      <c r="R1288" s="223"/>
      <c r="S1288" s="223"/>
      <c r="T1288" s="223"/>
      <c r="U1288" s="223"/>
      <c r="V1288" s="223"/>
      <c r="W1288" s="223"/>
      <c r="X1288" s="223"/>
      <c r="Y1288" s="223"/>
      <c r="Z1288" s="223"/>
    </row>
    <row r="1289">
      <c r="A1289" s="223" t="str">
        <f>IFERROR(__xludf.DUMMYFUNCTION("""COMPUTED_VALUE"""),"Availed Technologies : Monthly Services")</f>
        <v>Availed Technologies : Monthly Services</v>
      </c>
      <c r="B1289" s="223" t="str">
        <f>IFERROR(__xludf.DUMMYFUNCTION("""COMPUTED_VALUE"""),"Availed Technologies")</f>
        <v>Availed Technologies</v>
      </c>
      <c r="C1289" s="223" t="str">
        <f>IFERROR(__xludf.DUMMYFUNCTION("""COMPUTED_VALUE"""),"Monthly Services")</f>
        <v>Monthly Services</v>
      </c>
      <c r="D1289" s="316">
        <f>IFERROR(__xludf.DUMMYFUNCTION("""COMPUTED_VALUE"""),44592.0)</f>
        <v>44592</v>
      </c>
      <c r="E1289" s="298"/>
      <c r="F1289" s="298"/>
      <c r="G1289" s="298"/>
      <c r="H1289" s="223"/>
      <c r="I1289" s="298">
        <f>IFERROR(__xludf.DUMMYFUNCTION("""COMPUTED_VALUE"""),162.5)</f>
        <v>162.5</v>
      </c>
      <c r="J1289" s="223" t="str">
        <f>IFERROR(__xludf.DUMMYFUNCTION("""COMPUTED_VALUE"""),"Monthly")</f>
        <v>Monthly</v>
      </c>
      <c r="K1289" s="317">
        <f>IFERROR(__xludf.DUMMYFUNCTION("""COMPUTED_VALUE"""),2022.01)</f>
        <v>2022.01</v>
      </c>
      <c r="L1289" s="298"/>
      <c r="M1289" s="223"/>
      <c r="N1289" s="223"/>
      <c r="O1289" s="223"/>
      <c r="P1289" s="223"/>
      <c r="Q1289" s="223"/>
      <c r="R1289" s="223"/>
      <c r="S1289" s="223"/>
      <c r="T1289" s="223"/>
      <c r="U1289" s="223"/>
      <c r="V1289" s="223"/>
      <c r="W1289" s="223"/>
      <c r="X1289" s="223"/>
      <c r="Y1289" s="223"/>
      <c r="Z1289" s="223"/>
    </row>
    <row r="1290">
      <c r="A1290" s="223" t="str">
        <f>IFERROR(__xludf.DUMMYFUNCTION("""COMPUTED_VALUE"""),"Bratopia : Monthly Services")</f>
        <v>Bratopia : Monthly Services</v>
      </c>
      <c r="B1290" s="223" t="str">
        <f>IFERROR(__xludf.DUMMYFUNCTION("""COMPUTED_VALUE"""),"Bratopia")</f>
        <v>Bratopia</v>
      </c>
      <c r="C1290" s="223" t="str">
        <f>IFERROR(__xludf.DUMMYFUNCTION("""COMPUTED_VALUE"""),"Monthly Services")</f>
        <v>Monthly Services</v>
      </c>
      <c r="D1290" s="316">
        <f>IFERROR(__xludf.DUMMYFUNCTION("""COMPUTED_VALUE"""),44592.0)</f>
        <v>44592</v>
      </c>
      <c r="E1290" s="298"/>
      <c r="F1290" s="298"/>
      <c r="G1290" s="298"/>
      <c r="H1290" s="223"/>
      <c r="I1290" s="298">
        <f>IFERROR(__xludf.DUMMYFUNCTION("""COMPUTED_VALUE"""),250.0)</f>
        <v>250</v>
      </c>
      <c r="J1290" s="223" t="str">
        <f>IFERROR(__xludf.DUMMYFUNCTION("""COMPUTED_VALUE"""),"Monthly")</f>
        <v>Monthly</v>
      </c>
      <c r="K1290" s="317">
        <f>IFERROR(__xludf.DUMMYFUNCTION("""COMPUTED_VALUE"""),2022.01)</f>
        <v>2022.01</v>
      </c>
      <c r="L1290" s="298"/>
      <c r="M1290" s="223"/>
      <c r="N1290" s="223"/>
      <c r="O1290" s="223"/>
      <c r="P1290" s="223"/>
      <c r="Q1290" s="223"/>
      <c r="R1290" s="223"/>
      <c r="S1290" s="223"/>
      <c r="T1290" s="223"/>
      <c r="U1290" s="223"/>
      <c r="V1290" s="223"/>
      <c r="W1290" s="223"/>
      <c r="X1290" s="223"/>
      <c r="Y1290" s="223"/>
      <c r="Z1290" s="223"/>
    </row>
    <row r="1291">
      <c r="A1291" s="223" t="str">
        <f>IFERROR(__xludf.DUMMYFUNCTION("""COMPUTED_VALUE"""),"Community Financials : Monthly Services")</f>
        <v>Community Financials : Monthly Services</v>
      </c>
      <c r="B1291" s="223" t="str">
        <f>IFERROR(__xludf.DUMMYFUNCTION("""COMPUTED_VALUE"""),"Community Financials")</f>
        <v>Community Financials</v>
      </c>
      <c r="C1291" s="223" t="str">
        <f>IFERROR(__xludf.DUMMYFUNCTION("""COMPUTED_VALUE"""),"Monthly Services")</f>
        <v>Monthly Services</v>
      </c>
      <c r="D1291" s="316">
        <f>IFERROR(__xludf.DUMMYFUNCTION("""COMPUTED_VALUE"""),44592.0)</f>
        <v>44592</v>
      </c>
      <c r="E1291" s="298"/>
      <c r="F1291" s="298"/>
      <c r="G1291" s="298"/>
      <c r="H1291" s="223"/>
      <c r="I1291" s="298">
        <f>IFERROR(__xludf.DUMMYFUNCTION("""COMPUTED_VALUE"""),375.0)</f>
        <v>375</v>
      </c>
      <c r="J1291" s="223" t="str">
        <f>IFERROR(__xludf.DUMMYFUNCTION("""COMPUTED_VALUE"""),"Monthly")</f>
        <v>Monthly</v>
      </c>
      <c r="K1291" s="317">
        <f>IFERROR(__xludf.DUMMYFUNCTION("""COMPUTED_VALUE"""),2022.01)</f>
        <v>2022.01</v>
      </c>
      <c r="L1291" s="298"/>
      <c r="M1291" s="223"/>
      <c r="N1291" s="223"/>
      <c r="O1291" s="223"/>
      <c r="P1291" s="223"/>
      <c r="Q1291" s="223"/>
      <c r="R1291" s="223"/>
      <c r="S1291" s="223"/>
      <c r="T1291" s="223"/>
      <c r="U1291" s="223"/>
      <c r="V1291" s="223"/>
      <c r="W1291" s="223"/>
      <c r="X1291" s="223"/>
      <c r="Y1291" s="223"/>
      <c r="Z1291" s="223"/>
    </row>
    <row r="1292">
      <c r="A1292" s="223" t="str">
        <f>IFERROR(__xludf.DUMMYFUNCTION("""COMPUTED_VALUE"""),"PlusROI : Admin")</f>
        <v>PlusROI : Admin</v>
      </c>
      <c r="B1292" s="223" t="str">
        <f>IFERROR(__xludf.DUMMYFUNCTION("""COMPUTED_VALUE"""),"PlusROI")</f>
        <v>PlusROI</v>
      </c>
      <c r="C1292" s="223" t="str">
        <f>IFERROR(__xludf.DUMMYFUNCTION("""COMPUTED_VALUE"""),"Admin")</f>
        <v>Admin</v>
      </c>
      <c r="D1292" s="316">
        <f>IFERROR(__xludf.DUMMYFUNCTION("""COMPUTED_VALUE"""),44592.0)</f>
        <v>44592</v>
      </c>
      <c r="E1292" s="298"/>
      <c r="F1292" s="298"/>
      <c r="G1292" s="298"/>
      <c r="H1292" s="223"/>
      <c r="I1292" s="298">
        <f>IFERROR(__xludf.DUMMYFUNCTION("""COMPUTED_VALUE"""),142.5)</f>
        <v>142.5</v>
      </c>
      <c r="J1292" s="223" t="str">
        <f>IFERROR(__xludf.DUMMYFUNCTION("""COMPUTED_VALUE"""),"Hourly")</f>
        <v>Hourly</v>
      </c>
      <c r="K1292" s="317">
        <f>IFERROR(__xludf.DUMMYFUNCTION("""COMPUTED_VALUE"""),2022.0)</f>
        <v>2022</v>
      </c>
      <c r="L1292" s="298"/>
      <c r="M1292" s="223"/>
      <c r="N1292" s="223"/>
      <c r="O1292" s="223"/>
      <c r="P1292" s="223"/>
      <c r="Q1292" s="223"/>
      <c r="R1292" s="223"/>
      <c r="S1292" s="223"/>
      <c r="T1292" s="223"/>
      <c r="U1292" s="223"/>
      <c r="V1292" s="223"/>
      <c r="W1292" s="223"/>
      <c r="X1292" s="223"/>
      <c r="Y1292" s="223"/>
      <c r="Z1292" s="223"/>
    </row>
    <row r="1293">
      <c r="A1293" s="223" t="str">
        <f>IFERROR(__xludf.DUMMYFUNCTION("""COMPUTED_VALUE"""),"Availed Technologies : Monthly Services")</f>
        <v>Availed Technologies : Monthly Services</v>
      </c>
      <c r="B1293" s="223" t="str">
        <f>IFERROR(__xludf.DUMMYFUNCTION("""COMPUTED_VALUE"""),"Availed Technologies")</f>
        <v>Availed Technologies</v>
      </c>
      <c r="C1293" s="223" t="str">
        <f>IFERROR(__xludf.DUMMYFUNCTION("""COMPUTED_VALUE"""),"Monthly Services")</f>
        <v>Monthly Services</v>
      </c>
      <c r="D1293" s="316">
        <f>IFERROR(__xludf.DUMMYFUNCTION("""COMPUTED_VALUE"""),44592.0)</f>
        <v>44592</v>
      </c>
      <c r="E1293" s="298"/>
      <c r="F1293" s="298"/>
      <c r="G1293" s="298"/>
      <c r="H1293" s="223"/>
      <c r="I1293" s="298">
        <f>IFERROR(__xludf.DUMMYFUNCTION("""COMPUTED_VALUE"""),175.0)</f>
        <v>175</v>
      </c>
      <c r="J1293" s="223" t="str">
        <f>IFERROR(__xludf.DUMMYFUNCTION("""COMPUTED_VALUE"""),"Monthly")</f>
        <v>Monthly</v>
      </c>
      <c r="K1293" s="317">
        <f>IFERROR(__xludf.DUMMYFUNCTION("""COMPUTED_VALUE"""),2022.01)</f>
        <v>2022.01</v>
      </c>
      <c r="L1293" s="298"/>
      <c r="M1293" s="223"/>
      <c r="N1293" s="223"/>
      <c r="O1293" s="223"/>
      <c r="P1293" s="223"/>
      <c r="Q1293" s="223"/>
      <c r="R1293" s="223"/>
      <c r="S1293" s="223"/>
      <c r="T1293" s="223"/>
      <c r="U1293" s="223"/>
      <c r="V1293" s="223"/>
      <c r="W1293" s="223"/>
      <c r="X1293" s="223"/>
      <c r="Y1293" s="223"/>
      <c r="Z1293" s="223"/>
    </row>
    <row r="1294">
      <c r="A1294" s="223" t="str">
        <f>IFERROR(__xludf.DUMMYFUNCTION("""COMPUTED_VALUE"""),"BookKing (Pacific Tier) : Monthly Services")</f>
        <v>BookKing (Pacific Tier) : Monthly Services</v>
      </c>
      <c r="B1294" s="223" t="str">
        <f>IFERROR(__xludf.DUMMYFUNCTION("""COMPUTED_VALUE"""),"BookKing (Pacific Tier)")</f>
        <v>BookKing (Pacific Tier)</v>
      </c>
      <c r="C1294" s="223" t="str">
        <f>IFERROR(__xludf.DUMMYFUNCTION("""COMPUTED_VALUE"""),"Monthly Services")</f>
        <v>Monthly Services</v>
      </c>
      <c r="D1294" s="316">
        <f>IFERROR(__xludf.DUMMYFUNCTION("""COMPUTED_VALUE"""),44592.0)</f>
        <v>44592</v>
      </c>
      <c r="E1294" s="298"/>
      <c r="F1294" s="298"/>
      <c r="G1294" s="298"/>
      <c r="H1294" s="223"/>
      <c r="I1294" s="298">
        <f>IFERROR(__xludf.DUMMYFUNCTION("""COMPUTED_VALUE"""),250.0)</f>
        <v>250</v>
      </c>
      <c r="J1294" s="223" t="str">
        <f>IFERROR(__xludf.DUMMYFUNCTION("""COMPUTED_VALUE"""),"Monthly")</f>
        <v>Monthly</v>
      </c>
      <c r="K1294" s="317">
        <f>IFERROR(__xludf.DUMMYFUNCTION("""COMPUTED_VALUE"""),2022.01)</f>
        <v>2022.01</v>
      </c>
      <c r="L1294" s="298"/>
      <c r="M1294" s="223"/>
      <c r="N1294" s="223"/>
      <c r="O1294" s="223"/>
      <c r="P1294" s="223"/>
      <c r="Q1294" s="223"/>
      <c r="R1294" s="223"/>
      <c r="S1294" s="223"/>
      <c r="T1294" s="223"/>
      <c r="U1294" s="223"/>
      <c r="V1294" s="223"/>
      <c r="W1294" s="223"/>
      <c r="X1294" s="223"/>
      <c r="Y1294" s="223"/>
      <c r="Z1294" s="223"/>
    </row>
    <row r="1295">
      <c r="A1295" s="223" t="str">
        <f>IFERROR(__xludf.DUMMYFUNCTION("""COMPUTED_VALUE"""),"Hastings House : Monthly Services")</f>
        <v>Hastings House : Monthly Services</v>
      </c>
      <c r="B1295" s="223" t="str">
        <f>IFERROR(__xludf.DUMMYFUNCTION("""COMPUTED_VALUE"""),"Hastings House")</f>
        <v>Hastings House</v>
      </c>
      <c r="C1295" s="223" t="str">
        <f>IFERROR(__xludf.DUMMYFUNCTION("""COMPUTED_VALUE"""),"Monthly Services")</f>
        <v>Monthly Services</v>
      </c>
      <c r="D1295" s="316">
        <f>IFERROR(__xludf.DUMMYFUNCTION("""COMPUTED_VALUE"""),44592.0)</f>
        <v>44592</v>
      </c>
      <c r="E1295" s="298"/>
      <c r="F1295" s="298"/>
      <c r="G1295" s="298"/>
      <c r="H1295" s="223"/>
      <c r="I1295" s="298">
        <f>IFERROR(__xludf.DUMMYFUNCTION("""COMPUTED_VALUE"""),175.0)</f>
        <v>175</v>
      </c>
      <c r="J1295" s="223" t="str">
        <f>IFERROR(__xludf.DUMMYFUNCTION("""COMPUTED_VALUE"""),"Monthly")</f>
        <v>Monthly</v>
      </c>
      <c r="K1295" s="317">
        <f>IFERROR(__xludf.DUMMYFUNCTION("""COMPUTED_VALUE"""),2022.01)</f>
        <v>2022.01</v>
      </c>
      <c r="L1295" s="298"/>
      <c r="M1295" s="223"/>
      <c r="N1295" s="223"/>
      <c r="O1295" s="223"/>
      <c r="P1295" s="223"/>
      <c r="Q1295" s="223"/>
      <c r="R1295" s="223"/>
      <c r="S1295" s="223"/>
      <c r="T1295" s="223"/>
      <c r="U1295" s="223"/>
      <c r="V1295" s="223"/>
      <c r="W1295" s="223"/>
      <c r="X1295" s="223"/>
      <c r="Y1295" s="223"/>
      <c r="Z1295" s="223"/>
    </row>
    <row r="1296">
      <c r="A1296" s="223" t="str">
        <f>IFERROR(__xludf.DUMMYFUNCTION("""COMPUTED_VALUE"""),"Spraggs : Monthly Services")</f>
        <v>Spraggs : Monthly Services</v>
      </c>
      <c r="B1296" s="223" t="str">
        <f>IFERROR(__xludf.DUMMYFUNCTION("""COMPUTED_VALUE"""),"Spraggs")</f>
        <v>Spraggs</v>
      </c>
      <c r="C1296" s="223" t="str">
        <f>IFERROR(__xludf.DUMMYFUNCTION("""COMPUTED_VALUE"""),"Monthly Services")</f>
        <v>Monthly Services</v>
      </c>
      <c r="D1296" s="316">
        <f>IFERROR(__xludf.DUMMYFUNCTION("""COMPUTED_VALUE"""),44592.0)</f>
        <v>44592</v>
      </c>
      <c r="E1296" s="298"/>
      <c r="F1296" s="298"/>
      <c r="G1296" s="298"/>
      <c r="H1296" s="223"/>
      <c r="I1296" s="298">
        <f>IFERROR(__xludf.DUMMYFUNCTION("""COMPUTED_VALUE"""),212.5)</f>
        <v>212.5</v>
      </c>
      <c r="J1296" s="223" t="str">
        <f>IFERROR(__xludf.DUMMYFUNCTION("""COMPUTED_VALUE"""),"Monthly")</f>
        <v>Monthly</v>
      </c>
      <c r="K1296" s="317">
        <f>IFERROR(__xludf.DUMMYFUNCTION("""COMPUTED_VALUE"""),2022.01)</f>
        <v>2022.01</v>
      </c>
      <c r="L1296" s="298"/>
      <c r="M1296" s="223"/>
      <c r="N1296" s="223"/>
      <c r="O1296" s="223"/>
      <c r="P1296" s="223"/>
      <c r="Q1296" s="223"/>
      <c r="R1296" s="223"/>
      <c r="S1296" s="223"/>
      <c r="T1296" s="223"/>
      <c r="U1296" s="223"/>
      <c r="V1296" s="223"/>
      <c r="W1296" s="223"/>
      <c r="X1296" s="223"/>
      <c r="Y1296" s="223"/>
      <c r="Z1296" s="223"/>
    </row>
    <row r="1297">
      <c r="A1297" s="223" t="str">
        <f>IFERROR(__xludf.DUMMYFUNCTION("""COMPUTED_VALUE"""),"Community Financials : Monthly Services")</f>
        <v>Community Financials : Monthly Services</v>
      </c>
      <c r="B1297" s="223" t="str">
        <f>IFERROR(__xludf.DUMMYFUNCTION("""COMPUTED_VALUE"""),"Community Financials")</f>
        <v>Community Financials</v>
      </c>
      <c r="C1297" s="223" t="str">
        <f>IFERROR(__xludf.DUMMYFUNCTION("""COMPUTED_VALUE"""),"Monthly Services")</f>
        <v>Monthly Services</v>
      </c>
      <c r="D1297" s="316">
        <f>IFERROR(__xludf.DUMMYFUNCTION("""COMPUTED_VALUE"""),44592.0)</f>
        <v>44592</v>
      </c>
      <c r="E1297" s="298"/>
      <c r="F1297" s="298"/>
      <c r="G1297" s="298"/>
      <c r="H1297" s="223"/>
      <c r="I1297" s="298">
        <f>IFERROR(__xludf.DUMMYFUNCTION("""COMPUTED_VALUE"""),175.0)</f>
        <v>175</v>
      </c>
      <c r="J1297" s="223" t="str">
        <f>IFERROR(__xludf.DUMMYFUNCTION("""COMPUTED_VALUE"""),"Monthly")</f>
        <v>Monthly</v>
      </c>
      <c r="K1297" s="317">
        <f>IFERROR(__xludf.DUMMYFUNCTION("""COMPUTED_VALUE"""),2022.01)</f>
        <v>2022.01</v>
      </c>
      <c r="L1297" s="298"/>
      <c r="M1297" s="223"/>
      <c r="N1297" s="223"/>
      <c r="O1297" s="223"/>
      <c r="P1297" s="223"/>
      <c r="Q1297" s="223"/>
      <c r="R1297" s="223"/>
      <c r="S1297" s="223"/>
      <c r="T1297" s="223"/>
      <c r="U1297" s="223"/>
      <c r="V1297" s="223"/>
      <c r="W1297" s="223"/>
      <c r="X1297" s="223"/>
      <c r="Y1297" s="223"/>
      <c r="Z1297" s="223"/>
    </row>
    <row r="1298">
      <c r="A1298" s="223" t="str">
        <f>IFERROR(__xludf.DUMMYFUNCTION("""COMPUTED_VALUE"""),"Joel Kohm : Website")</f>
        <v>Joel Kohm : Website</v>
      </c>
      <c r="B1298" s="223" t="str">
        <f>IFERROR(__xludf.DUMMYFUNCTION("""COMPUTED_VALUE"""),"Joel Kohm")</f>
        <v>Joel Kohm</v>
      </c>
      <c r="C1298" s="223" t="str">
        <f>IFERROR(__xludf.DUMMYFUNCTION("""COMPUTED_VALUE"""),"Website")</f>
        <v>Website</v>
      </c>
      <c r="D1298" s="316">
        <f>IFERROR(__xludf.DUMMYFUNCTION("""COMPUTED_VALUE"""),44592.0)</f>
        <v>44592</v>
      </c>
      <c r="E1298" s="298"/>
      <c r="F1298" s="298"/>
      <c r="G1298" s="298"/>
      <c r="H1298" s="223"/>
      <c r="I1298" s="298">
        <f>IFERROR(__xludf.DUMMYFUNCTION("""COMPUTED_VALUE"""),100.0)</f>
        <v>100</v>
      </c>
      <c r="J1298" s="223" t="str">
        <f>IFERROR(__xludf.DUMMYFUNCTION("""COMPUTED_VALUE"""),"Fixed Project")</f>
        <v>Fixed Project</v>
      </c>
      <c r="K1298" s="317">
        <f>IFERROR(__xludf.DUMMYFUNCTION("""COMPUTED_VALUE"""),2022.0)</f>
        <v>2022</v>
      </c>
      <c r="L1298" s="298"/>
      <c r="M1298" s="223"/>
      <c r="N1298" s="223"/>
      <c r="O1298" s="223"/>
      <c r="P1298" s="223"/>
      <c r="Q1298" s="223"/>
      <c r="R1298" s="223"/>
      <c r="S1298" s="223"/>
      <c r="T1298" s="223"/>
      <c r="U1298" s="223"/>
      <c r="V1298" s="223"/>
      <c r="W1298" s="223"/>
      <c r="X1298" s="223"/>
      <c r="Y1298" s="223"/>
      <c r="Z1298" s="223"/>
    </row>
    <row r="1299">
      <c r="A1299" s="223" t="str">
        <f>IFERROR(__xludf.DUMMYFUNCTION("""COMPUTED_VALUE"""),"PlusROI : Overhead")</f>
        <v>PlusROI : Overhead</v>
      </c>
      <c r="B1299" s="223" t="str">
        <f>IFERROR(__xludf.DUMMYFUNCTION("""COMPUTED_VALUE"""),"PlusROI")</f>
        <v>PlusROI</v>
      </c>
      <c r="C1299" s="223" t="str">
        <f>IFERROR(__xludf.DUMMYFUNCTION("""COMPUTED_VALUE"""),"Overhead")</f>
        <v>Overhead</v>
      </c>
      <c r="D1299" s="316">
        <f>IFERROR(__xludf.DUMMYFUNCTION("""COMPUTED_VALUE"""),44592.0)</f>
        <v>44592</v>
      </c>
      <c r="E1299" s="298"/>
      <c r="F1299" s="298"/>
      <c r="G1299" s="298"/>
      <c r="H1299" s="223"/>
      <c r="I1299" s="298">
        <f>IFERROR(__xludf.DUMMYFUNCTION("""COMPUTED_VALUE"""),12.87)</f>
        <v>12.87</v>
      </c>
      <c r="J1299" s="223" t="str">
        <f>IFERROR(__xludf.DUMMYFUNCTION("""COMPUTED_VALUE"""),"Hourly")</f>
        <v>Hourly</v>
      </c>
      <c r="K1299" s="317">
        <f>IFERROR(__xludf.DUMMYFUNCTION("""COMPUTED_VALUE"""),2022.0)</f>
        <v>2022</v>
      </c>
      <c r="L1299" s="298"/>
      <c r="M1299" s="223"/>
      <c r="N1299" s="223"/>
      <c r="O1299" s="223"/>
      <c r="P1299" s="223"/>
      <c r="Q1299" s="223"/>
      <c r="R1299" s="223"/>
      <c r="S1299" s="223"/>
      <c r="T1299" s="223"/>
      <c r="U1299" s="223"/>
      <c r="V1299" s="223"/>
      <c r="W1299" s="223"/>
      <c r="X1299" s="223"/>
      <c r="Y1299" s="223"/>
      <c r="Z1299" s="223"/>
    </row>
    <row r="1300">
      <c r="A1300" s="223" t="str">
        <f>IFERROR(__xludf.DUMMYFUNCTION("""COMPUTED_VALUE"""),"PlusROI : Overhead")</f>
        <v>PlusROI : Overhead</v>
      </c>
      <c r="B1300" s="223" t="str">
        <f>IFERROR(__xludf.DUMMYFUNCTION("""COMPUTED_VALUE"""),"PlusROI")</f>
        <v>PlusROI</v>
      </c>
      <c r="C1300" s="223" t="str">
        <f>IFERROR(__xludf.DUMMYFUNCTION("""COMPUTED_VALUE"""),"Overhead")</f>
        <v>Overhead</v>
      </c>
      <c r="D1300" s="316">
        <f>IFERROR(__xludf.DUMMYFUNCTION("""COMPUTED_VALUE"""),44592.0)</f>
        <v>44592</v>
      </c>
      <c r="E1300" s="298"/>
      <c r="F1300" s="298"/>
      <c r="G1300" s="298"/>
      <c r="H1300" s="223"/>
      <c r="I1300" s="298">
        <f>IFERROR(__xludf.DUMMYFUNCTION("""COMPUTED_VALUE"""),57.65)</f>
        <v>57.65</v>
      </c>
      <c r="J1300" s="223" t="str">
        <f>IFERROR(__xludf.DUMMYFUNCTION("""COMPUTED_VALUE"""),"Hourly")</f>
        <v>Hourly</v>
      </c>
      <c r="K1300" s="317">
        <f>IFERROR(__xludf.DUMMYFUNCTION("""COMPUTED_VALUE"""),2022.0)</f>
        <v>2022</v>
      </c>
      <c r="L1300" s="298"/>
      <c r="M1300" s="223"/>
      <c r="N1300" s="223"/>
      <c r="O1300" s="223"/>
      <c r="P1300" s="223"/>
      <c r="Q1300" s="223"/>
      <c r="R1300" s="223"/>
      <c r="S1300" s="223"/>
      <c r="T1300" s="223"/>
      <c r="U1300" s="223"/>
      <c r="V1300" s="223"/>
      <c r="W1300" s="223"/>
      <c r="X1300" s="223"/>
      <c r="Y1300" s="223"/>
      <c r="Z1300" s="223"/>
    </row>
    <row r="1301">
      <c r="A1301" s="223" t="str">
        <f>IFERROR(__xludf.DUMMYFUNCTION("""COMPUTED_VALUE"""),"C360 : SEO Implementation")</f>
        <v>C360 : SEO Implementation</v>
      </c>
      <c r="B1301" s="223" t="str">
        <f>IFERROR(__xludf.DUMMYFUNCTION("""COMPUTED_VALUE"""),"C360")</f>
        <v>C360</v>
      </c>
      <c r="C1301" s="223" t="str">
        <f>IFERROR(__xludf.DUMMYFUNCTION("""COMPUTED_VALUE"""),"SEO Implementation")</f>
        <v>SEO Implementation</v>
      </c>
      <c r="D1301" s="316">
        <f>IFERROR(__xludf.DUMMYFUNCTION("""COMPUTED_VALUE"""),44592.0)</f>
        <v>44592</v>
      </c>
      <c r="E1301" s="298"/>
      <c r="F1301" s="298"/>
      <c r="G1301" s="298"/>
      <c r="H1301" s="223"/>
      <c r="I1301" s="298">
        <f>IFERROR(__xludf.DUMMYFUNCTION("""COMPUTED_VALUE"""),9.97)</f>
        <v>9.97</v>
      </c>
      <c r="J1301" s="223" t="str">
        <f>IFERROR(__xludf.DUMMYFUNCTION("""COMPUTED_VALUE"""),"Fixed Project")</f>
        <v>Fixed Project</v>
      </c>
      <c r="K1301" s="317">
        <f>IFERROR(__xludf.DUMMYFUNCTION("""COMPUTED_VALUE"""),2022.0)</f>
        <v>2022</v>
      </c>
      <c r="L1301" s="298"/>
      <c r="M1301" s="223"/>
      <c r="N1301" s="223"/>
      <c r="O1301" s="223"/>
      <c r="P1301" s="223"/>
      <c r="Q1301" s="223"/>
      <c r="R1301" s="223"/>
      <c r="S1301" s="223"/>
      <c r="T1301" s="223"/>
      <c r="U1301" s="223"/>
      <c r="V1301" s="223"/>
      <c r="W1301" s="223"/>
      <c r="X1301" s="223"/>
      <c r="Y1301" s="223"/>
      <c r="Z1301" s="223"/>
    </row>
    <row r="1302">
      <c r="A1302" s="223" t="str">
        <f>IFERROR(__xludf.DUMMYFUNCTION("""COMPUTED_VALUE"""),"PlusROI : Overhead")</f>
        <v>PlusROI : Overhead</v>
      </c>
      <c r="B1302" s="223" t="str">
        <f>IFERROR(__xludf.DUMMYFUNCTION("""COMPUTED_VALUE"""),"PlusROI")</f>
        <v>PlusROI</v>
      </c>
      <c r="C1302" s="223" t="str">
        <f>IFERROR(__xludf.DUMMYFUNCTION("""COMPUTED_VALUE"""),"Overhead")</f>
        <v>Overhead</v>
      </c>
      <c r="D1302" s="316">
        <f>IFERROR(__xludf.DUMMYFUNCTION("""COMPUTED_VALUE"""),44592.0)</f>
        <v>44592</v>
      </c>
      <c r="E1302" s="298"/>
      <c r="F1302" s="298"/>
      <c r="G1302" s="298"/>
      <c r="H1302" s="223"/>
      <c r="I1302" s="298">
        <f>IFERROR(__xludf.DUMMYFUNCTION("""COMPUTED_VALUE"""),51.18)</f>
        <v>51.18</v>
      </c>
      <c r="J1302" s="223" t="str">
        <f>IFERROR(__xludf.DUMMYFUNCTION("""COMPUTED_VALUE"""),"Hourly")</f>
        <v>Hourly</v>
      </c>
      <c r="K1302" s="317">
        <f>IFERROR(__xludf.DUMMYFUNCTION("""COMPUTED_VALUE"""),2022.0)</f>
        <v>2022</v>
      </c>
      <c r="L1302" s="298"/>
      <c r="M1302" s="223"/>
      <c r="N1302" s="223"/>
      <c r="O1302" s="223"/>
      <c r="P1302" s="223"/>
      <c r="Q1302" s="223"/>
      <c r="R1302" s="223"/>
      <c r="S1302" s="223"/>
      <c r="T1302" s="223"/>
      <c r="U1302" s="223"/>
      <c r="V1302" s="223"/>
      <c r="W1302" s="223"/>
      <c r="X1302" s="223"/>
      <c r="Y1302" s="223"/>
      <c r="Z1302" s="223"/>
    </row>
    <row r="1303">
      <c r="A1303" s="223" t="str">
        <f>IFERROR(__xludf.DUMMYFUNCTION("""COMPUTED_VALUE"""),"PlusROI : Overhead")</f>
        <v>PlusROI : Overhead</v>
      </c>
      <c r="B1303" s="223" t="str">
        <f>IFERROR(__xludf.DUMMYFUNCTION("""COMPUTED_VALUE"""),"PlusROI")</f>
        <v>PlusROI</v>
      </c>
      <c r="C1303" s="223" t="str">
        <f>IFERROR(__xludf.DUMMYFUNCTION("""COMPUTED_VALUE"""),"Overhead")</f>
        <v>Overhead</v>
      </c>
      <c r="D1303" s="316">
        <f>IFERROR(__xludf.DUMMYFUNCTION("""COMPUTED_VALUE"""),44592.0)</f>
        <v>44592</v>
      </c>
      <c r="E1303" s="298"/>
      <c r="F1303" s="298"/>
      <c r="G1303" s="298"/>
      <c r="H1303" s="223"/>
      <c r="I1303" s="298">
        <f>IFERROR(__xludf.DUMMYFUNCTION("""COMPUTED_VALUE"""),176.04)</f>
        <v>176.04</v>
      </c>
      <c r="J1303" s="223" t="str">
        <f>IFERROR(__xludf.DUMMYFUNCTION("""COMPUTED_VALUE"""),"Hourly")</f>
        <v>Hourly</v>
      </c>
      <c r="K1303" s="317">
        <f>IFERROR(__xludf.DUMMYFUNCTION("""COMPUTED_VALUE"""),2022.0)</f>
        <v>2022</v>
      </c>
      <c r="L1303" s="298"/>
      <c r="M1303" s="223"/>
      <c r="N1303" s="223"/>
      <c r="O1303" s="223"/>
      <c r="P1303" s="223"/>
      <c r="Q1303" s="223"/>
      <c r="R1303" s="223"/>
      <c r="S1303" s="223"/>
      <c r="T1303" s="223"/>
      <c r="U1303" s="223"/>
      <c r="V1303" s="223"/>
      <c r="W1303" s="223"/>
      <c r="X1303" s="223"/>
      <c r="Y1303" s="223"/>
      <c r="Z1303" s="223"/>
    </row>
    <row r="1304">
      <c r="A1304" s="223" t="str">
        <f>IFERROR(__xludf.DUMMYFUNCTION("""COMPUTED_VALUE"""),"PlusROI : Marketing")</f>
        <v>PlusROI : Marketing</v>
      </c>
      <c r="B1304" s="223" t="str">
        <f>IFERROR(__xludf.DUMMYFUNCTION("""COMPUTED_VALUE"""),"PlusROI")</f>
        <v>PlusROI</v>
      </c>
      <c r="C1304" s="223" t="str">
        <f>IFERROR(__xludf.DUMMYFUNCTION("""COMPUTED_VALUE"""),"Marketing")</f>
        <v>Marketing</v>
      </c>
      <c r="D1304" s="316">
        <f>IFERROR(__xludf.DUMMYFUNCTION("""COMPUTED_VALUE"""),44592.0)</f>
        <v>44592</v>
      </c>
      <c r="E1304" s="298"/>
      <c r="F1304" s="298"/>
      <c r="G1304" s="298"/>
      <c r="H1304" s="223"/>
      <c r="I1304" s="298">
        <f>IFERROR(__xludf.DUMMYFUNCTION("""COMPUTED_VALUE"""),25.82)</f>
        <v>25.82</v>
      </c>
      <c r="J1304" s="223" t="str">
        <f>IFERROR(__xludf.DUMMYFUNCTION("""COMPUTED_VALUE"""),"Hourly")</f>
        <v>Hourly</v>
      </c>
      <c r="K1304" s="317">
        <f>IFERROR(__xludf.DUMMYFUNCTION("""COMPUTED_VALUE"""),2022.0)</f>
        <v>2022</v>
      </c>
      <c r="L1304" s="298">
        <f>IFERROR(__xludf.DUMMYFUNCTION("""COMPUTED_VALUE"""),25.82)</f>
        <v>25.82</v>
      </c>
      <c r="M1304" s="223"/>
      <c r="N1304" s="223"/>
      <c r="O1304" s="223"/>
      <c r="P1304" s="223"/>
      <c r="Q1304" s="223"/>
      <c r="R1304" s="223"/>
      <c r="S1304" s="223"/>
      <c r="T1304" s="223"/>
      <c r="U1304" s="223"/>
      <c r="V1304" s="223"/>
      <c r="W1304" s="223"/>
      <c r="X1304" s="223"/>
      <c r="Y1304" s="223"/>
      <c r="Z1304" s="223"/>
    </row>
    <row r="1305">
      <c r="A1305" s="223" t="str">
        <f>IFERROR(__xludf.DUMMYFUNCTION("""COMPUTED_VALUE"""),"Bratopia : Monthly Services")</f>
        <v>Bratopia : Monthly Services</v>
      </c>
      <c r="B1305" s="223" t="str">
        <f>IFERROR(__xludf.DUMMYFUNCTION("""COMPUTED_VALUE"""),"Bratopia")</f>
        <v>Bratopia</v>
      </c>
      <c r="C1305" s="223" t="str">
        <f>IFERROR(__xludf.DUMMYFUNCTION("""COMPUTED_VALUE"""),"Monthly Services")</f>
        <v>Monthly Services</v>
      </c>
      <c r="D1305" s="316">
        <f>IFERROR(__xludf.DUMMYFUNCTION("""COMPUTED_VALUE"""),44592.0)</f>
        <v>44592</v>
      </c>
      <c r="E1305" s="298"/>
      <c r="F1305" s="298"/>
      <c r="G1305" s="298"/>
      <c r="H1305" s="223"/>
      <c r="I1305" s="298">
        <f>IFERROR(__xludf.DUMMYFUNCTION("""COMPUTED_VALUE"""),173.65)</f>
        <v>173.65</v>
      </c>
      <c r="J1305" s="223" t="str">
        <f>IFERROR(__xludf.DUMMYFUNCTION("""COMPUTED_VALUE"""),"Monthly")</f>
        <v>Monthly</v>
      </c>
      <c r="K1305" s="317">
        <f>IFERROR(__xludf.DUMMYFUNCTION("""COMPUTED_VALUE"""),2022.01)</f>
        <v>2022.01</v>
      </c>
      <c r="L1305" s="298">
        <f>IFERROR(__xludf.DUMMYFUNCTION("""COMPUTED_VALUE"""),173.65)</f>
        <v>173.65</v>
      </c>
      <c r="M1305" s="223"/>
      <c r="N1305" s="223"/>
      <c r="O1305" s="223"/>
      <c r="P1305" s="223"/>
      <c r="Q1305" s="223"/>
      <c r="R1305" s="223"/>
      <c r="S1305" s="223"/>
      <c r="T1305" s="223"/>
      <c r="U1305" s="223"/>
      <c r="V1305" s="223"/>
      <c r="W1305" s="223"/>
      <c r="X1305" s="223"/>
      <c r="Y1305" s="223"/>
      <c r="Z1305" s="223"/>
    </row>
    <row r="1306">
      <c r="A1306" s="223" t="str">
        <f>IFERROR(__xludf.DUMMYFUNCTION("""COMPUTED_VALUE"""),"VIATeC : Motorcycle Offsetters")</f>
        <v>VIATeC : Motorcycle Offsetters</v>
      </c>
      <c r="B1306" s="223" t="str">
        <f>IFERROR(__xludf.DUMMYFUNCTION("""COMPUTED_VALUE"""),"VIATeC")</f>
        <v>VIATeC</v>
      </c>
      <c r="C1306" s="223" t="str">
        <f>IFERROR(__xludf.DUMMYFUNCTION("""COMPUTED_VALUE"""),"Motorcycle Offsetters")</f>
        <v>Motorcycle Offsetters</v>
      </c>
      <c r="D1306" s="316">
        <f>IFERROR(__xludf.DUMMYFUNCTION("""COMPUTED_VALUE"""),44592.0)</f>
        <v>44592</v>
      </c>
      <c r="E1306" s="298"/>
      <c r="F1306" s="298"/>
      <c r="G1306" s="298"/>
      <c r="H1306" s="223"/>
      <c r="I1306" s="298">
        <f>IFERROR(__xludf.DUMMYFUNCTION("""COMPUTED_VALUE"""),787.5)</f>
        <v>787.5</v>
      </c>
      <c r="J1306" s="223" t="str">
        <f>IFERROR(__xludf.DUMMYFUNCTION("""COMPUTED_VALUE"""),"Fixed Project")</f>
        <v>Fixed Project</v>
      </c>
      <c r="K1306" s="317">
        <f>IFERROR(__xludf.DUMMYFUNCTION("""COMPUTED_VALUE"""),2022.0)</f>
        <v>2022</v>
      </c>
      <c r="L1306" s="298"/>
      <c r="M1306" s="223"/>
      <c r="N1306" s="223"/>
      <c r="O1306" s="223"/>
      <c r="P1306" s="223"/>
      <c r="Q1306" s="223"/>
      <c r="R1306" s="223"/>
      <c r="S1306" s="223"/>
      <c r="T1306" s="223"/>
      <c r="U1306" s="223"/>
      <c r="V1306" s="223"/>
      <c r="W1306" s="223"/>
      <c r="X1306" s="223"/>
      <c r="Y1306" s="223"/>
      <c r="Z1306" s="223"/>
    </row>
    <row r="1307">
      <c r="A1307" s="223" t="str">
        <f>IFERROR(__xludf.DUMMYFUNCTION("""COMPUTED_VALUE"""),"PlusROI : Overhead")</f>
        <v>PlusROI : Overhead</v>
      </c>
      <c r="B1307" s="223" t="str">
        <f>IFERROR(__xludf.DUMMYFUNCTION("""COMPUTED_VALUE"""),"PlusROI")</f>
        <v>PlusROI</v>
      </c>
      <c r="C1307" s="223" t="str">
        <f>IFERROR(__xludf.DUMMYFUNCTION("""COMPUTED_VALUE"""),"Overhead")</f>
        <v>Overhead</v>
      </c>
      <c r="D1307" s="316">
        <f>IFERROR(__xludf.DUMMYFUNCTION("""COMPUTED_VALUE"""),44592.0)</f>
        <v>44592</v>
      </c>
      <c r="E1307" s="298"/>
      <c r="F1307" s="298"/>
      <c r="G1307" s="298"/>
      <c r="H1307" s="223"/>
      <c r="I1307" s="298">
        <f>IFERROR(__xludf.DUMMYFUNCTION("""COMPUTED_VALUE"""),51.12)</f>
        <v>51.12</v>
      </c>
      <c r="J1307" s="223" t="str">
        <f>IFERROR(__xludf.DUMMYFUNCTION("""COMPUTED_VALUE"""),"Hourly")</f>
        <v>Hourly</v>
      </c>
      <c r="K1307" s="317">
        <f>IFERROR(__xludf.DUMMYFUNCTION("""COMPUTED_VALUE"""),2022.0)</f>
        <v>2022</v>
      </c>
      <c r="L1307" s="298"/>
      <c r="M1307" s="223"/>
      <c r="N1307" s="223"/>
      <c r="O1307" s="223"/>
      <c r="P1307" s="223"/>
      <c r="Q1307" s="223"/>
      <c r="R1307" s="223"/>
      <c r="S1307" s="223"/>
      <c r="T1307" s="223"/>
      <c r="U1307" s="223"/>
      <c r="V1307" s="223"/>
      <c r="W1307" s="223"/>
      <c r="X1307" s="223"/>
      <c r="Y1307" s="223"/>
      <c r="Z1307" s="223"/>
    </row>
    <row r="1308">
      <c r="A1308" s="223" t="str">
        <f>IFERROR(__xludf.DUMMYFUNCTION("""COMPUTED_VALUE"""),"PlusROI : Overhead")</f>
        <v>PlusROI : Overhead</v>
      </c>
      <c r="B1308" s="223" t="str">
        <f>IFERROR(__xludf.DUMMYFUNCTION("""COMPUTED_VALUE"""),"PlusROI")</f>
        <v>PlusROI</v>
      </c>
      <c r="C1308" s="223" t="str">
        <f>IFERROR(__xludf.DUMMYFUNCTION("""COMPUTED_VALUE"""),"Overhead")</f>
        <v>Overhead</v>
      </c>
      <c r="D1308" s="316">
        <f>IFERROR(__xludf.DUMMYFUNCTION("""COMPUTED_VALUE"""),44592.0)</f>
        <v>44592</v>
      </c>
      <c r="E1308" s="298"/>
      <c r="F1308" s="298"/>
      <c r="G1308" s="298"/>
      <c r="H1308" s="223"/>
      <c r="I1308" s="298">
        <f>IFERROR(__xludf.DUMMYFUNCTION("""COMPUTED_VALUE"""),129.77)</f>
        <v>129.77</v>
      </c>
      <c r="J1308" s="223" t="str">
        <f>IFERROR(__xludf.DUMMYFUNCTION("""COMPUTED_VALUE"""),"Hourly")</f>
        <v>Hourly</v>
      </c>
      <c r="K1308" s="317">
        <f>IFERROR(__xludf.DUMMYFUNCTION("""COMPUTED_VALUE"""),2022.0)</f>
        <v>2022</v>
      </c>
      <c r="L1308" s="298"/>
      <c r="M1308" s="223"/>
      <c r="N1308" s="223"/>
      <c r="O1308" s="223"/>
      <c r="P1308" s="223"/>
      <c r="Q1308" s="223"/>
      <c r="R1308" s="223"/>
      <c r="S1308" s="223"/>
      <c r="T1308" s="223"/>
      <c r="U1308" s="223"/>
      <c r="V1308" s="223"/>
      <c r="W1308" s="223"/>
      <c r="X1308" s="223"/>
      <c r="Y1308" s="223"/>
      <c r="Z1308" s="223"/>
    </row>
    <row r="1309">
      <c r="A1309" s="223" t="str">
        <f>IFERROR(__xludf.DUMMYFUNCTION("""COMPUTED_VALUE"""),"Advisicon : Case Study Project")</f>
        <v>Advisicon : Case Study Project</v>
      </c>
      <c r="B1309" s="223" t="str">
        <f>IFERROR(__xludf.DUMMYFUNCTION("""COMPUTED_VALUE"""),"Advisicon")</f>
        <v>Advisicon</v>
      </c>
      <c r="C1309" s="223" t="str">
        <f>IFERROR(__xludf.DUMMYFUNCTION("""COMPUTED_VALUE"""),"Case Study Project")</f>
        <v>Case Study Project</v>
      </c>
      <c r="D1309" s="316">
        <f>IFERROR(__xludf.DUMMYFUNCTION("""COMPUTED_VALUE"""),44592.0)</f>
        <v>44592</v>
      </c>
      <c r="E1309" s="298"/>
      <c r="F1309" s="298"/>
      <c r="G1309" s="298"/>
      <c r="H1309" s="223"/>
      <c r="I1309" s="298">
        <f>IFERROR(__xludf.DUMMYFUNCTION("""COMPUTED_VALUE"""),23.44)</f>
        <v>23.44</v>
      </c>
      <c r="J1309" s="223" t="str">
        <f>IFERROR(__xludf.DUMMYFUNCTION("""COMPUTED_VALUE"""),"Fixed Project")</f>
        <v>Fixed Project</v>
      </c>
      <c r="K1309" s="317">
        <f>IFERROR(__xludf.DUMMYFUNCTION("""COMPUTED_VALUE"""),2022.0)</f>
        <v>2022</v>
      </c>
      <c r="L1309" s="298"/>
      <c r="M1309" s="223"/>
      <c r="N1309" s="223"/>
      <c r="O1309" s="223"/>
      <c r="P1309" s="223"/>
      <c r="Q1309" s="223"/>
      <c r="R1309" s="223"/>
      <c r="S1309" s="223"/>
      <c r="T1309" s="223"/>
      <c r="U1309" s="223"/>
      <c r="V1309" s="223"/>
      <c r="W1309" s="223"/>
      <c r="X1309" s="223"/>
      <c r="Y1309" s="223"/>
      <c r="Z1309" s="223"/>
    </row>
    <row r="1310">
      <c r="A1310" s="223" t="str">
        <f>IFERROR(__xludf.DUMMYFUNCTION("""COMPUTED_VALUE"""),"Aware360 : Monthly Services")</f>
        <v>Aware360 : Monthly Services</v>
      </c>
      <c r="B1310" s="223" t="str">
        <f>IFERROR(__xludf.DUMMYFUNCTION("""COMPUTED_VALUE"""),"Aware360")</f>
        <v>Aware360</v>
      </c>
      <c r="C1310" s="223" t="str">
        <f>IFERROR(__xludf.DUMMYFUNCTION("""COMPUTED_VALUE"""),"Monthly Services")</f>
        <v>Monthly Services</v>
      </c>
      <c r="D1310" s="316">
        <f>IFERROR(__xludf.DUMMYFUNCTION("""COMPUTED_VALUE"""),44592.0)</f>
        <v>44592</v>
      </c>
      <c r="E1310" s="298"/>
      <c r="F1310" s="298"/>
      <c r="G1310" s="298"/>
      <c r="H1310" s="223"/>
      <c r="I1310" s="298">
        <f>IFERROR(__xludf.DUMMYFUNCTION("""COMPUTED_VALUE"""),53.61)</f>
        <v>53.61</v>
      </c>
      <c r="J1310" s="223" t="str">
        <f>IFERROR(__xludf.DUMMYFUNCTION("""COMPUTED_VALUE"""),"Monthly")</f>
        <v>Monthly</v>
      </c>
      <c r="K1310" s="317">
        <f>IFERROR(__xludf.DUMMYFUNCTION("""COMPUTED_VALUE"""),2022.01)</f>
        <v>2022.01</v>
      </c>
      <c r="L1310" s="298"/>
      <c r="M1310" s="223"/>
      <c r="N1310" s="223"/>
      <c r="O1310" s="223"/>
      <c r="P1310" s="223"/>
      <c r="Q1310" s="223"/>
      <c r="R1310" s="223"/>
      <c r="S1310" s="223"/>
      <c r="T1310" s="223"/>
      <c r="U1310" s="223"/>
      <c r="V1310" s="223"/>
      <c r="W1310" s="223"/>
      <c r="X1310" s="223"/>
      <c r="Y1310" s="223"/>
      <c r="Z1310" s="223"/>
    </row>
    <row r="1311">
      <c r="A1311" s="223" t="str">
        <f>IFERROR(__xludf.DUMMYFUNCTION("""COMPUTED_VALUE"""),"Bratopia : Monthly Services")</f>
        <v>Bratopia : Monthly Services</v>
      </c>
      <c r="B1311" s="223" t="str">
        <f>IFERROR(__xludf.DUMMYFUNCTION("""COMPUTED_VALUE"""),"Bratopia")</f>
        <v>Bratopia</v>
      </c>
      <c r="C1311" s="223" t="str">
        <f>IFERROR(__xludf.DUMMYFUNCTION("""COMPUTED_VALUE"""),"Monthly Services")</f>
        <v>Monthly Services</v>
      </c>
      <c r="D1311" s="316">
        <f>IFERROR(__xludf.DUMMYFUNCTION("""COMPUTED_VALUE"""),44592.0)</f>
        <v>44592</v>
      </c>
      <c r="E1311" s="298"/>
      <c r="F1311" s="298"/>
      <c r="G1311" s="298"/>
      <c r="H1311" s="223"/>
      <c r="I1311" s="298">
        <f>IFERROR(__xludf.DUMMYFUNCTION("""COMPUTED_VALUE"""),90.26)</f>
        <v>90.26</v>
      </c>
      <c r="J1311" s="223" t="str">
        <f>IFERROR(__xludf.DUMMYFUNCTION("""COMPUTED_VALUE"""),"Monthly")</f>
        <v>Monthly</v>
      </c>
      <c r="K1311" s="317">
        <f>IFERROR(__xludf.DUMMYFUNCTION("""COMPUTED_VALUE"""),2022.01)</f>
        <v>2022.01</v>
      </c>
      <c r="L1311" s="298"/>
      <c r="M1311" s="223"/>
      <c r="N1311" s="223"/>
      <c r="O1311" s="223"/>
      <c r="P1311" s="223"/>
      <c r="Q1311" s="223"/>
      <c r="R1311" s="223"/>
      <c r="S1311" s="223"/>
      <c r="T1311" s="223"/>
      <c r="U1311" s="223"/>
      <c r="V1311" s="223"/>
      <c r="W1311" s="223"/>
      <c r="X1311" s="223"/>
      <c r="Y1311" s="223"/>
      <c r="Z1311" s="223"/>
    </row>
    <row r="1312">
      <c r="A1312" s="223" t="str">
        <f>IFERROR(__xludf.DUMMYFUNCTION("""COMPUTED_VALUE"""),"C360 : C360 Site Review")</f>
        <v>C360 : C360 Site Review</v>
      </c>
      <c r="B1312" s="223" t="str">
        <f>IFERROR(__xludf.DUMMYFUNCTION("""COMPUTED_VALUE"""),"C360")</f>
        <v>C360</v>
      </c>
      <c r="C1312" s="223" t="str">
        <f>IFERROR(__xludf.DUMMYFUNCTION("""COMPUTED_VALUE"""),"C360 Site Review")</f>
        <v>C360 Site Review</v>
      </c>
      <c r="D1312" s="316">
        <f>IFERROR(__xludf.DUMMYFUNCTION("""COMPUTED_VALUE"""),44592.0)</f>
        <v>44592</v>
      </c>
      <c r="E1312" s="298"/>
      <c r="F1312" s="298"/>
      <c r="G1312" s="298"/>
      <c r="H1312" s="223"/>
      <c r="I1312" s="298">
        <f>IFERROR(__xludf.DUMMYFUNCTION("""COMPUTED_VALUE"""),16.43)</f>
        <v>16.43</v>
      </c>
      <c r="J1312" s="223" t="str">
        <f>IFERROR(__xludf.DUMMYFUNCTION("""COMPUTED_VALUE"""),"Fixed Project")</f>
        <v>Fixed Project</v>
      </c>
      <c r="K1312" s="317">
        <f>IFERROR(__xludf.DUMMYFUNCTION("""COMPUTED_VALUE"""),2022.0)</f>
        <v>2022</v>
      </c>
      <c r="L1312" s="298"/>
      <c r="M1312" s="223"/>
      <c r="N1312" s="223"/>
      <c r="O1312" s="223"/>
      <c r="P1312" s="223"/>
      <c r="Q1312" s="223"/>
      <c r="R1312" s="223"/>
      <c r="S1312" s="223"/>
      <c r="T1312" s="223"/>
      <c r="U1312" s="223"/>
      <c r="V1312" s="223"/>
      <c r="W1312" s="223"/>
      <c r="X1312" s="223"/>
      <c r="Y1312" s="223"/>
      <c r="Z1312" s="223"/>
    </row>
    <row r="1313">
      <c r="A1313" s="223" t="str">
        <f>IFERROR(__xludf.DUMMYFUNCTION("""COMPUTED_VALUE"""),"C360 : SEO Implementation")</f>
        <v>C360 : SEO Implementation</v>
      </c>
      <c r="B1313" s="223" t="str">
        <f>IFERROR(__xludf.DUMMYFUNCTION("""COMPUTED_VALUE"""),"C360")</f>
        <v>C360</v>
      </c>
      <c r="C1313" s="223" t="str">
        <f>IFERROR(__xludf.DUMMYFUNCTION("""COMPUTED_VALUE"""),"SEO Implementation")</f>
        <v>SEO Implementation</v>
      </c>
      <c r="D1313" s="316">
        <f>IFERROR(__xludf.DUMMYFUNCTION("""COMPUTED_VALUE"""),44592.0)</f>
        <v>44592</v>
      </c>
      <c r="E1313" s="298"/>
      <c r="F1313" s="298"/>
      <c r="G1313" s="298"/>
      <c r="H1313" s="223"/>
      <c r="I1313" s="298">
        <f>IFERROR(__xludf.DUMMYFUNCTION("""COMPUTED_VALUE"""),49.77)</f>
        <v>49.77</v>
      </c>
      <c r="J1313" s="223" t="str">
        <f>IFERROR(__xludf.DUMMYFUNCTION("""COMPUTED_VALUE"""),"Fixed Project")</f>
        <v>Fixed Project</v>
      </c>
      <c r="K1313" s="317">
        <f>IFERROR(__xludf.DUMMYFUNCTION("""COMPUTED_VALUE"""),2022.0)</f>
        <v>2022</v>
      </c>
      <c r="L1313" s="298"/>
      <c r="M1313" s="223"/>
      <c r="N1313" s="223"/>
      <c r="O1313" s="223"/>
      <c r="P1313" s="223"/>
      <c r="Q1313" s="223"/>
      <c r="R1313" s="223"/>
      <c r="S1313" s="223"/>
      <c r="T1313" s="223"/>
      <c r="U1313" s="223"/>
      <c r="V1313" s="223"/>
      <c r="W1313" s="223"/>
      <c r="X1313" s="223"/>
      <c r="Y1313" s="223"/>
      <c r="Z1313" s="223"/>
    </row>
    <row r="1314">
      <c r="A1314" s="223" t="str">
        <f>IFERROR(__xludf.DUMMYFUNCTION("""COMPUTED_VALUE"""),"ColdStar : Website Rebuild")</f>
        <v>ColdStar : Website Rebuild</v>
      </c>
      <c r="B1314" s="223" t="str">
        <f>IFERROR(__xludf.DUMMYFUNCTION("""COMPUTED_VALUE"""),"ColdStar")</f>
        <v>ColdStar</v>
      </c>
      <c r="C1314" s="223" t="str">
        <f>IFERROR(__xludf.DUMMYFUNCTION("""COMPUTED_VALUE"""),"Website Rebuild")</f>
        <v>Website Rebuild</v>
      </c>
      <c r="D1314" s="316">
        <f>IFERROR(__xludf.DUMMYFUNCTION("""COMPUTED_VALUE"""),44592.0)</f>
        <v>44592</v>
      </c>
      <c r="E1314" s="298"/>
      <c r="F1314" s="298"/>
      <c r="G1314" s="298"/>
      <c r="H1314" s="223"/>
      <c r="I1314" s="298">
        <f>IFERROR(__xludf.DUMMYFUNCTION("""COMPUTED_VALUE"""),786.12)</f>
        <v>786.12</v>
      </c>
      <c r="J1314" s="223" t="str">
        <f>IFERROR(__xludf.DUMMYFUNCTION("""COMPUTED_VALUE"""),"Fixed Project")</f>
        <v>Fixed Project</v>
      </c>
      <c r="K1314" s="317">
        <f>IFERROR(__xludf.DUMMYFUNCTION("""COMPUTED_VALUE"""),2022.0)</f>
        <v>2022</v>
      </c>
      <c r="L1314" s="298"/>
      <c r="M1314" s="223"/>
      <c r="N1314" s="223"/>
      <c r="O1314" s="223"/>
      <c r="P1314" s="223"/>
      <c r="Q1314" s="223"/>
      <c r="R1314" s="223"/>
      <c r="S1314" s="223"/>
      <c r="T1314" s="223"/>
      <c r="U1314" s="223"/>
      <c r="V1314" s="223"/>
      <c r="W1314" s="223"/>
      <c r="X1314" s="223"/>
      <c r="Y1314" s="223"/>
      <c r="Z1314" s="223"/>
    </row>
    <row r="1315">
      <c r="A1315" s="223" t="str">
        <f>IFERROR(__xludf.DUMMYFUNCTION("""COMPUTED_VALUE"""),"Community Financials : Monthly Services")</f>
        <v>Community Financials : Monthly Services</v>
      </c>
      <c r="B1315" s="223" t="str">
        <f>IFERROR(__xludf.DUMMYFUNCTION("""COMPUTED_VALUE"""),"Community Financials")</f>
        <v>Community Financials</v>
      </c>
      <c r="C1315" s="223" t="str">
        <f>IFERROR(__xludf.DUMMYFUNCTION("""COMPUTED_VALUE"""),"Monthly Services")</f>
        <v>Monthly Services</v>
      </c>
      <c r="D1315" s="316">
        <f>IFERROR(__xludf.DUMMYFUNCTION("""COMPUTED_VALUE"""),44592.0)</f>
        <v>44592</v>
      </c>
      <c r="E1315" s="298"/>
      <c r="F1315" s="298"/>
      <c r="G1315" s="298"/>
      <c r="H1315" s="223"/>
      <c r="I1315" s="298">
        <f>IFERROR(__xludf.DUMMYFUNCTION("""COMPUTED_VALUE"""),410.18)</f>
        <v>410.18</v>
      </c>
      <c r="J1315" s="223" t="str">
        <f>IFERROR(__xludf.DUMMYFUNCTION("""COMPUTED_VALUE"""),"Monthly")</f>
        <v>Monthly</v>
      </c>
      <c r="K1315" s="317">
        <f>IFERROR(__xludf.DUMMYFUNCTION("""COMPUTED_VALUE"""),2022.01)</f>
        <v>2022.01</v>
      </c>
      <c r="L1315" s="298"/>
      <c r="M1315" s="223"/>
      <c r="N1315" s="223"/>
      <c r="O1315" s="223"/>
      <c r="P1315" s="223"/>
      <c r="Q1315" s="223"/>
      <c r="R1315" s="223"/>
      <c r="S1315" s="223"/>
      <c r="T1315" s="223"/>
      <c r="U1315" s="223"/>
      <c r="V1315" s="223"/>
      <c r="W1315" s="223"/>
      <c r="X1315" s="223"/>
      <c r="Y1315" s="223"/>
      <c r="Z1315" s="223"/>
    </row>
    <row r="1316">
      <c r="A1316" s="223" t="str">
        <f>IFERROR(__xludf.DUMMYFUNCTION("""COMPUTED_VALUE"""),"Customer First Design : Emotionality Website + Hosting for 2022")</f>
        <v>Customer First Design : Emotionality Website + Hosting for 2022</v>
      </c>
      <c r="B1316" s="223" t="str">
        <f>IFERROR(__xludf.DUMMYFUNCTION("""COMPUTED_VALUE"""),"Customer First Design")</f>
        <v>Customer First Design</v>
      </c>
      <c r="C1316" s="223" t="str">
        <f>IFERROR(__xludf.DUMMYFUNCTION("""COMPUTED_VALUE"""),"Emotionality Website + Hosting for 2022")</f>
        <v>Emotionality Website + Hosting for 2022</v>
      </c>
      <c r="D1316" s="316">
        <f>IFERROR(__xludf.DUMMYFUNCTION("""COMPUTED_VALUE"""),44592.0)</f>
        <v>44592</v>
      </c>
      <c r="E1316" s="298"/>
      <c r="F1316" s="298"/>
      <c r="G1316" s="298"/>
      <c r="H1316" s="223"/>
      <c r="I1316" s="298">
        <f>IFERROR(__xludf.DUMMYFUNCTION("""COMPUTED_VALUE"""),720.88)</f>
        <v>720.88</v>
      </c>
      <c r="J1316" s="223" t="str">
        <f>IFERROR(__xludf.DUMMYFUNCTION("""COMPUTED_VALUE"""),"Fixed Project")</f>
        <v>Fixed Project</v>
      </c>
      <c r="K1316" s="317">
        <f>IFERROR(__xludf.DUMMYFUNCTION("""COMPUTED_VALUE"""),2022.0)</f>
        <v>2022</v>
      </c>
      <c r="L1316" s="298"/>
      <c r="M1316" s="223"/>
      <c r="N1316" s="223"/>
      <c r="O1316" s="223"/>
      <c r="P1316" s="223"/>
      <c r="Q1316" s="223"/>
      <c r="R1316" s="223"/>
      <c r="S1316" s="223"/>
      <c r="T1316" s="223"/>
      <c r="U1316" s="223"/>
      <c r="V1316" s="223"/>
      <c r="W1316" s="223"/>
      <c r="X1316" s="223"/>
      <c r="Y1316" s="223"/>
      <c r="Z1316" s="223"/>
    </row>
    <row r="1317">
      <c r="A1317" s="223" t="str">
        <f>IFERROR(__xludf.DUMMYFUNCTION("""COMPUTED_VALUE"""),"Customer First Design : Garibaldi Website")</f>
        <v>Customer First Design : Garibaldi Website</v>
      </c>
      <c r="B1317" s="223" t="str">
        <f>IFERROR(__xludf.DUMMYFUNCTION("""COMPUTED_VALUE"""),"Customer First Design")</f>
        <v>Customer First Design</v>
      </c>
      <c r="C1317" s="223" t="str">
        <f>IFERROR(__xludf.DUMMYFUNCTION("""COMPUTED_VALUE"""),"Garibaldi Website")</f>
        <v>Garibaldi Website</v>
      </c>
      <c r="D1317" s="316">
        <f>IFERROR(__xludf.DUMMYFUNCTION("""COMPUTED_VALUE"""),44592.0)</f>
        <v>44592</v>
      </c>
      <c r="E1317" s="298"/>
      <c r="F1317" s="298"/>
      <c r="G1317" s="298"/>
      <c r="H1317" s="223"/>
      <c r="I1317" s="298">
        <f>IFERROR(__xludf.DUMMYFUNCTION("""COMPUTED_VALUE"""),303.06)</f>
        <v>303.06</v>
      </c>
      <c r="J1317" s="223" t="str">
        <f>IFERROR(__xludf.DUMMYFUNCTION("""COMPUTED_VALUE"""),"Fixed Project")</f>
        <v>Fixed Project</v>
      </c>
      <c r="K1317" s="317">
        <f>IFERROR(__xludf.DUMMYFUNCTION("""COMPUTED_VALUE"""),2022.0)</f>
        <v>2022</v>
      </c>
      <c r="L1317" s="298"/>
      <c r="M1317" s="223"/>
      <c r="N1317" s="223"/>
      <c r="O1317" s="223"/>
      <c r="P1317" s="223"/>
      <c r="Q1317" s="223"/>
      <c r="R1317" s="223"/>
      <c r="S1317" s="223"/>
      <c r="T1317" s="223"/>
      <c r="U1317" s="223"/>
      <c r="V1317" s="223"/>
      <c r="W1317" s="223"/>
      <c r="X1317" s="223"/>
      <c r="Y1317" s="223"/>
      <c r="Z1317" s="223"/>
    </row>
    <row r="1318">
      <c r="A1318" s="223" t="str">
        <f>IFERROR(__xludf.DUMMYFUNCTION("""COMPUTED_VALUE"""),"Hastings House : Monthly Services")</f>
        <v>Hastings House : Monthly Services</v>
      </c>
      <c r="B1318" s="223" t="str">
        <f>IFERROR(__xludf.DUMMYFUNCTION("""COMPUTED_VALUE"""),"Hastings House")</f>
        <v>Hastings House</v>
      </c>
      <c r="C1318" s="223" t="str">
        <f>IFERROR(__xludf.DUMMYFUNCTION("""COMPUTED_VALUE"""),"Monthly Services")</f>
        <v>Monthly Services</v>
      </c>
      <c r="D1318" s="316">
        <f>IFERROR(__xludf.DUMMYFUNCTION("""COMPUTED_VALUE"""),44592.0)</f>
        <v>44592</v>
      </c>
      <c r="E1318" s="298"/>
      <c r="F1318" s="298"/>
      <c r="G1318" s="298"/>
      <c r="H1318" s="223"/>
      <c r="I1318" s="298">
        <f>IFERROR(__xludf.DUMMYFUNCTION("""COMPUTED_VALUE"""),106.19)</f>
        <v>106.19</v>
      </c>
      <c r="J1318" s="223" t="str">
        <f>IFERROR(__xludf.DUMMYFUNCTION("""COMPUTED_VALUE"""),"Monthly")</f>
        <v>Monthly</v>
      </c>
      <c r="K1318" s="317">
        <f>IFERROR(__xludf.DUMMYFUNCTION("""COMPUTED_VALUE"""),2022.01)</f>
        <v>2022.01</v>
      </c>
      <c r="L1318" s="298"/>
      <c r="M1318" s="223"/>
      <c r="N1318" s="223"/>
      <c r="O1318" s="223"/>
      <c r="P1318" s="223"/>
      <c r="Q1318" s="223"/>
      <c r="R1318" s="223"/>
      <c r="S1318" s="223"/>
      <c r="T1318" s="223"/>
      <c r="U1318" s="223"/>
      <c r="V1318" s="223"/>
      <c r="W1318" s="223"/>
      <c r="X1318" s="223"/>
      <c r="Y1318" s="223"/>
      <c r="Z1318" s="223"/>
    </row>
    <row r="1319">
      <c r="A1319" s="223" t="str">
        <f>IFERROR(__xludf.DUMMYFUNCTION("""COMPUTED_VALUE"""),"HSJ Lawyers : Monthly Services")</f>
        <v>HSJ Lawyers : Monthly Services</v>
      </c>
      <c r="B1319" s="223" t="str">
        <f>IFERROR(__xludf.DUMMYFUNCTION("""COMPUTED_VALUE"""),"HSJ Lawyers")</f>
        <v>HSJ Lawyers</v>
      </c>
      <c r="C1319" s="223" t="str">
        <f>IFERROR(__xludf.DUMMYFUNCTION("""COMPUTED_VALUE"""),"Monthly Services")</f>
        <v>Monthly Services</v>
      </c>
      <c r="D1319" s="316">
        <f>IFERROR(__xludf.DUMMYFUNCTION("""COMPUTED_VALUE"""),44592.0)</f>
        <v>44592</v>
      </c>
      <c r="E1319" s="298"/>
      <c r="F1319" s="298"/>
      <c r="G1319" s="298"/>
      <c r="H1319" s="223"/>
      <c r="I1319" s="298">
        <f>IFERROR(__xludf.DUMMYFUNCTION("""COMPUTED_VALUE"""),58.95)</f>
        <v>58.95</v>
      </c>
      <c r="J1319" s="223" t="str">
        <f>IFERROR(__xludf.DUMMYFUNCTION("""COMPUTED_VALUE"""),"Monthly")</f>
        <v>Monthly</v>
      </c>
      <c r="K1319" s="317">
        <f>IFERROR(__xludf.DUMMYFUNCTION("""COMPUTED_VALUE"""),2022.01)</f>
        <v>2022.01</v>
      </c>
      <c r="L1319" s="298"/>
      <c r="M1319" s="223"/>
      <c r="N1319" s="223"/>
      <c r="O1319" s="223"/>
      <c r="P1319" s="223"/>
      <c r="Q1319" s="223"/>
      <c r="R1319" s="223"/>
      <c r="S1319" s="223"/>
      <c r="T1319" s="223"/>
      <c r="U1319" s="223"/>
      <c r="V1319" s="223"/>
      <c r="W1319" s="223"/>
      <c r="X1319" s="223"/>
      <c r="Y1319" s="223"/>
      <c r="Z1319" s="223"/>
    </row>
    <row r="1320">
      <c r="A1320" s="223" t="str">
        <f>IFERROR(__xludf.DUMMYFUNCTION("""COMPUTED_VALUE"""),"InPlace Technology : 5 Hour Support Block")</f>
        <v>InPlace Technology : 5 Hour Support Block</v>
      </c>
      <c r="B1320" s="223" t="str">
        <f>IFERROR(__xludf.DUMMYFUNCTION("""COMPUTED_VALUE"""),"InPlace Technology")</f>
        <v>InPlace Technology</v>
      </c>
      <c r="C1320" s="223" t="str">
        <f>IFERROR(__xludf.DUMMYFUNCTION("""COMPUTED_VALUE"""),"5 Hour Support Block")</f>
        <v>5 Hour Support Block</v>
      </c>
      <c r="D1320" s="316">
        <f>IFERROR(__xludf.DUMMYFUNCTION("""COMPUTED_VALUE"""),44592.0)</f>
        <v>44592</v>
      </c>
      <c r="E1320" s="298"/>
      <c r="F1320" s="298"/>
      <c r="G1320" s="298"/>
      <c r="H1320" s="223"/>
      <c r="I1320" s="298">
        <f>IFERROR(__xludf.DUMMYFUNCTION("""COMPUTED_VALUE"""),56.47)</f>
        <v>56.47</v>
      </c>
      <c r="J1320" s="223" t="str">
        <f>IFERROR(__xludf.DUMMYFUNCTION("""COMPUTED_VALUE"""),"Hourly")</f>
        <v>Hourly</v>
      </c>
      <c r="K1320" s="317">
        <f>IFERROR(__xludf.DUMMYFUNCTION("""COMPUTED_VALUE"""),2022.0)</f>
        <v>2022</v>
      </c>
      <c r="L1320" s="298"/>
      <c r="M1320" s="223"/>
      <c r="N1320" s="223"/>
      <c r="O1320" s="223"/>
      <c r="P1320" s="223"/>
      <c r="Q1320" s="223"/>
      <c r="R1320" s="223"/>
      <c r="S1320" s="223"/>
      <c r="T1320" s="223"/>
      <c r="U1320" s="223"/>
      <c r="V1320" s="223"/>
      <c r="W1320" s="223"/>
      <c r="X1320" s="223"/>
      <c r="Y1320" s="223"/>
      <c r="Z1320" s="223"/>
    </row>
    <row r="1321">
      <c r="A1321" s="223" t="str">
        <f>IFERROR(__xludf.DUMMYFUNCTION("""COMPUTED_VALUE"""),"PlusROI : Internal Skills and Capabilities Development")</f>
        <v>PlusROI : Internal Skills and Capabilities Development</v>
      </c>
      <c r="B1321" s="223" t="str">
        <f>IFERROR(__xludf.DUMMYFUNCTION("""COMPUTED_VALUE"""),"PlusROI")</f>
        <v>PlusROI</v>
      </c>
      <c r="C1321" s="223" t="str">
        <f>IFERROR(__xludf.DUMMYFUNCTION("""COMPUTED_VALUE"""),"Internal Skills and Capabilities Development")</f>
        <v>Internal Skills and Capabilities Development</v>
      </c>
      <c r="D1321" s="316">
        <f>IFERROR(__xludf.DUMMYFUNCTION("""COMPUTED_VALUE"""),44592.0)</f>
        <v>44592</v>
      </c>
      <c r="E1321" s="298"/>
      <c r="F1321" s="298"/>
      <c r="G1321" s="298"/>
      <c r="H1321" s="223"/>
      <c r="I1321" s="298">
        <f>IFERROR(__xludf.DUMMYFUNCTION("""COMPUTED_VALUE"""),287.37)</f>
        <v>287.37</v>
      </c>
      <c r="J1321" s="223" t="str">
        <f>IFERROR(__xludf.DUMMYFUNCTION("""COMPUTED_VALUE"""),"Hourly")</f>
        <v>Hourly</v>
      </c>
      <c r="K1321" s="317">
        <f>IFERROR(__xludf.DUMMYFUNCTION("""COMPUTED_VALUE"""),2022.0)</f>
        <v>2022</v>
      </c>
      <c r="L1321" s="298"/>
      <c r="M1321" s="223"/>
      <c r="N1321" s="223"/>
      <c r="O1321" s="223"/>
      <c r="P1321" s="223"/>
      <c r="Q1321" s="223"/>
      <c r="R1321" s="223"/>
      <c r="S1321" s="223"/>
      <c r="T1321" s="223"/>
      <c r="U1321" s="223"/>
      <c r="V1321" s="223"/>
      <c r="W1321" s="223"/>
      <c r="X1321" s="223"/>
      <c r="Y1321" s="223"/>
      <c r="Z1321" s="223"/>
    </row>
    <row r="1322">
      <c r="A1322" s="223" t="str">
        <f>IFERROR(__xludf.DUMMYFUNCTION("""COMPUTED_VALUE"""),"Maple Leaf Adventures : 10 Hour Support Block")</f>
        <v>Maple Leaf Adventures : 10 Hour Support Block</v>
      </c>
      <c r="B1322" s="223" t="str">
        <f>IFERROR(__xludf.DUMMYFUNCTION("""COMPUTED_VALUE"""),"Maple Leaf Adventures")</f>
        <v>Maple Leaf Adventures</v>
      </c>
      <c r="C1322" s="223" t="str">
        <f>IFERROR(__xludf.DUMMYFUNCTION("""COMPUTED_VALUE"""),"10 Hour Support Block")</f>
        <v>10 Hour Support Block</v>
      </c>
      <c r="D1322" s="316">
        <f>IFERROR(__xludf.DUMMYFUNCTION("""COMPUTED_VALUE"""),44592.0)</f>
        <v>44592</v>
      </c>
      <c r="E1322" s="298"/>
      <c r="F1322" s="298"/>
      <c r="G1322" s="298"/>
      <c r="H1322" s="223"/>
      <c r="I1322" s="298">
        <f>IFERROR(__xludf.DUMMYFUNCTION("""COMPUTED_VALUE"""),99.04)</f>
        <v>99.04</v>
      </c>
      <c r="J1322" s="223" t="str">
        <f>IFERROR(__xludf.DUMMYFUNCTION("""COMPUTED_VALUE"""),"Fixed Project")</f>
        <v>Fixed Project</v>
      </c>
      <c r="K1322" s="317">
        <f>IFERROR(__xludf.DUMMYFUNCTION("""COMPUTED_VALUE"""),2022.0)</f>
        <v>2022</v>
      </c>
      <c r="L1322" s="298"/>
      <c r="M1322" s="223"/>
      <c r="N1322" s="223"/>
      <c r="O1322" s="223"/>
      <c r="P1322" s="223"/>
      <c r="Q1322" s="223"/>
      <c r="R1322" s="223"/>
      <c r="S1322" s="223"/>
      <c r="T1322" s="223"/>
      <c r="U1322" s="223"/>
      <c r="V1322" s="223"/>
      <c r="W1322" s="223"/>
      <c r="X1322" s="223"/>
      <c r="Y1322" s="223"/>
      <c r="Z1322" s="223"/>
    </row>
    <row r="1323">
      <c r="A1323" s="223" t="str">
        <f>IFERROR(__xludf.DUMMYFUNCTION("""COMPUTED_VALUE"""),"OA Region 6 : Website")</f>
        <v>OA Region 6 : Website</v>
      </c>
      <c r="B1323" s="223" t="str">
        <f>IFERROR(__xludf.DUMMYFUNCTION("""COMPUTED_VALUE"""),"OA Region 6")</f>
        <v>OA Region 6</v>
      </c>
      <c r="C1323" s="223" t="str">
        <f>IFERROR(__xludf.DUMMYFUNCTION("""COMPUTED_VALUE"""),"Website")</f>
        <v>Website</v>
      </c>
      <c r="D1323" s="316">
        <f>IFERROR(__xludf.DUMMYFUNCTION("""COMPUTED_VALUE"""),44592.0)</f>
        <v>44592</v>
      </c>
      <c r="E1323" s="298"/>
      <c r="F1323" s="298"/>
      <c r="G1323" s="298"/>
      <c r="H1323" s="223"/>
      <c r="I1323" s="298">
        <f>IFERROR(__xludf.DUMMYFUNCTION("""COMPUTED_VALUE"""),13.21)</f>
        <v>13.21</v>
      </c>
      <c r="J1323" s="223" t="str">
        <f>IFERROR(__xludf.DUMMYFUNCTION("""COMPUTED_VALUE"""),"Fixed Project")</f>
        <v>Fixed Project</v>
      </c>
      <c r="K1323" s="317">
        <f>IFERROR(__xludf.DUMMYFUNCTION("""COMPUTED_VALUE"""),2022.0)</f>
        <v>2022</v>
      </c>
      <c r="L1323" s="298"/>
      <c r="M1323" s="223"/>
      <c r="N1323" s="223"/>
      <c r="O1323" s="223"/>
      <c r="P1323" s="223"/>
      <c r="Q1323" s="223"/>
      <c r="R1323" s="223"/>
      <c r="S1323" s="223"/>
      <c r="T1323" s="223"/>
      <c r="U1323" s="223"/>
      <c r="V1323" s="223"/>
      <c r="W1323" s="223"/>
      <c r="X1323" s="223"/>
      <c r="Y1323" s="223"/>
      <c r="Z1323" s="223"/>
    </row>
    <row r="1324">
      <c r="A1324" s="223" t="str">
        <f>IFERROR(__xludf.DUMMYFUNCTION("""COMPUTED_VALUE"""),"PlusROI : Admin")</f>
        <v>PlusROI : Admin</v>
      </c>
      <c r="B1324" s="223" t="str">
        <f>IFERROR(__xludf.DUMMYFUNCTION("""COMPUTED_VALUE"""),"PlusROI")</f>
        <v>PlusROI</v>
      </c>
      <c r="C1324" s="223" t="str">
        <f>IFERROR(__xludf.DUMMYFUNCTION("""COMPUTED_VALUE"""),"Admin")</f>
        <v>Admin</v>
      </c>
      <c r="D1324" s="316">
        <f>IFERROR(__xludf.DUMMYFUNCTION("""COMPUTED_VALUE"""),44592.0)</f>
        <v>44592</v>
      </c>
      <c r="E1324" s="298"/>
      <c r="F1324" s="298"/>
      <c r="G1324" s="298"/>
      <c r="H1324" s="223"/>
      <c r="I1324" s="298">
        <f>IFERROR(__xludf.DUMMYFUNCTION("""COMPUTED_VALUE"""),369.81)</f>
        <v>369.81</v>
      </c>
      <c r="J1324" s="223" t="str">
        <f>IFERROR(__xludf.DUMMYFUNCTION("""COMPUTED_VALUE"""),"Hourly")</f>
        <v>Hourly</v>
      </c>
      <c r="K1324" s="317">
        <f>IFERROR(__xludf.DUMMYFUNCTION("""COMPUTED_VALUE"""),2022.0)</f>
        <v>2022</v>
      </c>
      <c r="L1324" s="298"/>
      <c r="M1324" s="223"/>
      <c r="N1324" s="223"/>
      <c r="O1324" s="223"/>
      <c r="P1324" s="223"/>
      <c r="Q1324" s="223"/>
      <c r="R1324" s="223"/>
      <c r="S1324" s="223"/>
      <c r="T1324" s="223"/>
      <c r="U1324" s="223"/>
      <c r="V1324" s="223"/>
      <c r="W1324" s="223"/>
      <c r="X1324" s="223"/>
      <c r="Y1324" s="223"/>
      <c r="Z1324" s="223"/>
    </row>
    <row r="1325">
      <c r="A1325" s="223" t="str">
        <f>IFERROR(__xludf.DUMMYFUNCTION("""COMPUTED_VALUE"""),"PMDI : Website Update Project")</f>
        <v>PMDI : Website Update Project</v>
      </c>
      <c r="B1325" s="223" t="str">
        <f>IFERROR(__xludf.DUMMYFUNCTION("""COMPUTED_VALUE"""),"PMDI")</f>
        <v>PMDI</v>
      </c>
      <c r="C1325" s="223" t="str">
        <f>IFERROR(__xludf.DUMMYFUNCTION("""COMPUTED_VALUE"""),"Website Update Project")</f>
        <v>Website Update Project</v>
      </c>
      <c r="D1325" s="316">
        <f>IFERROR(__xludf.DUMMYFUNCTION("""COMPUTED_VALUE"""),44592.0)</f>
        <v>44592</v>
      </c>
      <c r="E1325" s="298"/>
      <c r="F1325" s="298"/>
      <c r="G1325" s="298"/>
      <c r="H1325" s="223"/>
      <c r="I1325" s="298">
        <f>IFERROR(__xludf.DUMMYFUNCTION("""COMPUTED_VALUE"""),435.84)</f>
        <v>435.84</v>
      </c>
      <c r="J1325" s="223" t="str">
        <f>IFERROR(__xludf.DUMMYFUNCTION("""COMPUTED_VALUE"""),"Fixed Project")</f>
        <v>Fixed Project</v>
      </c>
      <c r="K1325" s="317">
        <f>IFERROR(__xludf.DUMMYFUNCTION("""COMPUTED_VALUE"""),2022.0)</f>
        <v>2022</v>
      </c>
      <c r="L1325" s="298"/>
      <c r="M1325" s="223"/>
      <c r="N1325" s="223"/>
      <c r="O1325" s="223"/>
      <c r="P1325" s="223"/>
      <c r="Q1325" s="223"/>
      <c r="R1325" s="223"/>
      <c r="S1325" s="223"/>
      <c r="T1325" s="223"/>
      <c r="U1325" s="223"/>
      <c r="V1325" s="223"/>
      <c r="W1325" s="223"/>
      <c r="X1325" s="223"/>
      <c r="Y1325" s="223"/>
      <c r="Z1325" s="223"/>
    </row>
    <row r="1326">
      <c r="A1326" s="223" t="str">
        <f>IFERROR(__xludf.DUMMYFUNCTION("""COMPUTED_VALUE"""),"Rama Meditation Society : Website")</f>
        <v>Rama Meditation Society : Website</v>
      </c>
      <c r="B1326" s="223" t="str">
        <f>IFERROR(__xludf.DUMMYFUNCTION("""COMPUTED_VALUE"""),"Rama Meditation Society")</f>
        <v>Rama Meditation Society</v>
      </c>
      <c r="C1326" s="223" t="str">
        <f>IFERROR(__xludf.DUMMYFUNCTION("""COMPUTED_VALUE"""),"Website")</f>
        <v>Website</v>
      </c>
      <c r="D1326" s="316">
        <f>IFERROR(__xludf.DUMMYFUNCTION("""COMPUTED_VALUE"""),44592.0)</f>
        <v>44592</v>
      </c>
      <c r="E1326" s="298"/>
      <c r="F1326" s="298"/>
      <c r="G1326" s="298"/>
      <c r="H1326" s="223"/>
      <c r="I1326" s="298">
        <f>IFERROR(__xludf.DUMMYFUNCTION("""COMPUTED_VALUE"""),66.29)</f>
        <v>66.29</v>
      </c>
      <c r="J1326" s="223" t="str">
        <f>IFERROR(__xludf.DUMMYFUNCTION("""COMPUTED_VALUE"""),"Fixed Project")</f>
        <v>Fixed Project</v>
      </c>
      <c r="K1326" s="317">
        <f>IFERROR(__xludf.DUMMYFUNCTION("""COMPUTED_VALUE"""),2022.0)</f>
        <v>2022</v>
      </c>
      <c r="L1326" s="298"/>
      <c r="M1326" s="223"/>
      <c r="N1326" s="223"/>
      <c r="O1326" s="223"/>
      <c r="P1326" s="223"/>
      <c r="Q1326" s="223"/>
      <c r="R1326" s="223"/>
      <c r="S1326" s="223"/>
      <c r="T1326" s="223"/>
      <c r="U1326" s="223"/>
      <c r="V1326" s="223"/>
      <c r="W1326" s="223"/>
      <c r="X1326" s="223"/>
      <c r="Y1326" s="223"/>
      <c r="Z1326" s="223"/>
    </row>
    <row r="1327">
      <c r="A1327" s="223" t="str">
        <f>IFERROR(__xludf.DUMMYFUNCTION("""COMPUTED_VALUE"""),"Red Seal : Monthly Services")</f>
        <v>Red Seal : Monthly Services</v>
      </c>
      <c r="B1327" s="223" t="str">
        <f>IFERROR(__xludf.DUMMYFUNCTION("""COMPUTED_VALUE"""),"Red Seal")</f>
        <v>Red Seal</v>
      </c>
      <c r="C1327" s="223" t="str">
        <f>IFERROR(__xludf.DUMMYFUNCTION("""COMPUTED_VALUE"""),"Monthly Services")</f>
        <v>Monthly Services</v>
      </c>
      <c r="D1327" s="316">
        <f>IFERROR(__xludf.DUMMYFUNCTION("""COMPUTED_VALUE"""),44592.0)</f>
        <v>44592</v>
      </c>
      <c r="E1327" s="298"/>
      <c r="F1327" s="298"/>
      <c r="G1327" s="298"/>
      <c r="H1327" s="223"/>
      <c r="I1327" s="298">
        <f>IFERROR(__xludf.DUMMYFUNCTION("""COMPUTED_VALUE"""),92.52)</f>
        <v>92.52</v>
      </c>
      <c r="J1327" s="223" t="str">
        <f>IFERROR(__xludf.DUMMYFUNCTION("""COMPUTED_VALUE"""),"Monthly")</f>
        <v>Monthly</v>
      </c>
      <c r="K1327" s="317">
        <f>IFERROR(__xludf.DUMMYFUNCTION("""COMPUTED_VALUE"""),2022.01)</f>
        <v>2022.01</v>
      </c>
      <c r="L1327" s="298"/>
      <c r="M1327" s="223"/>
      <c r="N1327" s="223"/>
      <c r="O1327" s="223"/>
      <c r="P1327" s="223"/>
      <c r="Q1327" s="223"/>
      <c r="R1327" s="223"/>
      <c r="S1327" s="223"/>
      <c r="T1327" s="223"/>
      <c r="U1327" s="223"/>
      <c r="V1327" s="223"/>
      <c r="W1327" s="223"/>
      <c r="X1327" s="223"/>
      <c r="Y1327" s="223"/>
      <c r="Z1327" s="223"/>
    </row>
    <row r="1328">
      <c r="A1328" s="223" t="str">
        <f>IFERROR(__xludf.DUMMYFUNCTION("""COMPUTED_VALUE"""),"UnityWest Capital : Scryb 3 Month PPC")</f>
        <v>UnityWest Capital : Scryb 3 Month PPC</v>
      </c>
      <c r="B1328" s="223" t="str">
        <f>IFERROR(__xludf.DUMMYFUNCTION("""COMPUTED_VALUE"""),"UnityWest Capital")</f>
        <v>UnityWest Capital</v>
      </c>
      <c r="C1328" s="223" t="str">
        <f>IFERROR(__xludf.DUMMYFUNCTION("""COMPUTED_VALUE"""),"Scryb 3 Month PPC")</f>
        <v>Scryb 3 Month PPC</v>
      </c>
      <c r="D1328" s="316">
        <f>IFERROR(__xludf.DUMMYFUNCTION("""COMPUTED_VALUE"""),44592.0)</f>
        <v>44592</v>
      </c>
      <c r="E1328" s="298"/>
      <c r="F1328" s="298"/>
      <c r="G1328" s="298"/>
      <c r="H1328" s="223"/>
      <c r="I1328" s="298">
        <f>IFERROR(__xludf.DUMMYFUNCTION("""COMPUTED_VALUE"""),50.99)</f>
        <v>50.99</v>
      </c>
      <c r="J1328" s="223" t="str">
        <f>IFERROR(__xludf.DUMMYFUNCTION("""COMPUTED_VALUE"""),"Fixed Project")</f>
        <v>Fixed Project</v>
      </c>
      <c r="K1328" s="317">
        <f>IFERROR(__xludf.DUMMYFUNCTION("""COMPUTED_VALUE"""),2022.0)</f>
        <v>2022</v>
      </c>
      <c r="L1328" s="298"/>
      <c r="M1328" s="223"/>
      <c r="N1328" s="223"/>
      <c r="O1328" s="223"/>
      <c r="P1328" s="223"/>
      <c r="Q1328" s="223"/>
      <c r="R1328" s="223"/>
      <c r="S1328" s="223"/>
      <c r="T1328" s="223"/>
      <c r="U1328" s="223"/>
      <c r="V1328" s="223"/>
      <c r="W1328" s="223"/>
      <c r="X1328" s="223"/>
      <c r="Y1328" s="223"/>
      <c r="Z1328" s="223"/>
    </row>
    <row r="1329">
      <c r="A1329" s="223" t="str">
        <f>IFERROR(__xludf.DUMMYFUNCTION("""COMPUTED_VALUE"""),"Spraggs : Monthly Services")</f>
        <v>Spraggs : Monthly Services</v>
      </c>
      <c r="B1329" s="223" t="str">
        <f>IFERROR(__xludf.DUMMYFUNCTION("""COMPUTED_VALUE"""),"Spraggs")</f>
        <v>Spraggs</v>
      </c>
      <c r="C1329" s="223" t="str">
        <f>IFERROR(__xludf.DUMMYFUNCTION("""COMPUTED_VALUE"""),"Monthly Services")</f>
        <v>Monthly Services</v>
      </c>
      <c r="D1329" s="316">
        <f>IFERROR(__xludf.DUMMYFUNCTION("""COMPUTED_VALUE"""),44592.0)</f>
        <v>44592</v>
      </c>
      <c r="E1329" s="298"/>
      <c r="F1329" s="298"/>
      <c r="G1329" s="298"/>
      <c r="H1329" s="223"/>
      <c r="I1329" s="298">
        <f>IFERROR(__xludf.DUMMYFUNCTION("""COMPUTED_VALUE"""),20.14)</f>
        <v>20.14</v>
      </c>
      <c r="J1329" s="223" t="str">
        <f>IFERROR(__xludf.DUMMYFUNCTION("""COMPUTED_VALUE"""),"Monthly")</f>
        <v>Monthly</v>
      </c>
      <c r="K1329" s="317">
        <f>IFERROR(__xludf.DUMMYFUNCTION("""COMPUTED_VALUE"""),2022.01)</f>
        <v>2022.01</v>
      </c>
      <c r="L1329" s="298"/>
      <c r="M1329" s="223"/>
      <c r="N1329" s="223"/>
      <c r="O1329" s="223"/>
      <c r="P1329" s="223"/>
      <c r="Q1329" s="223"/>
      <c r="R1329" s="223"/>
      <c r="S1329" s="223"/>
      <c r="T1329" s="223"/>
      <c r="U1329" s="223"/>
      <c r="V1329" s="223"/>
      <c r="W1329" s="223"/>
      <c r="X1329" s="223"/>
      <c r="Y1329" s="223"/>
      <c r="Z1329" s="223"/>
    </row>
    <row r="1330">
      <c r="A1330" s="223" t="str">
        <f>IFERROR(__xludf.DUMMYFUNCTION("""COMPUTED_VALUE"""),"Starfish Medical : 5 Hour Support Block")</f>
        <v>Starfish Medical : 5 Hour Support Block</v>
      </c>
      <c r="B1330" s="223" t="str">
        <f>IFERROR(__xludf.DUMMYFUNCTION("""COMPUTED_VALUE"""),"Starfish Medical")</f>
        <v>Starfish Medical</v>
      </c>
      <c r="C1330" s="223" t="str">
        <f>IFERROR(__xludf.DUMMYFUNCTION("""COMPUTED_VALUE"""),"5 Hour Support Block")</f>
        <v>5 Hour Support Block</v>
      </c>
      <c r="D1330" s="316">
        <f>IFERROR(__xludf.DUMMYFUNCTION("""COMPUTED_VALUE"""),44592.0)</f>
        <v>44592</v>
      </c>
      <c r="E1330" s="298"/>
      <c r="F1330" s="298"/>
      <c r="G1330" s="298"/>
      <c r="H1330" s="223"/>
      <c r="I1330" s="298">
        <f>IFERROR(__xludf.DUMMYFUNCTION("""COMPUTED_VALUE"""),0.0)</f>
        <v>0</v>
      </c>
      <c r="J1330" s="223" t="str">
        <f>IFERROR(__xludf.DUMMYFUNCTION("""COMPUTED_VALUE"""),"Hourly")</f>
        <v>Hourly</v>
      </c>
      <c r="K1330" s="317">
        <f>IFERROR(__xludf.DUMMYFUNCTION("""COMPUTED_VALUE"""),2022.0)</f>
        <v>2022</v>
      </c>
      <c r="L1330" s="298"/>
      <c r="M1330" s="223"/>
      <c r="N1330" s="223"/>
      <c r="O1330" s="223"/>
      <c r="P1330" s="223"/>
      <c r="Q1330" s="223"/>
      <c r="R1330" s="223"/>
      <c r="S1330" s="223"/>
      <c r="T1330" s="223"/>
      <c r="U1330" s="223"/>
      <c r="V1330" s="223"/>
      <c r="W1330" s="223"/>
      <c r="X1330" s="223"/>
      <c r="Y1330" s="223"/>
      <c r="Z1330" s="223"/>
    </row>
    <row r="1331">
      <c r="A1331" s="223" t="str">
        <f>IFERROR(__xludf.DUMMYFUNCTION("""COMPUTED_VALUE"""),"The Academy : 5 Hour Support Block")</f>
        <v>The Academy : 5 Hour Support Block</v>
      </c>
      <c r="B1331" s="223" t="str">
        <f>IFERROR(__xludf.DUMMYFUNCTION("""COMPUTED_VALUE"""),"The Academy")</f>
        <v>The Academy</v>
      </c>
      <c r="C1331" s="223" t="str">
        <f>IFERROR(__xludf.DUMMYFUNCTION("""COMPUTED_VALUE"""),"5 Hour Support Block")</f>
        <v>5 Hour Support Block</v>
      </c>
      <c r="D1331" s="316">
        <f>IFERROR(__xludf.DUMMYFUNCTION("""COMPUTED_VALUE"""),44592.0)</f>
        <v>44592</v>
      </c>
      <c r="E1331" s="298"/>
      <c r="F1331" s="298"/>
      <c r="G1331" s="298"/>
      <c r="H1331" s="223"/>
      <c r="I1331" s="298">
        <f>IFERROR(__xludf.DUMMYFUNCTION("""COMPUTED_VALUE"""),76.86)</f>
        <v>76.86</v>
      </c>
      <c r="J1331" s="223" t="str">
        <f>IFERROR(__xludf.DUMMYFUNCTION("""COMPUTED_VALUE"""),"Hourly")</f>
        <v>Hourly</v>
      </c>
      <c r="K1331" s="317">
        <f>IFERROR(__xludf.DUMMYFUNCTION("""COMPUTED_VALUE"""),2022.0)</f>
        <v>2022</v>
      </c>
      <c r="L1331" s="298"/>
      <c r="M1331" s="223"/>
      <c r="N1331" s="223"/>
      <c r="O1331" s="223"/>
      <c r="P1331" s="223"/>
      <c r="Q1331" s="223"/>
      <c r="R1331" s="223"/>
      <c r="S1331" s="223"/>
      <c r="T1331" s="223"/>
      <c r="U1331" s="223"/>
      <c r="V1331" s="223"/>
      <c r="W1331" s="223"/>
      <c r="X1331" s="223"/>
      <c r="Y1331" s="223"/>
      <c r="Z1331" s="223"/>
    </row>
    <row r="1332">
      <c r="A1332" s="223" t="str">
        <f>IFERROR(__xludf.DUMMYFUNCTION("""COMPUTED_VALUE"""),"The Academy : Website")</f>
        <v>The Academy : Website</v>
      </c>
      <c r="B1332" s="223" t="str">
        <f>IFERROR(__xludf.DUMMYFUNCTION("""COMPUTED_VALUE"""),"The Academy")</f>
        <v>The Academy</v>
      </c>
      <c r="C1332" s="223" t="str">
        <f>IFERROR(__xludf.DUMMYFUNCTION("""COMPUTED_VALUE"""),"Website")</f>
        <v>Website</v>
      </c>
      <c r="D1332" s="316">
        <f>IFERROR(__xludf.DUMMYFUNCTION("""COMPUTED_VALUE"""),44592.0)</f>
        <v>44592</v>
      </c>
      <c r="E1332" s="298"/>
      <c r="F1332" s="298"/>
      <c r="G1332" s="298"/>
      <c r="H1332" s="223"/>
      <c r="I1332" s="298">
        <f>IFERROR(__xludf.DUMMYFUNCTION("""COMPUTED_VALUE"""),238.02)</f>
        <v>238.02</v>
      </c>
      <c r="J1332" s="223" t="str">
        <f>IFERROR(__xludf.DUMMYFUNCTION("""COMPUTED_VALUE"""),"Fixed Project")</f>
        <v>Fixed Project</v>
      </c>
      <c r="K1332" s="317">
        <f>IFERROR(__xludf.DUMMYFUNCTION("""COMPUTED_VALUE"""),2022.0)</f>
        <v>2022</v>
      </c>
      <c r="L1332" s="298"/>
      <c r="M1332" s="223"/>
      <c r="N1332" s="223"/>
      <c r="O1332" s="223"/>
      <c r="P1332" s="223"/>
      <c r="Q1332" s="223"/>
      <c r="R1332" s="223"/>
      <c r="S1332" s="223"/>
      <c r="T1332" s="223"/>
      <c r="U1332" s="223"/>
      <c r="V1332" s="223"/>
      <c r="W1332" s="223"/>
      <c r="X1332" s="223"/>
      <c r="Y1332" s="223"/>
      <c r="Z1332" s="223"/>
    </row>
    <row r="1333">
      <c r="A1333" s="223" t="str">
        <f>IFERROR(__xludf.DUMMYFUNCTION("""COMPUTED_VALUE"""),"TisBest : Monthly Services")</f>
        <v>TisBest : Monthly Services</v>
      </c>
      <c r="B1333" s="223" t="str">
        <f>IFERROR(__xludf.DUMMYFUNCTION("""COMPUTED_VALUE"""),"TisBest")</f>
        <v>TisBest</v>
      </c>
      <c r="C1333" s="223" t="str">
        <f>IFERROR(__xludf.DUMMYFUNCTION("""COMPUTED_VALUE"""),"Monthly Services")</f>
        <v>Monthly Services</v>
      </c>
      <c r="D1333" s="316">
        <f>IFERROR(__xludf.DUMMYFUNCTION("""COMPUTED_VALUE"""),44592.0)</f>
        <v>44592</v>
      </c>
      <c r="E1333" s="298"/>
      <c r="F1333" s="298"/>
      <c r="G1333" s="298"/>
      <c r="H1333" s="223"/>
      <c r="I1333" s="298">
        <f>IFERROR(__xludf.DUMMYFUNCTION("""COMPUTED_VALUE"""),183.47)</f>
        <v>183.47</v>
      </c>
      <c r="J1333" s="223" t="str">
        <f>IFERROR(__xludf.DUMMYFUNCTION("""COMPUTED_VALUE"""),"Monthly")</f>
        <v>Monthly</v>
      </c>
      <c r="K1333" s="317">
        <f>IFERROR(__xludf.DUMMYFUNCTION("""COMPUTED_VALUE"""),2022.01)</f>
        <v>2022.01</v>
      </c>
      <c r="L1333" s="298"/>
      <c r="M1333" s="223"/>
      <c r="N1333" s="223"/>
      <c r="O1333" s="223"/>
      <c r="P1333" s="223"/>
      <c r="Q1333" s="223"/>
      <c r="R1333" s="223"/>
      <c r="S1333" s="223"/>
      <c r="T1333" s="223"/>
      <c r="U1333" s="223"/>
      <c r="V1333" s="223"/>
      <c r="W1333" s="223"/>
      <c r="X1333" s="223"/>
      <c r="Y1333" s="223"/>
      <c r="Z1333" s="223"/>
    </row>
    <row r="1334">
      <c r="A1334" s="223" t="str">
        <f>IFERROR(__xludf.DUMMYFUNCTION("""COMPUTED_VALUE"""),"Tuscany : Monthly Services")</f>
        <v>Tuscany : Monthly Services</v>
      </c>
      <c r="B1334" s="223" t="str">
        <f>IFERROR(__xludf.DUMMYFUNCTION("""COMPUTED_VALUE"""),"Tuscany")</f>
        <v>Tuscany</v>
      </c>
      <c r="C1334" s="223" t="str">
        <f>IFERROR(__xludf.DUMMYFUNCTION("""COMPUTED_VALUE"""),"Monthly Services")</f>
        <v>Monthly Services</v>
      </c>
      <c r="D1334" s="316">
        <f>IFERROR(__xludf.DUMMYFUNCTION("""COMPUTED_VALUE"""),44592.0)</f>
        <v>44592</v>
      </c>
      <c r="E1334" s="298"/>
      <c r="F1334" s="298"/>
      <c r="G1334" s="298"/>
      <c r="H1334" s="223"/>
      <c r="I1334" s="298">
        <f>IFERROR(__xludf.DUMMYFUNCTION("""COMPUTED_VALUE"""),2.66)</f>
        <v>2.66</v>
      </c>
      <c r="J1334" s="223" t="str">
        <f>IFERROR(__xludf.DUMMYFUNCTION("""COMPUTED_VALUE"""),"Monthly")</f>
        <v>Monthly</v>
      </c>
      <c r="K1334" s="317">
        <f>IFERROR(__xludf.DUMMYFUNCTION("""COMPUTED_VALUE"""),2022.01)</f>
        <v>2022.01</v>
      </c>
      <c r="L1334" s="298"/>
      <c r="M1334" s="223"/>
      <c r="N1334" s="223"/>
      <c r="O1334" s="223"/>
      <c r="P1334" s="223"/>
      <c r="Q1334" s="223"/>
      <c r="R1334" s="223"/>
      <c r="S1334" s="223"/>
      <c r="T1334" s="223"/>
      <c r="U1334" s="223"/>
      <c r="V1334" s="223"/>
      <c r="W1334" s="223"/>
      <c r="X1334" s="223"/>
      <c r="Y1334" s="223"/>
      <c r="Z1334" s="223"/>
    </row>
    <row r="1335">
      <c r="A1335" s="223" t="str">
        <f>IFERROR(__xludf.DUMMYFUNCTION("""COMPUTED_VALUE"""),"VADARTS : Website")</f>
        <v>VADARTS : Website</v>
      </c>
      <c r="B1335" s="223" t="str">
        <f>IFERROR(__xludf.DUMMYFUNCTION("""COMPUTED_VALUE"""),"VADARTS")</f>
        <v>VADARTS</v>
      </c>
      <c r="C1335" s="223" t="str">
        <f>IFERROR(__xludf.DUMMYFUNCTION("""COMPUTED_VALUE"""),"Website")</f>
        <v>Website</v>
      </c>
      <c r="D1335" s="316">
        <f>IFERROR(__xludf.DUMMYFUNCTION("""COMPUTED_VALUE"""),44592.0)</f>
        <v>44592</v>
      </c>
      <c r="E1335" s="298"/>
      <c r="F1335" s="298"/>
      <c r="G1335" s="298"/>
      <c r="H1335" s="223"/>
      <c r="I1335" s="298">
        <f>IFERROR(__xludf.DUMMYFUNCTION("""COMPUTED_VALUE"""),1619.73)</f>
        <v>1619.73</v>
      </c>
      <c r="J1335" s="223" t="str">
        <f>IFERROR(__xludf.DUMMYFUNCTION("""COMPUTED_VALUE"""),"Fixed Project")</f>
        <v>Fixed Project</v>
      </c>
      <c r="K1335" s="317">
        <f>IFERROR(__xludf.DUMMYFUNCTION("""COMPUTED_VALUE"""),2022.0)</f>
        <v>2022</v>
      </c>
      <c r="L1335" s="298"/>
      <c r="M1335" s="223"/>
      <c r="N1335" s="223"/>
      <c r="O1335" s="223"/>
      <c r="P1335" s="223"/>
      <c r="Q1335" s="223"/>
      <c r="R1335" s="223"/>
      <c r="S1335" s="223"/>
      <c r="T1335" s="223"/>
      <c r="U1335" s="223"/>
      <c r="V1335" s="223"/>
      <c r="W1335" s="223"/>
      <c r="X1335" s="223"/>
      <c r="Y1335" s="223"/>
      <c r="Z1335" s="223"/>
    </row>
    <row r="1336">
      <c r="A1336" s="223" t="str">
        <f>IFERROR(__xludf.DUMMYFUNCTION("""COMPUTED_VALUE"""),"Spraggs : Monthly Services")</f>
        <v>Spraggs : Monthly Services</v>
      </c>
      <c r="B1336" s="223" t="str">
        <f>IFERROR(__xludf.DUMMYFUNCTION("""COMPUTED_VALUE"""),"Spraggs")</f>
        <v>Spraggs</v>
      </c>
      <c r="C1336" s="223" t="str">
        <f>IFERROR(__xludf.DUMMYFUNCTION("""COMPUTED_VALUE"""),"Monthly Services")</f>
        <v>Monthly Services</v>
      </c>
      <c r="D1336" s="316">
        <f>IFERROR(__xludf.DUMMYFUNCTION("""COMPUTED_VALUE"""),44586.0)</f>
        <v>44586</v>
      </c>
      <c r="E1336" s="298"/>
      <c r="F1336" s="298"/>
      <c r="G1336" s="298"/>
      <c r="H1336" s="223"/>
      <c r="I1336" s="298">
        <f>IFERROR(__xludf.DUMMYFUNCTION("""COMPUTED_VALUE"""),46.24)</f>
        <v>46.24</v>
      </c>
      <c r="J1336" s="223" t="str">
        <f>IFERROR(__xludf.DUMMYFUNCTION("""COMPUTED_VALUE"""),"Monthly")</f>
        <v>Monthly</v>
      </c>
      <c r="K1336" s="317">
        <f>IFERROR(__xludf.DUMMYFUNCTION("""COMPUTED_VALUE"""),2022.01)</f>
        <v>2022.01</v>
      </c>
      <c r="L1336" s="298">
        <f>IFERROR(__xludf.DUMMYFUNCTION("""COMPUTED_VALUE"""),46.24)</f>
        <v>46.24</v>
      </c>
      <c r="M1336" s="223"/>
      <c r="N1336" s="223"/>
      <c r="O1336" s="223"/>
      <c r="P1336" s="223"/>
      <c r="Q1336" s="223"/>
      <c r="R1336" s="223"/>
      <c r="S1336" s="223"/>
      <c r="T1336" s="223"/>
      <c r="U1336" s="223"/>
      <c r="V1336" s="223"/>
      <c r="W1336" s="223"/>
      <c r="X1336" s="223"/>
      <c r="Y1336" s="223"/>
      <c r="Z1336" s="223"/>
    </row>
    <row r="1337">
      <c r="A1337" s="223" t="str">
        <f>IFERROR(__xludf.DUMMYFUNCTION("""COMPUTED_VALUE"""),"PlusROI : Overhead")</f>
        <v>PlusROI : Overhead</v>
      </c>
      <c r="B1337" s="223" t="str">
        <f>IFERROR(__xludf.DUMMYFUNCTION("""COMPUTED_VALUE"""),"PlusROI")</f>
        <v>PlusROI</v>
      </c>
      <c r="C1337" s="223" t="str">
        <f>IFERROR(__xludf.DUMMYFUNCTION("""COMPUTED_VALUE"""),"Overhead")</f>
        <v>Overhead</v>
      </c>
      <c r="D1337" s="316">
        <f>IFERROR(__xludf.DUMMYFUNCTION("""COMPUTED_VALUE"""),44594.0)</f>
        <v>44594</v>
      </c>
      <c r="E1337" s="298"/>
      <c r="F1337" s="298"/>
      <c r="G1337" s="298"/>
      <c r="H1337" s="223"/>
      <c r="I1337" s="298">
        <f>IFERROR(__xludf.DUMMYFUNCTION("""COMPUTED_VALUE"""),465.04)</f>
        <v>465.04</v>
      </c>
      <c r="J1337" s="223" t="str">
        <f>IFERROR(__xludf.DUMMYFUNCTION("""COMPUTED_VALUE"""),"Hourly")</f>
        <v>Hourly</v>
      </c>
      <c r="K1337" s="317">
        <f>IFERROR(__xludf.DUMMYFUNCTION("""COMPUTED_VALUE"""),2022.0)</f>
        <v>2022</v>
      </c>
      <c r="L1337" s="298">
        <f>IFERROR(__xludf.DUMMYFUNCTION("""COMPUTED_VALUE"""),465.04)</f>
        <v>465.04</v>
      </c>
      <c r="M1337" s="223"/>
      <c r="N1337" s="223"/>
      <c r="O1337" s="223"/>
      <c r="P1337" s="223"/>
      <c r="Q1337" s="223"/>
      <c r="R1337" s="223"/>
      <c r="S1337" s="223"/>
      <c r="T1337" s="223"/>
      <c r="U1337" s="223"/>
      <c r="V1337" s="223"/>
      <c r="W1337" s="223"/>
      <c r="X1337" s="223"/>
      <c r="Y1337" s="223"/>
      <c r="Z1337" s="223"/>
    </row>
    <row r="1338">
      <c r="A1338" s="223" t="str">
        <f>IFERROR(__xludf.DUMMYFUNCTION("""COMPUTED_VALUE"""),"Spraggs : Monthly Services")</f>
        <v>Spraggs : Monthly Services</v>
      </c>
      <c r="B1338" s="223" t="str">
        <f>IFERROR(__xludf.DUMMYFUNCTION("""COMPUTED_VALUE"""),"Spraggs")</f>
        <v>Spraggs</v>
      </c>
      <c r="C1338" s="223" t="str">
        <f>IFERROR(__xludf.DUMMYFUNCTION("""COMPUTED_VALUE"""),"Monthly Services")</f>
        <v>Monthly Services</v>
      </c>
      <c r="D1338" s="316">
        <f>IFERROR(__xludf.DUMMYFUNCTION("""COMPUTED_VALUE"""),44594.0)</f>
        <v>44594</v>
      </c>
      <c r="E1338" s="298"/>
      <c r="F1338" s="298"/>
      <c r="G1338" s="298"/>
      <c r="H1338" s="223"/>
      <c r="I1338" s="298">
        <f>IFERROR(__xludf.DUMMYFUNCTION("""COMPUTED_VALUE"""),70.0)</f>
        <v>70</v>
      </c>
      <c r="J1338" s="223" t="str">
        <f>IFERROR(__xludf.DUMMYFUNCTION("""COMPUTED_VALUE"""),"Monthly")</f>
        <v>Monthly</v>
      </c>
      <c r="K1338" s="317">
        <f>IFERROR(__xludf.DUMMYFUNCTION("""COMPUTED_VALUE"""),2022.02)</f>
        <v>2022.02</v>
      </c>
      <c r="L1338" s="298">
        <f>IFERROR(__xludf.DUMMYFUNCTION("""COMPUTED_VALUE"""),70.0)</f>
        <v>70</v>
      </c>
      <c r="M1338" s="223"/>
      <c r="N1338" s="223"/>
      <c r="O1338" s="223"/>
      <c r="P1338" s="223"/>
      <c r="Q1338" s="223"/>
      <c r="R1338" s="223"/>
      <c r="S1338" s="223"/>
      <c r="T1338" s="223"/>
      <c r="U1338" s="223"/>
      <c r="V1338" s="223"/>
      <c r="W1338" s="223"/>
      <c r="X1338" s="223"/>
      <c r="Y1338" s="223"/>
      <c r="Z1338" s="223"/>
    </row>
    <row r="1339">
      <c r="A1339" s="223" t="str">
        <f>IFERROR(__xludf.DUMMYFUNCTION("""COMPUTED_VALUE"""),"Tuscany : Monthly Services")</f>
        <v>Tuscany : Monthly Services</v>
      </c>
      <c r="B1339" s="223" t="str">
        <f>IFERROR(__xludf.DUMMYFUNCTION("""COMPUTED_VALUE"""),"Tuscany")</f>
        <v>Tuscany</v>
      </c>
      <c r="C1339" s="223" t="str">
        <f>IFERROR(__xludf.DUMMYFUNCTION("""COMPUTED_VALUE"""),"Monthly Services")</f>
        <v>Monthly Services</v>
      </c>
      <c r="D1339" s="316">
        <f>IFERROR(__xludf.DUMMYFUNCTION("""COMPUTED_VALUE"""),44597.0)</f>
        <v>44597</v>
      </c>
      <c r="E1339" s="298"/>
      <c r="F1339" s="298"/>
      <c r="G1339" s="298"/>
      <c r="H1339" s="223"/>
      <c r="I1339" s="298">
        <f>IFERROR(__xludf.DUMMYFUNCTION("""COMPUTED_VALUE"""),750.0)</f>
        <v>750</v>
      </c>
      <c r="J1339" s="223" t="str">
        <f>IFERROR(__xludf.DUMMYFUNCTION("""COMPUTED_VALUE"""),"Monthly")</f>
        <v>Monthly</v>
      </c>
      <c r="K1339" s="317">
        <f>IFERROR(__xludf.DUMMYFUNCTION("""COMPUTED_VALUE"""),2022.02)</f>
        <v>2022.02</v>
      </c>
      <c r="L1339" s="298">
        <f>IFERROR(__xludf.DUMMYFUNCTION("""COMPUTED_VALUE"""),750.0)</f>
        <v>750</v>
      </c>
      <c r="M1339" s="223"/>
      <c r="N1339" s="223"/>
      <c r="O1339" s="223"/>
      <c r="P1339" s="223"/>
      <c r="Q1339" s="223"/>
      <c r="R1339" s="223"/>
      <c r="S1339" s="223"/>
      <c r="T1339" s="223"/>
      <c r="U1339" s="223"/>
      <c r="V1339" s="223"/>
      <c r="W1339" s="223"/>
      <c r="X1339" s="223"/>
      <c r="Y1339" s="223"/>
      <c r="Z1339" s="223"/>
    </row>
    <row r="1340">
      <c r="A1340" s="223" t="str">
        <f>IFERROR(__xludf.DUMMYFUNCTION("""COMPUTED_VALUE"""),"Venetian : Monthly Services")</f>
        <v>Venetian : Monthly Services</v>
      </c>
      <c r="B1340" s="223" t="str">
        <f>IFERROR(__xludf.DUMMYFUNCTION("""COMPUTED_VALUE"""),"Venetian")</f>
        <v>Venetian</v>
      </c>
      <c r="C1340" s="223" t="str">
        <f>IFERROR(__xludf.DUMMYFUNCTION("""COMPUTED_VALUE"""),"Monthly Services")</f>
        <v>Monthly Services</v>
      </c>
      <c r="D1340" s="316">
        <f>IFERROR(__xludf.DUMMYFUNCTION("""COMPUTED_VALUE"""),44598.0)</f>
        <v>44598</v>
      </c>
      <c r="E1340" s="298"/>
      <c r="F1340" s="298"/>
      <c r="G1340" s="298"/>
      <c r="H1340" s="223"/>
      <c r="I1340" s="298">
        <f>IFERROR(__xludf.DUMMYFUNCTION("""COMPUTED_VALUE"""),750.0)</f>
        <v>750</v>
      </c>
      <c r="J1340" s="223" t="str">
        <f>IFERROR(__xludf.DUMMYFUNCTION("""COMPUTED_VALUE"""),"Monthly")</f>
        <v>Monthly</v>
      </c>
      <c r="K1340" s="317">
        <f>IFERROR(__xludf.DUMMYFUNCTION("""COMPUTED_VALUE"""),2022.02)</f>
        <v>2022.02</v>
      </c>
      <c r="L1340" s="298">
        <f>IFERROR(__xludf.DUMMYFUNCTION("""COMPUTED_VALUE"""),750.0)</f>
        <v>750</v>
      </c>
      <c r="M1340" s="223"/>
      <c r="N1340" s="223"/>
      <c r="O1340" s="223"/>
      <c r="P1340" s="223"/>
      <c r="Q1340" s="223"/>
      <c r="R1340" s="223"/>
      <c r="S1340" s="223"/>
      <c r="T1340" s="223"/>
      <c r="U1340" s="223"/>
      <c r="V1340" s="223"/>
      <c r="W1340" s="223"/>
      <c r="X1340" s="223"/>
      <c r="Y1340" s="223"/>
      <c r="Z1340" s="223"/>
    </row>
    <row r="1341">
      <c r="A1341" s="223" t="str">
        <f>IFERROR(__xludf.DUMMYFUNCTION("""COMPUTED_VALUE"""),"Anook Athletics : Monthly Services")</f>
        <v>Anook Athletics : Monthly Services</v>
      </c>
      <c r="B1341" s="223" t="str">
        <f>IFERROR(__xludf.DUMMYFUNCTION("""COMPUTED_VALUE"""),"Anook Athletics")</f>
        <v>Anook Athletics</v>
      </c>
      <c r="C1341" s="223" t="str">
        <f>IFERROR(__xludf.DUMMYFUNCTION("""COMPUTED_VALUE"""),"Monthly Services")</f>
        <v>Monthly Services</v>
      </c>
      <c r="D1341" s="316">
        <f>IFERROR(__xludf.DUMMYFUNCTION("""COMPUTED_VALUE"""),44620.0)</f>
        <v>44620</v>
      </c>
      <c r="E1341" s="298"/>
      <c r="F1341" s="298"/>
      <c r="G1341" s="298"/>
      <c r="H1341" s="223"/>
      <c r="I1341" s="298">
        <f>IFERROR(__xludf.DUMMYFUNCTION("""COMPUTED_VALUE"""),250.0)</f>
        <v>250</v>
      </c>
      <c r="J1341" s="223" t="str">
        <f>IFERROR(__xludf.DUMMYFUNCTION("""COMPUTED_VALUE"""),"Monthly")</f>
        <v>Monthly</v>
      </c>
      <c r="K1341" s="317">
        <f>IFERROR(__xludf.DUMMYFUNCTION("""COMPUTED_VALUE"""),2022.02)</f>
        <v>2022.02</v>
      </c>
      <c r="L1341" s="298"/>
      <c r="M1341" s="223"/>
      <c r="N1341" s="223"/>
      <c r="O1341" s="223"/>
      <c r="P1341" s="223"/>
      <c r="Q1341" s="223"/>
      <c r="R1341" s="223"/>
      <c r="S1341" s="223"/>
      <c r="T1341" s="223"/>
      <c r="U1341" s="223"/>
      <c r="V1341" s="223"/>
      <c r="W1341" s="223"/>
      <c r="X1341" s="223"/>
      <c r="Y1341" s="223"/>
      <c r="Z1341" s="223"/>
    </row>
    <row r="1342">
      <c r="A1342" s="223" t="str">
        <f>IFERROR(__xludf.DUMMYFUNCTION("""COMPUTED_VALUE"""),"MortgagePal : Monthly Services")</f>
        <v>MortgagePal : Monthly Services</v>
      </c>
      <c r="B1342" s="223" t="str">
        <f>IFERROR(__xludf.DUMMYFUNCTION("""COMPUTED_VALUE"""),"MortgagePal")</f>
        <v>MortgagePal</v>
      </c>
      <c r="C1342" s="223" t="str">
        <f>IFERROR(__xludf.DUMMYFUNCTION("""COMPUTED_VALUE"""),"Monthly Services")</f>
        <v>Monthly Services</v>
      </c>
      <c r="D1342" s="316">
        <f>IFERROR(__xludf.DUMMYFUNCTION("""COMPUTED_VALUE"""),44620.0)</f>
        <v>44620</v>
      </c>
      <c r="E1342" s="298"/>
      <c r="F1342" s="298"/>
      <c r="G1342" s="298"/>
      <c r="H1342" s="223"/>
      <c r="I1342" s="298">
        <f>IFERROR(__xludf.DUMMYFUNCTION("""COMPUTED_VALUE"""),212.5)</f>
        <v>212.5</v>
      </c>
      <c r="J1342" s="223" t="str">
        <f>IFERROR(__xludf.DUMMYFUNCTION("""COMPUTED_VALUE"""),"Monthly")</f>
        <v>Monthly</v>
      </c>
      <c r="K1342" s="317">
        <f>IFERROR(__xludf.DUMMYFUNCTION("""COMPUTED_VALUE"""),2022.02)</f>
        <v>2022.02</v>
      </c>
      <c r="L1342" s="298"/>
      <c r="M1342" s="223"/>
      <c r="N1342" s="223"/>
      <c r="O1342" s="223"/>
      <c r="P1342" s="223"/>
      <c r="Q1342" s="223"/>
      <c r="R1342" s="223"/>
      <c r="S1342" s="223"/>
      <c r="T1342" s="223"/>
      <c r="U1342" s="223"/>
      <c r="V1342" s="223"/>
      <c r="W1342" s="223"/>
      <c r="X1342" s="223"/>
      <c r="Y1342" s="223"/>
      <c r="Z1342" s="223"/>
    </row>
    <row r="1343">
      <c r="A1343" s="223" t="str">
        <f>IFERROR(__xludf.DUMMYFUNCTION("""COMPUTED_VALUE"""),"Viridian : Monthly Services")</f>
        <v>Viridian : Monthly Services</v>
      </c>
      <c r="B1343" s="223" t="str">
        <f>IFERROR(__xludf.DUMMYFUNCTION("""COMPUTED_VALUE"""),"Viridian")</f>
        <v>Viridian</v>
      </c>
      <c r="C1343" s="223" t="str">
        <f>IFERROR(__xludf.DUMMYFUNCTION("""COMPUTED_VALUE"""),"Monthly Services")</f>
        <v>Monthly Services</v>
      </c>
      <c r="D1343" s="316">
        <f>IFERROR(__xludf.DUMMYFUNCTION("""COMPUTED_VALUE"""),44620.0)</f>
        <v>44620</v>
      </c>
      <c r="E1343" s="298"/>
      <c r="F1343" s="298"/>
      <c r="G1343" s="298"/>
      <c r="H1343" s="223"/>
      <c r="I1343" s="298">
        <f>IFERROR(__xludf.DUMMYFUNCTION("""COMPUTED_VALUE"""),275.0)</f>
        <v>275</v>
      </c>
      <c r="J1343" s="223" t="str">
        <f>IFERROR(__xludf.DUMMYFUNCTION("""COMPUTED_VALUE"""),"Monthly")</f>
        <v>Monthly</v>
      </c>
      <c r="K1343" s="317">
        <f>IFERROR(__xludf.DUMMYFUNCTION("""COMPUTED_VALUE"""),2022.02)</f>
        <v>2022.02</v>
      </c>
      <c r="L1343" s="298"/>
      <c r="M1343" s="223"/>
      <c r="N1343" s="223"/>
      <c r="O1343" s="223"/>
      <c r="P1343" s="223"/>
      <c r="Q1343" s="223"/>
      <c r="R1343" s="223"/>
      <c r="S1343" s="223"/>
      <c r="T1343" s="223"/>
      <c r="U1343" s="223"/>
      <c r="V1343" s="223"/>
      <c r="W1343" s="223"/>
      <c r="X1343" s="223"/>
      <c r="Y1343" s="223"/>
      <c r="Z1343" s="223"/>
    </row>
    <row r="1344">
      <c r="A1344" s="223" t="str">
        <f>IFERROR(__xludf.DUMMYFUNCTION("""COMPUTED_VALUE"""),"Service First : Monthly Services")</f>
        <v>Service First : Monthly Services</v>
      </c>
      <c r="B1344" s="223" t="str">
        <f>IFERROR(__xludf.DUMMYFUNCTION("""COMPUTED_VALUE"""),"Service First")</f>
        <v>Service First</v>
      </c>
      <c r="C1344" s="223" t="str">
        <f>IFERROR(__xludf.DUMMYFUNCTION("""COMPUTED_VALUE"""),"Monthly Services")</f>
        <v>Monthly Services</v>
      </c>
      <c r="D1344" s="316">
        <f>IFERROR(__xludf.DUMMYFUNCTION("""COMPUTED_VALUE"""),44620.0)</f>
        <v>44620</v>
      </c>
      <c r="E1344" s="298"/>
      <c r="F1344" s="298"/>
      <c r="G1344" s="298"/>
      <c r="H1344" s="223"/>
      <c r="I1344" s="298">
        <f>IFERROR(__xludf.DUMMYFUNCTION("""COMPUTED_VALUE"""),125.0)</f>
        <v>125</v>
      </c>
      <c r="J1344" s="223" t="str">
        <f>IFERROR(__xludf.DUMMYFUNCTION("""COMPUTED_VALUE"""),"Monthly")</f>
        <v>Monthly</v>
      </c>
      <c r="K1344" s="317">
        <f>IFERROR(__xludf.DUMMYFUNCTION("""COMPUTED_VALUE"""),2022.02)</f>
        <v>2022.02</v>
      </c>
      <c r="L1344" s="298"/>
      <c r="M1344" s="223"/>
      <c r="N1344" s="223"/>
      <c r="O1344" s="223"/>
      <c r="P1344" s="223"/>
      <c r="Q1344" s="223"/>
      <c r="R1344" s="223"/>
      <c r="S1344" s="223"/>
      <c r="T1344" s="223"/>
      <c r="U1344" s="223"/>
      <c r="V1344" s="223"/>
      <c r="W1344" s="223"/>
      <c r="X1344" s="223"/>
      <c r="Y1344" s="223"/>
      <c r="Z1344" s="223"/>
    </row>
    <row r="1345">
      <c r="A1345" s="223" t="str">
        <f>IFERROR(__xludf.DUMMYFUNCTION("""COMPUTED_VALUE"""),"BookKing (Pacific Tier) : Monthly Services")</f>
        <v>BookKing (Pacific Tier) : Monthly Services</v>
      </c>
      <c r="B1345" s="223" t="str">
        <f>IFERROR(__xludf.DUMMYFUNCTION("""COMPUTED_VALUE"""),"BookKing (Pacific Tier)")</f>
        <v>BookKing (Pacific Tier)</v>
      </c>
      <c r="C1345" s="223" t="str">
        <f>IFERROR(__xludf.DUMMYFUNCTION("""COMPUTED_VALUE"""),"Monthly Services")</f>
        <v>Monthly Services</v>
      </c>
      <c r="D1345" s="316">
        <f>IFERROR(__xludf.DUMMYFUNCTION("""COMPUTED_VALUE"""),44620.0)</f>
        <v>44620</v>
      </c>
      <c r="E1345" s="298"/>
      <c r="F1345" s="298"/>
      <c r="G1345" s="298"/>
      <c r="H1345" s="223"/>
      <c r="I1345" s="298">
        <f>IFERROR(__xludf.DUMMYFUNCTION("""COMPUTED_VALUE"""),200.0)</f>
        <v>200</v>
      </c>
      <c r="J1345" s="223" t="str">
        <f>IFERROR(__xludf.DUMMYFUNCTION("""COMPUTED_VALUE"""),"Monthly")</f>
        <v>Monthly</v>
      </c>
      <c r="K1345" s="317">
        <f>IFERROR(__xludf.DUMMYFUNCTION("""COMPUTED_VALUE"""),2022.02)</f>
        <v>2022.02</v>
      </c>
      <c r="L1345" s="298"/>
      <c r="M1345" s="223"/>
      <c r="N1345" s="223"/>
      <c r="O1345" s="223"/>
      <c r="P1345" s="223"/>
      <c r="Q1345" s="223"/>
      <c r="R1345" s="223"/>
      <c r="S1345" s="223"/>
      <c r="T1345" s="223"/>
      <c r="U1345" s="223"/>
      <c r="V1345" s="223"/>
      <c r="W1345" s="223"/>
      <c r="X1345" s="223"/>
      <c r="Y1345" s="223"/>
      <c r="Z1345" s="223"/>
    </row>
    <row r="1346">
      <c r="A1346" s="223" t="str">
        <f>IFERROR(__xludf.DUMMYFUNCTION("""COMPUTED_VALUE"""),"Wallack's Art Supplies : Monthly Services")</f>
        <v>Wallack's Art Supplies : Monthly Services</v>
      </c>
      <c r="B1346" s="223" t="str">
        <f>IFERROR(__xludf.DUMMYFUNCTION("""COMPUTED_VALUE"""),"Wallack's Art Supplies")</f>
        <v>Wallack's Art Supplies</v>
      </c>
      <c r="C1346" s="223" t="str">
        <f>IFERROR(__xludf.DUMMYFUNCTION("""COMPUTED_VALUE"""),"Monthly Services")</f>
        <v>Monthly Services</v>
      </c>
      <c r="D1346" s="316">
        <f>IFERROR(__xludf.DUMMYFUNCTION("""COMPUTED_VALUE"""),44620.0)</f>
        <v>44620</v>
      </c>
      <c r="E1346" s="298"/>
      <c r="F1346" s="298"/>
      <c r="G1346" s="298"/>
      <c r="H1346" s="223"/>
      <c r="I1346" s="298">
        <f>IFERROR(__xludf.DUMMYFUNCTION("""COMPUTED_VALUE"""),250.0)</f>
        <v>250</v>
      </c>
      <c r="J1346" s="223" t="str">
        <f>IFERROR(__xludf.DUMMYFUNCTION("""COMPUTED_VALUE"""),"Monthly")</f>
        <v>Monthly</v>
      </c>
      <c r="K1346" s="317">
        <f>IFERROR(__xludf.DUMMYFUNCTION("""COMPUTED_VALUE"""),2022.02)</f>
        <v>2022.02</v>
      </c>
      <c r="L1346" s="298"/>
      <c r="M1346" s="223"/>
      <c r="N1346" s="223"/>
      <c r="O1346" s="223"/>
      <c r="P1346" s="223"/>
      <c r="Q1346" s="223"/>
      <c r="R1346" s="223"/>
      <c r="S1346" s="223"/>
      <c r="T1346" s="223"/>
      <c r="U1346" s="223"/>
      <c r="V1346" s="223"/>
      <c r="W1346" s="223"/>
      <c r="X1346" s="223"/>
      <c r="Y1346" s="223"/>
      <c r="Z1346" s="223"/>
    </row>
    <row r="1347">
      <c r="A1347" s="223" t="str">
        <f>IFERROR(__xludf.DUMMYFUNCTION("""COMPUTED_VALUE"""),"C360 : Grasshopper Farms Site Review")</f>
        <v>C360 : Grasshopper Farms Site Review</v>
      </c>
      <c r="B1347" s="223" t="str">
        <f>IFERROR(__xludf.DUMMYFUNCTION("""COMPUTED_VALUE"""),"C360")</f>
        <v>C360</v>
      </c>
      <c r="C1347" s="223" t="str">
        <f>IFERROR(__xludf.DUMMYFUNCTION("""COMPUTED_VALUE"""),"Grasshopper Farms Site Review")</f>
        <v>Grasshopper Farms Site Review</v>
      </c>
      <c r="D1347" s="316">
        <f>IFERROR(__xludf.DUMMYFUNCTION("""COMPUTED_VALUE"""),44620.0)</f>
        <v>44620</v>
      </c>
      <c r="E1347" s="298"/>
      <c r="F1347" s="298"/>
      <c r="G1347" s="298"/>
      <c r="H1347" s="223"/>
      <c r="I1347" s="298">
        <f>IFERROR(__xludf.DUMMYFUNCTION("""COMPUTED_VALUE"""),100.0)</f>
        <v>100</v>
      </c>
      <c r="J1347" s="223" t="str">
        <f>IFERROR(__xludf.DUMMYFUNCTION("""COMPUTED_VALUE"""),"Fixed Project")</f>
        <v>Fixed Project</v>
      </c>
      <c r="K1347" s="317">
        <f>IFERROR(__xludf.DUMMYFUNCTION("""COMPUTED_VALUE"""),2022.0)</f>
        <v>2022</v>
      </c>
      <c r="L1347" s="298"/>
      <c r="M1347" s="223"/>
      <c r="N1347" s="223"/>
      <c r="O1347" s="223"/>
      <c r="P1347" s="223"/>
      <c r="Q1347" s="223"/>
      <c r="R1347" s="223"/>
      <c r="S1347" s="223"/>
      <c r="T1347" s="223"/>
      <c r="U1347" s="223"/>
      <c r="V1347" s="223"/>
      <c r="W1347" s="223"/>
      <c r="X1347" s="223"/>
      <c r="Y1347" s="223"/>
      <c r="Z1347" s="223"/>
    </row>
    <row r="1348">
      <c r="A1348" s="223" t="str">
        <f>IFERROR(__xludf.DUMMYFUNCTION("""COMPUTED_VALUE"""),"Hastings House : Monthly Services")</f>
        <v>Hastings House : Monthly Services</v>
      </c>
      <c r="B1348" s="223" t="str">
        <f>IFERROR(__xludf.DUMMYFUNCTION("""COMPUTED_VALUE"""),"Hastings House")</f>
        <v>Hastings House</v>
      </c>
      <c r="C1348" s="223" t="str">
        <f>IFERROR(__xludf.DUMMYFUNCTION("""COMPUTED_VALUE"""),"Monthly Services")</f>
        <v>Monthly Services</v>
      </c>
      <c r="D1348" s="316">
        <f>IFERROR(__xludf.DUMMYFUNCTION("""COMPUTED_VALUE"""),44620.0)</f>
        <v>44620</v>
      </c>
      <c r="E1348" s="298"/>
      <c r="F1348" s="298"/>
      <c r="G1348" s="298"/>
      <c r="H1348" s="223"/>
      <c r="I1348" s="298">
        <f>IFERROR(__xludf.DUMMYFUNCTION("""COMPUTED_VALUE"""),175.0)</f>
        <v>175</v>
      </c>
      <c r="J1348" s="223" t="str">
        <f>IFERROR(__xludf.DUMMYFUNCTION("""COMPUTED_VALUE"""),"Monthly")</f>
        <v>Monthly</v>
      </c>
      <c r="K1348" s="317">
        <f>IFERROR(__xludf.DUMMYFUNCTION("""COMPUTED_VALUE"""),2022.02)</f>
        <v>2022.02</v>
      </c>
      <c r="L1348" s="298"/>
      <c r="M1348" s="223"/>
      <c r="N1348" s="223"/>
      <c r="O1348" s="223"/>
      <c r="P1348" s="223"/>
      <c r="Q1348" s="223"/>
      <c r="R1348" s="223"/>
      <c r="S1348" s="223"/>
      <c r="T1348" s="223"/>
      <c r="U1348" s="223"/>
      <c r="V1348" s="223"/>
      <c r="W1348" s="223"/>
      <c r="X1348" s="223"/>
      <c r="Y1348" s="223"/>
      <c r="Z1348" s="223"/>
    </row>
    <row r="1349">
      <c r="A1349" s="223" t="str">
        <f>IFERROR(__xludf.DUMMYFUNCTION("""COMPUTED_VALUE"""),"Spraggs : Monthly Services")</f>
        <v>Spraggs : Monthly Services</v>
      </c>
      <c r="B1349" s="223" t="str">
        <f>IFERROR(__xludf.DUMMYFUNCTION("""COMPUTED_VALUE"""),"Spraggs")</f>
        <v>Spraggs</v>
      </c>
      <c r="C1349" s="223" t="str">
        <f>IFERROR(__xludf.DUMMYFUNCTION("""COMPUTED_VALUE"""),"Monthly Services")</f>
        <v>Monthly Services</v>
      </c>
      <c r="D1349" s="316">
        <f>IFERROR(__xludf.DUMMYFUNCTION("""COMPUTED_VALUE"""),44620.0)</f>
        <v>44620</v>
      </c>
      <c r="E1349" s="298"/>
      <c r="F1349" s="298"/>
      <c r="G1349" s="298"/>
      <c r="H1349" s="223"/>
      <c r="I1349" s="298">
        <f>IFERROR(__xludf.DUMMYFUNCTION("""COMPUTED_VALUE"""),212.5)</f>
        <v>212.5</v>
      </c>
      <c r="J1349" s="223" t="str">
        <f>IFERROR(__xludf.DUMMYFUNCTION("""COMPUTED_VALUE"""),"Monthly")</f>
        <v>Monthly</v>
      </c>
      <c r="K1349" s="317">
        <f>IFERROR(__xludf.DUMMYFUNCTION("""COMPUTED_VALUE"""),2022.02)</f>
        <v>2022.02</v>
      </c>
      <c r="L1349" s="298"/>
      <c r="M1349" s="223"/>
      <c r="N1349" s="223"/>
      <c r="O1349" s="223"/>
      <c r="P1349" s="223"/>
      <c r="Q1349" s="223"/>
      <c r="R1349" s="223"/>
      <c r="S1349" s="223"/>
      <c r="T1349" s="223"/>
      <c r="U1349" s="223"/>
      <c r="V1349" s="223"/>
      <c r="W1349" s="223"/>
      <c r="X1349" s="223"/>
      <c r="Y1349" s="223"/>
      <c r="Z1349" s="223"/>
    </row>
    <row r="1350">
      <c r="A1350" s="223" t="str">
        <f>IFERROR(__xludf.DUMMYFUNCTION("""COMPUTED_VALUE"""),"C360 : Victory360")</f>
        <v>C360 : Victory360</v>
      </c>
      <c r="B1350" s="223" t="str">
        <f>IFERROR(__xludf.DUMMYFUNCTION("""COMPUTED_VALUE"""),"C360")</f>
        <v>C360</v>
      </c>
      <c r="C1350" s="223" t="str">
        <f>IFERROR(__xludf.DUMMYFUNCTION("""COMPUTED_VALUE"""),"Victory360")</f>
        <v>Victory360</v>
      </c>
      <c r="D1350" s="316">
        <f>IFERROR(__xludf.DUMMYFUNCTION("""COMPUTED_VALUE"""),44620.0)</f>
        <v>44620</v>
      </c>
      <c r="E1350" s="298"/>
      <c r="F1350" s="298"/>
      <c r="G1350" s="298"/>
      <c r="H1350" s="223"/>
      <c r="I1350" s="298">
        <f>IFERROR(__xludf.DUMMYFUNCTION("""COMPUTED_VALUE"""),200.0)</f>
        <v>200</v>
      </c>
      <c r="J1350" s="223" t="str">
        <f>IFERROR(__xludf.DUMMYFUNCTION("""COMPUTED_VALUE"""),"Monthly")</f>
        <v>Monthly</v>
      </c>
      <c r="K1350" s="317">
        <f>IFERROR(__xludf.DUMMYFUNCTION("""COMPUTED_VALUE"""),2022.02)</f>
        <v>2022.02</v>
      </c>
      <c r="L1350" s="298"/>
      <c r="M1350" s="223"/>
      <c r="N1350" s="223"/>
      <c r="O1350" s="223"/>
      <c r="P1350" s="223"/>
      <c r="Q1350" s="223"/>
      <c r="R1350" s="223"/>
      <c r="S1350" s="223"/>
      <c r="T1350" s="223"/>
      <c r="U1350" s="223"/>
      <c r="V1350" s="223"/>
      <c r="W1350" s="223"/>
      <c r="X1350" s="223"/>
      <c r="Y1350" s="223"/>
      <c r="Z1350" s="223"/>
    </row>
    <row r="1351">
      <c r="A1351" s="223" t="str">
        <f>IFERROR(__xludf.DUMMYFUNCTION("""COMPUTED_VALUE"""),"Availed Technologies : Monthly Services")</f>
        <v>Availed Technologies : Monthly Services</v>
      </c>
      <c r="B1351" s="223" t="str">
        <f>IFERROR(__xludf.DUMMYFUNCTION("""COMPUTED_VALUE"""),"Availed Technologies")</f>
        <v>Availed Technologies</v>
      </c>
      <c r="C1351" s="223" t="str">
        <f>IFERROR(__xludf.DUMMYFUNCTION("""COMPUTED_VALUE"""),"Monthly Services")</f>
        <v>Monthly Services</v>
      </c>
      <c r="D1351" s="316">
        <f>IFERROR(__xludf.DUMMYFUNCTION("""COMPUTED_VALUE"""),44620.0)</f>
        <v>44620</v>
      </c>
      <c r="E1351" s="298"/>
      <c r="F1351" s="298"/>
      <c r="G1351" s="298"/>
      <c r="H1351" s="223"/>
      <c r="I1351" s="298">
        <f>IFERROR(__xludf.DUMMYFUNCTION("""COMPUTED_VALUE"""),175.0)</f>
        <v>175</v>
      </c>
      <c r="J1351" s="223" t="str">
        <f>IFERROR(__xludf.DUMMYFUNCTION("""COMPUTED_VALUE"""),"Monthly")</f>
        <v>Monthly</v>
      </c>
      <c r="K1351" s="317">
        <f>IFERROR(__xludf.DUMMYFUNCTION("""COMPUTED_VALUE"""),2022.02)</f>
        <v>2022.02</v>
      </c>
      <c r="L1351" s="298"/>
      <c r="M1351" s="223"/>
      <c r="N1351" s="223"/>
      <c r="O1351" s="223"/>
      <c r="P1351" s="223"/>
      <c r="Q1351" s="223"/>
      <c r="R1351" s="223"/>
      <c r="S1351" s="223"/>
      <c r="T1351" s="223"/>
      <c r="U1351" s="223"/>
      <c r="V1351" s="223"/>
      <c r="W1351" s="223"/>
      <c r="X1351" s="223"/>
      <c r="Y1351" s="223"/>
      <c r="Z1351" s="223"/>
    </row>
    <row r="1352">
      <c r="A1352" s="223" t="str">
        <f>IFERROR(__xludf.DUMMYFUNCTION("""COMPUTED_VALUE"""),"OA Region 6 : Monthly Services")</f>
        <v>OA Region 6 : Monthly Services</v>
      </c>
      <c r="B1352" s="223" t="str">
        <f>IFERROR(__xludf.DUMMYFUNCTION("""COMPUTED_VALUE"""),"OA Region 6")</f>
        <v>OA Region 6</v>
      </c>
      <c r="C1352" s="223" t="str">
        <f>IFERROR(__xludf.DUMMYFUNCTION("""COMPUTED_VALUE"""),"Monthly Services")</f>
        <v>Monthly Services</v>
      </c>
      <c r="D1352" s="316">
        <f>IFERROR(__xludf.DUMMYFUNCTION("""COMPUTED_VALUE"""),44620.0)</f>
        <v>44620</v>
      </c>
      <c r="E1352" s="298"/>
      <c r="F1352" s="298"/>
      <c r="G1352" s="298"/>
      <c r="H1352" s="223"/>
      <c r="I1352" s="298">
        <f>IFERROR(__xludf.DUMMYFUNCTION("""COMPUTED_VALUE"""),150.0)</f>
        <v>150</v>
      </c>
      <c r="J1352" s="223" t="str">
        <f>IFERROR(__xludf.DUMMYFUNCTION("""COMPUTED_VALUE"""),"Monthly")</f>
        <v>Monthly</v>
      </c>
      <c r="K1352" s="317">
        <f>IFERROR(__xludf.DUMMYFUNCTION("""COMPUTED_VALUE"""),2022.02)</f>
        <v>2022.02</v>
      </c>
      <c r="L1352" s="298"/>
      <c r="M1352" s="223"/>
      <c r="N1352" s="223"/>
      <c r="O1352" s="223"/>
      <c r="P1352" s="223"/>
      <c r="Q1352" s="223"/>
      <c r="R1352" s="223"/>
      <c r="S1352" s="223"/>
      <c r="T1352" s="223"/>
      <c r="U1352" s="223"/>
      <c r="V1352" s="223"/>
      <c r="W1352" s="223"/>
      <c r="X1352" s="223"/>
      <c r="Y1352" s="223"/>
      <c r="Z1352" s="223"/>
    </row>
    <row r="1353">
      <c r="A1353" s="223" t="str">
        <f>IFERROR(__xludf.DUMMYFUNCTION("""COMPUTED_VALUE"""),"Argos Products : Monthly Services")</f>
        <v>Argos Products : Monthly Services</v>
      </c>
      <c r="B1353" s="223" t="str">
        <f>IFERROR(__xludf.DUMMYFUNCTION("""COMPUTED_VALUE"""),"Argos Products")</f>
        <v>Argos Products</v>
      </c>
      <c r="C1353" s="223" t="str">
        <f>IFERROR(__xludf.DUMMYFUNCTION("""COMPUTED_VALUE"""),"Monthly Services")</f>
        <v>Monthly Services</v>
      </c>
      <c r="D1353" s="316">
        <f>IFERROR(__xludf.DUMMYFUNCTION("""COMPUTED_VALUE"""),44620.0)</f>
        <v>44620</v>
      </c>
      <c r="E1353" s="298"/>
      <c r="F1353" s="298"/>
      <c r="G1353" s="298"/>
      <c r="H1353" s="223"/>
      <c r="I1353" s="298">
        <f>IFERROR(__xludf.DUMMYFUNCTION("""COMPUTED_VALUE"""),187.5)</f>
        <v>187.5</v>
      </c>
      <c r="J1353" s="223" t="str">
        <f>IFERROR(__xludf.DUMMYFUNCTION("""COMPUTED_VALUE"""),"Monthly")</f>
        <v>Monthly</v>
      </c>
      <c r="K1353" s="317">
        <f>IFERROR(__xludf.DUMMYFUNCTION("""COMPUTED_VALUE"""),2022.02)</f>
        <v>2022.02</v>
      </c>
      <c r="L1353" s="298"/>
      <c r="M1353" s="223"/>
      <c r="N1353" s="223"/>
      <c r="O1353" s="223"/>
      <c r="P1353" s="223"/>
      <c r="Q1353" s="223"/>
      <c r="R1353" s="223"/>
      <c r="S1353" s="223"/>
      <c r="T1353" s="223"/>
      <c r="U1353" s="223"/>
      <c r="V1353" s="223"/>
      <c r="W1353" s="223"/>
      <c r="X1353" s="223"/>
      <c r="Y1353" s="223"/>
      <c r="Z1353" s="223"/>
    </row>
    <row r="1354">
      <c r="A1354" s="223" t="str">
        <f>IFERROR(__xludf.DUMMYFUNCTION("""COMPUTED_VALUE"""),"BookKing (Pacific Tier) : Monthly Services")</f>
        <v>BookKing (Pacific Tier) : Monthly Services</v>
      </c>
      <c r="B1354" s="223" t="str">
        <f>IFERROR(__xludf.DUMMYFUNCTION("""COMPUTED_VALUE"""),"BookKing (Pacific Tier)")</f>
        <v>BookKing (Pacific Tier)</v>
      </c>
      <c r="C1354" s="223" t="str">
        <f>IFERROR(__xludf.DUMMYFUNCTION("""COMPUTED_VALUE"""),"Monthly Services")</f>
        <v>Monthly Services</v>
      </c>
      <c r="D1354" s="316">
        <f>IFERROR(__xludf.DUMMYFUNCTION("""COMPUTED_VALUE"""),44620.0)</f>
        <v>44620</v>
      </c>
      <c r="E1354" s="298"/>
      <c r="F1354" s="298"/>
      <c r="G1354" s="298"/>
      <c r="H1354" s="223"/>
      <c r="I1354" s="298">
        <f>IFERROR(__xludf.DUMMYFUNCTION("""COMPUTED_VALUE"""),75.0)</f>
        <v>75</v>
      </c>
      <c r="J1354" s="223" t="str">
        <f>IFERROR(__xludf.DUMMYFUNCTION("""COMPUTED_VALUE"""),"Monthly")</f>
        <v>Monthly</v>
      </c>
      <c r="K1354" s="317">
        <f>IFERROR(__xludf.DUMMYFUNCTION("""COMPUTED_VALUE"""),2022.02)</f>
        <v>2022.02</v>
      </c>
      <c r="L1354" s="298"/>
      <c r="M1354" s="223"/>
      <c r="N1354" s="223"/>
      <c r="O1354" s="223"/>
      <c r="P1354" s="223"/>
      <c r="Q1354" s="223"/>
      <c r="R1354" s="223"/>
      <c r="S1354" s="223"/>
      <c r="T1354" s="223"/>
      <c r="U1354" s="223"/>
      <c r="V1354" s="223"/>
      <c r="W1354" s="223"/>
      <c r="X1354" s="223"/>
      <c r="Y1354" s="223"/>
      <c r="Z1354" s="223"/>
    </row>
    <row r="1355">
      <c r="A1355" s="223" t="str">
        <f>IFERROR(__xludf.DUMMYFUNCTION("""COMPUTED_VALUE"""),"Spraggs : Monthly Services")</f>
        <v>Spraggs : Monthly Services</v>
      </c>
      <c r="B1355" s="223" t="str">
        <f>IFERROR(__xludf.DUMMYFUNCTION("""COMPUTED_VALUE"""),"Spraggs")</f>
        <v>Spraggs</v>
      </c>
      <c r="C1355" s="223" t="str">
        <f>IFERROR(__xludf.DUMMYFUNCTION("""COMPUTED_VALUE"""),"Monthly Services")</f>
        <v>Monthly Services</v>
      </c>
      <c r="D1355" s="316">
        <f>IFERROR(__xludf.DUMMYFUNCTION("""COMPUTED_VALUE"""),44620.0)</f>
        <v>44620</v>
      </c>
      <c r="E1355" s="298"/>
      <c r="F1355" s="298"/>
      <c r="G1355" s="298"/>
      <c r="H1355" s="223"/>
      <c r="I1355" s="298">
        <f>IFERROR(__xludf.DUMMYFUNCTION("""COMPUTED_VALUE"""),575.0)</f>
        <v>575</v>
      </c>
      <c r="J1355" s="223" t="str">
        <f>IFERROR(__xludf.DUMMYFUNCTION("""COMPUTED_VALUE"""),"Monthly")</f>
        <v>Monthly</v>
      </c>
      <c r="K1355" s="317">
        <f>IFERROR(__xludf.DUMMYFUNCTION("""COMPUTED_VALUE"""),2022.02)</f>
        <v>2022.02</v>
      </c>
      <c r="L1355" s="298"/>
      <c r="M1355" s="223"/>
      <c r="N1355" s="223"/>
      <c r="O1355" s="223"/>
      <c r="P1355" s="223"/>
      <c r="Q1355" s="223"/>
      <c r="R1355" s="223"/>
      <c r="S1355" s="223"/>
      <c r="T1355" s="223"/>
      <c r="U1355" s="223"/>
      <c r="V1355" s="223"/>
      <c r="W1355" s="223"/>
      <c r="X1355" s="223"/>
      <c r="Y1355" s="223"/>
      <c r="Z1355" s="223"/>
    </row>
    <row r="1356">
      <c r="A1356" s="223" t="str">
        <f>IFERROR(__xludf.DUMMYFUNCTION("""COMPUTED_VALUE"""),"MortgagePal : Monthly Services")</f>
        <v>MortgagePal : Monthly Services</v>
      </c>
      <c r="B1356" s="223" t="str">
        <f>IFERROR(__xludf.DUMMYFUNCTION("""COMPUTED_VALUE"""),"MortgagePal")</f>
        <v>MortgagePal</v>
      </c>
      <c r="C1356" s="223" t="str">
        <f>IFERROR(__xludf.DUMMYFUNCTION("""COMPUTED_VALUE"""),"Monthly Services")</f>
        <v>Monthly Services</v>
      </c>
      <c r="D1356" s="316">
        <f>IFERROR(__xludf.DUMMYFUNCTION("""COMPUTED_VALUE"""),44620.0)</f>
        <v>44620</v>
      </c>
      <c r="E1356" s="298"/>
      <c r="F1356" s="298"/>
      <c r="G1356" s="298"/>
      <c r="H1356" s="223"/>
      <c r="I1356" s="298">
        <f>IFERROR(__xludf.DUMMYFUNCTION("""COMPUTED_VALUE"""),45.0)</f>
        <v>45</v>
      </c>
      <c r="J1356" s="223" t="str">
        <f>IFERROR(__xludf.DUMMYFUNCTION("""COMPUTED_VALUE"""),"Monthly")</f>
        <v>Monthly</v>
      </c>
      <c r="K1356" s="317">
        <f>IFERROR(__xludf.DUMMYFUNCTION("""COMPUTED_VALUE"""),2022.02)</f>
        <v>2022.02</v>
      </c>
      <c r="L1356" s="298"/>
      <c r="M1356" s="223"/>
      <c r="N1356" s="223"/>
      <c r="O1356" s="223"/>
      <c r="P1356" s="223"/>
      <c r="Q1356" s="223"/>
      <c r="R1356" s="223"/>
      <c r="S1356" s="223"/>
      <c r="T1356" s="223"/>
      <c r="U1356" s="223"/>
      <c r="V1356" s="223"/>
      <c r="W1356" s="223"/>
      <c r="X1356" s="223"/>
      <c r="Y1356" s="223"/>
      <c r="Z1356" s="223"/>
    </row>
    <row r="1357">
      <c r="A1357" s="223" t="str">
        <f>IFERROR(__xludf.DUMMYFUNCTION("""COMPUTED_VALUE"""),"Olivia Shoppe : Monthly Services")</f>
        <v>Olivia Shoppe : Monthly Services</v>
      </c>
      <c r="B1357" s="223" t="str">
        <f>IFERROR(__xludf.DUMMYFUNCTION("""COMPUTED_VALUE"""),"Olivia Shoppe")</f>
        <v>Olivia Shoppe</v>
      </c>
      <c r="C1357" s="223" t="str">
        <f>IFERROR(__xludf.DUMMYFUNCTION("""COMPUTED_VALUE"""),"Monthly Services")</f>
        <v>Monthly Services</v>
      </c>
      <c r="D1357" s="316">
        <f>IFERROR(__xludf.DUMMYFUNCTION("""COMPUTED_VALUE"""),44620.0)</f>
        <v>44620</v>
      </c>
      <c r="E1357" s="298"/>
      <c r="F1357" s="298"/>
      <c r="G1357" s="298"/>
      <c r="H1357" s="223"/>
      <c r="I1357" s="298">
        <f>IFERROR(__xludf.DUMMYFUNCTION("""COMPUTED_VALUE"""),310.0)</f>
        <v>310</v>
      </c>
      <c r="J1357" s="223" t="str">
        <f>IFERROR(__xludf.DUMMYFUNCTION("""COMPUTED_VALUE"""),"Monthly")</f>
        <v>Monthly</v>
      </c>
      <c r="K1357" s="317">
        <f>IFERROR(__xludf.DUMMYFUNCTION("""COMPUTED_VALUE"""),2022.02)</f>
        <v>2022.02</v>
      </c>
      <c r="L1357" s="298"/>
      <c r="M1357" s="223"/>
      <c r="N1357" s="223"/>
      <c r="O1357" s="223"/>
      <c r="P1357" s="223"/>
      <c r="Q1357" s="223"/>
      <c r="R1357" s="223"/>
      <c r="S1357" s="223"/>
      <c r="T1357" s="223"/>
      <c r="U1357" s="223"/>
      <c r="V1357" s="223"/>
      <c r="W1357" s="223"/>
      <c r="X1357" s="223"/>
      <c r="Y1357" s="223"/>
      <c r="Z1357" s="223"/>
    </row>
    <row r="1358">
      <c r="A1358" s="223" t="str">
        <f>IFERROR(__xludf.DUMMYFUNCTION("""COMPUTED_VALUE"""),"Tires Easy : Monthly Services for Tires-Easy.com")</f>
        <v>Tires Easy : Monthly Services for Tires-Easy.com</v>
      </c>
      <c r="B1358" s="223" t="str">
        <f>IFERROR(__xludf.DUMMYFUNCTION("""COMPUTED_VALUE"""),"Tires Easy")</f>
        <v>Tires Easy</v>
      </c>
      <c r="C1358" s="223" t="str">
        <f>IFERROR(__xludf.DUMMYFUNCTION("""COMPUTED_VALUE"""),"Monthly Services for Tires-Easy.com")</f>
        <v>Monthly Services for Tires-Easy.com</v>
      </c>
      <c r="D1358" s="316">
        <f>IFERROR(__xludf.DUMMYFUNCTION("""COMPUTED_VALUE"""),44620.0)</f>
        <v>44620</v>
      </c>
      <c r="E1358" s="298"/>
      <c r="F1358" s="298"/>
      <c r="G1358" s="298"/>
      <c r="H1358" s="223"/>
      <c r="I1358" s="298">
        <f>IFERROR(__xludf.DUMMYFUNCTION("""COMPUTED_VALUE"""),180.0)</f>
        <v>180</v>
      </c>
      <c r="J1358" s="223" t="str">
        <f>IFERROR(__xludf.DUMMYFUNCTION("""COMPUTED_VALUE"""),"Monthly")</f>
        <v>Monthly</v>
      </c>
      <c r="K1358" s="317">
        <f>IFERROR(__xludf.DUMMYFUNCTION("""COMPUTED_VALUE"""),2022.02)</f>
        <v>2022.02</v>
      </c>
      <c r="L1358" s="298"/>
      <c r="M1358" s="223"/>
      <c r="N1358" s="223"/>
      <c r="O1358" s="223"/>
      <c r="P1358" s="223"/>
      <c r="Q1358" s="223"/>
      <c r="R1358" s="223"/>
      <c r="S1358" s="223"/>
      <c r="T1358" s="223"/>
      <c r="U1358" s="223"/>
      <c r="V1358" s="223"/>
      <c r="W1358" s="223"/>
      <c r="X1358" s="223"/>
      <c r="Y1358" s="223"/>
      <c r="Z1358" s="223"/>
    </row>
    <row r="1359">
      <c r="A1359" s="223" t="str">
        <f>IFERROR(__xludf.DUMMYFUNCTION("""COMPUTED_VALUE"""),"Giga Tires : Monthly Services")</f>
        <v>Giga Tires : Monthly Services</v>
      </c>
      <c r="B1359" s="223" t="str">
        <f>IFERROR(__xludf.DUMMYFUNCTION("""COMPUTED_VALUE"""),"Giga Tires")</f>
        <v>Giga Tires</v>
      </c>
      <c r="C1359" s="223" t="str">
        <f>IFERROR(__xludf.DUMMYFUNCTION("""COMPUTED_VALUE"""),"Monthly Services")</f>
        <v>Monthly Services</v>
      </c>
      <c r="D1359" s="316">
        <f>IFERROR(__xludf.DUMMYFUNCTION("""COMPUTED_VALUE"""),44620.0)</f>
        <v>44620</v>
      </c>
      <c r="E1359" s="298"/>
      <c r="F1359" s="298"/>
      <c r="G1359" s="298"/>
      <c r="H1359" s="223"/>
      <c r="I1359" s="298">
        <f>IFERROR(__xludf.DUMMYFUNCTION("""COMPUTED_VALUE"""),180.0)</f>
        <v>180</v>
      </c>
      <c r="J1359" s="223" t="str">
        <f>IFERROR(__xludf.DUMMYFUNCTION("""COMPUTED_VALUE"""),"Monthly")</f>
        <v>Monthly</v>
      </c>
      <c r="K1359" s="317">
        <f>IFERROR(__xludf.DUMMYFUNCTION("""COMPUTED_VALUE"""),2022.02)</f>
        <v>2022.02</v>
      </c>
      <c r="L1359" s="298"/>
      <c r="M1359" s="223"/>
      <c r="N1359" s="223"/>
      <c r="O1359" s="223"/>
      <c r="P1359" s="223"/>
      <c r="Q1359" s="223"/>
      <c r="R1359" s="223"/>
      <c r="S1359" s="223"/>
      <c r="T1359" s="223"/>
      <c r="U1359" s="223"/>
      <c r="V1359" s="223"/>
      <c r="W1359" s="223"/>
      <c r="X1359" s="223"/>
      <c r="Y1359" s="223"/>
      <c r="Z1359" s="223"/>
    </row>
    <row r="1360">
      <c r="A1360" s="223" t="str">
        <f>IFERROR(__xludf.DUMMYFUNCTION("""COMPUTED_VALUE"""),"Service First : Monthly Services")</f>
        <v>Service First : Monthly Services</v>
      </c>
      <c r="B1360" s="223" t="str">
        <f>IFERROR(__xludf.DUMMYFUNCTION("""COMPUTED_VALUE"""),"Service First")</f>
        <v>Service First</v>
      </c>
      <c r="C1360" s="223" t="str">
        <f>IFERROR(__xludf.DUMMYFUNCTION("""COMPUTED_VALUE"""),"Monthly Services")</f>
        <v>Monthly Services</v>
      </c>
      <c r="D1360" s="316">
        <f>IFERROR(__xludf.DUMMYFUNCTION("""COMPUTED_VALUE"""),44620.0)</f>
        <v>44620</v>
      </c>
      <c r="E1360" s="298"/>
      <c r="F1360" s="298"/>
      <c r="G1360" s="298"/>
      <c r="H1360" s="223"/>
      <c r="I1360" s="298">
        <f>IFERROR(__xludf.DUMMYFUNCTION("""COMPUTED_VALUE"""),30.0)</f>
        <v>30</v>
      </c>
      <c r="J1360" s="223" t="str">
        <f>IFERROR(__xludf.DUMMYFUNCTION("""COMPUTED_VALUE"""),"Monthly")</f>
        <v>Monthly</v>
      </c>
      <c r="K1360" s="317">
        <f>IFERROR(__xludf.DUMMYFUNCTION("""COMPUTED_VALUE"""),2022.02)</f>
        <v>2022.02</v>
      </c>
      <c r="L1360" s="298"/>
      <c r="M1360" s="223"/>
      <c r="N1360" s="223"/>
      <c r="O1360" s="223"/>
      <c r="P1360" s="223"/>
      <c r="Q1360" s="223"/>
      <c r="R1360" s="223"/>
      <c r="S1360" s="223"/>
      <c r="T1360" s="223"/>
      <c r="U1360" s="223"/>
      <c r="V1360" s="223"/>
      <c r="W1360" s="223"/>
      <c r="X1360" s="223"/>
      <c r="Y1360" s="223"/>
      <c r="Z1360" s="223"/>
    </row>
    <row r="1361">
      <c r="A1361" s="223" t="str">
        <f>IFERROR(__xludf.DUMMYFUNCTION("""COMPUTED_VALUE"""),"HSJ Lawyers : Monthly Services")</f>
        <v>HSJ Lawyers : Monthly Services</v>
      </c>
      <c r="B1361" s="223" t="str">
        <f>IFERROR(__xludf.DUMMYFUNCTION("""COMPUTED_VALUE"""),"HSJ Lawyers")</f>
        <v>HSJ Lawyers</v>
      </c>
      <c r="C1361" s="223" t="str">
        <f>IFERROR(__xludf.DUMMYFUNCTION("""COMPUTED_VALUE"""),"Monthly Services")</f>
        <v>Monthly Services</v>
      </c>
      <c r="D1361" s="316">
        <f>IFERROR(__xludf.DUMMYFUNCTION("""COMPUTED_VALUE"""),44620.0)</f>
        <v>44620</v>
      </c>
      <c r="E1361" s="298"/>
      <c r="F1361" s="298"/>
      <c r="G1361" s="298"/>
      <c r="H1361" s="223"/>
      <c r="I1361" s="298">
        <f>IFERROR(__xludf.DUMMYFUNCTION("""COMPUTED_VALUE"""),300.0)</f>
        <v>300</v>
      </c>
      <c r="J1361" s="223" t="str">
        <f>IFERROR(__xludf.DUMMYFUNCTION("""COMPUTED_VALUE"""),"Monthly")</f>
        <v>Monthly</v>
      </c>
      <c r="K1361" s="317">
        <f>IFERROR(__xludf.DUMMYFUNCTION("""COMPUTED_VALUE"""),2022.02)</f>
        <v>2022.02</v>
      </c>
      <c r="L1361" s="298"/>
      <c r="M1361" s="223"/>
      <c r="N1361" s="223"/>
      <c r="O1361" s="223"/>
      <c r="P1361" s="223"/>
      <c r="Q1361" s="223"/>
      <c r="R1361" s="223"/>
      <c r="S1361" s="223"/>
      <c r="T1361" s="223"/>
      <c r="U1361" s="223"/>
      <c r="V1361" s="223"/>
      <c r="W1361" s="223"/>
      <c r="X1361" s="223"/>
      <c r="Y1361" s="223"/>
      <c r="Z1361" s="223"/>
    </row>
    <row r="1362">
      <c r="A1362" s="223" t="str">
        <f>IFERROR(__xludf.DUMMYFUNCTION("""COMPUTED_VALUE"""),"Booginhead : Monthly Services")</f>
        <v>Booginhead : Monthly Services</v>
      </c>
      <c r="B1362" s="223" t="str">
        <f>IFERROR(__xludf.DUMMYFUNCTION("""COMPUTED_VALUE"""),"Booginhead")</f>
        <v>Booginhead</v>
      </c>
      <c r="C1362" s="223" t="str">
        <f>IFERROR(__xludf.DUMMYFUNCTION("""COMPUTED_VALUE"""),"Monthly Services")</f>
        <v>Monthly Services</v>
      </c>
      <c r="D1362" s="316">
        <f>IFERROR(__xludf.DUMMYFUNCTION("""COMPUTED_VALUE"""),44620.0)</f>
        <v>44620</v>
      </c>
      <c r="E1362" s="298"/>
      <c r="F1362" s="298"/>
      <c r="G1362" s="298"/>
      <c r="H1362" s="223"/>
      <c r="I1362" s="298">
        <f>IFERROR(__xludf.DUMMYFUNCTION("""COMPUTED_VALUE"""),457.5)</f>
        <v>457.5</v>
      </c>
      <c r="J1362" s="223" t="str">
        <f>IFERROR(__xludf.DUMMYFUNCTION("""COMPUTED_VALUE"""),"Monthly")</f>
        <v>Monthly</v>
      </c>
      <c r="K1362" s="317">
        <f>IFERROR(__xludf.DUMMYFUNCTION("""COMPUTED_VALUE"""),2022.02)</f>
        <v>2022.02</v>
      </c>
      <c r="L1362" s="298"/>
      <c r="M1362" s="223"/>
      <c r="N1362" s="223"/>
      <c r="O1362" s="223"/>
      <c r="P1362" s="223"/>
      <c r="Q1362" s="223"/>
      <c r="R1362" s="223"/>
      <c r="S1362" s="223"/>
      <c r="T1362" s="223"/>
      <c r="U1362" s="223"/>
      <c r="V1362" s="223"/>
      <c r="W1362" s="223"/>
      <c r="X1362" s="223"/>
      <c r="Y1362" s="223"/>
      <c r="Z1362" s="223"/>
    </row>
    <row r="1363">
      <c r="A1363" s="223" t="str">
        <f>IFERROR(__xludf.DUMMYFUNCTION("""COMPUTED_VALUE"""),"Arazy Group : Monthly Services")</f>
        <v>Arazy Group : Monthly Services</v>
      </c>
      <c r="B1363" s="223" t="str">
        <f>IFERROR(__xludf.DUMMYFUNCTION("""COMPUTED_VALUE"""),"Arazy Group")</f>
        <v>Arazy Group</v>
      </c>
      <c r="C1363" s="223" t="str">
        <f>IFERROR(__xludf.DUMMYFUNCTION("""COMPUTED_VALUE"""),"Monthly Services")</f>
        <v>Monthly Services</v>
      </c>
      <c r="D1363" s="316">
        <f>IFERROR(__xludf.DUMMYFUNCTION("""COMPUTED_VALUE"""),44620.0)</f>
        <v>44620</v>
      </c>
      <c r="E1363" s="298"/>
      <c r="F1363" s="298"/>
      <c r="G1363" s="298"/>
      <c r="H1363" s="223"/>
      <c r="I1363" s="298">
        <f>IFERROR(__xludf.DUMMYFUNCTION("""COMPUTED_VALUE"""),297.5)</f>
        <v>297.5</v>
      </c>
      <c r="J1363" s="223" t="str">
        <f>IFERROR(__xludf.DUMMYFUNCTION("""COMPUTED_VALUE"""),"Monthly")</f>
        <v>Monthly</v>
      </c>
      <c r="K1363" s="317">
        <f>IFERROR(__xludf.DUMMYFUNCTION("""COMPUTED_VALUE"""),2022.02)</f>
        <v>2022.02</v>
      </c>
      <c r="L1363" s="298"/>
      <c r="M1363" s="223"/>
      <c r="N1363" s="223"/>
      <c r="O1363" s="223"/>
      <c r="P1363" s="223"/>
      <c r="Q1363" s="223"/>
      <c r="R1363" s="223"/>
      <c r="S1363" s="223"/>
      <c r="T1363" s="223"/>
      <c r="U1363" s="223"/>
      <c r="V1363" s="223"/>
      <c r="W1363" s="223"/>
      <c r="X1363" s="223"/>
      <c r="Y1363" s="223"/>
      <c r="Z1363" s="223"/>
    </row>
    <row r="1364">
      <c r="A1364" s="223" t="str">
        <f>IFERROR(__xludf.DUMMYFUNCTION("""COMPUTED_VALUE"""),"Hastings House : Monthly Services")</f>
        <v>Hastings House : Monthly Services</v>
      </c>
      <c r="B1364" s="223" t="str">
        <f>IFERROR(__xludf.DUMMYFUNCTION("""COMPUTED_VALUE"""),"Hastings House")</f>
        <v>Hastings House</v>
      </c>
      <c r="C1364" s="223" t="str">
        <f>IFERROR(__xludf.DUMMYFUNCTION("""COMPUTED_VALUE"""),"Monthly Services")</f>
        <v>Monthly Services</v>
      </c>
      <c r="D1364" s="316">
        <f>IFERROR(__xludf.DUMMYFUNCTION("""COMPUTED_VALUE"""),44620.0)</f>
        <v>44620</v>
      </c>
      <c r="E1364" s="298"/>
      <c r="F1364" s="298"/>
      <c r="G1364" s="298"/>
      <c r="H1364" s="223"/>
      <c r="I1364" s="298">
        <f>IFERROR(__xludf.DUMMYFUNCTION("""COMPUTED_VALUE"""),322.5)</f>
        <v>322.5</v>
      </c>
      <c r="J1364" s="223" t="str">
        <f>IFERROR(__xludf.DUMMYFUNCTION("""COMPUTED_VALUE"""),"Monthly")</f>
        <v>Monthly</v>
      </c>
      <c r="K1364" s="317">
        <f>IFERROR(__xludf.DUMMYFUNCTION("""COMPUTED_VALUE"""),2022.02)</f>
        <v>2022.02</v>
      </c>
      <c r="L1364" s="298"/>
      <c r="M1364" s="223"/>
      <c r="N1364" s="223"/>
      <c r="O1364" s="223"/>
      <c r="P1364" s="223"/>
      <c r="Q1364" s="223"/>
      <c r="R1364" s="223"/>
      <c r="S1364" s="223"/>
      <c r="T1364" s="223"/>
      <c r="U1364" s="223"/>
      <c r="V1364" s="223"/>
      <c r="W1364" s="223"/>
      <c r="X1364" s="223"/>
      <c r="Y1364" s="223"/>
      <c r="Z1364" s="223"/>
    </row>
    <row r="1365">
      <c r="A1365" s="223" t="str">
        <f>IFERROR(__xludf.DUMMYFUNCTION("""COMPUTED_VALUE"""),"Bratopia : Monthly Services")</f>
        <v>Bratopia : Monthly Services</v>
      </c>
      <c r="B1365" s="223" t="str">
        <f>IFERROR(__xludf.DUMMYFUNCTION("""COMPUTED_VALUE"""),"Bratopia")</f>
        <v>Bratopia</v>
      </c>
      <c r="C1365" s="223" t="str">
        <f>IFERROR(__xludf.DUMMYFUNCTION("""COMPUTED_VALUE"""),"Monthly Services")</f>
        <v>Monthly Services</v>
      </c>
      <c r="D1365" s="316">
        <f>IFERROR(__xludf.DUMMYFUNCTION("""COMPUTED_VALUE"""),44620.0)</f>
        <v>44620</v>
      </c>
      <c r="E1365" s="298"/>
      <c r="F1365" s="298"/>
      <c r="G1365" s="298"/>
      <c r="H1365" s="223"/>
      <c r="I1365" s="298">
        <f>IFERROR(__xludf.DUMMYFUNCTION("""COMPUTED_VALUE"""),400.0)</f>
        <v>400</v>
      </c>
      <c r="J1365" s="223" t="str">
        <f>IFERROR(__xludf.DUMMYFUNCTION("""COMPUTED_VALUE"""),"Monthly")</f>
        <v>Monthly</v>
      </c>
      <c r="K1365" s="317">
        <f>IFERROR(__xludf.DUMMYFUNCTION("""COMPUTED_VALUE"""),2022.02)</f>
        <v>2022.02</v>
      </c>
      <c r="L1365" s="298"/>
      <c r="M1365" s="223"/>
      <c r="N1365" s="223"/>
      <c r="O1365" s="223"/>
      <c r="P1365" s="223"/>
      <c r="Q1365" s="223"/>
      <c r="R1365" s="223"/>
      <c r="S1365" s="223"/>
      <c r="T1365" s="223"/>
      <c r="U1365" s="223"/>
      <c r="V1365" s="223"/>
      <c r="W1365" s="223"/>
      <c r="X1365" s="223"/>
      <c r="Y1365" s="223"/>
      <c r="Z1365" s="223"/>
    </row>
    <row r="1366">
      <c r="A1366" s="223" t="str">
        <f>IFERROR(__xludf.DUMMYFUNCTION("""COMPUTED_VALUE"""),"TisBest : Monthly Services")</f>
        <v>TisBest : Monthly Services</v>
      </c>
      <c r="B1366" s="223" t="str">
        <f>IFERROR(__xludf.DUMMYFUNCTION("""COMPUTED_VALUE"""),"TisBest")</f>
        <v>TisBest</v>
      </c>
      <c r="C1366" s="223" t="str">
        <f>IFERROR(__xludf.DUMMYFUNCTION("""COMPUTED_VALUE"""),"Monthly Services")</f>
        <v>Monthly Services</v>
      </c>
      <c r="D1366" s="316">
        <f>IFERROR(__xludf.DUMMYFUNCTION("""COMPUTED_VALUE"""),44620.0)</f>
        <v>44620</v>
      </c>
      <c r="E1366" s="298"/>
      <c r="F1366" s="298"/>
      <c r="G1366" s="298"/>
      <c r="H1366" s="223"/>
      <c r="I1366" s="298">
        <f>IFERROR(__xludf.DUMMYFUNCTION("""COMPUTED_VALUE"""),587.5)</f>
        <v>587.5</v>
      </c>
      <c r="J1366" s="223" t="str">
        <f>IFERROR(__xludf.DUMMYFUNCTION("""COMPUTED_VALUE"""),"Monthly")</f>
        <v>Monthly</v>
      </c>
      <c r="K1366" s="317">
        <f>IFERROR(__xludf.DUMMYFUNCTION("""COMPUTED_VALUE"""),2022.02)</f>
        <v>2022.02</v>
      </c>
      <c r="L1366" s="298"/>
      <c r="M1366" s="223"/>
      <c r="N1366" s="223"/>
      <c r="O1366" s="223"/>
      <c r="P1366" s="223"/>
      <c r="Q1366" s="223"/>
      <c r="R1366" s="223"/>
      <c r="S1366" s="223"/>
      <c r="T1366" s="223"/>
      <c r="U1366" s="223"/>
      <c r="V1366" s="223"/>
      <c r="W1366" s="223"/>
      <c r="X1366" s="223"/>
      <c r="Y1366" s="223"/>
      <c r="Z1366" s="223"/>
    </row>
    <row r="1367">
      <c r="A1367" s="223" t="str">
        <f>IFERROR(__xludf.DUMMYFUNCTION("""COMPUTED_VALUE"""),"Wallack's Art Supplies : Monthly Services")</f>
        <v>Wallack's Art Supplies : Monthly Services</v>
      </c>
      <c r="B1367" s="223" t="str">
        <f>IFERROR(__xludf.DUMMYFUNCTION("""COMPUTED_VALUE"""),"Wallack's Art Supplies")</f>
        <v>Wallack's Art Supplies</v>
      </c>
      <c r="C1367" s="223" t="str">
        <f>IFERROR(__xludf.DUMMYFUNCTION("""COMPUTED_VALUE"""),"Monthly Services")</f>
        <v>Monthly Services</v>
      </c>
      <c r="D1367" s="316">
        <f>IFERROR(__xludf.DUMMYFUNCTION("""COMPUTED_VALUE"""),44620.0)</f>
        <v>44620</v>
      </c>
      <c r="E1367" s="298"/>
      <c r="F1367" s="298"/>
      <c r="G1367" s="298"/>
      <c r="H1367" s="223"/>
      <c r="I1367" s="298">
        <f>IFERROR(__xludf.DUMMYFUNCTION("""COMPUTED_VALUE"""),60.0)</f>
        <v>60</v>
      </c>
      <c r="J1367" s="223" t="str">
        <f>IFERROR(__xludf.DUMMYFUNCTION("""COMPUTED_VALUE"""),"Monthly")</f>
        <v>Monthly</v>
      </c>
      <c r="K1367" s="317">
        <f>IFERROR(__xludf.DUMMYFUNCTION("""COMPUTED_VALUE"""),2022.02)</f>
        <v>2022.02</v>
      </c>
      <c r="L1367" s="298"/>
      <c r="M1367" s="223"/>
      <c r="N1367" s="223"/>
      <c r="O1367" s="223"/>
      <c r="P1367" s="223"/>
      <c r="Q1367" s="223"/>
      <c r="R1367" s="223"/>
      <c r="S1367" s="223"/>
      <c r="T1367" s="223"/>
      <c r="U1367" s="223"/>
      <c r="V1367" s="223"/>
      <c r="W1367" s="223"/>
      <c r="X1367" s="223"/>
      <c r="Y1367" s="223"/>
      <c r="Z1367" s="223"/>
    </row>
    <row r="1368">
      <c r="A1368" s="223" t="str">
        <f>IFERROR(__xludf.DUMMYFUNCTION("""COMPUTED_VALUE"""),"PMDI : Monthly Services")</f>
        <v>PMDI : Monthly Services</v>
      </c>
      <c r="B1368" s="223" t="str">
        <f>IFERROR(__xludf.DUMMYFUNCTION("""COMPUTED_VALUE"""),"PMDI")</f>
        <v>PMDI</v>
      </c>
      <c r="C1368" s="223" t="str">
        <f>IFERROR(__xludf.DUMMYFUNCTION("""COMPUTED_VALUE"""),"Monthly Services")</f>
        <v>Monthly Services</v>
      </c>
      <c r="D1368" s="316">
        <f>IFERROR(__xludf.DUMMYFUNCTION("""COMPUTED_VALUE"""),44620.0)</f>
        <v>44620</v>
      </c>
      <c r="E1368" s="298"/>
      <c r="F1368" s="298"/>
      <c r="G1368" s="298"/>
      <c r="H1368" s="223"/>
      <c r="I1368" s="298">
        <f>IFERROR(__xludf.DUMMYFUNCTION("""COMPUTED_VALUE"""),167.5)</f>
        <v>167.5</v>
      </c>
      <c r="J1368" s="223" t="str">
        <f>IFERROR(__xludf.DUMMYFUNCTION("""COMPUTED_VALUE"""),"Monthly")</f>
        <v>Monthly</v>
      </c>
      <c r="K1368" s="317">
        <f>IFERROR(__xludf.DUMMYFUNCTION("""COMPUTED_VALUE"""),2022.02)</f>
        <v>2022.02</v>
      </c>
      <c r="L1368" s="298"/>
      <c r="M1368" s="223"/>
      <c r="N1368" s="223"/>
      <c r="O1368" s="223"/>
      <c r="P1368" s="223"/>
      <c r="Q1368" s="223"/>
      <c r="R1368" s="223"/>
      <c r="S1368" s="223"/>
      <c r="T1368" s="223"/>
      <c r="U1368" s="223"/>
      <c r="V1368" s="223"/>
      <c r="W1368" s="223"/>
      <c r="X1368" s="223"/>
      <c r="Y1368" s="223"/>
      <c r="Z1368" s="223"/>
    </row>
    <row r="1369">
      <c r="A1369" s="223" t="str">
        <f>IFERROR(__xludf.DUMMYFUNCTION("""COMPUTED_VALUE"""),"Tofino Resort + Marina : Monthly Services")</f>
        <v>Tofino Resort + Marina : Monthly Services</v>
      </c>
      <c r="B1369" s="223" t="str">
        <f>IFERROR(__xludf.DUMMYFUNCTION("""COMPUTED_VALUE"""),"Tofino Resort + Marina")</f>
        <v>Tofino Resort + Marina</v>
      </c>
      <c r="C1369" s="223" t="str">
        <f>IFERROR(__xludf.DUMMYFUNCTION("""COMPUTED_VALUE"""),"Monthly Services")</f>
        <v>Monthly Services</v>
      </c>
      <c r="D1369" s="316">
        <f>IFERROR(__xludf.DUMMYFUNCTION("""COMPUTED_VALUE"""),44620.0)</f>
        <v>44620</v>
      </c>
      <c r="E1369" s="298"/>
      <c r="F1369" s="298"/>
      <c r="G1369" s="298"/>
      <c r="H1369" s="223"/>
      <c r="I1369" s="298">
        <f>IFERROR(__xludf.DUMMYFUNCTION("""COMPUTED_VALUE"""),300.0)</f>
        <v>300</v>
      </c>
      <c r="J1369" s="223" t="str">
        <f>IFERROR(__xludf.DUMMYFUNCTION("""COMPUTED_VALUE"""),"Monthly")</f>
        <v>Monthly</v>
      </c>
      <c r="K1369" s="317">
        <f>IFERROR(__xludf.DUMMYFUNCTION("""COMPUTED_VALUE"""),2022.02)</f>
        <v>2022.02</v>
      </c>
      <c r="L1369" s="298"/>
      <c r="M1369" s="223"/>
      <c r="N1369" s="223"/>
      <c r="O1369" s="223"/>
      <c r="P1369" s="223"/>
      <c r="Q1369" s="223"/>
      <c r="R1369" s="223"/>
      <c r="S1369" s="223"/>
      <c r="T1369" s="223"/>
      <c r="U1369" s="223"/>
      <c r="V1369" s="223"/>
      <c r="W1369" s="223"/>
      <c r="X1369" s="223"/>
      <c r="Y1369" s="223"/>
      <c r="Z1369" s="223"/>
    </row>
    <row r="1370">
      <c r="A1370" s="223" t="str">
        <f>IFERROR(__xludf.DUMMYFUNCTION("""COMPUTED_VALUE"""),"Anook Athletics : Monthly Services")</f>
        <v>Anook Athletics : Monthly Services</v>
      </c>
      <c r="B1370" s="223" t="str">
        <f>IFERROR(__xludf.DUMMYFUNCTION("""COMPUTED_VALUE"""),"Anook Athletics")</f>
        <v>Anook Athletics</v>
      </c>
      <c r="C1370" s="223" t="str">
        <f>IFERROR(__xludf.DUMMYFUNCTION("""COMPUTED_VALUE"""),"Monthly Services")</f>
        <v>Monthly Services</v>
      </c>
      <c r="D1370" s="316">
        <f>IFERROR(__xludf.DUMMYFUNCTION("""COMPUTED_VALUE"""),44620.0)</f>
        <v>44620</v>
      </c>
      <c r="E1370" s="298"/>
      <c r="F1370" s="298"/>
      <c r="G1370" s="298"/>
      <c r="H1370" s="223"/>
      <c r="I1370" s="298">
        <f>IFERROR(__xludf.DUMMYFUNCTION("""COMPUTED_VALUE"""),225.0)</f>
        <v>225</v>
      </c>
      <c r="J1370" s="223" t="str">
        <f>IFERROR(__xludf.DUMMYFUNCTION("""COMPUTED_VALUE"""),"Monthly")</f>
        <v>Monthly</v>
      </c>
      <c r="K1370" s="317">
        <f>IFERROR(__xludf.DUMMYFUNCTION("""COMPUTED_VALUE"""),2022.02)</f>
        <v>2022.02</v>
      </c>
      <c r="L1370" s="298"/>
      <c r="M1370" s="223"/>
      <c r="N1370" s="223"/>
      <c r="O1370" s="223"/>
      <c r="P1370" s="223"/>
      <c r="Q1370" s="223"/>
      <c r="R1370" s="223"/>
      <c r="S1370" s="223"/>
      <c r="T1370" s="223"/>
      <c r="U1370" s="223"/>
      <c r="V1370" s="223"/>
      <c r="W1370" s="223"/>
      <c r="X1370" s="223"/>
      <c r="Y1370" s="223"/>
      <c r="Z1370" s="223"/>
    </row>
    <row r="1371">
      <c r="A1371" s="223" t="str">
        <f>IFERROR(__xludf.DUMMYFUNCTION("""COMPUTED_VALUE"""),"New Growth Ecommerce Inc : Monthly Services")</f>
        <v>New Growth Ecommerce Inc : Monthly Services</v>
      </c>
      <c r="B1371" s="223" t="str">
        <f>IFERROR(__xludf.DUMMYFUNCTION("""COMPUTED_VALUE"""),"New Growth Ecommerce Inc")</f>
        <v>New Growth Ecommerce Inc</v>
      </c>
      <c r="C1371" s="223" t="str">
        <f>IFERROR(__xludf.DUMMYFUNCTION("""COMPUTED_VALUE"""),"Monthly Services")</f>
        <v>Monthly Services</v>
      </c>
      <c r="D1371" s="316">
        <f>IFERROR(__xludf.DUMMYFUNCTION("""COMPUTED_VALUE"""),44620.0)</f>
        <v>44620</v>
      </c>
      <c r="E1371" s="298"/>
      <c r="F1371" s="298"/>
      <c r="G1371" s="298"/>
      <c r="H1371" s="223"/>
      <c r="I1371" s="298">
        <f>IFERROR(__xludf.DUMMYFUNCTION("""COMPUTED_VALUE"""),1860.0)</f>
        <v>1860</v>
      </c>
      <c r="J1371" s="223" t="str">
        <f>IFERROR(__xludf.DUMMYFUNCTION("""COMPUTED_VALUE"""),"Monthly")</f>
        <v>Monthly</v>
      </c>
      <c r="K1371" s="317">
        <f>IFERROR(__xludf.DUMMYFUNCTION("""COMPUTED_VALUE"""),2022.02)</f>
        <v>2022.02</v>
      </c>
      <c r="L1371" s="298"/>
      <c r="M1371" s="223"/>
      <c r="N1371" s="223"/>
      <c r="O1371" s="223"/>
      <c r="P1371" s="223"/>
      <c r="Q1371" s="223"/>
      <c r="R1371" s="223"/>
      <c r="S1371" s="223"/>
      <c r="T1371" s="223"/>
      <c r="U1371" s="223"/>
      <c r="V1371" s="223"/>
      <c r="W1371" s="223"/>
      <c r="X1371" s="223"/>
      <c r="Y1371" s="223"/>
      <c r="Z1371" s="223"/>
    </row>
    <row r="1372">
      <c r="A1372" s="223" t="str">
        <f>IFERROR(__xludf.DUMMYFUNCTION("""COMPUTED_VALUE"""),"Argos Products : Monthly Services")</f>
        <v>Argos Products : Monthly Services</v>
      </c>
      <c r="B1372" s="223" t="str">
        <f>IFERROR(__xludf.DUMMYFUNCTION("""COMPUTED_VALUE"""),"Argos Products")</f>
        <v>Argos Products</v>
      </c>
      <c r="C1372" s="223" t="str">
        <f>IFERROR(__xludf.DUMMYFUNCTION("""COMPUTED_VALUE"""),"Monthly Services")</f>
        <v>Monthly Services</v>
      </c>
      <c r="D1372" s="316">
        <f>IFERROR(__xludf.DUMMYFUNCTION("""COMPUTED_VALUE"""),44620.0)</f>
        <v>44620</v>
      </c>
      <c r="E1372" s="298"/>
      <c r="F1372" s="298"/>
      <c r="G1372" s="298"/>
      <c r="H1372" s="223"/>
      <c r="I1372" s="298">
        <f>IFERROR(__xludf.DUMMYFUNCTION("""COMPUTED_VALUE"""),145.0)</f>
        <v>145</v>
      </c>
      <c r="J1372" s="223" t="str">
        <f>IFERROR(__xludf.DUMMYFUNCTION("""COMPUTED_VALUE"""),"Monthly")</f>
        <v>Monthly</v>
      </c>
      <c r="K1372" s="317">
        <f>IFERROR(__xludf.DUMMYFUNCTION("""COMPUTED_VALUE"""),2022.02)</f>
        <v>2022.02</v>
      </c>
      <c r="L1372" s="298"/>
      <c r="M1372" s="223"/>
      <c r="N1372" s="223"/>
      <c r="O1372" s="223"/>
      <c r="P1372" s="223"/>
      <c r="Q1372" s="223"/>
      <c r="R1372" s="223"/>
      <c r="S1372" s="223"/>
      <c r="T1372" s="223"/>
      <c r="U1372" s="223"/>
      <c r="V1372" s="223"/>
      <c r="W1372" s="223"/>
      <c r="X1372" s="223"/>
      <c r="Y1372" s="223"/>
      <c r="Z1372" s="223"/>
    </row>
    <row r="1373">
      <c r="A1373" s="223" t="str">
        <f>IFERROR(__xludf.DUMMYFUNCTION("""COMPUTED_VALUE"""),"C360 : Victory360")</f>
        <v>C360 : Victory360</v>
      </c>
      <c r="B1373" s="223" t="str">
        <f>IFERROR(__xludf.DUMMYFUNCTION("""COMPUTED_VALUE"""),"C360")</f>
        <v>C360</v>
      </c>
      <c r="C1373" s="223" t="str">
        <f>IFERROR(__xludf.DUMMYFUNCTION("""COMPUTED_VALUE"""),"Victory360")</f>
        <v>Victory360</v>
      </c>
      <c r="D1373" s="316">
        <f>IFERROR(__xludf.DUMMYFUNCTION("""COMPUTED_VALUE"""),44620.0)</f>
        <v>44620</v>
      </c>
      <c r="E1373" s="298"/>
      <c r="F1373" s="298"/>
      <c r="G1373" s="298"/>
      <c r="H1373" s="223"/>
      <c r="I1373" s="298">
        <f>IFERROR(__xludf.DUMMYFUNCTION("""COMPUTED_VALUE"""),500.0)</f>
        <v>500</v>
      </c>
      <c r="J1373" s="223" t="str">
        <f>IFERROR(__xludf.DUMMYFUNCTION("""COMPUTED_VALUE"""),"Monthly")</f>
        <v>Monthly</v>
      </c>
      <c r="K1373" s="317">
        <f>IFERROR(__xludf.DUMMYFUNCTION("""COMPUTED_VALUE"""),2022.02)</f>
        <v>2022.02</v>
      </c>
      <c r="L1373" s="298"/>
      <c r="M1373" s="223"/>
      <c r="N1373" s="223"/>
      <c r="O1373" s="223"/>
      <c r="P1373" s="223"/>
      <c r="Q1373" s="223"/>
      <c r="R1373" s="223"/>
      <c r="S1373" s="223"/>
      <c r="T1373" s="223"/>
      <c r="U1373" s="223"/>
      <c r="V1373" s="223"/>
      <c r="W1373" s="223"/>
      <c r="X1373" s="223"/>
      <c r="Y1373" s="223"/>
      <c r="Z1373" s="223"/>
    </row>
    <row r="1374">
      <c r="A1374" s="223" t="str">
        <f>IFERROR(__xludf.DUMMYFUNCTION("""COMPUTED_VALUE"""),"Viridian : Monthly Services")</f>
        <v>Viridian : Monthly Services</v>
      </c>
      <c r="B1374" s="223" t="str">
        <f>IFERROR(__xludf.DUMMYFUNCTION("""COMPUTED_VALUE"""),"Viridian")</f>
        <v>Viridian</v>
      </c>
      <c r="C1374" s="223" t="str">
        <f>IFERROR(__xludf.DUMMYFUNCTION("""COMPUTED_VALUE"""),"Monthly Services")</f>
        <v>Monthly Services</v>
      </c>
      <c r="D1374" s="316">
        <f>IFERROR(__xludf.DUMMYFUNCTION("""COMPUTED_VALUE"""),44620.0)</f>
        <v>44620</v>
      </c>
      <c r="E1374" s="298"/>
      <c r="F1374" s="298"/>
      <c r="G1374" s="298"/>
      <c r="H1374" s="223"/>
      <c r="I1374" s="298">
        <f>IFERROR(__xludf.DUMMYFUNCTION("""COMPUTED_VALUE"""),60.0)</f>
        <v>60</v>
      </c>
      <c r="J1374" s="223" t="str">
        <f>IFERROR(__xludf.DUMMYFUNCTION("""COMPUTED_VALUE"""),"Monthly")</f>
        <v>Monthly</v>
      </c>
      <c r="K1374" s="317">
        <f>IFERROR(__xludf.DUMMYFUNCTION("""COMPUTED_VALUE"""),2022.02)</f>
        <v>2022.02</v>
      </c>
      <c r="L1374" s="298"/>
      <c r="M1374" s="223"/>
      <c r="N1374" s="223"/>
      <c r="O1374" s="223"/>
      <c r="P1374" s="223"/>
      <c r="Q1374" s="223"/>
      <c r="R1374" s="223"/>
      <c r="S1374" s="223"/>
      <c r="T1374" s="223"/>
      <c r="U1374" s="223"/>
      <c r="V1374" s="223"/>
      <c r="W1374" s="223"/>
      <c r="X1374" s="223"/>
      <c r="Y1374" s="223"/>
      <c r="Z1374" s="223"/>
    </row>
    <row r="1375">
      <c r="A1375" s="223" t="str">
        <f>IFERROR(__xludf.DUMMYFUNCTION("""COMPUTED_VALUE"""),"Dueplex : PPC Setup")</f>
        <v>Dueplex : PPC Setup</v>
      </c>
      <c r="B1375" s="223" t="str">
        <f>IFERROR(__xludf.DUMMYFUNCTION("""COMPUTED_VALUE"""),"Dueplex")</f>
        <v>Dueplex</v>
      </c>
      <c r="C1375" s="223" t="str">
        <f>IFERROR(__xludf.DUMMYFUNCTION("""COMPUTED_VALUE"""),"PPC Setup")</f>
        <v>PPC Setup</v>
      </c>
      <c r="D1375" s="316">
        <f>IFERROR(__xludf.DUMMYFUNCTION("""COMPUTED_VALUE"""),44620.0)</f>
        <v>44620</v>
      </c>
      <c r="E1375" s="298"/>
      <c r="F1375" s="298"/>
      <c r="G1375" s="298"/>
      <c r="H1375" s="223"/>
      <c r="I1375" s="298">
        <f>IFERROR(__xludf.DUMMYFUNCTION("""COMPUTED_VALUE"""),312.5)</f>
        <v>312.5</v>
      </c>
      <c r="J1375" s="223" t="str">
        <f>IFERROR(__xludf.DUMMYFUNCTION("""COMPUTED_VALUE"""),"Fixed Project")</f>
        <v>Fixed Project</v>
      </c>
      <c r="K1375" s="317">
        <f>IFERROR(__xludf.DUMMYFUNCTION("""COMPUTED_VALUE"""),2022.0)</f>
        <v>2022</v>
      </c>
      <c r="L1375" s="298"/>
      <c r="M1375" s="223"/>
      <c r="N1375" s="223"/>
      <c r="O1375" s="223"/>
      <c r="P1375" s="223"/>
      <c r="Q1375" s="223"/>
      <c r="R1375" s="223"/>
      <c r="S1375" s="223"/>
      <c r="T1375" s="223"/>
      <c r="U1375" s="223"/>
      <c r="V1375" s="223"/>
      <c r="W1375" s="223"/>
      <c r="X1375" s="223"/>
      <c r="Y1375" s="223"/>
      <c r="Z1375" s="223"/>
    </row>
    <row r="1376">
      <c r="A1376" s="223" t="str">
        <f>IFERROR(__xludf.DUMMYFUNCTION("""COMPUTED_VALUE"""),"PlusROI : Marketing")</f>
        <v>PlusROI : Marketing</v>
      </c>
      <c r="B1376" s="223" t="str">
        <f>IFERROR(__xludf.DUMMYFUNCTION("""COMPUTED_VALUE"""),"PlusROI")</f>
        <v>PlusROI</v>
      </c>
      <c r="C1376" s="223" t="str">
        <f>IFERROR(__xludf.DUMMYFUNCTION("""COMPUTED_VALUE"""),"Marketing")</f>
        <v>Marketing</v>
      </c>
      <c r="D1376" s="316">
        <f>IFERROR(__xludf.DUMMYFUNCTION("""COMPUTED_VALUE"""),44620.0)</f>
        <v>44620</v>
      </c>
      <c r="E1376" s="298"/>
      <c r="F1376" s="298"/>
      <c r="G1376" s="298"/>
      <c r="H1376" s="223"/>
      <c r="I1376" s="298">
        <f>IFERROR(__xludf.DUMMYFUNCTION("""COMPUTED_VALUE"""),18.75)</f>
        <v>18.75</v>
      </c>
      <c r="J1376" s="223" t="str">
        <f>IFERROR(__xludf.DUMMYFUNCTION("""COMPUTED_VALUE"""),"Hourly")</f>
        <v>Hourly</v>
      </c>
      <c r="K1376" s="317">
        <f>IFERROR(__xludf.DUMMYFUNCTION("""COMPUTED_VALUE"""),2022.0)</f>
        <v>2022</v>
      </c>
      <c r="L1376" s="298"/>
      <c r="M1376" s="223"/>
      <c r="N1376" s="223"/>
      <c r="O1376" s="223"/>
      <c r="P1376" s="223"/>
      <c r="Q1376" s="223"/>
      <c r="R1376" s="223"/>
      <c r="S1376" s="223"/>
      <c r="T1376" s="223"/>
      <c r="U1376" s="223"/>
      <c r="V1376" s="223"/>
      <c r="W1376" s="223"/>
      <c r="X1376" s="223"/>
      <c r="Y1376" s="223"/>
      <c r="Z1376" s="223"/>
    </row>
    <row r="1377">
      <c r="A1377" s="223" t="str">
        <f>IFERROR(__xludf.DUMMYFUNCTION("""COMPUTED_VALUE"""),"C360 : Grasshopper Farms Site Review")</f>
        <v>C360 : Grasshopper Farms Site Review</v>
      </c>
      <c r="B1377" s="223" t="str">
        <f>IFERROR(__xludf.DUMMYFUNCTION("""COMPUTED_VALUE"""),"C360")</f>
        <v>C360</v>
      </c>
      <c r="C1377" s="223" t="str">
        <f>IFERROR(__xludf.DUMMYFUNCTION("""COMPUTED_VALUE"""),"Grasshopper Farms Site Review")</f>
        <v>Grasshopper Farms Site Review</v>
      </c>
      <c r="D1377" s="316">
        <f>IFERROR(__xludf.DUMMYFUNCTION("""COMPUTED_VALUE"""),44620.0)</f>
        <v>44620</v>
      </c>
      <c r="E1377" s="298"/>
      <c r="F1377" s="298"/>
      <c r="G1377" s="298"/>
      <c r="H1377" s="223"/>
      <c r="I1377" s="298">
        <f>IFERROR(__xludf.DUMMYFUNCTION("""COMPUTED_VALUE"""),187.5)</f>
        <v>187.5</v>
      </c>
      <c r="J1377" s="223" t="str">
        <f>IFERROR(__xludf.DUMMYFUNCTION("""COMPUTED_VALUE"""),"Fixed Project")</f>
        <v>Fixed Project</v>
      </c>
      <c r="K1377" s="317">
        <f>IFERROR(__xludf.DUMMYFUNCTION("""COMPUTED_VALUE"""),2022.0)</f>
        <v>2022</v>
      </c>
      <c r="L1377" s="298"/>
      <c r="M1377" s="223"/>
      <c r="N1377" s="223"/>
      <c r="O1377" s="223"/>
      <c r="P1377" s="223"/>
      <c r="Q1377" s="223"/>
      <c r="R1377" s="223"/>
      <c r="S1377" s="223"/>
      <c r="T1377" s="223"/>
      <c r="U1377" s="223"/>
      <c r="V1377" s="223"/>
      <c r="W1377" s="223"/>
      <c r="X1377" s="223"/>
      <c r="Y1377" s="223"/>
      <c r="Z1377" s="223"/>
    </row>
    <row r="1378">
      <c r="A1378" s="223" t="str">
        <f>IFERROR(__xludf.DUMMYFUNCTION("""COMPUTED_VALUE"""),"Monk : Monthly Services")</f>
        <v>Monk : Monthly Services</v>
      </c>
      <c r="B1378" s="223" t="str">
        <f>IFERROR(__xludf.DUMMYFUNCTION("""COMPUTED_VALUE"""),"Monk")</f>
        <v>Monk</v>
      </c>
      <c r="C1378" s="223" t="str">
        <f>IFERROR(__xludf.DUMMYFUNCTION("""COMPUTED_VALUE"""),"Monthly Services")</f>
        <v>Monthly Services</v>
      </c>
      <c r="D1378" s="316">
        <f>IFERROR(__xludf.DUMMYFUNCTION("""COMPUTED_VALUE"""),44620.0)</f>
        <v>44620</v>
      </c>
      <c r="E1378" s="298"/>
      <c r="F1378" s="298"/>
      <c r="G1378" s="298"/>
      <c r="H1378" s="223"/>
      <c r="I1378" s="298">
        <f>IFERROR(__xludf.DUMMYFUNCTION("""COMPUTED_VALUE"""),250.0)</f>
        <v>250</v>
      </c>
      <c r="J1378" s="223" t="str">
        <f>IFERROR(__xludf.DUMMYFUNCTION("""COMPUTED_VALUE"""),"Monthly")</f>
        <v>Monthly</v>
      </c>
      <c r="K1378" s="317">
        <f>IFERROR(__xludf.DUMMYFUNCTION("""COMPUTED_VALUE"""),2022.02)</f>
        <v>2022.02</v>
      </c>
      <c r="L1378" s="298"/>
      <c r="M1378" s="223"/>
      <c r="N1378" s="223"/>
      <c r="O1378" s="223"/>
      <c r="P1378" s="223"/>
      <c r="Q1378" s="223"/>
      <c r="R1378" s="223"/>
      <c r="S1378" s="223"/>
      <c r="T1378" s="223"/>
      <c r="U1378" s="223"/>
      <c r="V1378" s="223"/>
      <c r="W1378" s="223"/>
      <c r="X1378" s="223"/>
      <c r="Y1378" s="223"/>
      <c r="Z1378" s="223"/>
    </row>
    <row r="1379">
      <c r="A1379" s="223" t="str">
        <f>IFERROR(__xludf.DUMMYFUNCTION("""COMPUTED_VALUE"""),"IMBA Medical : PPC Setup")</f>
        <v>IMBA Medical : PPC Setup</v>
      </c>
      <c r="B1379" s="223" t="str">
        <f>IFERROR(__xludf.DUMMYFUNCTION("""COMPUTED_VALUE"""),"IMBA Medical")</f>
        <v>IMBA Medical</v>
      </c>
      <c r="C1379" s="223" t="str">
        <f>IFERROR(__xludf.DUMMYFUNCTION("""COMPUTED_VALUE"""),"PPC Setup")</f>
        <v>PPC Setup</v>
      </c>
      <c r="D1379" s="316">
        <f>IFERROR(__xludf.DUMMYFUNCTION("""COMPUTED_VALUE"""),44620.0)</f>
        <v>44620</v>
      </c>
      <c r="E1379" s="298"/>
      <c r="F1379" s="298"/>
      <c r="G1379" s="298"/>
      <c r="H1379" s="223"/>
      <c r="I1379" s="298">
        <f>IFERROR(__xludf.DUMMYFUNCTION("""COMPUTED_VALUE"""),250.0)</f>
        <v>250</v>
      </c>
      <c r="J1379" s="223" t="str">
        <f>IFERROR(__xludf.DUMMYFUNCTION("""COMPUTED_VALUE"""),"Fixed Project")</f>
        <v>Fixed Project</v>
      </c>
      <c r="K1379" s="317">
        <f>IFERROR(__xludf.DUMMYFUNCTION("""COMPUTED_VALUE"""),2022.0)</f>
        <v>2022</v>
      </c>
      <c r="L1379" s="298"/>
      <c r="M1379" s="223"/>
      <c r="N1379" s="223"/>
      <c r="O1379" s="223"/>
      <c r="P1379" s="223"/>
      <c r="Q1379" s="223"/>
      <c r="R1379" s="223"/>
      <c r="S1379" s="223"/>
      <c r="T1379" s="223"/>
      <c r="U1379" s="223"/>
      <c r="V1379" s="223"/>
      <c r="W1379" s="223"/>
      <c r="X1379" s="223"/>
      <c r="Y1379" s="223"/>
      <c r="Z1379" s="223"/>
    </row>
    <row r="1380">
      <c r="A1380" s="223" t="str">
        <f>IFERROR(__xludf.DUMMYFUNCTION("""COMPUTED_VALUE"""),"Tuscany : Monthly Services")</f>
        <v>Tuscany : Monthly Services</v>
      </c>
      <c r="B1380" s="223" t="str">
        <f>IFERROR(__xludf.DUMMYFUNCTION("""COMPUTED_VALUE"""),"Tuscany")</f>
        <v>Tuscany</v>
      </c>
      <c r="C1380" s="223" t="str">
        <f>IFERROR(__xludf.DUMMYFUNCTION("""COMPUTED_VALUE"""),"Monthly Services")</f>
        <v>Monthly Services</v>
      </c>
      <c r="D1380" s="316">
        <f>IFERROR(__xludf.DUMMYFUNCTION("""COMPUTED_VALUE"""),44620.0)</f>
        <v>44620</v>
      </c>
      <c r="E1380" s="298"/>
      <c r="F1380" s="298"/>
      <c r="G1380" s="298"/>
      <c r="H1380" s="223"/>
      <c r="I1380" s="298">
        <f>IFERROR(__xludf.DUMMYFUNCTION("""COMPUTED_VALUE"""),662.5)</f>
        <v>662.5</v>
      </c>
      <c r="J1380" s="223" t="str">
        <f>IFERROR(__xludf.DUMMYFUNCTION("""COMPUTED_VALUE"""),"Monthly")</f>
        <v>Monthly</v>
      </c>
      <c r="K1380" s="317">
        <f>IFERROR(__xludf.DUMMYFUNCTION("""COMPUTED_VALUE"""),2022.02)</f>
        <v>2022.02</v>
      </c>
      <c r="L1380" s="298"/>
      <c r="M1380" s="223"/>
      <c r="N1380" s="223"/>
      <c r="O1380" s="223"/>
      <c r="P1380" s="223"/>
      <c r="Q1380" s="223"/>
      <c r="R1380" s="223"/>
      <c r="S1380" s="223"/>
      <c r="T1380" s="223"/>
      <c r="U1380" s="223"/>
      <c r="V1380" s="223"/>
      <c r="W1380" s="223"/>
      <c r="X1380" s="223"/>
      <c r="Y1380" s="223"/>
      <c r="Z1380" s="223"/>
    </row>
    <row r="1381">
      <c r="A1381" s="223" t="str">
        <f>IFERROR(__xludf.DUMMYFUNCTION("""COMPUTED_VALUE"""),"Venetian : Monthly Services")</f>
        <v>Venetian : Monthly Services</v>
      </c>
      <c r="B1381" s="223" t="str">
        <f>IFERROR(__xludf.DUMMYFUNCTION("""COMPUTED_VALUE"""),"Venetian")</f>
        <v>Venetian</v>
      </c>
      <c r="C1381" s="223" t="str">
        <f>IFERROR(__xludf.DUMMYFUNCTION("""COMPUTED_VALUE"""),"Monthly Services")</f>
        <v>Monthly Services</v>
      </c>
      <c r="D1381" s="316">
        <f>IFERROR(__xludf.DUMMYFUNCTION("""COMPUTED_VALUE"""),44620.0)</f>
        <v>44620</v>
      </c>
      <c r="E1381" s="298"/>
      <c r="F1381" s="298"/>
      <c r="G1381" s="298"/>
      <c r="H1381" s="223"/>
      <c r="I1381" s="298">
        <f>IFERROR(__xludf.DUMMYFUNCTION("""COMPUTED_VALUE"""),662.5)</f>
        <v>662.5</v>
      </c>
      <c r="J1381" s="223" t="str">
        <f>IFERROR(__xludf.DUMMYFUNCTION("""COMPUTED_VALUE"""),"Monthly")</f>
        <v>Monthly</v>
      </c>
      <c r="K1381" s="317">
        <f>IFERROR(__xludf.DUMMYFUNCTION("""COMPUTED_VALUE"""),2022.02)</f>
        <v>2022.02</v>
      </c>
      <c r="L1381" s="298"/>
      <c r="M1381" s="223"/>
      <c r="N1381" s="223"/>
      <c r="O1381" s="223"/>
      <c r="P1381" s="223"/>
      <c r="Q1381" s="223"/>
      <c r="R1381" s="223"/>
      <c r="S1381" s="223"/>
      <c r="T1381" s="223"/>
      <c r="U1381" s="223"/>
      <c r="V1381" s="223"/>
      <c r="W1381" s="223"/>
      <c r="X1381" s="223"/>
      <c r="Y1381" s="223"/>
      <c r="Z1381" s="223"/>
    </row>
    <row r="1382">
      <c r="A1382" s="223" t="str">
        <f>IFERROR(__xludf.DUMMYFUNCTION("""COMPUTED_VALUE"""),"Spraggs : Monthly Services")</f>
        <v>Spraggs : Monthly Services</v>
      </c>
      <c r="B1382" s="223" t="str">
        <f>IFERROR(__xludf.DUMMYFUNCTION("""COMPUTED_VALUE"""),"Spraggs")</f>
        <v>Spraggs</v>
      </c>
      <c r="C1382" s="223" t="str">
        <f>IFERROR(__xludf.DUMMYFUNCTION("""COMPUTED_VALUE"""),"Monthly Services")</f>
        <v>Monthly Services</v>
      </c>
      <c r="D1382" s="316">
        <f>IFERROR(__xludf.DUMMYFUNCTION("""COMPUTED_VALUE"""),44620.0)</f>
        <v>44620</v>
      </c>
      <c r="E1382" s="298"/>
      <c r="F1382" s="298"/>
      <c r="G1382" s="298"/>
      <c r="H1382" s="223"/>
      <c r="I1382" s="298">
        <f>IFERROR(__xludf.DUMMYFUNCTION("""COMPUTED_VALUE"""),350.0)</f>
        <v>350</v>
      </c>
      <c r="J1382" s="223" t="str">
        <f>IFERROR(__xludf.DUMMYFUNCTION("""COMPUTED_VALUE"""),"Monthly")</f>
        <v>Monthly</v>
      </c>
      <c r="K1382" s="317">
        <f>IFERROR(__xludf.DUMMYFUNCTION("""COMPUTED_VALUE"""),2022.02)</f>
        <v>2022.02</v>
      </c>
      <c r="L1382" s="298"/>
      <c r="M1382" s="223"/>
      <c r="N1382" s="223"/>
      <c r="O1382" s="223"/>
      <c r="P1382" s="223"/>
      <c r="Q1382" s="223"/>
      <c r="R1382" s="223"/>
      <c r="S1382" s="223"/>
      <c r="T1382" s="223"/>
      <c r="U1382" s="223"/>
      <c r="V1382" s="223"/>
      <c r="W1382" s="223"/>
      <c r="X1382" s="223"/>
      <c r="Y1382" s="223"/>
      <c r="Z1382" s="223"/>
    </row>
    <row r="1383">
      <c r="A1383" s="223" t="str">
        <f>IFERROR(__xludf.DUMMYFUNCTION("""COMPUTED_VALUE"""),"Diversified Health : Monthly Services")</f>
        <v>Diversified Health : Monthly Services</v>
      </c>
      <c r="B1383" s="223" t="str">
        <f>IFERROR(__xludf.DUMMYFUNCTION("""COMPUTED_VALUE"""),"Diversified Health")</f>
        <v>Diversified Health</v>
      </c>
      <c r="C1383" s="223" t="str">
        <f>IFERROR(__xludf.DUMMYFUNCTION("""COMPUTED_VALUE"""),"Monthly Services")</f>
        <v>Monthly Services</v>
      </c>
      <c r="D1383" s="316">
        <f>IFERROR(__xludf.DUMMYFUNCTION("""COMPUTED_VALUE"""),44620.0)</f>
        <v>44620</v>
      </c>
      <c r="E1383" s="298"/>
      <c r="F1383" s="298"/>
      <c r="G1383" s="298"/>
      <c r="H1383" s="223"/>
      <c r="I1383" s="298">
        <f>IFERROR(__xludf.DUMMYFUNCTION("""COMPUTED_VALUE"""),475.0)</f>
        <v>475</v>
      </c>
      <c r="J1383" s="223" t="str">
        <f>IFERROR(__xludf.DUMMYFUNCTION("""COMPUTED_VALUE"""),"Monthly")</f>
        <v>Monthly</v>
      </c>
      <c r="K1383" s="317">
        <f>IFERROR(__xludf.DUMMYFUNCTION("""COMPUTED_VALUE"""),2022.02)</f>
        <v>2022.02</v>
      </c>
      <c r="L1383" s="298"/>
      <c r="M1383" s="223"/>
      <c r="N1383" s="223"/>
      <c r="O1383" s="223"/>
      <c r="P1383" s="223"/>
      <c r="Q1383" s="223"/>
      <c r="R1383" s="223"/>
      <c r="S1383" s="223"/>
      <c r="T1383" s="223"/>
      <c r="U1383" s="223"/>
      <c r="V1383" s="223"/>
      <c r="W1383" s="223"/>
      <c r="X1383" s="223"/>
      <c r="Y1383" s="223"/>
      <c r="Z1383" s="223"/>
    </row>
    <row r="1384">
      <c r="A1384" s="223" t="str">
        <f>IFERROR(__xludf.DUMMYFUNCTION("""COMPUTED_VALUE"""),"TisBest : Monthly Services")</f>
        <v>TisBest : Monthly Services</v>
      </c>
      <c r="B1384" s="223" t="str">
        <f>IFERROR(__xludf.DUMMYFUNCTION("""COMPUTED_VALUE"""),"TisBest")</f>
        <v>TisBest</v>
      </c>
      <c r="C1384" s="223" t="str">
        <f>IFERROR(__xludf.DUMMYFUNCTION("""COMPUTED_VALUE"""),"Monthly Services")</f>
        <v>Monthly Services</v>
      </c>
      <c r="D1384" s="316">
        <f>IFERROR(__xludf.DUMMYFUNCTION("""COMPUTED_VALUE"""),44620.0)</f>
        <v>44620</v>
      </c>
      <c r="E1384" s="298"/>
      <c r="F1384" s="298"/>
      <c r="G1384" s="298"/>
      <c r="H1384" s="223"/>
      <c r="I1384" s="298">
        <f>IFERROR(__xludf.DUMMYFUNCTION("""COMPUTED_VALUE"""),1237.5)</f>
        <v>1237.5</v>
      </c>
      <c r="J1384" s="223" t="str">
        <f>IFERROR(__xludf.DUMMYFUNCTION("""COMPUTED_VALUE"""),"Monthly")</f>
        <v>Monthly</v>
      </c>
      <c r="K1384" s="317">
        <f>IFERROR(__xludf.DUMMYFUNCTION("""COMPUTED_VALUE"""),2022.02)</f>
        <v>2022.02</v>
      </c>
      <c r="L1384" s="298"/>
      <c r="M1384" s="223"/>
      <c r="N1384" s="223"/>
      <c r="O1384" s="223"/>
      <c r="P1384" s="223"/>
      <c r="Q1384" s="223"/>
      <c r="R1384" s="223"/>
      <c r="S1384" s="223"/>
      <c r="T1384" s="223"/>
      <c r="U1384" s="223"/>
      <c r="V1384" s="223"/>
      <c r="W1384" s="223"/>
      <c r="X1384" s="223"/>
      <c r="Y1384" s="223"/>
      <c r="Z1384" s="223"/>
    </row>
    <row r="1385">
      <c r="A1385" s="223" t="str">
        <f>IFERROR(__xludf.DUMMYFUNCTION("""COMPUTED_VALUE"""),"Tofino Resort + Marina : Monthly Services")</f>
        <v>Tofino Resort + Marina : Monthly Services</v>
      </c>
      <c r="B1385" s="223" t="str">
        <f>IFERROR(__xludf.DUMMYFUNCTION("""COMPUTED_VALUE"""),"Tofino Resort + Marina")</f>
        <v>Tofino Resort + Marina</v>
      </c>
      <c r="C1385" s="223" t="str">
        <f>IFERROR(__xludf.DUMMYFUNCTION("""COMPUTED_VALUE"""),"Monthly Services")</f>
        <v>Monthly Services</v>
      </c>
      <c r="D1385" s="316">
        <f>IFERROR(__xludf.DUMMYFUNCTION("""COMPUTED_VALUE"""),44620.0)</f>
        <v>44620</v>
      </c>
      <c r="E1385" s="298"/>
      <c r="F1385" s="298"/>
      <c r="G1385" s="298"/>
      <c r="H1385" s="223"/>
      <c r="I1385" s="298">
        <f>IFERROR(__xludf.DUMMYFUNCTION("""COMPUTED_VALUE"""),450.0)</f>
        <v>450</v>
      </c>
      <c r="J1385" s="223" t="str">
        <f>IFERROR(__xludf.DUMMYFUNCTION("""COMPUTED_VALUE"""),"Monthly")</f>
        <v>Monthly</v>
      </c>
      <c r="K1385" s="317">
        <f>IFERROR(__xludf.DUMMYFUNCTION("""COMPUTED_VALUE"""),2022.02)</f>
        <v>2022.02</v>
      </c>
      <c r="L1385" s="298"/>
      <c r="M1385" s="223"/>
      <c r="N1385" s="223"/>
      <c r="O1385" s="223"/>
      <c r="P1385" s="223"/>
      <c r="Q1385" s="223"/>
      <c r="R1385" s="223"/>
      <c r="S1385" s="223"/>
      <c r="T1385" s="223"/>
      <c r="U1385" s="223"/>
      <c r="V1385" s="223"/>
      <c r="W1385" s="223"/>
      <c r="X1385" s="223"/>
      <c r="Y1385" s="223"/>
      <c r="Z1385" s="223"/>
    </row>
    <row r="1386">
      <c r="A1386" s="223" t="str">
        <f>IFERROR(__xludf.DUMMYFUNCTION("""COMPUTED_VALUE"""),"PlusROI : Overhead")</f>
        <v>PlusROI : Overhead</v>
      </c>
      <c r="B1386" s="223" t="str">
        <f>IFERROR(__xludf.DUMMYFUNCTION("""COMPUTED_VALUE"""),"PlusROI")</f>
        <v>PlusROI</v>
      </c>
      <c r="C1386" s="223" t="str">
        <f>IFERROR(__xludf.DUMMYFUNCTION("""COMPUTED_VALUE"""),"Overhead")</f>
        <v>Overhead</v>
      </c>
      <c r="D1386" s="316">
        <f>IFERROR(__xludf.DUMMYFUNCTION("""COMPUTED_VALUE"""),44631.0)</f>
        <v>44631</v>
      </c>
      <c r="E1386" s="298"/>
      <c r="F1386" s="298"/>
      <c r="G1386" s="298"/>
      <c r="H1386" s="223"/>
      <c r="I1386" s="298">
        <f>IFERROR(__xludf.DUMMYFUNCTION("""COMPUTED_VALUE"""),14.09)</f>
        <v>14.09</v>
      </c>
      <c r="J1386" s="223" t="str">
        <f>IFERROR(__xludf.DUMMYFUNCTION("""COMPUTED_VALUE"""),"Hourly")</f>
        <v>Hourly</v>
      </c>
      <c r="K1386" s="317">
        <f>IFERROR(__xludf.DUMMYFUNCTION("""COMPUTED_VALUE"""),2022.0)</f>
        <v>2022</v>
      </c>
      <c r="L1386" s="298"/>
      <c r="M1386" s="223"/>
      <c r="N1386" s="223"/>
      <c r="O1386" s="223"/>
      <c r="P1386" s="223"/>
      <c r="Q1386" s="223"/>
      <c r="R1386" s="223"/>
      <c r="S1386" s="223"/>
      <c r="T1386" s="223"/>
      <c r="U1386" s="223"/>
      <c r="V1386" s="223"/>
      <c r="W1386" s="223"/>
      <c r="X1386" s="223"/>
      <c r="Y1386" s="223"/>
      <c r="Z1386" s="223"/>
    </row>
    <row r="1387">
      <c r="A1387" s="223" t="str">
        <f>IFERROR(__xludf.DUMMYFUNCTION("""COMPUTED_VALUE"""),"Bratopia : Google click costs for French Postcard")</f>
        <v>Bratopia : Google click costs for French Postcard</v>
      </c>
      <c r="B1387" s="223" t="str">
        <f>IFERROR(__xludf.DUMMYFUNCTION("""COMPUTED_VALUE"""),"Bratopia")</f>
        <v>Bratopia</v>
      </c>
      <c r="C1387" s="223" t="str">
        <f>IFERROR(__xludf.DUMMYFUNCTION("""COMPUTED_VALUE"""),"Google click costs for French Postcard")</f>
        <v>Google click costs for French Postcard</v>
      </c>
      <c r="D1387" s="316">
        <f>IFERROR(__xludf.DUMMYFUNCTION("""COMPUTED_VALUE"""),44609.0)</f>
        <v>44609</v>
      </c>
      <c r="E1387" s="298"/>
      <c r="F1387" s="298"/>
      <c r="G1387" s="298"/>
      <c r="H1387" s="223"/>
      <c r="I1387" s="298">
        <f>IFERROR(__xludf.DUMMYFUNCTION("""COMPUTED_VALUE"""),178.2)</f>
        <v>178.2</v>
      </c>
      <c r="J1387" s="223" t="str">
        <f>IFERROR(__xludf.DUMMYFUNCTION("""COMPUTED_VALUE"""),"Fixed Project")</f>
        <v>Fixed Project</v>
      </c>
      <c r="K1387" s="317">
        <f>IFERROR(__xludf.DUMMYFUNCTION("""COMPUTED_VALUE"""),2022.0)</f>
        <v>2022</v>
      </c>
      <c r="L1387" s="298">
        <f>IFERROR(__xludf.DUMMYFUNCTION("""COMPUTED_VALUE"""),178.2)</f>
        <v>178.2</v>
      </c>
      <c r="M1387" s="223"/>
      <c r="N1387" s="223"/>
      <c r="O1387" s="223"/>
      <c r="P1387" s="223"/>
      <c r="Q1387" s="223"/>
      <c r="R1387" s="223"/>
      <c r="S1387" s="223"/>
      <c r="T1387" s="223"/>
      <c r="U1387" s="223"/>
      <c r="V1387" s="223"/>
      <c r="W1387" s="223"/>
      <c r="X1387" s="223"/>
      <c r="Y1387" s="223"/>
      <c r="Z1387" s="223"/>
    </row>
    <row r="1388">
      <c r="A1388" s="223" t="str">
        <f>IFERROR(__xludf.DUMMYFUNCTION("""COMPUTED_VALUE"""),"PlusROI : Overhead")</f>
        <v>PlusROI : Overhead</v>
      </c>
      <c r="B1388" s="223" t="str">
        <f>IFERROR(__xludf.DUMMYFUNCTION("""COMPUTED_VALUE"""),"PlusROI")</f>
        <v>PlusROI</v>
      </c>
      <c r="C1388" s="223" t="str">
        <f>IFERROR(__xludf.DUMMYFUNCTION("""COMPUTED_VALUE"""),"Overhead")</f>
        <v>Overhead</v>
      </c>
      <c r="D1388" s="316">
        <f>IFERROR(__xludf.DUMMYFUNCTION("""COMPUTED_VALUE"""),44631.0)</f>
        <v>44631</v>
      </c>
      <c r="E1388" s="298"/>
      <c r="F1388" s="298"/>
      <c r="G1388" s="298"/>
      <c r="H1388" s="223"/>
      <c r="I1388" s="298">
        <f>IFERROR(__xludf.DUMMYFUNCTION("""COMPUTED_VALUE"""),52.14)</f>
        <v>52.14</v>
      </c>
      <c r="J1388" s="223" t="str">
        <f>IFERROR(__xludf.DUMMYFUNCTION("""COMPUTED_VALUE"""),"Hourly")</f>
        <v>Hourly</v>
      </c>
      <c r="K1388" s="317">
        <f>IFERROR(__xludf.DUMMYFUNCTION("""COMPUTED_VALUE"""),2022.0)</f>
        <v>2022</v>
      </c>
      <c r="L1388" s="298"/>
      <c r="M1388" s="223"/>
      <c r="N1388" s="223"/>
      <c r="O1388" s="223"/>
      <c r="P1388" s="223"/>
      <c r="Q1388" s="223"/>
      <c r="R1388" s="223"/>
      <c r="S1388" s="223"/>
      <c r="T1388" s="223"/>
      <c r="U1388" s="223"/>
      <c r="V1388" s="223"/>
      <c r="W1388" s="223"/>
      <c r="X1388" s="223"/>
      <c r="Y1388" s="223"/>
      <c r="Z1388" s="223"/>
    </row>
    <row r="1389">
      <c r="A1389" s="223" t="str">
        <f>IFERROR(__xludf.DUMMYFUNCTION("""COMPUTED_VALUE"""),"PlusROI : Overhead")</f>
        <v>PlusROI : Overhead</v>
      </c>
      <c r="B1389" s="223" t="str">
        <f>IFERROR(__xludf.DUMMYFUNCTION("""COMPUTED_VALUE"""),"PlusROI")</f>
        <v>PlusROI</v>
      </c>
      <c r="C1389" s="223" t="str">
        <f>IFERROR(__xludf.DUMMYFUNCTION("""COMPUTED_VALUE"""),"Overhead")</f>
        <v>Overhead</v>
      </c>
      <c r="D1389" s="316">
        <f>IFERROR(__xludf.DUMMYFUNCTION("""COMPUTED_VALUE"""),44631.0)</f>
        <v>44631</v>
      </c>
      <c r="E1389" s="298"/>
      <c r="F1389" s="298"/>
      <c r="G1389" s="298"/>
      <c r="H1389" s="223"/>
      <c r="I1389" s="298">
        <f>IFERROR(__xludf.DUMMYFUNCTION("""COMPUTED_VALUE"""),130.92)</f>
        <v>130.92</v>
      </c>
      <c r="J1389" s="223" t="str">
        <f>IFERROR(__xludf.DUMMYFUNCTION("""COMPUTED_VALUE"""),"Hourly")</f>
        <v>Hourly</v>
      </c>
      <c r="K1389" s="317">
        <f>IFERROR(__xludf.DUMMYFUNCTION("""COMPUTED_VALUE"""),2022.0)</f>
        <v>2022</v>
      </c>
      <c r="L1389" s="298"/>
      <c r="M1389" s="223"/>
      <c r="N1389" s="223"/>
      <c r="O1389" s="223"/>
      <c r="P1389" s="223"/>
      <c r="Q1389" s="223"/>
      <c r="R1389" s="223"/>
      <c r="S1389" s="223"/>
      <c r="T1389" s="223"/>
      <c r="U1389" s="223"/>
      <c r="V1389" s="223"/>
      <c r="W1389" s="223"/>
      <c r="X1389" s="223"/>
      <c r="Y1389" s="223"/>
      <c r="Z1389" s="223"/>
    </row>
    <row r="1390">
      <c r="A1390" s="223" t="str">
        <f>IFERROR(__xludf.DUMMYFUNCTION("""COMPUTED_VALUE"""),"Community Financials : Monthly Services")</f>
        <v>Community Financials : Monthly Services</v>
      </c>
      <c r="B1390" s="223" t="str">
        <f>IFERROR(__xludf.DUMMYFUNCTION("""COMPUTED_VALUE"""),"Community Financials")</f>
        <v>Community Financials</v>
      </c>
      <c r="C1390" s="223" t="str">
        <f>IFERROR(__xludf.DUMMYFUNCTION("""COMPUTED_VALUE"""),"Monthly Services")</f>
        <v>Monthly Services</v>
      </c>
      <c r="D1390" s="316">
        <f>IFERROR(__xludf.DUMMYFUNCTION("""COMPUTED_VALUE"""),44620.0)</f>
        <v>44620</v>
      </c>
      <c r="E1390" s="298"/>
      <c r="F1390" s="298"/>
      <c r="G1390" s="298"/>
      <c r="H1390" s="223"/>
      <c r="I1390" s="298">
        <f>IFERROR(__xludf.DUMMYFUNCTION("""COMPUTED_VALUE"""),337.5)</f>
        <v>337.5</v>
      </c>
      <c r="J1390" s="223" t="str">
        <f>IFERROR(__xludf.DUMMYFUNCTION("""COMPUTED_VALUE"""),"Monthly")</f>
        <v>Monthly</v>
      </c>
      <c r="K1390" s="317">
        <f>IFERROR(__xludf.DUMMYFUNCTION("""COMPUTED_VALUE"""),2022.02)</f>
        <v>2022.02</v>
      </c>
      <c r="L1390" s="298"/>
      <c r="M1390" s="223"/>
      <c r="N1390" s="223"/>
      <c r="O1390" s="223"/>
      <c r="P1390" s="223"/>
      <c r="Q1390" s="223"/>
      <c r="R1390" s="223"/>
      <c r="S1390" s="223"/>
      <c r="T1390" s="223"/>
      <c r="U1390" s="223"/>
      <c r="V1390" s="223"/>
      <c r="W1390" s="223"/>
      <c r="X1390" s="223"/>
      <c r="Y1390" s="223"/>
      <c r="Z1390" s="223"/>
    </row>
    <row r="1391">
      <c r="A1391" s="223" t="str">
        <f>IFERROR(__xludf.DUMMYFUNCTION("""COMPUTED_VALUE"""),"Bratopia : Monthly Services")</f>
        <v>Bratopia : Monthly Services</v>
      </c>
      <c r="B1391" s="223" t="str">
        <f>IFERROR(__xludf.DUMMYFUNCTION("""COMPUTED_VALUE"""),"Bratopia")</f>
        <v>Bratopia</v>
      </c>
      <c r="C1391" s="223" t="str">
        <f>IFERROR(__xludf.DUMMYFUNCTION("""COMPUTED_VALUE"""),"Monthly Services")</f>
        <v>Monthly Services</v>
      </c>
      <c r="D1391" s="316">
        <f>IFERROR(__xludf.DUMMYFUNCTION("""COMPUTED_VALUE"""),44620.0)</f>
        <v>44620</v>
      </c>
      <c r="E1391" s="298"/>
      <c r="F1391" s="298"/>
      <c r="G1391" s="298"/>
      <c r="H1391" s="223"/>
      <c r="I1391" s="298">
        <f>IFERROR(__xludf.DUMMYFUNCTION("""COMPUTED_VALUE"""),300.0)</f>
        <v>300</v>
      </c>
      <c r="J1391" s="223" t="str">
        <f>IFERROR(__xludf.DUMMYFUNCTION("""COMPUTED_VALUE"""),"Monthly")</f>
        <v>Monthly</v>
      </c>
      <c r="K1391" s="317">
        <f>IFERROR(__xludf.DUMMYFUNCTION("""COMPUTED_VALUE"""),2022.02)</f>
        <v>2022.02</v>
      </c>
      <c r="L1391" s="298"/>
      <c r="M1391" s="223"/>
      <c r="N1391" s="223"/>
      <c r="O1391" s="223"/>
      <c r="P1391" s="223"/>
      <c r="Q1391" s="223"/>
      <c r="R1391" s="223"/>
      <c r="S1391" s="223"/>
      <c r="T1391" s="223"/>
      <c r="U1391" s="223"/>
      <c r="V1391" s="223"/>
      <c r="W1391" s="223"/>
      <c r="X1391" s="223"/>
      <c r="Y1391" s="223"/>
      <c r="Z1391" s="223"/>
    </row>
    <row r="1392">
      <c r="A1392" s="223" t="str">
        <f>IFERROR(__xludf.DUMMYFUNCTION("""COMPUTED_VALUE"""),"Availed Technologies : Monthly Services")</f>
        <v>Availed Technologies : Monthly Services</v>
      </c>
      <c r="B1392" s="223" t="str">
        <f>IFERROR(__xludf.DUMMYFUNCTION("""COMPUTED_VALUE"""),"Availed Technologies")</f>
        <v>Availed Technologies</v>
      </c>
      <c r="C1392" s="223" t="str">
        <f>IFERROR(__xludf.DUMMYFUNCTION("""COMPUTED_VALUE"""),"Monthly Services")</f>
        <v>Monthly Services</v>
      </c>
      <c r="D1392" s="316">
        <f>IFERROR(__xludf.DUMMYFUNCTION("""COMPUTED_VALUE"""),44620.0)</f>
        <v>44620</v>
      </c>
      <c r="E1392" s="298"/>
      <c r="F1392" s="298"/>
      <c r="G1392" s="298"/>
      <c r="H1392" s="223"/>
      <c r="I1392" s="298">
        <f>IFERROR(__xludf.DUMMYFUNCTION("""COMPUTED_VALUE"""),162.5)</f>
        <v>162.5</v>
      </c>
      <c r="J1392" s="223" t="str">
        <f>IFERROR(__xludf.DUMMYFUNCTION("""COMPUTED_VALUE"""),"Monthly")</f>
        <v>Monthly</v>
      </c>
      <c r="K1392" s="317">
        <f>IFERROR(__xludf.DUMMYFUNCTION("""COMPUTED_VALUE"""),2022.02)</f>
        <v>2022.02</v>
      </c>
      <c r="L1392" s="298"/>
      <c r="M1392" s="223"/>
      <c r="N1392" s="223"/>
      <c r="O1392" s="223"/>
      <c r="P1392" s="223"/>
      <c r="Q1392" s="223"/>
      <c r="R1392" s="223"/>
      <c r="S1392" s="223"/>
      <c r="T1392" s="223"/>
      <c r="U1392" s="223"/>
      <c r="V1392" s="223"/>
      <c r="W1392" s="223"/>
      <c r="X1392" s="223"/>
      <c r="Y1392" s="223"/>
      <c r="Z1392" s="223"/>
    </row>
    <row r="1393">
      <c r="A1393" s="223" t="str">
        <f>IFERROR(__xludf.DUMMYFUNCTION("""COMPUTED_VALUE"""),"Prime Engineering : Monthly Services")</f>
        <v>Prime Engineering : Monthly Services</v>
      </c>
      <c r="B1393" s="223" t="str">
        <f>IFERROR(__xludf.DUMMYFUNCTION("""COMPUTED_VALUE"""),"Prime Engineering")</f>
        <v>Prime Engineering</v>
      </c>
      <c r="C1393" s="223" t="str">
        <f>IFERROR(__xludf.DUMMYFUNCTION("""COMPUTED_VALUE"""),"Monthly Services")</f>
        <v>Monthly Services</v>
      </c>
      <c r="D1393" s="316">
        <f>IFERROR(__xludf.DUMMYFUNCTION("""COMPUTED_VALUE"""),44620.0)</f>
        <v>44620</v>
      </c>
      <c r="E1393" s="298"/>
      <c r="F1393" s="298"/>
      <c r="G1393" s="298"/>
      <c r="H1393" s="223"/>
      <c r="I1393" s="298">
        <f>IFERROR(__xludf.DUMMYFUNCTION("""COMPUTED_VALUE"""),225.0)</f>
        <v>225</v>
      </c>
      <c r="J1393" s="223" t="str">
        <f>IFERROR(__xludf.DUMMYFUNCTION("""COMPUTED_VALUE"""),"Monthly")</f>
        <v>Monthly</v>
      </c>
      <c r="K1393" s="317">
        <f>IFERROR(__xludf.DUMMYFUNCTION("""COMPUTED_VALUE"""),2022.02)</f>
        <v>2022.02</v>
      </c>
      <c r="L1393" s="298"/>
      <c r="M1393" s="223"/>
      <c r="N1393" s="223"/>
      <c r="O1393" s="223"/>
      <c r="P1393" s="223"/>
      <c r="Q1393" s="223"/>
      <c r="R1393" s="223"/>
      <c r="S1393" s="223"/>
      <c r="T1393" s="223"/>
      <c r="U1393" s="223"/>
      <c r="V1393" s="223"/>
      <c r="W1393" s="223"/>
      <c r="X1393" s="223"/>
      <c r="Y1393" s="223"/>
      <c r="Z1393" s="223"/>
    </row>
    <row r="1394">
      <c r="A1394" s="223" t="str">
        <f>IFERROR(__xludf.DUMMYFUNCTION("""COMPUTED_VALUE"""),"Technology Rivers : Monthly Services")</f>
        <v>Technology Rivers : Monthly Services</v>
      </c>
      <c r="B1394" s="223" t="str">
        <f>IFERROR(__xludf.DUMMYFUNCTION("""COMPUTED_VALUE"""),"Technology Rivers")</f>
        <v>Technology Rivers</v>
      </c>
      <c r="C1394" s="223" t="str">
        <f>IFERROR(__xludf.DUMMYFUNCTION("""COMPUTED_VALUE"""),"Monthly Services")</f>
        <v>Monthly Services</v>
      </c>
      <c r="D1394" s="316">
        <f>IFERROR(__xludf.DUMMYFUNCTION("""COMPUTED_VALUE"""),44620.0)</f>
        <v>44620</v>
      </c>
      <c r="E1394" s="298"/>
      <c r="F1394" s="298"/>
      <c r="G1394" s="298"/>
      <c r="H1394" s="223"/>
      <c r="I1394" s="298">
        <f>IFERROR(__xludf.DUMMYFUNCTION("""COMPUTED_VALUE"""),462.5)</f>
        <v>462.5</v>
      </c>
      <c r="J1394" s="223" t="str">
        <f>IFERROR(__xludf.DUMMYFUNCTION("""COMPUTED_VALUE"""),"Monthly")</f>
        <v>Monthly</v>
      </c>
      <c r="K1394" s="317">
        <f>IFERROR(__xludf.DUMMYFUNCTION("""COMPUTED_VALUE"""),2022.02)</f>
        <v>2022.02</v>
      </c>
      <c r="L1394" s="298"/>
      <c r="M1394" s="223"/>
      <c r="N1394" s="223"/>
      <c r="O1394" s="223"/>
      <c r="P1394" s="223"/>
      <c r="Q1394" s="223"/>
      <c r="R1394" s="223"/>
      <c r="S1394" s="223"/>
      <c r="T1394" s="223"/>
      <c r="U1394" s="223"/>
      <c r="V1394" s="223"/>
      <c r="W1394" s="223"/>
      <c r="X1394" s="223"/>
      <c r="Y1394" s="223"/>
      <c r="Z1394" s="223"/>
    </row>
    <row r="1395">
      <c r="A1395" s="223" t="str">
        <f>IFERROR(__xludf.DUMMYFUNCTION("""COMPUTED_VALUE"""),"Monk : Monthly Services")</f>
        <v>Monk : Monthly Services</v>
      </c>
      <c r="B1395" s="223" t="str">
        <f>IFERROR(__xludf.DUMMYFUNCTION("""COMPUTED_VALUE"""),"Monk")</f>
        <v>Monk</v>
      </c>
      <c r="C1395" s="223" t="str">
        <f>IFERROR(__xludf.DUMMYFUNCTION("""COMPUTED_VALUE"""),"Monthly Services")</f>
        <v>Monthly Services</v>
      </c>
      <c r="D1395" s="316">
        <f>IFERROR(__xludf.DUMMYFUNCTION("""COMPUTED_VALUE"""),44620.0)</f>
        <v>44620</v>
      </c>
      <c r="E1395" s="298"/>
      <c r="F1395" s="298"/>
      <c r="G1395" s="298"/>
      <c r="H1395" s="223"/>
      <c r="I1395" s="298">
        <f>IFERROR(__xludf.DUMMYFUNCTION("""COMPUTED_VALUE"""),287.5)</f>
        <v>287.5</v>
      </c>
      <c r="J1395" s="223" t="str">
        <f>IFERROR(__xludf.DUMMYFUNCTION("""COMPUTED_VALUE"""),"Monthly")</f>
        <v>Monthly</v>
      </c>
      <c r="K1395" s="317">
        <f>IFERROR(__xludf.DUMMYFUNCTION("""COMPUTED_VALUE"""),2022.02)</f>
        <v>2022.02</v>
      </c>
      <c r="L1395" s="298"/>
      <c r="M1395" s="223"/>
      <c r="N1395" s="223"/>
      <c r="O1395" s="223"/>
      <c r="P1395" s="223"/>
      <c r="Q1395" s="223"/>
      <c r="R1395" s="223"/>
      <c r="S1395" s="223"/>
      <c r="T1395" s="223"/>
      <c r="U1395" s="223"/>
      <c r="V1395" s="223"/>
      <c r="W1395" s="223"/>
      <c r="X1395" s="223"/>
      <c r="Y1395" s="223"/>
      <c r="Z1395" s="223"/>
    </row>
    <row r="1396">
      <c r="A1396" s="223" t="str">
        <f>IFERROR(__xludf.DUMMYFUNCTION("""COMPUTED_VALUE"""),"C360 : Grasshopper Farms Site Review")</f>
        <v>C360 : Grasshopper Farms Site Review</v>
      </c>
      <c r="B1396" s="223" t="str">
        <f>IFERROR(__xludf.DUMMYFUNCTION("""COMPUTED_VALUE"""),"C360")</f>
        <v>C360</v>
      </c>
      <c r="C1396" s="223" t="str">
        <f>IFERROR(__xludf.DUMMYFUNCTION("""COMPUTED_VALUE"""),"Grasshopper Farms Site Review")</f>
        <v>Grasshopper Farms Site Review</v>
      </c>
      <c r="D1396" s="316">
        <f>IFERROR(__xludf.DUMMYFUNCTION("""COMPUTED_VALUE"""),44620.0)</f>
        <v>44620</v>
      </c>
      <c r="E1396" s="298"/>
      <c r="F1396" s="298"/>
      <c r="G1396" s="298"/>
      <c r="H1396" s="223"/>
      <c r="I1396" s="298">
        <f>IFERROR(__xludf.DUMMYFUNCTION("""COMPUTED_VALUE"""),737.5)</f>
        <v>737.5</v>
      </c>
      <c r="J1396" s="223" t="str">
        <f>IFERROR(__xludf.DUMMYFUNCTION("""COMPUTED_VALUE"""),"Fixed Project")</f>
        <v>Fixed Project</v>
      </c>
      <c r="K1396" s="317">
        <f>IFERROR(__xludf.DUMMYFUNCTION("""COMPUTED_VALUE"""),2022.0)</f>
        <v>2022</v>
      </c>
      <c r="L1396" s="298"/>
      <c r="M1396" s="223"/>
      <c r="N1396" s="223"/>
      <c r="O1396" s="223"/>
      <c r="P1396" s="223"/>
      <c r="Q1396" s="223"/>
      <c r="R1396" s="223"/>
      <c r="S1396" s="223"/>
      <c r="T1396" s="223"/>
      <c r="U1396" s="223"/>
      <c r="V1396" s="223"/>
      <c r="W1396" s="223"/>
      <c r="X1396" s="223"/>
      <c r="Y1396" s="223"/>
      <c r="Z1396" s="223"/>
    </row>
    <row r="1397">
      <c r="A1397" s="223" t="str">
        <f>IFERROR(__xludf.DUMMYFUNCTION("""COMPUTED_VALUE"""),"C360 : Victory360")</f>
        <v>C360 : Victory360</v>
      </c>
      <c r="B1397" s="223" t="str">
        <f>IFERROR(__xludf.DUMMYFUNCTION("""COMPUTED_VALUE"""),"C360")</f>
        <v>C360</v>
      </c>
      <c r="C1397" s="223" t="str">
        <f>IFERROR(__xludf.DUMMYFUNCTION("""COMPUTED_VALUE"""),"Victory360")</f>
        <v>Victory360</v>
      </c>
      <c r="D1397" s="316">
        <f>IFERROR(__xludf.DUMMYFUNCTION("""COMPUTED_VALUE"""),44620.0)</f>
        <v>44620</v>
      </c>
      <c r="E1397" s="298"/>
      <c r="F1397" s="298"/>
      <c r="G1397" s="298"/>
      <c r="H1397" s="223"/>
      <c r="I1397" s="298">
        <f>IFERROR(__xludf.DUMMYFUNCTION("""COMPUTED_VALUE"""),237.5)</f>
        <v>237.5</v>
      </c>
      <c r="J1397" s="223" t="str">
        <f>IFERROR(__xludf.DUMMYFUNCTION("""COMPUTED_VALUE"""),"Monthly")</f>
        <v>Monthly</v>
      </c>
      <c r="K1397" s="317">
        <f>IFERROR(__xludf.DUMMYFUNCTION("""COMPUTED_VALUE"""),2022.02)</f>
        <v>2022.02</v>
      </c>
      <c r="L1397" s="298"/>
      <c r="M1397" s="223"/>
      <c r="N1397" s="223"/>
      <c r="O1397" s="223"/>
      <c r="P1397" s="223"/>
      <c r="Q1397" s="223"/>
      <c r="R1397" s="223"/>
      <c r="S1397" s="223"/>
      <c r="T1397" s="223"/>
      <c r="U1397" s="223"/>
      <c r="V1397" s="223"/>
      <c r="W1397" s="223"/>
      <c r="X1397" s="223"/>
      <c r="Y1397" s="223"/>
      <c r="Z1397" s="223"/>
    </row>
    <row r="1398">
      <c r="A1398" s="223" t="str">
        <f>IFERROR(__xludf.DUMMYFUNCTION("""COMPUTED_VALUE"""),"C360 : Guntry Baseline SEO")</f>
        <v>C360 : Guntry Baseline SEO</v>
      </c>
      <c r="B1398" s="223" t="str">
        <f>IFERROR(__xludf.DUMMYFUNCTION("""COMPUTED_VALUE"""),"C360")</f>
        <v>C360</v>
      </c>
      <c r="C1398" s="223" t="str">
        <f>IFERROR(__xludf.DUMMYFUNCTION("""COMPUTED_VALUE"""),"Guntry Baseline SEO")</f>
        <v>Guntry Baseline SEO</v>
      </c>
      <c r="D1398" s="316">
        <f>IFERROR(__xludf.DUMMYFUNCTION("""COMPUTED_VALUE"""),44620.0)</f>
        <v>44620</v>
      </c>
      <c r="E1398" s="298"/>
      <c r="F1398" s="298"/>
      <c r="G1398" s="298"/>
      <c r="H1398" s="223"/>
      <c r="I1398" s="298">
        <f>IFERROR(__xludf.DUMMYFUNCTION("""COMPUTED_VALUE"""),662.5)</f>
        <v>662.5</v>
      </c>
      <c r="J1398" s="223" t="str">
        <f>IFERROR(__xludf.DUMMYFUNCTION("""COMPUTED_VALUE"""),"Monthly")</f>
        <v>Monthly</v>
      </c>
      <c r="K1398" s="317">
        <f>IFERROR(__xludf.DUMMYFUNCTION("""COMPUTED_VALUE"""),2022.02)</f>
        <v>2022.02</v>
      </c>
      <c r="L1398" s="298"/>
      <c r="M1398" s="223"/>
      <c r="N1398" s="223"/>
      <c r="O1398" s="223"/>
      <c r="P1398" s="223"/>
      <c r="Q1398" s="223"/>
      <c r="R1398" s="223"/>
      <c r="S1398" s="223"/>
      <c r="T1398" s="223"/>
      <c r="U1398" s="223"/>
      <c r="V1398" s="223"/>
      <c r="W1398" s="223"/>
      <c r="X1398" s="223"/>
      <c r="Y1398" s="223"/>
      <c r="Z1398" s="223"/>
    </row>
    <row r="1399">
      <c r="A1399" s="223" t="str">
        <f>IFERROR(__xludf.DUMMYFUNCTION("""COMPUTED_VALUE"""),"Frank &amp; Ellis : Online Presence Review + PPC Setup")</f>
        <v>Frank &amp; Ellis : Online Presence Review + PPC Setup</v>
      </c>
      <c r="B1399" s="223" t="str">
        <f>IFERROR(__xludf.DUMMYFUNCTION("""COMPUTED_VALUE"""),"Frank &amp; Ellis")</f>
        <v>Frank &amp; Ellis</v>
      </c>
      <c r="C1399" s="223" t="str">
        <f>IFERROR(__xludf.DUMMYFUNCTION("""COMPUTED_VALUE"""),"Online Presence Review + PPC Setup")</f>
        <v>Online Presence Review + PPC Setup</v>
      </c>
      <c r="D1399" s="316">
        <f>IFERROR(__xludf.DUMMYFUNCTION("""COMPUTED_VALUE"""),44620.0)</f>
        <v>44620</v>
      </c>
      <c r="E1399" s="298"/>
      <c r="F1399" s="298"/>
      <c r="G1399" s="298"/>
      <c r="H1399" s="223"/>
      <c r="I1399" s="298">
        <f>IFERROR(__xludf.DUMMYFUNCTION("""COMPUTED_VALUE"""),22.5)</f>
        <v>22.5</v>
      </c>
      <c r="J1399" s="223" t="str">
        <f>IFERROR(__xludf.DUMMYFUNCTION("""COMPUTED_VALUE"""),"Fixed Project")</f>
        <v>Fixed Project</v>
      </c>
      <c r="K1399" s="317">
        <f>IFERROR(__xludf.DUMMYFUNCTION("""COMPUTED_VALUE"""),2022.0)</f>
        <v>2022</v>
      </c>
      <c r="L1399" s="298"/>
      <c r="M1399" s="223"/>
      <c r="N1399" s="223"/>
      <c r="O1399" s="223"/>
      <c r="P1399" s="223"/>
      <c r="Q1399" s="223"/>
      <c r="R1399" s="223"/>
      <c r="S1399" s="223"/>
      <c r="T1399" s="223"/>
      <c r="U1399" s="223"/>
      <c r="V1399" s="223"/>
      <c r="W1399" s="223"/>
      <c r="X1399" s="223"/>
      <c r="Y1399" s="223"/>
      <c r="Z1399" s="223"/>
    </row>
    <row r="1400">
      <c r="A1400" s="223" t="str">
        <f>IFERROR(__xludf.DUMMYFUNCTION("""COMPUTED_VALUE"""),"PlusROI : Admin")</f>
        <v>PlusROI : Admin</v>
      </c>
      <c r="B1400" s="223" t="str">
        <f>IFERROR(__xludf.DUMMYFUNCTION("""COMPUTED_VALUE"""),"PlusROI")</f>
        <v>PlusROI</v>
      </c>
      <c r="C1400" s="223" t="str">
        <f>IFERROR(__xludf.DUMMYFUNCTION("""COMPUTED_VALUE"""),"Admin")</f>
        <v>Admin</v>
      </c>
      <c r="D1400" s="316">
        <f>IFERROR(__xludf.DUMMYFUNCTION("""COMPUTED_VALUE"""),44620.0)</f>
        <v>44620</v>
      </c>
      <c r="E1400" s="298"/>
      <c r="F1400" s="298"/>
      <c r="G1400" s="298"/>
      <c r="H1400" s="223"/>
      <c r="I1400" s="298">
        <f>IFERROR(__xludf.DUMMYFUNCTION("""COMPUTED_VALUE"""),120.0)</f>
        <v>120</v>
      </c>
      <c r="J1400" s="223" t="str">
        <f>IFERROR(__xludf.DUMMYFUNCTION("""COMPUTED_VALUE"""),"Hourly")</f>
        <v>Hourly</v>
      </c>
      <c r="K1400" s="317">
        <f>IFERROR(__xludf.DUMMYFUNCTION("""COMPUTED_VALUE"""),2022.0)</f>
        <v>2022</v>
      </c>
      <c r="L1400" s="298"/>
      <c r="M1400" s="223"/>
      <c r="N1400" s="223"/>
      <c r="O1400" s="223"/>
      <c r="P1400" s="223"/>
      <c r="Q1400" s="223"/>
      <c r="R1400" s="223"/>
      <c r="S1400" s="223"/>
      <c r="T1400" s="223"/>
      <c r="U1400" s="223"/>
      <c r="V1400" s="223"/>
      <c r="W1400" s="223"/>
      <c r="X1400" s="223"/>
      <c r="Y1400" s="223"/>
      <c r="Z1400" s="223"/>
    </row>
    <row r="1401">
      <c r="A1401" s="223" t="str">
        <f>IFERROR(__xludf.DUMMYFUNCTION("""COMPUTED_VALUE"""),"Arazy Group : Other Projects")</f>
        <v>Arazy Group : Other Projects</v>
      </c>
      <c r="B1401" s="223" t="str">
        <f>IFERROR(__xludf.DUMMYFUNCTION("""COMPUTED_VALUE"""),"Arazy Group")</f>
        <v>Arazy Group</v>
      </c>
      <c r="C1401" s="223" t="str">
        <f>IFERROR(__xludf.DUMMYFUNCTION("""COMPUTED_VALUE"""),"Other Projects")</f>
        <v>Other Projects</v>
      </c>
      <c r="D1401" s="316">
        <f>IFERROR(__xludf.DUMMYFUNCTION("""COMPUTED_VALUE"""),44620.0)</f>
        <v>44620</v>
      </c>
      <c r="E1401" s="298"/>
      <c r="F1401" s="298"/>
      <c r="G1401" s="298"/>
      <c r="H1401" s="223"/>
      <c r="I1401" s="298">
        <f>IFERROR(__xludf.DUMMYFUNCTION("""COMPUTED_VALUE"""),115.1)</f>
        <v>115.1</v>
      </c>
      <c r="J1401" s="223" t="str">
        <f>IFERROR(__xludf.DUMMYFUNCTION("""COMPUTED_VALUE"""),"Fixed Project")</f>
        <v>Fixed Project</v>
      </c>
      <c r="K1401" s="317">
        <f>IFERROR(__xludf.DUMMYFUNCTION("""COMPUTED_VALUE"""),2022.0)</f>
        <v>2022</v>
      </c>
      <c r="L1401" s="298"/>
      <c r="M1401" s="223"/>
      <c r="N1401" s="223"/>
      <c r="O1401" s="223"/>
      <c r="P1401" s="223"/>
      <c r="Q1401" s="223"/>
      <c r="R1401" s="223"/>
      <c r="S1401" s="223"/>
      <c r="T1401" s="223"/>
      <c r="U1401" s="223"/>
      <c r="V1401" s="223"/>
      <c r="W1401" s="223"/>
      <c r="X1401" s="223"/>
      <c r="Y1401" s="223"/>
      <c r="Z1401" s="223"/>
    </row>
    <row r="1402">
      <c r="A1402" s="223" t="str">
        <f>IFERROR(__xludf.DUMMYFUNCTION("""COMPUTED_VALUE"""),"Argos Products : Monthly Services")</f>
        <v>Argos Products : Monthly Services</v>
      </c>
      <c r="B1402" s="223" t="str">
        <f>IFERROR(__xludf.DUMMYFUNCTION("""COMPUTED_VALUE"""),"Argos Products")</f>
        <v>Argos Products</v>
      </c>
      <c r="C1402" s="223" t="str">
        <f>IFERROR(__xludf.DUMMYFUNCTION("""COMPUTED_VALUE"""),"Monthly Services")</f>
        <v>Monthly Services</v>
      </c>
      <c r="D1402" s="316">
        <f>IFERROR(__xludf.DUMMYFUNCTION("""COMPUTED_VALUE"""),44620.0)</f>
        <v>44620</v>
      </c>
      <c r="E1402" s="298"/>
      <c r="F1402" s="298"/>
      <c r="G1402" s="298"/>
      <c r="H1402" s="223"/>
      <c r="I1402" s="298">
        <f>IFERROR(__xludf.DUMMYFUNCTION("""COMPUTED_VALUE"""),19.57)</f>
        <v>19.57</v>
      </c>
      <c r="J1402" s="223" t="str">
        <f>IFERROR(__xludf.DUMMYFUNCTION("""COMPUTED_VALUE"""),"Monthly")</f>
        <v>Monthly</v>
      </c>
      <c r="K1402" s="317">
        <f>IFERROR(__xludf.DUMMYFUNCTION("""COMPUTED_VALUE"""),2022.02)</f>
        <v>2022.02</v>
      </c>
      <c r="L1402" s="298"/>
      <c r="M1402" s="223"/>
      <c r="N1402" s="223"/>
      <c r="O1402" s="223"/>
      <c r="P1402" s="223"/>
      <c r="Q1402" s="223"/>
      <c r="R1402" s="223"/>
      <c r="S1402" s="223"/>
      <c r="T1402" s="223"/>
      <c r="U1402" s="223"/>
      <c r="V1402" s="223"/>
      <c r="W1402" s="223"/>
      <c r="X1402" s="223"/>
      <c r="Y1402" s="223"/>
      <c r="Z1402" s="223"/>
    </row>
    <row r="1403">
      <c r="A1403" s="223" t="str">
        <f>IFERROR(__xludf.DUMMYFUNCTION("""COMPUTED_VALUE"""),"Availed Technologies : Monthly Services")</f>
        <v>Availed Technologies : Monthly Services</v>
      </c>
      <c r="B1403" s="223" t="str">
        <f>IFERROR(__xludf.DUMMYFUNCTION("""COMPUTED_VALUE"""),"Availed Technologies")</f>
        <v>Availed Technologies</v>
      </c>
      <c r="C1403" s="223" t="str">
        <f>IFERROR(__xludf.DUMMYFUNCTION("""COMPUTED_VALUE"""),"Monthly Services")</f>
        <v>Monthly Services</v>
      </c>
      <c r="D1403" s="316">
        <f>IFERROR(__xludf.DUMMYFUNCTION("""COMPUTED_VALUE"""),44620.0)</f>
        <v>44620</v>
      </c>
      <c r="E1403" s="298"/>
      <c r="F1403" s="298"/>
      <c r="G1403" s="298"/>
      <c r="H1403" s="223"/>
      <c r="I1403" s="298">
        <f>IFERROR(__xludf.DUMMYFUNCTION("""COMPUTED_VALUE"""),157.5)</f>
        <v>157.5</v>
      </c>
      <c r="J1403" s="223" t="str">
        <f>IFERROR(__xludf.DUMMYFUNCTION("""COMPUTED_VALUE"""),"Monthly")</f>
        <v>Monthly</v>
      </c>
      <c r="K1403" s="317">
        <f>IFERROR(__xludf.DUMMYFUNCTION("""COMPUTED_VALUE"""),2022.02)</f>
        <v>2022.02</v>
      </c>
      <c r="L1403" s="298"/>
      <c r="M1403" s="223"/>
      <c r="N1403" s="223"/>
      <c r="O1403" s="223"/>
      <c r="P1403" s="223"/>
      <c r="Q1403" s="223"/>
      <c r="R1403" s="223"/>
      <c r="S1403" s="223"/>
      <c r="T1403" s="223"/>
      <c r="U1403" s="223"/>
      <c r="V1403" s="223"/>
      <c r="W1403" s="223"/>
      <c r="X1403" s="223"/>
      <c r="Y1403" s="223"/>
      <c r="Z1403" s="223"/>
    </row>
    <row r="1404">
      <c r="A1404" s="223" t="str">
        <f>IFERROR(__xludf.DUMMYFUNCTION("""COMPUTED_VALUE"""),"C360 : SEO Implementation")</f>
        <v>C360 : SEO Implementation</v>
      </c>
      <c r="B1404" s="223" t="str">
        <f>IFERROR(__xludf.DUMMYFUNCTION("""COMPUTED_VALUE"""),"C360")</f>
        <v>C360</v>
      </c>
      <c r="C1404" s="223" t="str">
        <f>IFERROR(__xludf.DUMMYFUNCTION("""COMPUTED_VALUE"""),"SEO Implementation")</f>
        <v>SEO Implementation</v>
      </c>
      <c r="D1404" s="316">
        <f>IFERROR(__xludf.DUMMYFUNCTION("""COMPUTED_VALUE"""),44620.0)</f>
        <v>44620</v>
      </c>
      <c r="E1404" s="298"/>
      <c r="F1404" s="298"/>
      <c r="G1404" s="298"/>
      <c r="H1404" s="223"/>
      <c r="I1404" s="298">
        <f>IFERROR(__xludf.DUMMYFUNCTION("""COMPUTED_VALUE"""),59.66)</f>
        <v>59.66</v>
      </c>
      <c r="J1404" s="223" t="str">
        <f>IFERROR(__xludf.DUMMYFUNCTION("""COMPUTED_VALUE"""),"Fixed Project")</f>
        <v>Fixed Project</v>
      </c>
      <c r="K1404" s="317">
        <f>IFERROR(__xludf.DUMMYFUNCTION("""COMPUTED_VALUE"""),2022.0)</f>
        <v>2022</v>
      </c>
      <c r="L1404" s="298"/>
      <c r="M1404" s="223"/>
      <c r="N1404" s="223"/>
      <c r="O1404" s="223"/>
      <c r="P1404" s="223"/>
      <c r="Q1404" s="223"/>
      <c r="R1404" s="223"/>
      <c r="S1404" s="223"/>
      <c r="T1404" s="223"/>
      <c r="U1404" s="223"/>
      <c r="V1404" s="223"/>
      <c r="W1404" s="223"/>
      <c r="X1404" s="223"/>
      <c r="Y1404" s="223"/>
      <c r="Z1404" s="223"/>
    </row>
    <row r="1405">
      <c r="A1405" s="223" t="str">
        <f>IFERROR(__xludf.DUMMYFUNCTION("""COMPUTED_VALUE"""),"Community Financials : Monthly Services")</f>
        <v>Community Financials : Monthly Services</v>
      </c>
      <c r="B1405" s="223" t="str">
        <f>IFERROR(__xludf.DUMMYFUNCTION("""COMPUTED_VALUE"""),"Community Financials")</f>
        <v>Community Financials</v>
      </c>
      <c r="C1405" s="223" t="str">
        <f>IFERROR(__xludf.DUMMYFUNCTION("""COMPUTED_VALUE"""),"Monthly Services")</f>
        <v>Monthly Services</v>
      </c>
      <c r="D1405" s="316">
        <f>IFERROR(__xludf.DUMMYFUNCTION("""COMPUTED_VALUE"""),44620.0)</f>
        <v>44620</v>
      </c>
      <c r="E1405" s="298"/>
      <c r="F1405" s="298"/>
      <c r="G1405" s="298"/>
      <c r="H1405" s="223"/>
      <c r="I1405" s="298">
        <f>IFERROR(__xludf.DUMMYFUNCTION("""COMPUTED_VALUE"""),379.0)</f>
        <v>379</v>
      </c>
      <c r="J1405" s="223" t="str">
        <f>IFERROR(__xludf.DUMMYFUNCTION("""COMPUTED_VALUE"""),"Monthly")</f>
        <v>Monthly</v>
      </c>
      <c r="K1405" s="317">
        <f>IFERROR(__xludf.DUMMYFUNCTION("""COMPUTED_VALUE"""),2022.02)</f>
        <v>2022.02</v>
      </c>
      <c r="L1405" s="298"/>
      <c r="M1405" s="223"/>
      <c r="N1405" s="223"/>
      <c r="O1405" s="223"/>
      <c r="P1405" s="223"/>
      <c r="Q1405" s="223"/>
      <c r="R1405" s="223"/>
      <c r="S1405" s="223"/>
      <c r="T1405" s="223"/>
      <c r="U1405" s="223"/>
      <c r="V1405" s="223"/>
      <c r="W1405" s="223"/>
      <c r="X1405" s="223"/>
      <c r="Y1405" s="223"/>
      <c r="Z1405" s="223"/>
    </row>
    <row r="1406">
      <c r="A1406" s="223" t="str">
        <f>IFERROR(__xludf.DUMMYFUNCTION("""COMPUTED_VALUE"""),"Frank &amp; Ellis : Website Rebuild")</f>
        <v>Frank &amp; Ellis : Website Rebuild</v>
      </c>
      <c r="B1406" s="223" t="str">
        <f>IFERROR(__xludf.DUMMYFUNCTION("""COMPUTED_VALUE"""),"Frank &amp; Ellis")</f>
        <v>Frank &amp; Ellis</v>
      </c>
      <c r="C1406" s="223" t="str">
        <f>IFERROR(__xludf.DUMMYFUNCTION("""COMPUTED_VALUE"""),"Website Rebuild")</f>
        <v>Website Rebuild</v>
      </c>
      <c r="D1406" s="316">
        <f>IFERROR(__xludf.DUMMYFUNCTION("""COMPUTED_VALUE"""),44620.0)</f>
        <v>44620</v>
      </c>
      <c r="E1406" s="298"/>
      <c r="F1406" s="298"/>
      <c r="G1406" s="298"/>
      <c r="H1406" s="223"/>
      <c r="I1406" s="298">
        <f>IFERROR(__xludf.DUMMYFUNCTION("""COMPUTED_VALUE"""),835.28)</f>
        <v>835.28</v>
      </c>
      <c r="J1406" s="223" t="str">
        <f>IFERROR(__xludf.DUMMYFUNCTION("""COMPUTED_VALUE"""),"Fixed Project")</f>
        <v>Fixed Project</v>
      </c>
      <c r="K1406" s="317">
        <f>IFERROR(__xludf.DUMMYFUNCTION("""COMPUTED_VALUE"""),2022.0)</f>
        <v>2022</v>
      </c>
      <c r="L1406" s="298"/>
      <c r="M1406" s="223"/>
      <c r="N1406" s="223"/>
      <c r="O1406" s="223"/>
      <c r="P1406" s="223"/>
      <c r="Q1406" s="223"/>
      <c r="R1406" s="223"/>
      <c r="S1406" s="223"/>
      <c r="T1406" s="223"/>
      <c r="U1406" s="223"/>
      <c r="V1406" s="223"/>
      <c r="W1406" s="223"/>
      <c r="X1406" s="223"/>
      <c r="Y1406" s="223"/>
      <c r="Z1406" s="223"/>
    </row>
    <row r="1407">
      <c r="A1407" s="223" t="str">
        <f>IFERROR(__xludf.DUMMYFUNCTION("""COMPUTED_VALUE"""),"C360 : Grasshopper Farms Site Review")</f>
        <v>C360 : Grasshopper Farms Site Review</v>
      </c>
      <c r="B1407" s="223" t="str">
        <f>IFERROR(__xludf.DUMMYFUNCTION("""COMPUTED_VALUE"""),"C360")</f>
        <v>C360</v>
      </c>
      <c r="C1407" s="223" t="str">
        <f>IFERROR(__xludf.DUMMYFUNCTION("""COMPUTED_VALUE"""),"Grasshopper Farms Site Review")</f>
        <v>Grasshopper Farms Site Review</v>
      </c>
      <c r="D1407" s="316">
        <f>IFERROR(__xludf.DUMMYFUNCTION("""COMPUTED_VALUE"""),44620.0)</f>
        <v>44620</v>
      </c>
      <c r="E1407" s="298"/>
      <c r="F1407" s="298"/>
      <c r="G1407" s="298"/>
      <c r="H1407" s="223"/>
      <c r="I1407" s="298">
        <f>IFERROR(__xludf.DUMMYFUNCTION("""COMPUTED_VALUE"""),14.68)</f>
        <v>14.68</v>
      </c>
      <c r="J1407" s="223" t="str">
        <f>IFERROR(__xludf.DUMMYFUNCTION("""COMPUTED_VALUE"""),"Fixed Project")</f>
        <v>Fixed Project</v>
      </c>
      <c r="K1407" s="317">
        <f>IFERROR(__xludf.DUMMYFUNCTION("""COMPUTED_VALUE"""),2022.0)</f>
        <v>2022</v>
      </c>
      <c r="L1407" s="298"/>
      <c r="M1407" s="223"/>
      <c r="N1407" s="223"/>
      <c r="O1407" s="223"/>
      <c r="P1407" s="223"/>
      <c r="Q1407" s="223"/>
      <c r="R1407" s="223"/>
      <c r="S1407" s="223"/>
      <c r="T1407" s="223"/>
      <c r="U1407" s="223"/>
      <c r="V1407" s="223"/>
      <c r="W1407" s="223"/>
      <c r="X1407" s="223"/>
      <c r="Y1407" s="223"/>
      <c r="Z1407" s="223"/>
    </row>
    <row r="1408">
      <c r="A1408" s="223" t="str">
        <f>IFERROR(__xludf.DUMMYFUNCTION("""COMPUTED_VALUE"""),"PlusROI : Internal Skills and Capabilities Development")</f>
        <v>PlusROI : Internal Skills and Capabilities Development</v>
      </c>
      <c r="B1408" s="223" t="str">
        <f>IFERROR(__xludf.DUMMYFUNCTION("""COMPUTED_VALUE"""),"PlusROI")</f>
        <v>PlusROI</v>
      </c>
      <c r="C1408" s="223" t="str">
        <f>IFERROR(__xludf.DUMMYFUNCTION("""COMPUTED_VALUE"""),"Internal Skills and Capabilities Development")</f>
        <v>Internal Skills and Capabilities Development</v>
      </c>
      <c r="D1408" s="316">
        <f>IFERROR(__xludf.DUMMYFUNCTION("""COMPUTED_VALUE"""),44620.0)</f>
        <v>44620</v>
      </c>
      <c r="E1408" s="298"/>
      <c r="F1408" s="298"/>
      <c r="G1408" s="298"/>
      <c r="H1408" s="223"/>
      <c r="I1408" s="298">
        <f>IFERROR(__xludf.DUMMYFUNCTION("""COMPUTED_VALUE"""),79.57)</f>
        <v>79.57</v>
      </c>
      <c r="J1408" s="223" t="str">
        <f>IFERROR(__xludf.DUMMYFUNCTION("""COMPUTED_VALUE"""),"Hourly")</f>
        <v>Hourly</v>
      </c>
      <c r="K1408" s="317">
        <f>IFERROR(__xludf.DUMMYFUNCTION("""COMPUTED_VALUE"""),2022.0)</f>
        <v>2022</v>
      </c>
      <c r="L1408" s="298"/>
      <c r="M1408" s="223"/>
      <c r="N1408" s="223"/>
      <c r="O1408" s="223"/>
      <c r="P1408" s="223"/>
      <c r="Q1408" s="223"/>
      <c r="R1408" s="223"/>
      <c r="S1408" s="223"/>
      <c r="T1408" s="223"/>
      <c r="U1408" s="223"/>
      <c r="V1408" s="223"/>
      <c r="W1408" s="223"/>
      <c r="X1408" s="223"/>
      <c r="Y1408" s="223"/>
      <c r="Z1408" s="223"/>
    </row>
    <row r="1409">
      <c r="A1409" s="223" t="str">
        <f>IFERROR(__xludf.DUMMYFUNCTION("""COMPUTED_VALUE"""),"Maple Leaf Adventures : 10 Hour Support Block")</f>
        <v>Maple Leaf Adventures : 10 Hour Support Block</v>
      </c>
      <c r="B1409" s="223" t="str">
        <f>IFERROR(__xludf.DUMMYFUNCTION("""COMPUTED_VALUE"""),"Maple Leaf Adventures")</f>
        <v>Maple Leaf Adventures</v>
      </c>
      <c r="C1409" s="223" t="str">
        <f>IFERROR(__xludf.DUMMYFUNCTION("""COMPUTED_VALUE"""),"10 Hour Support Block")</f>
        <v>10 Hour Support Block</v>
      </c>
      <c r="D1409" s="316">
        <f>IFERROR(__xludf.DUMMYFUNCTION("""COMPUTED_VALUE"""),44620.0)</f>
        <v>44620</v>
      </c>
      <c r="E1409" s="298"/>
      <c r="F1409" s="298"/>
      <c r="G1409" s="298"/>
      <c r="H1409" s="223"/>
      <c r="I1409" s="298">
        <f>IFERROR(__xludf.DUMMYFUNCTION("""COMPUTED_VALUE"""),135.77)</f>
        <v>135.77</v>
      </c>
      <c r="J1409" s="223" t="str">
        <f>IFERROR(__xludf.DUMMYFUNCTION("""COMPUTED_VALUE"""),"Fixed Project")</f>
        <v>Fixed Project</v>
      </c>
      <c r="K1409" s="317">
        <f>IFERROR(__xludf.DUMMYFUNCTION("""COMPUTED_VALUE"""),2022.0)</f>
        <v>2022</v>
      </c>
      <c r="L1409" s="298"/>
      <c r="M1409" s="223"/>
      <c r="N1409" s="223"/>
      <c r="O1409" s="223"/>
      <c r="P1409" s="223"/>
      <c r="Q1409" s="223"/>
      <c r="R1409" s="223"/>
      <c r="S1409" s="223"/>
      <c r="T1409" s="223"/>
      <c r="U1409" s="223"/>
      <c r="V1409" s="223"/>
      <c r="W1409" s="223"/>
      <c r="X1409" s="223"/>
      <c r="Y1409" s="223"/>
      <c r="Z1409" s="223"/>
    </row>
    <row r="1410">
      <c r="A1410" s="223" t="str">
        <f>IFERROR(__xludf.DUMMYFUNCTION("""COMPUTED_VALUE"""),"PlusROI : Admin")</f>
        <v>PlusROI : Admin</v>
      </c>
      <c r="B1410" s="223" t="str">
        <f>IFERROR(__xludf.DUMMYFUNCTION("""COMPUTED_VALUE"""),"PlusROI")</f>
        <v>PlusROI</v>
      </c>
      <c r="C1410" s="223" t="str">
        <f>IFERROR(__xludf.DUMMYFUNCTION("""COMPUTED_VALUE"""),"Admin")</f>
        <v>Admin</v>
      </c>
      <c r="D1410" s="316">
        <f>IFERROR(__xludf.DUMMYFUNCTION("""COMPUTED_VALUE"""),44620.0)</f>
        <v>44620</v>
      </c>
      <c r="E1410" s="298"/>
      <c r="F1410" s="298"/>
      <c r="G1410" s="298"/>
      <c r="H1410" s="223"/>
      <c r="I1410" s="298">
        <f>IFERROR(__xludf.DUMMYFUNCTION("""COMPUTED_VALUE"""),252.77)</f>
        <v>252.77</v>
      </c>
      <c r="J1410" s="223" t="str">
        <f>IFERROR(__xludf.DUMMYFUNCTION("""COMPUTED_VALUE"""),"Hourly")</f>
        <v>Hourly</v>
      </c>
      <c r="K1410" s="317">
        <f>IFERROR(__xludf.DUMMYFUNCTION("""COMPUTED_VALUE"""),2022.0)</f>
        <v>2022</v>
      </c>
      <c r="L1410" s="298"/>
      <c r="M1410" s="223"/>
      <c r="N1410" s="223"/>
      <c r="O1410" s="223"/>
      <c r="P1410" s="223"/>
      <c r="Q1410" s="223"/>
      <c r="R1410" s="223"/>
      <c r="S1410" s="223"/>
      <c r="T1410" s="223"/>
      <c r="U1410" s="223"/>
      <c r="V1410" s="223"/>
      <c r="W1410" s="223"/>
      <c r="X1410" s="223"/>
      <c r="Y1410" s="223"/>
      <c r="Z1410" s="223"/>
    </row>
    <row r="1411">
      <c r="A1411" s="223" t="str">
        <f>IFERROR(__xludf.DUMMYFUNCTION("""COMPUTED_VALUE"""),"PMDI : Monthly Services")</f>
        <v>PMDI : Monthly Services</v>
      </c>
      <c r="B1411" s="223" t="str">
        <f>IFERROR(__xludf.DUMMYFUNCTION("""COMPUTED_VALUE"""),"PMDI")</f>
        <v>PMDI</v>
      </c>
      <c r="C1411" s="223" t="str">
        <f>IFERROR(__xludf.DUMMYFUNCTION("""COMPUTED_VALUE"""),"Monthly Services")</f>
        <v>Monthly Services</v>
      </c>
      <c r="D1411" s="316">
        <f>IFERROR(__xludf.DUMMYFUNCTION("""COMPUTED_VALUE"""),44620.0)</f>
        <v>44620</v>
      </c>
      <c r="E1411" s="298"/>
      <c r="F1411" s="298"/>
      <c r="G1411" s="298"/>
      <c r="H1411" s="223"/>
      <c r="I1411" s="298">
        <f>IFERROR(__xludf.DUMMYFUNCTION("""COMPUTED_VALUE"""),2.49)</f>
        <v>2.49</v>
      </c>
      <c r="J1411" s="223" t="str">
        <f>IFERROR(__xludf.DUMMYFUNCTION("""COMPUTED_VALUE"""),"Monthly")</f>
        <v>Monthly</v>
      </c>
      <c r="K1411" s="317">
        <f>IFERROR(__xludf.DUMMYFUNCTION("""COMPUTED_VALUE"""),2022.02)</f>
        <v>2022.02</v>
      </c>
      <c r="L1411" s="298"/>
      <c r="M1411" s="223"/>
      <c r="N1411" s="223"/>
      <c r="O1411" s="223"/>
      <c r="P1411" s="223"/>
      <c r="Q1411" s="223"/>
      <c r="R1411" s="223"/>
      <c r="S1411" s="223"/>
      <c r="T1411" s="223"/>
      <c r="U1411" s="223"/>
      <c r="V1411" s="223"/>
      <c r="W1411" s="223"/>
      <c r="X1411" s="223"/>
      <c r="Y1411" s="223"/>
      <c r="Z1411" s="223"/>
    </row>
    <row r="1412">
      <c r="A1412" s="223" t="str">
        <f>IFERROR(__xludf.DUMMYFUNCTION("""COMPUTED_VALUE"""),"Rama Meditation Society : Premium Hosting + Support")</f>
        <v>Rama Meditation Society : Premium Hosting + Support</v>
      </c>
      <c r="B1412" s="223" t="str">
        <f>IFERROR(__xludf.DUMMYFUNCTION("""COMPUTED_VALUE"""),"Rama Meditation Society")</f>
        <v>Rama Meditation Society</v>
      </c>
      <c r="C1412" s="223" t="str">
        <f>IFERROR(__xludf.DUMMYFUNCTION("""COMPUTED_VALUE"""),"Premium Hosting + Support")</f>
        <v>Premium Hosting + Support</v>
      </c>
      <c r="D1412" s="316">
        <f>IFERROR(__xludf.DUMMYFUNCTION("""COMPUTED_VALUE"""),44620.0)</f>
        <v>44620</v>
      </c>
      <c r="E1412" s="298"/>
      <c r="F1412" s="298"/>
      <c r="G1412" s="298"/>
      <c r="H1412" s="223"/>
      <c r="I1412" s="298">
        <f>IFERROR(__xludf.DUMMYFUNCTION("""COMPUTED_VALUE"""),13.27)</f>
        <v>13.27</v>
      </c>
      <c r="J1412" s="223" t="str">
        <f>IFERROR(__xludf.DUMMYFUNCTION("""COMPUTED_VALUE"""),"Not Set")</f>
        <v>Not Set</v>
      </c>
      <c r="K1412" s="317">
        <f>IFERROR(__xludf.DUMMYFUNCTION("""COMPUTED_VALUE"""),2022.0)</f>
        <v>2022</v>
      </c>
      <c r="L1412" s="298"/>
      <c r="M1412" s="223"/>
      <c r="N1412" s="223"/>
      <c r="O1412" s="223"/>
      <c r="P1412" s="223"/>
      <c r="Q1412" s="223"/>
      <c r="R1412" s="223"/>
      <c r="S1412" s="223"/>
      <c r="T1412" s="223"/>
      <c r="U1412" s="223"/>
      <c r="V1412" s="223"/>
      <c r="W1412" s="223"/>
      <c r="X1412" s="223"/>
      <c r="Y1412" s="223"/>
      <c r="Z1412" s="223"/>
    </row>
    <row r="1413">
      <c r="A1413" s="223" t="str">
        <f>IFERROR(__xludf.DUMMYFUNCTION("""COMPUTED_VALUE"""),"Red Seal : Monthly Services")</f>
        <v>Red Seal : Monthly Services</v>
      </c>
      <c r="B1413" s="223" t="str">
        <f>IFERROR(__xludf.DUMMYFUNCTION("""COMPUTED_VALUE"""),"Red Seal")</f>
        <v>Red Seal</v>
      </c>
      <c r="C1413" s="223" t="str">
        <f>IFERROR(__xludf.DUMMYFUNCTION("""COMPUTED_VALUE"""),"Monthly Services")</f>
        <v>Monthly Services</v>
      </c>
      <c r="D1413" s="316">
        <f>IFERROR(__xludf.DUMMYFUNCTION("""COMPUTED_VALUE"""),44620.0)</f>
        <v>44620</v>
      </c>
      <c r="E1413" s="298"/>
      <c r="F1413" s="298"/>
      <c r="G1413" s="298"/>
      <c r="H1413" s="223"/>
      <c r="I1413" s="298">
        <f>IFERROR(__xludf.DUMMYFUNCTION("""COMPUTED_VALUE"""),117.53)</f>
        <v>117.53</v>
      </c>
      <c r="J1413" s="223" t="str">
        <f>IFERROR(__xludf.DUMMYFUNCTION("""COMPUTED_VALUE"""),"Monthly")</f>
        <v>Monthly</v>
      </c>
      <c r="K1413" s="317">
        <f>IFERROR(__xludf.DUMMYFUNCTION("""COMPUTED_VALUE"""),2022.02)</f>
        <v>2022.02</v>
      </c>
      <c r="L1413" s="298"/>
      <c r="M1413" s="223"/>
      <c r="N1413" s="223"/>
      <c r="O1413" s="223"/>
      <c r="P1413" s="223"/>
      <c r="Q1413" s="223"/>
      <c r="R1413" s="223"/>
      <c r="S1413" s="223"/>
      <c r="T1413" s="223"/>
      <c r="U1413" s="223"/>
      <c r="V1413" s="223"/>
      <c r="W1413" s="223"/>
      <c r="X1413" s="223"/>
      <c r="Y1413" s="223"/>
      <c r="Z1413" s="223"/>
    </row>
    <row r="1414">
      <c r="A1414" s="223" t="str">
        <f>IFERROR(__xludf.DUMMYFUNCTION("""COMPUTED_VALUE"""),"UnityWest Capital : Scryb 3 Month PPC")</f>
        <v>UnityWest Capital : Scryb 3 Month PPC</v>
      </c>
      <c r="B1414" s="223" t="str">
        <f>IFERROR(__xludf.DUMMYFUNCTION("""COMPUTED_VALUE"""),"UnityWest Capital")</f>
        <v>UnityWest Capital</v>
      </c>
      <c r="C1414" s="223" t="str">
        <f>IFERROR(__xludf.DUMMYFUNCTION("""COMPUTED_VALUE"""),"Scryb 3 Month PPC")</f>
        <v>Scryb 3 Month PPC</v>
      </c>
      <c r="D1414" s="316">
        <f>IFERROR(__xludf.DUMMYFUNCTION("""COMPUTED_VALUE"""),44620.0)</f>
        <v>44620</v>
      </c>
      <c r="E1414" s="298"/>
      <c r="F1414" s="298"/>
      <c r="G1414" s="298"/>
      <c r="H1414" s="223"/>
      <c r="I1414" s="298">
        <f>IFERROR(__xludf.DUMMYFUNCTION("""COMPUTED_VALUE"""),2.21)</f>
        <v>2.21</v>
      </c>
      <c r="J1414" s="223" t="str">
        <f>IFERROR(__xludf.DUMMYFUNCTION("""COMPUTED_VALUE"""),"Fixed Project")</f>
        <v>Fixed Project</v>
      </c>
      <c r="K1414" s="317">
        <f>IFERROR(__xludf.DUMMYFUNCTION("""COMPUTED_VALUE"""),2022.0)</f>
        <v>2022</v>
      </c>
      <c r="L1414" s="298"/>
      <c r="M1414" s="223"/>
      <c r="N1414" s="223"/>
      <c r="O1414" s="223"/>
      <c r="P1414" s="223"/>
      <c r="Q1414" s="223"/>
      <c r="R1414" s="223"/>
      <c r="S1414" s="223"/>
      <c r="T1414" s="223"/>
      <c r="U1414" s="223"/>
      <c r="V1414" s="223"/>
      <c r="W1414" s="223"/>
      <c r="X1414" s="223"/>
      <c r="Y1414" s="223"/>
      <c r="Z1414" s="223"/>
    </row>
    <row r="1415">
      <c r="A1415" s="223" t="str">
        <f>IFERROR(__xludf.DUMMYFUNCTION("""COMPUTED_VALUE"""),"Spraggs : Monthly Services")</f>
        <v>Spraggs : Monthly Services</v>
      </c>
      <c r="B1415" s="223" t="str">
        <f>IFERROR(__xludf.DUMMYFUNCTION("""COMPUTED_VALUE"""),"Spraggs")</f>
        <v>Spraggs</v>
      </c>
      <c r="C1415" s="223" t="str">
        <f>IFERROR(__xludf.DUMMYFUNCTION("""COMPUTED_VALUE"""),"Monthly Services")</f>
        <v>Monthly Services</v>
      </c>
      <c r="D1415" s="316">
        <f>IFERROR(__xludf.DUMMYFUNCTION("""COMPUTED_VALUE"""),44620.0)</f>
        <v>44620</v>
      </c>
      <c r="E1415" s="298"/>
      <c r="F1415" s="298"/>
      <c r="G1415" s="298"/>
      <c r="H1415" s="223"/>
      <c r="I1415" s="298">
        <f>IFERROR(__xludf.DUMMYFUNCTION("""COMPUTED_VALUE"""),12.93)</f>
        <v>12.93</v>
      </c>
      <c r="J1415" s="223" t="str">
        <f>IFERROR(__xludf.DUMMYFUNCTION("""COMPUTED_VALUE"""),"Monthly")</f>
        <v>Monthly</v>
      </c>
      <c r="K1415" s="317">
        <f>IFERROR(__xludf.DUMMYFUNCTION("""COMPUTED_VALUE"""),2022.02)</f>
        <v>2022.02</v>
      </c>
      <c r="L1415" s="298"/>
      <c r="M1415" s="223"/>
      <c r="N1415" s="223"/>
      <c r="O1415" s="223"/>
      <c r="P1415" s="223"/>
      <c r="Q1415" s="223"/>
      <c r="R1415" s="223"/>
      <c r="S1415" s="223"/>
      <c r="T1415" s="223"/>
      <c r="U1415" s="223"/>
      <c r="V1415" s="223"/>
      <c r="W1415" s="223"/>
      <c r="X1415" s="223"/>
      <c r="Y1415" s="223"/>
      <c r="Z1415" s="223"/>
    </row>
    <row r="1416">
      <c r="A1416" s="223" t="str">
        <f>IFERROR(__xludf.DUMMYFUNCTION("""COMPUTED_VALUE"""),"Technology Rivers : Monthly Services")</f>
        <v>Technology Rivers : Monthly Services</v>
      </c>
      <c r="B1416" s="223" t="str">
        <f>IFERROR(__xludf.DUMMYFUNCTION("""COMPUTED_VALUE"""),"Technology Rivers")</f>
        <v>Technology Rivers</v>
      </c>
      <c r="C1416" s="223" t="str">
        <f>IFERROR(__xludf.DUMMYFUNCTION("""COMPUTED_VALUE"""),"Monthly Services")</f>
        <v>Monthly Services</v>
      </c>
      <c r="D1416" s="316">
        <f>IFERROR(__xludf.DUMMYFUNCTION("""COMPUTED_VALUE"""),44620.0)</f>
        <v>44620</v>
      </c>
      <c r="E1416" s="298"/>
      <c r="F1416" s="298"/>
      <c r="G1416" s="298"/>
      <c r="H1416" s="223"/>
      <c r="I1416" s="298">
        <f>IFERROR(__xludf.DUMMYFUNCTION("""COMPUTED_VALUE"""),40.16)</f>
        <v>40.16</v>
      </c>
      <c r="J1416" s="223" t="str">
        <f>IFERROR(__xludf.DUMMYFUNCTION("""COMPUTED_VALUE"""),"Monthly")</f>
        <v>Monthly</v>
      </c>
      <c r="K1416" s="317">
        <f>IFERROR(__xludf.DUMMYFUNCTION("""COMPUTED_VALUE"""),2022.02)</f>
        <v>2022.02</v>
      </c>
      <c r="L1416" s="298"/>
      <c r="M1416" s="223"/>
      <c r="N1416" s="223"/>
      <c r="O1416" s="223"/>
      <c r="P1416" s="223"/>
      <c r="Q1416" s="223"/>
      <c r="R1416" s="223"/>
      <c r="S1416" s="223"/>
      <c r="T1416" s="223"/>
      <c r="U1416" s="223"/>
      <c r="V1416" s="223"/>
      <c r="W1416" s="223"/>
      <c r="X1416" s="223"/>
      <c r="Y1416" s="223"/>
      <c r="Z1416" s="223"/>
    </row>
    <row r="1417">
      <c r="A1417" s="223" t="str">
        <f>IFERROR(__xludf.DUMMYFUNCTION("""COMPUTED_VALUE"""),"Measurand : Initial SEO, PPC &amp; Website Work")</f>
        <v>Measurand : Initial SEO, PPC &amp; Website Work</v>
      </c>
      <c r="B1417" s="223" t="str">
        <f>IFERROR(__xludf.DUMMYFUNCTION("""COMPUTED_VALUE"""),"Measurand")</f>
        <v>Measurand</v>
      </c>
      <c r="C1417" s="223" t="str">
        <f>IFERROR(__xludf.DUMMYFUNCTION("""COMPUTED_VALUE"""),"Initial SEO, PPC &amp; Website Work")</f>
        <v>Initial SEO, PPC &amp; Website Work</v>
      </c>
      <c r="D1417" s="316">
        <f>IFERROR(__xludf.DUMMYFUNCTION("""COMPUTED_VALUE"""),44620.0)</f>
        <v>44620</v>
      </c>
      <c r="E1417" s="298"/>
      <c r="F1417" s="298"/>
      <c r="G1417" s="298"/>
      <c r="H1417" s="223"/>
      <c r="I1417" s="298">
        <f>IFERROR(__xludf.DUMMYFUNCTION("""COMPUTED_VALUE"""),264.94)</f>
        <v>264.94</v>
      </c>
      <c r="J1417" s="223" t="str">
        <f>IFERROR(__xludf.DUMMYFUNCTION("""COMPUTED_VALUE"""),"Fixed Project")</f>
        <v>Fixed Project</v>
      </c>
      <c r="K1417" s="317">
        <f>IFERROR(__xludf.DUMMYFUNCTION("""COMPUTED_VALUE"""),2022.0)</f>
        <v>2022</v>
      </c>
      <c r="L1417" s="298"/>
      <c r="M1417" s="223"/>
      <c r="N1417" s="223"/>
      <c r="O1417" s="223"/>
      <c r="P1417" s="223"/>
      <c r="Q1417" s="223"/>
      <c r="R1417" s="223"/>
      <c r="S1417" s="223"/>
      <c r="T1417" s="223"/>
      <c r="U1417" s="223"/>
      <c r="V1417" s="223"/>
      <c r="W1417" s="223"/>
      <c r="X1417" s="223"/>
      <c r="Y1417" s="223"/>
      <c r="Z1417" s="223"/>
    </row>
    <row r="1418">
      <c r="A1418" s="223" t="str">
        <f>IFERROR(__xludf.DUMMYFUNCTION("""COMPUTED_VALUE"""),"TisBest : Monthly Services")</f>
        <v>TisBest : Monthly Services</v>
      </c>
      <c r="B1418" s="223" t="str">
        <f>IFERROR(__xludf.DUMMYFUNCTION("""COMPUTED_VALUE"""),"TisBest")</f>
        <v>TisBest</v>
      </c>
      <c r="C1418" s="223" t="str">
        <f>IFERROR(__xludf.DUMMYFUNCTION("""COMPUTED_VALUE"""),"Monthly Services")</f>
        <v>Monthly Services</v>
      </c>
      <c r="D1418" s="316">
        <f>IFERROR(__xludf.DUMMYFUNCTION("""COMPUTED_VALUE"""),44620.0)</f>
        <v>44620</v>
      </c>
      <c r="E1418" s="298"/>
      <c r="F1418" s="298"/>
      <c r="G1418" s="298"/>
      <c r="H1418" s="223"/>
      <c r="I1418" s="298">
        <f>IFERROR(__xludf.DUMMYFUNCTION("""COMPUTED_VALUE"""),94.83)</f>
        <v>94.83</v>
      </c>
      <c r="J1418" s="223" t="str">
        <f>IFERROR(__xludf.DUMMYFUNCTION("""COMPUTED_VALUE"""),"Monthly")</f>
        <v>Monthly</v>
      </c>
      <c r="K1418" s="317">
        <f>IFERROR(__xludf.DUMMYFUNCTION("""COMPUTED_VALUE"""),2022.02)</f>
        <v>2022.02</v>
      </c>
      <c r="L1418" s="298"/>
      <c r="M1418" s="223"/>
      <c r="N1418" s="223"/>
      <c r="O1418" s="223"/>
      <c r="P1418" s="223"/>
      <c r="Q1418" s="223"/>
      <c r="R1418" s="223"/>
      <c r="S1418" s="223"/>
      <c r="T1418" s="223"/>
      <c r="U1418" s="223"/>
      <c r="V1418" s="223"/>
      <c r="W1418" s="223"/>
      <c r="X1418" s="223"/>
      <c r="Y1418" s="223"/>
      <c r="Z1418" s="223"/>
    </row>
    <row r="1419">
      <c r="A1419" s="223" t="str">
        <f>IFERROR(__xludf.DUMMYFUNCTION("""COMPUTED_VALUE"""),"Tuscany : Monthly Services")</f>
        <v>Tuscany : Monthly Services</v>
      </c>
      <c r="B1419" s="223" t="str">
        <f>IFERROR(__xludf.DUMMYFUNCTION("""COMPUTED_VALUE"""),"Tuscany")</f>
        <v>Tuscany</v>
      </c>
      <c r="C1419" s="223" t="str">
        <f>IFERROR(__xludf.DUMMYFUNCTION("""COMPUTED_VALUE"""),"Monthly Services")</f>
        <v>Monthly Services</v>
      </c>
      <c r="D1419" s="316">
        <f>IFERROR(__xludf.DUMMYFUNCTION("""COMPUTED_VALUE"""),44620.0)</f>
        <v>44620</v>
      </c>
      <c r="E1419" s="298"/>
      <c r="F1419" s="298"/>
      <c r="G1419" s="298"/>
      <c r="H1419" s="223"/>
      <c r="I1419" s="298">
        <f>IFERROR(__xludf.DUMMYFUNCTION("""COMPUTED_VALUE"""),22.11)</f>
        <v>22.11</v>
      </c>
      <c r="J1419" s="223" t="str">
        <f>IFERROR(__xludf.DUMMYFUNCTION("""COMPUTED_VALUE"""),"Monthly")</f>
        <v>Monthly</v>
      </c>
      <c r="K1419" s="317">
        <f>IFERROR(__xludf.DUMMYFUNCTION("""COMPUTED_VALUE"""),2022.02)</f>
        <v>2022.02</v>
      </c>
      <c r="L1419" s="298"/>
      <c r="M1419" s="223"/>
      <c r="N1419" s="223"/>
      <c r="O1419" s="223"/>
      <c r="P1419" s="223"/>
      <c r="Q1419" s="223"/>
      <c r="R1419" s="223"/>
      <c r="S1419" s="223"/>
      <c r="T1419" s="223"/>
      <c r="U1419" s="223"/>
      <c r="V1419" s="223"/>
      <c r="W1419" s="223"/>
      <c r="X1419" s="223"/>
      <c r="Y1419" s="223"/>
      <c r="Z1419" s="223"/>
    </row>
    <row r="1420">
      <c r="A1420" s="223" t="str">
        <f>IFERROR(__xludf.DUMMYFUNCTION("""COMPUTED_VALUE"""),"C360 : Victory360")</f>
        <v>C360 : Victory360</v>
      </c>
      <c r="B1420" s="223" t="str">
        <f>IFERROR(__xludf.DUMMYFUNCTION("""COMPUTED_VALUE"""),"C360")</f>
        <v>C360</v>
      </c>
      <c r="C1420" s="223" t="str">
        <f>IFERROR(__xludf.DUMMYFUNCTION("""COMPUTED_VALUE"""),"Victory360")</f>
        <v>Victory360</v>
      </c>
      <c r="D1420" s="316">
        <f>IFERROR(__xludf.DUMMYFUNCTION("""COMPUTED_VALUE"""),44620.0)</f>
        <v>44620</v>
      </c>
      <c r="E1420" s="298"/>
      <c r="F1420" s="298"/>
      <c r="G1420" s="298"/>
      <c r="H1420" s="223"/>
      <c r="I1420" s="298">
        <f>IFERROR(__xludf.DUMMYFUNCTION("""COMPUTED_VALUE"""),250.94)</f>
        <v>250.94</v>
      </c>
      <c r="J1420" s="223" t="str">
        <f>IFERROR(__xludf.DUMMYFUNCTION("""COMPUTED_VALUE"""),"Monthly")</f>
        <v>Monthly</v>
      </c>
      <c r="K1420" s="317">
        <f>IFERROR(__xludf.DUMMYFUNCTION("""COMPUTED_VALUE"""),2022.02)</f>
        <v>2022.02</v>
      </c>
      <c r="L1420" s="298"/>
      <c r="M1420" s="223"/>
      <c r="N1420" s="223"/>
      <c r="O1420" s="223"/>
      <c r="P1420" s="223"/>
      <c r="Q1420" s="223"/>
      <c r="R1420" s="223"/>
      <c r="S1420" s="223"/>
      <c r="T1420" s="223"/>
      <c r="U1420" s="223"/>
      <c r="V1420" s="223"/>
      <c r="W1420" s="223"/>
      <c r="X1420" s="223"/>
      <c r="Y1420" s="223"/>
      <c r="Z1420" s="223"/>
    </row>
    <row r="1421">
      <c r="A1421" s="223" t="str">
        <f>IFERROR(__xludf.DUMMYFUNCTION("""COMPUTED_VALUE"""),"Viridian : Monthly Services")</f>
        <v>Viridian : Monthly Services</v>
      </c>
      <c r="B1421" s="223" t="str">
        <f>IFERROR(__xludf.DUMMYFUNCTION("""COMPUTED_VALUE"""),"Viridian")</f>
        <v>Viridian</v>
      </c>
      <c r="C1421" s="223" t="str">
        <f>IFERROR(__xludf.DUMMYFUNCTION("""COMPUTED_VALUE"""),"Monthly Services")</f>
        <v>Monthly Services</v>
      </c>
      <c r="D1421" s="316">
        <f>IFERROR(__xludf.DUMMYFUNCTION("""COMPUTED_VALUE"""),44620.0)</f>
        <v>44620</v>
      </c>
      <c r="E1421" s="298"/>
      <c r="F1421" s="298"/>
      <c r="G1421" s="298"/>
      <c r="H1421" s="223"/>
      <c r="I1421" s="298">
        <f>IFERROR(__xludf.DUMMYFUNCTION("""COMPUTED_VALUE"""),79.56)</f>
        <v>79.56</v>
      </c>
      <c r="J1421" s="223" t="str">
        <f>IFERROR(__xludf.DUMMYFUNCTION("""COMPUTED_VALUE"""),"Monthly")</f>
        <v>Monthly</v>
      </c>
      <c r="K1421" s="317">
        <f>IFERROR(__xludf.DUMMYFUNCTION("""COMPUTED_VALUE"""),2022.02)</f>
        <v>2022.02</v>
      </c>
      <c r="L1421" s="298"/>
      <c r="M1421" s="223"/>
      <c r="N1421" s="223"/>
      <c r="O1421" s="223"/>
      <c r="P1421" s="223"/>
      <c r="Q1421" s="223"/>
      <c r="R1421" s="223"/>
      <c r="S1421" s="223"/>
      <c r="T1421" s="223"/>
      <c r="U1421" s="223"/>
      <c r="V1421" s="223"/>
      <c r="W1421" s="223"/>
      <c r="X1421" s="223"/>
      <c r="Y1421" s="223"/>
      <c r="Z1421" s="223"/>
    </row>
    <row r="1422">
      <c r="A1422" s="223" t="str">
        <f>IFERROR(__xludf.DUMMYFUNCTION("""COMPUTED_VALUE"""),"Crisp Media : WRKOUT PPC")</f>
        <v>Crisp Media : WRKOUT PPC</v>
      </c>
      <c r="B1422" s="223" t="str">
        <f>IFERROR(__xludf.DUMMYFUNCTION("""COMPUTED_VALUE"""),"Crisp Media")</f>
        <v>Crisp Media</v>
      </c>
      <c r="C1422" s="223" t="str">
        <f>IFERROR(__xludf.DUMMYFUNCTION("""COMPUTED_VALUE"""),"WRKOUT PPC")</f>
        <v>WRKOUT PPC</v>
      </c>
      <c r="D1422" s="316">
        <f>IFERROR(__xludf.DUMMYFUNCTION("""COMPUTED_VALUE"""),44620.0)</f>
        <v>44620</v>
      </c>
      <c r="E1422" s="298"/>
      <c r="F1422" s="298"/>
      <c r="G1422" s="298"/>
      <c r="H1422" s="223"/>
      <c r="I1422" s="298">
        <f>IFERROR(__xludf.DUMMYFUNCTION("""COMPUTED_VALUE"""),34.4)</f>
        <v>34.4</v>
      </c>
      <c r="J1422" s="223" t="str">
        <f>IFERROR(__xludf.DUMMYFUNCTION("""COMPUTED_VALUE"""),"Monthly")</f>
        <v>Monthly</v>
      </c>
      <c r="K1422" s="317">
        <f>IFERROR(__xludf.DUMMYFUNCTION("""COMPUTED_VALUE"""),2022.02)</f>
        <v>2022.02</v>
      </c>
      <c r="L1422" s="298"/>
      <c r="M1422" s="223"/>
      <c r="N1422" s="223"/>
      <c r="O1422" s="223"/>
      <c r="P1422" s="223"/>
      <c r="Q1422" s="223"/>
      <c r="R1422" s="223"/>
      <c r="S1422" s="223"/>
      <c r="T1422" s="223"/>
      <c r="U1422" s="223"/>
      <c r="V1422" s="223"/>
      <c r="W1422" s="223"/>
      <c r="X1422" s="223"/>
      <c r="Y1422" s="223"/>
      <c r="Z1422" s="223"/>
    </row>
    <row r="1423">
      <c r="A1423" s="223" t="str">
        <f>IFERROR(__xludf.DUMMYFUNCTION("""COMPUTED_VALUE"""),"Venetian : Monthly Services")</f>
        <v>Venetian : Monthly Services</v>
      </c>
      <c r="B1423" s="223" t="str">
        <f>IFERROR(__xludf.DUMMYFUNCTION("""COMPUTED_VALUE"""),"Venetian")</f>
        <v>Venetian</v>
      </c>
      <c r="C1423" s="223" t="str">
        <f>IFERROR(__xludf.DUMMYFUNCTION("""COMPUTED_VALUE"""),"Monthly Services")</f>
        <v>Monthly Services</v>
      </c>
      <c r="D1423" s="316">
        <f>IFERROR(__xludf.DUMMYFUNCTION("""COMPUTED_VALUE"""),44617.0)</f>
        <v>44617</v>
      </c>
      <c r="E1423" s="298"/>
      <c r="F1423" s="298"/>
      <c r="G1423" s="298"/>
      <c r="H1423" s="223"/>
      <c r="I1423" s="298">
        <f>IFERROR(__xludf.DUMMYFUNCTION("""COMPUTED_VALUE"""),750.0)</f>
        <v>750</v>
      </c>
      <c r="J1423" s="223" t="str">
        <f>IFERROR(__xludf.DUMMYFUNCTION("""COMPUTED_VALUE"""),"Monthly")</f>
        <v>Monthly</v>
      </c>
      <c r="K1423" s="317">
        <f>IFERROR(__xludf.DUMMYFUNCTION("""COMPUTED_VALUE"""),2022.02)</f>
        <v>2022.02</v>
      </c>
      <c r="L1423" s="298">
        <f>IFERROR(__xludf.DUMMYFUNCTION("""COMPUTED_VALUE"""),750.0)</f>
        <v>750</v>
      </c>
      <c r="M1423" s="223"/>
      <c r="N1423" s="223"/>
      <c r="O1423" s="223"/>
      <c r="P1423" s="223"/>
      <c r="Q1423" s="223"/>
      <c r="R1423" s="223"/>
      <c r="S1423" s="223"/>
      <c r="T1423" s="223"/>
      <c r="U1423" s="223"/>
      <c r="V1423" s="223"/>
      <c r="W1423" s="223"/>
      <c r="X1423" s="223"/>
      <c r="Y1423" s="223"/>
      <c r="Z1423" s="223"/>
    </row>
    <row r="1424">
      <c r="A1424" s="223" t="str">
        <f>IFERROR(__xludf.DUMMYFUNCTION("""COMPUTED_VALUE"""),"Tuscany : Monthly Services")</f>
        <v>Tuscany : Monthly Services</v>
      </c>
      <c r="B1424" s="223" t="str">
        <f>IFERROR(__xludf.DUMMYFUNCTION("""COMPUTED_VALUE"""),"Tuscany")</f>
        <v>Tuscany</v>
      </c>
      <c r="C1424" s="223" t="str">
        <f>IFERROR(__xludf.DUMMYFUNCTION("""COMPUTED_VALUE"""),"Monthly Services")</f>
        <v>Monthly Services</v>
      </c>
      <c r="D1424" s="316">
        <f>IFERROR(__xludf.DUMMYFUNCTION("""COMPUTED_VALUE"""),44618.0)</f>
        <v>44618</v>
      </c>
      <c r="E1424" s="298"/>
      <c r="F1424" s="298"/>
      <c r="G1424" s="298"/>
      <c r="H1424" s="223"/>
      <c r="I1424" s="298">
        <f>IFERROR(__xludf.DUMMYFUNCTION("""COMPUTED_VALUE"""),750.0)</f>
        <v>750</v>
      </c>
      <c r="J1424" s="223" t="str">
        <f>IFERROR(__xludf.DUMMYFUNCTION("""COMPUTED_VALUE"""),"Monthly")</f>
        <v>Monthly</v>
      </c>
      <c r="K1424" s="317">
        <f>IFERROR(__xludf.DUMMYFUNCTION("""COMPUTED_VALUE"""),2022.02)</f>
        <v>2022.02</v>
      </c>
      <c r="L1424" s="298">
        <f>IFERROR(__xludf.DUMMYFUNCTION("""COMPUTED_VALUE"""),750.0)</f>
        <v>750</v>
      </c>
      <c r="M1424" s="223"/>
      <c r="N1424" s="223"/>
      <c r="O1424" s="223"/>
      <c r="P1424" s="223"/>
      <c r="Q1424" s="223"/>
      <c r="R1424" s="223"/>
      <c r="S1424" s="223"/>
      <c r="T1424" s="223"/>
      <c r="U1424" s="223"/>
      <c r="V1424" s="223"/>
      <c r="W1424" s="223"/>
      <c r="X1424" s="223"/>
      <c r="Y1424" s="223"/>
      <c r="Z1424" s="223"/>
    </row>
    <row r="1425">
      <c r="A1425" s="223" t="str">
        <f>IFERROR(__xludf.DUMMYFUNCTION("""COMPUTED_VALUE"""),"Tugwell : 6 Month PPC")</f>
        <v>Tugwell : 6 Month PPC</v>
      </c>
      <c r="B1425" s="223" t="str">
        <f>IFERROR(__xludf.DUMMYFUNCTION("""COMPUTED_VALUE"""),"Tugwell")</f>
        <v>Tugwell</v>
      </c>
      <c r="C1425" s="223" t="str">
        <f>IFERROR(__xludf.DUMMYFUNCTION("""COMPUTED_VALUE"""),"6 Month PPC")</f>
        <v>6 Month PPC</v>
      </c>
      <c r="D1425" s="316">
        <f>IFERROR(__xludf.DUMMYFUNCTION("""COMPUTED_VALUE"""),44621.0)</f>
        <v>44621</v>
      </c>
      <c r="E1425" s="298"/>
      <c r="F1425" s="298"/>
      <c r="G1425" s="298"/>
      <c r="H1425" s="223"/>
      <c r="I1425" s="298">
        <f>IFERROR(__xludf.DUMMYFUNCTION("""COMPUTED_VALUE"""),49.25)</f>
        <v>49.25</v>
      </c>
      <c r="J1425" s="223" t="str">
        <f>IFERROR(__xludf.DUMMYFUNCTION("""COMPUTED_VALUE"""),"Fixed Project")</f>
        <v>Fixed Project</v>
      </c>
      <c r="K1425" s="317">
        <f>IFERROR(__xludf.DUMMYFUNCTION("""COMPUTED_VALUE"""),2022.0)</f>
        <v>2022</v>
      </c>
      <c r="L1425" s="298"/>
      <c r="M1425" s="223"/>
      <c r="N1425" s="223"/>
      <c r="O1425" s="223"/>
      <c r="P1425" s="223"/>
      <c r="Q1425" s="223"/>
      <c r="R1425" s="223"/>
      <c r="S1425" s="223"/>
      <c r="T1425" s="223"/>
      <c r="U1425" s="223"/>
      <c r="V1425" s="223"/>
      <c r="W1425" s="223"/>
      <c r="X1425" s="223"/>
      <c r="Y1425" s="223"/>
      <c r="Z1425" s="223"/>
    </row>
    <row r="1426">
      <c r="A1426" s="223" t="str">
        <f>IFERROR(__xludf.DUMMYFUNCTION("""COMPUTED_VALUE"""),"Spraggs : Monthly Services")</f>
        <v>Spraggs : Monthly Services</v>
      </c>
      <c r="B1426" s="223" t="str">
        <f>IFERROR(__xludf.DUMMYFUNCTION("""COMPUTED_VALUE"""),"Spraggs")</f>
        <v>Spraggs</v>
      </c>
      <c r="C1426" s="223" t="str">
        <f>IFERROR(__xludf.DUMMYFUNCTION("""COMPUTED_VALUE"""),"Monthly Services")</f>
        <v>Monthly Services</v>
      </c>
      <c r="D1426" s="316">
        <f>IFERROR(__xludf.DUMMYFUNCTION("""COMPUTED_VALUE"""),44627.0)</f>
        <v>44627</v>
      </c>
      <c r="E1426" s="298"/>
      <c r="F1426" s="298"/>
      <c r="G1426" s="298"/>
      <c r="H1426" s="223"/>
      <c r="I1426" s="298">
        <f>IFERROR(__xludf.DUMMYFUNCTION("""COMPUTED_VALUE"""),70.0)</f>
        <v>70</v>
      </c>
      <c r="J1426" s="223" t="str">
        <f>IFERROR(__xludf.DUMMYFUNCTION("""COMPUTED_VALUE"""),"Monthly")</f>
        <v>Monthly</v>
      </c>
      <c r="K1426" s="317">
        <f>IFERROR(__xludf.DUMMYFUNCTION("""COMPUTED_VALUE"""),2022.03)</f>
        <v>2022.03</v>
      </c>
      <c r="L1426" s="298">
        <f>IFERROR(__xludf.DUMMYFUNCTION("""COMPUTED_VALUE"""),70.0)</f>
        <v>70</v>
      </c>
      <c r="M1426" s="223"/>
      <c r="N1426" s="223"/>
      <c r="O1426" s="223"/>
      <c r="P1426" s="223"/>
      <c r="Q1426" s="223"/>
      <c r="R1426" s="223"/>
      <c r="S1426" s="223"/>
      <c r="T1426" s="223"/>
      <c r="U1426" s="223"/>
      <c r="V1426" s="223"/>
      <c r="W1426" s="223"/>
      <c r="X1426" s="223"/>
      <c r="Y1426" s="223"/>
      <c r="Z1426" s="223"/>
    </row>
    <row r="1427">
      <c r="A1427" s="223" t="str">
        <f>IFERROR(__xludf.DUMMYFUNCTION("""COMPUTED_VALUE"""),"Tugwell : 6 Month PPC")</f>
        <v>Tugwell : 6 Month PPC</v>
      </c>
      <c r="B1427" s="223" t="str">
        <f>IFERROR(__xludf.DUMMYFUNCTION("""COMPUTED_VALUE"""),"Tugwell")</f>
        <v>Tugwell</v>
      </c>
      <c r="C1427" s="223" t="str">
        <f>IFERROR(__xludf.DUMMYFUNCTION("""COMPUTED_VALUE"""),"6 Month PPC")</f>
        <v>6 Month PPC</v>
      </c>
      <c r="D1427" s="316">
        <f>IFERROR(__xludf.DUMMYFUNCTION("""COMPUTED_VALUE"""),44630.0)</f>
        <v>44630</v>
      </c>
      <c r="E1427" s="298"/>
      <c r="F1427" s="298"/>
      <c r="G1427" s="298"/>
      <c r="H1427" s="223"/>
      <c r="I1427" s="298">
        <f>IFERROR(__xludf.DUMMYFUNCTION("""COMPUTED_VALUE"""),20.0)</f>
        <v>20</v>
      </c>
      <c r="J1427" s="223" t="str">
        <f>IFERROR(__xludf.DUMMYFUNCTION("""COMPUTED_VALUE"""),"Fixed Project")</f>
        <v>Fixed Project</v>
      </c>
      <c r="K1427" s="317">
        <f>IFERROR(__xludf.DUMMYFUNCTION("""COMPUTED_VALUE"""),2022.0)</f>
        <v>2022</v>
      </c>
      <c r="L1427" s="298">
        <f>IFERROR(__xludf.DUMMYFUNCTION("""COMPUTED_VALUE"""),20.0)</f>
        <v>20</v>
      </c>
      <c r="M1427" s="223"/>
      <c r="N1427" s="223"/>
      <c r="O1427" s="223"/>
      <c r="P1427" s="223"/>
      <c r="Q1427" s="223"/>
      <c r="R1427" s="223"/>
      <c r="S1427" s="223"/>
      <c r="T1427" s="223"/>
      <c r="U1427" s="223"/>
      <c r="V1427" s="223"/>
      <c r="W1427" s="223"/>
      <c r="X1427" s="223"/>
      <c r="Y1427" s="223"/>
      <c r="Z1427" s="223"/>
    </row>
    <row r="1428">
      <c r="A1428" s="223" t="str">
        <f>IFERROR(__xludf.DUMMYFUNCTION("""COMPUTED_VALUE"""),"Hastings House : Monthly Services")</f>
        <v>Hastings House : Monthly Services</v>
      </c>
      <c r="B1428" s="223" t="str">
        <f>IFERROR(__xludf.DUMMYFUNCTION("""COMPUTED_VALUE"""),"Hastings House")</f>
        <v>Hastings House</v>
      </c>
      <c r="C1428" s="223" t="str">
        <f>IFERROR(__xludf.DUMMYFUNCTION("""COMPUTED_VALUE"""),"Monthly Services")</f>
        <v>Monthly Services</v>
      </c>
      <c r="D1428" s="316">
        <f>IFERROR(__xludf.DUMMYFUNCTION("""COMPUTED_VALUE"""),44651.0)</f>
        <v>44651</v>
      </c>
      <c r="E1428" s="298"/>
      <c r="F1428" s="298"/>
      <c r="G1428" s="298"/>
      <c r="H1428" s="223"/>
      <c r="I1428" s="298">
        <f>IFERROR(__xludf.DUMMYFUNCTION("""COMPUTED_VALUE"""),350.0)</f>
        <v>350</v>
      </c>
      <c r="J1428" s="223" t="str">
        <f>IFERROR(__xludf.DUMMYFUNCTION("""COMPUTED_VALUE"""),"Monthly")</f>
        <v>Monthly</v>
      </c>
      <c r="K1428" s="317">
        <f>IFERROR(__xludf.DUMMYFUNCTION("""COMPUTED_VALUE"""),2022.03)</f>
        <v>2022.03</v>
      </c>
      <c r="L1428" s="298"/>
      <c r="M1428" s="223"/>
      <c r="N1428" s="223"/>
      <c r="O1428" s="223"/>
      <c r="P1428" s="223"/>
      <c r="Q1428" s="223"/>
      <c r="R1428" s="223"/>
      <c r="S1428" s="223"/>
      <c r="T1428" s="223"/>
      <c r="U1428" s="223"/>
      <c r="V1428" s="223"/>
      <c r="W1428" s="223"/>
      <c r="X1428" s="223"/>
      <c r="Y1428" s="223"/>
      <c r="Z1428" s="223"/>
    </row>
    <row r="1429">
      <c r="A1429" s="223" t="str">
        <f>IFERROR(__xludf.DUMMYFUNCTION("""COMPUTED_VALUE"""),"Spraggs : Monthly Services")</f>
        <v>Spraggs : Monthly Services</v>
      </c>
      <c r="B1429" s="223" t="str">
        <f>IFERROR(__xludf.DUMMYFUNCTION("""COMPUTED_VALUE"""),"Spraggs")</f>
        <v>Spraggs</v>
      </c>
      <c r="C1429" s="223" t="str">
        <f>IFERROR(__xludf.DUMMYFUNCTION("""COMPUTED_VALUE"""),"Monthly Services")</f>
        <v>Monthly Services</v>
      </c>
      <c r="D1429" s="316">
        <f>IFERROR(__xludf.DUMMYFUNCTION("""COMPUTED_VALUE"""),44651.0)</f>
        <v>44651</v>
      </c>
      <c r="E1429" s="298"/>
      <c r="F1429" s="298"/>
      <c r="G1429" s="298"/>
      <c r="H1429" s="223"/>
      <c r="I1429" s="298">
        <f>IFERROR(__xludf.DUMMYFUNCTION("""COMPUTED_VALUE"""),212.5)</f>
        <v>212.5</v>
      </c>
      <c r="J1429" s="223" t="str">
        <f>IFERROR(__xludf.DUMMYFUNCTION("""COMPUTED_VALUE"""),"Monthly")</f>
        <v>Monthly</v>
      </c>
      <c r="K1429" s="317">
        <f>IFERROR(__xludf.DUMMYFUNCTION("""COMPUTED_VALUE"""),2022.03)</f>
        <v>2022.03</v>
      </c>
      <c r="L1429" s="298"/>
      <c r="M1429" s="223"/>
      <c r="N1429" s="223"/>
      <c r="O1429" s="223"/>
      <c r="P1429" s="223"/>
      <c r="Q1429" s="223"/>
      <c r="R1429" s="223"/>
      <c r="S1429" s="223"/>
      <c r="T1429" s="223"/>
      <c r="U1429" s="223"/>
      <c r="V1429" s="223"/>
      <c r="W1429" s="223"/>
      <c r="X1429" s="223"/>
      <c r="Y1429" s="223"/>
      <c r="Z1429" s="223"/>
    </row>
    <row r="1430">
      <c r="A1430" s="223" t="str">
        <f>IFERROR(__xludf.DUMMYFUNCTION("""COMPUTED_VALUE"""),"BookKing (Pacific Tier) : Monthly Services")</f>
        <v>BookKing (Pacific Tier) : Monthly Services</v>
      </c>
      <c r="B1430" s="223" t="str">
        <f>IFERROR(__xludf.DUMMYFUNCTION("""COMPUTED_VALUE"""),"BookKing (Pacific Tier)")</f>
        <v>BookKing (Pacific Tier)</v>
      </c>
      <c r="C1430" s="223" t="str">
        <f>IFERROR(__xludf.DUMMYFUNCTION("""COMPUTED_VALUE"""),"Monthly Services")</f>
        <v>Monthly Services</v>
      </c>
      <c r="D1430" s="316">
        <f>IFERROR(__xludf.DUMMYFUNCTION("""COMPUTED_VALUE"""),44651.0)</f>
        <v>44651</v>
      </c>
      <c r="E1430" s="298"/>
      <c r="F1430" s="298"/>
      <c r="G1430" s="298"/>
      <c r="H1430" s="223"/>
      <c r="I1430" s="298">
        <f>IFERROR(__xludf.DUMMYFUNCTION("""COMPUTED_VALUE"""),250.0)</f>
        <v>250</v>
      </c>
      <c r="J1430" s="223" t="str">
        <f>IFERROR(__xludf.DUMMYFUNCTION("""COMPUTED_VALUE"""),"Monthly")</f>
        <v>Monthly</v>
      </c>
      <c r="K1430" s="317">
        <f>IFERROR(__xludf.DUMMYFUNCTION("""COMPUTED_VALUE"""),2022.03)</f>
        <v>2022.03</v>
      </c>
      <c r="L1430" s="298"/>
      <c r="M1430" s="223"/>
      <c r="N1430" s="223"/>
      <c r="O1430" s="223"/>
      <c r="P1430" s="223"/>
      <c r="Q1430" s="223"/>
      <c r="R1430" s="223"/>
      <c r="S1430" s="223"/>
      <c r="T1430" s="223"/>
      <c r="U1430" s="223"/>
      <c r="V1430" s="223"/>
      <c r="W1430" s="223"/>
      <c r="X1430" s="223"/>
      <c r="Y1430" s="223"/>
      <c r="Z1430" s="223"/>
    </row>
    <row r="1431">
      <c r="A1431" s="223" t="str">
        <f>IFERROR(__xludf.DUMMYFUNCTION("""COMPUTED_VALUE"""),"Availed Technologies : Monthly Services")</f>
        <v>Availed Technologies : Monthly Services</v>
      </c>
      <c r="B1431" s="223" t="str">
        <f>IFERROR(__xludf.DUMMYFUNCTION("""COMPUTED_VALUE"""),"Availed Technologies")</f>
        <v>Availed Technologies</v>
      </c>
      <c r="C1431" s="223" t="str">
        <f>IFERROR(__xludf.DUMMYFUNCTION("""COMPUTED_VALUE"""),"Monthly Services")</f>
        <v>Monthly Services</v>
      </c>
      <c r="D1431" s="316">
        <f>IFERROR(__xludf.DUMMYFUNCTION("""COMPUTED_VALUE"""),44651.0)</f>
        <v>44651</v>
      </c>
      <c r="E1431" s="298"/>
      <c r="F1431" s="298"/>
      <c r="G1431" s="298"/>
      <c r="H1431" s="223"/>
      <c r="I1431" s="298">
        <f>IFERROR(__xludf.DUMMYFUNCTION("""COMPUTED_VALUE"""),175.0)</f>
        <v>175</v>
      </c>
      <c r="J1431" s="223" t="str">
        <f>IFERROR(__xludf.DUMMYFUNCTION("""COMPUTED_VALUE"""),"Monthly")</f>
        <v>Monthly</v>
      </c>
      <c r="K1431" s="317">
        <f>IFERROR(__xludf.DUMMYFUNCTION("""COMPUTED_VALUE"""),2022.03)</f>
        <v>2022.03</v>
      </c>
      <c r="L1431" s="298"/>
      <c r="M1431" s="223"/>
      <c r="N1431" s="223"/>
      <c r="O1431" s="223"/>
      <c r="P1431" s="223"/>
      <c r="Q1431" s="223"/>
      <c r="R1431" s="223"/>
      <c r="S1431" s="223"/>
      <c r="T1431" s="223"/>
      <c r="U1431" s="223"/>
      <c r="V1431" s="223"/>
      <c r="W1431" s="223"/>
      <c r="X1431" s="223"/>
      <c r="Y1431" s="223"/>
      <c r="Z1431" s="223"/>
    </row>
    <row r="1432">
      <c r="A1432" s="223" t="str">
        <f>IFERROR(__xludf.DUMMYFUNCTION("""COMPUTED_VALUE"""),"Argos Products : Monthly Services")</f>
        <v>Argos Products : Monthly Services</v>
      </c>
      <c r="B1432" s="223" t="str">
        <f>IFERROR(__xludf.DUMMYFUNCTION("""COMPUTED_VALUE"""),"Argos Products")</f>
        <v>Argos Products</v>
      </c>
      <c r="C1432" s="223" t="str">
        <f>IFERROR(__xludf.DUMMYFUNCTION("""COMPUTED_VALUE"""),"Monthly Services")</f>
        <v>Monthly Services</v>
      </c>
      <c r="D1432" s="316">
        <f>IFERROR(__xludf.DUMMYFUNCTION("""COMPUTED_VALUE"""),44651.0)</f>
        <v>44651</v>
      </c>
      <c r="E1432" s="298"/>
      <c r="F1432" s="298"/>
      <c r="G1432" s="298"/>
      <c r="H1432" s="223"/>
      <c r="I1432" s="298">
        <f>IFERROR(__xludf.DUMMYFUNCTION("""COMPUTED_VALUE"""),187.5)</f>
        <v>187.5</v>
      </c>
      <c r="J1432" s="223" t="str">
        <f>IFERROR(__xludf.DUMMYFUNCTION("""COMPUTED_VALUE"""),"Monthly")</f>
        <v>Monthly</v>
      </c>
      <c r="K1432" s="317">
        <f>IFERROR(__xludf.DUMMYFUNCTION("""COMPUTED_VALUE"""),2022.03)</f>
        <v>2022.03</v>
      </c>
      <c r="L1432" s="298"/>
      <c r="M1432" s="223"/>
      <c r="N1432" s="223"/>
      <c r="O1432" s="223"/>
      <c r="P1432" s="223"/>
      <c r="Q1432" s="223"/>
      <c r="R1432" s="223"/>
      <c r="S1432" s="223"/>
      <c r="T1432" s="223"/>
      <c r="U1432" s="223"/>
      <c r="V1432" s="223"/>
      <c r="W1432" s="223"/>
      <c r="X1432" s="223"/>
      <c r="Y1432" s="223"/>
      <c r="Z1432" s="223"/>
    </row>
    <row r="1433">
      <c r="A1433" s="223" t="str">
        <f>IFERROR(__xludf.DUMMYFUNCTION("""COMPUTED_VALUE"""),"PlusROI : Marketing")</f>
        <v>PlusROI : Marketing</v>
      </c>
      <c r="B1433" s="223" t="str">
        <f>IFERROR(__xludf.DUMMYFUNCTION("""COMPUTED_VALUE"""),"PlusROI")</f>
        <v>PlusROI</v>
      </c>
      <c r="C1433" s="223" t="str">
        <f>IFERROR(__xludf.DUMMYFUNCTION("""COMPUTED_VALUE"""),"Marketing")</f>
        <v>Marketing</v>
      </c>
      <c r="D1433" s="316">
        <f>IFERROR(__xludf.DUMMYFUNCTION("""COMPUTED_VALUE"""),44651.0)</f>
        <v>44651</v>
      </c>
      <c r="E1433" s="298"/>
      <c r="F1433" s="298"/>
      <c r="G1433" s="298"/>
      <c r="H1433" s="223"/>
      <c r="I1433" s="298">
        <f>IFERROR(__xludf.DUMMYFUNCTION("""COMPUTED_VALUE"""),50.0)</f>
        <v>50</v>
      </c>
      <c r="J1433" s="223" t="str">
        <f>IFERROR(__xludf.DUMMYFUNCTION("""COMPUTED_VALUE"""),"Hourly")</f>
        <v>Hourly</v>
      </c>
      <c r="K1433" s="317">
        <f>IFERROR(__xludf.DUMMYFUNCTION("""COMPUTED_VALUE"""),2022.0)</f>
        <v>2022</v>
      </c>
      <c r="L1433" s="298"/>
      <c r="M1433" s="223"/>
      <c r="N1433" s="223"/>
      <c r="O1433" s="223"/>
      <c r="P1433" s="223"/>
      <c r="Q1433" s="223"/>
      <c r="R1433" s="223"/>
      <c r="S1433" s="223"/>
      <c r="T1433" s="223"/>
      <c r="U1433" s="223"/>
      <c r="V1433" s="223"/>
      <c r="W1433" s="223"/>
      <c r="X1433" s="223"/>
      <c r="Y1433" s="223"/>
      <c r="Z1433" s="223"/>
    </row>
    <row r="1434">
      <c r="A1434" s="223" t="str">
        <f>IFERROR(__xludf.DUMMYFUNCTION("""COMPUTED_VALUE"""),"Anook Athletics : Monthly Services")</f>
        <v>Anook Athletics : Monthly Services</v>
      </c>
      <c r="B1434" s="223" t="str">
        <f>IFERROR(__xludf.DUMMYFUNCTION("""COMPUTED_VALUE"""),"Anook Athletics")</f>
        <v>Anook Athletics</v>
      </c>
      <c r="C1434" s="223" t="str">
        <f>IFERROR(__xludf.DUMMYFUNCTION("""COMPUTED_VALUE"""),"Monthly Services")</f>
        <v>Monthly Services</v>
      </c>
      <c r="D1434" s="316">
        <f>IFERROR(__xludf.DUMMYFUNCTION("""COMPUTED_VALUE"""),44651.0)</f>
        <v>44651</v>
      </c>
      <c r="E1434" s="298"/>
      <c r="F1434" s="298"/>
      <c r="G1434" s="298"/>
      <c r="H1434" s="223"/>
      <c r="I1434" s="298">
        <f>IFERROR(__xludf.DUMMYFUNCTION("""COMPUTED_VALUE"""),200.0)</f>
        <v>200</v>
      </c>
      <c r="J1434" s="223" t="str">
        <f>IFERROR(__xludf.DUMMYFUNCTION("""COMPUTED_VALUE"""),"Monthly")</f>
        <v>Monthly</v>
      </c>
      <c r="K1434" s="317">
        <f>IFERROR(__xludf.DUMMYFUNCTION("""COMPUTED_VALUE"""),2022.03)</f>
        <v>2022.03</v>
      </c>
      <c r="L1434" s="298"/>
      <c r="M1434" s="223"/>
      <c r="N1434" s="223"/>
      <c r="O1434" s="223"/>
      <c r="P1434" s="223"/>
      <c r="Q1434" s="223"/>
      <c r="R1434" s="223"/>
      <c r="S1434" s="223"/>
      <c r="T1434" s="223"/>
      <c r="U1434" s="223"/>
      <c r="V1434" s="223"/>
      <c r="W1434" s="223"/>
      <c r="X1434" s="223"/>
      <c r="Y1434" s="223"/>
      <c r="Z1434" s="223"/>
    </row>
    <row r="1435">
      <c r="A1435" s="223" t="str">
        <f>IFERROR(__xludf.DUMMYFUNCTION("""COMPUTED_VALUE"""),"Service First : Monthly Services")</f>
        <v>Service First : Monthly Services</v>
      </c>
      <c r="B1435" s="223" t="str">
        <f>IFERROR(__xludf.DUMMYFUNCTION("""COMPUTED_VALUE"""),"Service First")</f>
        <v>Service First</v>
      </c>
      <c r="C1435" s="223" t="str">
        <f>IFERROR(__xludf.DUMMYFUNCTION("""COMPUTED_VALUE"""),"Monthly Services")</f>
        <v>Monthly Services</v>
      </c>
      <c r="D1435" s="316">
        <f>IFERROR(__xludf.DUMMYFUNCTION("""COMPUTED_VALUE"""),44651.0)</f>
        <v>44651</v>
      </c>
      <c r="E1435" s="298"/>
      <c r="F1435" s="298"/>
      <c r="G1435" s="298"/>
      <c r="H1435" s="223"/>
      <c r="I1435" s="298">
        <f>IFERROR(__xludf.DUMMYFUNCTION("""COMPUTED_VALUE"""),125.0)</f>
        <v>125</v>
      </c>
      <c r="J1435" s="223" t="str">
        <f>IFERROR(__xludf.DUMMYFUNCTION("""COMPUTED_VALUE"""),"Monthly")</f>
        <v>Monthly</v>
      </c>
      <c r="K1435" s="317">
        <f>IFERROR(__xludf.DUMMYFUNCTION("""COMPUTED_VALUE"""),2022.03)</f>
        <v>2022.03</v>
      </c>
      <c r="L1435" s="298"/>
      <c r="M1435" s="223"/>
      <c r="N1435" s="223"/>
      <c r="O1435" s="223"/>
      <c r="P1435" s="223"/>
      <c r="Q1435" s="223"/>
      <c r="R1435" s="223"/>
      <c r="S1435" s="223"/>
      <c r="T1435" s="223"/>
      <c r="U1435" s="223"/>
      <c r="V1435" s="223"/>
      <c r="W1435" s="223"/>
      <c r="X1435" s="223"/>
      <c r="Y1435" s="223"/>
      <c r="Z1435" s="223"/>
    </row>
    <row r="1436">
      <c r="A1436" s="223" t="str">
        <f>IFERROR(__xludf.DUMMYFUNCTION("""COMPUTED_VALUE"""),"Viridian : Monthly Services")</f>
        <v>Viridian : Monthly Services</v>
      </c>
      <c r="B1436" s="223" t="str">
        <f>IFERROR(__xludf.DUMMYFUNCTION("""COMPUTED_VALUE"""),"Viridian")</f>
        <v>Viridian</v>
      </c>
      <c r="C1436" s="223" t="str">
        <f>IFERROR(__xludf.DUMMYFUNCTION("""COMPUTED_VALUE"""),"Monthly Services")</f>
        <v>Monthly Services</v>
      </c>
      <c r="D1436" s="316">
        <f>IFERROR(__xludf.DUMMYFUNCTION("""COMPUTED_VALUE"""),44651.0)</f>
        <v>44651</v>
      </c>
      <c r="E1436" s="298"/>
      <c r="F1436" s="298"/>
      <c r="G1436" s="298"/>
      <c r="H1436" s="223"/>
      <c r="I1436" s="298">
        <f>IFERROR(__xludf.DUMMYFUNCTION("""COMPUTED_VALUE"""),275.0)</f>
        <v>275</v>
      </c>
      <c r="J1436" s="223" t="str">
        <f>IFERROR(__xludf.DUMMYFUNCTION("""COMPUTED_VALUE"""),"Monthly")</f>
        <v>Monthly</v>
      </c>
      <c r="K1436" s="317">
        <f>IFERROR(__xludf.DUMMYFUNCTION("""COMPUTED_VALUE"""),2022.03)</f>
        <v>2022.03</v>
      </c>
      <c r="L1436" s="298"/>
      <c r="M1436" s="223"/>
      <c r="N1436" s="223"/>
      <c r="O1436" s="223"/>
      <c r="P1436" s="223"/>
      <c r="Q1436" s="223"/>
      <c r="R1436" s="223"/>
      <c r="S1436" s="223"/>
      <c r="T1436" s="223"/>
      <c r="U1436" s="223"/>
      <c r="V1436" s="223"/>
      <c r="W1436" s="223"/>
      <c r="X1436" s="223"/>
      <c r="Y1436" s="223"/>
      <c r="Z1436" s="223"/>
    </row>
    <row r="1437">
      <c r="A1437" s="223" t="str">
        <f>IFERROR(__xludf.DUMMYFUNCTION("""COMPUTED_VALUE"""),"BookKing (Pacific Tier) : Monthly Services")</f>
        <v>BookKing (Pacific Tier) : Monthly Services</v>
      </c>
      <c r="B1437" s="223" t="str">
        <f>IFERROR(__xludf.DUMMYFUNCTION("""COMPUTED_VALUE"""),"BookKing (Pacific Tier)")</f>
        <v>BookKing (Pacific Tier)</v>
      </c>
      <c r="C1437" s="223" t="str">
        <f>IFERROR(__xludf.DUMMYFUNCTION("""COMPUTED_VALUE"""),"Monthly Services")</f>
        <v>Monthly Services</v>
      </c>
      <c r="D1437" s="316">
        <f>IFERROR(__xludf.DUMMYFUNCTION("""COMPUTED_VALUE"""),44651.0)</f>
        <v>44651</v>
      </c>
      <c r="E1437" s="298"/>
      <c r="F1437" s="298"/>
      <c r="G1437" s="298"/>
      <c r="H1437" s="223"/>
      <c r="I1437" s="298">
        <f>IFERROR(__xludf.DUMMYFUNCTION("""COMPUTED_VALUE"""),200.0)</f>
        <v>200</v>
      </c>
      <c r="J1437" s="223" t="str">
        <f>IFERROR(__xludf.DUMMYFUNCTION("""COMPUTED_VALUE"""),"Monthly")</f>
        <v>Monthly</v>
      </c>
      <c r="K1437" s="317">
        <f>IFERROR(__xludf.DUMMYFUNCTION("""COMPUTED_VALUE"""),2022.03)</f>
        <v>2022.03</v>
      </c>
      <c r="L1437" s="298"/>
      <c r="M1437" s="223"/>
      <c r="N1437" s="223"/>
      <c r="O1437" s="223"/>
      <c r="P1437" s="223"/>
      <c r="Q1437" s="223"/>
      <c r="R1437" s="223"/>
      <c r="S1437" s="223"/>
      <c r="T1437" s="223"/>
      <c r="U1437" s="223"/>
      <c r="V1437" s="223"/>
      <c r="W1437" s="223"/>
      <c r="X1437" s="223"/>
      <c r="Y1437" s="223"/>
      <c r="Z1437" s="223"/>
    </row>
    <row r="1438">
      <c r="A1438" s="223" t="str">
        <f>IFERROR(__xludf.DUMMYFUNCTION("""COMPUTED_VALUE"""),"MortgagePal : Monthly Services")</f>
        <v>MortgagePal : Monthly Services</v>
      </c>
      <c r="B1438" s="223" t="str">
        <f>IFERROR(__xludf.DUMMYFUNCTION("""COMPUTED_VALUE"""),"MortgagePal")</f>
        <v>MortgagePal</v>
      </c>
      <c r="C1438" s="223" t="str">
        <f>IFERROR(__xludf.DUMMYFUNCTION("""COMPUTED_VALUE"""),"Monthly Services")</f>
        <v>Monthly Services</v>
      </c>
      <c r="D1438" s="316">
        <f>IFERROR(__xludf.DUMMYFUNCTION("""COMPUTED_VALUE"""),44651.0)</f>
        <v>44651</v>
      </c>
      <c r="E1438" s="298"/>
      <c r="F1438" s="298"/>
      <c r="G1438" s="298"/>
      <c r="H1438" s="223"/>
      <c r="I1438" s="298">
        <f>IFERROR(__xludf.DUMMYFUNCTION("""COMPUTED_VALUE"""),212.5)</f>
        <v>212.5</v>
      </c>
      <c r="J1438" s="223" t="str">
        <f>IFERROR(__xludf.DUMMYFUNCTION("""COMPUTED_VALUE"""),"Monthly")</f>
        <v>Monthly</v>
      </c>
      <c r="K1438" s="317">
        <f>IFERROR(__xludf.DUMMYFUNCTION("""COMPUTED_VALUE"""),2022.03)</f>
        <v>2022.03</v>
      </c>
      <c r="L1438" s="298"/>
      <c r="M1438" s="223"/>
      <c r="N1438" s="223"/>
      <c r="O1438" s="223"/>
      <c r="P1438" s="223"/>
      <c r="Q1438" s="223"/>
      <c r="R1438" s="223"/>
      <c r="S1438" s="223"/>
      <c r="T1438" s="223"/>
      <c r="U1438" s="223"/>
      <c r="V1438" s="223"/>
      <c r="W1438" s="223"/>
      <c r="X1438" s="223"/>
      <c r="Y1438" s="223"/>
      <c r="Z1438" s="223"/>
    </row>
    <row r="1439">
      <c r="A1439" s="223" t="str">
        <f>IFERROR(__xludf.DUMMYFUNCTION("""COMPUTED_VALUE"""),"Wallack's Art Supplies : Monthly Services")</f>
        <v>Wallack's Art Supplies : Monthly Services</v>
      </c>
      <c r="B1439" s="223" t="str">
        <f>IFERROR(__xludf.DUMMYFUNCTION("""COMPUTED_VALUE"""),"Wallack's Art Supplies")</f>
        <v>Wallack's Art Supplies</v>
      </c>
      <c r="C1439" s="223" t="str">
        <f>IFERROR(__xludf.DUMMYFUNCTION("""COMPUTED_VALUE"""),"Monthly Services")</f>
        <v>Monthly Services</v>
      </c>
      <c r="D1439" s="316">
        <f>IFERROR(__xludf.DUMMYFUNCTION("""COMPUTED_VALUE"""),44651.0)</f>
        <v>44651</v>
      </c>
      <c r="E1439" s="298"/>
      <c r="F1439" s="298"/>
      <c r="G1439" s="298"/>
      <c r="H1439" s="223"/>
      <c r="I1439" s="298">
        <f>IFERROR(__xludf.DUMMYFUNCTION("""COMPUTED_VALUE"""),250.0)</f>
        <v>250</v>
      </c>
      <c r="J1439" s="223" t="str">
        <f>IFERROR(__xludf.DUMMYFUNCTION("""COMPUTED_VALUE"""),"Monthly")</f>
        <v>Monthly</v>
      </c>
      <c r="K1439" s="317">
        <f>IFERROR(__xludf.DUMMYFUNCTION("""COMPUTED_VALUE"""),2022.03)</f>
        <v>2022.03</v>
      </c>
      <c r="L1439" s="298"/>
      <c r="M1439" s="223"/>
      <c r="N1439" s="223"/>
      <c r="O1439" s="223"/>
      <c r="P1439" s="223"/>
      <c r="Q1439" s="223"/>
      <c r="R1439" s="223"/>
      <c r="S1439" s="223"/>
      <c r="T1439" s="223"/>
      <c r="U1439" s="223"/>
      <c r="V1439" s="223"/>
      <c r="W1439" s="223"/>
      <c r="X1439" s="223"/>
      <c r="Y1439" s="223"/>
      <c r="Z1439" s="223"/>
    </row>
    <row r="1440">
      <c r="A1440" s="223" t="str">
        <f>IFERROR(__xludf.DUMMYFUNCTION("""COMPUTED_VALUE"""),"OA Region 6 : Monthly Services")</f>
        <v>OA Region 6 : Monthly Services</v>
      </c>
      <c r="B1440" s="223" t="str">
        <f>IFERROR(__xludf.DUMMYFUNCTION("""COMPUTED_VALUE"""),"OA Region 6")</f>
        <v>OA Region 6</v>
      </c>
      <c r="C1440" s="223" t="str">
        <f>IFERROR(__xludf.DUMMYFUNCTION("""COMPUTED_VALUE"""),"Monthly Services")</f>
        <v>Monthly Services</v>
      </c>
      <c r="D1440" s="316">
        <f>IFERROR(__xludf.DUMMYFUNCTION("""COMPUTED_VALUE"""),44651.0)</f>
        <v>44651</v>
      </c>
      <c r="E1440" s="298"/>
      <c r="F1440" s="298"/>
      <c r="G1440" s="298"/>
      <c r="H1440" s="223"/>
      <c r="I1440" s="298">
        <f>IFERROR(__xludf.DUMMYFUNCTION("""COMPUTED_VALUE"""),150.0)</f>
        <v>150</v>
      </c>
      <c r="J1440" s="223" t="str">
        <f>IFERROR(__xludf.DUMMYFUNCTION("""COMPUTED_VALUE"""),"Monthly")</f>
        <v>Monthly</v>
      </c>
      <c r="K1440" s="317">
        <f>IFERROR(__xludf.DUMMYFUNCTION("""COMPUTED_VALUE"""),2022.03)</f>
        <v>2022.03</v>
      </c>
      <c r="L1440" s="298"/>
      <c r="M1440" s="223"/>
      <c r="N1440" s="223"/>
      <c r="O1440" s="223"/>
      <c r="P1440" s="223"/>
      <c r="Q1440" s="223"/>
      <c r="R1440" s="223"/>
      <c r="S1440" s="223"/>
      <c r="T1440" s="223"/>
      <c r="U1440" s="223"/>
      <c r="V1440" s="223"/>
      <c r="W1440" s="223"/>
      <c r="X1440" s="223"/>
      <c r="Y1440" s="223"/>
      <c r="Z1440" s="223"/>
    </row>
    <row r="1441">
      <c r="A1441" s="223" t="str">
        <f>IFERROR(__xludf.DUMMYFUNCTION("""COMPUTED_VALUE"""),"PlusROI : Marketing")</f>
        <v>PlusROI : Marketing</v>
      </c>
      <c r="B1441" s="223" t="str">
        <f>IFERROR(__xludf.DUMMYFUNCTION("""COMPUTED_VALUE"""),"PlusROI")</f>
        <v>PlusROI</v>
      </c>
      <c r="C1441" s="223" t="str">
        <f>IFERROR(__xludf.DUMMYFUNCTION("""COMPUTED_VALUE"""),"Marketing")</f>
        <v>Marketing</v>
      </c>
      <c r="D1441" s="316">
        <f>IFERROR(__xludf.DUMMYFUNCTION("""COMPUTED_VALUE"""),44651.0)</f>
        <v>44651</v>
      </c>
      <c r="E1441" s="298"/>
      <c r="F1441" s="298"/>
      <c r="G1441" s="298"/>
      <c r="H1441" s="223"/>
      <c r="I1441" s="298">
        <f>IFERROR(__xludf.DUMMYFUNCTION("""COMPUTED_VALUE"""),50.0)</f>
        <v>50</v>
      </c>
      <c r="J1441" s="223" t="str">
        <f>IFERROR(__xludf.DUMMYFUNCTION("""COMPUTED_VALUE"""),"Hourly")</f>
        <v>Hourly</v>
      </c>
      <c r="K1441" s="317">
        <f>IFERROR(__xludf.DUMMYFUNCTION("""COMPUTED_VALUE"""),2022.0)</f>
        <v>2022</v>
      </c>
      <c r="L1441" s="298"/>
      <c r="M1441" s="223"/>
      <c r="N1441" s="223"/>
      <c r="O1441" s="223"/>
      <c r="P1441" s="223"/>
      <c r="Q1441" s="223"/>
      <c r="R1441" s="223"/>
      <c r="S1441" s="223"/>
      <c r="T1441" s="223"/>
      <c r="U1441" s="223"/>
      <c r="V1441" s="223"/>
      <c r="W1441" s="223"/>
      <c r="X1441" s="223"/>
      <c r="Y1441" s="223"/>
      <c r="Z1441" s="223"/>
    </row>
    <row r="1442">
      <c r="A1442" s="223" t="str">
        <f>IFERROR(__xludf.DUMMYFUNCTION("""COMPUTED_VALUE"""),"Tuscany : Monthly Services")</f>
        <v>Tuscany : Monthly Services</v>
      </c>
      <c r="B1442" s="223" t="str">
        <f>IFERROR(__xludf.DUMMYFUNCTION("""COMPUTED_VALUE"""),"Tuscany")</f>
        <v>Tuscany</v>
      </c>
      <c r="C1442" s="223" t="str">
        <f>IFERROR(__xludf.DUMMYFUNCTION("""COMPUTED_VALUE"""),"Monthly Services")</f>
        <v>Monthly Services</v>
      </c>
      <c r="D1442" s="316">
        <f>IFERROR(__xludf.DUMMYFUNCTION("""COMPUTED_VALUE"""),44651.0)</f>
        <v>44651</v>
      </c>
      <c r="E1442" s="298"/>
      <c r="F1442" s="298"/>
      <c r="G1442" s="298"/>
      <c r="H1442" s="223"/>
      <c r="I1442" s="298">
        <f>IFERROR(__xludf.DUMMYFUNCTION("""COMPUTED_VALUE"""),662.5)</f>
        <v>662.5</v>
      </c>
      <c r="J1442" s="223" t="str">
        <f>IFERROR(__xludf.DUMMYFUNCTION("""COMPUTED_VALUE"""),"Monthly")</f>
        <v>Monthly</v>
      </c>
      <c r="K1442" s="317">
        <f>IFERROR(__xludf.DUMMYFUNCTION("""COMPUTED_VALUE"""),2022.03)</f>
        <v>2022.03</v>
      </c>
      <c r="L1442" s="298"/>
      <c r="M1442" s="223"/>
      <c r="N1442" s="223"/>
      <c r="O1442" s="223"/>
      <c r="P1442" s="223"/>
      <c r="Q1442" s="223"/>
      <c r="R1442" s="223"/>
      <c r="S1442" s="223"/>
      <c r="T1442" s="223"/>
      <c r="U1442" s="223"/>
      <c r="V1442" s="223"/>
      <c r="W1442" s="223"/>
      <c r="X1442" s="223"/>
      <c r="Y1442" s="223"/>
      <c r="Z1442" s="223"/>
    </row>
    <row r="1443">
      <c r="A1443" s="223" t="str">
        <f>IFERROR(__xludf.DUMMYFUNCTION("""COMPUTED_VALUE"""),"Venetian : Monthly Services")</f>
        <v>Venetian : Monthly Services</v>
      </c>
      <c r="B1443" s="223" t="str">
        <f>IFERROR(__xludf.DUMMYFUNCTION("""COMPUTED_VALUE"""),"Venetian")</f>
        <v>Venetian</v>
      </c>
      <c r="C1443" s="223" t="str">
        <f>IFERROR(__xludf.DUMMYFUNCTION("""COMPUTED_VALUE"""),"Monthly Services")</f>
        <v>Monthly Services</v>
      </c>
      <c r="D1443" s="316">
        <f>IFERROR(__xludf.DUMMYFUNCTION("""COMPUTED_VALUE"""),44651.0)</f>
        <v>44651</v>
      </c>
      <c r="E1443" s="298"/>
      <c r="F1443" s="298"/>
      <c r="G1443" s="298"/>
      <c r="H1443" s="223"/>
      <c r="I1443" s="298">
        <f>IFERROR(__xludf.DUMMYFUNCTION("""COMPUTED_VALUE"""),662.5)</f>
        <v>662.5</v>
      </c>
      <c r="J1443" s="223" t="str">
        <f>IFERROR(__xludf.DUMMYFUNCTION("""COMPUTED_VALUE"""),"Monthly")</f>
        <v>Monthly</v>
      </c>
      <c r="K1443" s="317">
        <f>IFERROR(__xludf.DUMMYFUNCTION("""COMPUTED_VALUE"""),2022.03)</f>
        <v>2022.03</v>
      </c>
      <c r="L1443" s="298"/>
      <c r="M1443" s="223"/>
      <c r="N1443" s="223"/>
      <c r="O1443" s="223"/>
      <c r="P1443" s="223"/>
      <c r="Q1443" s="223"/>
      <c r="R1443" s="223"/>
      <c r="S1443" s="223"/>
      <c r="T1443" s="223"/>
      <c r="U1443" s="223"/>
      <c r="V1443" s="223"/>
      <c r="W1443" s="223"/>
      <c r="X1443" s="223"/>
      <c r="Y1443" s="223"/>
      <c r="Z1443" s="223"/>
    </row>
    <row r="1444">
      <c r="A1444" s="223" t="str">
        <f>IFERROR(__xludf.DUMMYFUNCTION("""COMPUTED_VALUE"""),"Spraggs : Monthly Services")</f>
        <v>Spraggs : Monthly Services</v>
      </c>
      <c r="B1444" s="223" t="str">
        <f>IFERROR(__xludf.DUMMYFUNCTION("""COMPUTED_VALUE"""),"Spraggs")</f>
        <v>Spraggs</v>
      </c>
      <c r="C1444" s="223" t="str">
        <f>IFERROR(__xludf.DUMMYFUNCTION("""COMPUTED_VALUE"""),"Monthly Services")</f>
        <v>Monthly Services</v>
      </c>
      <c r="D1444" s="316">
        <f>IFERROR(__xludf.DUMMYFUNCTION("""COMPUTED_VALUE"""),44651.0)</f>
        <v>44651</v>
      </c>
      <c r="E1444" s="298"/>
      <c r="F1444" s="298"/>
      <c r="G1444" s="298"/>
      <c r="H1444" s="223"/>
      <c r="I1444" s="298">
        <f>IFERROR(__xludf.DUMMYFUNCTION("""COMPUTED_VALUE"""),350.0)</f>
        <v>350</v>
      </c>
      <c r="J1444" s="223" t="str">
        <f>IFERROR(__xludf.DUMMYFUNCTION("""COMPUTED_VALUE"""),"Monthly")</f>
        <v>Monthly</v>
      </c>
      <c r="K1444" s="317">
        <f>IFERROR(__xludf.DUMMYFUNCTION("""COMPUTED_VALUE"""),2022.03)</f>
        <v>2022.03</v>
      </c>
      <c r="L1444" s="298"/>
      <c r="M1444" s="223"/>
      <c r="N1444" s="223"/>
      <c r="O1444" s="223"/>
      <c r="P1444" s="223"/>
      <c r="Q1444" s="223"/>
      <c r="R1444" s="223"/>
      <c r="S1444" s="223"/>
      <c r="T1444" s="223"/>
      <c r="U1444" s="223"/>
      <c r="V1444" s="223"/>
      <c r="W1444" s="223"/>
      <c r="X1444" s="223"/>
      <c r="Y1444" s="223"/>
      <c r="Z1444" s="223"/>
    </row>
    <row r="1445">
      <c r="A1445" s="223" t="str">
        <f>IFERROR(__xludf.DUMMYFUNCTION("""COMPUTED_VALUE"""),"Diversified Health : Monthly Services")</f>
        <v>Diversified Health : Monthly Services</v>
      </c>
      <c r="B1445" s="223" t="str">
        <f>IFERROR(__xludf.DUMMYFUNCTION("""COMPUTED_VALUE"""),"Diversified Health")</f>
        <v>Diversified Health</v>
      </c>
      <c r="C1445" s="223" t="str">
        <f>IFERROR(__xludf.DUMMYFUNCTION("""COMPUTED_VALUE"""),"Monthly Services")</f>
        <v>Monthly Services</v>
      </c>
      <c r="D1445" s="316">
        <f>IFERROR(__xludf.DUMMYFUNCTION("""COMPUTED_VALUE"""),44651.0)</f>
        <v>44651</v>
      </c>
      <c r="E1445" s="298"/>
      <c r="F1445" s="298"/>
      <c r="G1445" s="298"/>
      <c r="H1445" s="223"/>
      <c r="I1445" s="298">
        <f>IFERROR(__xludf.DUMMYFUNCTION("""COMPUTED_VALUE"""),475.0)</f>
        <v>475</v>
      </c>
      <c r="J1445" s="223" t="str">
        <f>IFERROR(__xludf.DUMMYFUNCTION("""COMPUTED_VALUE"""),"Monthly")</f>
        <v>Monthly</v>
      </c>
      <c r="K1445" s="317">
        <f>IFERROR(__xludf.DUMMYFUNCTION("""COMPUTED_VALUE"""),2022.03)</f>
        <v>2022.03</v>
      </c>
      <c r="L1445" s="298"/>
      <c r="M1445" s="223"/>
      <c r="N1445" s="223"/>
      <c r="O1445" s="223"/>
      <c r="P1445" s="223"/>
      <c r="Q1445" s="223"/>
      <c r="R1445" s="223"/>
      <c r="S1445" s="223"/>
      <c r="T1445" s="223"/>
      <c r="U1445" s="223"/>
      <c r="V1445" s="223"/>
      <c r="W1445" s="223"/>
      <c r="X1445" s="223"/>
      <c r="Y1445" s="223"/>
      <c r="Z1445" s="223"/>
    </row>
    <row r="1446">
      <c r="A1446" s="223" t="str">
        <f>IFERROR(__xludf.DUMMYFUNCTION("""COMPUTED_VALUE"""),"TisBest : Monthly Services")</f>
        <v>TisBest : Monthly Services</v>
      </c>
      <c r="B1446" s="223" t="str">
        <f>IFERROR(__xludf.DUMMYFUNCTION("""COMPUTED_VALUE"""),"TisBest")</f>
        <v>TisBest</v>
      </c>
      <c r="C1446" s="223" t="str">
        <f>IFERROR(__xludf.DUMMYFUNCTION("""COMPUTED_VALUE"""),"Monthly Services")</f>
        <v>Monthly Services</v>
      </c>
      <c r="D1446" s="316">
        <f>IFERROR(__xludf.DUMMYFUNCTION("""COMPUTED_VALUE"""),44651.0)</f>
        <v>44651</v>
      </c>
      <c r="E1446" s="298"/>
      <c r="F1446" s="298"/>
      <c r="G1446" s="298"/>
      <c r="H1446" s="223"/>
      <c r="I1446" s="298">
        <f>IFERROR(__xludf.DUMMYFUNCTION("""COMPUTED_VALUE"""),1137.5)</f>
        <v>1137.5</v>
      </c>
      <c r="J1446" s="223" t="str">
        <f>IFERROR(__xludf.DUMMYFUNCTION("""COMPUTED_VALUE"""),"Monthly")</f>
        <v>Monthly</v>
      </c>
      <c r="K1446" s="317">
        <f>IFERROR(__xludf.DUMMYFUNCTION("""COMPUTED_VALUE"""),2022.03)</f>
        <v>2022.03</v>
      </c>
      <c r="L1446" s="298"/>
      <c r="M1446" s="223"/>
      <c r="N1446" s="223"/>
      <c r="O1446" s="223"/>
      <c r="P1446" s="223"/>
      <c r="Q1446" s="223"/>
      <c r="R1446" s="223"/>
      <c r="S1446" s="223"/>
      <c r="T1446" s="223"/>
      <c r="U1446" s="223"/>
      <c r="V1446" s="223"/>
      <c r="W1446" s="223"/>
      <c r="X1446" s="223"/>
      <c r="Y1446" s="223"/>
      <c r="Z1446" s="223"/>
    </row>
    <row r="1447">
      <c r="A1447" s="223" t="str">
        <f>IFERROR(__xludf.DUMMYFUNCTION("""COMPUTED_VALUE"""),"Tofino Resort + Marina : Monthly Services")</f>
        <v>Tofino Resort + Marina : Monthly Services</v>
      </c>
      <c r="B1447" s="223" t="str">
        <f>IFERROR(__xludf.DUMMYFUNCTION("""COMPUTED_VALUE"""),"Tofino Resort + Marina")</f>
        <v>Tofino Resort + Marina</v>
      </c>
      <c r="C1447" s="223" t="str">
        <f>IFERROR(__xludf.DUMMYFUNCTION("""COMPUTED_VALUE"""),"Monthly Services")</f>
        <v>Monthly Services</v>
      </c>
      <c r="D1447" s="316">
        <f>IFERROR(__xludf.DUMMYFUNCTION("""COMPUTED_VALUE"""),44651.0)</f>
        <v>44651</v>
      </c>
      <c r="E1447" s="298"/>
      <c r="F1447" s="298"/>
      <c r="G1447" s="298"/>
      <c r="H1447" s="223"/>
      <c r="I1447" s="298">
        <f>IFERROR(__xludf.DUMMYFUNCTION("""COMPUTED_VALUE"""),450.0)</f>
        <v>450</v>
      </c>
      <c r="J1447" s="223" t="str">
        <f>IFERROR(__xludf.DUMMYFUNCTION("""COMPUTED_VALUE"""),"Monthly")</f>
        <v>Monthly</v>
      </c>
      <c r="K1447" s="317">
        <f>IFERROR(__xludf.DUMMYFUNCTION("""COMPUTED_VALUE"""),2022.03)</f>
        <v>2022.03</v>
      </c>
      <c r="L1447" s="298"/>
      <c r="M1447" s="223"/>
      <c r="N1447" s="223"/>
      <c r="O1447" s="223"/>
      <c r="P1447" s="223"/>
      <c r="Q1447" s="223"/>
      <c r="R1447" s="223"/>
      <c r="S1447" s="223"/>
      <c r="T1447" s="223"/>
      <c r="U1447" s="223"/>
      <c r="V1447" s="223"/>
      <c r="W1447" s="223"/>
      <c r="X1447" s="223"/>
      <c r="Y1447" s="223"/>
      <c r="Z1447" s="223"/>
    </row>
    <row r="1448">
      <c r="A1448" s="223" t="str">
        <f>IFERROR(__xludf.DUMMYFUNCTION("""COMPUTED_VALUE"""),"BookKing (Pacific Tier) : Monthly Services")</f>
        <v>BookKing (Pacific Tier) : Monthly Services</v>
      </c>
      <c r="B1448" s="223" t="str">
        <f>IFERROR(__xludf.DUMMYFUNCTION("""COMPUTED_VALUE"""),"BookKing (Pacific Tier)")</f>
        <v>BookKing (Pacific Tier)</v>
      </c>
      <c r="C1448" s="223" t="str">
        <f>IFERROR(__xludf.DUMMYFUNCTION("""COMPUTED_VALUE"""),"Monthly Services")</f>
        <v>Monthly Services</v>
      </c>
      <c r="D1448" s="316">
        <f>IFERROR(__xludf.DUMMYFUNCTION("""COMPUTED_VALUE"""),44651.0)</f>
        <v>44651</v>
      </c>
      <c r="E1448" s="298"/>
      <c r="F1448" s="298"/>
      <c r="G1448" s="298"/>
      <c r="H1448" s="223"/>
      <c r="I1448" s="298">
        <f>IFERROR(__xludf.DUMMYFUNCTION("""COMPUTED_VALUE"""),75.0)</f>
        <v>75</v>
      </c>
      <c r="J1448" s="223" t="str">
        <f>IFERROR(__xludf.DUMMYFUNCTION("""COMPUTED_VALUE"""),"Monthly")</f>
        <v>Monthly</v>
      </c>
      <c r="K1448" s="317">
        <f>IFERROR(__xludf.DUMMYFUNCTION("""COMPUTED_VALUE"""),2022.03)</f>
        <v>2022.03</v>
      </c>
      <c r="L1448" s="298"/>
      <c r="M1448" s="223"/>
      <c r="N1448" s="223"/>
      <c r="O1448" s="223"/>
      <c r="P1448" s="223"/>
      <c r="Q1448" s="223"/>
      <c r="R1448" s="223"/>
      <c r="S1448" s="223"/>
      <c r="T1448" s="223"/>
      <c r="U1448" s="223"/>
      <c r="V1448" s="223"/>
      <c r="W1448" s="223"/>
      <c r="X1448" s="223"/>
      <c r="Y1448" s="223"/>
      <c r="Z1448" s="223"/>
    </row>
    <row r="1449">
      <c r="A1449" s="223" t="str">
        <f>IFERROR(__xludf.DUMMYFUNCTION("""COMPUTED_VALUE"""),"Spraggs : Monthly Services")</f>
        <v>Spraggs : Monthly Services</v>
      </c>
      <c r="B1449" s="223" t="str">
        <f>IFERROR(__xludf.DUMMYFUNCTION("""COMPUTED_VALUE"""),"Spraggs")</f>
        <v>Spraggs</v>
      </c>
      <c r="C1449" s="223" t="str">
        <f>IFERROR(__xludf.DUMMYFUNCTION("""COMPUTED_VALUE"""),"Monthly Services")</f>
        <v>Monthly Services</v>
      </c>
      <c r="D1449" s="316">
        <f>IFERROR(__xludf.DUMMYFUNCTION("""COMPUTED_VALUE"""),44651.0)</f>
        <v>44651</v>
      </c>
      <c r="E1449" s="298"/>
      <c r="F1449" s="298"/>
      <c r="G1449" s="298"/>
      <c r="H1449" s="223"/>
      <c r="I1449" s="298">
        <f>IFERROR(__xludf.DUMMYFUNCTION("""COMPUTED_VALUE"""),575.0)</f>
        <v>575</v>
      </c>
      <c r="J1449" s="223" t="str">
        <f>IFERROR(__xludf.DUMMYFUNCTION("""COMPUTED_VALUE"""),"Monthly")</f>
        <v>Monthly</v>
      </c>
      <c r="K1449" s="317">
        <f>IFERROR(__xludf.DUMMYFUNCTION("""COMPUTED_VALUE"""),2022.03)</f>
        <v>2022.03</v>
      </c>
      <c r="L1449" s="298"/>
      <c r="M1449" s="223"/>
      <c r="N1449" s="223"/>
      <c r="O1449" s="223"/>
      <c r="P1449" s="223"/>
      <c r="Q1449" s="223"/>
      <c r="R1449" s="223"/>
      <c r="S1449" s="223"/>
      <c r="T1449" s="223"/>
      <c r="U1449" s="223"/>
      <c r="V1449" s="223"/>
      <c r="W1449" s="223"/>
      <c r="X1449" s="223"/>
      <c r="Y1449" s="223"/>
      <c r="Z1449" s="223"/>
    </row>
    <row r="1450">
      <c r="A1450" s="223" t="str">
        <f>IFERROR(__xludf.DUMMYFUNCTION("""COMPUTED_VALUE"""),"MortgagePal : Monthly Services")</f>
        <v>MortgagePal : Monthly Services</v>
      </c>
      <c r="B1450" s="223" t="str">
        <f>IFERROR(__xludf.DUMMYFUNCTION("""COMPUTED_VALUE"""),"MortgagePal")</f>
        <v>MortgagePal</v>
      </c>
      <c r="C1450" s="223" t="str">
        <f>IFERROR(__xludf.DUMMYFUNCTION("""COMPUTED_VALUE"""),"Monthly Services")</f>
        <v>Monthly Services</v>
      </c>
      <c r="D1450" s="316">
        <f>IFERROR(__xludf.DUMMYFUNCTION("""COMPUTED_VALUE"""),44651.0)</f>
        <v>44651</v>
      </c>
      <c r="E1450" s="298"/>
      <c r="F1450" s="298"/>
      <c r="G1450" s="298"/>
      <c r="H1450" s="223"/>
      <c r="I1450" s="298">
        <f>IFERROR(__xludf.DUMMYFUNCTION("""COMPUTED_VALUE"""),45.0)</f>
        <v>45</v>
      </c>
      <c r="J1450" s="223" t="str">
        <f>IFERROR(__xludf.DUMMYFUNCTION("""COMPUTED_VALUE"""),"Monthly")</f>
        <v>Monthly</v>
      </c>
      <c r="K1450" s="317">
        <f>IFERROR(__xludf.DUMMYFUNCTION("""COMPUTED_VALUE"""),2022.03)</f>
        <v>2022.03</v>
      </c>
      <c r="L1450" s="298"/>
      <c r="M1450" s="223"/>
      <c r="N1450" s="223"/>
      <c r="O1450" s="223"/>
      <c r="P1450" s="223"/>
      <c r="Q1450" s="223"/>
      <c r="R1450" s="223"/>
      <c r="S1450" s="223"/>
      <c r="T1450" s="223"/>
      <c r="U1450" s="223"/>
      <c r="V1450" s="223"/>
      <c r="W1450" s="223"/>
      <c r="X1450" s="223"/>
      <c r="Y1450" s="223"/>
      <c r="Z1450" s="223"/>
    </row>
    <row r="1451">
      <c r="A1451" s="223" t="str">
        <f>IFERROR(__xludf.DUMMYFUNCTION("""COMPUTED_VALUE"""),"Olivia Shoppe : Monthly Services")</f>
        <v>Olivia Shoppe : Monthly Services</v>
      </c>
      <c r="B1451" s="223" t="str">
        <f>IFERROR(__xludf.DUMMYFUNCTION("""COMPUTED_VALUE"""),"Olivia Shoppe")</f>
        <v>Olivia Shoppe</v>
      </c>
      <c r="C1451" s="223" t="str">
        <f>IFERROR(__xludf.DUMMYFUNCTION("""COMPUTED_VALUE"""),"Monthly Services")</f>
        <v>Monthly Services</v>
      </c>
      <c r="D1451" s="316">
        <f>IFERROR(__xludf.DUMMYFUNCTION("""COMPUTED_VALUE"""),44651.0)</f>
        <v>44651</v>
      </c>
      <c r="E1451" s="298"/>
      <c r="F1451" s="298"/>
      <c r="G1451" s="298"/>
      <c r="H1451" s="223"/>
      <c r="I1451" s="298">
        <f>IFERROR(__xludf.DUMMYFUNCTION("""COMPUTED_VALUE"""),310.0)</f>
        <v>310</v>
      </c>
      <c r="J1451" s="223" t="str">
        <f>IFERROR(__xludf.DUMMYFUNCTION("""COMPUTED_VALUE"""),"Monthly")</f>
        <v>Monthly</v>
      </c>
      <c r="K1451" s="317">
        <f>IFERROR(__xludf.DUMMYFUNCTION("""COMPUTED_VALUE"""),2022.03)</f>
        <v>2022.03</v>
      </c>
      <c r="L1451" s="298"/>
      <c r="M1451" s="223"/>
      <c r="N1451" s="223"/>
      <c r="O1451" s="223"/>
      <c r="P1451" s="223"/>
      <c r="Q1451" s="223"/>
      <c r="R1451" s="223"/>
      <c r="S1451" s="223"/>
      <c r="T1451" s="223"/>
      <c r="U1451" s="223"/>
      <c r="V1451" s="223"/>
      <c r="W1451" s="223"/>
      <c r="X1451" s="223"/>
      <c r="Y1451" s="223"/>
      <c r="Z1451" s="223"/>
    </row>
    <row r="1452">
      <c r="A1452" s="223" t="str">
        <f>IFERROR(__xludf.DUMMYFUNCTION("""COMPUTED_VALUE"""),"Tires Easy : Monthly Services for Tires-Easy.com")</f>
        <v>Tires Easy : Monthly Services for Tires-Easy.com</v>
      </c>
      <c r="B1452" s="223" t="str">
        <f>IFERROR(__xludf.DUMMYFUNCTION("""COMPUTED_VALUE"""),"Tires Easy")</f>
        <v>Tires Easy</v>
      </c>
      <c r="C1452" s="223" t="str">
        <f>IFERROR(__xludf.DUMMYFUNCTION("""COMPUTED_VALUE"""),"Monthly Services for Tires-Easy.com")</f>
        <v>Monthly Services for Tires-Easy.com</v>
      </c>
      <c r="D1452" s="316">
        <f>IFERROR(__xludf.DUMMYFUNCTION("""COMPUTED_VALUE"""),44651.0)</f>
        <v>44651</v>
      </c>
      <c r="E1452" s="298"/>
      <c r="F1452" s="298"/>
      <c r="G1452" s="298"/>
      <c r="H1452" s="223"/>
      <c r="I1452" s="298">
        <f>IFERROR(__xludf.DUMMYFUNCTION("""COMPUTED_VALUE"""),180.0)</f>
        <v>180</v>
      </c>
      <c r="J1452" s="223" t="str">
        <f>IFERROR(__xludf.DUMMYFUNCTION("""COMPUTED_VALUE"""),"Monthly")</f>
        <v>Monthly</v>
      </c>
      <c r="K1452" s="317">
        <f>IFERROR(__xludf.DUMMYFUNCTION("""COMPUTED_VALUE"""),2022.03)</f>
        <v>2022.03</v>
      </c>
      <c r="L1452" s="298"/>
      <c r="M1452" s="223"/>
      <c r="N1452" s="223"/>
      <c r="O1452" s="223"/>
      <c r="P1452" s="223"/>
      <c r="Q1452" s="223"/>
      <c r="R1452" s="223"/>
      <c r="S1452" s="223"/>
      <c r="T1452" s="223"/>
      <c r="U1452" s="223"/>
      <c r="V1452" s="223"/>
      <c r="W1452" s="223"/>
      <c r="X1452" s="223"/>
      <c r="Y1452" s="223"/>
      <c r="Z1452" s="223"/>
    </row>
    <row r="1453">
      <c r="A1453" s="223" t="str">
        <f>IFERROR(__xludf.DUMMYFUNCTION("""COMPUTED_VALUE"""),"Giga Tires : Monthly Services")</f>
        <v>Giga Tires : Monthly Services</v>
      </c>
      <c r="B1453" s="223" t="str">
        <f>IFERROR(__xludf.DUMMYFUNCTION("""COMPUTED_VALUE"""),"Giga Tires")</f>
        <v>Giga Tires</v>
      </c>
      <c r="C1453" s="223" t="str">
        <f>IFERROR(__xludf.DUMMYFUNCTION("""COMPUTED_VALUE"""),"Monthly Services")</f>
        <v>Monthly Services</v>
      </c>
      <c r="D1453" s="316">
        <f>IFERROR(__xludf.DUMMYFUNCTION("""COMPUTED_VALUE"""),44651.0)</f>
        <v>44651</v>
      </c>
      <c r="E1453" s="298"/>
      <c r="F1453" s="298"/>
      <c r="G1453" s="298"/>
      <c r="H1453" s="223"/>
      <c r="I1453" s="298">
        <f>IFERROR(__xludf.DUMMYFUNCTION("""COMPUTED_VALUE"""),180.0)</f>
        <v>180</v>
      </c>
      <c r="J1453" s="223" t="str">
        <f>IFERROR(__xludf.DUMMYFUNCTION("""COMPUTED_VALUE"""),"Monthly")</f>
        <v>Monthly</v>
      </c>
      <c r="K1453" s="317">
        <f>IFERROR(__xludf.DUMMYFUNCTION("""COMPUTED_VALUE"""),2022.03)</f>
        <v>2022.03</v>
      </c>
      <c r="L1453" s="298"/>
      <c r="M1453" s="223"/>
      <c r="N1453" s="223"/>
      <c r="O1453" s="223"/>
      <c r="P1453" s="223"/>
      <c r="Q1453" s="223"/>
      <c r="R1453" s="223"/>
      <c r="S1453" s="223"/>
      <c r="T1453" s="223"/>
      <c r="U1453" s="223"/>
      <c r="V1453" s="223"/>
      <c r="W1453" s="223"/>
      <c r="X1453" s="223"/>
      <c r="Y1453" s="223"/>
      <c r="Z1453" s="223"/>
    </row>
    <row r="1454">
      <c r="A1454" s="223" t="str">
        <f>IFERROR(__xludf.DUMMYFUNCTION("""COMPUTED_VALUE"""),"Service First : Monthly Services")</f>
        <v>Service First : Monthly Services</v>
      </c>
      <c r="B1454" s="223" t="str">
        <f>IFERROR(__xludf.DUMMYFUNCTION("""COMPUTED_VALUE"""),"Service First")</f>
        <v>Service First</v>
      </c>
      <c r="C1454" s="223" t="str">
        <f>IFERROR(__xludf.DUMMYFUNCTION("""COMPUTED_VALUE"""),"Monthly Services")</f>
        <v>Monthly Services</v>
      </c>
      <c r="D1454" s="316">
        <f>IFERROR(__xludf.DUMMYFUNCTION("""COMPUTED_VALUE"""),44651.0)</f>
        <v>44651</v>
      </c>
      <c r="E1454" s="298"/>
      <c r="F1454" s="298"/>
      <c r="G1454" s="298"/>
      <c r="H1454" s="223"/>
      <c r="I1454" s="298">
        <f>IFERROR(__xludf.DUMMYFUNCTION("""COMPUTED_VALUE"""),30.0)</f>
        <v>30</v>
      </c>
      <c r="J1454" s="223" t="str">
        <f>IFERROR(__xludf.DUMMYFUNCTION("""COMPUTED_VALUE"""),"Monthly")</f>
        <v>Monthly</v>
      </c>
      <c r="K1454" s="317">
        <f>IFERROR(__xludf.DUMMYFUNCTION("""COMPUTED_VALUE"""),2022.03)</f>
        <v>2022.03</v>
      </c>
      <c r="L1454" s="298"/>
      <c r="M1454" s="223"/>
      <c r="N1454" s="223"/>
      <c r="O1454" s="223"/>
      <c r="P1454" s="223"/>
      <c r="Q1454" s="223"/>
      <c r="R1454" s="223"/>
      <c r="S1454" s="223"/>
      <c r="T1454" s="223"/>
      <c r="U1454" s="223"/>
      <c r="V1454" s="223"/>
      <c r="W1454" s="223"/>
      <c r="X1454" s="223"/>
      <c r="Y1454" s="223"/>
      <c r="Z1454" s="223"/>
    </row>
    <row r="1455">
      <c r="A1455" s="223" t="str">
        <f>IFERROR(__xludf.DUMMYFUNCTION("""COMPUTED_VALUE"""),"HSJ Lawyers : Monthly Services")</f>
        <v>HSJ Lawyers : Monthly Services</v>
      </c>
      <c r="B1455" s="223" t="str">
        <f>IFERROR(__xludf.DUMMYFUNCTION("""COMPUTED_VALUE"""),"HSJ Lawyers")</f>
        <v>HSJ Lawyers</v>
      </c>
      <c r="C1455" s="223" t="str">
        <f>IFERROR(__xludf.DUMMYFUNCTION("""COMPUTED_VALUE"""),"Monthly Services")</f>
        <v>Monthly Services</v>
      </c>
      <c r="D1455" s="316">
        <f>IFERROR(__xludf.DUMMYFUNCTION("""COMPUTED_VALUE"""),44651.0)</f>
        <v>44651</v>
      </c>
      <c r="E1455" s="298"/>
      <c r="F1455" s="298"/>
      <c r="G1455" s="298"/>
      <c r="H1455" s="223"/>
      <c r="I1455" s="298">
        <f>IFERROR(__xludf.DUMMYFUNCTION("""COMPUTED_VALUE"""),300.0)</f>
        <v>300</v>
      </c>
      <c r="J1455" s="223" t="str">
        <f>IFERROR(__xludf.DUMMYFUNCTION("""COMPUTED_VALUE"""),"Monthly")</f>
        <v>Monthly</v>
      </c>
      <c r="K1455" s="317">
        <f>IFERROR(__xludf.DUMMYFUNCTION("""COMPUTED_VALUE"""),2022.03)</f>
        <v>2022.03</v>
      </c>
      <c r="L1455" s="298"/>
      <c r="M1455" s="223"/>
      <c r="N1455" s="223"/>
      <c r="O1455" s="223"/>
      <c r="P1455" s="223"/>
      <c r="Q1455" s="223"/>
      <c r="R1455" s="223"/>
      <c r="S1455" s="223"/>
      <c r="T1455" s="223"/>
      <c r="U1455" s="223"/>
      <c r="V1455" s="223"/>
      <c r="W1455" s="223"/>
      <c r="X1455" s="223"/>
      <c r="Y1455" s="223"/>
      <c r="Z1455" s="223"/>
    </row>
    <row r="1456">
      <c r="A1456" s="223" t="str">
        <f>IFERROR(__xludf.DUMMYFUNCTION("""COMPUTED_VALUE"""),"Booginhead : Monthly Services")</f>
        <v>Booginhead : Monthly Services</v>
      </c>
      <c r="B1456" s="223" t="str">
        <f>IFERROR(__xludf.DUMMYFUNCTION("""COMPUTED_VALUE"""),"Booginhead")</f>
        <v>Booginhead</v>
      </c>
      <c r="C1456" s="223" t="str">
        <f>IFERROR(__xludf.DUMMYFUNCTION("""COMPUTED_VALUE"""),"Monthly Services")</f>
        <v>Monthly Services</v>
      </c>
      <c r="D1456" s="316">
        <f>IFERROR(__xludf.DUMMYFUNCTION("""COMPUTED_VALUE"""),44651.0)</f>
        <v>44651</v>
      </c>
      <c r="E1456" s="298"/>
      <c r="F1456" s="298"/>
      <c r="G1456" s="298"/>
      <c r="H1456" s="223"/>
      <c r="I1456" s="298">
        <f>IFERROR(__xludf.DUMMYFUNCTION("""COMPUTED_VALUE"""),457.5)</f>
        <v>457.5</v>
      </c>
      <c r="J1456" s="223" t="str">
        <f>IFERROR(__xludf.DUMMYFUNCTION("""COMPUTED_VALUE"""),"Monthly")</f>
        <v>Monthly</v>
      </c>
      <c r="K1456" s="317">
        <f>IFERROR(__xludf.DUMMYFUNCTION("""COMPUTED_VALUE"""),2022.03)</f>
        <v>2022.03</v>
      </c>
      <c r="L1456" s="298"/>
      <c r="M1456" s="223"/>
      <c r="N1456" s="223"/>
      <c r="O1456" s="223"/>
      <c r="P1456" s="223"/>
      <c r="Q1456" s="223"/>
      <c r="R1456" s="223"/>
      <c r="S1456" s="223"/>
      <c r="T1456" s="223"/>
      <c r="U1456" s="223"/>
      <c r="V1456" s="223"/>
      <c r="W1456" s="223"/>
      <c r="X1456" s="223"/>
      <c r="Y1456" s="223"/>
      <c r="Z1456" s="223"/>
    </row>
    <row r="1457">
      <c r="A1457" s="223" t="str">
        <f>IFERROR(__xludf.DUMMYFUNCTION("""COMPUTED_VALUE"""),"Arazy Group : Monthly Services")</f>
        <v>Arazy Group : Monthly Services</v>
      </c>
      <c r="B1457" s="223" t="str">
        <f>IFERROR(__xludf.DUMMYFUNCTION("""COMPUTED_VALUE"""),"Arazy Group")</f>
        <v>Arazy Group</v>
      </c>
      <c r="C1457" s="223" t="str">
        <f>IFERROR(__xludf.DUMMYFUNCTION("""COMPUTED_VALUE"""),"Monthly Services")</f>
        <v>Monthly Services</v>
      </c>
      <c r="D1457" s="316">
        <f>IFERROR(__xludf.DUMMYFUNCTION("""COMPUTED_VALUE"""),44651.0)</f>
        <v>44651</v>
      </c>
      <c r="E1457" s="298"/>
      <c r="F1457" s="298"/>
      <c r="G1457" s="298"/>
      <c r="H1457" s="223"/>
      <c r="I1457" s="298">
        <f>IFERROR(__xludf.DUMMYFUNCTION("""COMPUTED_VALUE"""),297.5)</f>
        <v>297.5</v>
      </c>
      <c r="J1457" s="223" t="str">
        <f>IFERROR(__xludf.DUMMYFUNCTION("""COMPUTED_VALUE"""),"Monthly")</f>
        <v>Monthly</v>
      </c>
      <c r="K1457" s="317">
        <f>IFERROR(__xludf.DUMMYFUNCTION("""COMPUTED_VALUE"""),2022.03)</f>
        <v>2022.03</v>
      </c>
      <c r="L1457" s="298"/>
      <c r="M1457" s="223"/>
      <c r="N1457" s="223"/>
      <c r="O1457" s="223"/>
      <c r="P1457" s="223"/>
      <c r="Q1457" s="223"/>
      <c r="R1457" s="223"/>
      <c r="S1457" s="223"/>
      <c r="T1457" s="223"/>
      <c r="U1457" s="223"/>
      <c r="V1457" s="223"/>
      <c r="W1457" s="223"/>
      <c r="X1457" s="223"/>
      <c r="Y1457" s="223"/>
      <c r="Z1457" s="223"/>
    </row>
    <row r="1458">
      <c r="A1458" s="223" t="str">
        <f>IFERROR(__xludf.DUMMYFUNCTION("""COMPUTED_VALUE"""),"Hastings House : Monthly Services")</f>
        <v>Hastings House : Monthly Services</v>
      </c>
      <c r="B1458" s="223" t="str">
        <f>IFERROR(__xludf.DUMMYFUNCTION("""COMPUTED_VALUE"""),"Hastings House")</f>
        <v>Hastings House</v>
      </c>
      <c r="C1458" s="223" t="str">
        <f>IFERROR(__xludf.DUMMYFUNCTION("""COMPUTED_VALUE"""),"Monthly Services")</f>
        <v>Monthly Services</v>
      </c>
      <c r="D1458" s="316">
        <f>IFERROR(__xludf.DUMMYFUNCTION("""COMPUTED_VALUE"""),44651.0)</f>
        <v>44651</v>
      </c>
      <c r="E1458" s="298"/>
      <c r="F1458" s="298"/>
      <c r="G1458" s="298"/>
      <c r="H1458" s="223"/>
      <c r="I1458" s="298">
        <f>IFERROR(__xludf.DUMMYFUNCTION("""COMPUTED_VALUE"""),347.5)</f>
        <v>347.5</v>
      </c>
      <c r="J1458" s="223" t="str">
        <f>IFERROR(__xludf.DUMMYFUNCTION("""COMPUTED_VALUE"""),"Monthly")</f>
        <v>Monthly</v>
      </c>
      <c r="K1458" s="317">
        <f>IFERROR(__xludf.DUMMYFUNCTION("""COMPUTED_VALUE"""),2022.03)</f>
        <v>2022.03</v>
      </c>
      <c r="L1458" s="298"/>
      <c r="M1458" s="223"/>
      <c r="N1458" s="223"/>
      <c r="O1458" s="223"/>
      <c r="P1458" s="223"/>
      <c r="Q1458" s="223"/>
      <c r="R1458" s="223"/>
      <c r="S1458" s="223"/>
      <c r="T1458" s="223"/>
      <c r="U1458" s="223"/>
      <c r="V1458" s="223"/>
      <c r="W1458" s="223"/>
      <c r="X1458" s="223"/>
      <c r="Y1458" s="223"/>
      <c r="Z1458" s="223"/>
    </row>
    <row r="1459">
      <c r="A1459" s="223" t="str">
        <f>IFERROR(__xludf.DUMMYFUNCTION("""COMPUTED_VALUE"""),"Bratopia : Monthly Services")</f>
        <v>Bratopia : Monthly Services</v>
      </c>
      <c r="B1459" s="223" t="str">
        <f>IFERROR(__xludf.DUMMYFUNCTION("""COMPUTED_VALUE"""),"Bratopia")</f>
        <v>Bratopia</v>
      </c>
      <c r="C1459" s="223" t="str">
        <f>IFERROR(__xludf.DUMMYFUNCTION("""COMPUTED_VALUE"""),"Monthly Services")</f>
        <v>Monthly Services</v>
      </c>
      <c r="D1459" s="316">
        <f>IFERROR(__xludf.DUMMYFUNCTION("""COMPUTED_VALUE"""),44651.0)</f>
        <v>44651</v>
      </c>
      <c r="E1459" s="298"/>
      <c r="F1459" s="298"/>
      <c r="G1459" s="298"/>
      <c r="H1459" s="223"/>
      <c r="I1459" s="298">
        <f>IFERROR(__xludf.DUMMYFUNCTION("""COMPUTED_VALUE"""),400.0)</f>
        <v>400</v>
      </c>
      <c r="J1459" s="223" t="str">
        <f>IFERROR(__xludf.DUMMYFUNCTION("""COMPUTED_VALUE"""),"Monthly")</f>
        <v>Monthly</v>
      </c>
      <c r="K1459" s="317">
        <f>IFERROR(__xludf.DUMMYFUNCTION("""COMPUTED_VALUE"""),2022.03)</f>
        <v>2022.03</v>
      </c>
      <c r="L1459" s="298"/>
      <c r="M1459" s="223"/>
      <c r="N1459" s="223"/>
      <c r="O1459" s="223"/>
      <c r="P1459" s="223"/>
      <c r="Q1459" s="223"/>
      <c r="R1459" s="223"/>
      <c r="S1459" s="223"/>
      <c r="T1459" s="223"/>
      <c r="U1459" s="223"/>
      <c r="V1459" s="223"/>
      <c r="W1459" s="223"/>
      <c r="X1459" s="223"/>
      <c r="Y1459" s="223"/>
      <c r="Z1459" s="223"/>
    </row>
    <row r="1460">
      <c r="A1460" s="223" t="str">
        <f>IFERROR(__xludf.DUMMYFUNCTION("""COMPUTED_VALUE"""),"TisBest : Monthly Services")</f>
        <v>TisBest : Monthly Services</v>
      </c>
      <c r="B1460" s="223" t="str">
        <f>IFERROR(__xludf.DUMMYFUNCTION("""COMPUTED_VALUE"""),"TisBest")</f>
        <v>TisBest</v>
      </c>
      <c r="C1460" s="223" t="str">
        <f>IFERROR(__xludf.DUMMYFUNCTION("""COMPUTED_VALUE"""),"Monthly Services")</f>
        <v>Monthly Services</v>
      </c>
      <c r="D1460" s="316">
        <f>IFERROR(__xludf.DUMMYFUNCTION("""COMPUTED_VALUE"""),44651.0)</f>
        <v>44651</v>
      </c>
      <c r="E1460" s="298"/>
      <c r="F1460" s="298"/>
      <c r="G1460" s="298"/>
      <c r="H1460" s="223"/>
      <c r="I1460" s="298">
        <f>IFERROR(__xludf.DUMMYFUNCTION("""COMPUTED_VALUE"""),300.0)</f>
        <v>300</v>
      </c>
      <c r="J1460" s="223" t="str">
        <f>IFERROR(__xludf.DUMMYFUNCTION("""COMPUTED_VALUE"""),"Monthly")</f>
        <v>Monthly</v>
      </c>
      <c r="K1460" s="317">
        <f>IFERROR(__xludf.DUMMYFUNCTION("""COMPUTED_VALUE"""),2022.03)</f>
        <v>2022.03</v>
      </c>
      <c r="L1460" s="298"/>
      <c r="M1460" s="223"/>
      <c r="N1460" s="223"/>
      <c r="O1460" s="223"/>
      <c r="P1460" s="223"/>
      <c r="Q1460" s="223"/>
      <c r="R1460" s="223"/>
      <c r="S1460" s="223"/>
      <c r="T1460" s="223"/>
      <c r="U1460" s="223"/>
      <c r="V1460" s="223"/>
      <c r="W1460" s="223"/>
      <c r="X1460" s="223"/>
      <c r="Y1460" s="223"/>
      <c r="Z1460" s="223"/>
    </row>
    <row r="1461">
      <c r="A1461" s="223" t="str">
        <f>IFERROR(__xludf.DUMMYFUNCTION("""COMPUTED_VALUE"""),"Wallack's Art Supplies : Monthly Services")</f>
        <v>Wallack's Art Supplies : Monthly Services</v>
      </c>
      <c r="B1461" s="223" t="str">
        <f>IFERROR(__xludf.DUMMYFUNCTION("""COMPUTED_VALUE"""),"Wallack's Art Supplies")</f>
        <v>Wallack's Art Supplies</v>
      </c>
      <c r="C1461" s="223" t="str">
        <f>IFERROR(__xludf.DUMMYFUNCTION("""COMPUTED_VALUE"""),"Monthly Services")</f>
        <v>Monthly Services</v>
      </c>
      <c r="D1461" s="316">
        <f>IFERROR(__xludf.DUMMYFUNCTION("""COMPUTED_VALUE"""),44651.0)</f>
        <v>44651</v>
      </c>
      <c r="E1461" s="298"/>
      <c r="F1461" s="298"/>
      <c r="G1461" s="298"/>
      <c r="H1461" s="223"/>
      <c r="I1461" s="298">
        <f>IFERROR(__xludf.DUMMYFUNCTION("""COMPUTED_VALUE"""),60.0)</f>
        <v>60</v>
      </c>
      <c r="J1461" s="223" t="str">
        <f>IFERROR(__xludf.DUMMYFUNCTION("""COMPUTED_VALUE"""),"Monthly")</f>
        <v>Monthly</v>
      </c>
      <c r="K1461" s="317">
        <f>IFERROR(__xludf.DUMMYFUNCTION("""COMPUTED_VALUE"""),2022.03)</f>
        <v>2022.03</v>
      </c>
      <c r="L1461" s="298"/>
      <c r="M1461" s="223"/>
      <c r="N1461" s="223"/>
      <c r="O1461" s="223"/>
      <c r="P1461" s="223"/>
      <c r="Q1461" s="223"/>
      <c r="R1461" s="223"/>
      <c r="S1461" s="223"/>
      <c r="T1461" s="223"/>
      <c r="U1461" s="223"/>
      <c r="V1461" s="223"/>
      <c r="W1461" s="223"/>
      <c r="X1461" s="223"/>
      <c r="Y1461" s="223"/>
      <c r="Z1461" s="223"/>
    </row>
    <row r="1462">
      <c r="A1462" s="223" t="str">
        <f>IFERROR(__xludf.DUMMYFUNCTION("""COMPUTED_VALUE"""),"PMDI : Monthly Services")</f>
        <v>PMDI : Monthly Services</v>
      </c>
      <c r="B1462" s="223" t="str">
        <f>IFERROR(__xludf.DUMMYFUNCTION("""COMPUTED_VALUE"""),"PMDI")</f>
        <v>PMDI</v>
      </c>
      <c r="C1462" s="223" t="str">
        <f>IFERROR(__xludf.DUMMYFUNCTION("""COMPUTED_VALUE"""),"Monthly Services")</f>
        <v>Monthly Services</v>
      </c>
      <c r="D1462" s="316">
        <f>IFERROR(__xludf.DUMMYFUNCTION("""COMPUTED_VALUE"""),44651.0)</f>
        <v>44651</v>
      </c>
      <c r="E1462" s="298"/>
      <c r="F1462" s="298"/>
      <c r="G1462" s="298"/>
      <c r="H1462" s="223"/>
      <c r="I1462" s="298">
        <f>IFERROR(__xludf.DUMMYFUNCTION("""COMPUTED_VALUE"""),167.5)</f>
        <v>167.5</v>
      </c>
      <c r="J1462" s="223" t="str">
        <f>IFERROR(__xludf.DUMMYFUNCTION("""COMPUTED_VALUE"""),"Monthly")</f>
        <v>Monthly</v>
      </c>
      <c r="K1462" s="317">
        <f>IFERROR(__xludf.DUMMYFUNCTION("""COMPUTED_VALUE"""),2022.03)</f>
        <v>2022.03</v>
      </c>
      <c r="L1462" s="298"/>
      <c r="M1462" s="223"/>
      <c r="N1462" s="223"/>
      <c r="O1462" s="223"/>
      <c r="P1462" s="223"/>
      <c r="Q1462" s="223"/>
      <c r="R1462" s="223"/>
      <c r="S1462" s="223"/>
      <c r="T1462" s="223"/>
      <c r="U1462" s="223"/>
      <c r="V1462" s="223"/>
      <c r="W1462" s="223"/>
      <c r="X1462" s="223"/>
      <c r="Y1462" s="223"/>
      <c r="Z1462" s="223"/>
    </row>
    <row r="1463">
      <c r="A1463" s="223" t="str">
        <f>IFERROR(__xludf.DUMMYFUNCTION("""COMPUTED_VALUE"""),"Tofino Resort + Marina : Monthly Services")</f>
        <v>Tofino Resort + Marina : Monthly Services</v>
      </c>
      <c r="B1463" s="223" t="str">
        <f>IFERROR(__xludf.DUMMYFUNCTION("""COMPUTED_VALUE"""),"Tofino Resort + Marina")</f>
        <v>Tofino Resort + Marina</v>
      </c>
      <c r="C1463" s="223" t="str">
        <f>IFERROR(__xludf.DUMMYFUNCTION("""COMPUTED_VALUE"""),"Monthly Services")</f>
        <v>Monthly Services</v>
      </c>
      <c r="D1463" s="316">
        <f>IFERROR(__xludf.DUMMYFUNCTION("""COMPUTED_VALUE"""),44651.0)</f>
        <v>44651</v>
      </c>
      <c r="E1463" s="298"/>
      <c r="F1463" s="298"/>
      <c r="G1463" s="298"/>
      <c r="H1463" s="223"/>
      <c r="I1463" s="298">
        <f>IFERROR(__xludf.DUMMYFUNCTION("""COMPUTED_VALUE"""),300.0)</f>
        <v>300</v>
      </c>
      <c r="J1463" s="223" t="str">
        <f>IFERROR(__xludf.DUMMYFUNCTION("""COMPUTED_VALUE"""),"Monthly")</f>
        <v>Monthly</v>
      </c>
      <c r="K1463" s="317">
        <f>IFERROR(__xludf.DUMMYFUNCTION("""COMPUTED_VALUE"""),2022.03)</f>
        <v>2022.03</v>
      </c>
      <c r="L1463" s="298"/>
      <c r="M1463" s="223"/>
      <c r="N1463" s="223"/>
      <c r="O1463" s="223"/>
      <c r="P1463" s="223"/>
      <c r="Q1463" s="223"/>
      <c r="R1463" s="223"/>
      <c r="S1463" s="223"/>
      <c r="T1463" s="223"/>
      <c r="U1463" s="223"/>
      <c r="V1463" s="223"/>
      <c r="W1463" s="223"/>
      <c r="X1463" s="223"/>
      <c r="Y1463" s="223"/>
      <c r="Z1463" s="223"/>
    </row>
    <row r="1464">
      <c r="A1464" s="223" t="str">
        <f>IFERROR(__xludf.DUMMYFUNCTION("""COMPUTED_VALUE"""),"Anook Athletics : Monthly Services")</f>
        <v>Anook Athletics : Monthly Services</v>
      </c>
      <c r="B1464" s="223" t="str">
        <f>IFERROR(__xludf.DUMMYFUNCTION("""COMPUTED_VALUE"""),"Anook Athletics")</f>
        <v>Anook Athletics</v>
      </c>
      <c r="C1464" s="223" t="str">
        <f>IFERROR(__xludf.DUMMYFUNCTION("""COMPUTED_VALUE"""),"Monthly Services")</f>
        <v>Monthly Services</v>
      </c>
      <c r="D1464" s="316">
        <f>IFERROR(__xludf.DUMMYFUNCTION("""COMPUTED_VALUE"""),44651.0)</f>
        <v>44651</v>
      </c>
      <c r="E1464" s="298"/>
      <c r="F1464" s="298"/>
      <c r="G1464" s="298"/>
      <c r="H1464" s="223"/>
      <c r="I1464" s="298">
        <f>IFERROR(__xludf.DUMMYFUNCTION("""COMPUTED_VALUE"""),175.0)</f>
        <v>175</v>
      </c>
      <c r="J1464" s="223" t="str">
        <f>IFERROR(__xludf.DUMMYFUNCTION("""COMPUTED_VALUE"""),"Monthly")</f>
        <v>Monthly</v>
      </c>
      <c r="K1464" s="317">
        <f>IFERROR(__xludf.DUMMYFUNCTION("""COMPUTED_VALUE"""),2022.03)</f>
        <v>2022.03</v>
      </c>
      <c r="L1464" s="298"/>
      <c r="M1464" s="223"/>
      <c r="N1464" s="223"/>
      <c r="O1464" s="223"/>
      <c r="P1464" s="223"/>
      <c r="Q1464" s="223"/>
      <c r="R1464" s="223"/>
      <c r="S1464" s="223"/>
      <c r="T1464" s="223"/>
      <c r="U1464" s="223"/>
      <c r="V1464" s="223"/>
      <c r="W1464" s="223"/>
      <c r="X1464" s="223"/>
      <c r="Y1464" s="223"/>
      <c r="Z1464" s="223"/>
    </row>
    <row r="1465">
      <c r="A1465" s="223" t="str">
        <f>IFERROR(__xludf.DUMMYFUNCTION("""COMPUTED_VALUE"""),"New Growth Ecommerce Inc : Monthly Services")</f>
        <v>New Growth Ecommerce Inc : Monthly Services</v>
      </c>
      <c r="B1465" s="223" t="str">
        <f>IFERROR(__xludf.DUMMYFUNCTION("""COMPUTED_VALUE"""),"New Growth Ecommerce Inc")</f>
        <v>New Growth Ecommerce Inc</v>
      </c>
      <c r="C1465" s="223" t="str">
        <f>IFERROR(__xludf.DUMMYFUNCTION("""COMPUTED_VALUE"""),"Monthly Services")</f>
        <v>Monthly Services</v>
      </c>
      <c r="D1465" s="316">
        <f>IFERROR(__xludf.DUMMYFUNCTION("""COMPUTED_VALUE"""),44651.0)</f>
        <v>44651</v>
      </c>
      <c r="E1465" s="298"/>
      <c r="F1465" s="298"/>
      <c r="G1465" s="298"/>
      <c r="H1465" s="223"/>
      <c r="I1465" s="298">
        <f>IFERROR(__xludf.DUMMYFUNCTION("""COMPUTED_VALUE"""),1860.0)</f>
        <v>1860</v>
      </c>
      <c r="J1465" s="223" t="str">
        <f>IFERROR(__xludf.DUMMYFUNCTION("""COMPUTED_VALUE"""),"Monthly")</f>
        <v>Monthly</v>
      </c>
      <c r="K1465" s="317">
        <f>IFERROR(__xludf.DUMMYFUNCTION("""COMPUTED_VALUE"""),2022.03)</f>
        <v>2022.03</v>
      </c>
      <c r="L1465" s="298"/>
      <c r="M1465" s="223"/>
      <c r="N1465" s="223"/>
      <c r="O1465" s="223"/>
      <c r="P1465" s="223"/>
      <c r="Q1465" s="223"/>
      <c r="R1465" s="223"/>
      <c r="S1465" s="223"/>
      <c r="T1465" s="223"/>
      <c r="U1465" s="223"/>
      <c r="V1465" s="223"/>
      <c r="W1465" s="223"/>
      <c r="X1465" s="223"/>
      <c r="Y1465" s="223"/>
      <c r="Z1465" s="223"/>
    </row>
    <row r="1466">
      <c r="A1466" s="223" t="str">
        <f>IFERROR(__xludf.DUMMYFUNCTION("""COMPUTED_VALUE"""),"Argos Products : Monthly Services")</f>
        <v>Argos Products : Monthly Services</v>
      </c>
      <c r="B1466" s="223" t="str">
        <f>IFERROR(__xludf.DUMMYFUNCTION("""COMPUTED_VALUE"""),"Argos Products")</f>
        <v>Argos Products</v>
      </c>
      <c r="C1466" s="223" t="str">
        <f>IFERROR(__xludf.DUMMYFUNCTION("""COMPUTED_VALUE"""),"Monthly Services")</f>
        <v>Monthly Services</v>
      </c>
      <c r="D1466" s="316">
        <f>IFERROR(__xludf.DUMMYFUNCTION("""COMPUTED_VALUE"""),44651.0)</f>
        <v>44651</v>
      </c>
      <c r="E1466" s="298"/>
      <c r="F1466" s="298"/>
      <c r="G1466" s="298"/>
      <c r="H1466" s="223"/>
      <c r="I1466" s="298">
        <f>IFERROR(__xludf.DUMMYFUNCTION("""COMPUTED_VALUE"""),45.0)</f>
        <v>45</v>
      </c>
      <c r="J1466" s="223" t="str">
        <f>IFERROR(__xludf.DUMMYFUNCTION("""COMPUTED_VALUE"""),"Monthly")</f>
        <v>Monthly</v>
      </c>
      <c r="K1466" s="317">
        <f>IFERROR(__xludf.DUMMYFUNCTION("""COMPUTED_VALUE"""),2022.03)</f>
        <v>2022.03</v>
      </c>
      <c r="L1466" s="298"/>
      <c r="M1466" s="223"/>
      <c r="N1466" s="223"/>
      <c r="O1466" s="223"/>
      <c r="P1466" s="223"/>
      <c r="Q1466" s="223"/>
      <c r="R1466" s="223"/>
      <c r="S1466" s="223"/>
      <c r="T1466" s="223"/>
      <c r="U1466" s="223"/>
      <c r="V1466" s="223"/>
      <c r="W1466" s="223"/>
      <c r="X1466" s="223"/>
      <c r="Y1466" s="223"/>
      <c r="Z1466" s="223"/>
    </row>
    <row r="1467">
      <c r="A1467" s="223" t="str">
        <f>IFERROR(__xludf.DUMMYFUNCTION("""COMPUTED_VALUE"""),"C360 : Victory360")</f>
        <v>C360 : Victory360</v>
      </c>
      <c r="B1467" s="223" t="str">
        <f>IFERROR(__xludf.DUMMYFUNCTION("""COMPUTED_VALUE"""),"C360")</f>
        <v>C360</v>
      </c>
      <c r="C1467" s="223" t="str">
        <f>IFERROR(__xludf.DUMMYFUNCTION("""COMPUTED_VALUE"""),"Victory360")</f>
        <v>Victory360</v>
      </c>
      <c r="D1467" s="316">
        <f>IFERROR(__xludf.DUMMYFUNCTION("""COMPUTED_VALUE"""),44651.0)</f>
        <v>44651</v>
      </c>
      <c r="E1467" s="298"/>
      <c r="F1467" s="298"/>
      <c r="G1467" s="298"/>
      <c r="H1467" s="223"/>
      <c r="I1467" s="298">
        <f>IFERROR(__xludf.DUMMYFUNCTION("""COMPUTED_VALUE"""),350.0)</f>
        <v>350</v>
      </c>
      <c r="J1467" s="223" t="str">
        <f>IFERROR(__xludf.DUMMYFUNCTION("""COMPUTED_VALUE"""),"Monthly")</f>
        <v>Monthly</v>
      </c>
      <c r="K1467" s="317">
        <f>IFERROR(__xludf.DUMMYFUNCTION("""COMPUTED_VALUE"""),2022.03)</f>
        <v>2022.03</v>
      </c>
      <c r="L1467" s="298"/>
      <c r="M1467" s="223"/>
      <c r="N1467" s="223"/>
      <c r="O1467" s="223"/>
      <c r="P1467" s="223"/>
      <c r="Q1467" s="223"/>
      <c r="R1467" s="223"/>
      <c r="S1467" s="223"/>
      <c r="T1467" s="223"/>
      <c r="U1467" s="223"/>
      <c r="V1467" s="223"/>
      <c r="W1467" s="223"/>
      <c r="X1467" s="223"/>
      <c r="Y1467" s="223"/>
      <c r="Z1467" s="223"/>
    </row>
    <row r="1468">
      <c r="A1468" s="223" t="str">
        <f>IFERROR(__xludf.DUMMYFUNCTION("""COMPUTED_VALUE"""),"Viridian : Monthly Services")</f>
        <v>Viridian : Monthly Services</v>
      </c>
      <c r="B1468" s="223" t="str">
        <f>IFERROR(__xludf.DUMMYFUNCTION("""COMPUTED_VALUE"""),"Viridian")</f>
        <v>Viridian</v>
      </c>
      <c r="C1468" s="223" t="str">
        <f>IFERROR(__xludf.DUMMYFUNCTION("""COMPUTED_VALUE"""),"Monthly Services")</f>
        <v>Monthly Services</v>
      </c>
      <c r="D1468" s="316">
        <f>IFERROR(__xludf.DUMMYFUNCTION("""COMPUTED_VALUE"""),44651.0)</f>
        <v>44651</v>
      </c>
      <c r="E1468" s="298"/>
      <c r="F1468" s="298"/>
      <c r="G1468" s="298"/>
      <c r="H1468" s="223"/>
      <c r="I1468" s="298">
        <f>IFERROR(__xludf.DUMMYFUNCTION("""COMPUTED_VALUE"""),60.0)</f>
        <v>60</v>
      </c>
      <c r="J1468" s="223" t="str">
        <f>IFERROR(__xludf.DUMMYFUNCTION("""COMPUTED_VALUE"""),"Monthly")</f>
        <v>Monthly</v>
      </c>
      <c r="K1468" s="317">
        <f>IFERROR(__xludf.DUMMYFUNCTION("""COMPUTED_VALUE"""),2022.03)</f>
        <v>2022.03</v>
      </c>
      <c r="L1468" s="298"/>
      <c r="M1468" s="223"/>
      <c r="N1468" s="223"/>
      <c r="O1468" s="223"/>
      <c r="P1468" s="223"/>
      <c r="Q1468" s="223"/>
      <c r="R1468" s="223"/>
      <c r="S1468" s="223"/>
      <c r="T1468" s="223"/>
      <c r="U1468" s="223"/>
      <c r="V1468" s="223"/>
      <c r="W1468" s="223"/>
      <c r="X1468" s="223"/>
      <c r="Y1468" s="223"/>
      <c r="Z1468" s="223"/>
    </row>
    <row r="1469">
      <c r="A1469" s="223" t="str">
        <f>IFERROR(__xludf.DUMMYFUNCTION("""COMPUTED_VALUE"""),"Crisp Media : WRKOUT PPC")</f>
        <v>Crisp Media : WRKOUT PPC</v>
      </c>
      <c r="B1469" s="223" t="str">
        <f>IFERROR(__xludf.DUMMYFUNCTION("""COMPUTED_VALUE"""),"Crisp Media")</f>
        <v>Crisp Media</v>
      </c>
      <c r="C1469" s="223" t="str">
        <f>IFERROR(__xludf.DUMMYFUNCTION("""COMPUTED_VALUE"""),"WRKOUT PPC")</f>
        <v>WRKOUT PPC</v>
      </c>
      <c r="D1469" s="316">
        <f>IFERROR(__xludf.DUMMYFUNCTION("""COMPUTED_VALUE"""),44651.0)</f>
        <v>44651</v>
      </c>
      <c r="E1469" s="298"/>
      <c r="F1469" s="298"/>
      <c r="G1469" s="298"/>
      <c r="H1469" s="223"/>
      <c r="I1469" s="298">
        <f>IFERROR(__xludf.DUMMYFUNCTION("""COMPUTED_VALUE"""),555.0)</f>
        <v>555</v>
      </c>
      <c r="J1469" s="223" t="str">
        <f>IFERROR(__xludf.DUMMYFUNCTION("""COMPUTED_VALUE"""),"Monthly")</f>
        <v>Monthly</v>
      </c>
      <c r="K1469" s="317">
        <f>IFERROR(__xludf.DUMMYFUNCTION("""COMPUTED_VALUE"""),2022.03)</f>
        <v>2022.03</v>
      </c>
      <c r="L1469" s="298"/>
      <c r="M1469" s="223"/>
      <c r="N1469" s="223"/>
      <c r="O1469" s="223"/>
      <c r="P1469" s="223"/>
      <c r="Q1469" s="223"/>
      <c r="R1469" s="223"/>
      <c r="S1469" s="223"/>
      <c r="T1469" s="223"/>
      <c r="U1469" s="223"/>
      <c r="V1469" s="223"/>
      <c r="W1469" s="223"/>
      <c r="X1469" s="223"/>
      <c r="Y1469" s="223"/>
      <c r="Z1469" s="223"/>
    </row>
    <row r="1470">
      <c r="A1470" s="223" t="str">
        <f>IFERROR(__xludf.DUMMYFUNCTION("""COMPUTED_VALUE"""),"Tugwell : 6 Month PPC")</f>
        <v>Tugwell : 6 Month PPC</v>
      </c>
      <c r="B1470" s="223" t="str">
        <f>IFERROR(__xludf.DUMMYFUNCTION("""COMPUTED_VALUE"""),"Tugwell")</f>
        <v>Tugwell</v>
      </c>
      <c r="C1470" s="223" t="str">
        <f>IFERROR(__xludf.DUMMYFUNCTION("""COMPUTED_VALUE"""),"6 Month PPC")</f>
        <v>6 Month PPC</v>
      </c>
      <c r="D1470" s="316">
        <f>IFERROR(__xludf.DUMMYFUNCTION("""COMPUTED_VALUE"""),44651.0)</f>
        <v>44651</v>
      </c>
      <c r="E1470" s="298"/>
      <c r="F1470" s="298"/>
      <c r="G1470" s="298"/>
      <c r="H1470" s="223"/>
      <c r="I1470" s="298">
        <f>IFERROR(__xludf.DUMMYFUNCTION("""COMPUTED_VALUE"""),550.0)</f>
        <v>550</v>
      </c>
      <c r="J1470" s="223" t="str">
        <f>IFERROR(__xludf.DUMMYFUNCTION("""COMPUTED_VALUE"""),"Fixed Project")</f>
        <v>Fixed Project</v>
      </c>
      <c r="K1470" s="317">
        <f>IFERROR(__xludf.DUMMYFUNCTION("""COMPUTED_VALUE"""),2022.0)</f>
        <v>2022</v>
      </c>
      <c r="L1470" s="298"/>
      <c r="M1470" s="223"/>
      <c r="N1470" s="223"/>
      <c r="O1470" s="223"/>
      <c r="P1470" s="223"/>
      <c r="Q1470" s="223"/>
      <c r="R1470" s="223"/>
      <c r="S1470" s="223"/>
      <c r="T1470" s="223"/>
      <c r="U1470" s="223"/>
      <c r="V1470" s="223"/>
      <c r="W1470" s="223"/>
      <c r="X1470" s="223"/>
      <c r="Y1470" s="223"/>
      <c r="Z1470" s="223"/>
    </row>
    <row r="1471">
      <c r="A1471" s="223" t="str">
        <f>IFERROR(__xludf.DUMMYFUNCTION("""COMPUTED_VALUE"""),"Community Financials : Monthly Services")</f>
        <v>Community Financials : Monthly Services</v>
      </c>
      <c r="B1471" s="223" t="str">
        <f>IFERROR(__xludf.DUMMYFUNCTION("""COMPUTED_VALUE"""),"Community Financials")</f>
        <v>Community Financials</v>
      </c>
      <c r="C1471" s="223" t="str">
        <f>IFERROR(__xludf.DUMMYFUNCTION("""COMPUTED_VALUE"""),"Monthly Services")</f>
        <v>Monthly Services</v>
      </c>
      <c r="D1471" s="316">
        <f>IFERROR(__xludf.DUMMYFUNCTION("""COMPUTED_VALUE"""),44651.0)</f>
        <v>44651</v>
      </c>
      <c r="E1471" s="298"/>
      <c r="F1471" s="298"/>
      <c r="G1471" s="298"/>
      <c r="H1471" s="223"/>
      <c r="I1471" s="298">
        <f>IFERROR(__xludf.DUMMYFUNCTION("""COMPUTED_VALUE"""),575.0)</f>
        <v>575</v>
      </c>
      <c r="J1471" s="223" t="str">
        <f>IFERROR(__xludf.DUMMYFUNCTION("""COMPUTED_VALUE"""),"Monthly")</f>
        <v>Monthly</v>
      </c>
      <c r="K1471" s="317">
        <f>IFERROR(__xludf.DUMMYFUNCTION("""COMPUTED_VALUE"""),2022.03)</f>
        <v>2022.03</v>
      </c>
      <c r="L1471" s="298"/>
      <c r="M1471" s="223"/>
      <c r="N1471" s="223"/>
      <c r="O1471" s="223"/>
      <c r="P1471" s="223"/>
      <c r="Q1471" s="223"/>
      <c r="R1471" s="223"/>
      <c r="S1471" s="223"/>
      <c r="T1471" s="223"/>
      <c r="U1471" s="223"/>
      <c r="V1471" s="223"/>
      <c r="W1471" s="223"/>
      <c r="X1471" s="223"/>
      <c r="Y1471" s="223"/>
      <c r="Z1471" s="223"/>
    </row>
    <row r="1472">
      <c r="A1472" s="223" t="str">
        <f>IFERROR(__xludf.DUMMYFUNCTION("""COMPUTED_VALUE"""),"Bratopia : Monthly Services")</f>
        <v>Bratopia : Monthly Services</v>
      </c>
      <c r="B1472" s="223" t="str">
        <f>IFERROR(__xludf.DUMMYFUNCTION("""COMPUTED_VALUE"""),"Bratopia")</f>
        <v>Bratopia</v>
      </c>
      <c r="C1472" s="223" t="str">
        <f>IFERROR(__xludf.DUMMYFUNCTION("""COMPUTED_VALUE"""),"Monthly Services")</f>
        <v>Monthly Services</v>
      </c>
      <c r="D1472" s="316">
        <f>IFERROR(__xludf.DUMMYFUNCTION("""COMPUTED_VALUE"""),44651.0)</f>
        <v>44651</v>
      </c>
      <c r="E1472" s="298"/>
      <c r="F1472" s="298"/>
      <c r="G1472" s="298"/>
      <c r="H1472" s="223"/>
      <c r="I1472" s="298">
        <f>IFERROR(__xludf.DUMMYFUNCTION("""COMPUTED_VALUE"""),300.0)</f>
        <v>300</v>
      </c>
      <c r="J1472" s="223" t="str">
        <f>IFERROR(__xludf.DUMMYFUNCTION("""COMPUTED_VALUE"""),"Monthly")</f>
        <v>Monthly</v>
      </c>
      <c r="K1472" s="317">
        <f>IFERROR(__xludf.DUMMYFUNCTION("""COMPUTED_VALUE"""),2022.03)</f>
        <v>2022.03</v>
      </c>
      <c r="L1472" s="298"/>
      <c r="M1472" s="223"/>
      <c r="N1472" s="223"/>
      <c r="O1472" s="223"/>
      <c r="P1472" s="223"/>
      <c r="Q1472" s="223"/>
      <c r="R1472" s="223"/>
      <c r="S1472" s="223"/>
      <c r="T1472" s="223"/>
      <c r="U1472" s="223"/>
      <c r="V1472" s="223"/>
      <c r="W1472" s="223"/>
      <c r="X1472" s="223"/>
      <c r="Y1472" s="223"/>
      <c r="Z1472" s="223"/>
    </row>
    <row r="1473">
      <c r="A1473" s="223" t="str">
        <f>IFERROR(__xludf.DUMMYFUNCTION("""COMPUTED_VALUE"""),"Availed Technologies : Monthly Services")</f>
        <v>Availed Technologies : Monthly Services</v>
      </c>
      <c r="B1473" s="223" t="str">
        <f>IFERROR(__xludf.DUMMYFUNCTION("""COMPUTED_VALUE"""),"Availed Technologies")</f>
        <v>Availed Technologies</v>
      </c>
      <c r="C1473" s="223" t="str">
        <f>IFERROR(__xludf.DUMMYFUNCTION("""COMPUTED_VALUE"""),"Monthly Services")</f>
        <v>Monthly Services</v>
      </c>
      <c r="D1473" s="316">
        <f>IFERROR(__xludf.DUMMYFUNCTION("""COMPUTED_VALUE"""),44651.0)</f>
        <v>44651</v>
      </c>
      <c r="E1473" s="298"/>
      <c r="F1473" s="298"/>
      <c r="G1473" s="298"/>
      <c r="H1473" s="223"/>
      <c r="I1473" s="298">
        <f>IFERROR(__xludf.DUMMYFUNCTION("""COMPUTED_VALUE"""),162.5)</f>
        <v>162.5</v>
      </c>
      <c r="J1473" s="223" t="str">
        <f>IFERROR(__xludf.DUMMYFUNCTION("""COMPUTED_VALUE"""),"Monthly")</f>
        <v>Monthly</v>
      </c>
      <c r="K1473" s="317">
        <f>IFERROR(__xludf.DUMMYFUNCTION("""COMPUTED_VALUE"""),2022.03)</f>
        <v>2022.03</v>
      </c>
      <c r="L1473" s="298"/>
      <c r="M1473" s="223"/>
      <c r="N1473" s="223"/>
      <c r="O1473" s="223"/>
      <c r="P1473" s="223"/>
      <c r="Q1473" s="223"/>
      <c r="R1473" s="223"/>
      <c r="S1473" s="223"/>
      <c r="T1473" s="223"/>
      <c r="U1473" s="223"/>
      <c r="V1473" s="223"/>
      <c r="W1473" s="223"/>
      <c r="X1473" s="223"/>
      <c r="Y1473" s="223"/>
      <c r="Z1473" s="223"/>
    </row>
    <row r="1474">
      <c r="A1474" s="223" t="str">
        <f>IFERROR(__xludf.DUMMYFUNCTION("""COMPUTED_VALUE"""),"Prime Engineering : Monthly Services")</f>
        <v>Prime Engineering : Monthly Services</v>
      </c>
      <c r="B1474" s="223" t="str">
        <f>IFERROR(__xludf.DUMMYFUNCTION("""COMPUTED_VALUE"""),"Prime Engineering")</f>
        <v>Prime Engineering</v>
      </c>
      <c r="C1474" s="223" t="str">
        <f>IFERROR(__xludf.DUMMYFUNCTION("""COMPUTED_VALUE"""),"Monthly Services")</f>
        <v>Monthly Services</v>
      </c>
      <c r="D1474" s="316">
        <f>IFERROR(__xludf.DUMMYFUNCTION("""COMPUTED_VALUE"""),44651.0)</f>
        <v>44651</v>
      </c>
      <c r="E1474" s="298"/>
      <c r="F1474" s="298"/>
      <c r="G1474" s="298"/>
      <c r="H1474" s="223"/>
      <c r="I1474" s="298">
        <f>IFERROR(__xludf.DUMMYFUNCTION("""COMPUTED_VALUE"""),225.0)</f>
        <v>225</v>
      </c>
      <c r="J1474" s="223" t="str">
        <f>IFERROR(__xludf.DUMMYFUNCTION("""COMPUTED_VALUE"""),"Monthly")</f>
        <v>Monthly</v>
      </c>
      <c r="K1474" s="317">
        <f>IFERROR(__xludf.DUMMYFUNCTION("""COMPUTED_VALUE"""),2022.03)</f>
        <v>2022.03</v>
      </c>
      <c r="L1474" s="298"/>
      <c r="M1474" s="223"/>
      <c r="N1474" s="223"/>
      <c r="O1474" s="223"/>
      <c r="P1474" s="223"/>
      <c r="Q1474" s="223"/>
      <c r="R1474" s="223"/>
      <c r="S1474" s="223"/>
      <c r="T1474" s="223"/>
      <c r="U1474" s="223"/>
      <c r="V1474" s="223"/>
      <c r="W1474" s="223"/>
      <c r="X1474" s="223"/>
      <c r="Y1474" s="223"/>
      <c r="Z1474" s="223"/>
    </row>
    <row r="1475">
      <c r="A1475" s="223" t="str">
        <f>IFERROR(__xludf.DUMMYFUNCTION("""COMPUTED_VALUE"""),"Technology Rivers : Monthly Services")</f>
        <v>Technology Rivers : Monthly Services</v>
      </c>
      <c r="B1475" s="223" t="str">
        <f>IFERROR(__xludf.DUMMYFUNCTION("""COMPUTED_VALUE"""),"Technology Rivers")</f>
        <v>Technology Rivers</v>
      </c>
      <c r="C1475" s="223" t="str">
        <f>IFERROR(__xludf.DUMMYFUNCTION("""COMPUTED_VALUE"""),"Monthly Services")</f>
        <v>Monthly Services</v>
      </c>
      <c r="D1475" s="316">
        <f>IFERROR(__xludf.DUMMYFUNCTION("""COMPUTED_VALUE"""),44651.0)</f>
        <v>44651</v>
      </c>
      <c r="E1475" s="298"/>
      <c r="F1475" s="298"/>
      <c r="G1475" s="298"/>
      <c r="H1475" s="223"/>
      <c r="I1475" s="298">
        <f>IFERROR(__xludf.DUMMYFUNCTION("""COMPUTED_VALUE"""),225.0)</f>
        <v>225</v>
      </c>
      <c r="J1475" s="223" t="str">
        <f>IFERROR(__xludf.DUMMYFUNCTION("""COMPUTED_VALUE"""),"Monthly")</f>
        <v>Monthly</v>
      </c>
      <c r="K1475" s="317">
        <f>IFERROR(__xludf.DUMMYFUNCTION("""COMPUTED_VALUE"""),2022.03)</f>
        <v>2022.03</v>
      </c>
      <c r="L1475" s="298"/>
      <c r="M1475" s="223"/>
      <c r="N1475" s="223"/>
      <c r="O1475" s="223"/>
      <c r="P1475" s="223"/>
      <c r="Q1475" s="223"/>
      <c r="R1475" s="223"/>
      <c r="S1475" s="223"/>
      <c r="T1475" s="223"/>
      <c r="U1475" s="223"/>
      <c r="V1475" s="223"/>
      <c r="W1475" s="223"/>
      <c r="X1475" s="223"/>
      <c r="Y1475" s="223"/>
      <c r="Z1475" s="223"/>
    </row>
    <row r="1476">
      <c r="A1476" s="223" t="str">
        <f>IFERROR(__xludf.DUMMYFUNCTION("""COMPUTED_VALUE"""),"Monk : Monthly Services")</f>
        <v>Monk : Monthly Services</v>
      </c>
      <c r="B1476" s="223" t="str">
        <f>IFERROR(__xludf.DUMMYFUNCTION("""COMPUTED_VALUE"""),"Monk")</f>
        <v>Monk</v>
      </c>
      <c r="C1476" s="223" t="str">
        <f>IFERROR(__xludf.DUMMYFUNCTION("""COMPUTED_VALUE"""),"Monthly Services")</f>
        <v>Monthly Services</v>
      </c>
      <c r="D1476" s="316">
        <f>IFERROR(__xludf.DUMMYFUNCTION("""COMPUTED_VALUE"""),44651.0)</f>
        <v>44651</v>
      </c>
      <c r="E1476" s="298"/>
      <c r="F1476" s="298"/>
      <c r="G1476" s="298"/>
      <c r="H1476" s="223"/>
      <c r="I1476" s="298">
        <f>IFERROR(__xludf.DUMMYFUNCTION("""COMPUTED_VALUE"""),287.5)</f>
        <v>287.5</v>
      </c>
      <c r="J1476" s="223" t="str">
        <f>IFERROR(__xludf.DUMMYFUNCTION("""COMPUTED_VALUE"""),"Monthly")</f>
        <v>Monthly</v>
      </c>
      <c r="K1476" s="317">
        <f>IFERROR(__xludf.DUMMYFUNCTION("""COMPUTED_VALUE"""),2022.03)</f>
        <v>2022.03</v>
      </c>
      <c r="L1476" s="298"/>
      <c r="M1476" s="223"/>
      <c r="N1476" s="223"/>
      <c r="O1476" s="223"/>
      <c r="P1476" s="223"/>
      <c r="Q1476" s="223"/>
      <c r="R1476" s="223"/>
      <c r="S1476" s="223"/>
      <c r="T1476" s="223"/>
      <c r="U1476" s="223"/>
      <c r="V1476" s="223"/>
      <c r="W1476" s="223"/>
      <c r="X1476" s="223"/>
      <c r="Y1476" s="223"/>
      <c r="Z1476" s="223"/>
    </row>
    <row r="1477">
      <c r="A1477" s="223" t="str">
        <f>IFERROR(__xludf.DUMMYFUNCTION("""COMPUTED_VALUE"""),"Measurand : Initial SEO, PPC &amp; Website Work")</f>
        <v>Measurand : Initial SEO, PPC &amp; Website Work</v>
      </c>
      <c r="B1477" s="223" t="str">
        <f>IFERROR(__xludf.DUMMYFUNCTION("""COMPUTED_VALUE"""),"Measurand")</f>
        <v>Measurand</v>
      </c>
      <c r="C1477" s="223" t="str">
        <f>IFERROR(__xludf.DUMMYFUNCTION("""COMPUTED_VALUE"""),"Initial SEO, PPC &amp; Website Work")</f>
        <v>Initial SEO, PPC &amp; Website Work</v>
      </c>
      <c r="D1477" s="316">
        <f>IFERROR(__xludf.DUMMYFUNCTION("""COMPUTED_VALUE"""),44651.0)</f>
        <v>44651</v>
      </c>
      <c r="E1477" s="298"/>
      <c r="F1477" s="298"/>
      <c r="G1477" s="298"/>
      <c r="H1477" s="223"/>
      <c r="I1477" s="298">
        <f>IFERROR(__xludf.DUMMYFUNCTION("""COMPUTED_VALUE"""),2187.5)</f>
        <v>2187.5</v>
      </c>
      <c r="J1477" s="223" t="str">
        <f>IFERROR(__xludf.DUMMYFUNCTION("""COMPUTED_VALUE"""),"Fixed Project")</f>
        <v>Fixed Project</v>
      </c>
      <c r="K1477" s="317">
        <f>IFERROR(__xludf.DUMMYFUNCTION("""COMPUTED_VALUE"""),2022.0)</f>
        <v>2022</v>
      </c>
      <c r="L1477" s="298"/>
      <c r="M1477" s="223"/>
      <c r="N1477" s="223"/>
      <c r="O1477" s="223"/>
      <c r="P1477" s="223"/>
      <c r="Q1477" s="223"/>
      <c r="R1477" s="223"/>
      <c r="S1477" s="223"/>
      <c r="T1477" s="223"/>
      <c r="U1477" s="223"/>
      <c r="V1477" s="223"/>
      <c r="W1477" s="223"/>
      <c r="X1477" s="223"/>
      <c r="Y1477" s="223"/>
      <c r="Z1477" s="223"/>
    </row>
    <row r="1478">
      <c r="A1478" s="223" t="str">
        <f>IFERROR(__xludf.DUMMYFUNCTION("""COMPUTED_VALUE"""),"C360 : Victory360")</f>
        <v>C360 : Victory360</v>
      </c>
      <c r="B1478" s="223" t="str">
        <f>IFERROR(__xludf.DUMMYFUNCTION("""COMPUTED_VALUE"""),"C360")</f>
        <v>C360</v>
      </c>
      <c r="C1478" s="223" t="str">
        <f>IFERROR(__xludf.DUMMYFUNCTION("""COMPUTED_VALUE"""),"Victory360")</f>
        <v>Victory360</v>
      </c>
      <c r="D1478" s="316">
        <f>IFERROR(__xludf.DUMMYFUNCTION("""COMPUTED_VALUE"""),44651.0)</f>
        <v>44651</v>
      </c>
      <c r="E1478" s="298"/>
      <c r="F1478" s="298"/>
      <c r="G1478" s="298"/>
      <c r="H1478" s="223"/>
      <c r="I1478" s="298">
        <f>IFERROR(__xludf.DUMMYFUNCTION("""COMPUTED_VALUE"""),300.0)</f>
        <v>300</v>
      </c>
      <c r="J1478" s="223" t="str">
        <f>IFERROR(__xludf.DUMMYFUNCTION("""COMPUTED_VALUE"""),"Monthly")</f>
        <v>Monthly</v>
      </c>
      <c r="K1478" s="317">
        <f>IFERROR(__xludf.DUMMYFUNCTION("""COMPUTED_VALUE"""),2022.03)</f>
        <v>2022.03</v>
      </c>
      <c r="L1478" s="298"/>
      <c r="M1478" s="223"/>
      <c r="N1478" s="223"/>
      <c r="O1478" s="223"/>
      <c r="P1478" s="223"/>
      <c r="Q1478" s="223"/>
      <c r="R1478" s="223"/>
      <c r="S1478" s="223"/>
      <c r="T1478" s="223"/>
      <c r="U1478" s="223"/>
      <c r="V1478" s="223"/>
      <c r="W1478" s="223"/>
      <c r="X1478" s="223"/>
      <c r="Y1478" s="223"/>
      <c r="Z1478" s="223"/>
    </row>
    <row r="1479">
      <c r="A1479" s="223" t="str">
        <f>IFERROR(__xludf.DUMMYFUNCTION("""COMPUTED_VALUE"""),"C360 : Guntry Baseline SEO")</f>
        <v>C360 : Guntry Baseline SEO</v>
      </c>
      <c r="B1479" s="223" t="str">
        <f>IFERROR(__xludf.DUMMYFUNCTION("""COMPUTED_VALUE"""),"C360")</f>
        <v>C360</v>
      </c>
      <c r="C1479" s="223" t="str">
        <f>IFERROR(__xludf.DUMMYFUNCTION("""COMPUTED_VALUE"""),"Guntry Baseline SEO")</f>
        <v>Guntry Baseline SEO</v>
      </c>
      <c r="D1479" s="316">
        <f>IFERROR(__xludf.DUMMYFUNCTION("""COMPUTED_VALUE"""),44651.0)</f>
        <v>44651</v>
      </c>
      <c r="E1479" s="298"/>
      <c r="F1479" s="298"/>
      <c r="G1479" s="298"/>
      <c r="H1479" s="223"/>
      <c r="I1479" s="298">
        <f>IFERROR(__xludf.DUMMYFUNCTION("""COMPUTED_VALUE"""),337.5)</f>
        <v>337.5</v>
      </c>
      <c r="J1479" s="223" t="str">
        <f>IFERROR(__xludf.DUMMYFUNCTION("""COMPUTED_VALUE"""),"Monthly")</f>
        <v>Monthly</v>
      </c>
      <c r="K1479" s="317">
        <f>IFERROR(__xludf.DUMMYFUNCTION("""COMPUTED_VALUE"""),2022.03)</f>
        <v>2022.03</v>
      </c>
      <c r="L1479" s="298"/>
      <c r="M1479" s="223"/>
      <c r="N1479" s="223"/>
      <c r="O1479" s="223"/>
      <c r="P1479" s="223"/>
      <c r="Q1479" s="223"/>
      <c r="R1479" s="223"/>
      <c r="S1479" s="223"/>
      <c r="T1479" s="223"/>
      <c r="U1479" s="223"/>
      <c r="V1479" s="223"/>
      <c r="W1479" s="223"/>
      <c r="X1479" s="223"/>
      <c r="Y1479" s="223"/>
      <c r="Z1479" s="223"/>
    </row>
    <row r="1480">
      <c r="A1480" s="223" t="str">
        <f>IFERROR(__xludf.DUMMYFUNCTION("""COMPUTED_VALUE"""),"Hastings House : Monthly Services")</f>
        <v>Hastings House : Monthly Services</v>
      </c>
      <c r="B1480" s="223" t="str">
        <f>IFERROR(__xludf.DUMMYFUNCTION("""COMPUTED_VALUE"""),"Hastings House")</f>
        <v>Hastings House</v>
      </c>
      <c r="C1480" s="223" t="str">
        <f>IFERROR(__xludf.DUMMYFUNCTION("""COMPUTED_VALUE"""),"Monthly Services")</f>
        <v>Monthly Services</v>
      </c>
      <c r="D1480" s="316">
        <f>IFERROR(__xludf.DUMMYFUNCTION("""COMPUTED_VALUE"""),44651.0)</f>
        <v>44651</v>
      </c>
      <c r="E1480" s="298"/>
      <c r="F1480" s="298"/>
      <c r="G1480" s="298"/>
      <c r="H1480" s="223"/>
      <c r="I1480" s="298">
        <f>IFERROR(__xludf.DUMMYFUNCTION("""COMPUTED_VALUE"""),200.0)</f>
        <v>200</v>
      </c>
      <c r="J1480" s="223" t="str">
        <f>IFERROR(__xludf.DUMMYFUNCTION("""COMPUTED_VALUE"""),"Monthly")</f>
        <v>Monthly</v>
      </c>
      <c r="K1480" s="317">
        <f>IFERROR(__xludf.DUMMYFUNCTION("""COMPUTED_VALUE"""),2022.03)</f>
        <v>2022.03</v>
      </c>
      <c r="L1480" s="298"/>
      <c r="M1480" s="223"/>
      <c r="N1480" s="223"/>
      <c r="O1480" s="223"/>
      <c r="P1480" s="223"/>
      <c r="Q1480" s="223"/>
      <c r="R1480" s="223"/>
      <c r="S1480" s="223"/>
      <c r="T1480" s="223"/>
      <c r="U1480" s="223"/>
      <c r="V1480" s="223"/>
      <c r="W1480" s="223"/>
      <c r="X1480" s="223"/>
      <c r="Y1480" s="223"/>
      <c r="Z1480" s="223"/>
    </row>
    <row r="1481">
      <c r="A1481" s="223" t="str">
        <f>IFERROR(__xludf.DUMMYFUNCTION("""COMPUTED_VALUE"""),"Booginhead : Monthly Services")</f>
        <v>Booginhead : Monthly Services</v>
      </c>
      <c r="B1481" s="223" t="str">
        <f>IFERROR(__xludf.DUMMYFUNCTION("""COMPUTED_VALUE"""),"Booginhead")</f>
        <v>Booginhead</v>
      </c>
      <c r="C1481" s="223" t="str">
        <f>IFERROR(__xludf.DUMMYFUNCTION("""COMPUTED_VALUE"""),"Monthly Services")</f>
        <v>Monthly Services</v>
      </c>
      <c r="D1481" s="316">
        <f>IFERROR(__xludf.DUMMYFUNCTION("""COMPUTED_VALUE"""),44651.0)</f>
        <v>44651</v>
      </c>
      <c r="E1481" s="298"/>
      <c r="F1481" s="298"/>
      <c r="G1481" s="298"/>
      <c r="H1481" s="223"/>
      <c r="I1481" s="298">
        <f>IFERROR(__xludf.DUMMYFUNCTION("""COMPUTED_VALUE"""),315.0)</f>
        <v>315</v>
      </c>
      <c r="J1481" s="223" t="str">
        <f>IFERROR(__xludf.DUMMYFUNCTION("""COMPUTED_VALUE"""),"Monthly")</f>
        <v>Monthly</v>
      </c>
      <c r="K1481" s="317">
        <f>IFERROR(__xludf.DUMMYFUNCTION("""COMPUTED_VALUE"""),2022.03)</f>
        <v>2022.03</v>
      </c>
      <c r="L1481" s="298"/>
      <c r="M1481" s="223"/>
      <c r="N1481" s="223"/>
      <c r="O1481" s="223"/>
      <c r="P1481" s="223"/>
      <c r="Q1481" s="223"/>
      <c r="R1481" s="223"/>
      <c r="S1481" s="223"/>
      <c r="T1481" s="223"/>
      <c r="U1481" s="223"/>
      <c r="V1481" s="223"/>
      <c r="W1481" s="223"/>
      <c r="X1481" s="223"/>
      <c r="Y1481" s="223"/>
      <c r="Z1481" s="223"/>
    </row>
    <row r="1482">
      <c r="A1482" s="223" t="str">
        <f>IFERROR(__xludf.DUMMYFUNCTION("""COMPUTED_VALUE"""),"PlusROI : Admin")</f>
        <v>PlusROI : Admin</v>
      </c>
      <c r="B1482" s="223" t="str">
        <f>IFERROR(__xludf.DUMMYFUNCTION("""COMPUTED_VALUE"""),"PlusROI")</f>
        <v>PlusROI</v>
      </c>
      <c r="C1482" s="223" t="str">
        <f>IFERROR(__xludf.DUMMYFUNCTION("""COMPUTED_VALUE"""),"Admin")</f>
        <v>Admin</v>
      </c>
      <c r="D1482" s="316">
        <f>IFERROR(__xludf.DUMMYFUNCTION("""COMPUTED_VALUE"""),44651.0)</f>
        <v>44651</v>
      </c>
      <c r="E1482" s="298"/>
      <c r="F1482" s="298"/>
      <c r="G1482" s="298"/>
      <c r="H1482" s="223"/>
      <c r="I1482" s="298">
        <f>IFERROR(__xludf.DUMMYFUNCTION("""COMPUTED_VALUE"""),135.0)</f>
        <v>135</v>
      </c>
      <c r="J1482" s="223" t="str">
        <f>IFERROR(__xludf.DUMMYFUNCTION("""COMPUTED_VALUE"""),"Hourly")</f>
        <v>Hourly</v>
      </c>
      <c r="K1482" s="317">
        <f>IFERROR(__xludf.DUMMYFUNCTION("""COMPUTED_VALUE"""),2022.0)</f>
        <v>2022</v>
      </c>
      <c r="L1482" s="298"/>
      <c r="M1482" s="223"/>
      <c r="N1482" s="223"/>
      <c r="O1482" s="223"/>
      <c r="P1482" s="223"/>
      <c r="Q1482" s="223"/>
      <c r="R1482" s="223"/>
      <c r="S1482" s="223"/>
      <c r="T1482" s="223"/>
      <c r="U1482" s="223"/>
      <c r="V1482" s="223"/>
      <c r="W1482" s="223"/>
      <c r="X1482" s="223"/>
      <c r="Y1482" s="223"/>
      <c r="Z1482" s="223"/>
    </row>
    <row r="1483">
      <c r="A1483" s="223" t="str">
        <f>IFERROR(__xludf.DUMMYFUNCTION("""COMPUTED_VALUE"""),"PlusROI : Marketing")</f>
        <v>PlusROI : Marketing</v>
      </c>
      <c r="B1483" s="223" t="str">
        <f>IFERROR(__xludf.DUMMYFUNCTION("""COMPUTED_VALUE"""),"PlusROI")</f>
        <v>PlusROI</v>
      </c>
      <c r="C1483" s="223" t="str">
        <f>IFERROR(__xludf.DUMMYFUNCTION("""COMPUTED_VALUE"""),"Marketing")</f>
        <v>Marketing</v>
      </c>
      <c r="D1483" s="316">
        <f>IFERROR(__xludf.DUMMYFUNCTION("""COMPUTED_VALUE"""),44651.0)</f>
        <v>44651</v>
      </c>
      <c r="E1483" s="298"/>
      <c r="F1483" s="298"/>
      <c r="G1483" s="298"/>
      <c r="H1483" s="223"/>
      <c r="I1483" s="298">
        <f>IFERROR(__xludf.DUMMYFUNCTION("""COMPUTED_VALUE"""),12.5)</f>
        <v>12.5</v>
      </c>
      <c r="J1483" s="223" t="str">
        <f>IFERROR(__xludf.DUMMYFUNCTION("""COMPUTED_VALUE"""),"Hourly")</f>
        <v>Hourly</v>
      </c>
      <c r="K1483" s="317">
        <f>IFERROR(__xludf.DUMMYFUNCTION("""COMPUTED_VALUE"""),2022.0)</f>
        <v>2022</v>
      </c>
      <c r="L1483" s="298"/>
      <c r="M1483" s="223"/>
      <c r="N1483" s="223"/>
      <c r="O1483" s="223"/>
      <c r="P1483" s="223"/>
      <c r="Q1483" s="223"/>
      <c r="R1483" s="223"/>
      <c r="S1483" s="223"/>
      <c r="T1483" s="223"/>
      <c r="U1483" s="223"/>
      <c r="V1483" s="223"/>
      <c r="W1483" s="223"/>
      <c r="X1483" s="223"/>
      <c r="Y1483" s="223"/>
      <c r="Z1483" s="223"/>
    </row>
    <row r="1484">
      <c r="A1484" s="223" t="str">
        <f>IFERROR(__xludf.DUMMYFUNCTION("""COMPUTED_VALUE"""),"Frank &amp; Ellis : Online Presence Review + PPC Setup")</f>
        <v>Frank &amp; Ellis : Online Presence Review + PPC Setup</v>
      </c>
      <c r="B1484" s="223" t="str">
        <f>IFERROR(__xludf.DUMMYFUNCTION("""COMPUTED_VALUE"""),"Frank &amp; Ellis")</f>
        <v>Frank &amp; Ellis</v>
      </c>
      <c r="C1484" s="223" t="str">
        <f>IFERROR(__xludf.DUMMYFUNCTION("""COMPUTED_VALUE"""),"Online Presence Review + PPC Setup")</f>
        <v>Online Presence Review + PPC Setup</v>
      </c>
      <c r="D1484" s="316">
        <f>IFERROR(__xludf.DUMMYFUNCTION("""COMPUTED_VALUE"""),44651.0)</f>
        <v>44651</v>
      </c>
      <c r="E1484" s="298"/>
      <c r="F1484" s="298"/>
      <c r="G1484" s="298"/>
      <c r="H1484" s="223"/>
      <c r="I1484" s="298">
        <f>IFERROR(__xludf.DUMMYFUNCTION("""COMPUTED_VALUE"""),112.5)</f>
        <v>112.5</v>
      </c>
      <c r="J1484" s="223" t="str">
        <f>IFERROR(__xludf.DUMMYFUNCTION("""COMPUTED_VALUE"""),"Fixed Project")</f>
        <v>Fixed Project</v>
      </c>
      <c r="K1484" s="317">
        <f>IFERROR(__xludf.DUMMYFUNCTION("""COMPUTED_VALUE"""),2022.0)</f>
        <v>2022</v>
      </c>
      <c r="L1484" s="298"/>
      <c r="M1484" s="223"/>
      <c r="N1484" s="223"/>
      <c r="O1484" s="223"/>
      <c r="P1484" s="223"/>
      <c r="Q1484" s="223"/>
      <c r="R1484" s="223"/>
      <c r="S1484" s="223"/>
      <c r="T1484" s="223"/>
      <c r="U1484" s="223"/>
      <c r="V1484" s="223"/>
      <c r="W1484" s="223"/>
      <c r="X1484" s="223"/>
      <c r="Y1484" s="223"/>
      <c r="Z1484" s="223"/>
    </row>
    <row r="1485">
      <c r="A1485" s="223" t="str">
        <f>IFERROR(__xludf.DUMMYFUNCTION("""COMPUTED_VALUE"""),"C360 : Guntry Baseline SEO")</f>
        <v>C360 : Guntry Baseline SEO</v>
      </c>
      <c r="B1485" s="223" t="str">
        <f>IFERROR(__xludf.DUMMYFUNCTION("""COMPUTED_VALUE"""),"C360")</f>
        <v>C360</v>
      </c>
      <c r="C1485" s="223" t="str">
        <f>IFERROR(__xludf.DUMMYFUNCTION("""COMPUTED_VALUE"""),"Guntry Baseline SEO")</f>
        <v>Guntry Baseline SEO</v>
      </c>
      <c r="D1485" s="316">
        <f>IFERROR(__xludf.DUMMYFUNCTION("""COMPUTED_VALUE"""),44651.0)</f>
        <v>44651</v>
      </c>
      <c r="E1485" s="298"/>
      <c r="F1485" s="298"/>
      <c r="G1485" s="298"/>
      <c r="H1485" s="223"/>
      <c r="I1485" s="298">
        <f>IFERROR(__xludf.DUMMYFUNCTION("""COMPUTED_VALUE"""),275.0)</f>
        <v>275</v>
      </c>
      <c r="J1485" s="223" t="str">
        <f>IFERROR(__xludf.DUMMYFUNCTION("""COMPUTED_VALUE"""),"Monthly")</f>
        <v>Monthly</v>
      </c>
      <c r="K1485" s="317">
        <f>IFERROR(__xludf.DUMMYFUNCTION("""COMPUTED_VALUE"""),2022.03)</f>
        <v>2022.03</v>
      </c>
      <c r="L1485" s="298"/>
      <c r="M1485" s="223"/>
      <c r="N1485" s="223"/>
      <c r="O1485" s="223"/>
      <c r="P1485" s="223"/>
      <c r="Q1485" s="223"/>
      <c r="R1485" s="223"/>
      <c r="S1485" s="223"/>
      <c r="T1485" s="223"/>
      <c r="U1485" s="223"/>
      <c r="V1485" s="223"/>
      <c r="W1485" s="223"/>
      <c r="X1485" s="223"/>
      <c r="Y1485" s="223"/>
      <c r="Z1485" s="223"/>
    </row>
    <row r="1486">
      <c r="A1486" s="223" t="str">
        <f>IFERROR(__xludf.DUMMYFUNCTION("""COMPUTED_VALUE"""),"Monk : Monthly Services")</f>
        <v>Monk : Monthly Services</v>
      </c>
      <c r="B1486" s="223" t="str">
        <f>IFERROR(__xludf.DUMMYFUNCTION("""COMPUTED_VALUE"""),"Monk")</f>
        <v>Monk</v>
      </c>
      <c r="C1486" s="223" t="str">
        <f>IFERROR(__xludf.DUMMYFUNCTION("""COMPUTED_VALUE"""),"Monthly Services")</f>
        <v>Monthly Services</v>
      </c>
      <c r="D1486" s="316">
        <f>IFERROR(__xludf.DUMMYFUNCTION("""COMPUTED_VALUE"""),44651.0)</f>
        <v>44651</v>
      </c>
      <c r="E1486" s="298"/>
      <c r="F1486" s="298"/>
      <c r="G1486" s="298"/>
      <c r="H1486" s="223"/>
      <c r="I1486" s="298">
        <f>IFERROR(__xludf.DUMMYFUNCTION("""COMPUTED_VALUE"""),250.0)</f>
        <v>250</v>
      </c>
      <c r="J1486" s="223" t="str">
        <f>IFERROR(__xludf.DUMMYFUNCTION("""COMPUTED_VALUE"""),"Monthly")</f>
        <v>Monthly</v>
      </c>
      <c r="K1486" s="317">
        <f>IFERROR(__xludf.DUMMYFUNCTION("""COMPUTED_VALUE"""),2022.03)</f>
        <v>2022.03</v>
      </c>
      <c r="L1486" s="298"/>
      <c r="M1486" s="223"/>
      <c r="N1486" s="223"/>
      <c r="O1486" s="223"/>
      <c r="P1486" s="223"/>
      <c r="Q1486" s="223"/>
      <c r="R1486" s="223"/>
      <c r="S1486" s="223"/>
      <c r="T1486" s="223"/>
      <c r="U1486" s="223"/>
      <c r="V1486" s="223"/>
      <c r="W1486" s="223"/>
      <c r="X1486" s="223"/>
      <c r="Y1486" s="223"/>
      <c r="Z1486" s="223"/>
    </row>
    <row r="1487">
      <c r="A1487" s="223" t="str">
        <f>IFERROR(__xludf.DUMMYFUNCTION("""COMPUTED_VALUE"""),"IMBA Medical : PPC Setup")</f>
        <v>IMBA Medical : PPC Setup</v>
      </c>
      <c r="B1487" s="223" t="str">
        <f>IFERROR(__xludf.DUMMYFUNCTION("""COMPUTED_VALUE"""),"IMBA Medical")</f>
        <v>IMBA Medical</v>
      </c>
      <c r="C1487" s="223" t="str">
        <f>IFERROR(__xludf.DUMMYFUNCTION("""COMPUTED_VALUE"""),"PPC Setup")</f>
        <v>PPC Setup</v>
      </c>
      <c r="D1487" s="316">
        <f>IFERROR(__xludf.DUMMYFUNCTION("""COMPUTED_VALUE"""),44651.0)</f>
        <v>44651</v>
      </c>
      <c r="E1487" s="298"/>
      <c r="F1487" s="298"/>
      <c r="G1487" s="298"/>
      <c r="H1487" s="223"/>
      <c r="I1487" s="298">
        <f>IFERROR(__xludf.DUMMYFUNCTION("""COMPUTED_VALUE"""),25.0)</f>
        <v>25</v>
      </c>
      <c r="J1487" s="223" t="str">
        <f>IFERROR(__xludf.DUMMYFUNCTION("""COMPUTED_VALUE"""),"Fixed Project")</f>
        <v>Fixed Project</v>
      </c>
      <c r="K1487" s="317">
        <f>IFERROR(__xludf.DUMMYFUNCTION("""COMPUTED_VALUE"""),2022.0)</f>
        <v>2022</v>
      </c>
      <c r="L1487" s="298"/>
      <c r="M1487" s="223"/>
      <c r="N1487" s="223"/>
      <c r="O1487" s="223"/>
      <c r="P1487" s="223"/>
      <c r="Q1487" s="223"/>
      <c r="R1487" s="223"/>
      <c r="S1487" s="223"/>
      <c r="T1487" s="223"/>
      <c r="U1487" s="223"/>
      <c r="V1487" s="223"/>
      <c r="W1487" s="223"/>
      <c r="X1487" s="223"/>
      <c r="Y1487" s="223"/>
      <c r="Z1487" s="223"/>
    </row>
    <row r="1488">
      <c r="A1488" s="223" t="str">
        <f>IFERROR(__xludf.DUMMYFUNCTION("""COMPUTED_VALUE"""),"Availed Technologies : Monthly Services")</f>
        <v>Availed Technologies : Monthly Services</v>
      </c>
      <c r="B1488" s="223" t="str">
        <f>IFERROR(__xludf.DUMMYFUNCTION("""COMPUTED_VALUE"""),"Availed Technologies")</f>
        <v>Availed Technologies</v>
      </c>
      <c r="C1488" s="223" t="str">
        <f>IFERROR(__xludf.DUMMYFUNCTION("""COMPUTED_VALUE"""),"Monthly Services")</f>
        <v>Monthly Services</v>
      </c>
      <c r="D1488" s="316">
        <f>IFERROR(__xludf.DUMMYFUNCTION("""COMPUTED_VALUE"""),44651.0)</f>
        <v>44651</v>
      </c>
      <c r="E1488" s="298"/>
      <c r="F1488" s="298"/>
      <c r="G1488" s="298"/>
      <c r="H1488" s="223"/>
      <c r="I1488" s="298">
        <f>IFERROR(__xludf.DUMMYFUNCTION("""COMPUTED_VALUE"""),56.96)</f>
        <v>56.96</v>
      </c>
      <c r="J1488" s="223" t="str">
        <f>IFERROR(__xludf.DUMMYFUNCTION("""COMPUTED_VALUE"""),"Monthly")</f>
        <v>Monthly</v>
      </c>
      <c r="K1488" s="317">
        <f>IFERROR(__xludf.DUMMYFUNCTION("""COMPUTED_VALUE"""),2022.03)</f>
        <v>2022.03</v>
      </c>
      <c r="L1488" s="298"/>
      <c r="M1488" s="223"/>
      <c r="N1488" s="223"/>
      <c r="O1488" s="223"/>
      <c r="P1488" s="223"/>
      <c r="Q1488" s="223"/>
      <c r="R1488" s="223"/>
      <c r="S1488" s="223"/>
      <c r="T1488" s="223"/>
      <c r="U1488" s="223"/>
      <c r="V1488" s="223"/>
      <c r="W1488" s="223"/>
      <c r="X1488" s="223"/>
      <c r="Y1488" s="223"/>
      <c r="Z1488" s="223"/>
    </row>
    <row r="1489">
      <c r="A1489" s="223" t="str">
        <f>IFERROR(__xludf.DUMMYFUNCTION("""COMPUTED_VALUE"""),"CAAT Canada : Website Rebuild")</f>
        <v>CAAT Canada : Website Rebuild</v>
      </c>
      <c r="B1489" s="223" t="str">
        <f>IFERROR(__xludf.DUMMYFUNCTION("""COMPUTED_VALUE"""),"CAAT Canada")</f>
        <v>CAAT Canada</v>
      </c>
      <c r="C1489" s="223" t="str">
        <f>IFERROR(__xludf.DUMMYFUNCTION("""COMPUTED_VALUE"""),"Website Rebuild")</f>
        <v>Website Rebuild</v>
      </c>
      <c r="D1489" s="316">
        <f>IFERROR(__xludf.DUMMYFUNCTION("""COMPUTED_VALUE"""),44651.0)</f>
        <v>44651</v>
      </c>
      <c r="E1489" s="298"/>
      <c r="F1489" s="298"/>
      <c r="G1489" s="298"/>
      <c r="H1489" s="223"/>
      <c r="I1489" s="298">
        <f>IFERROR(__xludf.DUMMYFUNCTION("""COMPUTED_VALUE"""),735.79)</f>
        <v>735.79</v>
      </c>
      <c r="J1489" s="223" t="str">
        <f>IFERROR(__xludf.DUMMYFUNCTION("""COMPUTED_VALUE"""),"Fixed Project")</f>
        <v>Fixed Project</v>
      </c>
      <c r="K1489" s="317">
        <f>IFERROR(__xludf.DUMMYFUNCTION("""COMPUTED_VALUE"""),2022.0)</f>
        <v>2022</v>
      </c>
      <c r="L1489" s="298"/>
      <c r="M1489" s="223"/>
      <c r="N1489" s="223"/>
      <c r="O1489" s="223"/>
      <c r="P1489" s="223"/>
      <c r="Q1489" s="223"/>
      <c r="R1489" s="223"/>
      <c r="S1489" s="223"/>
      <c r="T1489" s="223"/>
      <c r="U1489" s="223"/>
      <c r="V1489" s="223"/>
      <c r="W1489" s="223"/>
      <c r="X1489" s="223"/>
      <c r="Y1489" s="223"/>
      <c r="Z1489" s="223"/>
    </row>
    <row r="1490">
      <c r="A1490" s="223" t="str">
        <f>IFERROR(__xludf.DUMMYFUNCTION("""COMPUTED_VALUE"""),"Community Financials : Monthly Services")</f>
        <v>Community Financials : Monthly Services</v>
      </c>
      <c r="B1490" s="223" t="str">
        <f>IFERROR(__xludf.DUMMYFUNCTION("""COMPUTED_VALUE"""),"Community Financials")</f>
        <v>Community Financials</v>
      </c>
      <c r="C1490" s="223" t="str">
        <f>IFERROR(__xludf.DUMMYFUNCTION("""COMPUTED_VALUE"""),"Monthly Services")</f>
        <v>Monthly Services</v>
      </c>
      <c r="D1490" s="316">
        <f>IFERROR(__xludf.DUMMYFUNCTION("""COMPUTED_VALUE"""),44651.0)</f>
        <v>44651</v>
      </c>
      <c r="E1490" s="298"/>
      <c r="F1490" s="298"/>
      <c r="G1490" s="298"/>
      <c r="H1490" s="223"/>
      <c r="I1490" s="298">
        <f>IFERROR(__xludf.DUMMYFUNCTION("""COMPUTED_VALUE"""),20.36)</f>
        <v>20.36</v>
      </c>
      <c r="J1490" s="223" t="str">
        <f>IFERROR(__xludf.DUMMYFUNCTION("""COMPUTED_VALUE"""),"Monthly")</f>
        <v>Monthly</v>
      </c>
      <c r="K1490" s="317">
        <f>IFERROR(__xludf.DUMMYFUNCTION("""COMPUTED_VALUE"""),2022.03)</f>
        <v>2022.03</v>
      </c>
      <c r="L1490" s="298"/>
      <c r="M1490" s="223"/>
      <c r="N1490" s="223"/>
      <c r="O1490" s="223"/>
      <c r="P1490" s="223"/>
      <c r="Q1490" s="223"/>
      <c r="R1490" s="223"/>
      <c r="S1490" s="223"/>
      <c r="T1490" s="223"/>
      <c r="U1490" s="223"/>
      <c r="V1490" s="223"/>
      <c r="W1490" s="223"/>
      <c r="X1490" s="223"/>
      <c r="Y1490" s="223"/>
      <c r="Z1490" s="223"/>
    </row>
    <row r="1491">
      <c r="A1491" s="223" t="str">
        <f>IFERROR(__xludf.DUMMYFUNCTION("""COMPUTED_VALUE"""),"Frank &amp; Ellis : Website Rebuild")</f>
        <v>Frank &amp; Ellis : Website Rebuild</v>
      </c>
      <c r="B1491" s="223" t="str">
        <f>IFERROR(__xludf.DUMMYFUNCTION("""COMPUTED_VALUE"""),"Frank &amp; Ellis")</f>
        <v>Frank &amp; Ellis</v>
      </c>
      <c r="C1491" s="223" t="str">
        <f>IFERROR(__xludf.DUMMYFUNCTION("""COMPUTED_VALUE"""),"Website Rebuild")</f>
        <v>Website Rebuild</v>
      </c>
      <c r="D1491" s="316">
        <f>IFERROR(__xludf.DUMMYFUNCTION("""COMPUTED_VALUE"""),44651.0)</f>
        <v>44651</v>
      </c>
      <c r="E1491" s="298"/>
      <c r="F1491" s="298"/>
      <c r="G1491" s="298"/>
      <c r="H1491" s="223"/>
      <c r="I1491" s="298">
        <f>IFERROR(__xludf.DUMMYFUNCTION("""COMPUTED_VALUE"""),127.83)</f>
        <v>127.83</v>
      </c>
      <c r="J1491" s="223" t="str">
        <f>IFERROR(__xludf.DUMMYFUNCTION("""COMPUTED_VALUE"""),"Fixed Project")</f>
        <v>Fixed Project</v>
      </c>
      <c r="K1491" s="317">
        <f>IFERROR(__xludf.DUMMYFUNCTION("""COMPUTED_VALUE"""),2022.0)</f>
        <v>2022</v>
      </c>
      <c r="L1491" s="298"/>
      <c r="M1491" s="223"/>
      <c r="N1491" s="223"/>
      <c r="O1491" s="223"/>
      <c r="P1491" s="223"/>
      <c r="Q1491" s="223"/>
      <c r="R1491" s="223"/>
      <c r="S1491" s="223"/>
      <c r="T1491" s="223"/>
      <c r="U1491" s="223"/>
      <c r="V1491" s="223"/>
      <c r="W1491" s="223"/>
      <c r="X1491" s="223"/>
      <c r="Y1491" s="223"/>
      <c r="Z1491" s="223"/>
    </row>
    <row r="1492">
      <c r="A1492" s="223" t="str">
        <f>IFERROR(__xludf.DUMMYFUNCTION("""COMPUTED_VALUE"""),"Crisp Media : Genus Capital Managment Support")</f>
        <v>Crisp Media : Genus Capital Managment Support</v>
      </c>
      <c r="B1492" s="223" t="str">
        <f>IFERROR(__xludf.DUMMYFUNCTION("""COMPUTED_VALUE"""),"Crisp Media")</f>
        <v>Crisp Media</v>
      </c>
      <c r="C1492" s="223" t="str">
        <f>IFERROR(__xludf.DUMMYFUNCTION("""COMPUTED_VALUE"""),"Genus Capital Managment Support")</f>
        <v>Genus Capital Managment Support</v>
      </c>
      <c r="D1492" s="316">
        <f>IFERROR(__xludf.DUMMYFUNCTION("""COMPUTED_VALUE"""),44651.0)</f>
        <v>44651</v>
      </c>
      <c r="E1492" s="298"/>
      <c r="F1492" s="298"/>
      <c r="G1492" s="298"/>
      <c r="H1492" s="223"/>
      <c r="I1492" s="298">
        <f>IFERROR(__xludf.DUMMYFUNCTION("""COMPUTED_VALUE"""),107.62)</f>
        <v>107.62</v>
      </c>
      <c r="J1492" s="223" t="str">
        <f>IFERROR(__xludf.DUMMYFUNCTION("""COMPUTED_VALUE"""),"Fixed Project")</f>
        <v>Fixed Project</v>
      </c>
      <c r="K1492" s="317">
        <f>IFERROR(__xludf.DUMMYFUNCTION("""COMPUTED_VALUE"""),2022.0)</f>
        <v>2022</v>
      </c>
      <c r="L1492" s="298"/>
      <c r="M1492" s="223"/>
      <c r="N1492" s="223"/>
      <c r="O1492" s="223"/>
      <c r="P1492" s="223"/>
      <c r="Q1492" s="223"/>
      <c r="R1492" s="223"/>
      <c r="S1492" s="223"/>
      <c r="T1492" s="223"/>
      <c r="U1492" s="223"/>
      <c r="V1492" s="223"/>
      <c r="W1492" s="223"/>
      <c r="X1492" s="223"/>
      <c r="Y1492" s="223"/>
      <c r="Z1492" s="223"/>
    </row>
    <row r="1493">
      <c r="A1493" s="223" t="str">
        <f>IFERROR(__xludf.DUMMYFUNCTION("""COMPUTED_VALUE"""),"Hastings House : Monthly Services")</f>
        <v>Hastings House : Monthly Services</v>
      </c>
      <c r="B1493" s="223" t="str">
        <f>IFERROR(__xludf.DUMMYFUNCTION("""COMPUTED_VALUE"""),"Hastings House")</f>
        <v>Hastings House</v>
      </c>
      <c r="C1493" s="223" t="str">
        <f>IFERROR(__xludf.DUMMYFUNCTION("""COMPUTED_VALUE"""),"Monthly Services")</f>
        <v>Monthly Services</v>
      </c>
      <c r="D1493" s="316">
        <f>IFERROR(__xludf.DUMMYFUNCTION("""COMPUTED_VALUE"""),44651.0)</f>
        <v>44651</v>
      </c>
      <c r="E1493" s="298"/>
      <c r="F1493" s="298"/>
      <c r="G1493" s="298"/>
      <c r="H1493" s="223"/>
      <c r="I1493" s="298">
        <f>IFERROR(__xludf.DUMMYFUNCTION("""COMPUTED_VALUE"""),21.13)</f>
        <v>21.13</v>
      </c>
      <c r="J1493" s="223" t="str">
        <f>IFERROR(__xludf.DUMMYFUNCTION("""COMPUTED_VALUE"""),"Monthly")</f>
        <v>Monthly</v>
      </c>
      <c r="K1493" s="317">
        <f>IFERROR(__xludf.DUMMYFUNCTION("""COMPUTED_VALUE"""),2022.03)</f>
        <v>2022.03</v>
      </c>
      <c r="L1493" s="298"/>
      <c r="M1493" s="223"/>
      <c r="N1493" s="223"/>
      <c r="O1493" s="223"/>
      <c r="P1493" s="223"/>
      <c r="Q1493" s="223"/>
      <c r="R1493" s="223"/>
      <c r="S1493" s="223"/>
      <c r="T1493" s="223"/>
      <c r="U1493" s="223"/>
      <c r="V1493" s="223"/>
      <c r="W1493" s="223"/>
      <c r="X1493" s="223"/>
      <c r="Y1493" s="223"/>
      <c r="Z1493" s="223"/>
    </row>
    <row r="1494">
      <c r="A1494" s="223" t="str">
        <f>IFERROR(__xludf.DUMMYFUNCTION("""COMPUTED_VALUE"""),"HSJ Lawyers : Monthly Services")</f>
        <v>HSJ Lawyers : Monthly Services</v>
      </c>
      <c r="B1494" s="223" t="str">
        <f>IFERROR(__xludf.DUMMYFUNCTION("""COMPUTED_VALUE"""),"HSJ Lawyers")</f>
        <v>HSJ Lawyers</v>
      </c>
      <c r="C1494" s="223" t="str">
        <f>IFERROR(__xludf.DUMMYFUNCTION("""COMPUTED_VALUE"""),"Monthly Services")</f>
        <v>Monthly Services</v>
      </c>
      <c r="D1494" s="316">
        <f>IFERROR(__xludf.DUMMYFUNCTION("""COMPUTED_VALUE"""),44651.0)</f>
        <v>44651</v>
      </c>
      <c r="E1494" s="298"/>
      <c r="F1494" s="298"/>
      <c r="G1494" s="298"/>
      <c r="H1494" s="223"/>
      <c r="I1494" s="298">
        <f>IFERROR(__xludf.DUMMYFUNCTION("""COMPUTED_VALUE"""),27.61)</f>
        <v>27.61</v>
      </c>
      <c r="J1494" s="223" t="str">
        <f>IFERROR(__xludf.DUMMYFUNCTION("""COMPUTED_VALUE"""),"Monthly")</f>
        <v>Monthly</v>
      </c>
      <c r="K1494" s="317">
        <f>IFERROR(__xludf.DUMMYFUNCTION("""COMPUTED_VALUE"""),2022.03)</f>
        <v>2022.03</v>
      </c>
      <c r="L1494" s="298"/>
      <c r="M1494" s="223"/>
      <c r="N1494" s="223"/>
      <c r="O1494" s="223"/>
      <c r="P1494" s="223"/>
      <c r="Q1494" s="223"/>
      <c r="R1494" s="223"/>
      <c r="S1494" s="223"/>
      <c r="T1494" s="223"/>
      <c r="U1494" s="223"/>
      <c r="V1494" s="223"/>
      <c r="W1494" s="223"/>
      <c r="X1494" s="223"/>
      <c r="Y1494" s="223"/>
      <c r="Z1494" s="223"/>
    </row>
    <row r="1495">
      <c r="A1495" s="223" t="str">
        <f>IFERROR(__xludf.DUMMYFUNCTION("""COMPUTED_VALUE"""),"UnityWest Capital : Jericho Energy Ventures 6 month project")</f>
        <v>UnityWest Capital : Jericho Energy Ventures 6 month project</v>
      </c>
      <c r="B1495" s="223" t="str">
        <f>IFERROR(__xludf.DUMMYFUNCTION("""COMPUTED_VALUE"""),"UnityWest Capital")</f>
        <v>UnityWest Capital</v>
      </c>
      <c r="C1495" s="223" t="str">
        <f>IFERROR(__xludf.DUMMYFUNCTION("""COMPUTED_VALUE"""),"Jericho Energy Ventures 6 month project")</f>
        <v>Jericho Energy Ventures 6 month project</v>
      </c>
      <c r="D1495" s="316">
        <f>IFERROR(__xludf.DUMMYFUNCTION("""COMPUTED_VALUE"""),44651.0)</f>
        <v>44651</v>
      </c>
      <c r="E1495" s="298"/>
      <c r="F1495" s="298"/>
      <c r="G1495" s="298"/>
      <c r="H1495" s="223"/>
      <c r="I1495" s="298">
        <f>IFERROR(__xludf.DUMMYFUNCTION("""COMPUTED_VALUE"""),385.99)</f>
        <v>385.99</v>
      </c>
      <c r="J1495" s="223" t="str">
        <f>IFERROR(__xludf.DUMMYFUNCTION("""COMPUTED_VALUE"""),"Monthly")</f>
        <v>Monthly</v>
      </c>
      <c r="K1495" s="317">
        <f>IFERROR(__xludf.DUMMYFUNCTION("""COMPUTED_VALUE"""),2022.03)</f>
        <v>2022.03</v>
      </c>
      <c r="L1495" s="298"/>
      <c r="M1495" s="223"/>
      <c r="N1495" s="223"/>
      <c r="O1495" s="223"/>
      <c r="P1495" s="223"/>
      <c r="Q1495" s="223"/>
      <c r="R1495" s="223"/>
      <c r="S1495" s="223"/>
      <c r="T1495" s="223"/>
      <c r="U1495" s="223"/>
      <c r="V1495" s="223"/>
      <c r="W1495" s="223"/>
      <c r="X1495" s="223"/>
      <c r="Y1495" s="223"/>
      <c r="Z1495" s="223"/>
    </row>
    <row r="1496">
      <c r="A1496" s="223" t="str">
        <f>IFERROR(__xludf.DUMMYFUNCTION("""COMPUTED_VALUE"""),"Maple Leaf Adventures : 10 Hour Support Block")</f>
        <v>Maple Leaf Adventures : 10 Hour Support Block</v>
      </c>
      <c r="B1496" s="223" t="str">
        <f>IFERROR(__xludf.DUMMYFUNCTION("""COMPUTED_VALUE"""),"Maple Leaf Adventures")</f>
        <v>Maple Leaf Adventures</v>
      </c>
      <c r="C1496" s="223" t="str">
        <f>IFERROR(__xludf.DUMMYFUNCTION("""COMPUTED_VALUE"""),"10 Hour Support Block")</f>
        <v>10 Hour Support Block</v>
      </c>
      <c r="D1496" s="316">
        <f>IFERROR(__xludf.DUMMYFUNCTION("""COMPUTED_VALUE"""),44651.0)</f>
        <v>44651</v>
      </c>
      <c r="E1496" s="298"/>
      <c r="F1496" s="298"/>
      <c r="G1496" s="298"/>
      <c r="H1496" s="223"/>
      <c r="I1496" s="298">
        <f>IFERROR(__xludf.DUMMYFUNCTION("""COMPUTED_VALUE"""),38.97)</f>
        <v>38.97</v>
      </c>
      <c r="J1496" s="223" t="str">
        <f>IFERROR(__xludf.DUMMYFUNCTION("""COMPUTED_VALUE"""),"Fixed Project")</f>
        <v>Fixed Project</v>
      </c>
      <c r="K1496" s="317">
        <f>IFERROR(__xludf.DUMMYFUNCTION("""COMPUTED_VALUE"""),2022.0)</f>
        <v>2022</v>
      </c>
      <c r="L1496" s="298"/>
      <c r="M1496" s="223"/>
      <c r="N1496" s="223"/>
      <c r="O1496" s="223"/>
      <c r="P1496" s="223"/>
      <c r="Q1496" s="223"/>
      <c r="R1496" s="223"/>
      <c r="S1496" s="223"/>
      <c r="T1496" s="223"/>
      <c r="U1496" s="223"/>
      <c r="V1496" s="223"/>
      <c r="W1496" s="223"/>
      <c r="X1496" s="223"/>
      <c r="Y1496" s="223"/>
      <c r="Z1496" s="223"/>
    </row>
    <row r="1497">
      <c r="A1497" s="223" t="str">
        <f>IFERROR(__xludf.DUMMYFUNCTION("""COMPUTED_VALUE"""),"PlusROI : Admin")</f>
        <v>PlusROI : Admin</v>
      </c>
      <c r="B1497" s="223" t="str">
        <f>IFERROR(__xludf.DUMMYFUNCTION("""COMPUTED_VALUE"""),"PlusROI")</f>
        <v>PlusROI</v>
      </c>
      <c r="C1497" s="223" t="str">
        <f>IFERROR(__xludf.DUMMYFUNCTION("""COMPUTED_VALUE"""),"Admin")</f>
        <v>Admin</v>
      </c>
      <c r="D1497" s="316">
        <f>IFERROR(__xludf.DUMMYFUNCTION("""COMPUTED_VALUE"""),44651.0)</f>
        <v>44651</v>
      </c>
      <c r="E1497" s="298"/>
      <c r="F1497" s="298"/>
      <c r="G1497" s="298"/>
      <c r="H1497" s="223"/>
      <c r="I1497" s="298">
        <f>IFERROR(__xludf.DUMMYFUNCTION("""COMPUTED_VALUE"""),285.35)</f>
        <v>285.35</v>
      </c>
      <c r="J1497" s="223" t="str">
        <f>IFERROR(__xludf.DUMMYFUNCTION("""COMPUTED_VALUE"""),"Hourly")</f>
        <v>Hourly</v>
      </c>
      <c r="K1497" s="317">
        <f>IFERROR(__xludf.DUMMYFUNCTION("""COMPUTED_VALUE"""),2022.0)</f>
        <v>2022</v>
      </c>
      <c r="L1497" s="298"/>
      <c r="M1497" s="223"/>
      <c r="N1497" s="223"/>
      <c r="O1497" s="223"/>
      <c r="P1497" s="223"/>
      <c r="Q1497" s="223"/>
      <c r="R1497" s="223"/>
      <c r="S1497" s="223"/>
      <c r="T1497" s="223"/>
      <c r="U1497" s="223"/>
      <c r="V1497" s="223"/>
      <c r="W1497" s="223"/>
      <c r="X1497" s="223"/>
      <c r="Y1497" s="223"/>
      <c r="Z1497" s="223"/>
    </row>
    <row r="1498">
      <c r="A1498" s="223" t="str">
        <f>IFERROR(__xludf.DUMMYFUNCTION("""COMPUTED_VALUE"""),"PMDI : Monthly Services")</f>
        <v>PMDI : Monthly Services</v>
      </c>
      <c r="B1498" s="223" t="str">
        <f>IFERROR(__xludf.DUMMYFUNCTION("""COMPUTED_VALUE"""),"PMDI")</f>
        <v>PMDI</v>
      </c>
      <c r="C1498" s="223" t="str">
        <f>IFERROR(__xludf.DUMMYFUNCTION("""COMPUTED_VALUE"""),"Monthly Services")</f>
        <v>Monthly Services</v>
      </c>
      <c r="D1498" s="316">
        <f>IFERROR(__xludf.DUMMYFUNCTION("""COMPUTED_VALUE"""),44651.0)</f>
        <v>44651</v>
      </c>
      <c r="E1498" s="298"/>
      <c r="F1498" s="298"/>
      <c r="G1498" s="298"/>
      <c r="H1498" s="223"/>
      <c r="I1498" s="298">
        <f>IFERROR(__xludf.DUMMYFUNCTION("""COMPUTED_VALUE"""),2.03)</f>
        <v>2.03</v>
      </c>
      <c r="J1498" s="223" t="str">
        <f>IFERROR(__xludf.DUMMYFUNCTION("""COMPUTED_VALUE"""),"Monthly")</f>
        <v>Monthly</v>
      </c>
      <c r="K1498" s="317">
        <f>IFERROR(__xludf.DUMMYFUNCTION("""COMPUTED_VALUE"""),2022.03)</f>
        <v>2022.03</v>
      </c>
      <c r="L1498" s="298"/>
      <c r="M1498" s="223"/>
      <c r="N1498" s="223"/>
      <c r="O1498" s="223"/>
      <c r="P1498" s="223"/>
      <c r="Q1498" s="223"/>
      <c r="R1498" s="223"/>
      <c r="S1498" s="223"/>
      <c r="T1498" s="223"/>
      <c r="U1498" s="223"/>
      <c r="V1498" s="223"/>
      <c r="W1498" s="223"/>
      <c r="X1498" s="223"/>
      <c r="Y1498" s="223"/>
      <c r="Z1498" s="223"/>
    </row>
    <row r="1499">
      <c r="A1499" s="223" t="str">
        <f>IFERROR(__xludf.DUMMYFUNCTION("""COMPUTED_VALUE"""),"Red Seal : Monthly Services")</f>
        <v>Red Seal : Monthly Services</v>
      </c>
      <c r="B1499" s="223" t="str">
        <f>IFERROR(__xludf.DUMMYFUNCTION("""COMPUTED_VALUE"""),"Red Seal")</f>
        <v>Red Seal</v>
      </c>
      <c r="C1499" s="223" t="str">
        <f>IFERROR(__xludf.DUMMYFUNCTION("""COMPUTED_VALUE"""),"Monthly Services")</f>
        <v>Monthly Services</v>
      </c>
      <c r="D1499" s="316">
        <f>IFERROR(__xludf.DUMMYFUNCTION("""COMPUTED_VALUE"""),44651.0)</f>
        <v>44651</v>
      </c>
      <c r="E1499" s="298"/>
      <c r="F1499" s="298"/>
      <c r="G1499" s="298"/>
      <c r="H1499" s="223"/>
      <c r="I1499" s="298">
        <f>IFERROR(__xludf.DUMMYFUNCTION("""COMPUTED_VALUE"""),4.96)</f>
        <v>4.96</v>
      </c>
      <c r="J1499" s="223" t="str">
        <f>IFERROR(__xludf.DUMMYFUNCTION("""COMPUTED_VALUE"""),"Monthly")</f>
        <v>Monthly</v>
      </c>
      <c r="K1499" s="317">
        <f>IFERROR(__xludf.DUMMYFUNCTION("""COMPUTED_VALUE"""),2022.03)</f>
        <v>2022.03</v>
      </c>
      <c r="L1499" s="298"/>
      <c r="M1499" s="223"/>
      <c r="N1499" s="223"/>
      <c r="O1499" s="223"/>
      <c r="P1499" s="223"/>
      <c r="Q1499" s="223"/>
      <c r="R1499" s="223"/>
      <c r="S1499" s="223"/>
      <c r="T1499" s="223"/>
      <c r="U1499" s="223"/>
      <c r="V1499" s="223"/>
      <c r="W1499" s="223"/>
      <c r="X1499" s="223"/>
      <c r="Y1499" s="223"/>
      <c r="Z1499" s="223"/>
    </row>
    <row r="1500">
      <c r="A1500" s="223" t="str">
        <f>IFERROR(__xludf.DUMMYFUNCTION("""COMPUTED_VALUE"""),"Spraggs : Monthly Services")</f>
        <v>Spraggs : Monthly Services</v>
      </c>
      <c r="B1500" s="223" t="str">
        <f>IFERROR(__xludf.DUMMYFUNCTION("""COMPUTED_VALUE"""),"Spraggs")</f>
        <v>Spraggs</v>
      </c>
      <c r="C1500" s="223" t="str">
        <f>IFERROR(__xludf.DUMMYFUNCTION("""COMPUTED_VALUE"""),"Monthly Services")</f>
        <v>Monthly Services</v>
      </c>
      <c r="D1500" s="316">
        <f>IFERROR(__xludf.DUMMYFUNCTION("""COMPUTED_VALUE"""),44651.0)</f>
        <v>44651</v>
      </c>
      <c r="E1500" s="298"/>
      <c r="F1500" s="298"/>
      <c r="G1500" s="298"/>
      <c r="H1500" s="223"/>
      <c r="I1500" s="298">
        <f>IFERROR(__xludf.DUMMYFUNCTION("""COMPUTED_VALUE"""),34.38)</f>
        <v>34.38</v>
      </c>
      <c r="J1500" s="223" t="str">
        <f>IFERROR(__xludf.DUMMYFUNCTION("""COMPUTED_VALUE"""),"Monthly")</f>
        <v>Monthly</v>
      </c>
      <c r="K1500" s="317">
        <f>IFERROR(__xludf.DUMMYFUNCTION("""COMPUTED_VALUE"""),2022.03)</f>
        <v>2022.03</v>
      </c>
      <c r="L1500" s="298"/>
      <c r="M1500" s="223"/>
      <c r="N1500" s="223"/>
      <c r="O1500" s="223"/>
      <c r="P1500" s="223"/>
      <c r="Q1500" s="223"/>
      <c r="R1500" s="223"/>
      <c r="S1500" s="223"/>
      <c r="T1500" s="223"/>
      <c r="U1500" s="223"/>
      <c r="V1500" s="223"/>
      <c r="W1500" s="223"/>
      <c r="X1500" s="223"/>
      <c r="Y1500" s="223"/>
      <c r="Z1500" s="223"/>
    </row>
    <row r="1501">
      <c r="A1501" s="223" t="str">
        <f>IFERROR(__xludf.DUMMYFUNCTION("""COMPUTED_VALUE"""),"Measurand : Initial SEO, PPC &amp; Website Work")</f>
        <v>Measurand : Initial SEO, PPC &amp; Website Work</v>
      </c>
      <c r="B1501" s="223" t="str">
        <f>IFERROR(__xludf.DUMMYFUNCTION("""COMPUTED_VALUE"""),"Measurand")</f>
        <v>Measurand</v>
      </c>
      <c r="C1501" s="223" t="str">
        <f>IFERROR(__xludf.DUMMYFUNCTION("""COMPUTED_VALUE"""),"Initial SEO, PPC &amp; Website Work")</f>
        <v>Initial SEO, PPC &amp; Website Work</v>
      </c>
      <c r="D1501" s="316">
        <f>IFERROR(__xludf.DUMMYFUNCTION("""COMPUTED_VALUE"""),44651.0)</f>
        <v>44651</v>
      </c>
      <c r="E1501" s="298"/>
      <c r="F1501" s="298"/>
      <c r="G1501" s="298"/>
      <c r="H1501" s="223"/>
      <c r="I1501" s="298">
        <f>IFERROR(__xludf.DUMMYFUNCTION("""COMPUTED_VALUE"""),106.07)</f>
        <v>106.07</v>
      </c>
      <c r="J1501" s="223" t="str">
        <f>IFERROR(__xludf.DUMMYFUNCTION("""COMPUTED_VALUE"""),"Fixed Project")</f>
        <v>Fixed Project</v>
      </c>
      <c r="K1501" s="317">
        <f>IFERROR(__xludf.DUMMYFUNCTION("""COMPUTED_VALUE"""),2022.0)</f>
        <v>2022</v>
      </c>
      <c r="L1501" s="298"/>
      <c r="M1501" s="223"/>
      <c r="N1501" s="223"/>
      <c r="O1501" s="223"/>
      <c r="P1501" s="223"/>
      <c r="Q1501" s="223"/>
      <c r="R1501" s="223"/>
      <c r="S1501" s="223"/>
      <c r="T1501" s="223"/>
      <c r="U1501" s="223"/>
      <c r="V1501" s="223"/>
      <c r="W1501" s="223"/>
      <c r="X1501" s="223"/>
      <c r="Y1501" s="223"/>
      <c r="Z1501" s="223"/>
    </row>
    <row r="1502">
      <c r="A1502" s="223" t="str">
        <f>IFERROR(__xludf.DUMMYFUNCTION("""COMPUTED_VALUE"""),"The Academy : 5 Hour Support Block")</f>
        <v>The Academy : 5 Hour Support Block</v>
      </c>
      <c r="B1502" s="223" t="str">
        <f>IFERROR(__xludf.DUMMYFUNCTION("""COMPUTED_VALUE"""),"The Academy")</f>
        <v>The Academy</v>
      </c>
      <c r="C1502" s="223" t="str">
        <f>IFERROR(__xludf.DUMMYFUNCTION("""COMPUTED_VALUE"""),"5 Hour Support Block")</f>
        <v>5 Hour Support Block</v>
      </c>
      <c r="D1502" s="316">
        <f>IFERROR(__xludf.DUMMYFUNCTION("""COMPUTED_VALUE"""),44651.0)</f>
        <v>44651</v>
      </c>
      <c r="E1502" s="298"/>
      <c r="F1502" s="298"/>
      <c r="G1502" s="298"/>
      <c r="H1502" s="223"/>
      <c r="I1502" s="298">
        <f>IFERROR(__xludf.DUMMYFUNCTION("""COMPUTED_VALUE"""),5.58)</f>
        <v>5.58</v>
      </c>
      <c r="J1502" s="223" t="str">
        <f>IFERROR(__xludf.DUMMYFUNCTION("""COMPUTED_VALUE"""),"Hourly")</f>
        <v>Hourly</v>
      </c>
      <c r="K1502" s="317">
        <f>IFERROR(__xludf.DUMMYFUNCTION("""COMPUTED_VALUE"""),2022.0)</f>
        <v>2022</v>
      </c>
      <c r="L1502" s="298"/>
      <c r="M1502" s="223"/>
      <c r="N1502" s="223"/>
      <c r="O1502" s="223"/>
      <c r="P1502" s="223"/>
      <c r="Q1502" s="223"/>
      <c r="R1502" s="223"/>
      <c r="S1502" s="223"/>
      <c r="T1502" s="223"/>
      <c r="U1502" s="223"/>
      <c r="V1502" s="223"/>
      <c r="W1502" s="223"/>
      <c r="X1502" s="223"/>
      <c r="Y1502" s="223"/>
      <c r="Z1502" s="223"/>
    </row>
    <row r="1503">
      <c r="A1503" s="223" t="str">
        <f>IFERROR(__xludf.DUMMYFUNCTION("""COMPUTED_VALUE"""),"TisBest : Monthly Services")</f>
        <v>TisBest : Monthly Services</v>
      </c>
      <c r="B1503" s="223" t="str">
        <f>IFERROR(__xludf.DUMMYFUNCTION("""COMPUTED_VALUE"""),"TisBest")</f>
        <v>TisBest</v>
      </c>
      <c r="C1503" s="223" t="str">
        <f>IFERROR(__xludf.DUMMYFUNCTION("""COMPUTED_VALUE"""),"Monthly Services")</f>
        <v>Monthly Services</v>
      </c>
      <c r="D1503" s="316">
        <f>IFERROR(__xludf.DUMMYFUNCTION("""COMPUTED_VALUE"""),44651.0)</f>
        <v>44651</v>
      </c>
      <c r="E1503" s="298"/>
      <c r="F1503" s="298"/>
      <c r="G1503" s="298"/>
      <c r="H1503" s="223"/>
      <c r="I1503" s="298">
        <f>IFERROR(__xludf.DUMMYFUNCTION("""COMPUTED_VALUE"""),194.81)</f>
        <v>194.81</v>
      </c>
      <c r="J1503" s="223" t="str">
        <f>IFERROR(__xludf.DUMMYFUNCTION("""COMPUTED_VALUE"""),"Monthly")</f>
        <v>Monthly</v>
      </c>
      <c r="K1503" s="317">
        <f>IFERROR(__xludf.DUMMYFUNCTION("""COMPUTED_VALUE"""),2022.03)</f>
        <v>2022.03</v>
      </c>
      <c r="L1503" s="298"/>
      <c r="M1503" s="223"/>
      <c r="N1503" s="223"/>
      <c r="O1503" s="223"/>
      <c r="P1503" s="223"/>
      <c r="Q1503" s="223"/>
      <c r="R1503" s="223"/>
      <c r="S1503" s="223"/>
      <c r="T1503" s="223"/>
      <c r="U1503" s="223"/>
      <c r="V1503" s="223"/>
      <c r="W1503" s="223"/>
      <c r="X1503" s="223"/>
      <c r="Y1503" s="223"/>
      <c r="Z1503" s="223"/>
    </row>
    <row r="1504">
      <c r="A1504" s="223" t="str">
        <f>IFERROR(__xludf.DUMMYFUNCTION("""COMPUTED_VALUE"""),"VADARTS : Website Support Project")</f>
        <v>VADARTS : Website Support Project</v>
      </c>
      <c r="B1504" s="223" t="str">
        <f>IFERROR(__xludf.DUMMYFUNCTION("""COMPUTED_VALUE"""),"VADARTS")</f>
        <v>VADARTS</v>
      </c>
      <c r="C1504" s="223" t="str">
        <f>IFERROR(__xludf.DUMMYFUNCTION("""COMPUTED_VALUE"""),"Website Support Project")</f>
        <v>Website Support Project</v>
      </c>
      <c r="D1504" s="316">
        <f>IFERROR(__xludf.DUMMYFUNCTION("""COMPUTED_VALUE"""),44651.0)</f>
        <v>44651</v>
      </c>
      <c r="E1504" s="298"/>
      <c r="F1504" s="298"/>
      <c r="G1504" s="298"/>
      <c r="H1504" s="223"/>
      <c r="I1504" s="298">
        <f>IFERROR(__xludf.DUMMYFUNCTION("""COMPUTED_VALUE"""),66.77)</f>
        <v>66.77</v>
      </c>
      <c r="J1504" s="223" t="str">
        <f>IFERROR(__xludf.DUMMYFUNCTION("""COMPUTED_VALUE"""),"Fixed Project")</f>
        <v>Fixed Project</v>
      </c>
      <c r="K1504" s="317">
        <f>IFERROR(__xludf.DUMMYFUNCTION("""COMPUTED_VALUE"""),2022.0)</f>
        <v>2022</v>
      </c>
      <c r="L1504" s="298"/>
      <c r="M1504" s="223"/>
      <c r="N1504" s="223"/>
      <c r="O1504" s="223"/>
      <c r="P1504" s="223"/>
      <c r="Q1504" s="223"/>
      <c r="R1504" s="223"/>
      <c r="S1504" s="223"/>
      <c r="T1504" s="223"/>
      <c r="U1504" s="223"/>
      <c r="V1504" s="223"/>
      <c r="W1504" s="223"/>
      <c r="X1504" s="223"/>
      <c r="Y1504" s="223"/>
      <c r="Z1504" s="223"/>
    </row>
    <row r="1505">
      <c r="A1505" s="223" t="str">
        <f>IFERROR(__xludf.DUMMYFUNCTION("""COMPUTED_VALUE"""),"Venetian : Monthly Services")</f>
        <v>Venetian : Monthly Services</v>
      </c>
      <c r="B1505" s="223" t="str">
        <f>IFERROR(__xludf.DUMMYFUNCTION("""COMPUTED_VALUE"""),"Venetian")</f>
        <v>Venetian</v>
      </c>
      <c r="C1505" s="223" t="str">
        <f>IFERROR(__xludf.DUMMYFUNCTION("""COMPUTED_VALUE"""),"Monthly Services")</f>
        <v>Monthly Services</v>
      </c>
      <c r="D1505" s="316">
        <f>IFERROR(__xludf.DUMMYFUNCTION("""COMPUTED_VALUE"""),44651.0)</f>
        <v>44651</v>
      </c>
      <c r="E1505" s="298"/>
      <c r="F1505" s="298"/>
      <c r="G1505" s="298"/>
      <c r="H1505" s="223"/>
      <c r="I1505" s="298">
        <f>IFERROR(__xludf.DUMMYFUNCTION("""COMPUTED_VALUE"""),111.99)</f>
        <v>111.99</v>
      </c>
      <c r="J1505" s="223" t="str">
        <f>IFERROR(__xludf.DUMMYFUNCTION("""COMPUTED_VALUE"""),"Monthly")</f>
        <v>Monthly</v>
      </c>
      <c r="K1505" s="317">
        <f>IFERROR(__xludf.DUMMYFUNCTION("""COMPUTED_VALUE"""),2022.03)</f>
        <v>2022.03</v>
      </c>
      <c r="L1505" s="298"/>
      <c r="M1505" s="223"/>
      <c r="N1505" s="223"/>
      <c r="O1505" s="223"/>
      <c r="P1505" s="223"/>
      <c r="Q1505" s="223"/>
      <c r="R1505" s="223"/>
      <c r="S1505" s="223"/>
      <c r="T1505" s="223"/>
      <c r="U1505" s="223"/>
      <c r="V1505" s="223"/>
      <c r="W1505" s="223"/>
      <c r="X1505" s="223"/>
      <c r="Y1505" s="223"/>
      <c r="Z1505" s="223"/>
    </row>
    <row r="1506">
      <c r="A1506" s="223" t="str">
        <f>IFERROR(__xludf.DUMMYFUNCTION("""COMPUTED_VALUE"""),"C360 : Victory360")</f>
        <v>C360 : Victory360</v>
      </c>
      <c r="B1506" s="223" t="str">
        <f>IFERROR(__xludf.DUMMYFUNCTION("""COMPUTED_VALUE"""),"C360")</f>
        <v>C360</v>
      </c>
      <c r="C1506" s="223" t="str">
        <f>IFERROR(__xludf.DUMMYFUNCTION("""COMPUTED_VALUE"""),"Victory360")</f>
        <v>Victory360</v>
      </c>
      <c r="D1506" s="316">
        <f>IFERROR(__xludf.DUMMYFUNCTION("""COMPUTED_VALUE"""),44651.0)</f>
        <v>44651</v>
      </c>
      <c r="E1506" s="298"/>
      <c r="F1506" s="298"/>
      <c r="G1506" s="298"/>
      <c r="H1506" s="223"/>
      <c r="I1506" s="298">
        <f>IFERROR(__xludf.DUMMYFUNCTION("""COMPUTED_VALUE"""),76.05)</f>
        <v>76.05</v>
      </c>
      <c r="J1506" s="223" t="str">
        <f>IFERROR(__xludf.DUMMYFUNCTION("""COMPUTED_VALUE"""),"Monthly")</f>
        <v>Monthly</v>
      </c>
      <c r="K1506" s="317">
        <f>IFERROR(__xludf.DUMMYFUNCTION("""COMPUTED_VALUE"""),2022.03)</f>
        <v>2022.03</v>
      </c>
      <c r="L1506" s="298"/>
      <c r="M1506" s="223"/>
      <c r="N1506" s="223"/>
      <c r="O1506" s="223"/>
      <c r="P1506" s="223"/>
      <c r="Q1506" s="223"/>
      <c r="R1506" s="223"/>
      <c r="S1506" s="223"/>
      <c r="T1506" s="223"/>
      <c r="U1506" s="223"/>
      <c r="V1506" s="223"/>
      <c r="W1506" s="223"/>
      <c r="X1506" s="223"/>
      <c r="Y1506" s="223"/>
      <c r="Z1506" s="223"/>
    </row>
    <row r="1507">
      <c r="A1507" s="223" t="str">
        <f>IFERROR(__xludf.DUMMYFUNCTION("""COMPUTED_VALUE"""),"Waypoint : Website Updates")</f>
        <v>Waypoint : Website Updates</v>
      </c>
      <c r="B1507" s="223" t="str">
        <f>IFERROR(__xludf.DUMMYFUNCTION("""COMPUTED_VALUE"""),"Waypoint")</f>
        <v>Waypoint</v>
      </c>
      <c r="C1507" s="223" t="str">
        <f>IFERROR(__xludf.DUMMYFUNCTION("""COMPUTED_VALUE"""),"Website Updates")</f>
        <v>Website Updates</v>
      </c>
      <c r="D1507" s="316">
        <f>IFERROR(__xludf.DUMMYFUNCTION("""COMPUTED_VALUE"""),44651.0)</f>
        <v>44651</v>
      </c>
      <c r="E1507" s="298"/>
      <c r="F1507" s="298"/>
      <c r="G1507" s="298"/>
      <c r="H1507" s="223"/>
      <c r="I1507" s="298">
        <f>IFERROR(__xludf.DUMMYFUNCTION("""COMPUTED_VALUE"""),145.57)</f>
        <v>145.57</v>
      </c>
      <c r="J1507" s="223" t="str">
        <f>IFERROR(__xludf.DUMMYFUNCTION("""COMPUTED_VALUE"""),"Fixed Project")</f>
        <v>Fixed Project</v>
      </c>
      <c r="K1507" s="317">
        <f>IFERROR(__xludf.DUMMYFUNCTION("""COMPUTED_VALUE"""),2022.0)</f>
        <v>2022</v>
      </c>
      <c r="L1507" s="298"/>
      <c r="M1507" s="223"/>
      <c r="N1507" s="223"/>
      <c r="O1507" s="223"/>
      <c r="P1507" s="223"/>
      <c r="Q1507" s="223"/>
      <c r="R1507" s="223"/>
      <c r="S1507" s="223"/>
      <c r="T1507" s="223"/>
      <c r="U1507" s="223"/>
      <c r="V1507" s="223"/>
      <c r="W1507" s="223"/>
      <c r="X1507" s="223"/>
      <c r="Y1507" s="223"/>
      <c r="Z1507" s="223"/>
    </row>
    <row r="1508">
      <c r="A1508" s="223" t="str">
        <f>IFERROR(__xludf.DUMMYFUNCTION("""COMPUTED_VALUE"""),"Crisp Media : WRKOUT PPC")</f>
        <v>Crisp Media : WRKOUT PPC</v>
      </c>
      <c r="B1508" s="223" t="str">
        <f>IFERROR(__xludf.DUMMYFUNCTION("""COMPUTED_VALUE"""),"Crisp Media")</f>
        <v>Crisp Media</v>
      </c>
      <c r="C1508" s="223" t="str">
        <f>IFERROR(__xludf.DUMMYFUNCTION("""COMPUTED_VALUE"""),"WRKOUT PPC")</f>
        <v>WRKOUT PPC</v>
      </c>
      <c r="D1508" s="316">
        <f>IFERROR(__xludf.DUMMYFUNCTION("""COMPUTED_VALUE"""),44651.0)</f>
        <v>44651</v>
      </c>
      <c r="E1508" s="298"/>
      <c r="F1508" s="298"/>
      <c r="G1508" s="298"/>
      <c r="H1508" s="223"/>
      <c r="I1508" s="298">
        <f>IFERROR(__xludf.DUMMYFUNCTION("""COMPUTED_VALUE"""),111.18)</f>
        <v>111.18</v>
      </c>
      <c r="J1508" s="223" t="str">
        <f>IFERROR(__xludf.DUMMYFUNCTION("""COMPUTED_VALUE"""),"Monthly")</f>
        <v>Monthly</v>
      </c>
      <c r="K1508" s="317">
        <f>IFERROR(__xludf.DUMMYFUNCTION("""COMPUTED_VALUE"""),2022.03)</f>
        <v>2022.03</v>
      </c>
      <c r="L1508" s="298"/>
      <c r="M1508" s="223"/>
      <c r="N1508" s="223"/>
      <c r="O1508" s="223"/>
      <c r="P1508" s="223"/>
      <c r="Q1508" s="223"/>
      <c r="R1508" s="223"/>
      <c r="S1508" s="223"/>
      <c r="T1508" s="223"/>
      <c r="U1508" s="223"/>
      <c r="V1508" s="223"/>
      <c r="W1508" s="223"/>
      <c r="X1508" s="223"/>
      <c r="Y1508" s="223"/>
      <c r="Z1508" s="223"/>
    </row>
    <row r="1509">
      <c r="A1509" s="223" t="str">
        <f>IFERROR(__xludf.DUMMYFUNCTION("""COMPUTED_VALUE"""),"Tugwell : 6 Month PPC")</f>
        <v>Tugwell : 6 Month PPC</v>
      </c>
      <c r="B1509" s="223" t="str">
        <f>IFERROR(__xludf.DUMMYFUNCTION("""COMPUTED_VALUE"""),"Tugwell")</f>
        <v>Tugwell</v>
      </c>
      <c r="C1509" s="223" t="str">
        <f>IFERROR(__xludf.DUMMYFUNCTION("""COMPUTED_VALUE"""),"6 Month PPC")</f>
        <v>6 Month PPC</v>
      </c>
      <c r="D1509" s="316">
        <f>IFERROR(__xludf.DUMMYFUNCTION("""COMPUTED_VALUE"""),44632.0)</f>
        <v>44632</v>
      </c>
      <c r="E1509" s="298"/>
      <c r="F1509" s="298"/>
      <c r="G1509" s="298"/>
      <c r="H1509" s="223"/>
      <c r="I1509" s="298">
        <f>IFERROR(__xludf.DUMMYFUNCTION("""COMPUTED_VALUE"""),75.0)</f>
        <v>75</v>
      </c>
      <c r="J1509" s="223" t="str">
        <f>IFERROR(__xludf.DUMMYFUNCTION("""COMPUTED_VALUE"""),"Fixed Project")</f>
        <v>Fixed Project</v>
      </c>
      <c r="K1509" s="317">
        <f>IFERROR(__xludf.DUMMYFUNCTION("""COMPUTED_VALUE"""),2022.0)</f>
        <v>2022</v>
      </c>
      <c r="L1509" s="298">
        <f>IFERROR(__xludf.DUMMYFUNCTION("""COMPUTED_VALUE"""),75.0)</f>
        <v>75</v>
      </c>
      <c r="M1509" s="223"/>
      <c r="N1509" s="223"/>
      <c r="O1509" s="223"/>
      <c r="P1509" s="223"/>
      <c r="Q1509" s="223"/>
      <c r="R1509" s="223"/>
      <c r="S1509" s="223"/>
      <c r="T1509" s="223"/>
      <c r="U1509" s="223"/>
      <c r="V1509" s="223"/>
      <c r="W1509" s="223"/>
      <c r="X1509" s="223"/>
      <c r="Y1509" s="223"/>
      <c r="Z1509" s="223"/>
    </row>
    <row r="1510">
      <c r="A1510" s="223" t="str">
        <f>IFERROR(__xludf.DUMMYFUNCTION("""COMPUTED_VALUE"""),"Venetian : Monthly Services")</f>
        <v>Venetian : Monthly Services</v>
      </c>
      <c r="B1510" s="223" t="str">
        <f>IFERROR(__xludf.DUMMYFUNCTION("""COMPUTED_VALUE"""),"Venetian")</f>
        <v>Venetian</v>
      </c>
      <c r="C1510" s="223" t="str">
        <f>IFERROR(__xludf.DUMMYFUNCTION("""COMPUTED_VALUE"""),"Monthly Services")</f>
        <v>Monthly Services</v>
      </c>
      <c r="D1510" s="316">
        <f>IFERROR(__xludf.DUMMYFUNCTION("""COMPUTED_VALUE"""),44638.0)</f>
        <v>44638</v>
      </c>
      <c r="E1510" s="298"/>
      <c r="F1510" s="298"/>
      <c r="G1510" s="298"/>
      <c r="H1510" s="223"/>
      <c r="I1510" s="298">
        <f>IFERROR(__xludf.DUMMYFUNCTION("""COMPUTED_VALUE"""),750.0)</f>
        <v>750</v>
      </c>
      <c r="J1510" s="223" t="str">
        <f>IFERROR(__xludf.DUMMYFUNCTION("""COMPUTED_VALUE"""),"Monthly")</f>
        <v>Monthly</v>
      </c>
      <c r="K1510" s="317">
        <f>IFERROR(__xludf.DUMMYFUNCTION("""COMPUTED_VALUE"""),2022.03)</f>
        <v>2022.03</v>
      </c>
      <c r="L1510" s="298">
        <f>IFERROR(__xludf.DUMMYFUNCTION("""COMPUTED_VALUE"""),750.0)</f>
        <v>750</v>
      </c>
      <c r="M1510" s="223"/>
      <c r="N1510" s="223"/>
      <c r="O1510" s="223"/>
      <c r="P1510" s="223"/>
      <c r="Q1510" s="223"/>
      <c r="R1510" s="223"/>
      <c r="S1510" s="223"/>
      <c r="T1510" s="223"/>
      <c r="U1510" s="223"/>
      <c r="V1510" s="223"/>
      <c r="W1510" s="223"/>
      <c r="X1510" s="223"/>
      <c r="Y1510" s="223"/>
      <c r="Z1510" s="223"/>
    </row>
    <row r="1511">
      <c r="A1511" s="223" t="str">
        <f>IFERROR(__xludf.DUMMYFUNCTION("""COMPUTED_VALUE"""),"Spraggs : Monthly Services")</f>
        <v>Spraggs : Monthly Services</v>
      </c>
      <c r="B1511" s="223" t="str">
        <f>IFERROR(__xludf.DUMMYFUNCTION("""COMPUTED_VALUE"""),"Spraggs")</f>
        <v>Spraggs</v>
      </c>
      <c r="C1511" s="223" t="str">
        <f>IFERROR(__xludf.DUMMYFUNCTION("""COMPUTED_VALUE"""),"Monthly Services")</f>
        <v>Monthly Services</v>
      </c>
      <c r="D1511" s="316">
        <f>IFERROR(__xludf.DUMMYFUNCTION("""COMPUTED_VALUE"""),44636.0)</f>
        <v>44636</v>
      </c>
      <c r="E1511" s="298"/>
      <c r="F1511" s="298"/>
      <c r="G1511" s="298"/>
      <c r="H1511" s="223"/>
      <c r="I1511" s="298">
        <f>IFERROR(__xludf.DUMMYFUNCTION("""COMPUTED_VALUE"""),10.0)</f>
        <v>10</v>
      </c>
      <c r="J1511" s="223" t="str">
        <f>IFERROR(__xludf.DUMMYFUNCTION("""COMPUTED_VALUE"""),"Monthly")</f>
        <v>Monthly</v>
      </c>
      <c r="K1511" s="317">
        <f>IFERROR(__xludf.DUMMYFUNCTION("""COMPUTED_VALUE"""),2022.03)</f>
        <v>2022.03</v>
      </c>
      <c r="L1511" s="298">
        <f>IFERROR(__xludf.DUMMYFUNCTION("""COMPUTED_VALUE"""),10.0)</f>
        <v>10</v>
      </c>
      <c r="M1511" s="223"/>
      <c r="N1511" s="223"/>
      <c r="O1511" s="223"/>
      <c r="P1511" s="223"/>
      <c r="Q1511" s="223"/>
      <c r="R1511" s="223"/>
      <c r="S1511" s="223"/>
      <c r="T1511" s="223"/>
      <c r="U1511" s="223"/>
      <c r="V1511" s="223"/>
      <c r="W1511" s="223"/>
      <c r="X1511" s="223"/>
      <c r="Y1511" s="223"/>
      <c r="Z1511" s="223"/>
    </row>
    <row r="1512">
      <c r="A1512" s="223" t="str">
        <f>IFERROR(__xludf.DUMMYFUNCTION("""COMPUTED_VALUE"""),"Tuscany : Monthly Services")</f>
        <v>Tuscany : Monthly Services</v>
      </c>
      <c r="B1512" s="223" t="str">
        <f>IFERROR(__xludf.DUMMYFUNCTION("""COMPUTED_VALUE"""),"Tuscany")</f>
        <v>Tuscany</v>
      </c>
      <c r="C1512" s="223" t="str">
        <f>IFERROR(__xludf.DUMMYFUNCTION("""COMPUTED_VALUE"""),"Monthly Services")</f>
        <v>Monthly Services</v>
      </c>
      <c r="D1512" s="316">
        <f>IFERROR(__xludf.DUMMYFUNCTION("""COMPUTED_VALUE"""),44641.0)</f>
        <v>44641</v>
      </c>
      <c r="E1512" s="298"/>
      <c r="F1512" s="298"/>
      <c r="G1512" s="298"/>
      <c r="H1512" s="223"/>
      <c r="I1512" s="298">
        <f>IFERROR(__xludf.DUMMYFUNCTION("""COMPUTED_VALUE"""),750.0)</f>
        <v>750</v>
      </c>
      <c r="J1512" s="223" t="str">
        <f>IFERROR(__xludf.DUMMYFUNCTION("""COMPUTED_VALUE"""),"Monthly")</f>
        <v>Monthly</v>
      </c>
      <c r="K1512" s="317">
        <f>IFERROR(__xludf.DUMMYFUNCTION("""COMPUTED_VALUE"""),2022.03)</f>
        <v>2022.03</v>
      </c>
      <c r="L1512" s="298">
        <f>IFERROR(__xludf.DUMMYFUNCTION("""COMPUTED_VALUE"""),750.0)</f>
        <v>750</v>
      </c>
      <c r="M1512" s="223"/>
      <c r="N1512" s="223"/>
      <c r="O1512" s="223"/>
      <c r="P1512" s="223"/>
      <c r="Q1512" s="223"/>
      <c r="R1512" s="223"/>
      <c r="S1512" s="223"/>
      <c r="T1512" s="223"/>
      <c r="U1512" s="223"/>
      <c r="V1512" s="223"/>
      <c r="W1512" s="223"/>
      <c r="X1512" s="223"/>
      <c r="Y1512" s="223"/>
      <c r="Z1512" s="223"/>
    </row>
    <row r="1513">
      <c r="A1513" s="223" t="str">
        <f>IFERROR(__xludf.DUMMYFUNCTION("""COMPUTED_VALUE"""),"Tugwell : 6 Month PPC")</f>
        <v>Tugwell : 6 Month PPC</v>
      </c>
      <c r="B1513" s="223" t="str">
        <f>IFERROR(__xludf.DUMMYFUNCTION("""COMPUTED_VALUE"""),"Tugwell")</f>
        <v>Tugwell</v>
      </c>
      <c r="C1513" s="223" t="str">
        <f>IFERROR(__xludf.DUMMYFUNCTION("""COMPUTED_VALUE"""),"6 Month PPC")</f>
        <v>6 Month PPC</v>
      </c>
      <c r="D1513" s="316">
        <f>IFERROR(__xludf.DUMMYFUNCTION("""COMPUTED_VALUE"""),44641.0)</f>
        <v>44641</v>
      </c>
      <c r="E1513" s="298"/>
      <c r="F1513" s="298"/>
      <c r="G1513" s="298"/>
      <c r="H1513" s="223"/>
      <c r="I1513" s="298">
        <f>IFERROR(__xludf.DUMMYFUNCTION("""COMPUTED_VALUE"""),250.0)</f>
        <v>250</v>
      </c>
      <c r="J1513" s="223" t="str">
        <f>IFERROR(__xludf.DUMMYFUNCTION("""COMPUTED_VALUE"""),"Fixed Project")</f>
        <v>Fixed Project</v>
      </c>
      <c r="K1513" s="317">
        <f>IFERROR(__xludf.DUMMYFUNCTION("""COMPUTED_VALUE"""),2022.0)</f>
        <v>2022</v>
      </c>
      <c r="L1513" s="298">
        <f>IFERROR(__xludf.DUMMYFUNCTION("""COMPUTED_VALUE"""),250.0)</f>
        <v>250</v>
      </c>
      <c r="M1513" s="223"/>
      <c r="N1513" s="223"/>
      <c r="O1513" s="223"/>
      <c r="P1513" s="223"/>
      <c r="Q1513" s="223"/>
      <c r="R1513" s="223"/>
      <c r="S1513" s="223"/>
      <c r="T1513" s="223"/>
      <c r="U1513" s="223"/>
      <c r="V1513" s="223"/>
      <c r="W1513" s="223"/>
      <c r="X1513" s="223"/>
      <c r="Y1513" s="223"/>
      <c r="Z1513" s="223"/>
    </row>
    <row r="1514">
      <c r="A1514" s="223" t="str">
        <f>IFERROR(__xludf.DUMMYFUNCTION("""COMPUTED_VALUE"""),"Spraggs : Monthly Services")</f>
        <v>Spraggs : Monthly Services</v>
      </c>
      <c r="B1514" s="223" t="str">
        <f>IFERROR(__xludf.DUMMYFUNCTION("""COMPUTED_VALUE"""),"Spraggs")</f>
        <v>Spraggs</v>
      </c>
      <c r="C1514" s="223" t="str">
        <f>IFERROR(__xludf.DUMMYFUNCTION("""COMPUTED_VALUE"""),"Monthly Services")</f>
        <v>Monthly Services</v>
      </c>
      <c r="D1514" s="316">
        <f>IFERROR(__xludf.DUMMYFUNCTION("""COMPUTED_VALUE"""),44645.0)</f>
        <v>44645</v>
      </c>
      <c r="E1514" s="298"/>
      <c r="F1514" s="298"/>
      <c r="G1514" s="298"/>
      <c r="H1514" s="223"/>
      <c r="I1514" s="298">
        <f>IFERROR(__xludf.DUMMYFUNCTION("""COMPUTED_VALUE"""),4.52)</f>
        <v>4.52</v>
      </c>
      <c r="J1514" s="223" t="str">
        <f>IFERROR(__xludf.DUMMYFUNCTION("""COMPUTED_VALUE"""),"Monthly")</f>
        <v>Monthly</v>
      </c>
      <c r="K1514" s="317">
        <f>IFERROR(__xludf.DUMMYFUNCTION("""COMPUTED_VALUE"""),2022.03)</f>
        <v>2022.03</v>
      </c>
      <c r="L1514" s="298">
        <f>IFERROR(__xludf.DUMMYFUNCTION("""COMPUTED_VALUE"""),4.52)</f>
        <v>4.52</v>
      </c>
      <c r="M1514" s="223"/>
      <c r="N1514" s="223"/>
      <c r="O1514" s="223"/>
      <c r="P1514" s="223"/>
      <c r="Q1514" s="223"/>
      <c r="R1514" s="223"/>
      <c r="S1514" s="223"/>
      <c r="T1514" s="223"/>
      <c r="U1514" s="223"/>
      <c r="V1514" s="223"/>
      <c r="W1514" s="223"/>
      <c r="X1514" s="223"/>
      <c r="Y1514" s="223"/>
      <c r="Z1514" s="223"/>
    </row>
    <row r="1515">
      <c r="A1515" s="223" t="str">
        <f>IFERROR(__xludf.DUMMYFUNCTION("""COMPUTED_VALUE"""),"Venetian : Monthly Services")</f>
        <v>Venetian : Monthly Services</v>
      </c>
      <c r="B1515" s="223" t="str">
        <f>IFERROR(__xludf.DUMMYFUNCTION("""COMPUTED_VALUE"""),"Venetian")</f>
        <v>Venetian</v>
      </c>
      <c r="C1515" s="223" t="str">
        <f>IFERROR(__xludf.DUMMYFUNCTION("""COMPUTED_VALUE"""),"Monthly Services")</f>
        <v>Monthly Services</v>
      </c>
      <c r="D1515" s="316">
        <f>IFERROR(__xludf.DUMMYFUNCTION("""COMPUTED_VALUE"""),44653.0)</f>
        <v>44653</v>
      </c>
      <c r="E1515" s="298"/>
      <c r="F1515" s="298"/>
      <c r="G1515" s="298"/>
      <c r="H1515" s="223"/>
      <c r="I1515" s="298">
        <f>IFERROR(__xludf.DUMMYFUNCTION("""COMPUTED_VALUE"""),483.86)</f>
        <v>483.86</v>
      </c>
      <c r="J1515" s="223" t="str">
        <f>IFERROR(__xludf.DUMMYFUNCTION("""COMPUTED_VALUE"""),"Monthly")</f>
        <v>Monthly</v>
      </c>
      <c r="K1515" s="317">
        <f>IFERROR(__xludf.DUMMYFUNCTION("""COMPUTED_VALUE"""),2022.04)</f>
        <v>2022.04</v>
      </c>
      <c r="L1515" s="298">
        <f>IFERROR(__xludf.DUMMYFUNCTION("""COMPUTED_VALUE"""),483.86)</f>
        <v>483.86</v>
      </c>
      <c r="M1515" s="223"/>
      <c r="N1515" s="223"/>
      <c r="O1515" s="223"/>
      <c r="P1515" s="223"/>
      <c r="Q1515" s="223"/>
      <c r="R1515" s="223"/>
      <c r="S1515" s="223"/>
      <c r="T1515" s="223"/>
      <c r="U1515" s="223"/>
      <c r="V1515" s="223"/>
      <c r="W1515" s="223"/>
      <c r="X1515" s="223"/>
      <c r="Y1515" s="223"/>
      <c r="Z1515" s="223"/>
    </row>
    <row r="1516">
      <c r="A1516" s="223" t="str">
        <f>IFERROR(__xludf.DUMMYFUNCTION("""COMPUTED_VALUE"""),"Tuscany : Monthly Services")</f>
        <v>Tuscany : Monthly Services</v>
      </c>
      <c r="B1516" s="223" t="str">
        <f>IFERROR(__xludf.DUMMYFUNCTION("""COMPUTED_VALUE"""),"Tuscany")</f>
        <v>Tuscany</v>
      </c>
      <c r="C1516" s="223" t="str">
        <f>IFERROR(__xludf.DUMMYFUNCTION("""COMPUTED_VALUE"""),"Monthly Services")</f>
        <v>Monthly Services</v>
      </c>
      <c r="D1516" s="316">
        <f>IFERROR(__xludf.DUMMYFUNCTION("""COMPUTED_VALUE"""),44653.0)</f>
        <v>44653</v>
      </c>
      <c r="E1516" s="298"/>
      <c r="F1516" s="298"/>
      <c r="G1516" s="298"/>
      <c r="H1516" s="223"/>
      <c r="I1516" s="298">
        <f>IFERROR(__xludf.DUMMYFUNCTION("""COMPUTED_VALUE"""),252.5)</f>
        <v>252.5</v>
      </c>
      <c r="J1516" s="223" t="str">
        <f>IFERROR(__xludf.DUMMYFUNCTION("""COMPUTED_VALUE"""),"Monthly")</f>
        <v>Monthly</v>
      </c>
      <c r="K1516" s="317">
        <f>IFERROR(__xludf.DUMMYFUNCTION("""COMPUTED_VALUE"""),2022.04)</f>
        <v>2022.04</v>
      </c>
      <c r="L1516" s="298">
        <f>IFERROR(__xludf.DUMMYFUNCTION("""COMPUTED_VALUE"""),252.5)</f>
        <v>252.5</v>
      </c>
      <c r="M1516" s="223"/>
      <c r="N1516" s="223"/>
      <c r="O1516" s="223"/>
      <c r="P1516" s="223"/>
      <c r="Q1516" s="223"/>
      <c r="R1516" s="223"/>
      <c r="S1516" s="223"/>
      <c r="T1516" s="223"/>
      <c r="U1516" s="223"/>
      <c r="V1516" s="223"/>
      <c r="W1516" s="223"/>
      <c r="X1516" s="223"/>
      <c r="Y1516" s="223"/>
      <c r="Z1516" s="223"/>
    </row>
    <row r="1517">
      <c r="A1517" s="223" t="str">
        <f>IFERROR(__xludf.DUMMYFUNCTION("""COMPUTED_VALUE"""),"Tugwell : 6 Month PPC")</f>
        <v>Tugwell : 6 Month PPC</v>
      </c>
      <c r="B1517" s="223" t="str">
        <f>IFERROR(__xludf.DUMMYFUNCTION("""COMPUTED_VALUE"""),"Tugwell")</f>
        <v>Tugwell</v>
      </c>
      <c r="C1517" s="223" t="str">
        <f>IFERROR(__xludf.DUMMYFUNCTION("""COMPUTED_VALUE"""),"6 Month PPC")</f>
        <v>6 Month PPC</v>
      </c>
      <c r="D1517" s="316">
        <f>IFERROR(__xludf.DUMMYFUNCTION("""COMPUTED_VALUE"""),44653.0)</f>
        <v>44653</v>
      </c>
      <c r="E1517" s="298"/>
      <c r="F1517" s="298"/>
      <c r="G1517" s="298"/>
      <c r="H1517" s="223"/>
      <c r="I1517" s="298">
        <f>IFERROR(__xludf.DUMMYFUNCTION("""COMPUTED_VALUE"""),308.0)</f>
        <v>308</v>
      </c>
      <c r="J1517" s="223" t="str">
        <f>IFERROR(__xludf.DUMMYFUNCTION("""COMPUTED_VALUE"""),"Fixed Project")</f>
        <v>Fixed Project</v>
      </c>
      <c r="K1517" s="317">
        <f>IFERROR(__xludf.DUMMYFUNCTION("""COMPUTED_VALUE"""),2022.0)</f>
        <v>2022</v>
      </c>
      <c r="L1517" s="298">
        <f>IFERROR(__xludf.DUMMYFUNCTION("""COMPUTED_VALUE"""),308.0)</f>
        <v>308</v>
      </c>
      <c r="M1517" s="223"/>
      <c r="N1517" s="223"/>
      <c r="O1517" s="223"/>
      <c r="P1517" s="223"/>
      <c r="Q1517" s="223"/>
      <c r="R1517" s="223"/>
      <c r="S1517" s="223"/>
      <c r="T1517" s="223"/>
      <c r="U1517" s="223"/>
      <c r="V1517" s="223"/>
      <c r="W1517" s="223"/>
      <c r="X1517" s="223"/>
      <c r="Y1517" s="223"/>
      <c r="Z1517" s="223"/>
    </row>
    <row r="1518">
      <c r="A1518" s="223" t="str">
        <f>IFERROR(__xludf.DUMMYFUNCTION("""COMPUTED_VALUE"""),"PlusROI : Overhead")</f>
        <v>PlusROI : Overhead</v>
      </c>
      <c r="B1518" s="223" t="str">
        <f>IFERROR(__xludf.DUMMYFUNCTION("""COMPUTED_VALUE"""),"PlusROI")</f>
        <v>PlusROI</v>
      </c>
      <c r="C1518" s="223" t="str">
        <f>IFERROR(__xludf.DUMMYFUNCTION("""COMPUTED_VALUE"""),"Overhead")</f>
        <v>Overhead</v>
      </c>
      <c r="D1518" s="316">
        <f>IFERROR(__xludf.DUMMYFUNCTION("""COMPUTED_VALUE"""),44628.0)</f>
        <v>44628</v>
      </c>
      <c r="E1518" s="298"/>
      <c r="F1518" s="298"/>
      <c r="G1518" s="298"/>
      <c r="H1518" s="223"/>
      <c r="I1518" s="298">
        <f>IFERROR(__xludf.DUMMYFUNCTION("""COMPUTED_VALUE"""),51.09)</f>
        <v>51.09</v>
      </c>
      <c r="J1518" s="223" t="str">
        <f>IFERROR(__xludf.DUMMYFUNCTION("""COMPUTED_VALUE"""),"Hourly")</f>
        <v>Hourly</v>
      </c>
      <c r="K1518" s="317">
        <f>IFERROR(__xludf.DUMMYFUNCTION("""COMPUTED_VALUE"""),2022.0)</f>
        <v>2022</v>
      </c>
      <c r="L1518" s="298"/>
      <c r="M1518" s="223"/>
      <c r="N1518" s="223"/>
      <c r="O1518" s="223"/>
      <c r="P1518" s="223"/>
      <c r="Q1518" s="223"/>
      <c r="R1518" s="223"/>
      <c r="S1518" s="223"/>
      <c r="T1518" s="223"/>
      <c r="U1518" s="223"/>
      <c r="V1518" s="223"/>
      <c r="W1518" s="223"/>
      <c r="X1518" s="223"/>
      <c r="Y1518" s="223"/>
      <c r="Z1518" s="223"/>
    </row>
    <row r="1519">
      <c r="A1519" s="223" t="str">
        <f>IFERROR(__xludf.DUMMYFUNCTION("""COMPUTED_VALUE"""),"PlusROI : Overhead")</f>
        <v>PlusROI : Overhead</v>
      </c>
      <c r="B1519" s="223" t="str">
        <f>IFERROR(__xludf.DUMMYFUNCTION("""COMPUTED_VALUE"""),"PlusROI")</f>
        <v>PlusROI</v>
      </c>
      <c r="C1519" s="223" t="str">
        <f>IFERROR(__xludf.DUMMYFUNCTION("""COMPUTED_VALUE"""),"Overhead")</f>
        <v>Overhead</v>
      </c>
      <c r="D1519" s="316">
        <f>IFERROR(__xludf.DUMMYFUNCTION("""COMPUTED_VALUE"""),44634.0)</f>
        <v>44634</v>
      </c>
      <c r="E1519" s="298"/>
      <c r="F1519" s="298"/>
      <c r="G1519" s="298"/>
      <c r="H1519" s="223"/>
      <c r="I1519" s="298">
        <f>IFERROR(__xludf.DUMMYFUNCTION("""COMPUTED_VALUE"""),14.09)</f>
        <v>14.09</v>
      </c>
      <c r="J1519" s="223" t="str">
        <f>IFERROR(__xludf.DUMMYFUNCTION("""COMPUTED_VALUE"""),"Hourly")</f>
        <v>Hourly</v>
      </c>
      <c r="K1519" s="317">
        <f>IFERROR(__xludf.DUMMYFUNCTION("""COMPUTED_VALUE"""),2022.0)</f>
        <v>2022</v>
      </c>
      <c r="L1519" s="298"/>
      <c r="M1519" s="223"/>
      <c r="N1519" s="223"/>
      <c r="O1519" s="223"/>
      <c r="P1519" s="223"/>
      <c r="Q1519" s="223"/>
      <c r="R1519" s="223"/>
      <c r="S1519" s="223"/>
      <c r="T1519" s="223"/>
      <c r="U1519" s="223"/>
      <c r="V1519" s="223"/>
      <c r="W1519" s="223"/>
      <c r="X1519" s="223"/>
      <c r="Y1519" s="223"/>
      <c r="Z1519" s="223"/>
    </row>
    <row r="1520">
      <c r="A1520" s="223" t="str">
        <f>IFERROR(__xludf.DUMMYFUNCTION("""COMPUTED_VALUE"""),"PlusROI : Overhead")</f>
        <v>PlusROI : Overhead</v>
      </c>
      <c r="B1520" s="223" t="str">
        <f>IFERROR(__xludf.DUMMYFUNCTION("""COMPUTED_VALUE"""),"PlusROI")</f>
        <v>PlusROI</v>
      </c>
      <c r="C1520" s="223" t="str">
        <f>IFERROR(__xludf.DUMMYFUNCTION("""COMPUTED_VALUE"""),"Overhead")</f>
        <v>Overhead</v>
      </c>
      <c r="D1520" s="316">
        <f>IFERROR(__xludf.DUMMYFUNCTION("""COMPUTED_VALUE"""),44647.0)</f>
        <v>44647</v>
      </c>
      <c r="E1520" s="298"/>
      <c r="F1520" s="298"/>
      <c r="G1520" s="298"/>
      <c r="H1520" s="223"/>
      <c r="I1520" s="298">
        <f>IFERROR(__xludf.DUMMYFUNCTION("""COMPUTED_VALUE"""),55.83)</f>
        <v>55.83</v>
      </c>
      <c r="J1520" s="223" t="str">
        <f>IFERROR(__xludf.DUMMYFUNCTION("""COMPUTED_VALUE"""),"Hourly")</f>
        <v>Hourly</v>
      </c>
      <c r="K1520" s="317">
        <f>IFERROR(__xludf.DUMMYFUNCTION("""COMPUTED_VALUE"""),2022.0)</f>
        <v>2022</v>
      </c>
      <c r="L1520" s="298"/>
      <c r="M1520" s="223"/>
      <c r="N1520" s="223"/>
      <c r="O1520" s="223"/>
      <c r="P1520" s="223"/>
      <c r="Q1520" s="223"/>
      <c r="R1520" s="223"/>
      <c r="S1520" s="223"/>
      <c r="T1520" s="223"/>
      <c r="U1520" s="223"/>
      <c r="V1520" s="223"/>
      <c r="W1520" s="223"/>
      <c r="X1520" s="223"/>
      <c r="Y1520" s="223"/>
      <c r="Z1520" s="223"/>
    </row>
    <row r="1521">
      <c r="A1521" s="223" t="str">
        <f>IFERROR(__xludf.DUMMYFUNCTION("""COMPUTED_VALUE"""),"C360 : SEO Implementation")</f>
        <v>C360 : SEO Implementation</v>
      </c>
      <c r="B1521" s="223" t="str">
        <f>IFERROR(__xludf.DUMMYFUNCTION("""COMPUTED_VALUE"""),"C360")</f>
        <v>C360</v>
      </c>
      <c r="C1521" s="223" t="str">
        <f>IFERROR(__xludf.DUMMYFUNCTION("""COMPUTED_VALUE"""),"SEO Implementation")</f>
        <v>SEO Implementation</v>
      </c>
      <c r="D1521" s="316">
        <f>IFERROR(__xludf.DUMMYFUNCTION("""COMPUTED_VALUE"""),44648.0)</f>
        <v>44648</v>
      </c>
      <c r="E1521" s="298"/>
      <c r="F1521" s="298"/>
      <c r="G1521" s="298"/>
      <c r="H1521" s="223"/>
      <c r="I1521" s="298">
        <f>IFERROR(__xludf.DUMMYFUNCTION("""COMPUTED_VALUE"""),38.72)</f>
        <v>38.72</v>
      </c>
      <c r="J1521" s="223" t="str">
        <f>IFERROR(__xludf.DUMMYFUNCTION("""COMPUTED_VALUE"""),"Fixed Project")</f>
        <v>Fixed Project</v>
      </c>
      <c r="K1521" s="317">
        <f>IFERROR(__xludf.DUMMYFUNCTION("""COMPUTED_VALUE"""),2022.0)</f>
        <v>2022</v>
      </c>
      <c r="L1521" s="298"/>
      <c r="M1521" s="223"/>
      <c r="N1521" s="223"/>
      <c r="O1521" s="223"/>
      <c r="P1521" s="223"/>
      <c r="Q1521" s="223"/>
      <c r="R1521" s="223"/>
      <c r="S1521" s="223"/>
      <c r="T1521" s="223"/>
      <c r="U1521" s="223"/>
      <c r="V1521" s="223"/>
      <c r="W1521" s="223"/>
      <c r="X1521" s="223"/>
      <c r="Y1521" s="223"/>
      <c r="Z1521" s="223"/>
    </row>
    <row r="1522">
      <c r="A1522" s="223" t="str">
        <f>IFERROR(__xludf.DUMMYFUNCTION("""COMPUTED_VALUE"""),"C360 : Grasshopper Farms Site Review")</f>
        <v>C360 : Grasshopper Farms Site Review</v>
      </c>
      <c r="B1522" s="223" t="str">
        <f>IFERROR(__xludf.DUMMYFUNCTION("""COMPUTED_VALUE"""),"C360")</f>
        <v>C360</v>
      </c>
      <c r="C1522" s="223" t="str">
        <f>IFERROR(__xludf.DUMMYFUNCTION("""COMPUTED_VALUE"""),"Grasshopper Farms Site Review")</f>
        <v>Grasshopper Farms Site Review</v>
      </c>
      <c r="D1522" s="316">
        <f>IFERROR(__xludf.DUMMYFUNCTION("""COMPUTED_VALUE"""),44649.0)</f>
        <v>44649</v>
      </c>
      <c r="E1522" s="298"/>
      <c r="F1522" s="298"/>
      <c r="G1522" s="298"/>
      <c r="H1522" s="223"/>
      <c r="I1522" s="298">
        <f>IFERROR(__xludf.DUMMYFUNCTION("""COMPUTED_VALUE"""),38.72)</f>
        <v>38.72</v>
      </c>
      <c r="J1522" s="223" t="str">
        <f>IFERROR(__xludf.DUMMYFUNCTION("""COMPUTED_VALUE"""),"Fixed Project")</f>
        <v>Fixed Project</v>
      </c>
      <c r="K1522" s="317">
        <f>IFERROR(__xludf.DUMMYFUNCTION("""COMPUTED_VALUE"""),2022.0)</f>
        <v>2022</v>
      </c>
      <c r="L1522" s="298"/>
      <c r="M1522" s="223"/>
      <c r="N1522" s="223"/>
      <c r="O1522" s="223"/>
      <c r="P1522" s="223"/>
      <c r="Q1522" s="223"/>
      <c r="R1522" s="223"/>
      <c r="S1522" s="223"/>
      <c r="T1522" s="223"/>
      <c r="U1522" s="223"/>
      <c r="V1522" s="223"/>
      <c r="W1522" s="223"/>
      <c r="X1522" s="223"/>
      <c r="Y1522" s="223"/>
      <c r="Z1522" s="223"/>
    </row>
    <row r="1523">
      <c r="A1523" s="223" t="str">
        <f>IFERROR(__xludf.DUMMYFUNCTION("""COMPUTED_VALUE"""),"PlusROI : Overhead")</f>
        <v>PlusROI : Overhead</v>
      </c>
      <c r="B1523" s="223" t="str">
        <f>IFERROR(__xludf.DUMMYFUNCTION("""COMPUTED_VALUE"""),"PlusROI")</f>
        <v>PlusROI</v>
      </c>
      <c r="C1523" s="223" t="str">
        <f>IFERROR(__xludf.DUMMYFUNCTION("""COMPUTED_VALUE"""),"Overhead")</f>
        <v>Overhead</v>
      </c>
      <c r="D1523" s="316">
        <f>IFERROR(__xludf.DUMMYFUNCTION("""COMPUTED_VALUE"""),44657.0)</f>
        <v>44657</v>
      </c>
      <c r="E1523" s="298"/>
      <c r="F1523" s="298"/>
      <c r="G1523" s="298"/>
      <c r="H1523" s="223"/>
      <c r="I1523" s="298">
        <f>IFERROR(__xludf.DUMMYFUNCTION("""COMPUTED_VALUE"""),49.98)</f>
        <v>49.98</v>
      </c>
      <c r="J1523" s="223" t="str">
        <f>IFERROR(__xludf.DUMMYFUNCTION("""COMPUTED_VALUE"""),"Hourly")</f>
        <v>Hourly</v>
      </c>
      <c r="K1523" s="317">
        <f>IFERROR(__xludf.DUMMYFUNCTION("""COMPUTED_VALUE"""),2022.0)</f>
        <v>2022</v>
      </c>
      <c r="L1523" s="298"/>
      <c r="M1523" s="223"/>
      <c r="N1523" s="223"/>
      <c r="O1523" s="223"/>
      <c r="P1523" s="223"/>
      <c r="Q1523" s="223"/>
      <c r="R1523" s="223"/>
      <c r="S1523" s="223"/>
      <c r="T1523" s="223"/>
      <c r="U1523" s="223"/>
      <c r="V1523" s="223"/>
      <c r="W1523" s="223"/>
      <c r="X1523" s="223"/>
      <c r="Y1523" s="223"/>
      <c r="Z1523" s="223"/>
    </row>
    <row r="1524">
      <c r="A1524" s="223" t="str">
        <f>IFERROR(__xludf.DUMMYFUNCTION("""COMPUTED_VALUE"""),"PlusROI : Overhead")</f>
        <v>PlusROI : Overhead</v>
      </c>
      <c r="B1524" s="223" t="str">
        <f>IFERROR(__xludf.DUMMYFUNCTION("""COMPUTED_VALUE"""),"PlusROI")</f>
        <v>PlusROI</v>
      </c>
      <c r="C1524" s="223" t="str">
        <f>IFERROR(__xludf.DUMMYFUNCTION("""COMPUTED_VALUE"""),"Overhead")</f>
        <v>Overhead</v>
      </c>
      <c r="D1524" s="316">
        <f>IFERROR(__xludf.DUMMYFUNCTION("""COMPUTED_VALUE"""),44659.0)</f>
        <v>44659</v>
      </c>
      <c r="E1524" s="298"/>
      <c r="F1524" s="298"/>
      <c r="G1524" s="298"/>
      <c r="H1524" s="223"/>
      <c r="I1524" s="298">
        <f>IFERROR(__xludf.DUMMYFUNCTION("""COMPUTED_VALUE"""),82.74)</f>
        <v>82.74</v>
      </c>
      <c r="J1524" s="223" t="str">
        <f>IFERROR(__xludf.DUMMYFUNCTION("""COMPUTED_VALUE"""),"Hourly")</f>
        <v>Hourly</v>
      </c>
      <c r="K1524" s="317">
        <f>IFERROR(__xludf.DUMMYFUNCTION("""COMPUTED_VALUE"""),2022.0)</f>
        <v>2022</v>
      </c>
      <c r="L1524" s="298"/>
      <c r="M1524" s="223"/>
      <c r="N1524" s="223"/>
      <c r="O1524" s="223"/>
      <c r="P1524" s="223"/>
      <c r="Q1524" s="223"/>
      <c r="R1524" s="223"/>
      <c r="S1524" s="223"/>
      <c r="T1524" s="223"/>
      <c r="U1524" s="223"/>
      <c r="V1524" s="223"/>
      <c r="W1524" s="223"/>
      <c r="X1524" s="223"/>
      <c r="Y1524" s="223"/>
      <c r="Z1524" s="223"/>
    </row>
    <row r="1525">
      <c r="A1525" s="223" t="str">
        <f>IFERROR(__xludf.DUMMYFUNCTION("""COMPUTED_VALUE"""),"PlusROI : Overhead")</f>
        <v>PlusROI : Overhead</v>
      </c>
      <c r="B1525" s="223" t="str">
        <f>IFERROR(__xludf.DUMMYFUNCTION("""COMPUTED_VALUE"""),"PlusROI")</f>
        <v>PlusROI</v>
      </c>
      <c r="C1525" s="223" t="str">
        <f>IFERROR(__xludf.DUMMYFUNCTION("""COMPUTED_VALUE"""),"Overhead")</f>
        <v>Overhead</v>
      </c>
      <c r="D1525" s="316">
        <f>IFERROR(__xludf.DUMMYFUNCTION("""COMPUTED_VALUE"""),44660.0)</f>
        <v>44660</v>
      </c>
      <c r="E1525" s="298"/>
      <c r="F1525" s="298"/>
      <c r="G1525" s="298"/>
      <c r="H1525" s="223"/>
      <c r="I1525" s="298">
        <f>IFERROR(__xludf.DUMMYFUNCTION("""COMPUTED_VALUE"""),64.03)</f>
        <v>64.03</v>
      </c>
      <c r="J1525" s="223" t="str">
        <f>IFERROR(__xludf.DUMMYFUNCTION("""COMPUTED_VALUE"""),"Hourly")</f>
        <v>Hourly</v>
      </c>
      <c r="K1525" s="317">
        <f>IFERROR(__xludf.DUMMYFUNCTION("""COMPUTED_VALUE"""),2022.0)</f>
        <v>2022</v>
      </c>
      <c r="L1525" s="298"/>
      <c r="M1525" s="223"/>
      <c r="N1525" s="223"/>
      <c r="O1525" s="223"/>
      <c r="P1525" s="223"/>
      <c r="Q1525" s="223"/>
      <c r="R1525" s="223"/>
      <c r="S1525" s="223"/>
      <c r="T1525" s="223"/>
      <c r="U1525" s="223"/>
      <c r="V1525" s="223"/>
      <c r="W1525" s="223"/>
      <c r="X1525" s="223"/>
      <c r="Y1525" s="223"/>
      <c r="Z1525" s="223"/>
    </row>
    <row r="1526">
      <c r="A1526" s="223" t="str">
        <f>IFERROR(__xludf.DUMMYFUNCTION("""COMPUTED_VALUE"""),"OA Region 6 : Monthly Services")</f>
        <v>OA Region 6 : Monthly Services</v>
      </c>
      <c r="B1526" s="223" t="str">
        <f>IFERROR(__xludf.DUMMYFUNCTION("""COMPUTED_VALUE"""),"OA Region 6")</f>
        <v>OA Region 6</v>
      </c>
      <c r="C1526" s="223" t="str">
        <f>IFERROR(__xludf.DUMMYFUNCTION("""COMPUTED_VALUE"""),"Monthly Services")</f>
        <v>Monthly Services</v>
      </c>
      <c r="D1526" s="316">
        <f>IFERROR(__xludf.DUMMYFUNCTION("""COMPUTED_VALUE"""),44680.0)</f>
        <v>44680</v>
      </c>
      <c r="E1526" s="298"/>
      <c r="F1526" s="298"/>
      <c r="G1526" s="298"/>
      <c r="H1526" s="223"/>
      <c r="I1526" s="298">
        <f>IFERROR(__xludf.DUMMYFUNCTION("""COMPUTED_VALUE"""),150.0)</f>
        <v>150</v>
      </c>
      <c r="J1526" s="223" t="str">
        <f>IFERROR(__xludf.DUMMYFUNCTION("""COMPUTED_VALUE"""),"Monthly")</f>
        <v>Monthly</v>
      </c>
      <c r="K1526" s="317">
        <f>IFERROR(__xludf.DUMMYFUNCTION("""COMPUTED_VALUE"""),2022.04)</f>
        <v>2022.04</v>
      </c>
      <c r="L1526" s="298"/>
      <c r="M1526" s="223"/>
      <c r="N1526" s="223"/>
      <c r="O1526" s="223"/>
      <c r="P1526" s="223"/>
      <c r="Q1526" s="223"/>
      <c r="R1526" s="223"/>
      <c r="S1526" s="223"/>
      <c r="T1526" s="223"/>
      <c r="U1526" s="223"/>
      <c r="V1526" s="223"/>
      <c r="W1526" s="223"/>
      <c r="X1526" s="223"/>
      <c r="Y1526" s="223"/>
      <c r="Z1526" s="223"/>
    </row>
    <row r="1527">
      <c r="A1527" s="223" t="str">
        <f>IFERROR(__xludf.DUMMYFUNCTION("""COMPUTED_VALUE"""),"Anook Athletics : Monthly Services")</f>
        <v>Anook Athletics : Monthly Services</v>
      </c>
      <c r="B1527" s="223" t="str">
        <f>IFERROR(__xludf.DUMMYFUNCTION("""COMPUTED_VALUE"""),"Anook Athletics")</f>
        <v>Anook Athletics</v>
      </c>
      <c r="C1527" s="223" t="str">
        <f>IFERROR(__xludf.DUMMYFUNCTION("""COMPUTED_VALUE"""),"Monthly Services")</f>
        <v>Monthly Services</v>
      </c>
      <c r="D1527" s="316">
        <f>IFERROR(__xludf.DUMMYFUNCTION("""COMPUTED_VALUE"""),44680.0)</f>
        <v>44680</v>
      </c>
      <c r="E1527" s="298"/>
      <c r="F1527" s="298"/>
      <c r="G1527" s="298"/>
      <c r="H1527" s="223"/>
      <c r="I1527" s="298">
        <f>IFERROR(__xludf.DUMMYFUNCTION("""COMPUTED_VALUE"""),500.0)</f>
        <v>500</v>
      </c>
      <c r="J1527" s="223" t="str">
        <f>IFERROR(__xludf.DUMMYFUNCTION("""COMPUTED_VALUE"""),"Monthly")</f>
        <v>Monthly</v>
      </c>
      <c r="K1527" s="317">
        <f>IFERROR(__xludf.DUMMYFUNCTION("""COMPUTED_VALUE"""),2022.04)</f>
        <v>2022.04</v>
      </c>
      <c r="L1527" s="298"/>
      <c r="M1527" s="223"/>
      <c r="N1527" s="223"/>
      <c r="O1527" s="223"/>
      <c r="P1527" s="223"/>
      <c r="Q1527" s="223"/>
      <c r="R1527" s="223"/>
      <c r="S1527" s="223"/>
      <c r="T1527" s="223"/>
      <c r="U1527" s="223"/>
      <c r="V1527" s="223"/>
      <c r="W1527" s="223"/>
      <c r="X1527" s="223"/>
      <c r="Y1527" s="223"/>
      <c r="Z1527" s="223"/>
    </row>
    <row r="1528">
      <c r="A1528" s="223" t="str">
        <f>IFERROR(__xludf.DUMMYFUNCTION("""COMPUTED_VALUE"""),"Viridian : Monthly Services")</f>
        <v>Viridian : Monthly Services</v>
      </c>
      <c r="B1528" s="223" t="str">
        <f>IFERROR(__xludf.DUMMYFUNCTION("""COMPUTED_VALUE"""),"Viridian")</f>
        <v>Viridian</v>
      </c>
      <c r="C1528" s="223" t="str">
        <f>IFERROR(__xludf.DUMMYFUNCTION("""COMPUTED_VALUE"""),"Monthly Services")</f>
        <v>Monthly Services</v>
      </c>
      <c r="D1528" s="316">
        <f>IFERROR(__xludf.DUMMYFUNCTION("""COMPUTED_VALUE"""),44680.0)</f>
        <v>44680</v>
      </c>
      <c r="E1528" s="298"/>
      <c r="F1528" s="298"/>
      <c r="G1528" s="298"/>
      <c r="H1528" s="223"/>
      <c r="I1528" s="298">
        <f>IFERROR(__xludf.DUMMYFUNCTION("""COMPUTED_VALUE"""),312.5)</f>
        <v>312.5</v>
      </c>
      <c r="J1528" s="223" t="str">
        <f>IFERROR(__xludf.DUMMYFUNCTION("""COMPUTED_VALUE"""),"Monthly")</f>
        <v>Monthly</v>
      </c>
      <c r="K1528" s="317">
        <f>IFERROR(__xludf.DUMMYFUNCTION("""COMPUTED_VALUE"""),2022.04)</f>
        <v>2022.04</v>
      </c>
      <c r="L1528" s="298"/>
      <c r="M1528" s="223"/>
      <c r="N1528" s="223"/>
      <c r="O1528" s="223"/>
      <c r="P1528" s="223"/>
      <c r="Q1528" s="223"/>
      <c r="R1528" s="223"/>
      <c r="S1528" s="223"/>
      <c r="T1528" s="223"/>
      <c r="U1528" s="223"/>
      <c r="V1528" s="223"/>
      <c r="W1528" s="223"/>
      <c r="X1528" s="223"/>
      <c r="Y1528" s="223"/>
      <c r="Z1528" s="223"/>
    </row>
    <row r="1529">
      <c r="A1529" s="223" t="str">
        <f>IFERROR(__xludf.DUMMYFUNCTION("""COMPUTED_VALUE"""),"Service First : Monthly Services")</f>
        <v>Service First : Monthly Services</v>
      </c>
      <c r="B1529" s="223" t="str">
        <f>IFERROR(__xludf.DUMMYFUNCTION("""COMPUTED_VALUE"""),"Service First")</f>
        <v>Service First</v>
      </c>
      <c r="C1529" s="223" t="str">
        <f>IFERROR(__xludf.DUMMYFUNCTION("""COMPUTED_VALUE"""),"Monthly Services")</f>
        <v>Monthly Services</v>
      </c>
      <c r="D1529" s="316">
        <f>IFERROR(__xludf.DUMMYFUNCTION("""COMPUTED_VALUE"""),44680.0)</f>
        <v>44680</v>
      </c>
      <c r="E1529" s="298"/>
      <c r="F1529" s="298"/>
      <c r="G1529" s="298"/>
      <c r="H1529" s="223"/>
      <c r="I1529" s="298">
        <f>IFERROR(__xludf.DUMMYFUNCTION("""COMPUTED_VALUE"""),125.0)</f>
        <v>125</v>
      </c>
      <c r="J1529" s="223" t="str">
        <f>IFERROR(__xludf.DUMMYFUNCTION("""COMPUTED_VALUE"""),"Monthly")</f>
        <v>Monthly</v>
      </c>
      <c r="K1529" s="317">
        <f>IFERROR(__xludf.DUMMYFUNCTION("""COMPUTED_VALUE"""),2022.04)</f>
        <v>2022.04</v>
      </c>
      <c r="L1529" s="298"/>
      <c r="M1529" s="223"/>
      <c r="N1529" s="223"/>
      <c r="O1529" s="223"/>
      <c r="P1529" s="223"/>
      <c r="Q1529" s="223"/>
      <c r="R1529" s="223"/>
      <c r="S1529" s="223"/>
      <c r="T1529" s="223"/>
      <c r="U1529" s="223"/>
      <c r="V1529" s="223"/>
      <c r="W1529" s="223"/>
      <c r="X1529" s="223"/>
      <c r="Y1529" s="223"/>
      <c r="Z1529" s="223"/>
    </row>
    <row r="1530">
      <c r="A1530" s="223" t="str">
        <f>IFERROR(__xludf.DUMMYFUNCTION("""COMPUTED_VALUE"""),"BookKing (Pacific Tier) : Monthly Services")</f>
        <v>BookKing (Pacific Tier) : Monthly Services</v>
      </c>
      <c r="B1530" s="223" t="str">
        <f>IFERROR(__xludf.DUMMYFUNCTION("""COMPUTED_VALUE"""),"BookKing (Pacific Tier)")</f>
        <v>BookKing (Pacific Tier)</v>
      </c>
      <c r="C1530" s="223" t="str">
        <f>IFERROR(__xludf.DUMMYFUNCTION("""COMPUTED_VALUE"""),"Monthly Services")</f>
        <v>Monthly Services</v>
      </c>
      <c r="D1530" s="316">
        <f>IFERROR(__xludf.DUMMYFUNCTION("""COMPUTED_VALUE"""),44680.0)</f>
        <v>44680</v>
      </c>
      <c r="E1530" s="298"/>
      <c r="F1530" s="298"/>
      <c r="G1530" s="298"/>
      <c r="H1530" s="223"/>
      <c r="I1530" s="298">
        <f>IFERROR(__xludf.DUMMYFUNCTION("""COMPUTED_VALUE"""),200.0)</f>
        <v>200</v>
      </c>
      <c r="J1530" s="223" t="str">
        <f>IFERROR(__xludf.DUMMYFUNCTION("""COMPUTED_VALUE"""),"Monthly")</f>
        <v>Monthly</v>
      </c>
      <c r="K1530" s="317">
        <f>IFERROR(__xludf.DUMMYFUNCTION("""COMPUTED_VALUE"""),2022.04)</f>
        <v>2022.04</v>
      </c>
      <c r="L1530" s="298"/>
      <c r="M1530" s="223"/>
      <c r="N1530" s="223"/>
      <c r="O1530" s="223"/>
      <c r="P1530" s="223"/>
      <c r="Q1530" s="223"/>
      <c r="R1530" s="223"/>
      <c r="S1530" s="223"/>
      <c r="T1530" s="223"/>
      <c r="U1530" s="223"/>
      <c r="V1530" s="223"/>
      <c r="W1530" s="223"/>
      <c r="X1530" s="223"/>
      <c r="Y1530" s="223"/>
      <c r="Z1530" s="223"/>
    </row>
    <row r="1531">
      <c r="A1531" s="223" t="str">
        <f>IFERROR(__xludf.DUMMYFUNCTION("""COMPUTED_VALUE"""),"MortgagePal : Monthly Services")</f>
        <v>MortgagePal : Monthly Services</v>
      </c>
      <c r="B1531" s="223" t="str">
        <f>IFERROR(__xludf.DUMMYFUNCTION("""COMPUTED_VALUE"""),"MortgagePal")</f>
        <v>MortgagePal</v>
      </c>
      <c r="C1531" s="223" t="str">
        <f>IFERROR(__xludf.DUMMYFUNCTION("""COMPUTED_VALUE"""),"Monthly Services")</f>
        <v>Monthly Services</v>
      </c>
      <c r="D1531" s="316">
        <f>IFERROR(__xludf.DUMMYFUNCTION("""COMPUTED_VALUE"""),44680.0)</f>
        <v>44680</v>
      </c>
      <c r="E1531" s="298"/>
      <c r="F1531" s="298"/>
      <c r="G1531" s="298"/>
      <c r="H1531" s="223"/>
      <c r="I1531" s="298">
        <f>IFERROR(__xludf.DUMMYFUNCTION("""COMPUTED_VALUE"""),212.5)</f>
        <v>212.5</v>
      </c>
      <c r="J1531" s="223" t="str">
        <f>IFERROR(__xludf.DUMMYFUNCTION("""COMPUTED_VALUE"""),"Monthly")</f>
        <v>Monthly</v>
      </c>
      <c r="K1531" s="317">
        <f>IFERROR(__xludf.DUMMYFUNCTION("""COMPUTED_VALUE"""),2022.04)</f>
        <v>2022.04</v>
      </c>
      <c r="L1531" s="298"/>
      <c r="M1531" s="223"/>
      <c r="N1531" s="223"/>
      <c r="O1531" s="223"/>
      <c r="P1531" s="223"/>
      <c r="Q1531" s="223"/>
      <c r="R1531" s="223"/>
      <c r="S1531" s="223"/>
      <c r="T1531" s="223"/>
      <c r="U1531" s="223"/>
      <c r="V1531" s="223"/>
      <c r="W1531" s="223"/>
      <c r="X1531" s="223"/>
      <c r="Y1531" s="223"/>
      <c r="Z1531" s="223"/>
    </row>
    <row r="1532">
      <c r="A1532" s="223" t="str">
        <f>IFERROR(__xludf.DUMMYFUNCTION("""COMPUTED_VALUE"""),"Wallack's Art Supplies : Monthly Services")</f>
        <v>Wallack's Art Supplies : Monthly Services</v>
      </c>
      <c r="B1532" s="223" t="str">
        <f>IFERROR(__xludf.DUMMYFUNCTION("""COMPUTED_VALUE"""),"Wallack's Art Supplies")</f>
        <v>Wallack's Art Supplies</v>
      </c>
      <c r="C1532" s="223" t="str">
        <f>IFERROR(__xludf.DUMMYFUNCTION("""COMPUTED_VALUE"""),"Monthly Services")</f>
        <v>Monthly Services</v>
      </c>
      <c r="D1532" s="316">
        <f>IFERROR(__xludf.DUMMYFUNCTION("""COMPUTED_VALUE"""),44680.0)</f>
        <v>44680</v>
      </c>
      <c r="E1532" s="298"/>
      <c r="F1532" s="298"/>
      <c r="G1532" s="298"/>
      <c r="H1532" s="223"/>
      <c r="I1532" s="298">
        <f>IFERROR(__xludf.DUMMYFUNCTION("""COMPUTED_VALUE"""),250.0)</f>
        <v>250</v>
      </c>
      <c r="J1532" s="223" t="str">
        <f>IFERROR(__xludf.DUMMYFUNCTION("""COMPUTED_VALUE"""),"Monthly")</f>
        <v>Monthly</v>
      </c>
      <c r="K1532" s="317">
        <f>IFERROR(__xludf.DUMMYFUNCTION("""COMPUTED_VALUE"""),2022.04)</f>
        <v>2022.04</v>
      </c>
      <c r="L1532" s="298"/>
      <c r="M1532" s="223"/>
      <c r="N1532" s="223"/>
      <c r="O1532" s="223"/>
      <c r="P1532" s="223"/>
      <c r="Q1532" s="223"/>
      <c r="R1532" s="223"/>
      <c r="S1532" s="223"/>
      <c r="T1532" s="223"/>
      <c r="U1532" s="223"/>
      <c r="V1532" s="223"/>
      <c r="W1532" s="223"/>
      <c r="X1532" s="223"/>
      <c r="Y1532" s="223"/>
      <c r="Z1532" s="223"/>
    </row>
    <row r="1533">
      <c r="A1533" s="223" t="str">
        <f>IFERROR(__xludf.DUMMYFUNCTION("""COMPUTED_VALUE"""),"PMDI : Monthly Services")</f>
        <v>PMDI : Monthly Services</v>
      </c>
      <c r="B1533" s="223" t="str">
        <f>IFERROR(__xludf.DUMMYFUNCTION("""COMPUTED_VALUE"""),"PMDI")</f>
        <v>PMDI</v>
      </c>
      <c r="C1533" s="223" t="str">
        <f>IFERROR(__xludf.DUMMYFUNCTION("""COMPUTED_VALUE"""),"Monthly Services")</f>
        <v>Monthly Services</v>
      </c>
      <c r="D1533" s="316">
        <f>IFERROR(__xludf.DUMMYFUNCTION("""COMPUTED_VALUE"""),44680.0)</f>
        <v>44680</v>
      </c>
      <c r="E1533" s="298"/>
      <c r="F1533" s="298"/>
      <c r="G1533" s="298"/>
      <c r="H1533" s="223"/>
      <c r="I1533" s="298">
        <f>IFERROR(__xludf.DUMMYFUNCTION("""COMPUTED_VALUE"""),100.0)</f>
        <v>100</v>
      </c>
      <c r="J1533" s="223" t="str">
        <f>IFERROR(__xludf.DUMMYFUNCTION("""COMPUTED_VALUE"""),"Monthly")</f>
        <v>Monthly</v>
      </c>
      <c r="K1533" s="317">
        <f>IFERROR(__xludf.DUMMYFUNCTION("""COMPUTED_VALUE"""),2022.04)</f>
        <v>2022.04</v>
      </c>
      <c r="L1533" s="298"/>
      <c r="M1533" s="223"/>
      <c r="N1533" s="223"/>
      <c r="O1533" s="223"/>
      <c r="P1533" s="223"/>
      <c r="Q1533" s="223"/>
      <c r="R1533" s="223"/>
      <c r="S1533" s="223"/>
      <c r="T1533" s="223"/>
      <c r="U1533" s="223"/>
      <c r="V1533" s="223"/>
      <c r="W1533" s="223"/>
      <c r="X1533" s="223"/>
      <c r="Y1533" s="223"/>
      <c r="Z1533" s="223"/>
    </row>
    <row r="1534">
      <c r="A1534" s="223" t="str">
        <f>IFERROR(__xludf.DUMMYFUNCTION("""COMPUTED_VALUE"""),"Hastings House : Monthly Services")</f>
        <v>Hastings House : Monthly Services</v>
      </c>
      <c r="B1534" s="223" t="str">
        <f>IFERROR(__xludf.DUMMYFUNCTION("""COMPUTED_VALUE"""),"Hastings House")</f>
        <v>Hastings House</v>
      </c>
      <c r="C1534" s="223" t="str">
        <f>IFERROR(__xludf.DUMMYFUNCTION("""COMPUTED_VALUE"""),"Monthly Services")</f>
        <v>Monthly Services</v>
      </c>
      <c r="D1534" s="316">
        <f>IFERROR(__xludf.DUMMYFUNCTION("""COMPUTED_VALUE"""),44681.0)</f>
        <v>44681</v>
      </c>
      <c r="E1534" s="298"/>
      <c r="F1534" s="298"/>
      <c r="G1534" s="298"/>
      <c r="H1534" s="223"/>
      <c r="I1534" s="298">
        <f>IFERROR(__xludf.DUMMYFUNCTION("""COMPUTED_VALUE"""),350.0)</f>
        <v>350</v>
      </c>
      <c r="J1534" s="223" t="str">
        <f>IFERROR(__xludf.DUMMYFUNCTION("""COMPUTED_VALUE"""),"Monthly")</f>
        <v>Monthly</v>
      </c>
      <c r="K1534" s="317">
        <f>IFERROR(__xludf.DUMMYFUNCTION("""COMPUTED_VALUE"""),2022.04)</f>
        <v>2022.04</v>
      </c>
      <c r="L1534" s="298"/>
      <c r="M1534" s="223"/>
      <c r="N1534" s="223"/>
      <c r="O1534" s="223"/>
      <c r="P1534" s="223"/>
      <c r="Q1534" s="223"/>
      <c r="R1534" s="223"/>
      <c r="S1534" s="223"/>
      <c r="T1534" s="223"/>
      <c r="U1534" s="223"/>
      <c r="V1534" s="223"/>
      <c r="W1534" s="223"/>
      <c r="X1534" s="223"/>
      <c r="Y1534" s="223"/>
      <c r="Z1534" s="223"/>
    </row>
    <row r="1535">
      <c r="A1535" s="223" t="str">
        <f>IFERROR(__xludf.DUMMYFUNCTION("""COMPUTED_VALUE"""),"Spraggs : Monthly Services")</f>
        <v>Spraggs : Monthly Services</v>
      </c>
      <c r="B1535" s="223" t="str">
        <f>IFERROR(__xludf.DUMMYFUNCTION("""COMPUTED_VALUE"""),"Spraggs")</f>
        <v>Spraggs</v>
      </c>
      <c r="C1535" s="223" t="str">
        <f>IFERROR(__xludf.DUMMYFUNCTION("""COMPUTED_VALUE"""),"Monthly Services")</f>
        <v>Monthly Services</v>
      </c>
      <c r="D1535" s="316">
        <f>IFERROR(__xludf.DUMMYFUNCTION("""COMPUTED_VALUE"""),44681.0)</f>
        <v>44681</v>
      </c>
      <c r="E1535" s="298"/>
      <c r="F1535" s="298"/>
      <c r="G1535" s="298"/>
      <c r="H1535" s="223"/>
      <c r="I1535" s="298">
        <f>IFERROR(__xludf.DUMMYFUNCTION("""COMPUTED_VALUE"""),212.5)</f>
        <v>212.5</v>
      </c>
      <c r="J1535" s="223" t="str">
        <f>IFERROR(__xludf.DUMMYFUNCTION("""COMPUTED_VALUE"""),"Monthly")</f>
        <v>Monthly</v>
      </c>
      <c r="K1535" s="317">
        <f>IFERROR(__xludf.DUMMYFUNCTION("""COMPUTED_VALUE"""),2022.04)</f>
        <v>2022.04</v>
      </c>
      <c r="L1535" s="298"/>
      <c r="M1535" s="223"/>
      <c r="N1535" s="223"/>
      <c r="O1535" s="223"/>
      <c r="P1535" s="223"/>
      <c r="Q1535" s="223"/>
      <c r="R1535" s="223"/>
      <c r="S1535" s="223"/>
      <c r="T1535" s="223"/>
      <c r="U1535" s="223"/>
      <c r="V1535" s="223"/>
      <c r="W1535" s="223"/>
      <c r="X1535" s="223"/>
      <c r="Y1535" s="223"/>
      <c r="Z1535" s="223"/>
    </row>
    <row r="1536">
      <c r="A1536" s="223" t="str">
        <f>IFERROR(__xludf.DUMMYFUNCTION("""COMPUTED_VALUE"""),"Availed Technologies : Monthly Services")</f>
        <v>Availed Technologies : Monthly Services</v>
      </c>
      <c r="B1536" s="223" t="str">
        <f>IFERROR(__xludf.DUMMYFUNCTION("""COMPUTED_VALUE"""),"Availed Technologies")</f>
        <v>Availed Technologies</v>
      </c>
      <c r="C1536" s="223" t="str">
        <f>IFERROR(__xludf.DUMMYFUNCTION("""COMPUTED_VALUE"""),"Monthly Services")</f>
        <v>Monthly Services</v>
      </c>
      <c r="D1536" s="316">
        <f>IFERROR(__xludf.DUMMYFUNCTION("""COMPUTED_VALUE"""),44681.0)</f>
        <v>44681</v>
      </c>
      <c r="E1536" s="298"/>
      <c r="F1536" s="298"/>
      <c r="G1536" s="298"/>
      <c r="H1536" s="223"/>
      <c r="I1536" s="298">
        <f>IFERROR(__xludf.DUMMYFUNCTION("""COMPUTED_VALUE"""),175.0)</f>
        <v>175</v>
      </c>
      <c r="J1536" s="223" t="str">
        <f>IFERROR(__xludf.DUMMYFUNCTION("""COMPUTED_VALUE"""),"Monthly")</f>
        <v>Monthly</v>
      </c>
      <c r="K1536" s="317">
        <f>IFERROR(__xludf.DUMMYFUNCTION("""COMPUTED_VALUE"""),2022.04)</f>
        <v>2022.04</v>
      </c>
      <c r="L1536" s="298"/>
      <c r="M1536" s="223"/>
      <c r="N1536" s="223"/>
      <c r="O1536" s="223"/>
      <c r="P1536" s="223"/>
      <c r="Q1536" s="223"/>
      <c r="R1536" s="223"/>
      <c r="S1536" s="223"/>
      <c r="T1536" s="223"/>
      <c r="U1536" s="223"/>
      <c r="V1536" s="223"/>
      <c r="W1536" s="223"/>
      <c r="X1536" s="223"/>
      <c r="Y1536" s="223"/>
      <c r="Z1536" s="223"/>
    </row>
    <row r="1537">
      <c r="A1537" s="223" t="str">
        <f>IFERROR(__xludf.DUMMYFUNCTION("""COMPUTED_VALUE"""),"Argos Products : Monthly Services")</f>
        <v>Argos Products : Monthly Services</v>
      </c>
      <c r="B1537" s="223" t="str">
        <f>IFERROR(__xludf.DUMMYFUNCTION("""COMPUTED_VALUE"""),"Argos Products")</f>
        <v>Argos Products</v>
      </c>
      <c r="C1537" s="223" t="str">
        <f>IFERROR(__xludf.DUMMYFUNCTION("""COMPUTED_VALUE"""),"Monthly Services")</f>
        <v>Monthly Services</v>
      </c>
      <c r="D1537" s="316">
        <f>IFERROR(__xludf.DUMMYFUNCTION("""COMPUTED_VALUE"""),44681.0)</f>
        <v>44681</v>
      </c>
      <c r="E1537" s="298"/>
      <c r="F1537" s="298"/>
      <c r="G1537" s="298"/>
      <c r="H1537" s="223"/>
      <c r="I1537" s="298">
        <f>IFERROR(__xludf.DUMMYFUNCTION("""COMPUTED_VALUE"""),187.5)</f>
        <v>187.5</v>
      </c>
      <c r="J1537" s="223" t="str">
        <f>IFERROR(__xludf.DUMMYFUNCTION("""COMPUTED_VALUE"""),"Monthly")</f>
        <v>Monthly</v>
      </c>
      <c r="K1537" s="317">
        <f>IFERROR(__xludf.DUMMYFUNCTION("""COMPUTED_VALUE"""),2022.04)</f>
        <v>2022.04</v>
      </c>
      <c r="L1537" s="298"/>
      <c r="M1537" s="223"/>
      <c r="N1537" s="223"/>
      <c r="O1537" s="223"/>
      <c r="P1537" s="223"/>
      <c r="Q1537" s="223"/>
      <c r="R1537" s="223"/>
      <c r="S1537" s="223"/>
      <c r="T1537" s="223"/>
      <c r="U1537" s="223"/>
      <c r="V1537" s="223"/>
      <c r="W1537" s="223"/>
      <c r="X1537" s="223"/>
      <c r="Y1537" s="223"/>
      <c r="Z1537" s="223"/>
    </row>
    <row r="1538">
      <c r="A1538" s="223" t="str">
        <f>IFERROR(__xludf.DUMMYFUNCTION("""COMPUTED_VALUE"""),"HSJ Lawyers : Monthly Services")</f>
        <v>HSJ Lawyers : Monthly Services</v>
      </c>
      <c r="B1538" s="223" t="str">
        <f>IFERROR(__xludf.DUMMYFUNCTION("""COMPUTED_VALUE"""),"HSJ Lawyers")</f>
        <v>HSJ Lawyers</v>
      </c>
      <c r="C1538" s="223" t="str">
        <f>IFERROR(__xludf.DUMMYFUNCTION("""COMPUTED_VALUE"""),"Monthly Services")</f>
        <v>Monthly Services</v>
      </c>
      <c r="D1538" s="316">
        <f>IFERROR(__xludf.DUMMYFUNCTION("""COMPUTED_VALUE"""),44681.0)</f>
        <v>44681</v>
      </c>
      <c r="E1538" s="298"/>
      <c r="F1538" s="298"/>
      <c r="G1538" s="298"/>
      <c r="H1538" s="223"/>
      <c r="I1538" s="298">
        <f>IFERROR(__xludf.DUMMYFUNCTION("""COMPUTED_VALUE"""),225.0)</f>
        <v>225</v>
      </c>
      <c r="J1538" s="223" t="str">
        <f>IFERROR(__xludf.DUMMYFUNCTION("""COMPUTED_VALUE"""),"Monthly")</f>
        <v>Monthly</v>
      </c>
      <c r="K1538" s="317">
        <f>IFERROR(__xludf.DUMMYFUNCTION("""COMPUTED_VALUE"""),2022.04)</f>
        <v>2022.04</v>
      </c>
      <c r="L1538" s="298"/>
      <c r="M1538" s="223"/>
      <c r="N1538" s="223"/>
      <c r="O1538" s="223"/>
      <c r="P1538" s="223"/>
      <c r="Q1538" s="223"/>
      <c r="R1538" s="223"/>
      <c r="S1538" s="223"/>
      <c r="T1538" s="223"/>
      <c r="U1538" s="223"/>
      <c r="V1538" s="223"/>
      <c r="W1538" s="223"/>
      <c r="X1538" s="223"/>
      <c r="Y1538" s="223"/>
      <c r="Z1538" s="223"/>
    </row>
    <row r="1539">
      <c r="A1539" s="223" t="str">
        <f>IFERROR(__xludf.DUMMYFUNCTION("""COMPUTED_VALUE"""),"Tugwell : 6 Month PPC")</f>
        <v>Tugwell : 6 Month PPC</v>
      </c>
      <c r="B1539" s="223" t="str">
        <f>IFERROR(__xludf.DUMMYFUNCTION("""COMPUTED_VALUE"""),"Tugwell")</f>
        <v>Tugwell</v>
      </c>
      <c r="C1539" s="223" t="str">
        <f>IFERROR(__xludf.DUMMYFUNCTION("""COMPUTED_VALUE"""),"6 Month PPC")</f>
        <v>6 Month PPC</v>
      </c>
      <c r="D1539" s="316">
        <f>IFERROR(__xludf.DUMMYFUNCTION("""COMPUTED_VALUE"""),44681.0)</f>
        <v>44681</v>
      </c>
      <c r="E1539" s="298"/>
      <c r="F1539" s="298"/>
      <c r="G1539" s="298"/>
      <c r="H1539" s="223"/>
      <c r="I1539" s="298">
        <f>IFERROR(__xludf.DUMMYFUNCTION("""COMPUTED_VALUE"""),125.0)</f>
        <v>125</v>
      </c>
      <c r="J1539" s="223" t="str">
        <f>IFERROR(__xludf.DUMMYFUNCTION("""COMPUTED_VALUE"""),"Fixed Project")</f>
        <v>Fixed Project</v>
      </c>
      <c r="K1539" s="317">
        <f>IFERROR(__xludf.DUMMYFUNCTION("""COMPUTED_VALUE"""),2022.0)</f>
        <v>2022</v>
      </c>
      <c r="L1539" s="298"/>
      <c r="M1539" s="223"/>
      <c r="N1539" s="223"/>
      <c r="O1539" s="223"/>
      <c r="P1539" s="223"/>
      <c r="Q1539" s="223"/>
      <c r="R1539" s="223"/>
      <c r="S1539" s="223"/>
      <c r="T1539" s="223"/>
      <c r="U1539" s="223"/>
      <c r="V1539" s="223"/>
      <c r="W1539" s="223"/>
      <c r="X1539" s="223"/>
      <c r="Y1539" s="223"/>
      <c r="Z1539" s="223"/>
    </row>
    <row r="1540">
      <c r="A1540" s="223" t="str">
        <f>IFERROR(__xludf.DUMMYFUNCTION("""COMPUTED_VALUE"""),"PlusROI : Marketing")</f>
        <v>PlusROI : Marketing</v>
      </c>
      <c r="B1540" s="223" t="str">
        <f>IFERROR(__xludf.DUMMYFUNCTION("""COMPUTED_VALUE"""),"PlusROI")</f>
        <v>PlusROI</v>
      </c>
      <c r="C1540" s="223" t="str">
        <f>IFERROR(__xludf.DUMMYFUNCTION("""COMPUTED_VALUE"""),"Marketing")</f>
        <v>Marketing</v>
      </c>
      <c r="D1540" s="316">
        <f>IFERROR(__xludf.DUMMYFUNCTION("""COMPUTED_VALUE"""),44681.0)</f>
        <v>44681</v>
      </c>
      <c r="E1540" s="298"/>
      <c r="F1540" s="298"/>
      <c r="G1540" s="298"/>
      <c r="H1540" s="223"/>
      <c r="I1540" s="298">
        <f>IFERROR(__xludf.DUMMYFUNCTION("""COMPUTED_VALUE"""),50.0)</f>
        <v>50</v>
      </c>
      <c r="J1540" s="223" t="str">
        <f>IFERROR(__xludf.DUMMYFUNCTION("""COMPUTED_VALUE"""),"Hourly")</f>
        <v>Hourly</v>
      </c>
      <c r="K1540" s="317">
        <f>IFERROR(__xludf.DUMMYFUNCTION("""COMPUTED_VALUE"""),2022.0)</f>
        <v>2022</v>
      </c>
      <c r="L1540" s="298"/>
      <c r="M1540" s="223"/>
      <c r="N1540" s="223"/>
      <c r="O1540" s="223"/>
      <c r="P1540" s="223"/>
      <c r="Q1540" s="223"/>
      <c r="R1540" s="223"/>
      <c r="S1540" s="223"/>
      <c r="T1540" s="223"/>
      <c r="U1540" s="223"/>
      <c r="V1540" s="223"/>
      <c r="W1540" s="223"/>
      <c r="X1540" s="223"/>
      <c r="Y1540" s="223"/>
      <c r="Z1540" s="223"/>
    </row>
    <row r="1541">
      <c r="A1541" s="223" t="str">
        <f>IFERROR(__xludf.DUMMYFUNCTION("""COMPUTED_VALUE"""),"Tuscany : Monthly Services")</f>
        <v>Tuscany : Monthly Services</v>
      </c>
      <c r="B1541" s="223" t="str">
        <f>IFERROR(__xludf.DUMMYFUNCTION("""COMPUTED_VALUE"""),"Tuscany")</f>
        <v>Tuscany</v>
      </c>
      <c r="C1541" s="223" t="str">
        <f>IFERROR(__xludf.DUMMYFUNCTION("""COMPUTED_VALUE"""),"Monthly Services")</f>
        <v>Monthly Services</v>
      </c>
      <c r="D1541" s="316">
        <f>IFERROR(__xludf.DUMMYFUNCTION("""COMPUTED_VALUE"""),44681.0)</f>
        <v>44681</v>
      </c>
      <c r="E1541" s="298"/>
      <c r="F1541" s="298"/>
      <c r="G1541" s="298"/>
      <c r="H1541" s="223"/>
      <c r="I1541" s="298">
        <f>IFERROR(__xludf.DUMMYFUNCTION("""COMPUTED_VALUE"""),662.5)</f>
        <v>662.5</v>
      </c>
      <c r="J1541" s="223" t="str">
        <f>IFERROR(__xludf.DUMMYFUNCTION("""COMPUTED_VALUE"""),"Monthly")</f>
        <v>Monthly</v>
      </c>
      <c r="K1541" s="317">
        <f>IFERROR(__xludf.DUMMYFUNCTION("""COMPUTED_VALUE"""),2022.04)</f>
        <v>2022.04</v>
      </c>
      <c r="L1541" s="298"/>
      <c r="M1541" s="223"/>
      <c r="N1541" s="223"/>
      <c r="O1541" s="223"/>
      <c r="P1541" s="223"/>
      <c r="Q1541" s="223"/>
      <c r="R1541" s="223"/>
      <c r="S1541" s="223"/>
      <c r="T1541" s="223"/>
      <c r="U1541" s="223"/>
      <c r="V1541" s="223"/>
      <c r="W1541" s="223"/>
      <c r="X1541" s="223"/>
      <c r="Y1541" s="223"/>
      <c r="Z1541" s="223"/>
    </row>
    <row r="1542">
      <c r="A1542" s="223" t="str">
        <f>IFERROR(__xludf.DUMMYFUNCTION("""COMPUTED_VALUE"""),"Venetian : Monthly Services")</f>
        <v>Venetian : Monthly Services</v>
      </c>
      <c r="B1542" s="223" t="str">
        <f>IFERROR(__xludf.DUMMYFUNCTION("""COMPUTED_VALUE"""),"Venetian")</f>
        <v>Venetian</v>
      </c>
      <c r="C1542" s="223" t="str">
        <f>IFERROR(__xludf.DUMMYFUNCTION("""COMPUTED_VALUE"""),"Monthly Services")</f>
        <v>Monthly Services</v>
      </c>
      <c r="D1542" s="316">
        <f>IFERROR(__xludf.DUMMYFUNCTION("""COMPUTED_VALUE"""),44681.0)</f>
        <v>44681</v>
      </c>
      <c r="E1542" s="298"/>
      <c r="F1542" s="298"/>
      <c r="G1542" s="298"/>
      <c r="H1542" s="223"/>
      <c r="I1542" s="298">
        <f>IFERROR(__xludf.DUMMYFUNCTION("""COMPUTED_VALUE"""),662.5)</f>
        <v>662.5</v>
      </c>
      <c r="J1542" s="223" t="str">
        <f>IFERROR(__xludf.DUMMYFUNCTION("""COMPUTED_VALUE"""),"Monthly")</f>
        <v>Monthly</v>
      </c>
      <c r="K1542" s="317">
        <f>IFERROR(__xludf.DUMMYFUNCTION("""COMPUTED_VALUE"""),2022.04)</f>
        <v>2022.04</v>
      </c>
      <c r="L1542" s="298"/>
      <c r="M1542" s="223"/>
      <c r="N1542" s="223"/>
      <c r="O1542" s="223"/>
      <c r="P1542" s="223"/>
      <c r="Q1542" s="223"/>
      <c r="R1542" s="223"/>
      <c r="S1542" s="223"/>
      <c r="T1542" s="223"/>
      <c r="U1542" s="223"/>
      <c r="V1542" s="223"/>
      <c r="W1542" s="223"/>
      <c r="X1542" s="223"/>
      <c r="Y1542" s="223"/>
      <c r="Z1542" s="223"/>
    </row>
    <row r="1543">
      <c r="A1543" s="223" t="str">
        <f>IFERROR(__xludf.DUMMYFUNCTION("""COMPUTED_VALUE"""),"Spraggs : Monthly Services")</f>
        <v>Spraggs : Monthly Services</v>
      </c>
      <c r="B1543" s="223" t="str">
        <f>IFERROR(__xludf.DUMMYFUNCTION("""COMPUTED_VALUE"""),"Spraggs")</f>
        <v>Spraggs</v>
      </c>
      <c r="C1543" s="223" t="str">
        <f>IFERROR(__xludf.DUMMYFUNCTION("""COMPUTED_VALUE"""),"Monthly Services")</f>
        <v>Monthly Services</v>
      </c>
      <c r="D1543" s="316">
        <f>IFERROR(__xludf.DUMMYFUNCTION("""COMPUTED_VALUE"""),44681.0)</f>
        <v>44681</v>
      </c>
      <c r="E1543" s="298"/>
      <c r="F1543" s="298"/>
      <c r="G1543" s="298"/>
      <c r="H1543" s="223"/>
      <c r="I1543" s="298">
        <f>IFERROR(__xludf.DUMMYFUNCTION("""COMPUTED_VALUE"""),350.0)</f>
        <v>350</v>
      </c>
      <c r="J1543" s="223" t="str">
        <f>IFERROR(__xludf.DUMMYFUNCTION("""COMPUTED_VALUE"""),"Monthly")</f>
        <v>Monthly</v>
      </c>
      <c r="K1543" s="317">
        <f>IFERROR(__xludf.DUMMYFUNCTION("""COMPUTED_VALUE"""),2022.04)</f>
        <v>2022.04</v>
      </c>
      <c r="L1543" s="298"/>
      <c r="M1543" s="223"/>
      <c r="N1543" s="223"/>
      <c r="O1543" s="223"/>
      <c r="P1543" s="223"/>
      <c r="Q1543" s="223"/>
      <c r="R1543" s="223"/>
      <c r="S1543" s="223"/>
      <c r="T1543" s="223"/>
      <c r="U1543" s="223"/>
      <c r="V1543" s="223"/>
      <c r="W1543" s="223"/>
      <c r="X1543" s="223"/>
      <c r="Y1543" s="223"/>
      <c r="Z1543" s="223"/>
    </row>
    <row r="1544">
      <c r="A1544" s="223" t="str">
        <f>IFERROR(__xludf.DUMMYFUNCTION("""COMPUTED_VALUE"""),"Diversified Health : Monthly Services")</f>
        <v>Diversified Health : Monthly Services</v>
      </c>
      <c r="B1544" s="223" t="str">
        <f>IFERROR(__xludf.DUMMYFUNCTION("""COMPUTED_VALUE"""),"Diversified Health")</f>
        <v>Diversified Health</v>
      </c>
      <c r="C1544" s="223" t="str">
        <f>IFERROR(__xludf.DUMMYFUNCTION("""COMPUTED_VALUE"""),"Monthly Services")</f>
        <v>Monthly Services</v>
      </c>
      <c r="D1544" s="316">
        <f>IFERROR(__xludf.DUMMYFUNCTION("""COMPUTED_VALUE"""),44681.0)</f>
        <v>44681</v>
      </c>
      <c r="E1544" s="298"/>
      <c r="F1544" s="298"/>
      <c r="G1544" s="298"/>
      <c r="H1544" s="223"/>
      <c r="I1544" s="298">
        <f>IFERROR(__xludf.DUMMYFUNCTION("""COMPUTED_VALUE"""),475.0)</f>
        <v>475</v>
      </c>
      <c r="J1544" s="223" t="str">
        <f>IFERROR(__xludf.DUMMYFUNCTION("""COMPUTED_VALUE"""),"Monthly")</f>
        <v>Monthly</v>
      </c>
      <c r="K1544" s="317">
        <f>IFERROR(__xludf.DUMMYFUNCTION("""COMPUTED_VALUE"""),2022.04)</f>
        <v>2022.04</v>
      </c>
      <c r="L1544" s="298"/>
      <c r="M1544" s="223"/>
      <c r="N1544" s="223"/>
      <c r="O1544" s="223"/>
      <c r="P1544" s="223"/>
      <c r="Q1544" s="223"/>
      <c r="R1544" s="223"/>
      <c r="S1544" s="223"/>
      <c r="T1544" s="223"/>
      <c r="U1544" s="223"/>
      <c r="V1544" s="223"/>
      <c r="W1544" s="223"/>
      <c r="X1544" s="223"/>
      <c r="Y1544" s="223"/>
      <c r="Z1544" s="223"/>
    </row>
    <row r="1545">
      <c r="A1545" s="223" t="str">
        <f>IFERROR(__xludf.DUMMYFUNCTION("""COMPUTED_VALUE"""),"TisBest : Monthly Services")</f>
        <v>TisBest : Monthly Services</v>
      </c>
      <c r="B1545" s="223" t="str">
        <f>IFERROR(__xludf.DUMMYFUNCTION("""COMPUTED_VALUE"""),"TisBest")</f>
        <v>TisBest</v>
      </c>
      <c r="C1545" s="223" t="str">
        <f>IFERROR(__xludf.DUMMYFUNCTION("""COMPUTED_VALUE"""),"Monthly Services")</f>
        <v>Monthly Services</v>
      </c>
      <c r="D1545" s="316">
        <f>IFERROR(__xludf.DUMMYFUNCTION("""COMPUTED_VALUE"""),44681.0)</f>
        <v>44681</v>
      </c>
      <c r="E1545" s="298"/>
      <c r="F1545" s="298"/>
      <c r="G1545" s="298"/>
      <c r="H1545" s="223"/>
      <c r="I1545" s="298">
        <f>IFERROR(__xludf.DUMMYFUNCTION("""COMPUTED_VALUE"""),1067.5)</f>
        <v>1067.5</v>
      </c>
      <c r="J1545" s="223" t="str">
        <f>IFERROR(__xludf.DUMMYFUNCTION("""COMPUTED_VALUE"""),"Monthly")</f>
        <v>Monthly</v>
      </c>
      <c r="K1545" s="317">
        <f>IFERROR(__xludf.DUMMYFUNCTION("""COMPUTED_VALUE"""),2022.04)</f>
        <v>2022.04</v>
      </c>
      <c r="L1545" s="298"/>
      <c r="M1545" s="223"/>
      <c r="N1545" s="223"/>
      <c r="O1545" s="223"/>
      <c r="P1545" s="223"/>
      <c r="Q1545" s="223"/>
      <c r="R1545" s="223"/>
      <c r="S1545" s="223"/>
      <c r="T1545" s="223"/>
      <c r="U1545" s="223"/>
      <c r="V1545" s="223"/>
      <c r="W1545" s="223"/>
      <c r="X1545" s="223"/>
      <c r="Y1545" s="223"/>
      <c r="Z1545" s="223"/>
    </row>
    <row r="1546">
      <c r="A1546" s="223" t="str">
        <f>IFERROR(__xludf.DUMMYFUNCTION("""COMPUTED_VALUE"""),"Tofino Resort + Marina : Monthly Services")</f>
        <v>Tofino Resort + Marina : Monthly Services</v>
      </c>
      <c r="B1546" s="223" t="str">
        <f>IFERROR(__xludf.DUMMYFUNCTION("""COMPUTED_VALUE"""),"Tofino Resort + Marina")</f>
        <v>Tofino Resort + Marina</v>
      </c>
      <c r="C1546" s="223" t="str">
        <f>IFERROR(__xludf.DUMMYFUNCTION("""COMPUTED_VALUE"""),"Monthly Services")</f>
        <v>Monthly Services</v>
      </c>
      <c r="D1546" s="316">
        <f>IFERROR(__xludf.DUMMYFUNCTION("""COMPUTED_VALUE"""),44681.0)</f>
        <v>44681</v>
      </c>
      <c r="E1546" s="298"/>
      <c r="F1546" s="298"/>
      <c r="G1546" s="298"/>
      <c r="H1546" s="223"/>
      <c r="I1546" s="298">
        <f>IFERROR(__xludf.DUMMYFUNCTION("""COMPUTED_VALUE"""),450.0)</f>
        <v>450</v>
      </c>
      <c r="J1546" s="223" t="str">
        <f>IFERROR(__xludf.DUMMYFUNCTION("""COMPUTED_VALUE"""),"Monthly")</f>
        <v>Monthly</v>
      </c>
      <c r="K1546" s="317">
        <f>IFERROR(__xludf.DUMMYFUNCTION("""COMPUTED_VALUE"""),2022.04)</f>
        <v>2022.04</v>
      </c>
      <c r="L1546" s="298"/>
      <c r="M1546" s="223"/>
      <c r="N1546" s="223"/>
      <c r="O1546" s="223"/>
      <c r="P1546" s="223"/>
      <c r="Q1546" s="223"/>
      <c r="R1546" s="223"/>
      <c r="S1546" s="223"/>
      <c r="T1546" s="223"/>
      <c r="U1546" s="223"/>
      <c r="V1546" s="223"/>
      <c r="W1546" s="223"/>
      <c r="X1546" s="223"/>
      <c r="Y1546" s="223"/>
      <c r="Z1546" s="223"/>
    </row>
    <row r="1547">
      <c r="A1547" s="223" t="str">
        <f>IFERROR(__xludf.DUMMYFUNCTION("""COMPUTED_VALUE"""),"Availed Technologies : Monthly Services")</f>
        <v>Availed Technologies : Monthly Services</v>
      </c>
      <c r="B1547" s="223" t="str">
        <f>IFERROR(__xludf.DUMMYFUNCTION("""COMPUTED_VALUE"""),"Availed Technologies")</f>
        <v>Availed Technologies</v>
      </c>
      <c r="C1547" s="223" t="str">
        <f>IFERROR(__xludf.DUMMYFUNCTION("""COMPUTED_VALUE"""),"Monthly Services")</f>
        <v>Monthly Services</v>
      </c>
      <c r="D1547" s="316">
        <f>IFERROR(__xludf.DUMMYFUNCTION("""COMPUTED_VALUE"""),44681.0)</f>
        <v>44681</v>
      </c>
      <c r="E1547" s="298"/>
      <c r="F1547" s="298"/>
      <c r="G1547" s="298"/>
      <c r="H1547" s="223"/>
      <c r="I1547" s="298">
        <f>IFERROR(__xludf.DUMMYFUNCTION("""COMPUTED_VALUE"""),162.5)</f>
        <v>162.5</v>
      </c>
      <c r="J1547" s="223" t="str">
        <f>IFERROR(__xludf.DUMMYFUNCTION("""COMPUTED_VALUE"""),"Monthly")</f>
        <v>Monthly</v>
      </c>
      <c r="K1547" s="317">
        <f>IFERROR(__xludf.DUMMYFUNCTION("""COMPUTED_VALUE"""),2022.04)</f>
        <v>2022.04</v>
      </c>
      <c r="L1547" s="298"/>
      <c r="M1547" s="223"/>
      <c r="N1547" s="223"/>
      <c r="O1547" s="223"/>
      <c r="P1547" s="223"/>
      <c r="Q1547" s="223"/>
      <c r="R1547" s="223"/>
      <c r="S1547" s="223"/>
      <c r="T1547" s="223"/>
      <c r="U1547" s="223"/>
      <c r="V1547" s="223"/>
      <c r="W1547" s="223"/>
      <c r="X1547" s="223"/>
      <c r="Y1547" s="223"/>
      <c r="Z1547" s="223"/>
    </row>
    <row r="1548">
      <c r="A1548" s="223" t="str">
        <f>IFERROR(__xludf.DUMMYFUNCTION("""COMPUTED_VALUE"""),"Bratopia : Monthly Services")</f>
        <v>Bratopia : Monthly Services</v>
      </c>
      <c r="B1548" s="223" t="str">
        <f>IFERROR(__xludf.DUMMYFUNCTION("""COMPUTED_VALUE"""),"Bratopia")</f>
        <v>Bratopia</v>
      </c>
      <c r="C1548" s="223" t="str">
        <f>IFERROR(__xludf.DUMMYFUNCTION("""COMPUTED_VALUE"""),"Monthly Services")</f>
        <v>Monthly Services</v>
      </c>
      <c r="D1548" s="316">
        <f>IFERROR(__xludf.DUMMYFUNCTION("""COMPUTED_VALUE"""),44681.0)</f>
        <v>44681</v>
      </c>
      <c r="E1548" s="298"/>
      <c r="F1548" s="298"/>
      <c r="G1548" s="298"/>
      <c r="H1548" s="223"/>
      <c r="I1548" s="298">
        <f>IFERROR(__xludf.DUMMYFUNCTION("""COMPUTED_VALUE"""),300.0)</f>
        <v>300</v>
      </c>
      <c r="J1548" s="223" t="str">
        <f>IFERROR(__xludf.DUMMYFUNCTION("""COMPUTED_VALUE"""),"Monthly")</f>
        <v>Monthly</v>
      </c>
      <c r="K1548" s="317">
        <f>IFERROR(__xludf.DUMMYFUNCTION("""COMPUTED_VALUE"""),2022.04)</f>
        <v>2022.04</v>
      </c>
      <c r="L1548" s="298"/>
      <c r="M1548" s="223"/>
      <c r="N1548" s="223"/>
      <c r="O1548" s="223"/>
      <c r="P1548" s="223"/>
      <c r="Q1548" s="223"/>
      <c r="R1548" s="223"/>
      <c r="S1548" s="223"/>
      <c r="T1548" s="223"/>
      <c r="U1548" s="223"/>
      <c r="V1548" s="223"/>
      <c r="W1548" s="223"/>
      <c r="X1548" s="223"/>
      <c r="Y1548" s="223"/>
      <c r="Z1548" s="223"/>
    </row>
    <row r="1549">
      <c r="A1549" s="223" t="str">
        <f>IFERROR(__xludf.DUMMYFUNCTION("""COMPUTED_VALUE"""),"Community Financials : Monthly Services")</f>
        <v>Community Financials : Monthly Services</v>
      </c>
      <c r="B1549" s="223" t="str">
        <f>IFERROR(__xludf.DUMMYFUNCTION("""COMPUTED_VALUE"""),"Community Financials")</f>
        <v>Community Financials</v>
      </c>
      <c r="C1549" s="223" t="str">
        <f>IFERROR(__xludf.DUMMYFUNCTION("""COMPUTED_VALUE"""),"Monthly Services")</f>
        <v>Monthly Services</v>
      </c>
      <c r="D1549" s="316">
        <f>IFERROR(__xludf.DUMMYFUNCTION("""COMPUTED_VALUE"""),44681.0)</f>
        <v>44681</v>
      </c>
      <c r="E1549" s="298"/>
      <c r="F1549" s="298"/>
      <c r="G1549" s="298"/>
      <c r="H1549" s="223"/>
      <c r="I1549" s="298">
        <f>IFERROR(__xludf.DUMMYFUNCTION("""COMPUTED_VALUE"""),575.0)</f>
        <v>575</v>
      </c>
      <c r="J1549" s="223" t="str">
        <f>IFERROR(__xludf.DUMMYFUNCTION("""COMPUTED_VALUE"""),"Monthly")</f>
        <v>Monthly</v>
      </c>
      <c r="K1549" s="317">
        <f>IFERROR(__xludf.DUMMYFUNCTION("""COMPUTED_VALUE"""),2022.04)</f>
        <v>2022.04</v>
      </c>
      <c r="L1549" s="298"/>
      <c r="M1549" s="223"/>
      <c r="N1549" s="223"/>
      <c r="O1549" s="223"/>
      <c r="P1549" s="223"/>
      <c r="Q1549" s="223"/>
      <c r="R1549" s="223"/>
      <c r="S1549" s="223"/>
      <c r="T1549" s="223"/>
      <c r="U1549" s="223"/>
      <c r="V1549" s="223"/>
      <c r="W1549" s="223"/>
      <c r="X1549" s="223"/>
      <c r="Y1549" s="223"/>
      <c r="Z1549" s="223"/>
    </row>
    <row r="1550">
      <c r="A1550" s="223" t="str">
        <f>IFERROR(__xludf.DUMMYFUNCTION("""COMPUTED_VALUE"""),"Technology Rivers : Monthly Services")</f>
        <v>Technology Rivers : Monthly Services</v>
      </c>
      <c r="B1550" s="223" t="str">
        <f>IFERROR(__xludf.DUMMYFUNCTION("""COMPUTED_VALUE"""),"Technology Rivers")</f>
        <v>Technology Rivers</v>
      </c>
      <c r="C1550" s="223" t="str">
        <f>IFERROR(__xludf.DUMMYFUNCTION("""COMPUTED_VALUE"""),"Monthly Services")</f>
        <v>Monthly Services</v>
      </c>
      <c r="D1550" s="316">
        <f>IFERROR(__xludf.DUMMYFUNCTION("""COMPUTED_VALUE"""),44681.0)</f>
        <v>44681</v>
      </c>
      <c r="E1550" s="298"/>
      <c r="F1550" s="298"/>
      <c r="G1550" s="298"/>
      <c r="H1550" s="223"/>
      <c r="I1550" s="298">
        <f>IFERROR(__xludf.DUMMYFUNCTION("""COMPUTED_VALUE"""),225.0)</f>
        <v>225</v>
      </c>
      <c r="J1550" s="223" t="str">
        <f>IFERROR(__xludf.DUMMYFUNCTION("""COMPUTED_VALUE"""),"Monthly")</f>
        <v>Monthly</v>
      </c>
      <c r="K1550" s="317">
        <f>IFERROR(__xludf.DUMMYFUNCTION("""COMPUTED_VALUE"""),2022.04)</f>
        <v>2022.04</v>
      </c>
      <c r="L1550" s="298"/>
      <c r="M1550" s="223"/>
      <c r="N1550" s="223"/>
      <c r="O1550" s="223"/>
      <c r="P1550" s="223"/>
      <c r="Q1550" s="223"/>
      <c r="R1550" s="223"/>
      <c r="S1550" s="223"/>
      <c r="T1550" s="223"/>
      <c r="U1550" s="223"/>
      <c r="V1550" s="223"/>
      <c r="W1550" s="223"/>
      <c r="X1550" s="223"/>
      <c r="Y1550" s="223"/>
      <c r="Z1550" s="223"/>
    </row>
    <row r="1551">
      <c r="A1551" s="223" t="str">
        <f>IFERROR(__xludf.DUMMYFUNCTION("""COMPUTED_VALUE"""),"C360 : Victory360")</f>
        <v>C360 : Victory360</v>
      </c>
      <c r="B1551" s="223" t="str">
        <f>IFERROR(__xludf.DUMMYFUNCTION("""COMPUTED_VALUE"""),"C360")</f>
        <v>C360</v>
      </c>
      <c r="C1551" s="223" t="str">
        <f>IFERROR(__xludf.DUMMYFUNCTION("""COMPUTED_VALUE"""),"Victory360")</f>
        <v>Victory360</v>
      </c>
      <c r="D1551" s="316">
        <f>IFERROR(__xludf.DUMMYFUNCTION("""COMPUTED_VALUE"""),44681.0)</f>
        <v>44681</v>
      </c>
      <c r="E1551" s="298"/>
      <c r="F1551" s="298"/>
      <c r="G1551" s="298"/>
      <c r="H1551" s="223"/>
      <c r="I1551" s="298">
        <f>IFERROR(__xludf.DUMMYFUNCTION("""COMPUTED_VALUE"""),475.0)</f>
        <v>475</v>
      </c>
      <c r="J1551" s="223" t="str">
        <f>IFERROR(__xludf.DUMMYFUNCTION("""COMPUTED_VALUE"""),"Monthly")</f>
        <v>Monthly</v>
      </c>
      <c r="K1551" s="317">
        <f>IFERROR(__xludf.DUMMYFUNCTION("""COMPUTED_VALUE"""),2022.04)</f>
        <v>2022.04</v>
      </c>
      <c r="L1551" s="298"/>
      <c r="M1551" s="223"/>
      <c r="N1551" s="223"/>
      <c r="O1551" s="223"/>
      <c r="P1551" s="223"/>
      <c r="Q1551" s="223"/>
      <c r="R1551" s="223"/>
      <c r="S1551" s="223"/>
      <c r="T1551" s="223"/>
      <c r="U1551" s="223"/>
      <c r="V1551" s="223"/>
      <c r="W1551" s="223"/>
      <c r="X1551" s="223"/>
      <c r="Y1551" s="223"/>
      <c r="Z1551" s="223"/>
    </row>
    <row r="1552">
      <c r="A1552" s="223" t="str">
        <f>IFERROR(__xludf.DUMMYFUNCTION("""COMPUTED_VALUE"""),"C360 : Guntry Baseline SEO")</f>
        <v>C360 : Guntry Baseline SEO</v>
      </c>
      <c r="B1552" s="223" t="str">
        <f>IFERROR(__xludf.DUMMYFUNCTION("""COMPUTED_VALUE"""),"C360")</f>
        <v>C360</v>
      </c>
      <c r="C1552" s="223" t="str">
        <f>IFERROR(__xludf.DUMMYFUNCTION("""COMPUTED_VALUE"""),"Guntry Baseline SEO")</f>
        <v>Guntry Baseline SEO</v>
      </c>
      <c r="D1552" s="316">
        <f>IFERROR(__xludf.DUMMYFUNCTION("""COMPUTED_VALUE"""),44681.0)</f>
        <v>44681</v>
      </c>
      <c r="E1552" s="298"/>
      <c r="F1552" s="298"/>
      <c r="G1552" s="298"/>
      <c r="H1552" s="223"/>
      <c r="I1552" s="298">
        <f>IFERROR(__xludf.DUMMYFUNCTION("""COMPUTED_VALUE"""),362.5)</f>
        <v>362.5</v>
      </c>
      <c r="J1552" s="223" t="str">
        <f>IFERROR(__xludf.DUMMYFUNCTION("""COMPUTED_VALUE"""),"Monthly")</f>
        <v>Monthly</v>
      </c>
      <c r="K1552" s="317">
        <f>IFERROR(__xludf.DUMMYFUNCTION("""COMPUTED_VALUE"""),2022.04)</f>
        <v>2022.04</v>
      </c>
      <c r="L1552" s="298"/>
      <c r="M1552" s="223"/>
      <c r="N1552" s="223"/>
      <c r="O1552" s="223"/>
      <c r="P1552" s="223"/>
      <c r="Q1552" s="223"/>
      <c r="R1552" s="223"/>
      <c r="S1552" s="223"/>
      <c r="T1552" s="223"/>
      <c r="U1552" s="223"/>
      <c r="V1552" s="223"/>
      <c r="W1552" s="223"/>
      <c r="X1552" s="223"/>
      <c r="Y1552" s="223"/>
      <c r="Z1552" s="223"/>
    </row>
    <row r="1553">
      <c r="A1553" s="223" t="str">
        <f>IFERROR(__xludf.DUMMYFUNCTION("""COMPUTED_VALUE"""),"Howard Fine Jewellers : Howard SEO Review &amp; Recommendations")</f>
        <v>Howard Fine Jewellers : Howard SEO Review &amp; Recommendations</v>
      </c>
      <c r="B1553" s="223" t="str">
        <f>IFERROR(__xludf.DUMMYFUNCTION("""COMPUTED_VALUE"""),"Howard Fine Jewellers")</f>
        <v>Howard Fine Jewellers</v>
      </c>
      <c r="C1553" s="223" t="str">
        <f>IFERROR(__xludf.DUMMYFUNCTION("""COMPUTED_VALUE"""),"Howard SEO Review &amp; Recommendations")</f>
        <v>Howard SEO Review &amp; Recommendations</v>
      </c>
      <c r="D1553" s="316">
        <f>IFERROR(__xludf.DUMMYFUNCTION("""COMPUTED_VALUE"""),44681.0)</f>
        <v>44681</v>
      </c>
      <c r="E1553" s="298"/>
      <c r="F1553" s="298"/>
      <c r="G1553" s="298"/>
      <c r="H1553" s="223"/>
      <c r="I1553" s="298">
        <f>IFERROR(__xludf.DUMMYFUNCTION("""COMPUTED_VALUE"""),537.5)</f>
        <v>537.5</v>
      </c>
      <c r="J1553" s="223" t="str">
        <f>IFERROR(__xludf.DUMMYFUNCTION("""COMPUTED_VALUE"""),"Fixed Project")</f>
        <v>Fixed Project</v>
      </c>
      <c r="K1553" s="317">
        <f>IFERROR(__xludf.DUMMYFUNCTION("""COMPUTED_VALUE"""),2022.0)</f>
        <v>2022</v>
      </c>
      <c r="L1553" s="298"/>
      <c r="M1553" s="223"/>
      <c r="N1553" s="223"/>
      <c r="O1553" s="223"/>
      <c r="P1553" s="223"/>
      <c r="Q1553" s="223"/>
      <c r="R1553" s="223"/>
      <c r="S1553" s="223"/>
      <c r="T1553" s="223"/>
      <c r="U1553" s="223"/>
      <c r="V1553" s="223"/>
      <c r="W1553" s="223"/>
      <c r="X1553" s="223"/>
      <c r="Y1553" s="223"/>
      <c r="Z1553" s="223"/>
    </row>
    <row r="1554">
      <c r="A1554" s="223" t="str">
        <f>IFERROR(__xludf.DUMMYFUNCTION("""COMPUTED_VALUE"""),"Sacred Deathcare : Ongoing SEO Projects")</f>
        <v>Sacred Deathcare : Ongoing SEO Projects</v>
      </c>
      <c r="B1554" s="223" t="str">
        <f>IFERROR(__xludf.DUMMYFUNCTION("""COMPUTED_VALUE"""),"Sacred Deathcare")</f>
        <v>Sacred Deathcare</v>
      </c>
      <c r="C1554" s="223" t="str">
        <f>IFERROR(__xludf.DUMMYFUNCTION("""COMPUTED_VALUE"""),"Ongoing SEO Projects")</f>
        <v>Ongoing SEO Projects</v>
      </c>
      <c r="D1554" s="316">
        <f>IFERROR(__xludf.DUMMYFUNCTION("""COMPUTED_VALUE"""),44681.0)</f>
        <v>44681</v>
      </c>
      <c r="E1554" s="298"/>
      <c r="F1554" s="298"/>
      <c r="G1554" s="298"/>
      <c r="H1554" s="223"/>
      <c r="I1554" s="298">
        <f>IFERROR(__xludf.DUMMYFUNCTION("""COMPUTED_VALUE"""),150.0)</f>
        <v>150</v>
      </c>
      <c r="J1554" s="223" t="str">
        <f>IFERROR(__xludf.DUMMYFUNCTION("""COMPUTED_VALUE"""),"Fixed Project")</f>
        <v>Fixed Project</v>
      </c>
      <c r="K1554" s="317">
        <f>IFERROR(__xludf.DUMMYFUNCTION("""COMPUTED_VALUE"""),2022.0)</f>
        <v>2022</v>
      </c>
      <c r="L1554" s="298"/>
      <c r="M1554" s="223"/>
      <c r="N1554" s="223"/>
      <c r="O1554" s="223"/>
      <c r="P1554" s="223"/>
      <c r="Q1554" s="223"/>
      <c r="R1554" s="223"/>
      <c r="S1554" s="223"/>
      <c r="T1554" s="223"/>
      <c r="U1554" s="223"/>
      <c r="V1554" s="223"/>
      <c r="W1554" s="223"/>
      <c r="X1554" s="223"/>
      <c r="Y1554" s="223"/>
      <c r="Z1554" s="223"/>
    </row>
    <row r="1555">
      <c r="A1555" s="223" t="str">
        <f>IFERROR(__xludf.DUMMYFUNCTION("""COMPUTED_VALUE"""),"Canyon's Construction : Web Presence &amp; SEO Project")</f>
        <v>Canyon's Construction : Web Presence &amp; SEO Project</v>
      </c>
      <c r="B1555" s="223" t="str">
        <f>IFERROR(__xludf.DUMMYFUNCTION("""COMPUTED_VALUE"""),"Canyon's Construction")</f>
        <v>Canyon's Construction</v>
      </c>
      <c r="C1555" s="223" t="str">
        <f>IFERROR(__xludf.DUMMYFUNCTION("""COMPUTED_VALUE"""),"Web Presence &amp; SEO Project")</f>
        <v>Web Presence &amp; SEO Project</v>
      </c>
      <c r="D1555" s="316">
        <f>IFERROR(__xludf.DUMMYFUNCTION("""COMPUTED_VALUE"""),44681.0)</f>
        <v>44681</v>
      </c>
      <c r="E1555" s="298"/>
      <c r="F1555" s="298"/>
      <c r="G1555" s="298"/>
      <c r="H1555" s="223"/>
      <c r="I1555" s="298">
        <f>IFERROR(__xludf.DUMMYFUNCTION("""COMPUTED_VALUE"""),725.0)</f>
        <v>725</v>
      </c>
      <c r="J1555" s="223" t="str">
        <f>IFERROR(__xludf.DUMMYFUNCTION("""COMPUTED_VALUE"""),"Fixed Project")</f>
        <v>Fixed Project</v>
      </c>
      <c r="K1555" s="317">
        <f>IFERROR(__xludf.DUMMYFUNCTION("""COMPUTED_VALUE"""),2022.0)</f>
        <v>2022</v>
      </c>
      <c r="L1555" s="298"/>
      <c r="M1555" s="223"/>
      <c r="N1555" s="223"/>
      <c r="O1555" s="223"/>
      <c r="P1555" s="223"/>
      <c r="Q1555" s="223"/>
      <c r="R1555" s="223"/>
      <c r="S1555" s="223"/>
      <c r="T1555" s="223"/>
      <c r="U1555" s="223"/>
      <c r="V1555" s="223"/>
      <c r="W1555" s="223"/>
      <c r="X1555" s="223"/>
      <c r="Y1555" s="223"/>
      <c r="Z1555" s="223"/>
    </row>
    <row r="1556">
      <c r="A1556" s="223" t="str">
        <f>IFERROR(__xludf.DUMMYFUNCTION("""COMPUTED_VALUE"""),"C360 : Victory360")</f>
        <v>C360 : Victory360</v>
      </c>
      <c r="B1556" s="223" t="str">
        <f>IFERROR(__xludf.DUMMYFUNCTION("""COMPUTED_VALUE"""),"C360")</f>
        <v>C360</v>
      </c>
      <c r="C1556" s="223" t="str">
        <f>IFERROR(__xludf.DUMMYFUNCTION("""COMPUTED_VALUE"""),"Victory360")</f>
        <v>Victory360</v>
      </c>
      <c r="D1556" s="316">
        <f>IFERROR(__xludf.DUMMYFUNCTION("""COMPUTED_VALUE"""),44681.0)</f>
        <v>44681</v>
      </c>
      <c r="E1556" s="298"/>
      <c r="F1556" s="298"/>
      <c r="G1556" s="298"/>
      <c r="H1556" s="223"/>
      <c r="I1556" s="298">
        <f>IFERROR(__xludf.DUMMYFUNCTION("""COMPUTED_VALUE"""),22.5)</f>
        <v>22.5</v>
      </c>
      <c r="J1556" s="223" t="str">
        <f>IFERROR(__xludf.DUMMYFUNCTION("""COMPUTED_VALUE"""),"Monthly")</f>
        <v>Monthly</v>
      </c>
      <c r="K1556" s="317">
        <f>IFERROR(__xludf.DUMMYFUNCTION("""COMPUTED_VALUE"""),2022.04)</f>
        <v>2022.04</v>
      </c>
      <c r="L1556" s="298"/>
      <c r="M1556" s="223"/>
      <c r="N1556" s="223"/>
      <c r="O1556" s="223"/>
      <c r="P1556" s="223"/>
      <c r="Q1556" s="223"/>
      <c r="R1556" s="223"/>
      <c r="S1556" s="223"/>
      <c r="T1556" s="223"/>
      <c r="U1556" s="223"/>
      <c r="V1556" s="223"/>
      <c r="W1556" s="223"/>
      <c r="X1556" s="223"/>
      <c r="Y1556" s="223"/>
      <c r="Z1556" s="223"/>
    </row>
    <row r="1557">
      <c r="A1557" s="223" t="str">
        <f>IFERROR(__xludf.DUMMYFUNCTION("""COMPUTED_VALUE"""),"C360 : Guntry Baseline SEO")</f>
        <v>C360 : Guntry Baseline SEO</v>
      </c>
      <c r="B1557" s="223" t="str">
        <f>IFERROR(__xludf.DUMMYFUNCTION("""COMPUTED_VALUE"""),"C360")</f>
        <v>C360</v>
      </c>
      <c r="C1557" s="223" t="str">
        <f>IFERROR(__xludf.DUMMYFUNCTION("""COMPUTED_VALUE"""),"Guntry Baseline SEO")</f>
        <v>Guntry Baseline SEO</v>
      </c>
      <c r="D1557" s="316">
        <f>IFERROR(__xludf.DUMMYFUNCTION("""COMPUTED_VALUE"""),44681.0)</f>
        <v>44681</v>
      </c>
      <c r="E1557" s="298"/>
      <c r="F1557" s="298"/>
      <c r="G1557" s="298"/>
      <c r="H1557" s="223"/>
      <c r="I1557" s="298">
        <f>IFERROR(__xludf.DUMMYFUNCTION("""COMPUTED_VALUE"""),22.5)</f>
        <v>22.5</v>
      </c>
      <c r="J1557" s="223" t="str">
        <f>IFERROR(__xludf.DUMMYFUNCTION("""COMPUTED_VALUE"""),"Monthly")</f>
        <v>Monthly</v>
      </c>
      <c r="K1557" s="317">
        <f>IFERROR(__xludf.DUMMYFUNCTION("""COMPUTED_VALUE"""),2022.04)</f>
        <v>2022.04</v>
      </c>
      <c r="L1557" s="298"/>
      <c r="M1557" s="223"/>
      <c r="N1557" s="223"/>
      <c r="O1557" s="223"/>
      <c r="P1557" s="223"/>
      <c r="Q1557" s="223"/>
      <c r="R1557" s="223"/>
      <c r="S1557" s="223"/>
      <c r="T1557" s="223"/>
      <c r="U1557" s="223"/>
      <c r="V1557" s="223"/>
      <c r="W1557" s="223"/>
      <c r="X1557" s="223"/>
      <c r="Y1557" s="223"/>
      <c r="Z1557" s="223"/>
    </row>
    <row r="1558">
      <c r="A1558" s="223" t="str">
        <f>IFERROR(__xludf.DUMMYFUNCTION("""COMPUTED_VALUE"""),"Terra Insights : PPC Overhauls and SEO Matrix")</f>
        <v>Terra Insights : PPC Overhauls and SEO Matrix</v>
      </c>
      <c r="B1558" s="223" t="str">
        <f>IFERROR(__xludf.DUMMYFUNCTION("""COMPUTED_VALUE"""),"Terra Insights")</f>
        <v>Terra Insights</v>
      </c>
      <c r="C1558" s="223" t="str">
        <f>IFERROR(__xludf.DUMMYFUNCTION("""COMPUTED_VALUE"""),"PPC Overhauls and SEO Matrix")</f>
        <v>PPC Overhauls and SEO Matrix</v>
      </c>
      <c r="D1558" s="316">
        <f>IFERROR(__xludf.DUMMYFUNCTION("""COMPUTED_VALUE"""),44681.0)</f>
        <v>44681</v>
      </c>
      <c r="E1558" s="298"/>
      <c r="F1558" s="298"/>
      <c r="G1558" s="298"/>
      <c r="H1558" s="223"/>
      <c r="I1558" s="298">
        <f>IFERROR(__xludf.DUMMYFUNCTION("""COMPUTED_VALUE"""),30.0)</f>
        <v>30</v>
      </c>
      <c r="J1558" s="223" t="str">
        <f>IFERROR(__xludf.DUMMYFUNCTION("""COMPUTED_VALUE"""),"Fixed Project")</f>
        <v>Fixed Project</v>
      </c>
      <c r="K1558" s="317">
        <f>IFERROR(__xludf.DUMMYFUNCTION("""COMPUTED_VALUE"""),2022.0)</f>
        <v>2022</v>
      </c>
      <c r="L1558" s="298"/>
      <c r="M1558" s="223"/>
      <c r="N1558" s="223"/>
      <c r="O1558" s="223"/>
      <c r="P1558" s="223"/>
      <c r="Q1558" s="223"/>
      <c r="R1558" s="223"/>
      <c r="S1558" s="223"/>
      <c r="T1558" s="223"/>
      <c r="U1558" s="223"/>
      <c r="V1558" s="223"/>
      <c r="W1558" s="223"/>
      <c r="X1558" s="223"/>
      <c r="Y1558" s="223"/>
      <c r="Z1558" s="223"/>
    </row>
    <row r="1559">
      <c r="A1559" s="223" t="str">
        <f>IFERROR(__xludf.DUMMYFUNCTION("""COMPUTED_VALUE"""),"PlusROI : Admin")</f>
        <v>PlusROI : Admin</v>
      </c>
      <c r="B1559" s="223" t="str">
        <f>IFERROR(__xludf.DUMMYFUNCTION("""COMPUTED_VALUE"""),"PlusROI")</f>
        <v>PlusROI</v>
      </c>
      <c r="C1559" s="223" t="str">
        <f>IFERROR(__xludf.DUMMYFUNCTION("""COMPUTED_VALUE"""),"Admin")</f>
        <v>Admin</v>
      </c>
      <c r="D1559" s="316">
        <f>IFERROR(__xludf.DUMMYFUNCTION("""COMPUTED_VALUE"""),44681.0)</f>
        <v>44681</v>
      </c>
      <c r="E1559" s="298"/>
      <c r="F1559" s="298"/>
      <c r="G1559" s="298"/>
      <c r="H1559" s="223"/>
      <c r="I1559" s="298">
        <f>IFERROR(__xludf.DUMMYFUNCTION("""COMPUTED_VALUE"""),60.0)</f>
        <v>60</v>
      </c>
      <c r="J1559" s="223" t="str">
        <f>IFERROR(__xludf.DUMMYFUNCTION("""COMPUTED_VALUE"""),"Hourly")</f>
        <v>Hourly</v>
      </c>
      <c r="K1559" s="317">
        <f>IFERROR(__xludf.DUMMYFUNCTION("""COMPUTED_VALUE"""),2022.0)</f>
        <v>2022</v>
      </c>
      <c r="L1559" s="298"/>
      <c r="M1559" s="223"/>
      <c r="N1559" s="223"/>
      <c r="O1559" s="223"/>
      <c r="P1559" s="223"/>
      <c r="Q1559" s="223"/>
      <c r="R1559" s="223"/>
      <c r="S1559" s="223"/>
      <c r="T1559" s="223"/>
      <c r="U1559" s="223"/>
      <c r="V1559" s="223"/>
      <c r="W1559" s="223"/>
      <c r="X1559" s="223"/>
      <c r="Y1559" s="223"/>
      <c r="Z1559" s="223"/>
    </row>
    <row r="1560">
      <c r="A1560" s="223" t="str">
        <f>IFERROR(__xludf.DUMMYFUNCTION("""COMPUTED_VALUE"""),"C360 : Guntry Baseline SEO")</f>
        <v>C360 : Guntry Baseline SEO</v>
      </c>
      <c r="B1560" s="223" t="str">
        <f>IFERROR(__xludf.DUMMYFUNCTION("""COMPUTED_VALUE"""),"C360")</f>
        <v>C360</v>
      </c>
      <c r="C1560" s="223" t="str">
        <f>IFERROR(__xludf.DUMMYFUNCTION("""COMPUTED_VALUE"""),"Guntry Baseline SEO")</f>
        <v>Guntry Baseline SEO</v>
      </c>
      <c r="D1560" s="316">
        <f>IFERROR(__xludf.DUMMYFUNCTION("""COMPUTED_VALUE"""),44681.0)</f>
        <v>44681</v>
      </c>
      <c r="E1560" s="298"/>
      <c r="F1560" s="298"/>
      <c r="G1560" s="298"/>
      <c r="H1560" s="223"/>
      <c r="I1560" s="298">
        <f>IFERROR(__xludf.DUMMYFUNCTION("""COMPUTED_VALUE"""),175.0)</f>
        <v>175</v>
      </c>
      <c r="J1560" s="223" t="str">
        <f>IFERROR(__xludf.DUMMYFUNCTION("""COMPUTED_VALUE"""),"Monthly")</f>
        <v>Monthly</v>
      </c>
      <c r="K1560" s="317">
        <f>IFERROR(__xludf.DUMMYFUNCTION("""COMPUTED_VALUE"""),2022.04)</f>
        <v>2022.04</v>
      </c>
      <c r="L1560" s="298"/>
      <c r="M1560" s="223"/>
      <c r="N1560" s="223"/>
      <c r="O1560" s="223"/>
      <c r="P1560" s="223"/>
      <c r="Q1560" s="223"/>
      <c r="R1560" s="223"/>
      <c r="S1560" s="223"/>
      <c r="T1560" s="223"/>
      <c r="U1560" s="223"/>
      <c r="V1560" s="223"/>
      <c r="W1560" s="223"/>
      <c r="X1560" s="223"/>
      <c r="Y1560" s="223"/>
      <c r="Z1560" s="223"/>
    </row>
    <row r="1561">
      <c r="A1561" s="223" t="str">
        <f>IFERROR(__xludf.DUMMYFUNCTION("""COMPUTED_VALUE"""),"Prime Engineering : Monthly Services")</f>
        <v>Prime Engineering : Monthly Services</v>
      </c>
      <c r="B1561" s="223" t="str">
        <f>IFERROR(__xludf.DUMMYFUNCTION("""COMPUTED_VALUE"""),"Prime Engineering")</f>
        <v>Prime Engineering</v>
      </c>
      <c r="C1561" s="223" t="str">
        <f>IFERROR(__xludf.DUMMYFUNCTION("""COMPUTED_VALUE"""),"Monthly Services")</f>
        <v>Monthly Services</v>
      </c>
      <c r="D1561" s="316">
        <f>IFERROR(__xludf.DUMMYFUNCTION("""COMPUTED_VALUE"""),44681.0)</f>
        <v>44681</v>
      </c>
      <c r="E1561" s="298"/>
      <c r="F1561" s="298"/>
      <c r="G1561" s="298"/>
      <c r="H1561" s="223"/>
      <c r="I1561" s="298">
        <f>IFERROR(__xludf.DUMMYFUNCTION("""COMPUTED_VALUE"""),187.5)</f>
        <v>187.5</v>
      </c>
      <c r="J1561" s="223" t="str">
        <f>IFERROR(__xludf.DUMMYFUNCTION("""COMPUTED_VALUE"""),"Monthly")</f>
        <v>Monthly</v>
      </c>
      <c r="K1561" s="317">
        <f>IFERROR(__xludf.DUMMYFUNCTION("""COMPUTED_VALUE"""),2022.04)</f>
        <v>2022.04</v>
      </c>
      <c r="L1561" s="298"/>
      <c r="M1561" s="223"/>
      <c r="N1561" s="223"/>
      <c r="O1561" s="223"/>
      <c r="P1561" s="223"/>
      <c r="Q1561" s="223"/>
      <c r="R1561" s="223"/>
      <c r="S1561" s="223"/>
      <c r="T1561" s="223"/>
      <c r="U1561" s="223"/>
      <c r="V1561" s="223"/>
      <c r="W1561" s="223"/>
      <c r="X1561" s="223"/>
      <c r="Y1561" s="223"/>
      <c r="Z1561" s="223"/>
    </row>
    <row r="1562">
      <c r="A1562" s="223" t="str">
        <f>IFERROR(__xludf.DUMMYFUNCTION("""COMPUTED_VALUE"""),"C360 : Victory360")</f>
        <v>C360 : Victory360</v>
      </c>
      <c r="B1562" s="223" t="str">
        <f>IFERROR(__xludf.DUMMYFUNCTION("""COMPUTED_VALUE"""),"C360")</f>
        <v>C360</v>
      </c>
      <c r="C1562" s="223" t="str">
        <f>IFERROR(__xludf.DUMMYFUNCTION("""COMPUTED_VALUE"""),"Victory360")</f>
        <v>Victory360</v>
      </c>
      <c r="D1562" s="316">
        <f>IFERROR(__xludf.DUMMYFUNCTION("""COMPUTED_VALUE"""),44663.0)</f>
        <v>44663</v>
      </c>
      <c r="E1562" s="298"/>
      <c r="F1562" s="298"/>
      <c r="G1562" s="298"/>
      <c r="H1562" s="223"/>
      <c r="I1562" s="298">
        <f>IFERROR(__xludf.DUMMYFUNCTION("""COMPUTED_VALUE"""),38.84)</f>
        <v>38.84</v>
      </c>
      <c r="J1562" s="223" t="str">
        <f>IFERROR(__xludf.DUMMYFUNCTION("""COMPUTED_VALUE"""),"Monthly")</f>
        <v>Monthly</v>
      </c>
      <c r="K1562" s="317">
        <f>IFERROR(__xludf.DUMMYFUNCTION("""COMPUTED_VALUE"""),2022.04)</f>
        <v>2022.04</v>
      </c>
      <c r="L1562" s="298"/>
      <c r="M1562" s="223"/>
      <c r="N1562" s="223"/>
      <c r="O1562" s="223"/>
      <c r="P1562" s="223"/>
      <c r="Q1562" s="223"/>
      <c r="R1562" s="223"/>
      <c r="S1562" s="223"/>
      <c r="T1562" s="223"/>
      <c r="U1562" s="223"/>
      <c r="V1562" s="223"/>
      <c r="W1562" s="223"/>
      <c r="X1562" s="223"/>
      <c r="Y1562" s="223"/>
      <c r="Z1562" s="223"/>
    </row>
    <row r="1563">
      <c r="A1563" s="223" t="str">
        <f>IFERROR(__xludf.DUMMYFUNCTION("""COMPUTED_VALUE"""),"C360 : Guntry Baseline SEO")</f>
        <v>C360 : Guntry Baseline SEO</v>
      </c>
      <c r="B1563" s="223" t="str">
        <f>IFERROR(__xludf.DUMMYFUNCTION("""COMPUTED_VALUE"""),"C360")</f>
        <v>C360</v>
      </c>
      <c r="C1563" s="223" t="str">
        <f>IFERROR(__xludf.DUMMYFUNCTION("""COMPUTED_VALUE"""),"Guntry Baseline SEO")</f>
        <v>Guntry Baseline SEO</v>
      </c>
      <c r="D1563" s="316">
        <f>IFERROR(__xludf.DUMMYFUNCTION("""COMPUTED_VALUE"""),44663.0)</f>
        <v>44663</v>
      </c>
      <c r="E1563" s="298"/>
      <c r="F1563" s="298"/>
      <c r="G1563" s="298"/>
      <c r="H1563" s="223"/>
      <c r="I1563" s="298">
        <f>IFERROR(__xludf.DUMMYFUNCTION("""COMPUTED_VALUE"""),38.84)</f>
        <v>38.84</v>
      </c>
      <c r="J1563" s="223" t="str">
        <f>IFERROR(__xludf.DUMMYFUNCTION("""COMPUTED_VALUE"""),"Monthly")</f>
        <v>Monthly</v>
      </c>
      <c r="K1563" s="317">
        <f>IFERROR(__xludf.DUMMYFUNCTION("""COMPUTED_VALUE"""),2022.04)</f>
        <v>2022.04</v>
      </c>
      <c r="L1563" s="298"/>
      <c r="M1563" s="223"/>
      <c r="N1563" s="223"/>
      <c r="O1563" s="223"/>
      <c r="P1563" s="223"/>
      <c r="Q1563" s="223"/>
      <c r="R1563" s="223"/>
      <c r="S1563" s="223"/>
      <c r="T1563" s="223"/>
      <c r="U1563" s="223"/>
      <c r="V1563" s="223"/>
      <c r="W1563" s="223"/>
      <c r="X1563" s="223"/>
      <c r="Y1563" s="223"/>
      <c r="Z1563" s="223"/>
    </row>
    <row r="1564">
      <c r="A1564" s="223" t="str">
        <f>IFERROR(__xludf.DUMMYFUNCTION("""COMPUTED_VALUE"""),"PlusROI : Admin")</f>
        <v>PlusROI : Admin</v>
      </c>
      <c r="B1564" s="223" t="str">
        <f>IFERROR(__xludf.DUMMYFUNCTION("""COMPUTED_VALUE"""),"PlusROI")</f>
        <v>PlusROI</v>
      </c>
      <c r="C1564" s="223" t="str">
        <f>IFERROR(__xludf.DUMMYFUNCTION("""COMPUTED_VALUE"""),"Admin")</f>
        <v>Admin</v>
      </c>
      <c r="D1564" s="316">
        <f>IFERROR(__xludf.DUMMYFUNCTION("""COMPUTED_VALUE"""),44665.0)</f>
        <v>44665</v>
      </c>
      <c r="E1564" s="298"/>
      <c r="F1564" s="298"/>
      <c r="G1564" s="298"/>
      <c r="H1564" s="223"/>
      <c r="I1564" s="298">
        <f>IFERROR(__xludf.DUMMYFUNCTION("""COMPUTED_VALUE"""),13.92)</f>
        <v>13.92</v>
      </c>
      <c r="J1564" s="223" t="str">
        <f>IFERROR(__xludf.DUMMYFUNCTION("""COMPUTED_VALUE"""),"Hourly")</f>
        <v>Hourly</v>
      </c>
      <c r="K1564" s="317">
        <f>IFERROR(__xludf.DUMMYFUNCTION("""COMPUTED_VALUE"""),2022.0)</f>
        <v>2022</v>
      </c>
      <c r="L1564" s="298"/>
      <c r="M1564" s="223"/>
      <c r="N1564" s="223"/>
      <c r="O1564" s="223"/>
      <c r="P1564" s="223"/>
      <c r="Q1564" s="223"/>
      <c r="R1564" s="223"/>
      <c r="S1564" s="223"/>
      <c r="T1564" s="223"/>
      <c r="U1564" s="223"/>
      <c r="V1564" s="223"/>
      <c r="W1564" s="223"/>
      <c r="X1564" s="223"/>
      <c r="Y1564" s="223"/>
      <c r="Z1564" s="223"/>
    </row>
    <row r="1565">
      <c r="A1565" s="223" t="str">
        <f>IFERROR(__xludf.DUMMYFUNCTION("""COMPUTED_VALUE"""),"PlusROI : Overhead")</f>
        <v>PlusROI : Overhead</v>
      </c>
      <c r="B1565" s="223" t="str">
        <f>IFERROR(__xludf.DUMMYFUNCTION("""COMPUTED_VALUE"""),"PlusROI")</f>
        <v>PlusROI</v>
      </c>
      <c r="C1565" s="223" t="str">
        <f>IFERROR(__xludf.DUMMYFUNCTION("""COMPUTED_VALUE"""),"Overhead")</f>
        <v>Overhead</v>
      </c>
      <c r="D1565" s="316">
        <f>IFERROR(__xludf.DUMMYFUNCTION("""COMPUTED_VALUE"""),44678.0)</f>
        <v>44678</v>
      </c>
      <c r="E1565" s="298"/>
      <c r="F1565" s="298"/>
      <c r="G1565" s="298"/>
      <c r="H1565" s="223"/>
      <c r="I1565" s="298">
        <f>IFERROR(__xludf.DUMMYFUNCTION("""COMPUTED_VALUE"""),51.94)</f>
        <v>51.94</v>
      </c>
      <c r="J1565" s="223" t="str">
        <f>IFERROR(__xludf.DUMMYFUNCTION("""COMPUTED_VALUE"""),"Hourly")</f>
        <v>Hourly</v>
      </c>
      <c r="K1565" s="317">
        <f>IFERROR(__xludf.DUMMYFUNCTION("""COMPUTED_VALUE"""),2022.0)</f>
        <v>2022</v>
      </c>
      <c r="L1565" s="298"/>
      <c r="M1565" s="223"/>
      <c r="N1565" s="223"/>
      <c r="O1565" s="223"/>
      <c r="P1565" s="223"/>
      <c r="Q1565" s="223"/>
      <c r="R1565" s="223"/>
      <c r="S1565" s="223"/>
      <c r="T1565" s="223"/>
      <c r="U1565" s="223"/>
      <c r="V1565" s="223"/>
      <c r="W1565" s="223"/>
      <c r="X1565" s="223"/>
      <c r="Y1565" s="223"/>
      <c r="Z1565" s="223"/>
    </row>
    <row r="1566">
      <c r="A1566" s="223" t="str">
        <f>IFERROR(__xludf.DUMMYFUNCTION("""COMPUTED_VALUE"""),"PlusROI : Overhead")</f>
        <v>PlusROI : Overhead</v>
      </c>
      <c r="B1566" s="223" t="str">
        <f>IFERROR(__xludf.DUMMYFUNCTION("""COMPUTED_VALUE"""),"PlusROI")</f>
        <v>PlusROI</v>
      </c>
      <c r="C1566" s="223" t="str">
        <f>IFERROR(__xludf.DUMMYFUNCTION("""COMPUTED_VALUE"""),"Overhead")</f>
        <v>Overhead</v>
      </c>
      <c r="D1566" s="316">
        <f>IFERROR(__xludf.DUMMYFUNCTION("""COMPUTED_VALUE"""),44687.0)</f>
        <v>44687</v>
      </c>
      <c r="E1566" s="298"/>
      <c r="F1566" s="298"/>
      <c r="G1566" s="298"/>
      <c r="H1566" s="223"/>
      <c r="I1566" s="298">
        <f>IFERROR(__xludf.DUMMYFUNCTION("""COMPUTED_VALUE"""),51.37)</f>
        <v>51.37</v>
      </c>
      <c r="J1566" s="223" t="str">
        <f>IFERROR(__xludf.DUMMYFUNCTION("""COMPUTED_VALUE"""),"Hourly")</f>
        <v>Hourly</v>
      </c>
      <c r="K1566" s="317">
        <f>IFERROR(__xludf.DUMMYFUNCTION("""COMPUTED_VALUE"""),2022.0)</f>
        <v>2022</v>
      </c>
      <c r="L1566" s="298"/>
      <c r="M1566" s="223"/>
      <c r="N1566" s="223"/>
      <c r="O1566" s="223"/>
      <c r="P1566" s="223"/>
      <c r="Q1566" s="223"/>
      <c r="R1566" s="223"/>
      <c r="S1566" s="223"/>
      <c r="T1566" s="223"/>
      <c r="U1566" s="223"/>
      <c r="V1566" s="223"/>
      <c r="W1566" s="223"/>
      <c r="X1566" s="223"/>
      <c r="Y1566" s="223"/>
      <c r="Z1566" s="223"/>
    </row>
    <row r="1567">
      <c r="A1567" s="223" t="str">
        <f>IFERROR(__xludf.DUMMYFUNCTION("""COMPUTED_VALUE"""),"BookKing (Pacific Tier) : Monthly Services")</f>
        <v>BookKing (Pacific Tier) : Monthly Services</v>
      </c>
      <c r="B1567" s="223" t="str">
        <f>IFERROR(__xludf.DUMMYFUNCTION("""COMPUTED_VALUE"""),"BookKing (Pacific Tier)")</f>
        <v>BookKing (Pacific Tier)</v>
      </c>
      <c r="C1567" s="223" t="str">
        <f>IFERROR(__xludf.DUMMYFUNCTION("""COMPUTED_VALUE"""),"Monthly Services")</f>
        <v>Monthly Services</v>
      </c>
      <c r="D1567" s="316">
        <f>IFERROR(__xludf.DUMMYFUNCTION("""COMPUTED_VALUE"""),44681.0)</f>
        <v>44681</v>
      </c>
      <c r="E1567" s="298"/>
      <c r="F1567" s="298"/>
      <c r="G1567" s="298"/>
      <c r="H1567" s="223"/>
      <c r="I1567" s="298">
        <f>IFERROR(__xludf.DUMMYFUNCTION("""COMPUTED_VALUE"""),75.0)</f>
        <v>75</v>
      </c>
      <c r="J1567" s="223" t="str">
        <f>IFERROR(__xludf.DUMMYFUNCTION("""COMPUTED_VALUE"""),"Monthly")</f>
        <v>Monthly</v>
      </c>
      <c r="K1567" s="317">
        <f>IFERROR(__xludf.DUMMYFUNCTION("""COMPUTED_VALUE"""),2022.04)</f>
        <v>2022.04</v>
      </c>
      <c r="L1567" s="298"/>
      <c r="M1567" s="223"/>
      <c r="N1567" s="223"/>
      <c r="O1567" s="223"/>
      <c r="P1567" s="223"/>
      <c r="Q1567" s="223"/>
      <c r="R1567" s="223"/>
      <c r="S1567" s="223"/>
      <c r="T1567" s="223"/>
      <c r="U1567" s="223"/>
      <c r="V1567" s="223"/>
      <c r="W1567" s="223"/>
      <c r="X1567" s="223"/>
      <c r="Y1567" s="223"/>
      <c r="Z1567" s="223"/>
    </row>
    <row r="1568">
      <c r="A1568" s="223" t="str">
        <f>IFERROR(__xludf.DUMMYFUNCTION("""COMPUTED_VALUE"""),"Spraggs : Monthly Services")</f>
        <v>Spraggs : Monthly Services</v>
      </c>
      <c r="B1568" s="223" t="str">
        <f>IFERROR(__xludf.DUMMYFUNCTION("""COMPUTED_VALUE"""),"Spraggs")</f>
        <v>Spraggs</v>
      </c>
      <c r="C1568" s="223" t="str">
        <f>IFERROR(__xludf.DUMMYFUNCTION("""COMPUTED_VALUE"""),"Monthly Services")</f>
        <v>Monthly Services</v>
      </c>
      <c r="D1568" s="316">
        <f>IFERROR(__xludf.DUMMYFUNCTION("""COMPUTED_VALUE"""),44681.0)</f>
        <v>44681</v>
      </c>
      <c r="E1568" s="298"/>
      <c r="F1568" s="298"/>
      <c r="G1568" s="298"/>
      <c r="H1568" s="223"/>
      <c r="I1568" s="298">
        <f>IFERROR(__xludf.DUMMYFUNCTION("""COMPUTED_VALUE"""),575.0)</f>
        <v>575</v>
      </c>
      <c r="J1568" s="223" t="str">
        <f>IFERROR(__xludf.DUMMYFUNCTION("""COMPUTED_VALUE"""),"Monthly")</f>
        <v>Monthly</v>
      </c>
      <c r="K1568" s="317">
        <f>IFERROR(__xludf.DUMMYFUNCTION("""COMPUTED_VALUE"""),2022.04)</f>
        <v>2022.04</v>
      </c>
      <c r="L1568" s="298"/>
      <c r="M1568" s="223"/>
      <c r="N1568" s="223"/>
      <c r="O1568" s="223"/>
      <c r="P1568" s="223"/>
      <c r="Q1568" s="223"/>
      <c r="R1568" s="223"/>
      <c r="S1568" s="223"/>
      <c r="T1568" s="223"/>
      <c r="U1568" s="223"/>
      <c r="V1568" s="223"/>
      <c r="W1568" s="223"/>
      <c r="X1568" s="223"/>
      <c r="Y1568" s="223"/>
      <c r="Z1568" s="223"/>
    </row>
    <row r="1569">
      <c r="A1569" s="223" t="str">
        <f>IFERROR(__xludf.DUMMYFUNCTION("""COMPUTED_VALUE"""),"MortgagePal : Monthly Services")</f>
        <v>MortgagePal : Monthly Services</v>
      </c>
      <c r="B1569" s="223" t="str">
        <f>IFERROR(__xludf.DUMMYFUNCTION("""COMPUTED_VALUE"""),"MortgagePal")</f>
        <v>MortgagePal</v>
      </c>
      <c r="C1569" s="223" t="str">
        <f>IFERROR(__xludf.DUMMYFUNCTION("""COMPUTED_VALUE"""),"Monthly Services")</f>
        <v>Monthly Services</v>
      </c>
      <c r="D1569" s="316">
        <f>IFERROR(__xludf.DUMMYFUNCTION("""COMPUTED_VALUE"""),44681.0)</f>
        <v>44681</v>
      </c>
      <c r="E1569" s="298"/>
      <c r="F1569" s="298"/>
      <c r="G1569" s="298"/>
      <c r="H1569" s="223"/>
      <c r="I1569" s="298">
        <f>IFERROR(__xludf.DUMMYFUNCTION("""COMPUTED_VALUE"""),45.0)</f>
        <v>45</v>
      </c>
      <c r="J1569" s="223" t="str">
        <f>IFERROR(__xludf.DUMMYFUNCTION("""COMPUTED_VALUE"""),"Monthly")</f>
        <v>Monthly</v>
      </c>
      <c r="K1569" s="317">
        <f>IFERROR(__xludf.DUMMYFUNCTION("""COMPUTED_VALUE"""),2022.04)</f>
        <v>2022.04</v>
      </c>
      <c r="L1569" s="298"/>
      <c r="M1569" s="223"/>
      <c r="N1569" s="223"/>
      <c r="O1569" s="223"/>
      <c r="P1569" s="223"/>
      <c r="Q1569" s="223"/>
      <c r="R1569" s="223"/>
      <c r="S1569" s="223"/>
      <c r="T1569" s="223"/>
      <c r="U1569" s="223"/>
      <c r="V1569" s="223"/>
      <c r="W1569" s="223"/>
      <c r="X1569" s="223"/>
      <c r="Y1569" s="223"/>
      <c r="Z1569" s="223"/>
    </row>
    <row r="1570">
      <c r="A1570" s="223" t="str">
        <f>IFERROR(__xludf.DUMMYFUNCTION("""COMPUTED_VALUE"""),"Olivia Shoppe : Monthly Services")</f>
        <v>Olivia Shoppe : Monthly Services</v>
      </c>
      <c r="B1570" s="223" t="str">
        <f>IFERROR(__xludf.DUMMYFUNCTION("""COMPUTED_VALUE"""),"Olivia Shoppe")</f>
        <v>Olivia Shoppe</v>
      </c>
      <c r="C1570" s="223" t="str">
        <f>IFERROR(__xludf.DUMMYFUNCTION("""COMPUTED_VALUE"""),"Monthly Services")</f>
        <v>Monthly Services</v>
      </c>
      <c r="D1570" s="316">
        <f>IFERROR(__xludf.DUMMYFUNCTION("""COMPUTED_VALUE"""),44681.0)</f>
        <v>44681</v>
      </c>
      <c r="E1570" s="298"/>
      <c r="F1570" s="298"/>
      <c r="G1570" s="298"/>
      <c r="H1570" s="223"/>
      <c r="I1570" s="298">
        <f>IFERROR(__xludf.DUMMYFUNCTION("""COMPUTED_VALUE"""),310.0)</f>
        <v>310</v>
      </c>
      <c r="J1570" s="223" t="str">
        <f>IFERROR(__xludf.DUMMYFUNCTION("""COMPUTED_VALUE"""),"Monthly")</f>
        <v>Monthly</v>
      </c>
      <c r="K1570" s="317">
        <f>IFERROR(__xludf.DUMMYFUNCTION("""COMPUTED_VALUE"""),2022.04)</f>
        <v>2022.04</v>
      </c>
      <c r="L1570" s="298"/>
      <c r="M1570" s="223"/>
      <c r="N1570" s="223"/>
      <c r="O1570" s="223"/>
      <c r="P1570" s="223"/>
      <c r="Q1570" s="223"/>
      <c r="R1570" s="223"/>
      <c r="S1570" s="223"/>
      <c r="T1570" s="223"/>
      <c r="U1570" s="223"/>
      <c r="V1570" s="223"/>
      <c r="W1570" s="223"/>
      <c r="X1570" s="223"/>
      <c r="Y1570" s="223"/>
      <c r="Z1570" s="223"/>
    </row>
    <row r="1571">
      <c r="A1571" s="223" t="str">
        <f>IFERROR(__xludf.DUMMYFUNCTION("""COMPUTED_VALUE"""),"Tires Easy : Monthly Services for Tires-Easy.com")</f>
        <v>Tires Easy : Monthly Services for Tires-Easy.com</v>
      </c>
      <c r="B1571" s="223" t="str">
        <f>IFERROR(__xludf.DUMMYFUNCTION("""COMPUTED_VALUE"""),"Tires Easy")</f>
        <v>Tires Easy</v>
      </c>
      <c r="C1571" s="223" t="str">
        <f>IFERROR(__xludf.DUMMYFUNCTION("""COMPUTED_VALUE"""),"Monthly Services for Tires-Easy.com")</f>
        <v>Monthly Services for Tires-Easy.com</v>
      </c>
      <c r="D1571" s="316">
        <f>IFERROR(__xludf.DUMMYFUNCTION("""COMPUTED_VALUE"""),44681.0)</f>
        <v>44681</v>
      </c>
      <c r="E1571" s="298"/>
      <c r="F1571" s="298"/>
      <c r="G1571" s="298"/>
      <c r="H1571" s="223"/>
      <c r="I1571" s="298">
        <f>IFERROR(__xludf.DUMMYFUNCTION("""COMPUTED_VALUE"""),230.0)</f>
        <v>230</v>
      </c>
      <c r="J1571" s="223" t="str">
        <f>IFERROR(__xludf.DUMMYFUNCTION("""COMPUTED_VALUE"""),"Monthly")</f>
        <v>Monthly</v>
      </c>
      <c r="K1571" s="317">
        <f>IFERROR(__xludf.DUMMYFUNCTION("""COMPUTED_VALUE"""),2022.04)</f>
        <v>2022.04</v>
      </c>
      <c r="L1571" s="298"/>
      <c r="M1571" s="223"/>
      <c r="N1571" s="223"/>
      <c r="O1571" s="223"/>
      <c r="P1571" s="223"/>
      <c r="Q1571" s="223"/>
      <c r="R1571" s="223"/>
      <c r="S1571" s="223"/>
      <c r="T1571" s="223"/>
      <c r="U1571" s="223"/>
      <c r="V1571" s="223"/>
      <c r="W1571" s="223"/>
      <c r="X1571" s="223"/>
      <c r="Y1571" s="223"/>
      <c r="Z1571" s="223"/>
    </row>
    <row r="1572">
      <c r="A1572" s="223" t="str">
        <f>IFERROR(__xludf.DUMMYFUNCTION("""COMPUTED_VALUE"""),"Giga Tires : Monthly Services")</f>
        <v>Giga Tires : Monthly Services</v>
      </c>
      <c r="B1572" s="223" t="str">
        <f>IFERROR(__xludf.DUMMYFUNCTION("""COMPUTED_VALUE"""),"Giga Tires")</f>
        <v>Giga Tires</v>
      </c>
      <c r="C1572" s="223" t="str">
        <f>IFERROR(__xludf.DUMMYFUNCTION("""COMPUTED_VALUE"""),"Monthly Services")</f>
        <v>Monthly Services</v>
      </c>
      <c r="D1572" s="316">
        <f>IFERROR(__xludf.DUMMYFUNCTION("""COMPUTED_VALUE"""),44681.0)</f>
        <v>44681</v>
      </c>
      <c r="E1572" s="298"/>
      <c r="F1572" s="298"/>
      <c r="G1572" s="298"/>
      <c r="H1572" s="223"/>
      <c r="I1572" s="298">
        <f>IFERROR(__xludf.DUMMYFUNCTION("""COMPUTED_VALUE"""),280.0)</f>
        <v>280</v>
      </c>
      <c r="J1572" s="223" t="str">
        <f>IFERROR(__xludf.DUMMYFUNCTION("""COMPUTED_VALUE"""),"Monthly")</f>
        <v>Monthly</v>
      </c>
      <c r="K1572" s="317">
        <f>IFERROR(__xludf.DUMMYFUNCTION("""COMPUTED_VALUE"""),2022.04)</f>
        <v>2022.04</v>
      </c>
      <c r="L1572" s="298"/>
      <c r="M1572" s="223"/>
      <c r="N1572" s="223"/>
      <c r="O1572" s="223"/>
      <c r="P1572" s="223"/>
      <c r="Q1572" s="223"/>
      <c r="R1572" s="223"/>
      <c r="S1572" s="223"/>
      <c r="T1572" s="223"/>
      <c r="U1572" s="223"/>
      <c r="V1572" s="223"/>
      <c r="W1572" s="223"/>
      <c r="X1572" s="223"/>
      <c r="Y1572" s="223"/>
      <c r="Z1572" s="223"/>
    </row>
    <row r="1573">
      <c r="A1573" s="223" t="str">
        <f>IFERROR(__xludf.DUMMYFUNCTION("""COMPUTED_VALUE"""),"Service First : Monthly Services")</f>
        <v>Service First : Monthly Services</v>
      </c>
      <c r="B1573" s="223" t="str">
        <f>IFERROR(__xludf.DUMMYFUNCTION("""COMPUTED_VALUE"""),"Service First")</f>
        <v>Service First</v>
      </c>
      <c r="C1573" s="223" t="str">
        <f>IFERROR(__xludf.DUMMYFUNCTION("""COMPUTED_VALUE"""),"Monthly Services")</f>
        <v>Monthly Services</v>
      </c>
      <c r="D1573" s="316">
        <f>IFERROR(__xludf.DUMMYFUNCTION("""COMPUTED_VALUE"""),44681.0)</f>
        <v>44681</v>
      </c>
      <c r="E1573" s="298"/>
      <c r="F1573" s="298"/>
      <c r="G1573" s="298"/>
      <c r="H1573" s="223"/>
      <c r="I1573" s="298">
        <f>IFERROR(__xludf.DUMMYFUNCTION("""COMPUTED_VALUE"""),30.0)</f>
        <v>30</v>
      </c>
      <c r="J1573" s="223" t="str">
        <f>IFERROR(__xludf.DUMMYFUNCTION("""COMPUTED_VALUE"""),"Monthly")</f>
        <v>Monthly</v>
      </c>
      <c r="K1573" s="317">
        <f>IFERROR(__xludf.DUMMYFUNCTION("""COMPUTED_VALUE"""),2022.04)</f>
        <v>2022.04</v>
      </c>
      <c r="L1573" s="298"/>
      <c r="M1573" s="223"/>
      <c r="N1573" s="223"/>
      <c r="O1573" s="223"/>
      <c r="P1573" s="223"/>
      <c r="Q1573" s="223"/>
      <c r="R1573" s="223"/>
      <c r="S1573" s="223"/>
      <c r="T1573" s="223"/>
      <c r="U1573" s="223"/>
      <c r="V1573" s="223"/>
      <c r="W1573" s="223"/>
      <c r="X1573" s="223"/>
      <c r="Y1573" s="223"/>
      <c r="Z1573" s="223"/>
    </row>
    <row r="1574">
      <c r="A1574" s="223" t="str">
        <f>IFERROR(__xludf.DUMMYFUNCTION("""COMPUTED_VALUE"""),"HSJ Lawyers : Monthly Services")</f>
        <v>HSJ Lawyers : Monthly Services</v>
      </c>
      <c r="B1574" s="223" t="str">
        <f>IFERROR(__xludf.DUMMYFUNCTION("""COMPUTED_VALUE"""),"HSJ Lawyers")</f>
        <v>HSJ Lawyers</v>
      </c>
      <c r="C1574" s="223" t="str">
        <f>IFERROR(__xludf.DUMMYFUNCTION("""COMPUTED_VALUE"""),"Monthly Services")</f>
        <v>Monthly Services</v>
      </c>
      <c r="D1574" s="316">
        <f>IFERROR(__xludf.DUMMYFUNCTION("""COMPUTED_VALUE"""),44681.0)</f>
        <v>44681</v>
      </c>
      <c r="E1574" s="298"/>
      <c r="F1574" s="298"/>
      <c r="G1574" s="298"/>
      <c r="H1574" s="223"/>
      <c r="I1574" s="298">
        <f>IFERROR(__xludf.DUMMYFUNCTION("""COMPUTED_VALUE"""),75.0)</f>
        <v>75</v>
      </c>
      <c r="J1574" s="223" t="str">
        <f>IFERROR(__xludf.DUMMYFUNCTION("""COMPUTED_VALUE"""),"Monthly")</f>
        <v>Monthly</v>
      </c>
      <c r="K1574" s="317">
        <f>IFERROR(__xludf.DUMMYFUNCTION("""COMPUTED_VALUE"""),2022.04)</f>
        <v>2022.04</v>
      </c>
      <c r="L1574" s="298"/>
      <c r="M1574" s="223"/>
      <c r="N1574" s="223"/>
      <c r="O1574" s="223"/>
      <c r="P1574" s="223"/>
      <c r="Q1574" s="223"/>
      <c r="R1574" s="223"/>
      <c r="S1574" s="223"/>
      <c r="T1574" s="223"/>
      <c r="U1574" s="223"/>
      <c r="V1574" s="223"/>
      <c r="W1574" s="223"/>
      <c r="X1574" s="223"/>
      <c r="Y1574" s="223"/>
      <c r="Z1574" s="223"/>
    </row>
    <row r="1575">
      <c r="A1575" s="223" t="str">
        <f>IFERROR(__xludf.DUMMYFUNCTION("""COMPUTED_VALUE"""),"Booginhead : Monthly Services")</f>
        <v>Booginhead : Monthly Services</v>
      </c>
      <c r="B1575" s="223" t="str">
        <f>IFERROR(__xludf.DUMMYFUNCTION("""COMPUTED_VALUE"""),"Booginhead")</f>
        <v>Booginhead</v>
      </c>
      <c r="C1575" s="223" t="str">
        <f>IFERROR(__xludf.DUMMYFUNCTION("""COMPUTED_VALUE"""),"Monthly Services")</f>
        <v>Monthly Services</v>
      </c>
      <c r="D1575" s="316">
        <f>IFERROR(__xludf.DUMMYFUNCTION("""COMPUTED_VALUE"""),44681.0)</f>
        <v>44681</v>
      </c>
      <c r="E1575" s="298"/>
      <c r="F1575" s="298"/>
      <c r="G1575" s="298"/>
      <c r="H1575" s="223"/>
      <c r="I1575" s="298">
        <f>IFERROR(__xludf.DUMMYFUNCTION("""COMPUTED_VALUE"""),457.5)</f>
        <v>457.5</v>
      </c>
      <c r="J1575" s="223" t="str">
        <f>IFERROR(__xludf.DUMMYFUNCTION("""COMPUTED_VALUE"""),"Monthly")</f>
        <v>Monthly</v>
      </c>
      <c r="K1575" s="317">
        <f>IFERROR(__xludf.DUMMYFUNCTION("""COMPUTED_VALUE"""),2022.04)</f>
        <v>2022.04</v>
      </c>
      <c r="L1575" s="298"/>
      <c r="M1575" s="223"/>
      <c r="N1575" s="223"/>
      <c r="O1575" s="223"/>
      <c r="P1575" s="223"/>
      <c r="Q1575" s="223"/>
      <c r="R1575" s="223"/>
      <c r="S1575" s="223"/>
      <c r="T1575" s="223"/>
      <c r="U1575" s="223"/>
      <c r="V1575" s="223"/>
      <c r="W1575" s="223"/>
      <c r="X1575" s="223"/>
      <c r="Y1575" s="223"/>
      <c r="Z1575" s="223"/>
    </row>
    <row r="1576">
      <c r="A1576" s="223" t="str">
        <f>IFERROR(__xludf.DUMMYFUNCTION("""COMPUTED_VALUE"""),"Arazy Group : Monthly Services")</f>
        <v>Arazy Group : Monthly Services</v>
      </c>
      <c r="B1576" s="223" t="str">
        <f>IFERROR(__xludf.DUMMYFUNCTION("""COMPUTED_VALUE"""),"Arazy Group")</f>
        <v>Arazy Group</v>
      </c>
      <c r="C1576" s="223" t="str">
        <f>IFERROR(__xludf.DUMMYFUNCTION("""COMPUTED_VALUE"""),"Monthly Services")</f>
        <v>Monthly Services</v>
      </c>
      <c r="D1576" s="316">
        <f>IFERROR(__xludf.DUMMYFUNCTION("""COMPUTED_VALUE"""),44681.0)</f>
        <v>44681</v>
      </c>
      <c r="E1576" s="298"/>
      <c r="F1576" s="298"/>
      <c r="G1576" s="298"/>
      <c r="H1576" s="223"/>
      <c r="I1576" s="298">
        <f>IFERROR(__xludf.DUMMYFUNCTION("""COMPUTED_VALUE"""),297.5)</f>
        <v>297.5</v>
      </c>
      <c r="J1576" s="223" t="str">
        <f>IFERROR(__xludf.DUMMYFUNCTION("""COMPUTED_VALUE"""),"Monthly")</f>
        <v>Monthly</v>
      </c>
      <c r="K1576" s="317">
        <f>IFERROR(__xludf.DUMMYFUNCTION("""COMPUTED_VALUE"""),2022.04)</f>
        <v>2022.04</v>
      </c>
      <c r="L1576" s="298"/>
      <c r="M1576" s="223"/>
      <c r="N1576" s="223"/>
      <c r="O1576" s="223"/>
      <c r="P1576" s="223"/>
      <c r="Q1576" s="223"/>
      <c r="R1576" s="223"/>
      <c r="S1576" s="223"/>
      <c r="T1576" s="223"/>
      <c r="U1576" s="223"/>
      <c r="V1576" s="223"/>
      <c r="W1576" s="223"/>
      <c r="X1576" s="223"/>
      <c r="Y1576" s="223"/>
      <c r="Z1576" s="223"/>
    </row>
    <row r="1577">
      <c r="A1577" s="223" t="str">
        <f>IFERROR(__xludf.DUMMYFUNCTION("""COMPUTED_VALUE"""),"Hastings House : Monthly Services")</f>
        <v>Hastings House : Monthly Services</v>
      </c>
      <c r="B1577" s="223" t="str">
        <f>IFERROR(__xludf.DUMMYFUNCTION("""COMPUTED_VALUE"""),"Hastings House")</f>
        <v>Hastings House</v>
      </c>
      <c r="C1577" s="223" t="str">
        <f>IFERROR(__xludf.DUMMYFUNCTION("""COMPUTED_VALUE"""),"Monthly Services")</f>
        <v>Monthly Services</v>
      </c>
      <c r="D1577" s="316">
        <f>IFERROR(__xludf.DUMMYFUNCTION("""COMPUTED_VALUE"""),44681.0)</f>
        <v>44681</v>
      </c>
      <c r="E1577" s="298"/>
      <c r="F1577" s="298"/>
      <c r="G1577" s="298"/>
      <c r="H1577" s="223"/>
      <c r="I1577" s="298">
        <f>IFERROR(__xludf.DUMMYFUNCTION("""COMPUTED_VALUE"""),347.5)</f>
        <v>347.5</v>
      </c>
      <c r="J1577" s="223" t="str">
        <f>IFERROR(__xludf.DUMMYFUNCTION("""COMPUTED_VALUE"""),"Monthly")</f>
        <v>Monthly</v>
      </c>
      <c r="K1577" s="317">
        <f>IFERROR(__xludf.DUMMYFUNCTION("""COMPUTED_VALUE"""),2022.04)</f>
        <v>2022.04</v>
      </c>
      <c r="L1577" s="298"/>
      <c r="M1577" s="223"/>
      <c r="N1577" s="223"/>
      <c r="O1577" s="223"/>
      <c r="P1577" s="223"/>
      <c r="Q1577" s="223"/>
      <c r="R1577" s="223"/>
      <c r="S1577" s="223"/>
      <c r="T1577" s="223"/>
      <c r="U1577" s="223"/>
      <c r="V1577" s="223"/>
      <c r="W1577" s="223"/>
      <c r="X1577" s="223"/>
      <c r="Y1577" s="223"/>
      <c r="Z1577" s="223"/>
    </row>
    <row r="1578">
      <c r="A1578" s="223" t="str">
        <f>IFERROR(__xludf.DUMMYFUNCTION("""COMPUTED_VALUE"""),"Bratopia : Monthly Services")</f>
        <v>Bratopia : Monthly Services</v>
      </c>
      <c r="B1578" s="223" t="str">
        <f>IFERROR(__xludf.DUMMYFUNCTION("""COMPUTED_VALUE"""),"Bratopia")</f>
        <v>Bratopia</v>
      </c>
      <c r="C1578" s="223" t="str">
        <f>IFERROR(__xludf.DUMMYFUNCTION("""COMPUTED_VALUE"""),"Monthly Services")</f>
        <v>Monthly Services</v>
      </c>
      <c r="D1578" s="316">
        <f>IFERROR(__xludf.DUMMYFUNCTION("""COMPUTED_VALUE"""),44681.0)</f>
        <v>44681</v>
      </c>
      <c r="E1578" s="298"/>
      <c r="F1578" s="298"/>
      <c r="G1578" s="298"/>
      <c r="H1578" s="223"/>
      <c r="I1578" s="298">
        <f>IFERROR(__xludf.DUMMYFUNCTION("""COMPUTED_VALUE"""),400.0)</f>
        <v>400</v>
      </c>
      <c r="J1578" s="223" t="str">
        <f>IFERROR(__xludf.DUMMYFUNCTION("""COMPUTED_VALUE"""),"Monthly")</f>
        <v>Monthly</v>
      </c>
      <c r="K1578" s="317">
        <f>IFERROR(__xludf.DUMMYFUNCTION("""COMPUTED_VALUE"""),2022.04)</f>
        <v>2022.04</v>
      </c>
      <c r="L1578" s="298"/>
      <c r="M1578" s="223"/>
      <c r="N1578" s="223"/>
      <c r="O1578" s="223"/>
      <c r="P1578" s="223"/>
      <c r="Q1578" s="223"/>
      <c r="R1578" s="223"/>
      <c r="S1578" s="223"/>
      <c r="T1578" s="223"/>
      <c r="U1578" s="223"/>
      <c r="V1578" s="223"/>
      <c r="W1578" s="223"/>
      <c r="X1578" s="223"/>
      <c r="Y1578" s="223"/>
      <c r="Z1578" s="223"/>
    </row>
    <row r="1579">
      <c r="A1579" s="223" t="str">
        <f>IFERROR(__xludf.DUMMYFUNCTION("""COMPUTED_VALUE"""),"TisBest : Monthly Services")</f>
        <v>TisBest : Monthly Services</v>
      </c>
      <c r="B1579" s="223" t="str">
        <f>IFERROR(__xludf.DUMMYFUNCTION("""COMPUTED_VALUE"""),"TisBest")</f>
        <v>TisBest</v>
      </c>
      <c r="C1579" s="223" t="str">
        <f>IFERROR(__xludf.DUMMYFUNCTION("""COMPUTED_VALUE"""),"Monthly Services")</f>
        <v>Monthly Services</v>
      </c>
      <c r="D1579" s="316">
        <f>IFERROR(__xludf.DUMMYFUNCTION("""COMPUTED_VALUE"""),44681.0)</f>
        <v>44681</v>
      </c>
      <c r="E1579" s="298"/>
      <c r="F1579" s="298"/>
      <c r="G1579" s="298"/>
      <c r="H1579" s="223"/>
      <c r="I1579" s="298">
        <f>IFERROR(__xludf.DUMMYFUNCTION("""COMPUTED_VALUE"""),300.0)</f>
        <v>300</v>
      </c>
      <c r="J1579" s="223" t="str">
        <f>IFERROR(__xludf.DUMMYFUNCTION("""COMPUTED_VALUE"""),"Monthly")</f>
        <v>Monthly</v>
      </c>
      <c r="K1579" s="317">
        <f>IFERROR(__xludf.DUMMYFUNCTION("""COMPUTED_VALUE"""),2022.04)</f>
        <v>2022.04</v>
      </c>
      <c r="L1579" s="298"/>
      <c r="M1579" s="223"/>
      <c r="N1579" s="223"/>
      <c r="O1579" s="223"/>
      <c r="P1579" s="223"/>
      <c r="Q1579" s="223"/>
      <c r="R1579" s="223"/>
      <c r="S1579" s="223"/>
      <c r="T1579" s="223"/>
      <c r="U1579" s="223"/>
      <c r="V1579" s="223"/>
      <c r="W1579" s="223"/>
      <c r="X1579" s="223"/>
      <c r="Y1579" s="223"/>
      <c r="Z1579" s="223"/>
    </row>
    <row r="1580">
      <c r="A1580" s="223" t="str">
        <f>IFERROR(__xludf.DUMMYFUNCTION("""COMPUTED_VALUE"""),"Wallack's Art Supplies : Monthly Services")</f>
        <v>Wallack's Art Supplies : Monthly Services</v>
      </c>
      <c r="B1580" s="223" t="str">
        <f>IFERROR(__xludf.DUMMYFUNCTION("""COMPUTED_VALUE"""),"Wallack's Art Supplies")</f>
        <v>Wallack's Art Supplies</v>
      </c>
      <c r="C1580" s="223" t="str">
        <f>IFERROR(__xludf.DUMMYFUNCTION("""COMPUTED_VALUE"""),"Monthly Services")</f>
        <v>Monthly Services</v>
      </c>
      <c r="D1580" s="316">
        <f>IFERROR(__xludf.DUMMYFUNCTION("""COMPUTED_VALUE"""),44681.0)</f>
        <v>44681</v>
      </c>
      <c r="E1580" s="298"/>
      <c r="F1580" s="298"/>
      <c r="G1580" s="298"/>
      <c r="H1580" s="223"/>
      <c r="I1580" s="298">
        <f>IFERROR(__xludf.DUMMYFUNCTION("""COMPUTED_VALUE"""),60.0)</f>
        <v>60</v>
      </c>
      <c r="J1580" s="223" t="str">
        <f>IFERROR(__xludf.DUMMYFUNCTION("""COMPUTED_VALUE"""),"Monthly")</f>
        <v>Monthly</v>
      </c>
      <c r="K1580" s="317">
        <f>IFERROR(__xludf.DUMMYFUNCTION("""COMPUTED_VALUE"""),2022.04)</f>
        <v>2022.04</v>
      </c>
      <c r="L1580" s="298"/>
      <c r="M1580" s="223"/>
      <c r="N1580" s="223"/>
      <c r="O1580" s="223"/>
      <c r="P1580" s="223"/>
      <c r="Q1580" s="223"/>
      <c r="R1580" s="223"/>
      <c r="S1580" s="223"/>
      <c r="T1580" s="223"/>
      <c r="U1580" s="223"/>
      <c r="V1580" s="223"/>
      <c r="W1580" s="223"/>
      <c r="X1580" s="223"/>
      <c r="Y1580" s="223"/>
      <c r="Z1580" s="223"/>
    </row>
    <row r="1581">
      <c r="A1581" s="223" t="str">
        <f>IFERROR(__xludf.DUMMYFUNCTION("""COMPUTED_VALUE"""),"PMDI : Monthly Services")</f>
        <v>PMDI : Monthly Services</v>
      </c>
      <c r="B1581" s="223" t="str">
        <f>IFERROR(__xludf.DUMMYFUNCTION("""COMPUTED_VALUE"""),"PMDI")</f>
        <v>PMDI</v>
      </c>
      <c r="C1581" s="223" t="str">
        <f>IFERROR(__xludf.DUMMYFUNCTION("""COMPUTED_VALUE"""),"Monthly Services")</f>
        <v>Monthly Services</v>
      </c>
      <c r="D1581" s="316">
        <f>IFERROR(__xludf.DUMMYFUNCTION("""COMPUTED_VALUE"""),44681.0)</f>
        <v>44681</v>
      </c>
      <c r="E1581" s="298"/>
      <c r="F1581" s="298"/>
      <c r="G1581" s="298"/>
      <c r="H1581" s="223"/>
      <c r="I1581" s="298">
        <f>IFERROR(__xludf.DUMMYFUNCTION("""COMPUTED_VALUE"""),30.0)</f>
        <v>30</v>
      </c>
      <c r="J1581" s="223" t="str">
        <f>IFERROR(__xludf.DUMMYFUNCTION("""COMPUTED_VALUE"""),"Monthly")</f>
        <v>Monthly</v>
      </c>
      <c r="K1581" s="317">
        <f>IFERROR(__xludf.DUMMYFUNCTION("""COMPUTED_VALUE"""),2022.04)</f>
        <v>2022.04</v>
      </c>
      <c r="L1581" s="298"/>
      <c r="M1581" s="223"/>
      <c r="N1581" s="223"/>
      <c r="O1581" s="223"/>
      <c r="P1581" s="223"/>
      <c r="Q1581" s="223"/>
      <c r="R1581" s="223"/>
      <c r="S1581" s="223"/>
      <c r="T1581" s="223"/>
      <c r="U1581" s="223"/>
      <c r="V1581" s="223"/>
      <c r="W1581" s="223"/>
      <c r="X1581" s="223"/>
      <c r="Y1581" s="223"/>
      <c r="Z1581" s="223"/>
    </row>
    <row r="1582">
      <c r="A1582" s="223" t="str">
        <f>IFERROR(__xludf.DUMMYFUNCTION("""COMPUTED_VALUE"""),"Tofino Resort + Marina : Monthly Services")</f>
        <v>Tofino Resort + Marina : Monthly Services</v>
      </c>
      <c r="B1582" s="223" t="str">
        <f>IFERROR(__xludf.DUMMYFUNCTION("""COMPUTED_VALUE"""),"Tofino Resort + Marina")</f>
        <v>Tofino Resort + Marina</v>
      </c>
      <c r="C1582" s="223" t="str">
        <f>IFERROR(__xludf.DUMMYFUNCTION("""COMPUTED_VALUE"""),"Monthly Services")</f>
        <v>Monthly Services</v>
      </c>
      <c r="D1582" s="316">
        <f>IFERROR(__xludf.DUMMYFUNCTION("""COMPUTED_VALUE"""),44681.0)</f>
        <v>44681</v>
      </c>
      <c r="E1582" s="298"/>
      <c r="F1582" s="298"/>
      <c r="G1582" s="298"/>
      <c r="H1582" s="223"/>
      <c r="I1582" s="298">
        <f>IFERROR(__xludf.DUMMYFUNCTION("""COMPUTED_VALUE"""),300.0)</f>
        <v>300</v>
      </c>
      <c r="J1582" s="223" t="str">
        <f>IFERROR(__xludf.DUMMYFUNCTION("""COMPUTED_VALUE"""),"Monthly")</f>
        <v>Monthly</v>
      </c>
      <c r="K1582" s="317">
        <f>IFERROR(__xludf.DUMMYFUNCTION("""COMPUTED_VALUE"""),2022.04)</f>
        <v>2022.04</v>
      </c>
      <c r="L1582" s="298"/>
      <c r="M1582" s="223"/>
      <c r="N1582" s="223"/>
      <c r="O1582" s="223"/>
      <c r="P1582" s="223"/>
      <c r="Q1582" s="223"/>
      <c r="R1582" s="223"/>
      <c r="S1582" s="223"/>
      <c r="T1582" s="223"/>
      <c r="U1582" s="223"/>
      <c r="V1582" s="223"/>
      <c r="W1582" s="223"/>
      <c r="X1582" s="223"/>
      <c r="Y1582" s="223"/>
      <c r="Z1582" s="223"/>
    </row>
    <row r="1583">
      <c r="A1583" s="223" t="str">
        <f>IFERROR(__xludf.DUMMYFUNCTION("""COMPUTED_VALUE"""),"Anook Athletics : Monthly Services")</f>
        <v>Anook Athletics : Monthly Services</v>
      </c>
      <c r="B1583" s="223" t="str">
        <f>IFERROR(__xludf.DUMMYFUNCTION("""COMPUTED_VALUE"""),"Anook Athletics")</f>
        <v>Anook Athletics</v>
      </c>
      <c r="C1583" s="223" t="str">
        <f>IFERROR(__xludf.DUMMYFUNCTION("""COMPUTED_VALUE"""),"Monthly Services")</f>
        <v>Monthly Services</v>
      </c>
      <c r="D1583" s="316">
        <f>IFERROR(__xludf.DUMMYFUNCTION("""COMPUTED_VALUE"""),44681.0)</f>
        <v>44681</v>
      </c>
      <c r="E1583" s="298"/>
      <c r="F1583" s="298"/>
      <c r="G1583" s="298"/>
      <c r="H1583" s="223"/>
      <c r="I1583" s="298">
        <f>IFERROR(__xludf.DUMMYFUNCTION("""COMPUTED_VALUE"""),75.0)</f>
        <v>75</v>
      </c>
      <c r="J1583" s="223" t="str">
        <f>IFERROR(__xludf.DUMMYFUNCTION("""COMPUTED_VALUE"""),"Monthly")</f>
        <v>Monthly</v>
      </c>
      <c r="K1583" s="317">
        <f>IFERROR(__xludf.DUMMYFUNCTION("""COMPUTED_VALUE"""),2022.04)</f>
        <v>2022.04</v>
      </c>
      <c r="L1583" s="298"/>
      <c r="M1583" s="223"/>
      <c r="N1583" s="223"/>
      <c r="O1583" s="223"/>
      <c r="P1583" s="223"/>
      <c r="Q1583" s="223"/>
      <c r="R1583" s="223"/>
      <c r="S1583" s="223"/>
      <c r="T1583" s="223"/>
      <c r="U1583" s="223"/>
      <c r="V1583" s="223"/>
      <c r="W1583" s="223"/>
      <c r="X1583" s="223"/>
      <c r="Y1583" s="223"/>
      <c r="Z1583" s="223"/>
    </row>
    <row r="1584">
      <c r="A1584" s="223" t="str">
        <f>IFERROR(__xludf.DUMMYFUNCTION("""COMPUTED_VALUE"""),"New Growth Ecommerce Inc : Monthly Services")</f>
        <v>New Growth Ecommerce Inc : Monthly Services</v>
      </c>
      <c r="B1584" s="223" t="str">
        <f>IFERROR(__xludf.DUMMYFUNCTION("""COMPUTED_VALUE"""),"New Growth Ecommerce Inc")</f>
        <v>New Growth Ecommerce Inc</v>
      </c>
      <c r="C1584" s="223" t="str">
        <f>IFERROR(__xludf.DUMMYFUNCTION("""COMPUTED_VALUE"""),"Monthly Services")</f>
        <v>Monthly Services</v>
      </c>
      <c r="D1584" s="316">
        <f>IFERROR(__xludf.DUMMYFUNCTION("""COMPUTED_VALUE"""),44681.0)</f>
        <v>44681</v>
      </c>
      <c r="E1584" s="298"/>
      <c r="F1584" s="298"/>
      <c r="G1584" s="298"/>
      <c r="H1584" s="223"/>
      <c r="I1584" s="298">
        <f>IFERROR(__xludf.DUMMYFUNCTION("""COMPUTED_VALUE"""),1860.0)</f>
        <v>1860</v>
      </c>
      <c r="J1584" s="223" t="str">
        <f>IFERROR(__xludf.DUMMYFUNCTION("""COMPUTED_VALUE"""),"Monthly")</f>
        <v>Monthly</v>
      </c>
      <c r="K1584" s="317">
        <f>IFERROR(__xludf.DUMMYFUNCTION("""COMPUTED_VALUE"""),2022.04)</f>
        <v>2022.04</v>
      </c>
      <c r="L1584" s="298"/>
      <c r="M1584" s="223"/>
      <c r="N1584" s="223"/>
      <c r="O1584" s="223"/>
      <c r="P1584" s="223"/>
      <c r="Q1584" s="223"/>
      <c r="R1584" s="223"/>
      <c r="S1584" s="223"/>
      <c r="T1584" s="223"/>
      <c r="U1584" s="223"/>
      <c r="V1584" s="223"/>
      <c r="W1584" s="223"/>
      <c r="X1584" s="223"/>
      <c r="Y1584" s="223"/>
      <c r="Z1584" s="223"/>
    </row>
    <row r="1585">
      <c r="A1585" s="223" t="str">
        <f>IFERROR(__xludf.DUMMYFUNCTION("""COMPUTED_VALUE"""),"Argos Products : Monthly Services")</f>
        <v>Argos Products : Monthly Services</v>
      </c>
      <c r="B1585" s="223" t="str">
        <f>IFERROR(__xludf.DUMMYFUNCTION("""COMPUTED_VALUE"""),"Argos Products")</f>
        <v>Argos Products</v>
      </c>
      <c r="C1585" s="223" t="str">
        <f>IFERROR(__xludf.DUMMYFUNCTION("""COMPUTED_VALUE"""),"Monthly Services")</f>
        <v>Monthly Services</v>
      </c>
      <c r="D1585" s="316">
        <f>IFERROR(__xludf.DUMMYFUNCTION("""COMPUTED_VALUE"""),44681.0)</f>
        <v>44681</v>
      </c>
      <c r="E1585" s="298"/>
      <c r="F1585" s="298"/>
      <c r="G1585" s="298"/>
      <c r="H1585" s="223"/>
      <c r="I1585" s="298">
        <f>IFERROR(__xludf.DUMMYFUNCTION("""COMPUTED_VALUE"""),45.0)</f>
        <v>45</v>
      </c>
      <c r="J1585" s="223" t="str">
        <f>IFERROR(__xludf.DUMMYFUNCTION("""COMPUTED_VALUE"""),"Monthly")</f>
        <v>Monthly</v>
      </c>
      <c r="K1585" s="317">
        <f>IFERROR(__xludf.DUMMYFUNCTION("""COMPUTED_VALUE"""),2022.04)</f>
        <v>2022.04</v>
      </c>
      <c r="L1585" s="298"/>
      <c r="M1585" s="223"/>
      <c r="N1585" s="223"/>
      <c r="O1585" s="223"/>
      <c r="P1585" s="223"/>
      <c r="Q1585" s="223"/>
      <c r="R1585" s="223"/>
      <c r="S1585" s="223"/>
      <c r="T1585" s="223"/>
      <c r="U1585" s="223"/>
      <c r="V1585" s="223"/>
      <c r="W1585" s="223"/>
      <c r="X1585" s="223"/>
      <c r="Y1585" s="223"/>
      <c r="Z1585" s="223"/>
    </row>
    <row r="1586">
      <c r="A1586" s="223" t="str">
        <f>IFERROR(__xludf.DUMMYFUNCTION("""COMPUTED_VALUE"""),"C360 : Victory360")</f>
        <v>C360 : Victory360</v>
      </c>
      <c r="B1586" s="223" t="str">
        <f>IFERROR(__xludf.DUMMYFUNCTION("""COMPUTED_VALUE"""),"C360")</f>
        <v>C360</v>
      </c>
      <c r="C1586" s="223" t="str">
        <f>IFERROR(__xludf.DUMMYFUNCTION("""COMPUTED_VALUE"""),"Victory360")</f>
        <v>Victory360</v>
      </c>
      <c r="D1586" s="316">
        <f>IFERROR(__xludf.DUMMYFUNCTION("""COMPUTED_VALUE"""),44681.0)</f>
        <v>44681</v>
      </c>
      <c r="E1586" s="298"/>
      <c r="F1586" s="298"/>
      <c r="G1586" s="298"/>
      <c r="H1586" s="223"/>
      <c r="I1586" s="298">
        <f>IFERROR(__xludf.DUMMYFUNCTION("""COMPUTED_VALUE"""),350.0)</f>
        <v>350</v>
      </c>
      <c r="J1586" s="223" t="str">
        <f>IFERROR(__xludf.DUMMYFUNCTION("""COMPUTED_VALUE"""),"Monthly")</f>
        <v>Monthly</v>
      </c>
      <c r="K1586" s="317">
        <f>IFERROR(__xludf.DUMMYFUNCTION("""COMPUTED_VALUE"""),2022.04)</f>
        <v>2022.04</v>
      </c>
      <c r="L1586" s="298"/>
      <c r="M1586" s="223"/>
      <c r="N1586" s="223"/>
      <c r="O1586" s="223"/>
      <c r="P1586" s="223"/>
      <c r="Q1586" s="223"/>
      <c r="R1586" s="223"/>
      <c r="S1586" s="223"/>
      <c r="T1586" s="223"/>
      <c r="U1586" s="223"/>
      <c r="V1586" s="223"/>
      <c r="W1586" s="223"/>
      <c r="X1586" s="223"/>
      <c r="Y1586" s="223"/>
      <c r="Z1586" s="223"/>
    </row>
    <row r="1587">
      <c r="A1587" s="223" t="str">
        <f>IFERROR(__xludf.DUMMYFUNCTION("""COMPUTED_VALUE"""),"Viridian : Monthly Services")</f>
        <v>Viridian : Monthly Services</v>
      </c>
      <c r="B1587" s="223" t="str">
        <f>IFERROR(__xludf.DUMMYFUNCTION("""COMPUTED_VALUE"""),"Viridian")</f>
        <v>Viridian</v>
      </c>
      <c r="C1587" s="223" t="str">
        <f>IFERROR(__xludf.DUMMYFUNCTION("""COMPUTED_VALUE"""),"Monthly Services")</f>
        <v>Monthly Services</v>
      </c>
      <c r="D1587" s="316">
        <f>IFERROR(__xludf.DUMMYFUNCTION("""COMPUTED_VALUE"""),44681.0)</f>
        <v>44681</v>
      </c>
      <c r="E1587" s="298"/>
      <c r="F1587" s="298"/>
      <c r="G1587" s="298"/>
      <c r="H1587" s="223"/>
      <c r="I1587" s="298">
        <f>IFERROR(__xludf.DUMMYFUNCTION("""COMPUTED_VALUE"""),60.0)</f>
        <v>60</v>
      </c>
      <c r="J1587" s="223" t="str">
        <f>IFERROR(__xludf.DUMMYFUNCTION("""COMPUTED_VALUE"""),"Monthly")</f>
        <v>Monthly</v>
      </c>
      <c r="K1587" s="317">
        <f>IFERROR(__xludf.DUMMYFUNCTION("""COMPUTED_VALUE"""),2022.04)</f>
        <v>2022.04</v>
      </c>
      <c r="L1587" s="298"/>
      <c r="M1587" s="223"/>
      <c r="N1587" s="223"/>
      <c r="O1587" s="223"/>
      <c r="P1587" s="223"/>
      <c r="Q1587" s="223"/>
      <c r="R1587" s="223"/>
      <c r="S1587" s="223"/>
      <c r="T1587" s="223"/>
      <c r="U1587" s="223"/>
      <c r="V1587" s="223"/>
      <c r="W1587" s="223"/>
      <c r="X1587" s="223"/>
      <c r="Y1587" s="223"/>
      <c r="Z1587" s="223"/>
    </row>
    <row r="1588">
      <c r="A1588" s="223" t="str">
        <f>IFERROR(__xludf.DUMMYFUNCTION("""COMPUTED_VALUE"""),"Tugwell : 6 Month PPC")</f>
        <v>Tugwell : 6 Month PPC</v>
      </c>
      <c r="B1588" s="223" t="str">
        <f>IFERROR(__xludf.DUMMYFUNCTION("""COMPUTED_VALUE"""),"Tugwell")</f>
        <v>Tugwell</v>
      </c>
      <c r="C1588" s="223" t="str">
        <f>IFERROR(__xludf.DUMMYFUNCTION("""COMPUTED_VALUE"""),"6 Month PPC")</f>
        <v>6 Month PPC</v>
      </c>
      <c r="D1588" s="316">
        <f>IFERROR(__xludf.DUMMYFUNCTION("""COMPUTED_VALUE"""),44681.0)</f>
        <v>44681</v>
      </c>
      <c r="E1588" s="298"/>
      <c r="F1588" s="298"/>
      <c r="G1588" s="298"/>
      <c r="H1588" s="223"/>
      <c r="I1588" s="298">
        <f>IFERROR(__xludf.DUMMYFUNCTION("""COMPUTED_VALUE"""),105.0)</f>
        <v>105</v>
      </c>
      <c r="J1588" s="223" t="str">
        <f>IFERROR(__xludf.DUMMYFUNCTION("""COMPUTED_VALUE"""),"Fixed Project")</f>
        <v>Fixed Project</v>
      </c>
      <c r="K1588" s="317">
        <f>IFERROR(__xludf.DUMMYFUNCTION("""COMPUTED_VALUE"""),2022.0)</f>
        <v>2022</v>
      </c>
      <c r="L1588" s="298"/>
      <c r="M1588" s="223"/>
      <c r="N1588" s="223"/>
      <c r="O1588" s="223"/>
      <c r="P1588" s="223"/>
      <c r="Q1588" s="223"/>
      <c r="R1588" s="223"/>
      <c r="S1588" s="223"/>
      <c r="T1588" s="223"/>
      <c r="U1588" s="223"/>
      <c r="V1588" s="223"/>
      <c r="W1588" s="223"/>
      <c r="X1588" s="223"/>
      <c r="Y1588" s="223"/>
      <c r="Z1588" s="223"/>
    </row>
    <row r="1589">
      <c r="A1589" s="223" t="str">
        <f>IFERROR(__xludf.DUMMYFUNCTION("""COMPUTED_VALUE"""),"UnityWest Capital : Jericho Energy Ventures 6 month project")</f>
        <v>UnityWest Capital : Jericho Energy Ventures 6 month project</v>
      </c>
      <c r="B1589" s="223" t="str">
        <f>IFERROR(__xludf.DUMMYFUNCTION("""COMPUTED_VALUE"""),"UnityWest Capital")</f>
        <v>UnityWest Capital</v>
      </c>
      <c r="C1589" s="223" t="str">
        <f>IFERROR(__xludf.DUMMYFUNCTION("""COMPUTED_VALUE"""),"Jericho Energy Ventures 6 month project")</f>
        <v>Jericho Energy Ventures 6 month project</v>
      </c>
      <c r="D1589" s="316">
        <f>IFERROR(__xludf.DUMMYFUNCTION("""COMPUTED_VALUE"""),44681.0)</f>
        <v>44681</v>
      </c>
      <c r="E1589" s="298"/>
      <c r="F1589" s="298"/>
      <c r="G1589" s="298"/>
      <c r="H1589" s="223"/>
      <c r="I1589" s="298">
        <f>IFERROR(__xludf.DUMMYFUNCTION("""COMPUTED_VALUE"""),610.0)</f>
        <v>610</v>
      </c>
      <c r="J1589" s="223" t="str">
        <f>IFERROR(__xludf.DUMMYFUNCTION("""COMPUTED_VALUE"""),"Monthly")</f>
        <v>Monthly</v>
      </c>
      <c r="K1589" s="317">
        <f>IFERROR(__xludf.DUMMYFUNCTION("""COMPUTED_VALUE"""),2022.04)</f>
        <v>2022.04</v>
      </c>
      <c r="L1589" s="298"/>
      <c r="M1589" s="223"/>
      <c r="N1589" s="223"/>
      <c r="O1589" s="223"/>
      <c r="P1589" s="223"/>
      <c r="Q1589" s="223"/>
      <c r="R1589" s="223"/>
      <c r="S1589" s="223"/>
      <c r="T1589" s="223"/>
      <c r="U1589" s="223"/>
      <c r="V1589" s="223"/>
      <c r="W1589" s="223"/>
      <c r="X1589" s="223"/>
      <c r="Y1589" s="223"/>
      <c r="Z1589" s="223"/>
    </row>
    <row r="1590">
      <c r="A1590" s="223" t="str">
        <f>IFERROR(__xludf.DUMMYFUNCTION("""COMPUTED_VALUE"""),"Arazy Group : Other Projects")</f>
        <v>Arazy Group : Other Projects</v>
      </c>
      <c r="B1590" s="223" t="str">
        <f>IFERROR(__xludf.DUMMYFUNCTION("""COMPUTED_VALUE"""),"Arazy Group")</f>
        <v>Arazy Group</v>
      </c>
      <c r="C1590" s="223" t="str">
        <f>IFERROR(__xludf.DUMMYFUNCTION("""COMPUTED_VALUE"""),"Other Projects")</f>
        <v>Other Projects</v>
      </c>
      <c r="D1590" s="316">
        <f>IFERROR(__xludf.DUMMYFUNCTION("""COMPUTED_VALUE"""),44681.0)</f>
        <v>44681</v>
      </c>
      <c r="E1590" s="298"/>
      <c r="F1590" s="298"/>
      <c r="G1590" s="298"/>
      <c r="H1590" s="223"/>
      <c r="I1590" s="298">
        <f>IFERROR(__xludf.DUMMYFUNCTION("""COMPUTED_VALUE"""),55.80225939995643)</f>
        <v>55.8022594</v>
      </c>
      <c r="J1590" s="223" t="str">
        <f>IFERROR(__xludf.DUMMYFUNCTION("""COMPUTED_VALUE"""),"Fixed Project")</f>
        <v>Fixed Project</v>
      </c>
      <c r="K1590" s="317">
        <f>IFERROR(__xludf.DUMMYFUNCTION("""COMPUTED_VALUE"""),2022.0)</f>
        <v>2022</v>
      </c>
      <c r="L1590" s="298"/>
      <c r="M1590" s="223"/>
      <c r="N1590" s="223"/>
      <c r="O1590" s="223"/>
      <c r="P1590" s="223"/>
      <c r="Q1590" s="223"/>
      <c r="R1590" s="223"/>
      <c r="S1590" s="223"/>
      <c r="T1590" s="223"/>
      <c r="U1590" s="223"/>
      <c r="V1590" s="223"/>
      <c r="W1590" s="223"/>
      <c r="X1590" s="223"/>
      <c r="Y1590" s="223"/>
      <c r="Z1590" s="223"/>
    </row>
    <row r="1591">
      <c r="A1591" s="223" t="str">
        <f>IFERROR(__xludf.DUMMYFUNCTION("""COMPUTED_VALUE"""),"Arazy Group : Other Projects")</f>
        <v>Arazy Group : Other Projects</v>
      </c>
      <c r="B1591" s="223" t="str">
        <f>IFERROR(__xludf.DUMMYFUNCTION("""COMPUTED_VALUE"""),"Arazy Group")</f>
        <v>Arazy Group</v>
      </c>
      <c r="C1591" s="223" t="str">
        <f>IFERROR(__xludf.DUMMYFUNCTION("""COMPUTED_VALUE"""),"Other Projects")</f>
        <v>Other Projects</v>
      </c>
      <c r="D1591" s="316">
        <f>IFERROR(__xludf.DUMMYFUNCTION("""COMPUTED_VALUE"""),44681.0)</f>
        <v>44681</v>
      </c>
      <c r="E1591" s="298"/>
      <c r="F1591" s="298"/>
      <c r="G1591" s="298"/>
      <c r="H1591" s="223"/>
      <c r="I1591" s="298">
        <f>IFERROR(__xludf.DUMMYFUNCTION("""COMPUTED_VALUE"""),468.0829684505032)</f>
        <v>468.0829685</v>
      </c>
      <c r="J1591" s="223" t="str">
        <f>IFERROR(__xludf.DUMMYFUNCTION("""COMPUTED_VALUE"""),"Fixed Project")</f>
        <v>Fixed Project</v>
      </c>
      <c r="K1591" s="317">
        <f>IFERROR(__xludf.DUMMYFUNCTION("""COMPUTED_VALUE"""),2022.0)</f>
        <v>2022</v>
      </c>
      <c r="L1591" s="298"/>
      <c r="M1591" s="223"/>
      <c r="N1591" s="223"/>
      <c r="O1591" s="223"/>
      <c r="P1591" s="223"/>
      <c r="Q1591" s="223"/>
      <c r="R1591" s="223"/>
      <c r="S1591" s="223"/>
      <c r="T1591" s="223"/>
      <c r="U1591" s="223"/>
      <c r="V1591" s="223"/>
      <c r="W1591" s="223"/>
      <c r="X1591" s="223"/>
      <c r="Y1591" s="223"/>
      <c r="Z1591" s="223"/>
    </row>
    <row r="1592">
      <c r="A1592" s="223" t="str">
        <f>IFERROR(__xludf.DUMMYFUNCTION("""COMPUTED_VALUE"""),"Availed Technologies : Monthly Services")</f>
        <v>Availed Technologies : Monthly Services</v>
      </c>
      <c r="B1592" s="223" t="str">
        <f>IFERROR(__xludf.DUMMYFUNCTION("""COMPUTED_VALUE"""),"Availed Technologies")</f>
        <v>Availed Technologies</v>
      </c>
      <c r="C1592" s="223" t="str">
        <f>IFERROR(__xludf.DUMMYFUNCTION("""COMPUTED_VALUE"""),"Monthly Services")</f>
        <v>Monthly Services</v>
      </c>
      <c r="D1592" s="316">
        <f>IFERROR(__xludf.DUMMYFUNCTION("""COMPUTED_VALUE"""),44681.0)</f>
        <v>44681</v>
      </c>
      <c r="E1592" s="298"/>
      <c r="F1592" s="298"/>
      <c r="G1592" s="298"/>
      <c r="H1592" s="223"/>
      <c r="I1592" s="298">
        <f>IFERROR(__xludf.DUMMYFUNCTION("""COMPUTED_VALUE"""),23.144444444444442)</f>
        <v>23.14444444</v>
      </c>
      <c r="J1592" s="223" t="str">
        <f>IFERROR(__xludf.DUMMYFUNCTION("""COMPUTED_VALUE"""),"Monthly")</f>
        <v>Monthly</v>
      </c>
      <c r="K1592" s="317">
        <f>IFERROR(__xludf.DUMMYFUNCTION("""COMPUTED_VALUE"""),2022.04)</f>
        <v>2022.04</v>
      </c>
      <c r="L1592" s="298"/>
      <c r="M1592" s="223"/>
      <c r="N1592" s="223"/>
      <c r="O1592" s="223"/>
      <c r="P1592" s="223"/>
      <c r="Q1592" s="223"/>
      <c r="R1592" s="223"/>
      <c r="S1592" s="223"/>
      <c r="T1592" s="223"/>
      <c r="U1592" s="223"/>
      <c r="V1592" s="223"/>
      <c r="W1592" s="223"/>
      <c r="X1592" s="223"/>
      <c r="Y1592" s="223"/>
      <c r="Z1592" s="223"/>
    </row>
    <row r="1593">
      <c r="A1593" s="223" t="str">
        <f>IFERROR(__xludf.DUMMYFUNCTION("""COMPUTED_VALUE"""),"Beacon Law : 5 Hour Support Block")</f>
        <v>Beacon Law : 5 Hour Support Block</v>
      </c>
      <c r="B1593" s="223" t="str">
        <f>IFERROR(__xludf.DUMMYFUNCTION("""COMPUTED_VALUE"""),"Beacon Law")</f>
        <v>Beacon Law</v>
      </c>
      <c r="C1593" s="223" t="str">
        <f>IFERROR(__xludf.DUMMYFUNCTION("""COMPUTED_VALUE"""),"5 Hour Support Block")</f>
        <v>5 Hour Support Block</v>
      </c>
      <c r="D1593" s="316">
        <f>IFERROR(__xludf.DUMMYFUNCTION("""COMPUTED_VALUE"""),44681.0)</f>
        <v>44681</v>
      </c>
      <c r="E1593" s="298"/>
      <c r="F1593" s="298"/>
      <c r="G1593" s="298"/>
      <c r="H1593" s="223"/>
      <c r="I1593" s="298">
        <f>IFERROR(__xludf.DUMMYFUNCTION("""COMPUTED_VALUE"""),23.877777777777776)</f>
        <v>23.87777778</v>
      </c>
      <c r="J1593" s="223" t="str">
        <f>IFERROR(__xludf.DUMMYFUNCTION("""COMPUTED_VALUE"""),"Hourly")</f>
        <v>Hourly</v>
      </c>
      <c r="K1593" s="317">
        <f>IFERROR(__xludf.DUMMYFUNCTION("""COMPUTED_VALUE"""),2022.0)</f>
        <v>2022</v>
      </c>
      <c r="L1593" s="298"/>
      <c r="M1593" s="223"/>
      <c r="N1593" s="223"/>
      <c r="O1593" s="223"/>
      <c r="P1593" s="223"/>
      <c r="Q1593" s="223"/>
      <c r="R1593" s="223"/>
      <c r="S1593" s="223"/>
      <c r="T1593" s="223"/>
      <c r="U1593" s="223"/>
      <c r="V1593" s="223"/>
      <c r="W1593" s="223"/>
      <c r="X1593" s="223"/>
      <c r="Y1593" s="223"/>
      <c r="Z1593" s="223"/>
    </row>
    <row r="1594">
      <c r="A1594" s="223" t="str">
        <f>IFERROR(__xludf.DUMMYFUNCTION("""COMPUTED_VALUE"""),"BookKing (Pacific Tier) : Monthly Services")</f>
        <v>BookKing (Pacific Tier) : Monthly Services</v>
      </c>
      <c r="B1594" s="223" t="str">
        <f>IFERROR(__xludf.DUMMYFUNCTION("""COMPUTED_VALUE"""),"BookKing (Pacific Tier)")</f>
        <v>BookKing (Pacific Tier)</v>
      </c>
      <c r="C1594" s="223" t="str">
        <f>IFERROR(__xludf.DUMMYFUNCTION("""COMPUTED_VALUE"""),"Monthly Services")</f>
        <v>Monthly Services</v>
      </c>
      <c r="D1594" s="316">
        <f>IFERROR(__xludf.DUMMYFUNCTION("""COMPUTED_VALUE"""),44681.0)</f>
        <v>44681</v>
      </c>
      <c r="E1594" s="298"/>
      <c r="F1594" s="298"/>
      <c r="G1594" s="298"/>
      <c r="H1594" s="223"/>
      <c r="I1594" s="298">
        <f>IFERROR(__xludf.DUMMYFUNCTION("""COMPUTED_VALUE"""),12.283333333333333)</f>
        <v>12.28333333</v>
      </c>
      <c r="J1594" s="223" t="str">
        <f>IFERROR(__xludf.DUMMYFUNCTION("""COMPUTED_VALUE"""),"Monthly")</f>
        <v>Monthly</v>
      </c>
      <c r="K1594" s="317">
        <f>IFERROR(__xludf.DUMMYFUNCTION("""COMPUTED_VALUE"""),2022.04)</f>
        <v>2022.04</v>
      </c>
      <c r="L1594" s="298"/>
      <c r="M1594" s="223"/>
      <c r="N1594" s="223"/>
      <c r="O1594" s="223"/>
      <c r="P1594" s="223"/>
      <c r="Q1594" s="223"/>
      <c r="R1594" s="223"/>
      <c r="S1594" s="223"/>
      <c r="T1594" s="223"/>
      <c r="U1594" s="223"/>
      <c r="V1594" s="223"/>
      <c r="W1594" s="223"/>
      <c r="X1594" s="223"/>
      <c r="Y1594" s="223"/>
      <c r="Z1594" s="223"/>
    </row>
    <row r="1595">
      <c r="A1595" s="223" t="str">
        <f>IFERROR(__xludf.DUMMYFUNCTION("""COMPUTED_VALUE"""),"C360 : SEO Implementation")</f>
        <v>C360 : SEO Implementation</v>
      </c>
      <c r="B1595" s="223" t="str">
        <f>IFERROR(__xludf.DUMMYFUNCTION("""COMPUTED_VALUE"""),"C360")</f>
        <v>C360</v>
      </c>
      <c r="C1595" s="223" t="str">
        <f>IFERROR(__xludf.DUMMYFUNCTION("""COMPUTED_VALUE"""),"SEO Implementation")</f>
        <v>SEO Implementation</v>
      </c>
      <c r="D1595" s="316">
        <f>IFERROR(__xludf.DUMMYFUNCTION("""COMPUTED_VALUE"""),44681.0)</f>
        <v>44681</v>
      </c>
      <c r="E1595" s="298"/>
      <c r="F1595" s="298"/>
      <c r="G1595" s="298"/>
      <c r="H1595" s="223"/>
      <c r="I1595" s="298">
        <f>IFERROR(__xludf.DUMMYFUNCTION("""COMPUTED_VALUE"""),467.48333333333323)</f>
        <v>467.4833333</v>
      </c>
      <c r="J1595" s="223" t="str">
        <f>IFERROR(__xludf.DUMMYFUNCTION("""COMPUTED_VALUE"""),"Fixed Project")</f>
        <v>Fixed Project</v>
      </c>
      <c r="K1595" s="317">
        <f>IFERROR(__xludf.DUMMYFUNCTION("""COMPUTED_VALUE"""),2022.0)</f>
        <v>2022</v>
      </c>
      <c r="L1595" s="298"/>
      <c r="M1595" s="223"/>
      <c r="N1595" s="223"/>
      <c r="O1595" s="223"/>
      <c r="P1595" s="223"/>
      <c r="Q1595" s="223"/>
      <c r="R1595" s="223"/>
      <c r="S1595" s="223"/>
      <c r="T1595" s="223"/>
      <c r="U1595" s="223"/>
      <c r="V1595" s="223"/>
      <c r="W1595" s="223"/>
      <c r="X1595" s="223"/>
      <c r="Y1595" s="223"/>
      <c r="Z1595" s="223"/>
    </row>
    <row r="1596">
      <c r="A1596" s="223" t="str">
        <f>IFERROR(__xludf.DUMMYFUNCTION("""COMPUTED_VALUE"""),"HSJ Lawyers : Monthly Services")</f>
        <v>HSJ Lawyers : Monthly Services</v>
      </c>
      <c r="B1596" s="223" t="str">
        <f>IFERROR(__xludf.DUMMYFUNCTION("""COMPUTED_VALUE"""),"HSJ Lawyers")</f>
        <v>HSJ Lawyers</v>
      </c>
      <c r="C1596" s="223" t="str">
        <f>IFERROR(__xludf.DUMMYFUNCTION("""COMPUTED_VALUE"""),"Monthly Services")</f>
        <v>Monthly Services</v>
      </c>
      <c r="D1596" s="316">
        <f>IFERROR(__xludf.DUMMYFUNCTION("""COMPUTED_VALUE"""),44681.0)</f>
        <v>44681</v>
      </c>
      <c r="E1596" s="298"/>
      <c r="F1596" s="298"/>
      <c r="G1596" s="298"/>
      <c r="H1596" s="223"/>
      <c r="I1596" s="298">
        <f>IFERROR(__xludf.DUMMYFUNCTION("""COMPUTED_VALUE"""),7.583333333333333)</f>
        <v>7.583333333</v>
      </c>
      <c r="J1596" s="223" t="str">
        <f>IFERROR(__xludf.DUMMYFUNCTION("""COMPUTED_VALUE"""),"Monthly")</f>
        <v>Monthly</v>
      </c>
      <c r="K1596" s="317">
        <f>IFERROR(__xludf.DUMMYFUNCTION("""COMPUTED_VALUE"""),2022.04)</f>
        <v>2022.04</v>
      </c>
      <c r="L1596" s="298"/>
      <c r="M1596" s="223"/>
      <c r="N1596" s="223"/>
      <c r="O1596" s="223"/>
      <c r="P1596" s="223"/>
      <c r="Q1596" s="223"/>
      <c r="R1596" s="223"/>
      <c r="S1596" s="223"/>
      <c r="T1596" s="223"/>
      <c r="U1596" s="223"/>
      <c r="V1596" s="223"/>
      <c r="W1596" s="223"/>
      <c r="X1596" s="223"/>
      <c r="Y1596" s="223"/>
      <c r="Z1596" s="223"/>
    </row>
    <row r="1597">
      <c r="A1597" s="223" t="str">
        <f>IFERROR(__xludf.DUMMYFUNCTION("""COMPUTED_VALUE"""),"UnityWest Capital : Jericho Energy Ventures 6 month project")</f>
        <v>UnityWest Capital : Jericho Energy Ventures 6 month project</v>
      </c>
      <c r="B1597" s="223" t="str">
        <f>IFERROR(__xludf.DUMMYFUNCTION("""COMPUTED_VALUE"""),"UnityWest Capital")</f>
        <v>UnityWest Capital</v>
      </c>
      <c r="C1597" s="223" t="str">
        <f>IFERROR(__xludf.DUMMYFUNCTION("""COMPUTED_VALUE"""),"Jericho Energy Ventures 6 month project")</f>
        <v>Jericho Energy Ventures 6 month project</v>
      </c>
      <c r="D1597" s="316">
        <f>IFERROR(__xludf.DUMMYFUNCTION("""COMPUTED_VALUE"""),44681.0)</f>
        <v>44681</v>
      </c>
      <c r="E1597" s="298"/>
      <c r="F1597" s="298"/>
      <c r="G1597" s="298"/>
      <c r="H1597" s="223"/>
      <c r="I1597" s="298">
        <f>IFERROR(__xludf.DUMMYFUNCTION("""COMPUTED_VALUE"""),304.1388888888888)</f>
        <v>304.1388889</v>
      </c>
      <c r="J1597" s="223" t="str">
        <f>IFERROR(__xludf.DUMMYFUNCTION("""COMPUTED_VALUE"""),"Monthly")</f>
        <v>Monthly</v>
      </c>
      <c r="K1597" s="317">
        <f>IFERROR(__xludf.DUMMYFUNCTION("""COMPUTED_VALUE"""),2022.04)</f>
        <v>2022.04</v>
      </c>
      <c r="L1597" s="298"/>
      <c r="M1597" s="223"/>
      <c r="N1597" s="223"/>
      <c r="O1597" s="223"/>
      <c r="P1597" s="223"/>
      <c r="Q1597" s="223"/>
      <c r="R1597" s="223"/>
      <c r="S1597" s="223"/>
      <c r="T1597" s="223"/>
      <c r="U1597" s="223"/>
      <c r="V1597" s="223"/>
      <c r="W1597" s="223"/>
      <c r="X1597" s="223"/>
      <c r="Y1597" s="223"/>
      <c r="Z1597" s="223"/>
    </row>
    <row r="1598">
      <c r="A1598" s="223" t="str">
        <f>IFERROR(__xludf.DUMMYFUNCTION("""COMPUTED_VALUE"""),"PlusROI : Admin")</f>
        <v>PlusROI : Admin</v>
      </c>
      <c r="B1598" s="223" t="str">
        <f>IFERROR(__xludf.DUMMYFUNCTION("""COMPUTED_VALUE"""),"PlusROI")</f>
        <v>PlusROI</v>
      </c>
      <c r="C1598" s="223" t="str">
        <f>IFERROR(__xludf.DUMMYFUNCTION("""COMPUTED_VALUE"""),"Admin")</f>
        <v>Admin</v>
      </c>
      <c r="D1598" s="316">
        <f>IFERROR(__xludf.DUMMYFUNCTION("""COMPUTED_VALUE"""),44681.0)</f>
        <v>44681</v>
      </c>
      <c r="E1598" s="298"/>
      <c r="F1598" s="298"/>
      <c r="G1598" s="298"/>
      <c r="H1598" s="223"/>
      <c r="I1598" s="298">
        <f>IFERROR(__xludf.DUMMYFUNCTION("""COMPUTED_VALUE"""),431.5277777777778)</f>
        <v>431.5277778</v>
      </c>
      <c r="J1598" s="223" t="str">
        <f>IFERROR(__xludf.DUMMYFUNCTION("""COMPUTED_VALUE"""),"Hourly")</f>
        <v>Hourly</v>
      </c>
      <c r="K1598" s="317">
        <f>IFERROR(__xludf.DUMMYFUNCTION("""COMPUTED_VALUE"""),2022.0)</f>
        <v>2022</v>
      </c>
      <c r="L1598" s="298"/>
      <c r="M1598" s="223"/>
      <c r="N1598" s="223"/>
      <c r="O1598" s="223"/>
      <c r="P1598" s="223"/>
      <c r="Q1598" s="223"/>
      <c r="R1598" s="223"/>
      <c r="S1598" s="223"/>
      <c r="T1598" s="223"/>
      <c r="U1598" s="223"/>
      <c r="V1598" s="223"/>
      <c r="W1598" s="223"/>
      <c r="X1598" s="223"/>
      <c r="Y1598" s="223"/>
      <c r="Z1598" s="223"/>
    </row>
    <row r="1599">
      <c r="A1599" s="223" t="str">
        <f>IFERROR(__xludf.DUMMYFUNCTION("""COMPUTED_VALUE"""),"Terra Insights : PPC Overhauls and SEO Matrix")</f>
        <v>Terra Insights : PPC Overhauls and SEO Matrix</v>
      </c>
      <c r="B1599" s="223" t="str">
        <f>IFERROR(__xludf.DUMMYFUNCTION("""COMPUTED_VALUE"""),"Terra Insights")</f>
        <v>Terra Insights</v>
      </c>
      <c r="C1599" s="223" t="str">
        <f>IFERROR(__xludf.DUMMYFUNCTION("""COMPUTED_VALUE"""),"PPC Overhauls and SEO Matrix")</f>
        <v>PPC Overhauls and SEO Matrix</v>
      </c>
      <c r="D1599" s="316">
        <f>IFERROR(__xludf.DUMMYFUNCTION("""COMPUTED_VALUE"""),44681.0)</f>
        <v>44681</v>
      </c>
      <c r="E1599" s="298"/>
      <c r="F1599" s="298"/>
      <c r="G1599" s="298"/>
      <c r="H1599" s="223"/>
      <c r="I1599" s="298">
        <f>IFERROR(__xludf.DUMMYFUNCTION("""COMPUTED_VALUE"""),163.79444444444448)</f>
        <v>163.7944444</v>
      </c>
      <c r="J1599" s="223" t="str">
        <f>IFERROR(__xludf.DUMMYFUNCTION("""COMPUTED_VALUE"""),"Fixed Project")</f>
        <v>Fixed Project</v>
      </c>
      <c r="K1599" s="317">
        <f>IFERROR(__xludf.DUMMYFUNCTION("""COMPUTED_VALUE"""),2022.0)</f>
        <v>2022</v>
      </c>
      <c r="L1599" s="298"/>
      <c r="M1599" s="223"/>
      <c r="N1599" s="223"/>
      <c r="O1599" s="223"/>
      <c r="P1599" s="223"/>
      <c r="Q1599" s="223"/>
      <c r="R1599" s="223"/>
      <c r="S1599" s="223"/>
      <c r="T1599" s="223"/>
      <c r="U1599" s="223"/>
      <c r="V1599" s="223"/>
      <c r="W1599" s="223"/>
      <c r="X1599" s="223"/>
      <c r="Y1599" s="223"/>
      <c r="Z1599" s="223"/>
    </row>
    <row r="1600">
      <c r="A1600" s="223" t="str">
        <f>IFERROR(__xludf.DUMMYFUNCTION("""COMPUTED_VALUE"""),"TisBest : Monthly Services")</f>
        <v>TisBest : Monthly Services</v>
      </c>
      <c r="B1600" s="223" t="str">
        <f>IFERROR(__xludf.DUMMYFUNCTION("""COMPUTED_VALUE"""),"TisBest")</f>
        <v>TisBest</v>
      </c>
      <c r="C1600" s="223" t="str">
        <f>IFERROR(__xludf.DUMMYFUNCTION("""COMPUTED_VALUE"""),"Monthly Services")</f>
        <v>Monthly Services</v>
      </c>
      <c r="D1600" s="316">
        <f>IFERROR(__xludf.DUMMYFUNCTION("""COMPUTED_VALUE"""),44681.0)</f>
        <v>44681</v>
      </c>
      <c r="E1600" s="298"/>
      <c r="F1600" s="298"/>
      <c r="G1600" s="298"/>
      <c r="H1600" s="223"/>
      <c r="I1600" s="298">
        <f>IFERROR(__xludf.DUMMYFUNCTION("""COMPUTED_VALUE"""),156.10517956782465)</f>
        <v>156.1051796</v>
      </c>
      <c r="J1600" s="223" t="str">
        <f>IFERROR(__xludf.DUMMYFUNCTION("""COMPUTED_VALUE"""),"Monthly")</f>
        <v>Monthly</v>
      </c>
      <c r="K1600" s="317">
        <f>IFERROR(__xludf.DUMMYFUNCTION("""COMPUTED_VALUE"""),2022.04)</f>
        <v>2022.04</v>
      </c>
      <c r="L1600" s="298"/>
      <c r="M1600" s="223"/>
      <c r="N1600" s="223"/>
      <c r="O1600" s="223"/>
      <c r="P1600" s="223"/>
      <c r="Q1600" s="223"/>
      <c r="R1600" s="223"/>
      <c r="S1600" s="223"/>
      <c r="T1600" s="223"/>
      <c r="U1600" s="223"/>
      <c r="V1600" s="223"/>
      <c r="W1600" s="223"/>
      <c r="X1600" s="223"/>
      <c r="Y1600" s="223"/>
      <c r="Z1600" s="223"/>
    </row>
    <row r="1601">
      <c r="A1601" s="223" t="str">
        <f>IFERROR(__xludf.DUMMYFUNCTION("""COMPUTED_VALUE"""),"Tuscany : Monthly Services")</f>
        <v>Tuscany : Monthly Services</v>
      </c>
      <c r="B1601" s="223" t="str">
        <f>IFERROR(__xludf.DUMMYFUNCTION("""COMPUTED_VALUE"""),"Tuscany")</f>
        <v>Tuscany</v>
      </c>
      <c r="C1601" s="223" t="str">
        <f>IFERROR(__xludf.DUMMYFUNCTION("""COMPUTED_VALUE"""),"Monthly Services")</f>
        <v>Monthly Services</v>
      </c>
      <c r="D1601" s="316">
        <f>IFERROR(__xludf.DUMMYFUNCTION("""COMPUTED_VALUE"""),44681.0)</f>
        <v>44681</v>
      </c>
      <c r="E1601" s="298"/>
      <c r="F1601" s="298"/>
      <c r="G1601" s="298"/>
      <c r="H1601" s="223"/>
      <c r="I1601" s="298">
        <f>IFERROR(__xludf.DUMMYFUNCTION("""COMPUTED_VALUE"""),11.783333333333331)</f>
        <v>11.78333333</v>
      </c>
      <c r="J1601" s="223" t="str">
        <f>IFERROR(__xludf.DUMMYFUNCTION("""COMPUTED_VALUE"""),"Monthly")</f>
        <v>Monthly</v>
      </c>
      <c r="K1601" s="317">
        <f>IFERROR(__xludf.DUMMYFUNCTION("""COMPUTED_VALUE"""),2022.04)</f>
        <v>2022.04</v>
      </c>
      <c r="L1601" s="298"/>
      <c r="M1601" s="223"/>
      <c r="N1601" s="223"/>
      <c r="O1601" s="223"/>
      <c r="P1601" s="223"/>
      <c r="Q1601" s="223"/>
      <c r="R1601" s="223"/>
      <c r="S1601" s="223"/>
      <c r="T1601" s="223"/>
      <c r="U1601" s="223"/>
      <c r="V1601" s="223"/>
      <c r="W1601" s="223"/>
      <c r="X1601" s="223"/>
      <c r="Y1601" s="223"/>
      <c r="Z1601" s="223"/>
    </row>
    <row r="1602">
      <c r="A1602" s="223" t="str">
        <f>IFERROR(__xludf.DUMMYFUNCTION("""COMPUTED_VALUE"""),"Venetian : Monthly Services")</f>
        <v>Venetian : Monthly Services</v>
      </c>
      <c r="B1602" s="223" t="str">
        <f>IFERROR(__xludf.DUMMYFUNCTION("""COMPUTED_VALUE"""),"Venetian")</f>
        <v>Venetian</v>
      </c>
      <c r="C1602" s="223" t="str">
        <f>IFERROR(__xludf.DUMMYFUNCTION("""COMPUTED_VALUE"""),"Monthly Services")</f>
        <v>Monthly Services</v>
      </c>
      <c r="D1602" s="316">
        <f>IFERROR(__xludf.DUMMYFUNCTION("""COMPUTED_VALUE"""),44681.0)</f>
        <v>44681</v>
      </c>
      <c r="E1602" s="298"/>
      <c r="F1602" s="298"/>
      <c r="G1602" s="298"/>
      <c r="H1602" s="223"/>
      <c r="I1602" s="298">
        <f>IFERROR(__xludf.DUMMYFUNCTION("""COMPUTED_VALUE"""),90.10555555555555)</f>
        <v>90.10555556</v>
      </c>
      <c r="J1602" s="223" t="str">
        <f>IFERROR(__xludf.DUMMYFUNCTION("""COMPUTED_VALUE"""),"Monthly")</f>
        <v>Monthly</v>
      </c>
      <c r="K1602" s="317">
        <f>IFERROR(__xludf.DUMMYFUNCTION("""COMPUTED_VALUE"""),2022.04)</f>
        <v>2022.04</v>
      </c>
      <c r="L1602" s="298"/>
      <c r="M1602" s="223"/>
      <c r="N1602" s="223"/>
      <c r="O1602" s="223"/>
      <c r="P1602" s="223"/>
      <c r="Q1602" s="223"/>
      <c r="R1602" s="223"/>
      <c r="S1602" s="223"/>
      <c r="T1602" s="223"/>
      <c r="U1602" s="223"/>
      <c r="V1602" s="223"/>
      <c r="W1602" s="223"/>
      <c r="X1602" s="223"/>
      <c r="Y1602" s="223"/>
      <c r="Z1602" s="223"/>
    </row>
    <row r="1603">
      <c r="A1603" s="223" t="str">
        <f>IFERROR(__xludf.DUMMYFUNCTION("""COMPUTED_VALUE"""),"Waypoint : Website Updates")</f>
        <v>Waypoint : Website Updates</v>
      </c>
      <c r="B1603" s="223" t="str">
        <f>IFERROR(__xludf.DUMMYFUNCTION("""COMPUTED_VALUE"""),"Waypoint")</f>
        <v>Waypoint</v>
      </c>
      <c r="C1603" s="223" t="str">
        <f>IFERROR(__xludf.DUMMYFUNCTION("""COMPUTED_VALUE"""),"Website Updates")</f>
        <v>Website Updates</v>
      </c>
      <c r="D1603" s="316">
        <f>IFERROR(__xludf.DUMMYFUNCTION("""COMPUTED_VALUE"""),44681.0)</f>
        <v>44681</v>
      </c>
      <c r="E1603" s="298"/>
      <c r="F1603" s="298"/>
      <c r="G1603" s="298"/>
      <c r="H1603" s="223"/>
      <c r="I1603" s="298">
        <f>IFERROR(__xludf.DUMMYFUNCTION("""COMPUTED_VALUE"""),281.79999999999995)</f>
        <v>281.8</v>
      </c>
      <c r="J1603" s="223" t="str">
        <f>IFERROR(__xludf.DUMMYFUNCTION("""COMPUTED_VALUE"""),"Fixed Project")</f>
        <v>Fixed Project</v>
      </c>
      <c r="K1603" s="317">
        <f>IFERROR(__xludf.DUMMYFUNCTION("""COMPUTED_VALUE"""),2022.0)</f>
        <v>2022</v>
      </c>
      <c r="L1603" s="298"/>
      <c r="M1603" s="223"/>
      <c r="N1603" s="223"/>
      <c r="O1603" s="223"/>
      <c r="P1603" s="223"/>
      <c r="Q1603" s="223"/>
      <c r="R1603" s="223"/>
      <c r="S1603" s="223"/>
      <c r="T1603" s="223"/>
      <c r="U1603" s="223"/>
      <c r="V1603" s="223"/>
      <c r="W1603" s="223"/>
      <c r="X1603" s="223"/>
      <c r="Y1603" s="223"/>
      <c r="Z1603" s="223"/>
    </row>
    <row r="1604">
      <c r="A1604" s="223" t="str">
        <f>IFERROR(__xludf.DUMMYFUNCTION("""COMPUTED_VALUE"""),"Venetian : Monthly Services")</f>
        <v>Venetian : Monthly Services</v>
      </c>
      <c r="B1604" s="223" t="str">
        <f>IFERROR(__xludf.DUMMYFUNCTION("""COMPUTED_VALUE"""),"Venetian")</f>
        <v>Venetian</v>
      </c>
      <c r="C1604" s="223" t="str">
        <f>IFERROR(__xludf.DUMMYFUNCTION("""COMPUTED_VALUE"""),"Monthly Services")</f>
        <v>Monthly Services</v>
      </c>
      <c r="D1604" s="316">
        <f>IFERROR(__xludf.DUMMYFUNCTION("""COMPUTED_VALUE"""),44672.0)</f>
        <v>44672</v>
      </c>
      <c r="E1604" s="298"/>
      <c r="F1604" s="298"/>
      <c r="G1604" s="298"/>
      <c r="H1604" s="223"/>
      <c r="I1604" s="298">
        <f>IFERROR(__xludf.DUMMYFUNCTION("""COMPUTED_VALUE"""),750.0)</f>
        <v>750</v>
      </c>
      <c r="J1604" s="223" t="str">
        <f>IFERROR(__xludf.DUMMYFUNCTION("""COMPUTED_VALUE"""),"Monthly")</f>
        <v>Monthly</v>
      </c>
      <c r="K1604" s="317">
        <f>IFERROR(__xludf.DUMMYFUNCTION("""COMPUTED_VALUE"""),2022.04)</f>
        <v>2022.04</v>
      </c>
      <c r="L1604" s="298">
        <f>IFERROR(__xludf.DUMMYFUNCTION("""COMPUTED_VALUE"""),750.0)</f>
        <v>750</v>
      </c>
      <c r="M1604" s="223"/>
      <c r="N1604" s="223"/>
      <c r="O1604" s="223"/>
      <c r="P1604" s="223"/>
      <c r="Q1604" s="223"/>
      <c r="R1604" s="223"/>
      <c r="S1604" s="223"/>
      <c r="T1604" s="223"/>
      <c r="U1604" s="223"/>
      <c r="V1604" s="223"/>
      <c r="W1604" s="223"/>
      <c r="X1604" s="223"/>
      <c r="Y1604" s="223"/>
      <c r="Z1604" s="223"/>
    </row>
    <row r="1605">
      <c r="A1605" s="223" t="str">
        <f>IFERROR(__xludf.DUMMYFUNCTION("""COMPUTED_VALUE"""),"Tuscany : Monthly Services")</f>
        <v>Tuscany : Monthly Services</v>
      </c>
      <c r="B1605" s="223" t="str">
        <f>IFERROR(__xludf.DUMMYFUNCTION("""COMPUTED_VALUE"""),"Tuscany")</f>
        <v>Tuscany</v>
      </c>
      <c r="C1605" s="223" t="str">
        <f>IFERROR(__xludf.DUMMYFUNCTION("""COMPUTED_VALUE"""),"Monthly Services")</f>
        <v>Monthly Services</v>
      </c>
      <c r="D1605" s="316">
        <f>IFERROR(__xludf.DUMMYFUNCTION("""COMPUTED_VALUE"""),44680.0)</f>
        <v>44680</v>
      </c>
      <c r="E1605" s="298"/>
      <c r="F1605" s="298"/>
      <c r="G1605" s="298"/>
      <c r="H1605" s="223"/>
      <c r="I1605" s="298">
        <f>IFERROR(__xludf.DUMMYFUNCTION("""COMPUTED_VALUE"""),750.0)</f>
        <v>750</v>
      </c>
      <c r="J1605" s="223" t="str">
        <f>IFERROR(__xludf.DUMMYFUNCTION("""COMPUTED_VALUE"""),"Monthly")</f>
        <v>Monthly</v>
      </c>
      <c r="K1605" s="317">
        <f>IFERROR(__xludf.DUMMYFUNCTION("""COMPUTED_VALUE"""),2022.04)</f>
        <v>2022.04</v>
      </c>
      <c r="L1605" s="298">
        <f>IFERROR(__xludf.DUMMYFUNCTION("""COMPUTED_VALUE"""),750.0)</f>
        <v>750</v>
      </c>
      <c r="M1605" s="223"/>
      <c r="N1605" s="223"/>
      <c r="O1605" s="223"/>
      <c r="P1605" s="223"/>
      <c r="Q1605" s="223"/>
      <c r="R1605" s="223"/>
      <c r="S1605" s="223"/>
      <c r="T1605" s="223"/>
      <c r="U1605" s="223"/>
      <c r="V1605" s="223"/>
      <c r="W1605" s="223"/>
      <c r="X1605" s="223"/>
      <c r="Y1605" s="223"/>
      <c r="Z1605" s="223"/>
    </row>
    <row r="1606">
      <c r="A1606" s="223" t="str">
        <f>IFERROR(__xludf.DUMMYFUNCTION("""COMPUTED_VALUE"""),"PlusROI : Overhead")</f>
        <v>PlusROI : Overhead</v>
      </c>
      <c r="B1606" s="223" t="str">
        <f>IFERROR(__xludf.DUMMYFUNCTION("""COMPUTED_VALUE"""),"PlusROI")</f>
        <v>PlusROI</v>
      </c>
      <c r="C1606" s="223" t="str">
        <f>IFERROR(__xludf.DUMMYFUNCTION("""COMPUTED_VALUE"""),"Overhead")</f>
        <v>Overhead</v>
      </c>
      <c r="D1606" s="316">
        <f>IFERROR(__xludf.DUMMYFUNCTION("""COMPUTED_VALUE"""),44681.0)</f>
        <v>44681</v>
      </c>
      <c r="E1606" s="298"/>
      <c r="F1606" s="298"/>
      <c r="G1606" s="298"/>
      <c r="H1606" s="223"/>
      <c r="I1606" s="298">
        <f>IFERROR(__xludf.DUMMYFUNCTION("""COMPUTED_VALUE"""),470.09)</f>
        <v>470.09</v>
      </c>
      <c r="J1606" s="223" t="str">
        <f>IFERROR(__xludf.DUMMYFUNCTION("""COMPUTED_VALUE"""),"Hourly")</f>
        <v>Hourly</v>
      </c>
      <c r="K1606" s="317">
        <f>IFERROR(__xludf.DUMMYFUNCTION("""COMPUTED_VALUE"""),2022.0)</f>
        <v>2022</v>
      </c>
      <c r="L1606" s="298"/>
      <c r="M1606" s="223"/>
      <c r="N1606" s="223"/>
      <c r="O1606" s="223"/>
      <c r="P1606" s="223"/>
      <c r="Q1606" s="223"/>
      <c r="R1606" s="223"/>
      <c r="S1606" s="223"/>
      <c r="T1606" s="223"/>
      <c r="U1606" s="223"/>
      <c r="V1606" s="223"/>
      <c r="W1606" s="223"/>
      <c r="X1606" s="223"/>
      <c r="Y1606" s="223"/>
      <c r="Z1606" s="223"/>
    </row>
    <row r="1607">
      <c r="A1607" s="223" t="str">
        <f>IFERROR(__xludf.DUMMYFUNCTION("""COMPUTED_VALUE"""),"Tuscany : Monthly Services")</f>
        <v>Tuscany : Monthly Services</v>
      </c>
      <c r="B1607" s="223" t="str">
        <f>IFERROR(__xludf.DUMMYFUNCTION("""COMPUTED_VALUE"""),"Tuscany")</f>
        <v>Tuscany</v>
      </c>
      <c r="C1607" s="223" t="str">
        <f>IFERROR(__xludf.DUMMYFUNCTION("""COMPUTED_VALUE"""),"Monthly Services")</f>
        <v>Monthly Services</v>
      </c>
      <c r="D1607" s="316">
        <f>IFERROR(__xludf.DUMMYFUNCTION("""COMPUTED_VALUE"""),44682.0)</f>
        <v>44682</v>
      </c>
      <c r="E1607" s="298"/>
      <c r="F1607" s="298"/>
      <c r="G1607" s="298"/>
      <c r="H1607" s="223"/>
      <c r="I1607" s="298">
        <f>IFERROR(__xludf.DUMMYFUNCTION("""COMPUTED_VALUE"""),28.96)</f>
        <v>28.96</v>
      </c>
      <c r="J1607" s="223" t="str">
        <f>IFERROR(__xludf.DUMMYFUNCTION("""COMPUTED_VALUE"""),"Monthly")</f>
        <v>Monthly</v>
      </c>
      <c r="K1607" s="317">
        <f>IFERROR(__xludf.DUMMYFUNCTION("""COMPUTED_VALUE"""),2022.05)</f>
        <v>2022.05</v>
      </c>
      <c r="L1607" s="298">
        <f>IFERROR(__xludf.DUMMYFUNCTION("""COMPUTED_VALUE"""),28.96)</f>
        <v>28.96</v>
      </c>
      <c r="M1607" s="223"/>
      <c r="N1607" s="223"/>
      <c r="O1607" s="223"/>
      <c r="P1607" s="223"/>
      <c r="Q1607" s="223"/>
      <c r="R1607" s="223"/>
      <c r="S1607" s="223"/>
      <c r="T1607" s="223"/>
      <c r="U1607" s="223"/>
      <c r="V1607" s="223"/>
      <c r="W1607" s="223"/>
      <c r="X1607" s="223"/>
      <c r="Y1607" s="223"/>
      <c r="Z1607" s="223"/>
    </row>
    <row r="1608">
      <c r="A1608" s="223" t="str">
        <f>IFERROR(__xludf.DUMMYFUNCTION("""COMPUTED_VALUE"""),"Venetian : Monthly Services")</f>
        <v>Venetian : Monthly Services</v>
      </c>
      <c r="B1608" s="223" t="str">
        <f>IFERROR(__xludf.DUMMYFUNCTION("""COMPUTED_VALUE"""),"Venetian")</f>
        <v>Venetian</v>
      </c>
      <c r="C1608" s="223" t="str">
        <f>IFERROR(__xludf.DUMMYFUNCTION("""COMPUTED_VALUE"""),"Monthly Services")</f>
        <v>Monthly Services</v>
      </c>
      <c r="D1608" s="316">
        <f>IFERROR(__xludf.DUMMYFUNCTION("""COMPUTED_VALUE"""),44683.0)</f>
        <v>44683</v>
      </c>
      <c r="E1608" s="298"/>
      <c r="F1608" s="298"/>
      <c r="G1608" s="298"/>
      <c r="H1608" s="223"/>
      <c r="I1608" s="298">
        <f>IFERROR(__xludf.DUMMYFUNCTION("""COMPUTED_VALUE"""),331.35)</f>
        <v>331.35</v>
      </c>
      <c r="J1608" s="223" t="str">
        <f>IFERROR(__xludf.DUMMYFUNCTION("""COMPUTED_VALUE"""),"Monthly")</f>
        <v>Monthly</v>
      </c>
      <c r="K1608" s="317">
        <f>IFERROR(__xludf.DUMMYFUNCTION("""COMPUTED_VALUE"""),2022.05)</f>
        <v>2022.05</v>
      </c>
      <c r="L1608" s="298">
        <f>IFERROR(__xludf.DUMMYFUNCTION("""COMPUTED_VALUE"""),331.35)</f>
        <v>331.35</v>
      </c>
      <c r="M1608" s="223"/>
      <c r="N1608" s="223"/>
      <c r="O1608" s="223"/>
      <c r="P1608" s="223"/>
      <c r="Q1608" s="223"/>
      <c r="R1608" s="223"/>
      <c r="S1608" s="223"/>
      <c r="T1608" s="223"/>
      <c r="U1608" s="223"/>
      <c r="V1608" s="223"/>
      <c r="W1608" s="223"/>
      <c r="X1608" s="223"/>
      <c r="Y1608" s="223"/>
      <c r="Z1608" s="223"/>
    </row>
    <row r="1609">
      <c r="A1609" s="223" t="str">
        <f>IFERROR(__xludf.DUMMYFUNCTION("""COMPUTED_VALUE"""),"Tugwell : 6 Month PPC")</f>
        <v>Tugwell : 6 Month PPC</v>
      </c>
      <c r="B1609" s="223" t="str">
        <f>IFERROR(__xludf.DUMMYFUNCTION("""COMPUTED_VALUE"""),"Tugwell")</f>
        <v>Tugwell</v>
      </c>
      <c r="C1609" s="223" t="str">
        <f>IFERROR(__xludf.DUMMYFUNCTION("""COMPUTED_VALUE"""),"6 Month PPC")</f>
        <v>6 Month PPC</v>
      </c>
      <c r="D1609" s="316">
        <f>IFERROR(__xludf.DUMMYFUNCTION("""COMPUTED_VALUE"""),44683.0)</f>
        <v>44683</v>
      </c>
      <c r="E1609" s="298"/>
      <c r="F1609" s="298"/>
      <c r="G1609" s="298"/>
      <c r="H1609" s="223"/>
      <c r="I1609" s="298">
        <f>IFERROR(__xludf.DUMMYFUNCTION("""COMPUTED_VALUE"""),304.53)</f>
        <v>304.53</v>
      </c>
      <c r="J1609" s="223" t="str">
        <f>IFERROR(__xludf.DUMMYFUNCTION("""COMPUTED_VALUE"""),"Fixed Project")</f>
        <v>Fixed Project</v>
      </c>
      <c r="K1609" s="317">
        <f>IFERROR(__xludf.DUMMYFUNCTION("""COMPUTED_VALUE"""),2022.0)</f>
        <v>2022</v>
      </c>
      <c r="L1609" s="298">
        <f>IFERROR(__xludf.DUMMYFUNCTION("""COMPUTED_VALUE"""),304.53)</f>
        <v>304.53</v>
      </c>
      <c r="M1609" s="223"/>
      <c r="N1609" s="223"/>
      <c r="O1609" s="223"/>
      <c r="P1609" s="223"/>
      <c r="Q1609" s="223"/>
      <c r="R1609" s="223"/>
      <c r="S1609" s="223"/>
      <c r="T1609" s="223"/>
      <c r="U1609" s="223"/>
      <c r="V1609" s="223"/>
      <c r="W1609" s="223"/>
      <c r="X1609" s="223"/>
      <c r="Y1609" s="223"/>
      <c r="Z1609" s="223"/>
    </row>
    <row r="1610">
      <c r="A1610" s="223" t="str">
        <f>IFERROR(__xludf.DUMMYFUNCTION("""COMPUTED_VALUE"""),"Spraggs : Monthly Services")</f>
        <v>Spraggs : Monthly Services</v>
      </c>
      <c r="B1610" s="223" t="str">
        <f>IFERROR(__xludf.DUMMYFUNCTION("""COMPUTED_VALUE"""),"Spraggs")</f>
        <v>Spraggs</v>
      </c>
      <c r="C1610" s="223" t="str">
        <f>IFERROR(__xludf.DUMMYFUNCTION("""COMPUTED_VALUE"""),"Monthly Services")</f>
        <v>Monthly Services</v>
      </c>
      <c r="D1610" s="316">
        <f>IFERROR(__xludf.DUMMYFUNCTION("""COMPUTED_VALUE"""),44684.0)</f>
        <v>44684</v>
      </c>
      <c r="E1610" s="298"/>
      <c r="F1610" s="298"/>
      <c r="G1610" s="298"/>
      <c r="H1610" s="223"/>
      <c r="I1610" s="298">
        <f>IFERROR(__xludf.DUMMYFUNCTION("""COMPUTED_VALUE"""),70.0)</f>
        <v>70</v>
      </c>
      <c r="J1610" s="223" t="str">
        <f>IFERROR(__xludf.DUMMYFUNCTION("""COMPUTED_VALUE"""),"Monthly")</f>
        <v>Monthly</v>
      </c>
      <c r="K1610" s="317">
        <f>IFERROR(__xludf.DUMMYFUNCTION("""COMPUTED_VALUE"""),2022.05)</f>
        <v>2022.05</v>
      </c>
      <c r="L1610" s="298">
        <f>IFERROR(__xludf.DUMMYFUNCTION("""COMPUTED_VALUE"""),70.0)</f>
        <v>70</v>
      </c>
      <c r="M1610" s="223"/>
      <c r="N1610" s="223"/>
      <c r="O1610" s="223"/>
      <c r="P1610" s="223"/>
      <c r="Q1610" s="223"/>
      <c r="R1610" s="223"/>
      <c r="S1610" s="223"/>
      <c r="T1610" s="223"/>
      <c r="U1610" s="223"/>
      <c r="V1610" s="223"/>
      <c r="W1610" s="223"/>
      <c r="X1610" s="223"/>
      <c r="Y1610" s="223"/>
      <c r="Z1610" s="223"/>
    </row>
    <row r="1611">
      <c r="A1611" s="223" t="str">
        <f>IFERROR(__xludf.DUMMYFUNCTION("""COMPUTED_VALUE"""),"PlusROI : Admin")</f>
        <v>PlusROI : Admin</v>
      </c>
      <c r="B1611" s="223" t="str">
        <f>IFERROR(__xludf.DUMMYFUNCTION("""COMPUTED_VALUE"""),"PlusROI")</f>
        <v>PlusROI</v>
      </c>
      <c r="C1611" s="223" t="str">
        <f>IFERROR(__xludf.DUMMYFUNCTION("""COMPUTED_VALUE"""),"Admin")</f>
        <v>Admin</v>
      </c>
      <c r="D1611" s="316">
        <f>IFERROR(__xludf.DUMMYFUNCTION("""COMPUTED_VALUE"""),44711.0)</f>
        <v>44711</v>
      </c>
      <c r="E1611" s="298"/>
      <c r="F1611" s="298"/>
      <c r="G1611" s="298"/>
      <c r="H1611" s="223"/>
      <c r="I1611" s="298">
        <f>IFERROR(__xludf.DUMMYFUNCTION("""COMPUTED_VALUE"""),49.92)</f>
        <v>49.92</v>
      </c>
      <c r="J1611" s="223" t="str">
        <f>IFERROR(__xludf.DUMMYFUNCTION("""COMPUTED_VALUE"""),"Hourly")</f>
        <v>Hourly</v>
      </c>
      <c r="K1611" s="317">
        <f>IFERROR(__xludf.DUMMYFUNCTION("""COMPUTED_VALUE"""),2022.0)</f>
        <v>2022</v>
      </c>
      <c r="L1611" s="298"/>
      <c r="M1611" s="223"/>
      <c r="N1611" s="223"/>
      <c r="O1611" s="223"/>
      <c r="P1611" s="223"/>
      <c r="Q1611" s="223"/>
      <c r="R1611" s="223"/>
      <c r="S1611" s="223"/>
      <c r="T1611" s="223"/>
      <c r="U1611" s="223"/>
      <c r="V1611" s="223"/>
      <c r="W1611" s="223"/>
      <c r="X1611" s="223"/>
      <c r="Y1611" s="223"/>
      <c r="Z1611" s="223"/>
    </row>
    <row r="1612">
      <c r="A1612" s="223" t="str">
        <f>IFERROR(__xludf.DUMMYFUNCTION("""COMPUTED_VALUE"""),"OA Region 6 : Monthly Services")</f>
        <v>OA Region 6 : Monthly Services</v>
      </c>
      <c r="B1612" s="223" t="str">
        <f>IFERROR(__xludf.DUMMYFUNCTION("""COMPUTED_VALUE"""),"OA Region 6")</f>
        <v>OA Region 6</v>
      </c>
      <c r="C1612" s="223" t="str">
        <f>IFERROR(__xludf.DUMMYFUNCTION("""COMPUTED_VALUE"""),"Monthly Services")</f>
        <v>Monthly Services</v>
      </c>
      <c r="D1612" s="316">
        <f>IFERROR(__xludf.DUMMYFUNCTION("""COMPUTED_VALUE"""),44712.0)</f>
        <v>44712</v>
      </c>
      <c r="E1612" s="298"/>
      <c r="F1612" s="298"/>
      <c r="G1612" s="298"/>
      <c r="H1612" s="223"/>
      <c r="I1612" s="298">
        <f>IFERROR(__xludf.DUMMYFUNCTION("""COMPUTED_VALUE"""),150.0)</f>
        <v>150</v>
      </c>
      <c r="J1612" s="223" t="str">
        <f>IFERROR(__xludf.DUMMYFUNCTION("""COMPUTED_VALUE"""),"Monthly")</f>
        <v>Monthly</v>
      </c>
      <c r="K1612" s="317">
        <f>IFERROR(__xludf.DUMMYFUNCTION("""COMPUTED_VALUE"""),2022.05)</f>
        <v>2022.05</v>
      </c>
      <c r="L1612" s="298"/>
      <c r="M1612" s="223"/>
      <c r="N1612" s="223"/>
      <c r="O1612" s="223"/>
      <c r="P1612" s="223"/>
      <c r="Q1612" s="223"/>
      <c r="R1612" s="223"/>
      <c r="S1612" s="223"/>
      <c r="T1612" s="223"/>
      <c r="U1612" s="223"/>
      <c r="V1612" s="223"/>
      <c r="W1612" s="223"/>
      <c r="X1612" s="223"/>
      <c r="Y1612" s="223"/>
      <c r="Z1612" s="223"/>
    </row>
    <row r="1613">
      <c r="A1613" s="223" t="str">
        <f>IFERROR(__xludf.DUMMYFUNCTION("""COMPUTED_VALUE"""),"HSJ Lawyers : Monthly Services")</f>
        <v>HSJ Lawyers : Monthly Services</v>
      </c>
      <c r="B1613" s="223" t="str">
        <f>IFERROR(__xludf.DUMMYFUNCTION("""COMPUTED_VALUE"""),"HSJ Lawyers")</f>
        <v>HSJ Lawyers</v>
      </c>
      <c r="C1613" s="223" t="str">
        <f>IFERROR(__xludf.DUMMYFUNCTION("""COMPUTED_VALUE"""),"Monthly Services")</f>
        <v>Monthly Services</v>
      </c>
      <c r="D1613" s="316">
        <f>IFERROR(__xludf.DUMMYFUNCTION("""COMPUTED_VALUE"""),44712.0)</f>
        <v>44712</v>
      </c>
      <c r="E1613" s="298"/>
      <c r="F1613" s="298"/>
      <c r="G1613" s="298"/>
      <c r="H1613" s="223"/>
      <c r="I1613" s="298">
        <f>IFERROR(__xludf.DUMMYFUNCTION("""COMPUTED_VALUE"""),225.0)</f>
        <v>225</v>
      </c>
      <c r="J1613" s="223" t="str">
        <f>IFERROR(__xludf.DUMMYFUNCTION("""COMPUTED_VALUE"""),"Monthly")</f>
        <v>Monthly</v>
      </c>
      <c r="K1613" s="317">
        <f>IFERROR(__xludf.DUMMYFUNCTION("""COMPUTED_VALUE"""),2022.05)</f>
        <v>2022.05</v>
      </c>
      <c r="L1613" s="298"/>
      <c r="M1613" s="223"/>
      <c r="N1613" s="223"/>
      <c r="O1613" s="223"/>
      <c r="P1613" s="223"/>
      <c r="Q1613" s="223"/>
      <c r="R1613" s="223"/>
      <c r="S1613" s="223"/>
      <c r="T1613" s="223"/>
      <c r="U1613" s="223"/>
      <c r="V1613" s="223"/>
      <c r="W1613" s="223"/>
      <c r="X1613" s="223"/>
      <c r="Y1613" s="223"/>
      <c r="Z1613" s="223"/>
    </row>
    <row r="1614">
      <c r="A1614" s="223" t="str">
        <f>IFERROR(__xludf.DUMMYFUNCTION("""COMPUTED_VALUE"""),"Tugwell : 6 Month PPC")</f>
        <v>Tugwell : 6 Month PPC</v>
      </c>
      <c r="B1614" s="223" t="str">
        <f>IFERROR(__xludf.DUMMYFUNCTION("""COMPUTED_VALUE"""),"Tugwell")</f>
        <v>Tugwell</v>
      </c>
      <c r="C1614" s="223" t="str">
        <f>IFERROR(__xludf.DUMMYFUNCTION("""COMPUTED_VALUE"""),"6 Month PPC")</f>
        <v>6 Month PPC</v>
      </c>
      <c r="D1614" s="316">
        <f>IFERROR(__xludf.DUMMYFUNCTION("""COMPUTED_VALUE"""),44712.0)</f>
        <v>44712</v>
      </c>
      <c r="E1614" s="298"/>
      <c r="F1614" s="298"/>
      <c r="G1614" s="298"/>
      <c r="H1614" s="223"/>
      <c r="I1614" s="298">
        <f>IFERROR(__xludf.DUMMYFUNCTION("""COMPUTED_VALUE"""),125.0)</f>
        <v>125</v>
      </c>
      <c r="J1614" s="223" t="str">
        <f>IFERROR(__xludf.DUMMYFUNCTION("""COMPUTED_VALUE"""),"Fixed Project")</f>
        <v>Fixed Project</v>
      </c>
      <c r="K1614" s="317">
        <f>IFERROR(__xludf.DUMMYFUNCTION("""COMPUTED_VALUE"""),2022.0)</f>
        <v>2022</v>
      </c>
      <c r="L1614" s="298"/>
      <c r="M1614" s="223"/>
      <c r="N1614" s="223"/>
      <c r="O1614" s="223"/>
      <c r="P1614" s="223"/>
      <c r="Q1614" s="223"/>
      <c r="R1614" s="223"/>
      <c r="S1614" s="223"/>
      <c r="T1614" s="223"/>
      <c r="U1614" s="223"/>
      <c r="V1614" s="223"/>
      <c r="W1614" s="223"/>
      <c r="X1614" s="223"/>
      <c r="Y1614" s="223"/>
      <c r="Z1614" s="223"/>
    </row>
    <row r="1615">
      <c r="A1615" s="223" t="str">
        <f>IFERROR(__xludf.DUMMYFUNCTION("""COMPUTED_VALUE"""),"Arazy Group : Monthly Services")</f>
        <v>Arazy Group : Monthly Services</v>
      </c>
      <c r="B1615" s="223" t="str">
        <f>IFERROR(__xludf.DUMMYFUNCTION("""COMPUTED_VALUE"""),"Arazy Group")</f>
        <v>Arazy Group</v>
      </c>
      <c r="C1615" s="223" t="str">
        <f>IFERROR(__xludf.DUMMYFUNCTION("""COMPUTED_VALUE"""),"Monthly Services")</f>
        <v>Monthly Services</v>
      </c>
      <c r="D1615" s="316">
        <f>IFERROR(__xludf.DUMMYFUNCTION("""COMPUTED_VALUE"""),44712.0)</f>
        <v>44712</v>
      </c>
      <c r="E1615" s="298"/>
      <c r="F1615" s="298"/>
      <c r="G1615" s="298"/>
      <c r="H1615" s="223"/>
      <c r="I1615" s="298">
        <f>IFERROR(__xludf.DUMMYFUNCTION("""COMPUTED_VALUE"""),237.5)</f>
        <v>237.5</v>
      </c>
      <c r="J1615" s="223" t="str">
        <f>IFERROR(__xludf.DUMMYFUNCTION("""COMPUTED_VALUE"""),"Monthly")</f>
        <v>Monthly</v>
      </c>
      <c r="K1615" s="317">
        <f>IFERROR(__xludf.DUMMYFUNCTION("""COMPUTED_VALUE"""),2022.05)</f>
        <v>2022.05</v>
      </c>
      <c r="L1615" s="298"/>
      <c r="M1615" s="223"/>
      <c r="N1615" s="223"/>
      <c r="O1615" s="223"/>
      <c r="P1615" s="223"/>
      <c r="Q1615" s="223"/>
      <c r="R1615" s="223"/>
      <c r="S1615" s="223"/>
      <c r="T1615" s="223"/>
      <c r="U1615" s="223"/>
      <c r="V1615" s="223"/>
      <c r="W1615" s="223"/>
      <c r="X1615" s="223"/>
      <c r="Y1615" s="223"/>
      <c r="Z1615" s="223"/>
    </row>
    <row r="1616">
      <c r="A1616" s="223" t="str">
        <f>IFERROR(__xludf.DUMMYFUNCTION("""COMPUTED_VALUE"""),"BookKing (Pacific Tier) : Monthly Services")</f>
        <v>BookKing (Pacific Tier) : Monthly Services</v>
      </c>
      <c r="B1616" s="223" t="str">
        <f>IFERROR(__xludf.DUMMYFUNCTION("""COMPUTED_VALUE"""),"BookKing (Pacific Tier)")</f>
        <v>BookKing (Pacific Tier)</v>
      </c>
      <c r="C1616" s="223" t="str">
        <f>IFERROR(__xludf.DUMMYFUNCTION("""COMPUTED_VALUE"""),"Monthly Services")</f>
        <v>Monthly Services</v>
      </c>
      <c r="D1616" s="316">
        <f>IFERROR(__xludf.DUMMYFUNCTION("""COMPUTED_VALUE"""),44712.0)</f>
        <v>44712</v>
      </c>
      <c r="E1616" s="298"/>
      <c r="F1616" s="298"/>
      <c r="G1616" s="298"/>
      <c r="H1616" s="223"/>
      <c r="I1616" s="298">
        <f>IFERROR(__xludf.DUMMYFUNCTION("""COMPUTED_VALUE"""),75.0)</f>
        <v>75</v>
      </c>
      <c r="J1616" s="223" t="str">
        <f>IFERROR(__xludf.DUMMYFUNCTION("""COMPUTED_VALUE"""),"Monthly")</f>
        <v>Monthly</v>
      </c>
      <c r="K1616" s="317">
        <f>IFERROR(__xludf.DUMMYFUNCTION("""COMPUTED_VALUE"""),2022.05)</f>
        <v>2022.05</v>
      </c>
      <c r="L1616" s="298"/>
      <c r="M1616" s="223"/>
      <c r="N1616" s="223"/>
      <c r="O1616" s="223"/>
      <c r="P1616" s="223"/>
      <c r="Q1616" s="223"/>
      <c r="R1616" s="223"/>
      <c r="S1616" s="223"/>
      <c r="T1616" s="223"/>
      <c r="U1616" s="223"/>
      <c r="V1616" s="223"/>
      <c r="W1616" s="223"/>
      <c r="X1616" s="223"/>
      <c r="Y1616" s="223"/>
      <c r="Z1616" s="223"/>
    </row>
    <row r="1617">
      <c r="A1617" s="223" t="str">
        <f>IFERROR(__xludf.DUMMYFUNCTION("""COMPUTED_VALUE"""),"Spraggs : Monthly Services")</f>
        <v>Spraggs : Monthly Services</v>
      </c>
      <c r="B1617" s="223" t="str">
        <f>IFERROR(__xludf.DUMMYFUNCTION("""COMPUTED_VALUE"""),"Spraggs")</f>
        <v>Spraggs</v>
      </c>
      <c r="C1617" s="223" t="str">
        <f>IFERROR(__xludf.DUMMYFUNCTION("""COMPUTED_VALUE"""),"Monthly Services")</f>
        <v>Monthly Services</v>
      </c>
      <c r="D1617" s="316">
        <f>IFERROR(__xludf.DUMMYFUNCTION("""COMPUTED_VALUE"""),44712.0)</f>
        <v>44712</v>
      </c>
      <c r="E1617" s="298"/>
      <c r="F1617" s="298"/>
      <c r="G1617" s="298"/>
      <c r="H1617" s="223"/>
      <c r="I1617" s="298">
        <f>IFERROR(__xludf.DUMMYFUNCTION("""COMPUTED_VALUE"""),575.0)</f>
        <v>575</v>
      </c>
      <c r="J1617" s="223" t="str">
        <f>IFERROR(__xludf.DUMMYFUNCTION("""COMPUTED_VALUE"""),"Monthly")</f>
        <v>Monthly</v>
      </c>
      <c r="K1617" s="317">
        <f>IFERROR(__xludf.DUMMYFUNCTION("""COMPUTED_VALUE"""),2022.05)</f>
        <v>2022.05</v>
      </c>
      <c r="L1617" s="298"/>
      <c r="M1617" s="223"/>
      <c r="N1617" s="223"/>
      <c r="O1617" s="223"/>
      <c r="P1617" s="223"/>
      <c r="Q1617" s="223"/>
      <c r="R1617" s="223"/>
      <c r="S1617" s="223"/>
      <c r="T1617" s="223"/>
      <c r="U1617" s="223"/>
      <c r="V1617" s="223"/>
      <c r="W1617" s="223"/>
      <c r="X1617" s="223"/>
      <c r="Y1617" s="223"/>
      <c r="Z1617" s="223"/>
    </row>
    <row r="1618">
      <c r="A1618" s="223" t="str">
        <f>IFERROR(__xludf.DUMMYFUNCTION("""COMPUTED_VALUE"""),"MortgagePal : Monthly Services")</f>
        <v>MortgagePal : Monthly Services</v>
      </c>
      <c r="B1618" s="223" t="str">
        <f>IFERROR(__xludf.DUMMYFUNCTION("""COMPUTED_VALUE"""),"MortgagePal")</f>
        <v>MortgagePal</v>
      </c>
      <c r="C1618" s="223" t="str">
        <f>IFERROR(__xludf.DUMMYFUNCTION("""COMPUTED_VALUE"""),"Monthly Services")</f>
        <v>Monthly Services</v>
      </c>
      <c r="D1618" s="316">
        <f>IFERROR(__xludf.DUMMYFUNCTION("""COMPUTED_VALUE"""),44712.0)</f>
        <v>44712</v>
      </c>
      <c r="E1618" s="298"/>
      <c r="F1618" s="298"/>
      <c r="G1618" s="298"/>
      <c r="H1618" s="223"/>
      <c r="I1618" s="298">
        <f>IFERROR(__xludf.DUMMYFUNCTION("""COMPUTED_VALUE"""),45.0)</f>
        <v>45</v>
      </c>
      <c r="J1618" s="223" t="str">
        <f>IFERROR(__xludf.DUMMYFUNCTION("""COMPUTED_VALUE"""),"Monthly")</f>
        <v>Monthly</v>
      </c>
      <c r="K1618" s="317">
        <f>IFERROR(__xludf.DUMMYFUNCTION("""COMPUTED_VALUE"""),2022.05)</f>
        <v>2022.05</v>
      </c>
      <c r="L1618" s="298"/>
      <c r="M1618" s="223"/>
      <c r="N1618" s="223"/>
      <c r="O1618" s="223"/>
      <c r="P1618" s="223"/>
      <c r="Q1618" s="223"/>
      <c r="R1618" s="223"/>
      <c r="S1618" s="223"/>
      <c r="T1618" s="223"/>
      <c r="U1618" s="223"/>
      <c r="V1618" s="223"/>
      <c r="W1618" s="223"/>
      <c r="X1618" s="223"/>
      <c r="Y1618" s="223"/>
      <c r="Z1618" s="223"/>
    </row>
    <row r="1619">
      <c r="A1619" s="223" t="str">
        <f>IFERROR(__xludf.DUMMYFUNCTION("""COMPUTED_VALUE"""),"Olivia Shoppe : Monthly Services")</f>
        <v>Olivia Shoppe : Monthly Services</v>
      </c>
      <c r="B1619" s="223" t="str">
        <f>IFERROR(__xludf.DUMMYFUNCTION("""COMPUTED_VALUE"""),"Olivia Shoppe")</f>
        <v>Olivia Shoppe</v>
      </c>
      <c r="C1619" s="223" t="str">
        <f>IFERROR(__xludf.DUMMYFUNCTION("""COMPUTED_VALUE"""),"Monthly Services")</f>
        <v>Monthly Services</v>
      </c>
      <c r="D1619" s="316">
        <f>IFERROR(__xludf.DUMMYFUNCTION("""COMPUTED_VALUE"""),44712.0)</f>
        <v>44712</v>
      </c>
      <c r="E1619" s="298"/>
      <c r="F1619" s="298"/>
      <c r="G1619" s="298"/>
      <c r="H1619" s="223"/>
      <c r="I1619" s="298">
        <f>IFERROR(__xludf.DUMMYFUNCTION("""COMPUTED_VALUE"""),60.0)</f>
        <v>60</v>
      </c>
      <c r="J1619" s="223" t="str">
        <f>IFERROR(__xludf.DUMMYFUNCTION("""COMPUTED_VALUE"""),"Monthly")</f>
        <v>Monthly</v>
      </c>
      <c r="K1619" s="317">
        <f>IFERROR(__xludf.DUMMYFUNCTION("""COMPUTED_VALUE"""),2022.05)</f>
        <v>2022.05</v>
      </c>
      <c r="L1619" s="298"/>
      <c r="M1619" s="223"/>
      <c r="N1619" s="223"/>
      <c r="O1619" s="223"/>
      <c r="P1619" s="223"/>
      <c r="Q1619" s="223"/>
      <c r="R1619" s="223"/>
      <c r="S1619" s="223"/>
      <c r="T1619" s="223"/>
      <c r="U1619" s="223"/>
      <c r="V1619" s="223"/>
      <c r="W1619" s="223"/>
      <c r="X1619" s="223"/>
      <c r="Y1619" s="223"/>
      <c r="Z1619" s="223"/>
    </row>
    <row r="1620">
      <c r="A1620" s="223" t="str">
        <f>IFERROR(__xludf.DUMMYFUNCTION("""COMPUTED_VALUE"""),"Tires Easy : Monthly Services for Tires-Easy.com")</f>
        <v>Tires Easy : Monthly Services for Tires-Easy.com</v>
      </c>
      <c r="B1620" s="223" t="str">
        <f>IFERROR(__xludf.DUMMYFUNCTION("""COMPUTED_VALUE"""),"Tires Easy")</f>
        <v>Tires Easy</v>
      </c>
      <c r="C1620" s="223" t="str">
        <f>IFERROR(__xludf.DUMMYFUNCTION("""COMPUTED_VALUE"""),"Monthly Services for Tires-Easy.com")</f>
        <v>Monthly Services for Tires-Easy.com</v>
      </c>
      <c r="D1620" s="316">
        <f>IFERROR(__xludf.DUMMYFUNCTION("""COMPUTED_VALUE"""),44712.0)</f>
        <v>44712</v>
      </c>
      <c r="E1620" s="298"/>
      <c r="F1620" s="298"/>
      <c r="G1620" s="298"/>
      <c r="H1620" s="223"/>
      <c r="I1620" s="298">
        <f>IFERROR(__xludf.DUMMYFUNCTION("""COMPUTED_VALUE"""),245.0)</f>
        <v>245</v>
      </c>
      <c r="J1620" s="223" t="str">
        <f>IFERROR(__xludf.DUMMYFUNCTION("""COMPUTED_VALUE"""),"Monthly")</f>
        <v>Monthly</v>
      </c>
      <c r="K1620" s="317">
        <f>IFERROR(__xludf.DUMMYFUNCTION("""COMPUTED_VALUE"""),2022.05)</f>
        <v>2022.05</v>
      </c>
      <c r="L1620" s="298"/>
      <c r="M1620" s="223"/>
      <c r="N1620" s="223"/>
      <c r="O1620" s="223"/>
      <c r="P1620" s="223"/>
      <c r="Q1620" s="223"/>
      <c r="R1620" s="223"/>
      <c r="S1620" s="223"/>
      <c r="T1620" s="223"/>
      <c r="U1620" s="223"/>
      <c r="V1620" s="223"/>
      <c r="W1620" s="223"/>
      <c r="X1620" s="223"/>
      <c r="Y1620" s="223"/>
      <c r="Z1620" s="223"/>
    </row>
    <row r="1621">
      <c r="A1621" s="223" t="str">
        <f>IFERROR(__xludf.DUMMYFUNCTION("""COMPUTED_VALUE"""),"Giga Tires : Monthly Services")</f>
        <v>Giga Tires : Monthly Services</v>
      </c>
      <c r="B1621" s="223" t="str">
        <f>IFERROR(__xludf.DUMMYFUNCTION("""COMPUTED_VALUE"""),"Giga Tires")</f>
        <v>Giga Tires</v>
      </c>
      <c r="C1621" s="223" t="str">
        <f>IFERROR(__xludf.DUMMYFUNCTION("""COMPUTED_VALUE"""),"Monthly Services")</f>
        <v>Monthly Services</v>
      </c>
      <c r="D1621" s="316">
        <f>IFERROR(__xludf.DUMMYFUNCTION("""COMPUTED_VALUE"""),44712.0)</f>
        <v>44712</v>
      </c>
      <c r="E1621" s="298"/>
      <c r="F1621" s="298"/>
      <c r="G1621" s="298"/>
      <c r="H1621" s="223"/>
      <c r="I1621" s="298">
        <f>IFERROR(__xludf.DUMMYFUNCTION("""COMPUTED_VALUE"""),175.0)</f>
        <v>175</v>
      </c>
      <c r="J1621" s="223" t="str">
        <f>IFERROR(__xludf.DUMMYFUNCTION("""COMPUTED_VALUE"""),"Monthly")</f>
        <v>Monthly</v>
      </c>
      <c r="K1621" s="317">
        <f>IFERROR(__xludf.DUMMYFUNCTION("""COMPUTED_VALUE"""),2022.05)</f>
        <v>2022.05</v>
      </c>
      <c r="L1621" s="298"/>
      <c r="M1621" s="223"/>
      <c r="N1621" s="223"/>
      <c r="O1621" s="223"/>
      <c r="P1621" s="223"/>
      <c r="Q1621" s="223"/>
      <c r="R1621" s="223"/>
      <c r="S1621" s="223"/>
      <c r="T1621" s="223"/>
      <c r="U1621" s="223"/>
      <c r="V1621" s="223"/>
      <c r="W1621" s="223"/>
      <c r="X1621" s="223"/>
      <c r="Y1621" s="223"/>
      <c r="Z1621" s="223"/>
    </row>
    <row r="1622">
      <c r="A1622" s="223" t="str">
        <f>IFERROR(__xludf.DUMMYFUNCTION("""COMPUTED_VALUE"""),"Service First : Monthly Services")</f>
        <v>Service First : Monthly Services</v>
      </c>
      <c r="B1622" s="223" t="str">
        <f>IFERROR(__xludf.DUMMYFUNCTION("""COMPUTED_VALUE"""),"Service First")</f>
        <v>Service First</v>
      </c>
      <c r="C1622" s="223" t="str">
        <f>IFERROR(__xludf.DUMMYFUNCTION("""COMPUTED_VALUE"""),"Monthly Services")</f>
        <v>Monthly Services</v>
      </c>
      <c r="D1622" s="316">
        <f>IFERROR(__xludf.DUMMYFUNCTION("""COMPUTED_VALUE"""),44712.0)</f>
        <v>44712</v>
      </c>
      <c r="E1622" s="298"/>
      <c r="F1622" s="298"/>
      <c r="G1622" s="298"/>
      <c r="H1622" s="223"/>
      <c r="I1622" s="298">
        <f>IFERROR(__xludf.DUMMYFUNCTION("""COMPUTED_VALUE"""),30.0)</f>
        <v>30</v>
      </c>
      <c r="J1622" s="223" t="str">
        <f>IFERROR(__xludf.DUMMYFUNCTION("""COMPUTED_VALUE"""),"Monthly")</f>
        <v>Monthly</v>
      </c>
      <c r="K1622" s="317">
        <f>IFERROR(__xludf.DUMMYFUNCTION("""COMPUTED_VALUE"""),2022.05)</f>
        <v>2022.05</v>
      </c>
      <c r="L1622" s="298"/>
      <c r="M1622" s="223"/>
      <c r="N1622" s="223"/>
      <c r="O1622" s="223"/>
      <c r="P1622" s="223"/>
      <c r="Q1622" s="223"/>
      <c r="R1622" s="223"/>
      <c r="S1622" s="223"/>
      <c r="T1622" s="223"/>
      <c r="U1622" s="223"/>
      <c r="V1622" s="223"/>
      <c r="W1622" s="223"/>
      <c r="X1622" s="223"/>
      <c r="Y1622" s="223"/>
      <c r="Z1622" s="223"/>
    </row>
    <row r="1623">
      <c r="A1623" s="223" t="str">
        <f>IFERROR(__xludf.DUMMYFUNCTION("""COMPUTED_VALUE"""),"HSJ Lawyers : Monthly Services")</f>
        <v>HSJ Lawyers : Monthly Services</v>
      </c>
      <c r="B1623" s="223" t="str">
        <f>IFERROR(__xludf.DUMMYFUNCTION("""COMPUTED_VALUE"""),"HSJ Lawyers")</f>
        <v>HSJ Lawyers</v>
      </c>
      <c r="C1623" s="223" t="str">
        <f>IFERROR(__xludf.DUMMYFUNCTION("""COMPUTED_VALUE"""),"Monthly Services")</f>
        <v>Monthly Services</v>
      </c>
      <c r="D1623" s="316">
        <f>IFERROR(__xludf.DUMMYFUNCTION("""COMPUTED_VALUE"""),44712.0)</f>
        <v>44712</v>
      </c>
      <c r="E1623" s="298"/>
      <c r="F1623" s="298"/>
      <c r="G1623" s="298"/>
      <c r="H1623" s="223"/>
      <c r="I1623" s="298">
        <f>IFERROR(__xludf.DUMMYFUNCTION("""COMPUTED_VALUE"""),75.0)</f>
        <v>75</v>
      </c>
      <c r="J1623" s="223" t="str">
        <f>IFERROR(__xludf.DUMMYFUNCTION("""COMPUTED_VALUE"""),"Monthly")</f>
        <v>Monthly</v>
      </c>
      <c r="K1623" s="317">
        <f>IFERROR(__xludf.DUMMYFUNCTION("""COMPUTED_VALUE"""),2022.05)</f>
        <v>2022.05</v>
      </c>
      <c r="L1623" s="298"/>
      <c r="M1623" s="223"/>
      <c r="N1623" s="223"/>
      <c r="O1623" s="223"/>
      <c r="P1623" s="223"/>
      <c r="Q1623" s="223"/>
      <c r="R1623" s="223"/>
      <c r="S1623" s="223"/>
      <c r="T1623" s="223"/>
      <c r="U1623" s="223"/>
      <c r="V1623" s="223"/>
      <c r="W1623" s="223"/>
      <c r="X1623" s="223"/>
      <c r="Y1623" s="223"/>
      <c r="Z1623" s="223"/>
    </row>
    <row r="1624">
      <c r="A1624" s="223" t="str">
        <f>IFERROR(__xludf.DUMMYFUNCTION("""COMPUTED_VALUE"""),"Booginhead : Monthly Services")</f>
        <v>Booginhead : Monthly Services</v>
      </c>
      <c r="B1624" s="223" t="str">
        <f>IFERROR(__xludf.DUMMYFUNCTION("""COMPUTED_VALUE"""),"Booginhead")</f>
        <v>Booginhead</v>
      </c>
      <c r="C1624" s="223" t="str">
        <f>IFERROR(__xludf.DUMMYFUNCTION("""COMPUTED_VALUE"""),"Monthly Services")</f>
        <v>Monthly Services</v>
      </c>
      <c r="D1624" s="316">
        <f>IFERROR(__xludf.DUMMYFUNCTION("""COMPUTED_VALUE"""),44712.0)</f>
        <v>44712</v>
      </c>
      <c r="E1624" s="298"/>
      <c r="F1624" s="298"/>
      <c r="G1624" s="298"/>
      <c r="H1624" s="223"/>
      <c r="I1624" s="298">
        <f>IFERROR(__xludf.DUMMYFUNCTION("""COMPUTED_VALUE"""),457.5)</f>
        <v>457.5</v>
      </c>
      <c r="J1624" s="223" t="str">
        <f>IFERROR(__xludf.DUMMYFUNCTION("""COMPUTED_VALUE"""),"Monthly")</f>
        <v>Monthly</v>
      </c>
      <c r="K1624" s="317">
        <f>IFERROR(__xludf.DUMMYFUNCTION("""COMPUTED_VALUE"""),2022.05)</f>
        <v>2022.05</v>
      </c>
      <c r="L1624" s="298"/>
      <c r="M1624" s="223"/>
      <c r="N1624" s="223"/>
      <c r="O1624" s="223"/>
      <c r="P1624" s="223"/>
      <c r="Q1624" s="223"/>
      <c r="R1624" s="223"/>
      <c r="S1624" s="223"/>
      <c r="T1624" s="223"/>
      <c r="U1624" s="223"/>
      <c r="V1624" s="223"/>
      <c r="W1624" s="223"/>
      <c r="X1624" s="223"/>
      <c r="Y1624" s="223"/>
      <c r="Z1624" s="223"/>
    </row>
    <row r="1625">
      <c r="A1625" s="223" t="str">
        <f>IFERROR(__xludf.DUMMYFUNCTION("""COMPUTED_VALUE"""),"Arazy Group : Monthly Services")</f>
        <v>Arazy Group : Monthly Services</v>
      </c>
      <c r="B1625" s="223" t="str">
        <f>IFERROR(__xludf.DUMMYFUNCTION("""COMPUTED_VALUE"""),"Arazy Group")</f>
        <v>Arazy Group</v>
      </c>
      <c r="C1625" s="223" t="str">
        <f>IFERROR(__xludf.DUMMYFUNCTION("""COMPUTED_VALUE"""),"Monthly Services")</f>
        <v>Monthly Services</v>
      </c>
      <c r="D1625" s="316">
        <f>IFERROR(__xludf.DUMMYFUNCTION("""COMPUTED_VALUE"""),44712.0)</f>
        <v>44712</v>
      </c>
      <c r="E1625" s="298"/>
      <c r="F1625" s="298"/>
      <c r="G1625" s="298"/>
      <c r="H1625" s="223"/>
      <c r="I1625" s="298">
        <f>IFERROR(__xludf.DUMMYFUNCTION("""COMPUTED_VALUE"""),60.0)</f>
        <v>60</v>
      </c>
      <c r="J1625" s="223" t="str">
        <f>IFERROR(__xludf.DUMMYFUNCTION("""COMPUTED_VALUE"""),"Monthly")</f>
        <v>Monthly</v>
      </c>
      <c r="K1625" s="317">
        <f>IFERROR(__xludf.DUMMYFUNCTION("""COMPUTED_VALUE"""),2022.05)</f>
        <v>2022.05</v>
      </c>
      <c r="L1625" s="298"/>
      <c r="M1625" s="223"/>
      <c r="N1625" s="223"/>
      <c r="O1625" s="223"/>
      <c r="P1625" s="223"/>
      <c r="Q1625" s="223"/>
      <c r="R1625" s="223"/>
      <c r="S1625" s="223"/>
      <c r="T1625" s="223"/>
      <c r="U1625" s="223"/>
      <c r="V1625" s="223"/>
      <c r="W1625" s="223"/>
      <c r="X1625" s="223"/>
      <c r="Y1625" s="223"/>
      <c r="Z1625" s="223"/>
    </row>
    <row r="1626">
      <c r="A1626" s="223" t="str">
        <f>IFERROR(__xludf.DUMMYFUNCTION("""COMPUTED_VALUE"""),"Hastings House : Monthly Services")</f>
        <v>Hastings House : Monthly Services</v>
      </c>
      <c r="B1626" s="223" t="str">
        <f>IFERROR(__xludf.DUMMYFUNCTION("""COMPUTED_VALUE"""),"Hastings House")</f>
        <v>Hastings House</v>
      </c>
      <c r="C1626" s="223" t="str">
        <f>IFERROR(__xludf.DUMMYFUNCTION("""COMPUTED_VALUE"""),"Monthly Services")</f>
        <v>Monthly Services</v>
      </c>
      <c r="D1626" s="316">
        <f>IFERROR(__xludf.DUMMYFUNCTION("""COMPUTED_VALUE"""),44712.0)</f>
        <v>44712</v>
      </c>
      <c r="E1626" s="298"/>
      <c r="F1626" s="298"/>
      <c r="G1626" s="298"/>
      <c r="H1626" s="223"/>
      <c r="I1626" s="298">
        <f>IFERROR(__xludf.DUMMYFUNCTION("""COMPUTED_VALUE"""),347.5)</f>
        <v>347.5</v>
      </c>
      <c r="J1626" s="223" t="str">
        <f>IFERROR(__xludf.DUMMYFUNCTION("""COMPUTED_VALUE"""),"Monthly")</f>
        <v>Monthly</v>
      </c>
      <c r="K1626" s="317">
        <f>IFERROR(__xludf.DUMMYFUNCTION("""COMPUTED_VALUE"""),2022.05)</f>
        <v>2022.05</v>
      </c>
      <c r="L1626" s="298"/>
      <c r="M1626" s="223"/>
      <c r="N1626" s="223"/>
      <c r="O1626" s="223"/>
      <c r="P1626" s="223"/>
      <c r="Q1626" s="223"/>
      <c r="R1626" s="223"/>
      <c r="S1626" s="223"/>
      <c r="T1626" s="223"/>
      <c r="U1626" s="223"/>
      <c r="V1626" s="223"/>
      <c r="W1626" s="223"/>
      <c r="X1626" s="223"/>
      <c r="Y1626" s="223"/>
      <c r="Z1626" s="223"/>
    </row>
    <row r="1627">
      <c r="A1627" s="223" t="str">
        <f>IFERROR(__xludf.DUMMYFUNCTION("""COMPUTED_VALUE"""),"Bratopia : Monthly Services")</f>
        <v>Bratopia : Monthly Services</v>
      </c>
      <c r="B1627" s="223" t="str">
        <f>IFERROR(__xludf.DUMMYFUNCTION("""COMPUTED_VALUE"""),"Bratopia")</f>
        <v>Bratopia</v>
      </c>
      <c r="C1627" s="223" t="str">
        <f>IFERROR(__xludf.DUMMYFUNCTION("""COMPUTED_VALUE"""),"Monthly Services")</f>
        <v>Monthly Services</v>
      </c>
      <c r="D1627" s="316">
        <f>IFERROR(__xludf.DUMMYFUNCTION("""COMPUTED_VALUE"""),44712.0)</f>
        <v>44712</v>
      </c>
      <c r="E1627" s="298"/>
      <c r="F1627" s="298"/>
      <c r="G1627" s="298"/>
      <c r="H1627" s="223"/>
      <c r="I1627" s="298">
        <f>IFERROR(__xludf.DUMMYFUNCTION("""COMPUTED_VALUE"""),400.0)</f>
        <v>400</v>
      </c>
      <c r="J1627" s="223" t="str">
        <f>IFERROR(__xludf.DUMMYFUNCTION("""COMPUTED_VALUE"""),"Monthly")</f>
        <v>Monthly</v>
      </c>
      <c r="K1627" s="317">
        <f>IFERROR(__xludf.DUMMYFUNCTION("""COMPUTED_VALUE"""),2022.05)</f>
        <v>2022.05</v>
      </c>
      <c r="L1627" s="298"/>
      <c r="M1627" s="223"/>
      <c r="N1627" s="223"/>
      <c r="O1627" s="223"/>
      <c r="P1627" s="223"/>
      <c r="Q1627" s="223"/>
      <c r="R1627" s="223"/>
      <c r="S1627" s="223"/>
      <c r="T1627" s="223"/>
      <c r="U1627" s="223"/>
      <c r="V1627" s="223"/>
      <c r="W1627" s="223"/>
      <c r="X1627" s="223"/>
      <c r="Y1627" s="223"/>
      <c r="Z1627" s="223"/>
    </row>
    <row r="1628">
      <c r="A1628" s="223" t="str">
        <f>IFERROR(__xludf.DUMMYFUNCTION("""COMPUTED_VALUE"""),"TisBest : Monthly Services")</f>
        <v>TisBest : Monthly Services</v>
      </c>
      <c r="B1628" s="223" t="str">
        <f>IFERROR(__xludf.DUMMYFUNCTION("""COMPUTED_VALUE"""),"TisBest")</f>
        <v>TisBest</v>
      </c>
      <c r="C1628" s="223" t="str">
        <f>IFERROR(__xludf.DUMMYFUNCTION("""COMPUTED_VALUE"""),"Monthly Services")</f>
        <v>Monthly Services</v>
      </c>
      <c r="D1628" s="316">
        <f>IFERROR(__xludf.DUMMYFUNCTION("""COMPUTED_VALUE"""),44712.0)</f>
        <v>44712</v>
      </c>
      <c r="E1628" s="298"/>
      <c r="F1628" s="298"/>
      <c r="G1628" s="298"/>
      <c r="H1628" s="223"/>
      <c r="I1628" s="298">
        <f>IFERROR(__xludf.DUMMYFUNCTION("""COMPUTED_VALUE"""),300.0)</f>
        <v>300</v>
      </c>
      <c r="J1628" s="223" t="str">
        <f>IFERROR(__xludf.DUMMYFUNCTION("""COMPUTED_VALUE"""),"Monthly")</f>
        <v>Monthly</v>
      </c>
      <c r="K1628" s="317">
        <f>IFERROR(__xludf.DUMMYFUNCTION("""COMPUTED_VALUE"""),2022.05)</f>
        <v>2022.05</v>
      </c>
      <c r="L1628" s="298"/>
      <c r="M1628" s="223"/>
      <c r="N1628" s="223"/>
      <c r="O1628" s="223"/>
      <c r="P1628" s="223"/>
      <c r="Q1628" s="223"/>
      <c r="R1628" s="223"/>
      <c r="S1628" s="223"/>
      <c r="T1628" s="223"/>
      <c r="U1628" s="223"/>
      <c r="V1628" s="223"/>
      <c r="W1628" s="223"/>
      <c r="X1628" s="223"/>
      <c r="Y1628" s="223"/>
      <c r="Z1628" s="223"/>
    </row>
    <row r="1629">
      <c r="A1629" s="223" t="str">
        <f>IFERROR(__xludf.DUMMYFUNCTION("""COMPUTED_VALUE"""),"Wallack's Art Supplies : Monthly Services")</f>
        <v>Wallack's Art Supplies : Monthly Services</v>
      </c>
      <c r="B1629" s="223" t="str">
        <f>IFERROR(__xludf.DUMMYFUNCTION("""COMPUTED_VALUE"""),"Wallack's Art Supplies")</f>
        <v>Wallack's Art Supplies</v>
      </c>
      <c r="C1629" s="223" t="str">
        <f>IFERROR(__xludf.DUMMYFUNCTION("""COMPUTED_VALUE"""),"Monthly Services")</f>
        <v>Monthly Services</v>
      </c>
      <c r="D1629" s="316">
        <f>IFERROR(__xludf.DUMMYFUNCTION("""COMPUTED_VALUE"""),44712.0)</f>
        <v>44712</v>
      </c>
      <c r="E1629" s="298"/>
      <c r="F1629" s="298"/>
      <c r="G1629" s="298"/>
      <c r="H1629" s="223"/>
      <c r="I1629" s="298">
        <f>IFERROR(__xludf.DUMMYFUNCTION("""COMPUTED_VALUE"""),60.0)</f>
        <v>60</v>
      </c>
      <c r="J1629" s="223" t="str">
        <f>IFERROR(__xludf.DUMMYFUNCTION("""COMPUTED_VALUE"""),"Monthly")</f>
        <v>Monthly</v>
      </c>
      <c r="K1629" s="317">
        <f>IFERROR(__xludf.DUMMYFUNCTION("""COMPUTED_VALUE"""),2022.05)</f>
        <v>2022.05</v>
      </c>
      <c r="L1629" s="298"/>
      <c r="M1629" s="223"/>
      <c r="N1629" s="223"/>
      <c r="O1629" s="223"/>
      <c r="P1629" s="223"/>
      <c r="Q1629" s="223"/>
      <c r="R1629" s="223"/>
      <c r="S1629" s="223"/>
      <c r="T1629" s="223"/>
      <c r="U1629" s="223"/>
      <c r="V1629" s="223"/>
      <c r="W1629" s="223"/>
      <c r="X1629" s="223"/>
      <c r="Y1629" s="223"/>
      <c r="Z1629" s="223"/>
    </row>
    <row r="1630">
      <c r="A1630" s="223" t="str">
        <f>IFERROR(__xludf.DUMMYFUNCTION("""COMPUTED_VALUE"""),"PMDI : Monthly Services")</f>
        <v>PMDI : Monthly Services</v>
      </c>
      <c r="B1630" s="223" t="str">
        <f>IFERROR(__xludf.DUMMYFUNCTION("""COMPUTED_VALUE"""),"PMDI")</f>
        <v>PMDI</v>
      </c>
      <c r="C1630" s="223" t="str">
        <f>IFERROR(__xludf.DUMMYFUNCTION("""COMPUTED_VALUE"""),"Monthly Services")</f>
        <v>Monthly Services</v>
      </c>
      <c r="D1630" s="316">
        <f>IFERROR(__xludf.DUMMYFUNCTION("""COMPUTED_VALUE"""),44712.0)</f>
        <v>44712</v>
      </c>
      <c r="E1630" s="298"/>
      <c r="F1630" s="298"/>
      <c r="G1630" s="298"/>
      <c r="H1630" s="223"/>
      <c r="I1630" s="298">
        <f>IFERROR(__xludf.DUMMYFUNCTION("""COMPUTED_VALUE"""),30.0)</f>
        <v>30</v>
      </c>
      <c r="J1630" s="223" t="str">
        <f>IFERROR(__xludf.DUMMYFUNCTION("""COMPUTED_VALUE"""),"Monthly")</f>
        <v>Monthly</v>
      </c>
      <c r="K1630" s="317">
        <f>IFERROR(__xludf.DUMMYFUNCTION("""COMPUTED_VALUE"""),2022.05)</f>
        <v>2022.05</v>
      </c>
      <c r="L1630" s="298"/>
      <c r="M1630" s="223"/>
      <c r="N1630" s="223"/>
      <c r="O1630" s="223"/>
      <c r="P1630" s="223"/>
      <c r="Q1630" s="223"/>
      <c r="R1630" s="223"/>
      <c r="S1630" s="223"/>
      <c r="T1630" s="223"/>
      <c r="U1630" s="223"/>
      <c r="V1630" s="223"/>
      <c r="W1630" s="223"/>
      <c r="X1630" s="223"/>
      <c r="Y1630" s="223"/>
      <c r="Z1630" s="223"/>
    </row>
    <row r="1631">
      <c r="A1631" s="223" t="str">
        <f>IFERROR(__xludf.DUMMYFUNCTION("""COMPUTED_VALUE"""),"Tofino Resort + Marina : Monthly Services")</f>
        <v>Tofino Resort + Marina : Monthly Services</v>
      </c>
      <c r="B1631" s="223" t="str">
        <f>IFERROR(__xludf.DUMMYFUNCTION("""COMPUTED_VALUE"""),"Tofino Resort + Marina")</f>
        <v>Tofino Resort + Marina</v>
      </c>
      <c r="C1631" s="223" t="str">
        <f>IFERROR(__xludf.DUMMYFUNCTION("""COMPUTED_VALUE"""),"Monthly Services")</f>
        <v>Monthly Services</v>
      </c>
      <c r="D1631" s="316">
        <f>IFERROR(__xludf.DUMMYFUNCTION("""COMPUTED_VALUE"""),44712.0)</f>
        <v>44712</v>
      </c>
      <c r="E1631" s="298"/>
      <c r="F1631" s="298"/>
      <c r="G1631" s="298"/>
      <c r="H1631" s="223"/>
      <c r="I1631" s="298">
        <f>IFERROR(__xludf.DUMMYFUNCTION("""COMPUTED_VALUE"""),200.0)</f>
        <v>200</v>
      </c>
      <c r="J1631" s="223" t="str">
        <f>IFERROR(__xludf.DUMMYFUNCTION("""COMPUTED_VALUE"""),"Monthly")</f>
        <v>Monthly</v>
      </c>
      <c r="K1631" s="317">
        <f>IFERROR(__xludf.DUMMYFUNCTION("""COMPUTED_VALUE"""),2022.05)</f>
        <v>2022.05</v>
      </c>
      <c r="L1631" s="298"/>
      <c r="M1631" s="223"/>
      <c r="N1631" s="223"/>
      <c r="O1631" s="223"/>
      <c r="P1631" s="223"/>
      <c r="Q1631" s="223"/>
      <c r="R1631" s="223"/>
      <c r="S1631" s="223"/>
      <c r="T1631" s="223"/>
      <c r="U1631" s="223"/>
      <c r="V1631" s="223"/>
      <c r="W1631" s="223"/>
      <c r="X1631" s="223"/>
      <c r="Y1631" s="223"/>
      <c r="Z1631" s="223"/>
    </row>
    <row r="1632">
      <c r="A1632" s="223" t="str">
        <f>IFERROR(__xludf.DUMMYFUNCTION("""COMPUTED_VALUE"""),"Anook Athletics : Monthly Services")</f>
        <v>Anook Athletics : Monthly Services</v>
      </c>
      <c r="B1632" s="223" t="str">
        <f>IFERROR(__xludf.DUMMYFUNCTION("""COMPUTED_VALUE"""),"Anook Athletics")</f>
        <v>Anook Athletics</v>
      </c>
      <c r="C1632" s="223" t="str">
        <f>IFERROR(__xludf.DUMMYFUNCTION("""COMPUTED_VALUE"""),"Monthly Services")</f>
        <v>Monthly Services</v>
      </c>
      <c r="D1632" s="316">
        <f>IFERROR(__xludf.DUMMYFUNCTION("""COMPUTED_VALUE"""),44712.0)</f>
        <v>44712</v>
      </c>
      <c r="E1632" s="298"/>
      <c r="F1632" s="298"/>
      <c r="G1632" s="298"/>
      <c r="H1632" s="223"/>
      <c r="I1632" s="298">
        <f>IFERROR(__xludf.DUMMYFUNCTION("""COMPUTED_VALUE"""),75.0)</f>
        <v>75</v>
      </c>
      <c r="J1632" s="223" t="str">
        <f>IFERROR(__xludf.DUMMYFUNCTION("""COMPUTED_VALUE"""),"Monthly")</f>
        <v>Monthly</v>
      </c>
      <c r="K1632" s="317">
        <f>IFERROR(__xludf.DUMMYFUNCTION("""COMPUTED_VALUE"""),2022.05)</f>
        <v>2022.05</v>
      </c>
      <c r="L1632" s="298"/>
      <c r="M1632" s="223"/>
      <c r="N1632" s="223"/>
      <c r="O1632" s="223"/>
      <c r="P1632" s="223"/>
      <c r="Q1632" s="223"/>
      <c r="R1632" s="223"/>
      <c r="S1632" s="223"/>
      <c r="T1632" s="223"/>
      <c r="U1632" s="223"/>
      <c r="V1632" s="223"/>
      <c r="W1632" s="223"/>
      <c r="X1632" s="223"/>
      <c r="Y1632" s="223"/>
      <c r="Z1632" s="223"/>
    </row>
    <row r="1633">
      <c r="A1633" s="223" t="str">
        <f>IFERROR(__xludf.DUMMYFUNCTION("""COMPUTED_VALUE"""),"New Growth Ecommerce Inc : Monthly Services")</f>
        <v>New Growth Ecommerce Inc : Monthly Services</v>
      </c>
      <c r="B1633" s="223" t="str">
        <f>IFERROR(__xludf.DUMMYFUNCTION("""COMPUTED_VALUE"""),"New Growth Ecommerce Inc")</f>
        <v>New Growth Ecommerce Inc</v>
      </c>
      <c r="C1633" s="223" t="str">
        <f>IFERROR(__xludf.DUMMYFUNCTION("""COMPUTED_VALUE"""),"Monthly Services")</f>
        <v>Monthly Services</v>
      </c>
      <c r="D1633" s="316">
        <f>IFERROR(__xludf.DUMMYFUNCTION("""COMPUTED_VALUE"""),44712.0)</f>
        <v>44712</v>
      </c>
      <c r="E1633" s="298"/>
      <c r="F1633" s="298"/>
      <c r="G1633" s="298"/>
      <c r="H1633" s="223"/>
      <c r="I1633" s="298">
        <f>IFERROR(__xludf.DUMMYFUNCTION("""COMPUTED_VALUE"""),1860.0)</f>
        <v>1860</v>
      </c>
      <c r="J1633" s="223" t="str">
        <f>IFERROR(__xludf.DUMMYFUNCTION("""COMPUTED_VALUE"""),"Monthly")</f>
        <v>Monthly</v>
      </c>
      <c r="K1633" s="317">
        <f>IFERROR(__xludf.DUMMYFUNCTION("""COMPUTED_VALUE"""),2022.05)</f>
        <v>2022.05</v>
      </c>
      <c r="L1633" s="298"/>
      <c r="M1633" s="223"/>
      <c r="N1633" s="223"/>
      <c r="O1633" s="223"/>
      <c r="P1633" s="223"/>
      <c r="Q1633" s="223"/>
      <c r="R1633" s="223"/>
      <c r="S1633" s="223"/>
      <c r="T1633" s="223"/>
      <c r="U1633" s="223"/>
      <c r="V1633" s="223"/>
      <c r="W1633" s="223"/>
      <c r="X1633" s="223"/>
      <c r="Y1633" s="223"/>
      <c r="Z1633" s="223"/>
    </row>
    <row r="1634">
      <c r="A1634" s="223" t="str">
        <f>IFERROR(__xludf.DUMMYFUNCTION("""COMPUTED_VALUE"""),"Argos Products : Monthly Services")</f>
        <v>Argos Products : Monthly Services</v>
      </c>
      <c r="B1634" s="223" t="str">
        <f>IFERROR(__xludf.DUMMYFUNCTION("""COMPUTED_VALUE"""),"Argos Products")</f>
        <v>Argos Products</v>
      </c>
      <c r="C1634" s="223" t="str">
        <f>IFERROR(__xludf.DUMMYFUNCTION("""COMPUTED_VALUE"""),"Monthly Services")</f>
        <v>Monthly Services</v>
      </c>
      <c r="D1634" s="316">
        <f>IFERROR(__xludf.DUMMYFUNCTION("""COMPUTED_VALUE"""),44712.0)</f>
        <v>44712</v>
      </c>
      <c r="E1634" s="298"/>
      <c r="F1634" s="298"/>
      <c r="G1634" s="298"/>
      <c r="H1634" s="223"/>
      <c r="I1634" s="298">
        <f>IFERROR(__xludf.DUMMYFUNCTION("""COMPUTED_VALUE"""),45.0)</f>
        <v>45</v>
      </c>
      <c r="J1634" s="223" t="str">
        <f>IFERROR(__xludf.DUMMYFUNCTION("""COMPUTED_VALUE"""),"Monthly")</f>
        <v>Monthly</v>
      </c>
      <c r="K1634" s="317">
        <f>IFERROR(__xludf.DUMMYFUNCTION("""COMPUTED_VALUE"""),2022.05)</f>
        <v>2022.05</v>
      </c>
      <c r="L1634" s="298"/>
      <c r="M1634" s="223"/>
      <c r="N1634" s="223"/>
      <c r="O1634" s="223"/>
      <c r="P1634" s="223"/>
      <c r="Q1634" s="223"/>
      <c r="R1634" s="223"/>
      <c r="S1634" s="223"/>
      <c r="T1634" s="223"/>
      <c r="U1634" s="223"/>
      <c r="V1634" s="223"/>
      <c r="W1634" s="223"/>
      <c r="X1634" s="223"/>
      <c r="Y1634" s="223"/>
      <c r="Z1634" s="223"/>
    </row>
    <row r="1635">
      <c r="A1635" s="223" t="str">
        <f>IFERROR(__xludf.DUMMYFUNCTION("""COMPUTED_VALUE"""),"Viridian : Monthly Services")</f>
        <v>Viridian : Monthly Services</v>
      </c>
      <c r="B1635" s="223" t="str">
        <f>IFERROR(__xludf.DUMMYFUNCTION("""COMPUTED_VALUE"""),"Viridian")</f>
        <v>Viridian</v>
      </c>
      <c r="C1635" s="223" t="str">
        <f>IFERROR(__xludf.DUMMYFUNCTION("""COMPUTED_VALUE"""),"Monthly Services")</f>
        <v>Monthly Services</v>
      </c>
      <c r="D1635" s="316">
        <f>IFERROR(__xludf.DUMMYFUNCTION("""COMPUTED_VALUE"""),44712.0)</f>
        <v>44712</v>
      </c>
      <c r="E1635" s="298"/>
      <c r="F1635" s="298"/>
      <c r="G1635" s="298"/>
      <c r="H1635" s="223"/>
      <c r="I1635" s="298">
        <f>IFERROR(__xludf.DUMMYFUNCTION("""COMPUTED_VALUE"""),60.0)</f>
        <v>60</v>
      </c>
      <c r="J1635" s="223" t="str">
        <f>IFERROR(__xludf.DUMMYFUNCTION("""COMPUTED_VALUE"""),"Monthly")</f>
        <v>Monthly</v>
      </c>
      <c r="K1635" s="317">
        <f>IFERROR(__xludf.DUMMYFUNCTION("""COMPUTED_VALUE"""),2022.05)</f>
        <v>2022.05</v>
      </c>
      <c r="L1635" s="298"/>
      <c r="M1635" s="223"/>
      <c r="N1635" s="223"/>
      <c r="O1635" s="223"/>
      <c r="P1635" s="223"/>
      <c r="Q1635" s="223"/>
      <c r="R1635" s="223"/>
      <c r="S1635" s="223"/>
      <c r="T1635" s="223"/>
      <c r="U1635" s="223"/>
      <c r="V1635" s="223"/>
      <c r="W1635" s="223"/>
      <c r="X1635" s="223"/>
      <c r="Y1635" s="223"/>
      <c r="Z1635" s="223"/>
    </row>
    <row r="1636">
      <c r="A1636" s="223" t="str">
        <f>IFERROR(__xludf.DUMMYFUNCTION("""COMPUTED_VALUE"""),"Tugwell : 6 Month PPC")</f>
        <v>Tugwell : 6 Month PPC</v>
      </c>
      <c r="B1636" s="223" t="str">
        <f>IFERROR(__xludf.DUMMYFUNCTION("""COMPUTED_VALUE"""),"Tugwell")</f>
        <v>Tugwell</v>
      </c>
      <c r="C1636" s="223" t="str">
        <f>IFERROR(__xludf.DUMMYFUNCTION("""COMPUTED_VALUE"""),"6 Month PPC")</f>
        <v>6 Month PPC</v>
      </c>
      <c r="D1636" s="316">
        <f>IFERROR(__xludf.DUMMYFUNCTION("""COMPUTED_VALUE"""),44712.0)</f>
        <v>44712</v>
      </c>
      <c r="E1636" s="298"/>
      <c r="F1636" s="298"/>
      <c r="G1636" s="298"/>
      <c r="H1636" s="223"/>
      <c r="I1636" s="298">
        <f>IFERROR(__xludf.DUMMYFUNCTION("""COMPUTED_VALUE"""),30.0)</f>
        <v>30</v>
      </c>
      <c r="J1636" s="223" t="str">
        <f>IFERROR(__xludf.DUMMYFUNCTION("""COMPUTED_VALUE"""),"Fixed Project")</f>
        <v>Fixed Project</v>
      </c>
      <c r="K1636" s="317">
        <f>IFERROR(__xludf.DUMMYFUNCTION("""COMPUTED_VALUE"""),2022.0)</f>
        <v>2022</v>
      </c>
      <c r="L1636" s="298"/>
      <c r="M1636" s="223"/>
      <c r="N1636" s="223"/>
      <c r="O1636" s="223"/>
      <c r="P1636" s="223"/>
      <c r="Q1636" s="223"/>
      <c r="R1636" s="223"/>
      <c r="S1636" s="223"/>
      <c r="T1636" s="223"/>
      <c r="U1636" s="223"/>
      <c r="V1636" s="223"/>
      <c r="W1636" s="223"/>
      <c r="X1636" s="223"/>
      <c r="Y1636" s="223"/>
      <c r="Z1636" s="223"/>
    </row>
    <row r="1637">
      <c r="A1637" s="223" t="str">
        <f>IFERROR(__xludf.DUMMYFUNCTION("""COMPUTED_VALUE"""),"UnityWest Capital : Jericho Energy Ventures 6 month project")</f>
        <v>UnityWest Capital : Jericho Energy Ventures 6 month project</v>
      </c>
      <c r="B1637" s="223" t="str">
        <f>IFERROR(__xludf.DUMMYFUNCTION("""COMPUTED_VALUE"""),"UnityWest Capital")</f>
        <v>UnityWest Capital</v>
      </c>
      <c r="C1637" s="223" t="str">
        <f>IFERROR(__xludf.DUMMYFUNCTION("""COMPUTED_VALUE"""),"Jericho Energy Ventures 6 month project")</f>
        <v>Jericho Energy Ventures 6 month project</v>
      </c>
      <c r="D1637" s="316">
        <f>IFERROR(__xludf.DUMMYFUNCTION("""COMPUTED_VALUE"""),44712.0)</f>
        <v>44712</v>
      </c>
      <c r="E1637" s="298"/>
      <c r="F1637" s="298"/>
      <c r="G1637" s="298"/>
      <c r="H1637" s="223"/>
      <c r="I1637" s="298">
        <f>IFERROR(__xludf.DUMMYFUNCTION("""COMPUTED_VALUE"""),650.0)</f>
        <v>650</v>
      </c>
      <c r="J1637" s="223" t="str">
        <f>IFERROR(__xludf.DUMMYFUNCTION("""COMPUTED_VALUE"""),"Monthly")</f>
        <v>Monthly</v>
      </c>
      <c r="K1637" s="317">
        <f>IFERROR(__xludf.DUMMYFUNCTION("""COMPUTED_VALUE"""),2022.05)</f>
        <v>2022.05</v>
      </c>
      <c r="L1637" s="298"/>
      <c r="M1637" s="223"/>
      <c r="N1637" s="223"/>
      <c r="O1637" s="223"/>
      <c r="P1637" s="223"/>
      <c r="Q1637" s="223"/>
      <c r="R1637" s="223"/>
      <c r="S1637" s="223"/>
      <c r="T1637" s="223"/>
      <c r="U1637" s="223"/>
      <c r="V1637" s="223"/>
      <c r="W1637" s="223"/>
      <c r="X1637" s="223"/>
      <c r="Y1637" s="223"/>
      <c r="Z1637" s="223"/>
    </row>
    <row r="1638">
      <c r="A1638" s="223" t="str">
        <f>IFERROR(__xludf.DUMMYFUNCTION("""COMPUTED_VALUE"""),"Terra Insights : PPC Overhauls and SEO Matrix")</f>
        <v>Terra Insights : PPC Overhauls and SEO Matrix</v>
      </c>
      <c r="B1638" s="223" t="str">
        <f>IFERROR(__xludf.DUMMYFUNCTION("""COMPUTED_VALUE"""),"Terra Insights")</f>
        <v>Terra Insights</v>
      </c>
      <c r="C1638" s="223" t="str">
        <f>IFERROR(__xludf.DUMMYFUNCTION("""COMPUTED_VALUE"""),"PPC Overhauls and SEO Matrix")</f>
        <v>PPC Overhauls and SEO Matrix</v>
      </c>
      <c r="D1638" s="316">
        <f>IFERROR(__xludf.DUMMYFUNCTION("""COMPUTED_VALUE"""),44712.0)</f>
        <v>44712</v>
      </c>
      <c r="E1638" s="298"/>
      <c r="F1638" s="298"/>
      <c r="G1638" s="298"/>
      <c r="H1638" s="223"/>
      <c r="I1638" s="298">
        <f>IFERROR(__xludf.DUMMYFUNCTION("""COMPUTED_VALUE"""),1250.0)</f>
        <v>1250</v>
      </c>
      <c r="J1638" s="223" t="str">
        <f>IFERROR(__xludf.DUMMYFUNCTION("""COMPUTED_VALUE"""),"Fixed Project")</f>
        <v>Fixed Project</v>
      </c>
      <c r="K1638" s="317">
        <f>IFERROR(__xludf.DUMMYFUNCTION("""COMPUTED_VALUE"""),2022.0)</f>
        <v>2022</v>
      </c>
      <c r="L1638" s="298"/>
      <c r="M1638" s="223"/>
      <c r="N1638" s="223"/>
      <c r="O1638" s="223"/>
      <c r="P1638" s="223"/>
      <c r="Q1638" s="223"/>
      <c r="R1638" s="223"/>
      <c r="S1638" s="223"/>
      <c r="T1638" s="223"/>
      <c r="U1638" s="223"/>
      <c r="V1638" s="223"/>
      <c r="W1638" s="223"/>
      <c r="X1638" s="223"/>
      <c r="Y1638" s="223"/>
      <c r="Z1638" s="223"/>
    </row>
    <row r="1639">
      <c r="A1639" s="223" t="str">
        <f>IFERROR(__xludf.DUMMYFUNCTION("""COMPUTED_VALUE"""),"Crisp Media : Genus Capital Managment PPC")</f>
        <v>Crisp Media : Genus Capital Managment PPC</v>
      </c>
      <c r="B1639" s="223" t="str">
        <f>IFERROR(__xludf.DUMMYFUNCTION("""COMPUTED_VALUE"""),"Crisp Media")</f>
        <v>Crisp Media</v>
      </c>
      <c r="C1639" s="223" t="str">
        <f>IFERROR(__xludf.DUMMYFUNCTION("""COMPUTED_VALUE"""),"Genus Capital Managment PPC")</f>
        <v>Genus Capital Managment PPC</v>
      </c>
      <c r="D1639" s="316">
        <f>IFERROR(__xludf.DUMMYFUNCTION("""COMPUTED_VALUE"""),44712.0)</f>
        <v>44712</v>
      </c>
      <c r="E1639" s="298"/>
      <c r="F1639" s="298"/>
      <c r="G1639" s="298"/>
      <c r="H1639" s="223"/>
      <c r="I1639" s="298">
        <f>IFERROR(__xludf.DUMMYFUNCTION("""COMPUTED_VALUE"""),390.0)</f>
        <v>390</v>
      </c>
      <c r="J1639" s="223" t="str">
        <f>IFERROR(__xludf.DUMMYFUNCTION("""COMPUTED_VALUE"""),"Fixed Project")</f>
        <v>Fixed Project</v>
      </c>
      <c r="K1639" s="317">
        <f>IFERROR(__xludf.DUMMYFUNCTION("""COMPUTED_VALUE"""),2022.0)</f>
        <v>2022</v>
      </c>
      <c r="L1639" s="298"/>
      <c r="M1639" s="223"/>
      <c r="N1639" s="223"/>
      <c r="O1639" s="223"/>
      <c r="P1639" s="223"/>
      <c r="Q1639" s="223"/>
      <c r="R1639" s="223"/>
      <c r="S1639" s="223"/>
      <c r="T1639" s="223"/>
      <c r="U1639" s="223"/>
      <c r="V1639" s="223"/>
      <c r="W1639" s="223"/>
      <c r="X1639" s="223"/>
      <c r="Y1639" s="223"/>
      <c r="Z1639" s="223"/>
    </row>
    <row r="1640">
      <c r="A1640" s="223" t="str">
        <f>IFERROR(__xludf.DUMMYFUNCTION("""COMPUTED_VALUE"""),"Howard Fine Jewellers : Howard SEO Review &amp; Recommendations")</f>
        <v>Howard Fine Jewellers : Howard SEO Review &amp; Recommendations</v>
      </c>
      <c r="B1640" s="223" t="str">
        <f>IFERROR(__xludf.DUMMYFUNCTION("""COMPUTED_VALUE"""),"Howard Fine Jewellers")</f>
        <v>Howard Fine Jewellers</v>
      </c>
      <c r="C1640" s="223" t="str">
        <f>IFERROR(__xludf.DUMMYFUNCTION("""COMPUTED_VALUE"""),"Howard SEO Review &amp; Recommendations")</f>
        <v>Howard SEO Review &amp; Recommendations</v>
      </c>
      <c r="D1640" s="316">
        <f>IFERROR(__xludf.DUMMYFUNCTION("""COMPUTED_VALUE"""),44712.0)</f>
        <v>44712</v>
      </c>
      <c r="E1640" s="298"/>
      <c r="F1640" s="298"/>
      <c r="G1640" s="298"/>
      <c r="H1640" s="223"/>
      <c r="I1640" s="298">
        <f>IFERROR(__xludf.DUMMYFUNCTION("""COMPUTED_VALUE"""),300.0)</f>
        <v>300</v>
      </c>
      <c r="J1640" s="223" t="str">
        <f>IFERROR(__xludf.DUMMYFUNCTION("""COMPUTED_VALUE"""),"Fixed Project")</f>
        <v>Fixed Project</v>
      </c>
      <c r="K1640" s="317">
        <f>IFERROR(__xludf.DUMMYFUNCTION("""COMPUTED_VALUE"""),2022.0)</f>
        <v>2022</v>
      </c>
      <c r="L1640" s="298"/>
      <c r="M1640" s="223"/>
      <c r="N1640" s="223"/>
      <c r="O1640" s="223"/>
      <c r="P1640" s="223"/>
      <c r="Q1640" s="223"/>
      <c r="R1640" s="223"/>
      <c r="S1640" s="223"/>
      <c r="T1640" s="223"/>
      <c r="U1640" s="223"/>
      <c r="V1640" s="223"/>
      <c r="W1640" s="223"/>
      <c r="X1640" s="223"/>
      <c r="Y1640" s="223"/>
      <c r="Z1640" s="223"/>
    </row>
    <row r="1641">
      <c r="A1641" s="223" t="str">
        <f>IFERROR(__xludf.DUMMYFUNCTION("""COMPUTED_VALUE"""),"FIKSE Wheels : Google First Month Search Ad Setup")</f>
        <v>FIKSE Wheels : Google First Month Search Ad Setup</v>
      </c>
      <c r="B1641" s="223" t="str">
        <f>IFERROR(__xludf.DUMMYFUNCTION("""COMPUTED_VALUE"""),"FIKSE Wheels")</f>
        <v>FIKSE Wheels</v>
      </c>
      <c r="C1641" s="223" t="str">
        <f>IFERROR(__xludf.DUMMYFUNCTION("""COMPUTED_VALUE"""),"Google First Month Search Ad Setup")</f>
        <v>Google First Month Search Ad Setup</v>
      </c>
      <c r="D1641" s="316">
        <f>IFERROR(__xludf.DUMMYFUNCTION("""COMPUTED_VALUE"""),44712.0)</f>
        <v>44712</v>
      </c>
      <c r="E1641" s="298"/>
      <c r="F1641" s="298"/>
      <c r="G1641" s="298"/>
      <c r="H1641" s="223"/>
      <c r="I1641" s="298">
        <f>IFERROR(__xludf.DUMMYFUNCTION("""COMPUTED_VALUE"""),250.0)</f>
        <v>250</v>
      </c>
      <c r="J1641" s="223" t="str">
        <f>IFERROR(__xludf.DUMMYFUNCTION("""COMPUTED_VALUE"""),"Fixed Project")</f>
        <v>Fixed Project</v>
      </c>
      <c r="K1641" s="317">
        <f>IFERROR(__xludf.DUMMYFUNCTION("""COMPUTED_VALUE"""),2022.0)</f>
        <v>2022</v>
      </c>
      <c r="L1641" s="298"/>
      <c r="M1641" s="223"/>
      <c r="N1641" s="223"/>
      <c r="O1641" s="223"/>
      <c r="P1641" s="223"/>
      <c r="Q1641" s="223"/>
      <c r="R1641" s="223"/>
      <c r="S1641" s="223"/>
      <c r="T1641" s="223"/>
      <c r="U1641" s="223"/>
      <c r="V1641" s="223"/>
      <c r="W1641" s="223"/>
      <c r="X1641" s="223"/>
      <c r="Y1641" s="223"/>
      <c r="Z1641" s="223"/>
    </row>
    <row r="1642">
      <c r="A1642" s="223" t="str">
        <f>IFERROR(__xludf.DUMMYFUNCTION("""COMPUTED_VALUE"""),"Hastings House : Monthly Services")</f>
        <v>Hastings House : Monthly Services</v>
      </c>
      <c r="B1642" s="223" t="str">
        <f>IFERROR(__xludf.DUMMYFUNCTION("""COMPUTED_VALUE"""),"Hastings House")</f>
        <v>Hastings House</v>
      </c>
      <c r="C1642" s="223" t="str">
        <f>IFERROR(__xludf.DUMMYFUNCTION("""COMPUTED_VALUE"""),"Monthly Services")</f>
        <v>Monthly Services</v>
      </c>
      <c r="D1642" s="316">
        <f>IFERROR(__xludf.DUMMYFUNCTION("""COMPUTED_VALUE"""),44712.0)</f>
        <v>44712</v>
      </c>
      <c r="E1642" s="298"/>
      <c r="F1642" s="298"/>
      <c r="G1642" s="298"/>
      <c r="H1642" s="223"/>
      <c r="I1642" s="298">
        <f>IFERROR(__xludf.DUMMYFUNCTION("""COMPUTED_VALUE"""),350.0)</f>
        <v>350</v>
      </c>
      <c r="J1642" s="223" t="str">
        <f>IFERROR(__xludf.DUMMYFUNCTION("""COMPUTED_VALUE"""),"Monthly")</f>
        <v>Monthly</v>
      </c>
      <c r="K1642" s="317">
        <f>IFERROR(__xludf.DUMMYFUNCTION("""COMPUTED_VALUE"""),2022.05)</f>
        <v>2022.05</v>
      </c>
      <c r="L1642" s="298"/>
      <c r="M1642" s="223"/>
      <c r="N1642" s="223"/>
      <c r="O1642" s="223"/>
      <c r="P1642" s="223"/>
      <c r="Q1642" s="223"/>
      <c r="R1642" s="223"/>
      <c r="S1642" s="223"/>
      <c r="T1642" s="223"/>
      <c r="U1642" s="223"/>
      <c r="V1642" s="223"/>
      <c r="W1642" s="223"/>
      <c r="X1642" s="223"/>
      <c r="Y1642" s="223"/>
      <c r="Z1642" s="223"/>
    </row>
    <row r="1643">
      <c r="A1643" s="223" t="str">
        <f>IFERROR(__xludf.DUMMYFUNCTION("""COMPUTED_VALUE"""),"Spraggs : Monthly Services")</f>
        <v>Spraggs : Monthly Services</v>
      </c>
      <c r="B1643" s="223" t="str">
        <f>IFERROR(__xludf.DUMMYFUNCTION("""COMPUTED_VALUE"""),"Spraggs")</f>
        <v>Spraggs</v>
      </c>
      <c r="C1643" s="223" t="str">
        <f>IFERROR(__xludf.DUMMYFUNCTION("""COMPUTED_VALUE"""),"Monthly Services")</f>
        <v>Monthly Services</v>
      </c>
      <c r="D1643" s="316">
        <f>IFERROR(__xludf.DUMMYFUNCTION("""COMPUTED_VALUE"""),44712.0)</f>
        <v>44712</v>
      </c>
      <c r="E1643" s="298"/>
      <c r="F1643" s="298"/>
      <c r="G1643" s="298"/>
      <c r="H1643" s="223"/>
      <c r="I1643" s="298">
        <f>IFERROR(__xludf.DUMMYFUNCTION("""COMPUTED_VALUE"""),212.5)</f>
        <v>212.5</v>
      </c>
      <c r="J1643" s="223" t="str">
        <f>IFERROR(__xludf.DUMMYFUNCTION("""COMPUTED_VALUE"""),"Monthly")</f>
        <v>Monthly</v>
      </c>
      <c r="K1643" s="317">
        <f>IFERROR(__xludf.DUMMYFUNCTION("""COMPUTED_VALUE"""),2022.05)</f>
        <v>2022.05</v>
      </c>
      <c r="L1643" s="298"/>
      <c r="M1643" s="223"/>
      <c r="N1643" s="223"/>
      <c r="O1643" s="223"/>
      <c r="P1643" s="223"/>
      <c r="Q1643" s="223"/>
      <c r="R1643" s="223"/>
      <c r="S1643" s="223"/>
      <c r="T1643" s="223"/>
      <c r="U1643" s="223"/>
      <c r="V1643" s="223"/>
      <c r="W1643" s="223"/>
      <c r="X1643" s="223"/>
      <c r="Y1643" s="223"/>
      <c r="Z1643" s="223"/>
    </row>
    <row r="1644">
      <c r="A1644" s="223" t="str">
        <f>IFERROR(__xludf.DUMMYFUNCTION("""COMPUTED_VALUE"""),"Availed Technologies : Monthly Services")</f>
        <v>Availed Technologies : Monthly Services</v>
      </c>
      <c r="B1644" s="223" t="str">
        <f>IFERROR(__xludf.DUMMYFUNCTION("""COMPUTED_VALUE"""),"Availed Technologies")</f>
        <v>Availed Technologies</v>
      </c>
      <c r="C1644" s="223" t="str">
        <f>IFERROR(__xludf.DUMMYFUNCTION("""COMPUTED_VALUE"""),"Monthly Services")</f>
        <v>Monthly Services</v>
      </c>
      <c r="D1644" s="316">
        <f>IFERROR(__xludf.DUMMYFUNCTION("""COMPUTED_VALUE"""),44712.0)</f>
        <v>44712</v>
      </c>
      <c r="E1644" s="298"/>
      <c r="F1644" s="298"/>
      <c r="G1644" s="298"/>
      <c r="H1644" s="223"/>
      <c r="I1644" s="298">
        <f>IFERROR(__xludf.DUMMYFUNCTION("""COMPUTED_VALUE"""),175.0)</f>
        <v>175</v>
      </c>
      <c r="J1644" s="223" t="str">
        <f>IFERROR(__xludf.DUMMYFUNCTION("""COMPUTED_VALUE"""),"Monthly")</f>
        <v>Monthly</v>
      </c>
      <c r="K1644" s="317">
        <f>IFERROR(__xludf.DUMMYFUNCTION("""COMPUTED_VALUE"""),2022.05)</f>
        <v>2022.05</v>
      </c>
      <c r="L1644" s="298"/>
      <c r="M1644" s="223"/>
      <c r="N1644" s="223"/>
      <c r="O1644" s="223"/>
      <c r="P1644" s="223"/>
      <c r="Q1644" s="223"/>
      <c r="R1644" s="223"/>
      <c r="S1644" s="223"/>
      <c r="T1644" s="223"/>
      <c r="U1644" s="223"/>
      <c r="V1644" s="223"/>
      <c r="W1644" s="223"/>
      <c r="X1644" s="223"/>
      <c r="Y1644" s="223"/>
      <c r="Z1644" s="223"/>
    </row>
    <row r="1645">
      <c r="A1645" s="223" t="str">
        <f>IFERROR(__xludf.DUMMYFUNCTION("""COMPUTED_VALUE"""),"Viridian : Monthly Services")</f>
        <v>Viridian : Monthly Services</v>
      </c>
      <c r="B1645" s="223" t="str">
        <f>IFERROR(__xludf.DUMMYFUNCTION("""COMPUTED_VALUE"""),"Viridian")</f>
        <v>Viridian</v>
      </c>
      <c r="C1645" s="223" t="str">
        <f>IFERROR(__xludf.DUMMYFUNCTION("""COMPUTED_VALUE"""),"Monthly Services")</f>
        <v>Monthly Services</v>
      </c>
      <c r="D1645" s="316">
        <f>IFERROR(__xludf.DUMMYFUNCTION("""COMPUTED_VALUE"""),44712.0)</f>
        <v>44712</v>
      </c>
      <c r="E1645" s="298"/>
      <c r="F1645" s="298"/>
      <c r="G1645" s="298"/>
      <c r="H1645" s="223"/>
      <c r="I1645" s="298">
        <f>IFERROR(__xludf.DUMMYFUNCTION("""COMPUTED_VALUE"""),312.5)</f>
        <v>312.5</v>
      </c>
      <c r="J1645" s="223" t="str">
        <f>IFERROR(__xludf.DUMMYFUNCTION("""COMPUTED_VALUE"""),"Monthly")</f>
        <v>Monthly</v>
      </c>
      <c r="K1645" s="317">
        <f>IFERROR(__xludf.DUMMYFUNCTION("""COMPUTED_VALUE"""),2022.05)</f>
        <v>2022.05</v>
      </c>
      <c r="L1645" s="298"/>
      <c r="M1645" s="223"/>
      <c r="N1645" s="223"/>
      <c r="O1645" s="223"/>
      <c r="P1645" s="223"/>
      <c r="Q1645" s="223"/>
      <c r="R1645" s="223"/>
      <c r="S1645" s="223"/>
      <c r="T1645" s="223"/>
      <c r="U1645" s="223"/>
      <c r="V1645" s="223"/>
      <c r="W1645" s="223"/>
      <c r="X1645" s="223"/>
      <c r="Y1645" s="223"/>
      <c r="Z1645" s="223"/>
    </row>
    <row r="1646">
      <c r="A1646" s="223" t="str">
        <f>IFERROR(__xludf.DUMMYFUNCTION("""COMPUTED_VALUE"""),"Service First : Monthly Services")</f>
        <v>Service First : Monthly Services</v>
      </c>
      <c r="B1646" s="223" t="str">
        <f>IFERROR(__xludf.DUMMYFUNCTION("""COMPUTED_VALUE"""),"Service First")</f>
        <v>Service First</v>
      </c>
      <c r="C1646" s="223" t="str">
        <f>IFERROR(__xludf.DUMMYFUNCTION("""COMPUTED_VALUE"""),"Monthly Services")</f>
        <v>Monthly Services</v>
      </c>
      <c r="D1646" s="316">
        <f>IFERROR(__xludf.DUMMYFUNCTION("""COMPUTED_VALUE"""),44712.0)</f>
        <v>44712</v>
      </c>
      <c r="E1646" s="298"/>
      <c r="F1646" s="298"/>
      <c r="G1646" s="298"/>
      <c r="H1646" s="223"/>
      <c r="I1646" s="298">
        <f>IFERROR(__xludf.DUMMYFUNCTION("""COMPUTED_VALUE"""),125.0)</f>
        <v>125</v>
      </c>
      <c r="J1646" s="223" t="str">
        <f>IFERROR(__xludf.DUMMYFUNCTION("""COMPUTED_VALUE"""),"Monthly")</f>
        <v>Monthly</v>
      </c>
      <c r="K1646" s="317">
        <f>IFERROR(__xludf.DUMMYFUNCTION("""COMPUTED_VALUE"""),2022.05)</f>
        <v>2022.05</v>
      </c>
      <c r="L1646" s="298"/>
      <c r="M1646" s="223"/>
      <c r="N1646" s="223"/>
      <c r="O1646" s="223"/>
      <c r="P1646" s="223"/>
      <c r="Q1646" s="223"/>
      <c r="R1646" s="223"/>
      <c r="S1646" s="223"/>
      <c r="T1646" s="223"/>
      <c r="U1646" s="223"/>
      <c r="V1646" s="223"/>
      <c r="W1646" s="223"/>
      <c r="X1646" s="223"/>
      <c r="Y1646" s="223"/>
      <c r="Z1646" s="223"/>
    </row>
    <row r="1647">
      <c r="A1647" s="223" t="str">
        <f>IFERROR(__xludf.DUMMYFUNCTION("""COMPUTED_VALUE"""),"BookKing (Pacific Tier) : Monthly Services")</f>
        <v>BookKing (Pacific Tier) : Monthly Services</v>
      </c>
      <c r="B1647" s="223" t="str">
        <f>IFERROR(__xludf.DUMMYFUNCTION("""COMPUTED_VALUE"""),"BookKing (Pacific Tier)")</f>
        <v>BookKing (Pacific Tier)</v>
      </c>
      <c r="C1647" s="223" t="str">
        <f>IFERROR(__xludf.DUMMYFUNCTION("""COMPUTED_VALUE"""),"Monthly Services")</f>
        <v>Monthly Services</v>
      </c>
      <c r="D1647" s="316">
        <f>IFERROR(__xludf.DUMMYFUNCTION("""COMPUTED_VALUE"""),44712.0)</f>
        <v>44712</v>
      </c>
      <c r="E1647" s="298"/>
      <c r="F1647" s="298"/>
      <c r="G1647" s="298"/>
      <c r="H1647" s="223"/>
      <c r="I1647" s="298">
        <f>IFERROR(__xludf.DUMMYFUNCTION("""COMPUTED_VALUE"""),200.0)</f>
        <v>200</v>
      </c>
      <c r="J1647" s="223" t="str">
        <f>IFERROR(__xludf.DUMMYFUNCTION("""COMPUTED_VALUE"""),"Monthly")</f>
        <v>Monthly</v>
      </c>
      <c r="K1647" s="317">
        <f>IFERROR(__xludf.DUMMYFUNCTION("""COMPUTED_VALUE"""),2022.05)</f>
        <v>2022.05</v>
      </c>
      <c r="L1647" s="298"/>
      <c r="M1647" s="223"/>
      <c r="N1647" s="223"/>
      <c r="O1647" s="223"/>
      <c r="P1647" s="223"/>
      <c r="Q1647" s="223"/>
      <c r="R1647" s="223"/>
      <c r="S1647" s="223"/>
      <c r="T1647" s="223"/>
      <c r="U1647" s="223"/>
      <c r="V1647" s="223"/>
      <c r="W1647" s="223"/>
      <c r="X1647" s="223"/>
      <c r="Y1647" s="223"/>
      <c r="Z1647" s="223"/>
    </row>
    <row r="1648">
      <c r="A1648" s="223" t="str">
        <f>IFERROR(__xludf.DUMMYFUNCTION("""COMPUTED_VALUE"""),"MortgagePal : Monthly Services")</f>
        <v>MortgagePal : Monthly Services</v>
      </c>
      <c r="B1648" s="223" t="str">
        <f>IFERROR(__xludf.DUMMYFUNCTION("""COMPUTED_VALUE"""),"MortgagePal")</f>
        <v>MortgagePal</v>
      </c>
      <c r="C1648" s="223" t="str">
        <f>IFERROR(__xludf.DUMMYFUNCTION("""COMPUTED_VALUE"""),"Monthly Services")</f>
        <v>Monthly Services</v>
      </c>
      <c r="D1648" s="316">
        <f>IFERROR(__xludf.DUMMYFUNCTION("""COMPUTED_VALUE"""),44712.0)</f>
        <v>44712</v>
      </c>
      <c r="E1648" s="298"/>
      <c r="F1648" s="298"/>
      <c r="G1648" s="298"/>
      <c r="H1648" s="223"/>
      <c r="I1648" s="298">
        <f>IFERROR(__xludf.DUMMYFUNCTION("""COMPUTED_VALUE"""),212.5)</f>
        <v>212.5</v>
      </c>
      <c r="J1648" s="223" t="str">
        <f>IFERROR(__xludf.DUMMYFUNCTION("""COMPUTED_VALUE"""),"Monthly")</f>
        <v>Monthly</v>
      </c>
      <c r="K1648" s="317">
        <f>IFERROR(__xludf.DUMMYFUNCTION("""COMPUTED_VALUE"""),2022.05)</f>
        <v>2022.05</v>
      </c>
      <c r="L1648" s="298"/>
      <c r="M1648" s="223"/>
      <c r="N1648" s="223"/>
      <c r="O1648" s="223"/>
      <c r="P1648" s="223"/>
      <c r="Q1648" s="223"/>
      <c r="R1648" s="223"/>
      <c r="S1648" s="223"/>
      <c r="T1648" s="223"/>
      <c r="U1648" s="223"/>
      <c r="V1648" s="223"/>
      <c r="W1648" s="223"/>
      <c r="X1648" s="223"/>
      <c r="Y1648" s="223"/>
      <c r="Z1648" s="223"/>
    </row>
    <row r="1649">
      <c r="A1649" s="223" t="str">
        <f>IFERROR(__xludf.DUMMYFUNCTION("""COMPUTED_VALUE"""),"Wallack's Art Supplies : Monthly Services")</f>
        <v>Wallack's Art Supplies : Monthly Services</v>
      </c>
      <c r="B1649" s="223" t="str">
        <f>IFERROR(__xludf.DUMMYFUNCTION("""COMPUTED_VALUE"""),"Wallack's Art Supplies")</f>
        <v>Wallack's Art Supplies</v>
      </c>
      <c r="C1649" s="223" t="str">
        <f>IFERROR(__xludf.DUMMYFUNCTION("""COMPUTED_VALUE"""),"Monthly Services")</f>
        <v>Monthly Services</v>
      </c>
      <c r="D1649" s="316">
        <f>IFERROR(__xludf.DUMMYFUNCTION("""COMPUTED_VALUE"""),44712.0)</f>
        <v>44712</v>
      </c>
      <c r="E1649" s="298"/>
      <c r="F1649" s="298"/>
      <c r="G1649" s="298"/>
      <c r="H1649" s="223"/>
      <c r="I1649" s="298">
        <f>IFERROR(__xludf.DUMMYFUNCTION("""COMPUTED_VALUE"""),250.0)</f>
        <v>250</v>
      </c>
      <c r="J1649" s="223" t="str">
        <f>IFERROR(__xludf.DUMMYFUNCTION("""COMPUTED_VALUE"""),"Monthly")</f>
        <v>Monthly</v>
      </c>
      <c r="K1649" s="317">
        <f>IFERROR(__xludf.DUMMYFUNCTION("""COMPUTED_VALUE"""),2022.05)</f>
        <v>2022.05</v>
      </c>
      <c r="L1649" s="298"/>
      <c r="M1649" s="223"/>
      <c r="N1649" s="223"/>
      <c r="O1649" s="223"/>
      <c r="P1649" s="223"/>
      <c r="Q1649" s="223"/>
      <c r="R1649" s="223"/>
      <c r="S1649" s="223"/>
      <c r="T1649" s="223"/>
      <c r="U1649" s="223"/>
      <c r="V1649" s="223"/>
      <c r="W1649" s="223"/>
      <c r="X1649" s="223"/>
      <c r="Y1649" s="223"/>
      <c r="Z1649" s="223"/>
    </row>
    <row r="1650">
      <c r="A1650" s="223" t="str">
        <f>IFERROR(__xludf.DUMMYFUNCTION("""COMPUTED_VALUE"""),"Anook Athletics : Monthly Services")</f>
        <v>Anook Athletics : Monthly Services</v>
      </c>
      <c r="B1650" s="223" t="str">
        <f>IFERROR(__xludf.DUMMYFUNCTION("""COMPUTED_VALUE"""),"Anook Athletics")</f>
        <v>Anook Athletics</v>
      </c>
      <c r="C1650" s="223" t="str">
        <f>IFERROR(__xludf.DUMMYFUNCTION("""COMPUTED_VALUE"""),"Monthly Services")</f>
        <v>Monthly Services</v>
      </c>
      <c r="D1650" s="316">
        <f>IFERROR(__xludf.DUMMYFUNCTION("""COMPUTED_VALUE"""),44712.0)</f>
        <v>44712</v>
      </c>
      <c r="E1650" s="298"/>
      <c r="F1650" s="298"/>
      <c r="G1650" s="298"/>
      <c r="H1650" s="223"/>
      <c r="I1650" s="298">
        <f>IFERROR(__xludf.DUMMYFUNCTION("""COMPUTED_VALUE"""),500.0)</f>
        <v>500</v>
      </c>
      <c r="J1650" s="223" t="str">
        <f>IFERROR(__xludf.DUMMYFUNCTION("""COMPUTED_VALUE"""),"Monthly")</f>
        <v>Monthly</v>
      </c>
      <c r="K1650" s="317">
        <f>IFERROR(__xludf.DUMMYFUNCTION("""COMPUTED_VALUE"""),2022.05)</f>
        <v>2022.05</v>
      </c>
      <c r="L1650" s="298"/>
      <c r="M1650" s="223"/>
      <c r="N1650" s="223"/>
      <c r="O1650" s="223"/>
      <c r="P1650" s="223"/>
      <c r="Q1650" s="223"/>
      <c r="R1650" s="223"/>
      <c r="S1650" s="223"/>
      <c r="T1650" s="223"/>
      <c r="U1650" s="223"/>
      <c r="V1650" s="223"/>
      <c r="W1650" s="223"/>
      <c r="X1650" s="223"/>
      <c r="Y1650" s="223"/>
      <c r="Z1650" s="223"/>
    </row>
    <row r="1651">
      <c r="A1651" s="223" t="str">
        <f>IFERROR(__xludf.DUMMYFUNCTION("""COMPUTED_VALUE"""),"PMDI : Monthly Services")</f>
        <v>PMDI : Monthly Services</v>
      </c>
      <c r="B1651" s="223" t="str">
        <f>IFERROR(__xludf.DUMMYFUNCTION("""COMPUTED_VALUE"""),"PMDI")</f>
        <v>PMDI</v>
      </c>
      <c r="C1651" s="223" t="str">
        <f>IFERROR(__xludf.DUMMYFUNCTION("""COMPUTED_VALUE"""),"Monthly Services")</f>
        <v>Monthly Services</v>
      </c>
      <c r="D1651" s="316">
        <f>IFERROR(__xludf.DUMMYFUNCTION("""COMPUTED_VALUE"""),44712.0)</f>
        <v>44712</v>
      </c>
      <c r="E1651" s="298"/>
      <c r="F1651" s="298"/>
      <c r="G1651" s="298"/>
      <c r="H1651" s="223"/>
      <c r="I1651" s="298">
        <f>IFERROR(__xludf.DUMMYFUNCTION("""COMPUTED_VALUE"""),137.5)</f>
        <v>137.5</v>
      </c>
      <c r="J1651" s="223" t="str">
        <f>IFERROR(__xludf.DUMMYFUNCTION("""COMPUTED_VALUE"""),"Monthly")</f>
        <v>Monthly</v>
      </c>
      <c r="K1651" s="317">
        <f>IFERROR(__xludf.DUMMYFUNCTION("""COMPUTED_VALUE"""),2022.05)</f>
        <v>2022.05</v>
      </c>
      <c r="L1651" s="298"/>
      <c r="M1651" s="223"/>
      <c r="N1651" s="223"/>
      <c r="O1651" s="223"/>
      <c r="P1651" s="223"/>
      <c r="Q1651" s="223"/>
      <c r="R1651" s="223"/>
      <c r="S1651" s="223"/>
      <c r="T1651" s="223"/>
      <c r="U1651" s="223"/>
      <c r="V1651" s="223"/>
      <c r="W1651" s="223"/>
      <c r="X1651" s="223"/>
      <c r="Y1651" s="223"/>
      <c r="Z1651" s="223"/>
    </row>
    <row r="1652">
      <c r="A1652" s="223" t="str">
        <f>IFERROR(__xludf.DUMMYFUNCTION("""COMPUTED_VALUE"""),"Olivia Shoppe : Monthly Services")</f>
        <v>Olivia Shoppe : Monthly Services</v>
      </c>
      <c r="B1652" s="223" t="str">
        <f>IFERROR(__xludf.DUMMYFUNCTION("""COMPUTED_VALUE"""),"Olivia Shoppe")</f>
        <v>Olivia Shoppe</v>
      </c>
      <c r="C1652" s="223" t="str">
        <f>IFERROR(__xludf.DUMMYFUNCTION("""COMPUTED_VALUE"""),"Monthly Services")</f>
        <v>Monthly Services</v>
      </c>
      <c r="D1652" s="316">
        <f>IFERROR(__xludf.DUMMYFUNCTION("""COMPUTED_VALUE"""),44712.0)</f>
        <v>44712</v>
      </c>
      <c r="E1652" s="298"/>
      <c r="F1652" s="298"/>
      <c r="G1652" s="298"/>
      <c r="H1652" s="223"/>
      <c r="I1652" s="298">
        <f>IFERROR(__xludf.DUMMYFUNCTION("""COMPUTED_VALUE"""),250.0)</f>
        <v>250</v>
      </c>
      <c r="J1652" s="223" t="str">
        <f>IFERROR(__xludf.DUMMYFUNCTION("""COMPUTED_VALUE"""),"Monthly")</f>
        <v>Monthly</v>
      </c>
      <c r="K1652" s="317">
        <f>IFERROR(__xludf.DUMMYFUNCTION("""COMPUTED_VALUE"""),2022.05)</f>
        <v>2022.05</v>
      </c>
      <c r="L1652" s="298"/>
      <c r="M1652" s="223"/>
      <c r="N1652" s="223"/>
      <c r="O1652" s="223"/>
      <c r="P1652" s="223"/>
      <c r="Q1652" s="223"/>
      <c r="R1652" s="223"/>
      <c r="S1652" s="223"/>
      <c r="T1652" s="223"/>
      <c r="U1652" s="223"/>
      <c r="V1652" s="223"/>
      <c r="W1652" s="223"/>
      <c r="X1652" s="223"/>
      <c r="Y1652" s="223"/>
      <c r="Z1652" s="223"/>
    </row>
    <row r="1653">
      <c r="A1653" s="223" t="str">
        <f>IFERROR(__xludf.DUMMYFUNCTION("""COMPUTED_VALUE"""),"PlusROI : Marketing")</f>
        <v>PlusROI : Marketing</v>
      </c>
      <c r="B1653" s="223" t="str">
        <f>IFERROR(__xludf.DUMMYFUNCTION("""COMPUTED_VALUE"""),"PlusROI")</f>
        <v>PlusROI</v>
      </c>
      <c r="C1653" s="223" t="str">
        <f>IFERROR(__xludf.DUMMYFUNCTION("""COMPUTED_VALUE"""),"Marketing")</f>
        <v>Marketing</v>
      </c>
      <c r="D1653" s="316">
        <f>IFERROR(__xludf.DUMMYFUNCTION("""COMPUTED_VALUE"""),44712.0)</f>
        <v>44712</v>
      </c>
      <c r="E1653" s="298"/>
      <c r="F1653" s="298"/>
      <c r="G1653" s="298"/>
      <c r="H1653" s="223"/>
      <c r="I1653" s="298">
        <f>IFERROR(__xludf.DUMMYFUNCTION("""COMPUTED_VALUE"""),150.0)</f>
        <v>150</v>
      </c>
      <c r="J1653" s="223" t="str">
        <f>IFERROR(__xludf.DUMMYFUNCTION("""COMPUTED_VALUE"""),"Hourly")</f>
        <v>Hourly</v>
      </c>
      <c r="K1653" s="317">
        <f>IFERROR(__xludf.DUMMYFUNCTION("""COMPUTED_VALUE"""),2022.0)</f>
        <v>2022</v>
      </c>
      <c r="L1653" s="298"/>
      <c r="M1653" s="223"/>
      <c r="N1653" s="223"/>
      <c r="O1653" s="223"/>
      <c r="P1653" s="223"/>
      <c r="Q1653" s="223"/>
      <c r="R1653" s="223"/>
      <c r="S1653" s="223"/>
      <c r="T1653" s="223"/>
      <c r="U1653" s="223"/>
      <c r="V1653" s="223"/>
      <c r="W1653" s="223"/>
      <c r="X1653" s="223"/>
      <c r="Y1653" s="223"/>
      <c r="Z1653" s="223"/>
    </row>
    <row r="1654">
      <c r="A1654" s="223" t="str">
        <f>IFERROR(__xludf.DUMMYFUNCTION("""COMPUTED_VALUE"""),"Availed Technologies : Monthly Services")</f>
        <v>Availed Technologies : Monthly Services</v>
      </c>
      <c r="B1654" s="223" t="str">
        <f>IFERROR(__xludf.DUMMYFUNCTION("""COMPUTED_VALUE"""),"Availed Technologies")</f>
        <v>Availed Technologies</v>
      </c>
      <c r="C1654" s="223" t="str">
        <f>IFERROR(__xludf.DUMMYFUNCTION("""COMPUTED_VALUE"""),"Monthly Services")</f>
        <v>Monthly Services</v>
      </c>
      <c r="D1654" s="316">
        <f>IFERROR(__xludf.DUMMYFUNCTION("""COMPUTED_VALUE"""),44712.0)</f>
        <v>44712</v>
      </c>
      <c r="E1654" s="298"/>
      <c r="F1654" s="298"/>
      <c r="G1654" s="298"/>
      <c r="H1654" s="223"/>
      <c r="I1654" s="298">
        <f>IFERROR(__xludf.DUMMYFUNCTION("""COMPUTED_VALUE"""),162.5)</f>
        <v>162.5</v>
      </c>
      <c r="J1654" s="223" t="str">
        <f>IFERROR(__xludf.DUMMYFUNCTION("""COMPUTED_VALUE"""),"Monthly")</f>
        <v>Monthly</v>
      </c>
      <c r="K1654" s="317">
        <f>IFERROR(__xludf.DUMMYFUNCTION("""COMPUTED_VALUE"""),2022.05)</f>
        <v>2022.05</v>
      </c>
      <c r="L1654" s="298"/>
      <c r="M1654" s="223"/>
      <c r="N1654" s="223"/>
      <c r="O1654" s="223"/>
      <c r="P1654" s="223"/>
      <c r="Q1654" s="223"/>
      <c r="R1654" s="223"/>
      <c r="S1654" s="223"/>
      <c r="T1654" s="223"/>
      <c r="U1654" s="223"/>
      <c r="V1654" s="223"/>
      <c r="W1654" s="223"/>
      <c r="X1654" s="223"/>
      <c r="Y1654" s="223"/>
      <c r="Z1654" s="223"/>
    </row>
    <row r="1655">
      <c r="A1655" s="223" t="str">
        <f>IFERROR(__xludf.DUMMYFUNCTION("""COMPUTED_VALUE"""),"Bratopia : Monthly Services")</f>
        <v>Bratopia : Monthly Services</v>
      </c>
      <c r="B1655" s="223" t="str">
        <f>IFERROR(__xludf.DUMMYFUNCTION("""COMPUTED_VALUE"""),"Bratopia")</f>
        <v>Bratopia</v>
      </c>
      <c r="C1655" s="223" t="str">
        <f>IFERROR(__xludf.DUMMYFUNCTION("""COMPUTED_VALUE"""),"Monthly Services")</f>
        <v>Monthly Services</v>
      </c>
      <c r="D1655" s="316">
        <f>IFERROR(__xludf.DUMMYFUNCTION("""COMPUTED_VALUE"""),44712.0)</f>
        <v>44712</v>
      </c>
      <c r="E1655" s="298"/>
      <c r="F1655" s="298"/>
      <c r="G1655" s="298"/>
      <c r="H1655" s="223"/>
      <c r="I1655" s="298">
        <f>IFERROR(__xludf.DUMMYFUNCTION("""COMPUTED_VALUE"""),300.0)</f>
        <v>300</v>
      </c>
      <c r="J1655" s="223" t="str">
        <f>IFERROR(__xludf.DUMMYFUNCTION("""COMPUTED_VALUE"""),"Monthly")</f>
        <v>Monthly</v>
      </c>
      <c r="K1655" s="317">
        <f>IFERROR(__xludf.DUMMYFUNCTION("""COMPUTED_VALUE"""),2022.05)</f>
        <v>2022.05</v>
      </c>
      <c r="L1655" s="298"/>
      <c r="M1655" s="223"/>
      <c r="N1655" s="223"/>
      <c r="O1655" s="223"/>
      <c r="P1655" s="223"/>
      <c r="Q1655" s="223"/>
      <c r="R1655" s="223"/>
      <c r="S1655" s="223"/>
      <c r="T1655" s="223"/>
      <c r="U1655" s="223"/>
      <c r="V1655" s="223"/>
      <c r="W1655" s="223"/>
      <c r="X1655" s="223"/>
      <c r="Y1655" s="223"/>
      <c r="Z1655" s="223"/>
    </row>
    <row r="1656">
      <c r="A1656" s="223" t="str">
        <f>IFERROR(__xludf.DUMMYFUNCTION("""COMPUTED_VALUE"""),"Community Financials : Monthly Services")</f>
        <v>Community Financials : Monthly Services</v>
      </c>
      <c r="B1656" s="223" t="str">
        <f>IFERROR(__xludf.DUMMYFUNCTION("""COMPUTED_VALUE"""),"Community Financials")</f>
        <v>Community Financials</v>
      </c>
      <c r="C1656" s="223" t="str">
        <f>IFERROR(__xludf.DUMMYFUNCTION("""COMPUTED_VALUE"""),"Monthly Services")</f>
        <v>Monthly Services</v>
      </c>
      <c r="D1656" s="316">
        <f>IFERROR(__xludf.DUMMYFUNCTION("""COMPUTED_VALUE"""),44712.0)</f>
        <v>44712</v>
      </c>
      <c r="E1656" s="298"/>
      <c r="F1656" s="298"/>
      <c r="G1656" s="298"/>
      <c r="H1656" s="223"/>
      <c r="I1656" s="298">
        <f>IFERROR(__xludf.DUMMYFUNCTION("""COMPUTED_VALUE"""),550.0)</f>
        <v>550</v>
      </c>
      <c r="J1656" s="223" t="str">
        <f>IFERROR(__xludf.DUMMYFUNCTION("""COMPUTED_VALUE"""),"Monthly")</f>
        <v>Monthly</v>
      </c>
      <c r="K1656" s="317">
        <f>IFERROR(__xludf.DUMMYFUNCTION("""COMPUTED_VALUE"""),2022.05)</f>
        <v>2022.05</v>
      </c>
      <c r="L1656" s="298"/>
      <c r="M1656" s="223"/>
      <c r="N1656" s="223"/>
      <c r="O1656" s="223"/>
      <c r="P1656" s="223"/>
      <c r="Q1656" s="223"/>
      <c r="R1656" s="223"/>
      <c r="S1656" s="223"/>
      <c r="T1656" s="223"/>
      <c r="U1656" s="223"/>
      <c r="V1656" s="223"/>
      <c r="W1656" s="223"/>
      <c r="X1656" s="223"/>
      <c r="Y1656" s="223"/>
      <c r="Z1656" s="223"/>
    </row>
    <row r="1657">
      <c r="A1657" s="223" t="str">
        <f>IFERROR(__xludf.DUMMYFUNCTION("""COMPUTED_VALUE"""),"Technology Rivers : Monthly Services")</f>
        <v>Technology Rivers : Monthly Services</v>
      </c>
      <c r="B1657" s="223" t="str">
        <f>IFERROR(__xludf.DUMMYFUNCTION("""COMPUTED_VALUE"""),"Technology Rivers")</f>
        <v>Technology Rivers</v>
      </c>
      <c r="C1657" s="223" t="str">
        <f>IFERROR(__xludf.DUMMYFUNCTION("""COMPUTED_VALUE"""),"Monthly Services")</f>
        <v>Monthly Services</v>
      </c>
      <c r="D1657" s="316">
        <f>IFERROR(__xludf.DUMMYFUNCTION("""COMPUTED_VALUE"""),44712.0)</f>
        <v>44712</v>
      </c>
      <c r="E1657" s="298"/>
      <c r="F1657" s="298"/>
      <c r="G1657" s="298"/>
      <c r="H1657" s="223"/>
      <c r="I1657" s="298">
        <f>IFERROR(__xludf.DUMMYFUNCTION("""COMPUTED_VALUE"""),225.0)</f>
        <v>225</v>
      </c>
      <c r="J1657" s="223" t="str">
        <f>IFERROR(__xludf.DUMMYFUNCTION("""COMPUTED_VALUE"""),"Monthly")</f>
        <v>Monthly</v>
      </c>
      <c r="K1657" s="317">
        <f>IFERROR(__xludf.DUMMYFUNCTION("""COMPUTED_VALUE"""),2022.05)</f>
        <v>2022.05</v>
      </c>
      <c r="L1657" s="298"/>
      <c r="M1657" s="223"/>
      <c r="N1657" s="223"/>
      <c r="O1657" s="223"/>
      <c r="P1657" s="223"/>
      <c r="Q1657" s="223"/>
      <c r="R1657" s="223"/>
      <c r="S1657" s="223"/>
      <c r="T1657" s="223"/>
      <c r="U1657" s="223"/>
      <c r="V1657" s="223"/>
      <c r="W1657" s="223"/>
      <c r="X1657" s="223"/>
      <c r="Y1657" s="223"/>
      <c r="Z1657" s="223"/>
    </row>
    <row r="1658">
      <c r="A1658" s="223" t="str">
        <f>IFERROR(__xludf.DUMMYFUNCTION("""COMPUTED_VALUE"""),"Terra Insights : PPC Overhauls and SEO Matrix")</f>
        <v>Terra Insights : PPC Overhauls and SEO Matrix</v>
      </c>
      <c r="B1658" s="223" t="str">
        <f>IFERROR(__xludf.DUMMYFUNCTION("""COMPUTED_VALUE"""),"Terra Insights")</f>
        <v>Terra Insights</v>
      </c>
      <c r="C1658" s="223" t="str">
        <f>IFERROR(__xludf.DUMMYFUNCTION("""COMPUTED_VALUE"""),"PPC Overhauls and SEO Matrix")</f>
        <v>PPC Overhauls and SEO Matrix</v>
      </c>
      <c r="D1658" s="316">
        <f>IFERROR(__xludf.DUMMYFUNCTION("""COMPUTED_VALUE"""),44712.0)</f>
        <v>44712</v>
      </c>
      <c r="E1658" s="298"/>
      <c r="F1658" s="298"/>
      <c r="G1658" s="298"/>
      <c r="H1658" s="223"/>
      <c r="I1658" s="298">
        <f>IFERROR(__xludf.DUMMYFUNCTION("""COMPUTED_VALUE"""),1337.5)</f>
        <v>1337.5</v>
      </c>
      <c r="J1658" s="223" t="str">
        <f>IFERROR(__xludf.DUMMYFUNCTION("""COMPUTED_VALUE"""),"Fixed Project")</f>
        <v>Fixed Project</v>
      </c>
      <c r="K1658" s="317">
        <f>IFERROR(__xludf.DUMMYFUNCTION("""COMPUTED_VALUE"""),2022.0)</f>
        <v>2022</v>
      </c>
      <c r="L1658" s="298"/>
      <c r="M1658" s="223"/>
      <c r="N1658" s="223"/>
      <c r="O1658" s="223"/>
      <c r="P1658" s="223"/>
      <c r="Q1658" s="223"/>
      <c r="R1658" s="223"/>
      <c r="S1658" s="223"/>
      <c r="T1658" s="223"/>
      <c r="U1658" s="223"/>
      <c r="V1658" s="223"/>
      <c r="W1658" s="223"/>
      <c r="X1658" s="223"/>
      <c r="Y1658" s="223"/>
      <c r="Z1658" s="223"/>
    </row>
    <row r="1659">
      <c r="A1659" s="223" t="str">
        <f>IFERROR(__xludf.DUMMYFUNCTION("""COMPUTED_VALUE"""),"True Bijoux : Web Presence Review &amp; Recommendations")</f>
        <v>True Bijoux : Web Presence Review &amp; Recommendations</v>
      </c>
      <c r="B1659" s="223" t="str">
        <f>IFERROR(__xludf.DUMMYFUNCTION("""COMPUTED_VALUE"""),"True Bijoux")</f>
        <v>True Bijoux</v>
      </c>
      <c r="C1659" s="223" t="str">
        <f>IFERROR(__xludf.DUMMYFUNCTION("""COMPUTED_VALUE"""),"Web Presence Review &amp; Recommendations")</f>
        <v>Web Presence Review &amp; Recommendations</v>
      </c>
      <c r="D1659" s="316">
        <f>IFERROR(__xludf.DUMMYFUNCTION("""COMPUTED_VALUE"""),44712.0)</f>
        <v>44712</v>
      </c>
      <c r="E1659" s="298"/>
      <c r="F1659" s="298"/>
      <c r="G1659" s="298"/>
      <c r="H1659" s="223"/>
      <c r="I1659" s="298">
        <f>IFERROR(__xludf.DUMMYFUNCTION("""COMPUTED_VALUE"""),537.5)</f>
        <v>537.5</v>
      </c>
      <c r="J1659" s="223" t="str">
        <f>IFERROR(__xludf.DUMMYFUNCTION("""COMPUTED_VALUE"""),"Fixed Project")</f>
        <v>Fixed Project</v>
      </c>
      <c r="K1659" s="317">
        <f>IFERROR(__xludf.DUMMYFUNCTION("""COMPUTED_VALUE"""),2022.0)</f>
        <v>2022</v>
      </c>
      <c r="L1659" s="298"/>
      <c r="M1659" s="223"/>
      <c r="N1659" s="223"/>
      <c r="O1659" s="223"/>
      <c r="P1659" s="223"/>
      <c r="Q1659" s="223"/>
      <c r="R1659" s="223"/>
      <c r="S1659" s="223"/>
      <c r="T1659" s="223"/>
      <c r="U1659" s="223"/>
      <c r="V1659" s="223"/>
      <c r="W1659" s="223"/>
      <c r="X1659" s="223"/>
      <c r="Y1659" s="223"/>
      <c r="Z1659" s="223"/>
    </row>
    <row r="1660">
      <c r="A1660" s="223" t="str">
        <f>IFERROR(__xludf.DUMMYFUNCTION("""COMPUTED_VALUE"""),"Anavara : Website Development")</f>
        <v>Anavara : Website Development</v>
      </c>
      <c r="B1660" s="223" t="str">
        <f>IFERROR(__xludf.DUMMYFUNCTION("""COMPUTED_VALUE"""),"Anavara")</f>
        <v>Anavara</v>
      </c>
      <c r="C1660" s="223" t="str">
        <f>IFERROR(__xludf.DUMMYFUNCTION("""COMPUTED_VALUE"""),"Website Development")</f>
        <v>Website Development</v>
      </c>
      <c r="D1660" s="316">
        <f>IFERROR(__xludf.DUMMYFUNCTION("""COMPUTED_VALUE"""),44712.0)</f>
        <v>44712</v>
      </c>
      <c r="E1660" s="298"/>
      <c r="F1660" s="298"/>
      <c r="G1660" s="298"/>
      <c r="H1660" s="223"/>
      <c r="I1660" s="298">
        <f>IFERROR(__xludf.DUMMYFUNCTION("""COMPUTED_VALUE"""),700.0)</f>
        <v>700</v>
      </c>
      <c r="J1660" s="223" t="str">
        <f>IFERROR(__xludf.DUMMYFUNCTION("""COMPUTED_VALUE"""),"Fixed Project")</f>
        <v>Fixed Project</v>
      </c>
      <c r="K1660" s="317">
        <f>IFERROR(__xludf.DUMMYFUNCTION("""COMPUTED_VALUE"""),2022.0)</f>
        <v>2022</v>
      </c>
      <c r="L1660" s="298"/>
      <c r="M1660" s="223"/>
      <c r="N1660" s="223"/>
      <c r="O1660" s="223"/>
      <c r="P1660" s="223"/>
      <c r="Q1660" s="223"/>
      <c r="R1660" s="223"/>
      <c r="S1660" s="223"/>
      <c r="T1660" s="223"/>
      <c r="U1660" s="223"/>
      <c r="V1660" s="223"/>
      <c r="W1660" s="223"/>
      <c r="X1660" s="223"/>
      <c r="Y1660" s="223"/>
      <c r="Z1660" s="223"/>
    </row>
    <row r="1661">
      <c r="A1661" s="223" t="str">
        <f>IFERROR(__xludf.DUMMYFUNCTION("""COMPUTED_VALUE"""),"Canyon's Construction : Web Presence &amp; SEO Project")</f>
        <v>Canyon's Construction : Web Presence &amp; SEO Project</v>
      </c>
      <c r="B1661" s="223" t="str">
        <f>IFERROR(__xludf.DUMMYFUNCTION("""COMPUTED_VALUE"""),"Canyon's Construction")</f>
        <v>Canyon's Construction</v>
      </c>
      <c r="C1661" s="223" t="str">
        <f>IFERROR(__xludf.DUMMYFUNCTION("""COMPUTED_VALUE"""),"Web Presence &amp; SEO Project")</f>
        <v>Web Presence &amp; SEO Project</v>
      </c>
      <c r="D1661" s="316">
        <f>IFERROR(__xludf.DUMMYFUNCTION("""COMPUTED_VALUE"""),44712.0)</f>
        <v>44712</v>
      </c>
      <c r="E1661" s="298"/>
      <c r="F1661" s="298"/>
      <c r="G1661" s="298"/>
      <c r="H1661" s="223"/>
      <c r="I1661" s="298">
        <f>IFERROR(__xludf.DUMMYFUNCTION("""COMPUTED_VALUE"""),700.0)</f>
        <v>700</v>
      </c>
      <c r="J1661" s="223" t="str">
        <f>IFERROR(__xludf.DUMMYFUNCTION("""COMPUTED_VALUE"""),"Fixed Project")</f>
        <v>Fixed Project</v>
      </c>
      <c r="K1661" s="317">
        <f>IFERROR(__xludf.DUMMYFUNCTION("""COMPUTED_VALUE"""),2022.0)</f>
        <v>2022</v>
      </c>
      <c r="L1661" s="298"/>
      <c r="M1661" s="223"/>
      <c r="N1661" s="223"/>
      <c r="O1661" s="223"/>
      <c r="P1661" s="223"/>
      <c r="Q1661" s="223"/>
      <c r="R1661" s="223"/>
      <c r="S1661" s="223"/>
      <c r="T1661" s="223"/>
      <c r="U1661" s="223"/>
      <c r="V1661" s="223"/>
      <c r="W1661" s="223"/>
      <c r="X1661" s="223"/>
      <c r="Y1661" s="223"/>
      <c r="Z1661" s="223"/>
    </row>
    <row r="1662">
      <c r="A1662" s="223" t="str">
        <f>IFERROR(__xludf.DUMMYFUNCTION("""COMPUTED_VALUE"""),"C360 : SEO Implementation")</f>
        <v>C360 : SEO Implementation</v>
      </c>
      <c r="B1662" s="223" t="str">
        <f>IFERROR(__xludf.DUMMYFUNCTION("""COMPUTED_VALUE"""),"C360")</f>
        <v>C360</v>
      </c>
      <c r="C1662" s="223" t="str">
        <f>IFERROR(__xludf.DUMMYFUNCTION("""COMPUTED_VALUE"""),"SEO Implementation")</f>
        <v>SEO Implementation</v>
      </c>
      <c r="D1662" s="316">
        <f>IFERROR(__xludf.DUMMYFUNCTION("""COMPUTED_VALUE"""),44712.0)</f>
        <v>44712</v>
      </c>
      <c r="E1662" s="298"/>
      <c r="F1662" s="298"/>
      <c r="G1662" s="298"/>
      <c r="H1662" s="223"/>
      <c r="I1662" s="298">
        <f>IFERROR(__xludf.DUMMYFUNCTION("""COMPUTED_VALUE"""),45.0)</f>
        <v>45</v>
      </c>
      <c r="J1662" s="223" t="str">
        <f>IFERROR(__xludf.DUMMYFUNCTION("""COMPUTED_VALUE"""),"Fixed Project")</f>
        <v>Fixed Project</v>
      </c>
      <c r="K1662" s="317">
        <f>IFERROR(__xludf.DUMMYFUNCTION("""COMPUTED_VALUE"""),2022.0)</f>
        <v>2022</v>
      </c>
      <c r="L1662" s="298"/>
      <c r="M1662" s="223"/>
      <c r="N1662" s="223"/>
      <c r="O1662" s="223"/>
      <c r="P1662" s="223"/>
      <c r="Q1662" s="223"/>
      <c r="R1662" s="223"/>
      <c r="S1662" s="223"/>
      <c r="T1662" s="223"/>
      <c r="U1662" s="223"/>
      <c r="V1662" s="223"/>
      <c r="W1662" s="223"/>
      <c r="X1662" s="223"/>
      <c r="Y1662" s="223"/>
      <c r="Z1662" s="223"/>
    </row>
    <row r="1663">
      <c r="A1663" s="223" t="str">
        <f>IFERROR(__xludf.DUMMYFUNCTION("""COMPUTED_VALUE"""),"PlusROI : Admin")</f>
        <v>PlusROI : Admin</v>
      </c>
      <c r="B1663" s="223" t="str">
        <f>IFERROR(__xludf.DUMMYFUNCTION("""COMPUTED_VALUE"""),"PlusROI")</f>
        <v>PlusROI</v>
      </c>
      <c r="C1663" s="223" t="str">
        <f>IFERROR(__xludf.DUMMYFUNCTION("""COMPUTED_VALUE"""),"Admin")</f>
        <v>Admin</v>
      </c>
      <c r="D1663" s="316">
        <f>IFERROR(__xludf.DUMMYFUNCTION("""COMPUTED_VALUE"""),44712.0)</f>
        <v>44712</v>
      </c>
      <c r="E1663" s="298"/>
      <c r="F1663" s="298"/>
      <c r="G1663" s="298"/>
      <c r="H1663" s="223"/>
      <c r="I1663" s="298">
        <f>IFERROR(__xludf.DUMMYFUNCTION("""COMPUTED_VALUE"""),75.0)</f>
        <v>75</v>
      </c>
      <c r="J1663" s="223" t="str">
        <f>IFERROR(__xludf.DUMMYFUNCTION("""COMPUTED_VALUE"""),"Hourly")</f>
        <v>Hourly</v>
      </c>
      <c r="K1663" s="317">
        <f>IFERROR(__xludf.DUMMYFUNCTION("""COMPUTED_VALUE"""),2022.0)</f>
        <v>2022</v>
      </c>
      <c r="L1663" s="298"/>
      <c r="M1663" s="223"/>
      <c r="N1663" s="223"/>
      <c r="O1663" s="223"/>
      <c r="P1663" s="223"/>
      <c r="Q1663" s="223"/>
      <c r="R1663" s="223"/>
      <c r="S1663" s="223"/>
      <c r="T1663" s="223"/>
      <c r="U1663" s="223"/>
      <c r="V1663" s="223"/>
      <c r="W1663" s="223"/>
      <c r="X1663" s="223"/>
      <c r="Y1663" s="223"/>
      <c r="Z1663" s="223"/>
    </row>
    <row r="1664">
      <c r="A1664" s="223" t="str">
        <f>IFERROR(__xludf.DUMMYFUNCTION("""COMPUTED_VALUE"""),"Tuscany : Monthly Services")</f>
        <v>Tuscany : Monthly Services</v>
      </c>
      <c r="B1664" s="223" t="str">
        <f>IFERROR(__xludf.DUMMYFUNCTION("""COMPUTED_VALUE"""),"Tuscany")</f>
        <v>Tuscany</v>
      </c>
      <c r="C1664" s="223" t="str">
        <f>IFERROR(__xludf.DUMMYFUNCTION("""COMPUTED_VALUE"""),"Monthly Services")</f>
        <v>Monthly Services</v>
      </c>
      <c r="D1664" s="316">
        <f>IFERROR(__xludf.DUMMYFUNCTION("""COMPUTED_VALUE"""),44712.0)</f>
        <v>44712</v>
      </c>
      <c r="E1664" s="298"/>
      <c r="F1664" s="298"/>
      <c r="G1664" s="298"/>
      <c r="H1664" s="223"/>
      <c r="I1664" s="298">
        <f>IFERROR(__xludf.DUMMYFUNCTION("""COMPUTED_VALUE"""),662.5)</f>
        <v>662.5</v>
      </c>
      <c r="J1664" s="223" t="str">
        <f>IFERROR(__xludf.DUMMYFUNCTION("""COMPUTED_VALUE"""),"Monthly")</f>
        <v>Monthly</v>
      </c>
      <c r="K1664" s="317">
        <f>IFERROR(__xludf.DUMMYFUNCTION("""COMPUTED_VALUE"""),2022.05)</f>
        <v>2022.05</v>
      </c>
      <c r="L1664" s="298"/>
      <c r="M1664" s="223"/>
      <c r="N1664" s="223"/>
      <c r="O1664" s="223"/>
      <c r="P1664" s="223"/>
      <c r="Q1664" s="223"/>
      <c r="R1664" s="223"/>
      <c r="S1664" s="223"/>
      <c r="T1664" s="223"/>
      <c r="U1664" s="223"/>
      <c r="V1664" s="223"/>
      <c r="W1664" s="223"/>
      <c r="X1664" s="223"/>
      <c r="Y1664" s="223"/>
      <c r="Z1664" s="223"/>
    </row>
    <row r="1665">
      <c r="A1665" s="223" t="str">
        <f>IFERROR(__xludf.DUMMYFUNCTION("""COMPUTED_VALUE"""),"Venetian : Monthly Services")</f>
        <v>Venetian : Monthly Services</v>
      </c>
      <c r="B1665" s="223" t="str">
        <f>IFERROR(__xludf.DUMMYFUNCTION("""COMPUTED_VALUE"""),"Venetian")</f>
        <v>Venetian</v>
      </c>
      <c r="C1665" s="223" t="str">
        <f>IFERROR(__xludf.DUMMYFUNCTION("""COMPUTED_VALUE"""),"Monthly Services")</f>
        <v>Monthly Services</v>
      </c>
      <c r="D1665" s="316">
        <f>IFERROR(__xludf.DUMMYFUNCTION("""COMPUTED_VALUE"""),44712.0)</f>
        <v>44712</v>
      </c>
      <c r="E1665" s="298"/>
      <c r="F1665" s="298"/>
      <c r="G1665" s="298"/>
      <c r="H1665" s="223"/>
      <c r="I1665" s="298">
        <f>IFERROR(__xludf.DUMMYFUNCTION("""COMPUTED_VALUE"""),662.5)</f>
        <v>662.5</v>
      </c>
      <c r="J1665" s="223" t="str">
        <f>IFERROR(__xludf.DUMMYFUNCTION("""COMPUTED_VALUE"""),"Monthly")</f>
        <v>Monthly</v>
      </c>
      <c r="K1665" s="317">
        <f>IFERROR(__xludf.DUMMYFUNCTION("""COMPUTED_VALUE"""),2022.05)</f>
        <v>2022.05</v>
      </c>
      <c r="L1665" s="298"/>
      <c r="M1665" s="223"/>
      <c r="N1665" s="223"/>
      <c r="O1665" s="223"/>
      <c r="P1665" s="223"/>
      <c r="Q1665" s="223"/>
      <c r="R1665" s="223"/>
      <c r="S1665" s="223"/>
      <c r="T1665" s="223"/>
      <c r="U1665" s="223"/>
      <c r="V1665" s="223"/>
      <c r="W1665" s="223"/>
      <c r="X1665" s="223"/>
      <c r="Y1665" s="223"/>
      <c r="Z1665" s="223"/>
    </row>
    <row r="1666">
      <c r="A1666" s="223" t="str">
        <f>IFERROR(__xludf.DUMMYFUNCTION("""COMPUTED_VALUE"""),"Spraggs : Monthly Services")</f>
        <v>Spraggs : Monthly Services</v>
      </c>
      <c r="B1666" s="223" t="str">
        <f>IFERROR(__xludf.DUMMYFUNCTION("""COMPUTED_VALUE"""),"Spraggs")</f>
        <v>Spraggs</v>
      </c>
      <c r="C1666" s="223" t="str">
        <f>IFERROR(__xludf.DUMMYFUNCTION("""COMPUTED_VALUE"""),"Monthly Services")</f>
        <v>Monthly Services</v>
      </c>
      <c r="D1666" s="316">
        <f>IFERROR(__xludf.DUMMYFUNCTION("""COMPUTED_VALUE"""),44712.0)</f>
        <v>44712</v>
      </c>
      <c r="E1666" s="298"/>
      <c r="F1666" s="298"/>
      <c r="G1666" s="298"/>
      <c r="H1666" s="223"/>
      <c r="I1666" s="298">
        <f>IFERROR(__xludf.DUMMYFUNCTION("""COMPUTED_VALUE"""),350.0)</f>
        <v>350</v>
      </c>
      <c r="J1666" s="223" t="str">
        <f>IFERROR(__xludf.DUMMYFUNCTION("""COMPUTED_VALUE"""),"Monthly")</f>
        <v>Monthly</v>
      </c>
      <c r="K1666" s="317">
        <f>IFERROR(__xludf.DUMMYFUNCTION("""COMPUTED_VALUE"""),2022.05)</f>
        <v>2022.05</v>
      </c>
      <c r="L1666" s="298"/>
      <c r="M1666" s="223"/>
      <c r="N1666" s="223"/>
      <c r="O1666" s="223"/>
      <c r="P1666" s="223"/>
      <c r="Q1666" s="223"/>
      <c r="R1666" s="223"/>
      <c r="S1666" s="223"/>
      <c r="T1666" s="223"/>
      <c r="U1666" s="223"/>
      <c r="V1666" s="223"/>
      <c r="W1666" s="223"/>
      <c r="X1666" s="223"/>
      <c r="Y1666" s="223"/>
      <c r="Z1666" s="223"/>
    </row>
    <row r="1667">
      <c r="A1667" s="223" t="str">
        <f>IFERROR(__xludf.DUMMYFUNCTION("""COMPUTED_VALUE"""),"Diversified Health : Monthly Services")</f>
        <v>Diversified Health : Monthly Services</v>
      </c>
      <c r="B1667" s="223" t="str">
        <f>IFERROR(__xludf.DUMMYFUNCTION("""COMPUTED_VALUE"""),"Diversified Health")</f>
        <v>Diversified Health</v>
      </c>
      <c r="C1667" s="223" t="str">
        <f>IFERROR(__xludf.DUMMYFUNCTION("""COMPUTED_VALUE"""),"Monthly Services")</f>
        <v>Monthly Services</v>
      </c>
      <c r="D1667" s="316">
        <f>IFERROR(__xludf.DUMMYFUNCTION("""COMPUTED_VALUE"""),44712.0)</f>
        <v>44712</v>
      </c>
      <c r="E1667" s="298"/>
      <c r="F1667" s="298"/>
      <c r="G1667" s="298"/>
      <c r="H1667" s="223"/>
      <c r="I1667" s="298">
        <f>IFERROR(__xludf.DUMMYFUNCTION("""COMPUTED_VALUE"""),475.0)</f>
        <v>475</v>
      </c>
      <c r="J1667" s="223" t="str">
        <f>IFERROR(__xludf.DUMMYFUNCTION("""COMPUTED_VALUE"""),"Monthly")</f>
        <v>Monthly</v>
      </c>
      <c r="K1667" s="317">
        <f>IFERROR(__xludf.DUMMYFUNCTION("""COMPUTED_VALUE"""),2022.05)</f>
        <v>2022.05</v>
      </c>
      <c r="L1667" s="298"/>
      <c r="M1667" s="223"/>
      <c r="N1667" s="223"/>
      <c r="O1667" s="223"/>
      <c r="P1667" s="223"/>
      <c r="Q1667" s="223"/>
      <c r="R1667" s="223"/>
      <c r="S1667" s="223"/>
      <c r="T1667" s="223"/>
      <c r="U1667" s="223"/>
      <c r="V1667" s="223"/>
      <c r="W1667" s="223"/>
      <c r="X1667" s="223"/>
      <c r="Y1667" s="223"/>
      <c r="Z1667" s="223"/>
    </row>
    <row r="1668">
      <c r="A1668" s="223" t="str">
        <f>IFERROR(__xludf.DUMMYFUNCTION("""COMPUTED_VALUE"""),"TisBest : Monthly Services")</f>
        <v>TisBest : Monthly Services</v>
      </c>
      <c r="B1668" s="223" t="str">
        <f>IFERROR(__xludf.DUMMYFUNCTION("""COMPUTED_VALUE"""),"TisBest")</f>
        <v>TisBest</v>
      </c>
      <c r="C1668" s="223" t="str">
        <f>IFERROR(__xludf.DUMMYFUNCTION("""COMPUTED_VALUE"""),"Monthly Services")</f>
        <v>Monthly Services</v>
      </c>
      <c r="D1668" s="316">
        <f>IFERROR(__xludf.DUMMYFUNCTION("""COMPUTED_VALUE"""),44712.0)</f>
        <v>44712</v>
      </c>
      <c r="E1668" s="298"/>
      <c r="F1668" s="298"/>
      <c r="G1668" s="298"/>
      <c r="H1668" s="223"/>
      <c r="I1668" s="298">
        <f>IFERROR(__xludf.DUMMYFUNCTION("""COMPUTED_VALUE"""),1087.5)</f>
        <v>1087.5</v>
      </c>
      <c r="J1668" s="223" t="str">
        <f>IFERROR(__xludf.DUMMYFUNCTION("""COMPUTED_VALUE"""),"Monthly")</f>
        <v>Monthly</v>
      </c>
      <c r="K1668" s="317">
        <f>IFERROR(__xludf.DUMMYFUNCTION("""COMPUTED_VALUE"""),2022.05)</f>
        <v>2022.05</v>
      </c>
      <c r="L1668" s="298"/>
      <c r="M1668" s="223"/>
      <c r="N1668" s="223"/>
      <c r="O1668" s="223"/>
      <c r="P1668" s="223"/>
      <c r="Q1668" s="223"/>
      <c r="R1668" s="223"/>
      <c r="S1668" s="223"/>
      <c r="T1668" s="223"/>
      <c r="U1668" s="223"/>
      <c r="V1668" s="223"/>
      <c r="W1668" s="223"/>
      <c r="X1668" s="223"/>
      <c r="Y1668" s="223"/>
      <c r="Z1668" s="223"/>
    </row>
    <row r="1669">
      <c r="A1669" s="223" t="str">
        <f>IFERROR(__xludf.DUMMYFUNCTION("""COMPUTED_VALUE"""),"Tofino Resort + Marina : Monthly Services")</f>
        <v>Tofino Resort + Marina : Monthly Services</v>
      </c>
      <c r="B1669" s="223" t="str">
        <f>IFERROR(__xludf.DUMMYFUNCTION("""COMPUTED_VALUE"""),"Tofino Resort + Marina")</f>
        <v>Tofino Resort + Marina</v>
      </c>
      <c r="C1669" s="223" t="str">
        <f>IFERROR(__xludf.DUMMYFUNCTION("""COMPUTED_VALUE"""),"Monthly Services")</f>
        <v>Monthly Services</v>
      </c>
      <c r="D1669" s="316">
        <f>IFERROR(__xludf.DUMMYFUNCTION("""COMPUTED_VALUE"""),44712.0)</f>
        <v>44712</v>
      </c>
      <c r="E1669" s="298"/>
      <c r="F1669" s="298"/>
      <c r="G1669" s="298"/>
      <c r="H1669" s="223"/>
      <c r="I1669" s="298">
        <f>IFERROR(__xludf.DUMMYFUNCTION("""COMPUTED_VALUE"""),450.0)</f>
        <v>450</v>
      </c>
      <c r="J1669" s="223" t="str">
        <f>IFERROR(__xludf.DUMMYFUNCTION("""COMPUTED_VALUE"""),"Monthly")</f>
        <v>Monthly</v>
      </c>
      <c r="K1669" s="317">
        <f>IFERROR(__xludf.DUMMYFUNCTION("""COMPUTED_VALUE"""),2022.05)</f>
        <v>2022.05</v>
      </c>
      <c r="L1669" s="298"/>
      <c r="M1669" s="223"/>
      <c r="N1669" s="223"/>
      <c r="O1669" s="223"/>
      <c r="P1669" s="223"/>
      <c r="Q1669" s="223"/>
      <c r="R1669" s="223"/>
      <c r="S1669" s="223"/>
      <c r="T1669" s="223"/>
      <c r="U1669" s="223"/>
      <c r="V1669" s="223"/>
      <c r="W1669" s="223"/>
      <c r="X1669" s="223"/>
      <c r="Y1669" s="223"/>
      <c r="Z1669" s="223"/>
    </row>
    <row r="1670">
      <c r="A1670" s="223" t="str">
        <f>IFERROR(__xludf.DUMMYFUNCTION("""COMPUTED_VALUE"""),"FIKSE Wheels : Google First Month Search Ad Setup")</f>
        <v>FIKSE Wheels : Google First Month Search Ad Setup</v>
      </c>
      <c r="B1670" s="223" t="str">
        <f>IFERROR(__xludf.DUMMYFUNCTION("""COMPUTED_VALUE"""),"FIKSE Wheels")</f>
        <v>FIKSE Wheels</v>
      </c>
      <c r="C1670" s="223" t="str">
        <f>IFERROR(__xludf.DUMMYFUNCTION("""COMPUTED_VALUE"""),"Google First Month Search Ad Setup")</f>
        <v>Google First Month Search Ad Setup</v>
      </c>
      <c r="D1670" s="316">
        <f>IFERROR(__xludf.DUMMYFUNCTION("""COMPUTED_VALUE"""),44712.0)</f>
        <v>44712</v>
      </c>
      <c r="E1670" s="298"/>
      <c r="F1670" s="298"/>
      <c r="G1670" s="298"/>
      <c r="H1670" s="223"/>
      <c r="I1670" s="298">
        <f>IFERROR(__xludf.DUMMYFUNCTION("""COMPUTED_VALUE"""),50.0)</f>
        <v>50</v>
      </c>
      <c r="J1670" s="223" t="str">
        <f>IFERROR(__xludf.DUMMYFUNCTION("""COMPUTED_VALUE"""),"Fixed Project")</f>
        <v>Fixed Project</v>
      </c>
      <c r="K1670" s="317">
        <f>IFERROR(__xludf.DUMMYFUNCTION("""COMPUTED_VALUE"""),2022.0)</f>
        <v>2022</v>
      </c>
      <c r="L1670" s="298"/>
      <c r="M1670" s="223"/>
      <c r="N1670" s="223"/>
      <c r="O1670" s="223"/>
      <c r="P1670" s="223"/>
      <c r="Q1670" s="223"/>
      <c r="R1670" s="223"/>
      <c r="S1670" s="223"/>
      <c r="T1670" s="223"/>
      <c r="U1670" s="223"/>
      <c r="V1670" s="223"/>
      <c r="W1670" s="223"/>
      <c r="X1670" s="223"/>
      <c r="Y1670" s="223"/>
      <c r="Z1670" s="223"/>
    </row>
    <row r="1671">
      <c r="A1671" s="223" t="str">
        <f>IFERROR(__xludf.DUMMYFUNCTION("""COMPUTED_VALUE"""),"Prime Engineering : Monthly Services")</f>
        <v>Prime Engineering : Monthly Services</v>
      </c>
      <c r="B1671" s="223" t="str">
        <f>IFERROR(__xludf.DUMMYFUNCTION("""COMPUTED_VALUE"""),"Prime Engineering")</f>
        <v>Prime Engineering</v>
      </c>
      <c r="C1671" s="223" t="str">
        <f>IFERROR(__xludf.DUMMYFUNCTION("""COMPUTED_VALUE"""),"Monthly Services")</f>
        <v>Monthly Services</v>
      </c>
      <c r="D1671" s="316">
        <f>IFERROR(__xludf.DUMMYFUNCTION("""COMPUTED_VALUE"""),44712.0)</f>
        <v>44712</v>
      </c>
      <c r="E1671" s="298"/>
      <c r="F1671" s="298"/>
      <c r="G1671" s="298"/>
      <c r="H1671" s="223"/>
      <c r="I1671" s="298">
        <f>IFERROR(__xludf.DUMMYFUNCTION("""COMPUTED_VALUE"""),187.5)</f>
        <v>187.5</v>
      </c>
      <c r="J1671" s="223" t="str">
        <f>IFERROR(__xludf.DUMMYFUNCTION("""COMPUTED_VALUE"""),"Monthly")</f>
        <v>Monthly</v>
      </c>
      <c r="K1671" s="317">
        <f>IFERROR(__xludf.DUMMYFUNCTION("""COMPUTED_VALUE"""),2022.05)</f>
        <v>2022.05</v>
      </c>
      <c r="L1671" s="298"/>
      <c r="M1671" s="223"/>
      <c r="N1671" s="223"/>
      <c r="O1671" s="223"/>
      <c r="P1671" s="223"/>
      <c r="Q1671" s="223"/>
      <c r="R1671" s="223"/>
      <c r="S1671" s="223"/>
      <c r="T1671" s="223"/>
      <c r="U1671" s="223"/>
      <c r="V1671" s="223"/>
      <c r="W1671" s="223"/>
      <c r="X1671" s="223"/>
      <c r="Y1671" s="223"/>
      <c r="Z1671" s="223"/>
    </row>
    <row r="1672">
      <c r="A1672" s="223" t="str">
        <f>IFERROR(__xludf.DUMMYFUNCTION("""COMPUTED_VALUE"""),"PlusROI : Overhead")</f>
        <v>PlusROI : Overhead</v>
      </c>
      <c r="B1672" s="223" t="str">
        <f>IFERROR(__xludf.DUMMYFUNCTION("""COMPUTED_VALUE"""),"PlusROI")</f>
        <v>PlusROI</v>
      </c>
      <c r="C1672" s="223" t="str">
        <f>IFERROR(__xludf.DUMMYFUNCTION("""COMPUTED_VALUE"""),"Overhead")</f>
        <v>Overhead</v>
      </c>
      <c r="D1672" s="316">
        <f>IFERROR(__xludf.DUMMYFUNCTION("""COMPUTED_VALUE"""),44723.0)</f>
        <v>44723</v>
      </c>
      <c r="E1672" s="298"/>
      <c r="F1672" s="298"/>
      <c r="G1672" s="298"/>
      <c r="H1672" s="223"/>
      <c r="I1672" s="298">
        <f>IFERROR(__xludf.DUMMYFUNCTION("""COMPUTED_VALUE"""),65.44)</f>
        <v>65.44</v>
      </c>
      <c r="J1672" s="223" t="str">
        <f>IFERROR(__xludf.DUMMYFUNCTION("""COMPUTED_VALUE"""),"Hourly")</f>
        <v>Hourly</v>
      </c>
      <c r="K1672" s="317">
        <f>IFERROR(__xludf.DUMMYFUNCTION("""COMPUTED_VALUE"""),2022.0)</f>
        <v>2022</v>
      </c>
      <c r="L1672" s="298"/>
      <c r="M1672" s="223"/>
      <c r="N1672" s="223"/>
      <c r="O1672" s="223"/>
      <c r="P1672" s="223"/>
      <c r="Q1672" s="223"/>
      <c r="R1672" s="223"/>
      <c r="S1672" s="223"/>
      <c r="T1672" s="223"/>
      <c r="U1672" s="223"/>
      <c r="V1672" s="223"/>
      <c r="W1672" s="223"/>
      <c r="X1672" s="223"/>
      <c r="Y1672" s="223"/>
      <c r="Z1672" s="223"/>
    </row>
    <row r="1673">
      <c r="A1673" s="223" t="str">
        <f>IFERROR(__xludf.DUMMYFUNCTION("""COMPUTED_VALUE"""),"PlusROI : Overhead")</f>
        <v>PlusROI : Overhead</v>
      </c>
      <c r="B1673" s="223" t="str">
        <f>IFERROR(__xludf.DUMMYFUNCTION("""COMPUTED_VALUE"""),"PlusROI")</f>
        <v>PlusROI</v>
      </c>
      <c r="C1673" s="223" t="str">
        <f>IFERROR(__xludf.DUMMYFUNCTION("""COMPUTED_VALUE"""),"Overhead")</f>
        <v>Overhead</v>
      </c>
      <c r="D1673" s="316">
        <f>IFERROR(__xludf.DUMMYFUNCTION("""COMPUTED_VALUE"""),44723.0)</f>
        <v>44723</v>
      </c>
      <c r="E1673" s="298"/>
      <c r="F1673" s="298"/>
      <c r="G1673" s="298"/>
      <c r="H1673" s="223"/>
      <c r="I1673" s="298">
        <f>IFERROR(__xludf.DUMMYFUNCTION("""COMPUTED_VALUE"""),14.4)</f>
        <v>14.4</v>
      </c>
      <c r="J1673" s="223" t="str">
        <f>IFERROR(__xludf.DUMMYFUNCTION("""COMPUTED_VALUE"""),"Hourly")</f>
        <v>Hourly</v>
      </c>
      <c r="K1673" s="317">
        <f>IFERROR(__xludf.DUMMYFUNCTION("""COMPUTED_VALUE"""),2022.0)</f>
        <v>2022</v>
      </c>
      <c r="L1673" s="298"/>
      <c r="M1673" s="223"/>
      <c r="N1673" s="223"/>
      <c r="O1673" s="223"/>
      <c r="P1673" s="223"/>
      <c r="Q1673" s="223"/>
      <c r="R1673" s="223"/>
      <c r="S1673" s="223"/>
      <c r="T1673" s="223"/>
      <c r="U1673" s="223"/>
      <c r="V1673" s="223"/>
      <c r="W1673" s="223"/>
      <c r="X1673" s="223"/>
      <c r="Y1673" s="223"/>
      <c r="Z1673" s="223"/>
    </row>
    <row r="1674">
      <c r="A1674" s="223" t="str">
        <f>IFERROR(__xludf.DUMMYFUNCTION("""COMPUTED_VALUE"""),"PlusROI : Admin")</f>
        <v>PlusROI : Admin</v>
      </c>
      <c r="B1674" s="223" t="str">
        <f>IFERROR(__xludf.DUMMYFUNCTION("""COMPUTED_VALUE"""),"PlusROI")</f>
        <v>PlusROI</v>
      </c>
      <c r="C1674" s="223" t="str">
        <f>IFERROR(__xludf.DUMMYFUNCTION("""COMPUTED_VALUE"""),"Admin")</f>
        <v>Admin</v>
      </c>
      <c r="D1674" s="316">
        <f>IFERROR(__xludf.DUMMYFUNCTION("""COMPUTED_VALUE"""),44723.0)</f>
        <v>44723</v>
      </c>
      <c r="E1674" s="298"/>
      <c r="F1674" s="298"/>
      <c r="G1674" s="298"/>
      <c r="H1674" s="223"/>
      <c r="I1674" s="298">
        <f>IFERROR(__xludf.DUMMYFUNCTION("""COMPUTED_VALUE"""),103.98)</f>
        <v>103.98</v>
      </c>
      <c r="J1674" s="223" t="str">
        <f>IFERROR(__xludf.DUMMYFUNCTION("""COMPUTED_VALUE"""),"Hourly")</f>
        <v>Hourly</v>
      </c>
      <c r="K1674" s="317">
        <f>IFERROR(__xludf.DUMMYFUNCTION("""COMPUTED_VALUE"""),2022.0)</f>
        <v>2022</v>
      </c>
      <c r="L1674" s="298"/>
      <c r="M1674" s="223"/>
      <c r="N1674" s="223"/>
      <c r="O1674" s="223"/>
      <c r="P1674" s="223"/>
      <c r="Q1674" s="223"/>
      <c r="R1674" s="223"/>
      <c r="S1674" s="223"/>
      <c r="T1674" s="223"/>
      <c r="U1674" s="223"/>
      <c r="V1674" s="223"/>
      <c r="W1674" s="223"/>
      <c r="X1674" s="223"/>
      <c r="Y1674" s="223"/>
      <c r="Z1674" s="223"/>
    </row>
    <row r="1675">
      <c r="A1675" s="223" t="str">
        <f>IFERROR(__xludf.DUMMYFUNCTION("""COMPUTED_VALUE"""),"PlusROI : Admin")</f>
        <v>PlusROI : Admin</v>
      </c>
      <c r="B1675" s="223" t="str">
        <f>IFERROR(__xludf.DUMMYFUNCTION("""COMPUTED_VALUE"""),"PlusROI")</f>
        <v>PlusROI</v>
      </c>
      <c r="C1675" s="223" t="str">
        <f>IFERROR(__xludf.DUMMYFUNCTION("""COMPUTED_VALUE"""),"Admin")</f>
        <v>Admin</v>
      </c>
      <c r="D1675" s="316">
        <f>IFERROR(__xludf.DUMMYFUNCTION("""COMPUTED_VALUE"""),44723.0)</f>
        <v>44723</v>
      </c>
      <c r="E1675" s="298"/>
      <c r="F1675" s="298"/>
      <c r="G1675" s="298"/>
      <c r="H1675" s="223"/>
      <c r="I1675" s="298">
        <f>IFERROR(__xludf.DUMMYFUNCTION("""COMPUTED_VALUE"""),25.83)</f>
        <v>25.83</v>
      </c>
      <c r="J1675" s="223" t="str">
        <f>IFERROR(__xludf.DUMMYFUNCTION("""COMPUTED_VALUE"""),"Hourly")</f>
        <v>Hourly</v>
      </c>
      <c r="K1675" s="317">
        <f>IFERROR(__xludf.DUMMYFUNCTION("""COMPUTED_VALUE"""),2022.0)</f>
        <v>2022</v>
      </c>
      <c r="L1675" s="298"/>
      <c r="M1675" s="223"/>
      <c r="N1675" s="223"/>
      <c r="O1675" s="223"/>
      <c r="P1675" s="223"/>
      <c r="Q1675" s="223"/>
      <c r="R1675" s="223"/>
      <c r="S1675" s="223"/>
      <c r="T1675" s="223"/>
      <c r="U1675" s="223"/>
      <c r="V1675" s="223"/>
      <c r="W1675" s="223"/>
      <c r="X1675" s="223"/>
      <c r="Y1675" s="223"/>
      <c r="Z1675" s="223"/>
    </row>
    <row r="1676">
      <c r="A1676" s="223" t="str">
        <f>IFERROR(__xludf.DUMMYFUNCTION("""COMPUTED_VALUE"""),"PlusROI : Admin")</f>
        <v>PlusROI : Admin</v>
      </c>
      <c r="B1676" s="223" t="str">
        <f>IFERROR(__xludf.DUMMYFUNCTION("""COMPUTED_VALUE"""),"PlusROI")</f>
        <v>PlusROI</v>
      </c>
      <c r="C1676" s="223" t="str">
        <f>IFERROR(__xludf.DUMMYFUNCTION("""COMPUTED_VALUE"""),"Admin")</f>
        <v>Admin</v>
      </c>
      <c r="D1676" s="316">
        <f>IFERROR(__xludf.DUMMYFUNCTION("""COMPUTED_VALUE"""),44723.0)</f>
        <v>44723</v>
      </c>
      <c r="E1676" s="298"/>
      <c r="F1676" s="298"/>
      <c r="G1676" s="298"/>
      <c r="H1676" s="223"/>
      <c r="I1676" s="298">
        <f>IFERROR(__xludf.DUMMYFUNCTION("""COMPUTED_VALUE"""),52.04)</f>
        <v>52.04</v>
      </c>
      <c r="J1676" s="223" t="str">
        <f>IFERROR(__xludf.DUMMYFUNCTION("""COMPUTED_VALUE"""),"Hourly")</f>
        <v>Hourly</v>
      </c>
      <c r="K1676" s="317">
        <f>IFERROR(__xludf.DUMMYFUNCTION("""COMPUTED_VALUE"""),2022.0)</f>
        <v>2022</v>
      </c>
      <c r="L1676" s="298"/>
      <c r="M1676" s="223"/>
      <c r="N1676" s="223"/>
      <c r="O1676" s="223"/>
      <c r="P1676" s="223"/>
      <c r="Q1676" s="223"/>
      <c r="R1676" s="223"/>
      <c r="S1676" s="223"/>
      <c r="T1676" s="223"/>
      <c r="U1676" s="223"/>
      <c r="V1676" s="223"/>
      <c r="W1676" s="223"/>
      <c r="X1676" s="223"/>
      <c r="Y1676" s="223"/>
      <c r="Z1676" s="223"/>
    </row>
    <row r="1677">
      <c r="A1677" s="223" t="str">
        <f>IFERROR(__xludf.DUMMYFUNCTION("""COMPUTED_VALUE"""),"PlusROI : Admin")</f>
        <v>PlusROI : Admin</v>
      </c>
      <c r="B1677" s="223" t="str">
        <f>IFERROR(__xludf.DUMMYFUNCTION("""COMPUTED_VALUE"""),"PlusROI")</f>
        <v>PlusROI</v>
      </c>
      <c r="C1677" s="223" t="str">
        <f>IFERROR(__xludf.DUMMYFUNCTION("""COMPUTED_VALUE"""),"Admin")</f>
        <v>Admin</v>
      </c>
      <c r="D1677" s="316">
        <f>IFERROR(__xludf.DUMMYFUNCTION("""COMPUTED_VALUE"""),44723.0)</f>
        <v>44723</v>
      </c>
      <c r="E1677" s="298"/>
      <c r="F1677" s="298"/>
      <c r="G1677" s="298"/>
      <c r="H1677" s="223"/>
      <c r="I1677" s="298">
        <f>IFERROR(__xludf.DUMMYFUNCTION("""COMPUTED_VALUE"""),50.33)</f>
        <v>50.33</v>
      </c>
      <c r="J1677" s="223" t="str">
        <f>IFERROR(__xludf.DUMMYFUNCTION("""COMPUTED_VALUE"""),"Hourly")</f>
        <v>Hourly</v>
      </c>
      <c r="K1677" s="317">
        <f>IFERROR(__xludf.DUMMYFUNCTION("""COMPUTED_VALUE"""),2022.0)</f>
        <v>2022</v>
      </c>
      <c r="L1677" s="298"/>
      <c r="M1677" s="223"/>
      <c r="N1677" s="223"/>
      <c r="O1677" s="223"/>
      <c r="P1677" s="223"/>
      <c r="Q1677" s="223"/>
      <c r="R1677" s="223"/>
      <c r="S1677" s="223"/>
      <c r="T1677" s="223"/>
      <c r="U1677" s="223"/>
      <c r="V1677" s="223"/>
      <c r="W1677" s="223"/>
      <c r="X1677" s="223"/>
      <c r="Y1677" s="223"/>
      <c r="Z1677" s="223"/>
    </row>
    <row r="1678">
      <c r="A1678" s="223" t="str">
        <f>IFERROR(__xludf.DUMMYFUNCTION("""COMPUTED_VALUE"""),"PlusROI : Admin")</f>
        <v>PlusROI : Admin</v>
      </c>
      <c r="B1678" s="223" t="str">
        <f>IFERROR(__xludf.DUMMYFUNCTION("""COMPUTED_VALUE"""),"PlusROI")</f>
        <v>PlusROI</v>
      </c>
      <c r="C1678" s="223" t="str">
        <f>IFERROR(__xludf.DUMMYFUNCTION("""COMPUTED_VALUE"""),"Admin")</f>
        <v>Admin</v>
      </c>
      <c r="D1678" s="316">
        <f>IFERROR(__xludf.DUMMYFUNCTION("""COMPUTED_VALUE"""),44733.0)</f>
        <v>44733</v>
      </c>
      <c r="E1678" s="298"/>
      <c r="F1678" s="298"/>
      <c r="G1678" s="298"/>
      <c r="H1678" s="223"/>
      <c r="I1678" s="298">
        <f>IFERROR(__xludf.DUMMYFUNCTION("""COMPUTED_VALUE"""),374.5)</f>
        <v>374.5</v>
      </c>
      <c r="J1678" s="223" t="str">
        <f>IFERROR(__xludf.DUMMYFUNCTION("""COMPUTED_VALUE"""),"Hourly")</f>
        <v>Hourly</v>
      </c>
      <c r="K1678" s="317">
        <f>IFERROR(__xludf.DUMMYFUNCTION("""COMPUTED_VALUE"""),2022.0)</f>
        <v>2022</v>
      </c>
      <c r="L1678" s="298"/>
      <c r="M1678" s="223"/>
      <c r="N1678" s="223"/>
      <c r="O1678" s="223"/>
      <c r="P1678" s="223"/>
      <c r="Q1678" s="223"/>
      <c r="R1678" s="223"/>
      <c r="S1678" s="223"/>
      <c r="T1678" s="223"/>
      <c r="U1678" s="223"/>
      <c r="V1678" s="223"/>
      <c r="W1678" s="223"/>
      <c r="X1678" s="223"/>
      <c r="Y1678" s="223"/>
      <c r="Z1678" s="223"/>
    </row>
    <row r="1679">
      <c r="A1679" s="223" t="str">
        <f>IFERROR(__xludf.DUMMYFUNCTION("""COMPUTED_VALUE"""),"Anavara : Website Development")</f>
        <v>Anavara : Website Development</v>
      </c>
      <c r="B1679" s="223" t="str">
        <f>IFERROR(__xludf.DUMMYFUNCTION("""COMPUTED_VALUE"""),"Anavara")</f>
        <v>Anavara</v>
      </c>
      <c r="C1679" s="223" t="str">
        <f>IFERROR(__xludf.DUMMYFUNCTION("""COMPUTED_VALUE"""),"Website Development")</f>
        <v>Website Development</v>
      </c>
      <c r="D1679" s="316">
        <f>IFERROR(__xludf.DUMMYFUNCTION("""COMPUTED_VALUE"""),44712.0)</f>
        <v>44712</v>
      </c>
      <c r="E1679" s="298"/>
      <c r="F1679" s="298"/>
      <c r="G1679" s="298"/>
      <c r="H1679" s="223"/>
      <c r="I1679" s="298">
        <f>IFERROR(__xludf.DUMMYFUNCTION("""COMPUTED_VALUE"""),3082.93)</f>
        <v>3082.93</v>
      </c>
      <c r="J1679" s="223" t="str">
        <f>IFERROR(__xludf.DUMMYFUNCTION("""COMPUTED_VALUE"""),"Fixed Project")</f>
        <v>Fixed Project</v>
      </c>
      <c r="K1679" s="317">
        <f>IFERROR(__xludf.DUMMYFUNCTION("""COMPUTED_VALUE"""),2022.0)</f>
        <v>2022</v>
      </c>
      <c r="L1679" s="298"/>
      <c r="M1679" s="223"/>
      <c r="N1679" s="223"/>
      <c r="O1679" s="223"/>
      <c r="P1679" s="223"/>
      <c r="Q1679" s="223"/>
      <c r="R1679" s="223"/>
      <c r="S1679" s="223"/>
      <c r="T1679" s="223"/>
      <c r="U1679" s="223"/>
      <c r="V1679" s="223"/>
      <c r="W1679" s="223"/>
      <c r="X1679" s="223"/>
      <c r="Y1679" s="223"/>
      <c r="Z1679" s="223"/>
    </row>
    <row r="1680">
      <c r="A1680" s="223" t="str">
        <f>IFERROR(__xludf.DUMMYFUNCTION("""COMPUTED_VALUE"""),"Arazy Group : Other Projects")</f>
        <v>Arazy Group : Other Projects</v>
      </c>
      <c r="B1680" s="223" t="str">
        <f>IFERROR(__xludf.DUMMYFUNCTION("""COMPUTED_VALUE"""),"Arazy Group")</f>
        <v>Arazy Group</v>
      </c>
      <c r="C1680" s="223" t="str">
        <f>IFERROR(__xludf.DUMMYFUNCTION("""COMPUTED_VALUE"""),"Other Projects")</f>
        <v>Other Projects</v>
      </c>
      <c r="D1680" s="316">
        <f>IFERROR(__xludf.DUMMYFUNCTION("""COMPUTED_VALUE"""),44712.0)</f>
        <v>44712</v>
      </c>
      <c r="E1680" s="298"/>
      <c r="F1680" s="298"/>
      <c r="G1680" s="298"/>
      <c r="H1680" s="223"/>
      <c r="I1680" s="298">
        <f>IFERROR(__xludf.DUMMYFUNCTION("""COMPUTED_VALUE"""),633.77)</f>
        <v>633.77</v>
      </c>
      <c r="J1680" s="223" t="str">
        <f>IFERROR(__xludf.DUMMYFUNCTION("""COMPUTED_VALUE"""),"Fixed Project")</f>
        <v>Fixed Project</v>
      </c>
      <c r="K1680" s="317">
        <f>IFERROR(__xludf.DUMMYFUNCTION("""COMPUTED_VALUE"""),2022.0)</f>
        <v>2022</v>
      </c>
      <c r="L1680" s="298"/>
      <c r="M1680" s="223"/>
      <c r="N1680" s="223"/>
      <c r="O1680" s="223"/>
      <c r="P1680" s="223"/>
      <c r="Q1680" s="223"/>
      <c r="R1680" s="223"/>
      <c r="S1680" s="223"/>
      <c r="T1680" s="223"/>
      <c r="U1680" s="223"/>
      <c r="V1680" s="223"/>
      <c r="W1680" s="223"/>
      <c r="X1680" s="223"/>
      <c r="Y1680" s="223"/>
      <c r="Z1680" s="223"/>
    </row>
    <row r="1681">
      <c r="A1681" s="223" t="str">
        <f>IFERROR(__xludf.DUMMYFUNCTION("""COMPUTED_VALUE"""),"Booginhead : Monthly Services")</f>
        <v>Booginhead : Monthly Services</v>
      </c>
      <c r="B1681" s="223" t="str">
        <f>IFERROR(__xludf.DUMMYFUNCTION("""COMPUTED_VALUE"""),"Booginhead")</f>
        <v>Booginhead</v>
      </c>
      <c r="C1681" s="223" t="str">
        <f>IFERROR(__xludf.DUMMYFUNCTION("""COMPUTED_VALUE"""),"Monthly Services")</f>
        <v>Monthly Services</v>
      </c>
      <c r="D1681" s="316">
        <f>IFERROR(__xludf.DUMMYFUNCTION("""COMPUTED_VALUE"""),44712.0)</f>
        <v>44712</v>
      </c>
      <c r="E1681" s="298"/>
      <c r="F1681" s="298"/>
      <c r="G1681" s="298"/>
      <c r="H1681" s="223"/>
      <c r="I1681" s="298">
        <f>IFERROR(__xludf.DUMMYFUNCTION("""COMPUTED_VALUE"""),29.92)</f>
        <v>29.92</v>
      </c>
      <c r="J1681" s="223" t="str">
        <f>IFERROR(__xludf.DUMMYFUNCTION("""COMPUTED_VALUE"""),"Monthly")</f>
        <v>Monthly</v>
      </c>
      <c r="K1681" s="317">
        <f>IFERROR(__xludf.DUMMYFUNCTION("""COMPUTED_VALUE"""),2022.05)</f>
        <v>2022.05</v>
      </c>
      <c r="L1681" s="298"/>
      <c r="M1681" s="223"/>
      <c r="N1681" s="223"/>
      <c r="O1681" s="223"/>
      <c r="P1681" s="223"/>
      <c r="Q1681" s="223"/>
      <c r="R1681" s="223"/>
      <c r="S1681" s="223"/>
      <c r="T1681" s="223"/>
      <c r="U1681" s="223"/>
      <c r="V1681" s="223"/>
      <c r="W1681" s="223"/>
      <c r="X1681" s="223"/>
      <c r="Y1681" s="223"/>
      <c r="Z1681" s="223"/>
    </row>
    <row r="1682">
      <c r="A1682" s="223" t="str">
        <f>IFERROR(__xludf.DUMMYFUNCTION("""COMPUTED_VALUE"""),"CAAT Canada : Website Rebuild")</f>
        <v>CAAT Canada : Website Rebuild</v>
      </c>
      <c r="B1682" s="223" t="str">
        <f>IFERROR(__xludf.DUMMYFUNCTION("""COMPUTED_VALUE"""),"CAAT Canada")</f>
        <v>CAAT Canada</v>
      </c>
      <c r="C1682" s="223" t="str">
        <f>IFERROR(__xludf.DUMMYFUNCTION("""COMPUTED_VALUE"""),"Website Rebuild")</f>
        <v>Website Rebuild</v>
      </c>
      <c r="D1682" s="316">
        <f>IFERROR(__xludf.DUMMYFUNCTION("""COMPUTED_VALUE"""),44712.0)</f>
        <v>44712</v>
      </c>
      <c r="E1682" s="298"/>
      <c r="F1682" s="298"/>
      <c r="G1682" s="298"/>
      <c r="H1682" s="223"/>
      <c r="I1682" s="298">
        <f>IFERROR(__xludf.DUMMYFUNCTION("""COMPUTED_VALUE"""),49.26)</f>
        <v>49.26</v>
      </c>
      <c r="J1682" s="223" t="str">
        <f>IFERROR(__xludf.DUMMYFUNCTION("""COMPUTED_VALUE"""),"Fixed Project")</f>
        <v>Fixed Project</v>
      </c>
      <c r="K1682" s="317">
        <f>IFERROR(__xludf.DUMMYFUNCTION("""COMPUTED_VALUE"""),2022.0)</f>
        <v>2022</v>
      </c>
      <c r="L1682" s="298"/>
      <c r="M1682" s="223"/>
      <c r="N1682" s="223"/>
      <c r="O1682" s="223"/>
      <c r="P1682" s="223"/>
      <c r="Q1682" s="223"/>
      <c r="R1682" s="223"/>
      <c r="S1682" s="223"/>
      <c r="T1682" s="223"/>
      <c r="U1682" s="223"/>
      <c r="V1682" s="223"/>
      <c r="W1682" s="223"/>
      <c r="X1682" s="223"/>
      <c r="Y1682" s="223"/>
      <c r="Z1682" s="223"/>
    </row>
    <row r="1683">
      <c r="A1683" s="223" t="str">
        <f>IFERROR(__xludf.DUMMYFUNCTION("""COMPUTED_VALUE"""),"Canyon's Construction : Website Project")</f>
        <v>Canyon's Construction : Website Project</v>
      </c>
      <c r="B1683" s="223" t="str">
        <f>IFERROR(__xludf.DUMMYFUNCTION("""COMPUTED_VALUE"""),"Canyon's Construction")</f>
        <v>Canyon's Construction</v>
      </c>
      <c r="C1683" s="223" t="str">
        <f>IFERROR(__xludf.DUMMYFUNCTION("""COMPUTED_VALUE"""),"Website Project")</f>
        <v>Website Project</v>
      </c>
      <c r="D1683" s="316">
        <f>IFERROR(__xludf.DUMMYFUNCTION("""COMPUTED_VALUE"""),44712.0)</f>
        <v>44712</v>
      </c>
      <c r="E1683" s="298"/>
      <c r="F1683" s="298"/>
      <c r="G1683" s="298"/>
      <c r="H1683" s="223"/>
      <c r="I1683" s="298">
        <f>IFERROR(__xludf.DUMMYFUNCTION("""COMPUTED_VALUE"""),593.23)</f>
        <v>593.23</v>
      </c>
      <c r="J1683" s="223" t="str">
        <f>IFERROR(__xludf.DUMMYFUNCTION("""COMPUTED_VALUE"""),"Fixed Project")</f>
        <v>Fixed Project</v>
      </c>
      <c r="K1683" s="317">
        <f>IFERROR(__xludf.DUMMYFUNCTION("""COMPUTED_VALUE"""),2022.0)</f>
        <v>2022</v>
      </c>
      <c r="L1683" s="298"/>
      <c r="M1683" s="223"/>
      <c r="N1683" s="223"/>
      <c r="O1683" s="223"/>
      <c r="P1683" s="223"/>
      <c r="Q1683" s="223"/>
      <c r="R1683" s="223"/>
      <c r="S1683" s="223"/>
      <c r="T1683" s="223"/>
      <c r="U1683" s="223"/>
      <c r="V1683" s="223"/>
      <c r="W1683" s="223"/>
      <c r="X1683" s="223"/>
      <c r="Y1683" s="223"/>
      <c r="Z1683" s="223"/>
    </row>
    <row r="1684">
      <c r="A1684" s="223" t="str">
        <f>IFERROR(__xludf.DUMMYFUNCTION("""COMPUTED_VALUE"""),"Giga Tires : Monthly Services")</f>
        <v>Giga Tires : Monthly Services</v>
      </c>
      <c r="B1684" s="223" t="str">
        <f>IFERROR(__xludf.DUMMYFUNCTION("""COMPUTED_VALUE"""),"Giga Tires")</f>
        <v>Giga Tires</v>
      </c>
      <c r="C1684" s="223" t="str">
        <f>IFERROR(__xludf.DUMMYFUNCTION("""COMPUTED_VALUE"""),"Monthly Services")</f>
        <v>Monthly Services</v>
      </c>
      <c r="D1684" s="316">
        <f>IFERROR(__xludf.DUMMYFUNCTION("""COMPUTED_VALUE"""),44712.0)</f>
        <v>44712</v>
      </c>
      <c r="E1684" s="298"/>
      <c r="F1684" s="298"/>
      <c r="G1684" s="298"/>
      <c r="H1684" s="223"/>
      <c r="I1684" s="298">
        <f>IFERROR(__xludf.DUMMYFUNCTION("""COMPUTED_VALUE"""),0.0)</f>
        <v>0</v>
      </c>
      <c r="J1684" s="223" t="str">
        <f>IFERROR(__xludf.DUMMYFUNCTION("""COMPUTED_VALUE"""),"Monthly")</f>
        <v>Monthly</v>
      </c>
      <c r="K1684" s="317">
        <f>IFERROR(__xludf.DUMMYFUNCTION("""COMPUTED_VALUE"""),2022.05)</f>
        <v>2022.05</v>
      </c>
      <c r="L1684" s="298"/>
      <c r="M1684" s="223"/>
      <c r="N1684" s="223"/>
      <c r="O1684" s="223"/>
      <c r="P1684" s="223"/>
      <c r="Q1684" s="223"/>
      <c r="R1684" s="223"/>
      <c r="S1684" s="223"/>
      <c r="T1684" s="223"/>
      <c r="U1684" s="223"/>
      <c r="V1684" s="223"/>
      <c r="W1684" s="223"/>
      <c r="X1684" s="223"/>
      <c r="Y1684" s="223"/>
      <c r="Z1684" s="223"/>
    </row>
    <row r="1685">
      <c r="A1685" s="223" t="str">
        <f>IFERROR(__xludf.DUMMYFUNCTION("""COMPUTED_VALUE"""),"Howard Fine Jewellers : Howard SEO Review &amp; Recommendations")</f>
        <v>Howard Fine Jewellers : Howard SEO Review &amp; Recommendations</v>
      </c>
      <c r="B1685" s="223" t="str">
        <f>IFERROR(__xludf.DUMMYFUNCTION("""COMPUTED_VALUE"""),"Howard Fine Jewellers")</f>
        <v>Howard Fine Jewellers</v>
      </c>
      <c r="C1685" s="223" t="str">
        <f>IFERROR(__xludf.DUMMYFUNCTION("""COMPUTED_VALUE"""),"Howard SEO Review &amp; Recommendations")</f>
        <v>Howard SEO Review &amp; Recommendations</v>
      </c>
      <c r="D1685" s="316">
        <f>IFERROR(__xludf.DUMMYFUNCTION("""COMPUTED_VALUE"""),44712.0)</f>
        <v>44712</v>
      </c>
      <c r="E1685" s="298"/>
      <c r="F1685" s="298"/>
      <c r="G1685" s="298"/>
      <c r="H1685" s="223"/>
      <c r="I1685" s="298">
        <f>IFERROR(__xludf.DUMMYFUNCTION("""COMPUTED_VALUE"""),2.31)</f>
        <v>2.31</v>
      </c>
      <c r="J1685" s="223" t="str">
        <f>IFERROR(__xludf.DUMMYFUNCTION("""COMPUTED_VALUE"""),"Fixed Project")</f>
        <v>Fixed Project</v>
      </c>
      <c r="K1685" s="317">
        <f>IFERROR(__xludf.DUMMYFUNCTION("""COMPUTED_VALUE"""),2022.0)</f>
        <v>2022</v>
      </c>
      <c r="L1685" s="298"/>
      <c r="M1685" s="223"/>
      <c r="N1685" s="223"/>
      <c r="O1685" s="223"/>
      <c r="P1685" s="223"/>
      <c r="Q1685" s="223"/>
      <c r="R1685" s="223"/>
      <c r="S1685" s="223"/>
      <c r="T1685" s="223"/>
      <c r="U1685" s="223"/>
      <c r="V1685" s="223"/>
      <c r="W1685" s="223"/>
      <c r="X1685" s="223"/>
      <c r="Y1685" s="223"/>
      <c r="Z1685" s="223"/>
    </row>
    <row r="1686">
      <c r="A1686" s="223" t="str">
        <f>IFERROR(__xludf.DUMMYFUNCTION("""COMPUTED_VALUE"""),"PlusROI : Admin")</f>
        <v>PlusROI : Admin</v>
      </c>
      <c r="B1686" s="223" t="str">
        <f>IFERROR(__xludf.DUMMYFUNCTION("""COMPUTED_VALUE"""),"PlusROI")</f>
        <v>PlusROI</v>
      </c>
      <c r="C1686" s="223" t="str">
        <f>IFERROR(__xludf.DUMMYFUNCTION("""COMPUTED_VALUE"""),"Admin")</f>
        <v>Admin</v>
      </c>
      <c r="D1686" s="316">
        <f>IFERROR(__xludf.DUMMYFUNCTION("""COMPUTED_VALUE"""),44712.0)</f>
        <v>44712</v>
      </c>
      <c r="E1686" s="298"/>
      <c r="F1686" s="298"/>
      <c r="G1686" s="298"/>
      <c r="H1686" s="223"/>
      <c r="I1686" s="298">
        <f>IFERROR(__xludf.DUMMYFUNCTION("""COMPUTED_VALUE"""),400.17)</f>
        <v>400.17</v>
      </c>
      <c r="J1686" s="223" t="str">
        <f>IFERROR(__xludf.DUMMYFUNCTION("""COMPUTED_VALUE"""),"Hourly")</f>
        <v>Hourly</v>
      </c>
      <c r="K1686" s="317">
        <f>IFERROR(__xludf.DUMMYFUNCTION("""COMPUTED_VALUE"""),2022.0)</f>
        <v>2022</v>
      </c>
      <c r="L1686" s="298"/>
      <c r="M1686" s="223"/>
      <c r="N1686" s="223"/>
      <c r="O1686" s="223"/>
      <c r="P1686" s="223"/>
      <c r="Q1686" s="223"/>
      <c r="R1686" s="223"/>
      <c r="S1686" s="223"/>
      <c r="T1686" s="223"/>
      <c r="U1686" s="223"/>
      <c r="V1686" s="223"/>
      <c r="W1686" s="223"/>
      <c r="X1686" s="223"/>
      <c r="Y1686" s="223"/>
      <c r="Z1686" s="223"/>
    </row>
    <row r="1687">
      <c r="A1687" s="223" t="str">
        <f>IFERROR(__xludf.DUMMYFUNCTION("""COMPUTED_VALUE"""),"Red Seal : Monthly Services")</f>
        <v>Red Seal : Monthly Services</v>
      </c>
      <c r="B1687" s="223" t="str">
        <f>IFERROR(__xludf.DUMMYFUNCTION("""COMPUTED_VALUE"""),"Red Seal")</f>
        <v>Red Seal</v>
      </c>
      <c r="C1687" s="223" t="str">
        <f>IFERROR(__xludf.DUMMYFUNCTION("""COMPUTED_VALUE"""),"Monthly Services")</f>
        <v>Monthly Services</v>
      </c>
      <c r="D1687" s="316">
        <f>IFERROR(__xludf.DUMMYFUNCTION("""COMPUTED_VALUE"""),44712.0)</f>
        <v>44712</v>
      </c>
      <c r="E1687" s="298"/>
      <c r="F1687" s="298"/>
      <c r="G1687" s="298"/>
      <c r="H1687" s="223"/>
      <c r="I1687" s="298">
        <f>IFERROR(__xludf.DUMMYFUNCTION("""COMPUTED_VALUE"""),3.23)</f>
        <v>3.23</v>
      </c>
      <c r="J1687" s="223" t="str">
        <f>IFERROR(__xludf.DUMMYFUNCTION("""COMPUTED_VALUE"""),"Monthly")</f>
        <v>Monthly</v>
      </c>
      <c r="K1687" s="317">
        <f>IFERROR(__xludf.DUMMYFUNCTION("""COMPUTED_VALUE"""),2022.05)</f>
        <v>2022.05</v>
      </c>
      <c r="L1687" s="298"/>
      <c r="M1687" s="223"/>
      <c r="N1687" s="223"/>
      <c r="O1687" s="223"/>
      <c r="P1687" s="223"/>
      <c r="Q1687" s="223"/>
      <c r="R1687" s="223"/>
      <c r="S1687" s="223"/>
      <c r="T1687" s="223"/>
      <c r="U1687" s="223"/>
      <c r="V1687" s="223"/>
      <c r="W1687" s="223"/>
      <c r="X1687" s="223"/>
      <c r="Y1687" s="223"/>
      <c r="Z1687" s="223"/>
    </row>
    <row r="1688">
      <c r="A1688" s="223" t="str">
        <f>IFERROR(__xludf.DUMMYFUNCTION("""COMPUTED_VALUE"""),"Sacred Deathcare : Ongoing SEO Projects")</f>
        <v>Sacred Deathcare : Ongoing SEO Projects</v>
      </c>
      <c r="B1688" s="223" t="str">
        <f>IFERROR(__xludf.DUMMYFUNCTION("""COMPUTED_VALUE"""),"Sacred Deathcare")</f>
        <v>Sacred Deathcare</v>
      </c>
      <c r="C1688" s="223" t="str">
        <f>IFERROR(__xludf.DUMMYFUNCTION("""COMPUTED_VALUE"""),"Ongoing SEO Projects")</f>
        <v>Ongoing SEO Projects</v>
      </c>
      <c r="D1688" s="316">
        <f>IFERROR(__xludf.DUMMYFUNCTION("""COMPUTED_VALUE"""),44712.0)</f>
        <v>44712</v>
      </c>
      <c r="E1688" s="298"/>
      <c r="F1688" s="298"/>
      <c r="G1688" s="298"/>
      <c r="H1688" s="223"/>
      <c r="I1688" s="298">
        <f>IFERROR(__xludf.DUMMYFUNCTION("""COMPUTED_VALUE"""),8.85)</f>
        <v>8.85</v>
      </c>
      <c r="J1688" s="223" t="str">
        <f>IFERROR(__xludf.DUMMYFUNCTION("""COMPUTED_VALUE"""),"Fixed Project")</f>
        <v>Fixed Project</v>
      </c>
      <c r="K1688" s="317">
        <f>IFERROR(__xludf.DUMMYFUNCTION("""COMPUTED_VALUE"""),2022.0)</f>
        <v>2022</v>
      </c>
      <c r="L1688" s="298"/>
      <c r="M1688" s="223"/>
      <c r="N1688" s="223"/>
      <c r="O1688" s="223"/>
      <c r="P1688" s="223"/>
      <c r="Q1688" s="223"/>
      <c r="R1688" s="223"/>
      <c r="S1688" s="223"/>
      <c r="T1688" s="223"/>
      <c r="U1688" s="223"/>
      <c r="V1688" s="223"/>
      <c r="W1688" s="223"/>
      <c r="X1688" s="223"/>
      <c r="Y1688" s="223"/>
      <c r="Z1688" s="223"/>
    </row>
    <row r="1689">
      <c r="A1689" s="223" t="str">
        <f>IFERROR(__xludf.DUMMYFUNCTION("""COMPUTED_VALUE"""),"Spraggs : Monthly Services")</f>
        <v>Spraggs : Monthly Services</v>
      </c>
      <c r="B1689" s="223" t="str">
        <f>IFERROR(__xludf.DUMMYFUNCTION("""COMPUTED_VALUE"""),"Spraggs")</f>
        <v>Spraggs</v>
      </c>
      <c r="C1689" s="223" t="str">
        <f>IFERROR(__xludf.DUMMYFUNCTION("""COMPUTED_VALUE"""),"Monthly Services")</f>
        <v>Monthly Services</v>
      </c>
      <c r="D1689" s="316">
        <f>IFERROR(__xludf.DUMMYFUNCTION("""COMPUTED_VALUE"""),44712.0)</f>
        <v>44712</v>
      </c>
      <c r="E1689" s="298"/>
      <c r="F1689" s="298"/>
      <c r="G1689" s="298"/>
      <c r="H1689" s="223"/>
      <c r="I1689" s="298">
        <f>IFERROR(__xludf.DUMMYFUNCTION("""COMPUTED_VALUE"""),2.54)</f>
        <v>2.54</v>
      </c>
      <c r="J1689" s="223" t="str">
        <f>IFERROR(__xludf.DUMMYFUNCTION("""COMPUTED_VALUE"""),"Monthly")</f>
        <v>Monthly</v>
      </c>
      <c r="K1689" s="317">
        <f>IFERROR(__xludf.DUMMYFUNCTION("""COMPUTED_VALUE"""),2022.05)</f>
        <v>2022.05</v>
      </c>
      <c r="L1689" s="298"/>
      <c r="M1689" s="223"/>
      <c r="N1689" s="223"/>
      <c r="O1689" s="223"/>
      <c r="P1689" s="223"/>
      <c r="Q1689" s="223"/>
      <c r="R1689" s="223"/>
      <c r="S1689" s="223"/>
      <c r="T1689" s="223"/>
      <c r="U1689" s="223"/>
      <c r="V1689" s="223"/>
      <c r="W1689" s="223"/>
      <c r="X1689" s="223"/>
      <c r="Y1689" s="223"/>
      <c r="Z1689" s="223"/>
    </row>
    <row r="1690">
      <c r="A1690" s="223" t="str">
        <f>IFERROR(__xludf.DUMMYFUNCTION("""COMPUTED_VALUE"""),"Stackd Consulting : 10 Hour Support Block")</f>
        <v>Stackd Consulting : 10 Hour Support Block</v>
      </c>
      <c r="B1690" s="223" t="str">
        <f>IFERROR(__xludf.DUMMYFUNCTION("""COMPUTED_VALUE"""),"Stackd Consulting")</f>
        <v>Stackd Consulting</v>
      </c>
      <c r="C1690" s="223" t="str">
        <f>IFERROR(__xludf.DUMMYFUNCTION("""COMPUTED_VALUE"""),"10 Hour Support Block")</f>
        <v>10 Hour Support Block</v>
      </c>
      <c r="D1690" s="316">
        <f>IFERROR(__xludf.DUMMYFUNCTION("""COMPUTED_VALUE"""),44712.0)</f>
        <v>44712</v>
      </c>
      <c r="E1690" s="298"/>
      <c r="F1690" s="298"/>
      <c r="G1690" s="298"/>
      <c r="H1690" s="223"/>
      <c r="I1690" s="298">
        <f>IFERROR(__xludf.DUMMYFUNCTION("""COMPUTED_VALUE"""),8.73)</f>
        <v>8.73</v>
      </c>
      <c r="J1690" s="223" t="str">
        <f>IFERROR(__xludf.DUMMYFUNCTION("""COMPUTED_VALUE"""),"Hourly")</f>
        <v>Hourly</v>
      </c>
      <c r="K1690" s="317">
        <f>IFERROR(__xludf.DUMMYFUNCTION("""COMPUTED_VALUE"""),2022.0)</f>
        <v>2022</v>
      </c>
      <c r="L1690" s="298"/>
      <c r="M1690" s="223"/>
      <c r="N1690" s="223"/>
      <c r="O1690" s="223"/>
      <c r="P1690" s="223"/>
      <c r="Q1690" s="223"/>
      <c r="R1690" s="223"/>
      <c r="S1690" s="223"/>
      <c r="T1690" s="223"/>
      <c r="U1690" s="223"/>
      <c r="V1690" s="223"/>
      <c r="W1690" s="223"/>
      <c r="X1690" s="223"/>
      <c r="Y1690" s="223"/>
      <c r="Z1690" s="223"/>
    </row>
    <row r="1691">
      <c r="A1691" s="223" t="str">
        <f>IFERROR(__xludf.DUMMYFUNCTION("""COMPUTED_VALUE"""),"TisBest : Monthly Services")</f>
        <v>TisBest : Monthly Services</v>
      </c>
      <c r="B1691" s="223" t="str">
        <f>IFERROR(__xludf.DUMMYFUNCTION("""COMPUTED_VALUE"""),"TisBest")</f>
        <v>TisBest</v>
      </c>
      <c r="C1691" s="223" t="str">
        <f>IFERROR(__xludf.DUMMYFUNCTION("""COMPUTED_VALUE"""),"Monthly Services")</f>
        <v>Monthly Services</v>
      </c>
      <c r="D1691" s="316">
        <f>IFERROR(__xludf.DUMMYFUNCTION("""COMPUTED_VALUE"""),44712.0)</f>
        <v>44712</v>
      </c>
      <c r="E1691" s="298"/>
      <c r="F1691" s="298"/>
      <c r="G1691" s="298"/>
      <c r="H1691" s="223"/>
      <c r="I1691" s="298">
        <f>IFERROR(__xludf.DUMMYFUNCTION("""COMPUTED_VALUE"""),27.99)</f>
        <v>27.99</v>
      </c>
      <c r="J1691" s="223" t="str">
        <f>IFERROR(__xludf.DUMMYFUNCTION("""COMPUTED_VALUE"""),"Monthly")</f>
        <v>Monthly</v>
      </c>
      <c r="K1691" s="317">
        <f>IFERROR(__xludf.DUMMYFUNCTION("""COMPUTED_VALUE"""),2022.05)</f>
        <v>2022.05</v>
      </c>
      <c r="L1691" s="298"/>
      <c r="M1691" s="223"/>
      <c r="N1691" s="223"/>
      <c r="O1691" s="223"/>
      <c r="P1691" s="223"/>
      <c r="Q1691" s="223"/>
      <c r="R1691" s="223"/>
      <c r="S1691" s="223"/>
      <c r="T1691" s="223"/>
      <c r="U1691" s="223"/>
      <c r="V1691" s="223"/>
      <c r="W1691" s="223"/>
      <c r="X1691" s="223"/>
      <c r="Y1691" s="223"/>
      <c r="Z1691" s="223"/>
    </row>
    <row r="1692">
      <c r="A1692" s="223" t="str">
        <f>IFERROR(__xludf.DUMMYFUNCTION("""COMPUTED_VALUE"""),"Waypoint : Website Updates")</f>
        <v>Waypoint : Website Updates</v>
      </c>
      <c r="B1692" s="223" t="str">
        <f>IFERROR(__xludf.DUMMYFUNCTION("""COMPUTED_VALUE"""),"Waypoint")</f>
        <v>Waypoint</v>
      </c>
      <c r="C1692" s="223" t="str">
        <f>IFERROR(__xludf.DUMMYFUNCTION("""COMPUTED_VALUE"""),"Website Updates")</f>
        <v>Website Updates</v>
      </c>
      <c r="D1692" s="316">
        <f>IFERROR(__xludf.DUMMYFUNCTION("""COMPUTED_VALUE"""),44712.0)</f>
        <v>44712</v>
      </c>
      <c r="E1692" s="298"/>
      <c r="F1692" s="298"/>
      <c r="G1692" s="298"/>
      <c r="H1692" s="223"/>
      <c r="I1692" s="298">
        <f>IFERROR(__xludf.DUMMYFUNCTION("""COMPUTED_VALUE"""),46.61)</f>
        <v>46.61</v>
      </c>
      <c r="J1692" s="223" t="str">
        <f>IFERROR(__xludf.DUMMYFUNCTION("""COMPUTED_VALUE"""),"Fixed Project")</f>
        <v>Fixed Project</v>
      </c>
      <c r="K1692" s="317">
        <f>IFERROR(__xludf.DUMMYFUNCTION("""COMPUTED_VALUE"""),2022.0)</f>
        <v>2022</v>
      </c>
      <c r="L1692" s="298"/>
      <c r="M1692" s="223"/>
      <c r="N1692" s="223"/>
      <c r="O1692" s="223"/>
      <c r="P1692" s="223"/>
      <c r="Q1692" s="223"/>
      <c r="R1692" s="223"/>
      <c r="S1692" s="223"/>
      <c r="T1692" s="223"/>
      <c r="U1692" s="223"/>
      <c r="V1692" s="223"/>
      <c r="W1692" s="223"/>
      <c r="X1692" s="223"/>
      <c r="Y1692" s="223"/>
      <c r="Z1692" s="223"/>
    </row>
    <row r="1693">
      <c r="A1693" s="223" t="str">
        <f>IFERROR(__xludf.DUMMYFUNCTION("""COMPUTED_VALUE"""),"Tugwell : 6 Month PPC")</f>
        <v>Tugwell : 6 Month PPC</v>
      </c>
      <c r="B1693" s="223" t="str">
        <f>IFERROR(__xludf.DUMMYFUNCTION("""COMPUTED_VALUE"""),"Tugwell")</f>
        <v>Tugwell</v>
      </c>
      <c r="C1693" s="223" t="str">
        <f>IFERROR(__xludf.DUMMYFUNCTION("""COMPUTED_VALUE"""),"6 Month PPC")</f>
        <v>6 Month PPC</v>
      </c>
      <c r="D1693" s="316">
        <f>IFERROR(__xludf.DUMMYFUNCTION("""COMPUTED_VALUE"""),44703.0)</f>
        <v>44703</v>
      </c>
      <c r="E1693" s="298"/>
      <c r="F1693" s="298"/>
      <c r="G1693" s="298"/>
      <c r="H1693" s="223"/>
      <c r="I1693" s="298">
        <f>IFERROR(__xludf.DUMMYFUNCTION("""COMPUTED_VALUE"""),500.0)</f>
        <v>500</v>
      </c>
      <c r="J1693" s="223" t="str">
        <f>IFERROR(__xludf.DUMMYFUNCTION("""COMPUTED_VALUE"""),"Fixed Project")</f>
        <v>Fixed Project</v>
      </c>
      <c r="K1693" s="317">
        <f>IFERROR(__xludf.DUMMYFUNCTION("""COMPUTED_VALUE"""),2022.0)</f>
        <v>2022</v>
      </c>
      <c r="L1693" s="298">
        <f>IFERROR(__xludf.DUMMYFUNCTION("""COMPUTED_VALUE"""),500.0)</f>
        <v>500</v>
      </c>
      <c r="M1693" s="223"/>
      <c r="N1693" s="223"/>
      <c r="O1693" s="223"/>
      <c r="P1693" s="223"/>
      <c r="Q1693" s="223"/>
      <c r="R1693" s="223"/>
      <c r="S1693" s="223"/>
      <c r="T1693" s="223"/>
      <c r="U1693" s="223"/>
      <c r="V1693" s="223"/>
      <c r="W1693" s="223"/>
      <c r="X1693" s="223"/>
      <c r="Y1693" s="223"/>
      <c r="Z1693" s="223"/>
    </row>
    <row r="1694">
      <c r="A1694" s="223" t="str">
        <f>IFERROR(__xludf.DUMMYFUNCTION("""COMPUTED_VALUE"""),"Venetian : Monthly Services")</f>
        <v>Venetian : Monthly Services</v>
      </c>
      <c r="B1694" s="223" t="str">
        <f>IFERROR(__xludf.DUMMYFUNCTION("""COMPUTED_VALUE"""),"Venetian")</f>
        <v>Venetian</v>
      </c>
      <c r="C1694" s="223" t="str">
        <f>IFERROR(__xludf.DUMMYFUNCTION("""COMPUTED_VALUE"""),"Monthly Services")</f>
        <v>Monthly Services</v>
      </c>
      <c r="D1694" s="316">
        <f>IFERROR(__xludf.DUMMYFUNCTION("""COMPUTED_VALUE"""),44703.0)</f>
        <v>44703</v>
      </c>
      <c r="E1694" s="298"/>
      <c r="F1694" s="298"/>
      <c r="G1694" s="298"/>
      <c r="H1694" s="223"/>
      <c r="I1694" s="298">
        <f>IFERROR(__xludf.DUMMYFUNCTION("""COMPUTED_VALUE"""),750.0)</f>
        <v>750</v>
      </c>
      <c r="J1694" s="223" t="str">
        <f>IFERROR(__xludf.DUMMYFUNCTION("""COMPUTED_VALUE"""),"Monthly")</f>
        <v>Monthly</v>
      </c>
      <c r="K1694" s="317">
        <f>IFERROR(__xludf.DUMMYFUNCTION("""COMPUTED_VALUE"""),2022.05)</f>
        <v>2022.05</v>
      </c>
      <c r="L1694" s="298">
        <f>IFERROR(__xludf.DUMMYFUNCTION("""COMPUTED_VALUE"""),750.0)</f>
        <v>750</v>
      </c>
      <c r="M1694" s="223"/>
      <c r="N1694" s="223"/>
      <c r="O1694" s="223"/>
      <c r="P1694" s="223"/>
      <c r="Q1694" s="223"/>
      <c r="R1694" s="223"/>
      <c r="S1694" s="223"/>
      <c r="T1694" s="223"/>
      <c r="U1694" s="223"/>
      <c r="V1694" s="223"/>
      <c r="W1694" s="223"/>
      <c r="X1694" s="223"/>
      <c r="Y1694" s="223"/>
      <c r="Z1694" s="223"/>
    </row>
    <row r="1695">
      <c r="A1695" s="223" t="str">
        <f>IFERROR(__xludf.DUMMYFUNCTION("""COMPUTED_VALUE"""),"PlusROI : Overhead")</f>
        <v>PlusROI : Overhead</v>
      </c>
      <c r="B1695" s="223" t="str">
        <f>IFERROR(__xludf.DUMMYFUNCTION("""COMPUTED_VALUE"""),"PlusROI")</f>
        <v>PlusROI</v>
      </c>
      <c r="C1695" s="223" t="str">
        <f>IFERROR(__xludf.DUMMYFUNCTION("""COMPUTED_VALUE"""),"Overhead")</f>
        <v>Overhead</v>
      </c>
      <c r="D1695" s="316">
        <f>IFERROR(__xludf.DUMMYFUNCTION("""COMPUTED_VALUE"""),44695.0)</f>
        <v>44695</v>
      </c>
      <c r="E1695" s="298"/>
      <c r="F1695" s="298"/>
      <c r="G1695" s="298"/>
      <c r="H1695" s="223"/>
      <c r="I1695" s="298">
        <f>IFERROR(__xludf.DUMMYFUNCTION("""COMPUTED_VALUE"""),73.42)</f>
        <v>73.42</v>
      </c>
      <c r="J1695" s="223" t="str">
        <f>IFERROR(__xludf.DUMMYFUNCTION("""COMPUTED_VALUE"""),"Hourly")</f>
        <v>Hourly</v>
      </c>
      <c r="K1695" s="317">
        <f>IFERROR(__xludf.DUMMYFUNCTION("""COMPUTED_VALUE"""),2022.0)</f>
        <v>2022</v>
      </c>
      <c r="L1695" s="298"/>
      <c r="M1695" s="223"/>
      <c r="N1695" s="223"/>
      <c r="O1695" s="223"/>
      <c r="P1695" s="223"/>
      <c r="Q1695" s="223"/>
      <c r="R1695" s="223"/>
      <c r="S1695" s="223"/>
      <c r="T1695" s="223"/>
      <c r="U1695" s="223"/>
      <c r="V1695" s="223"/>
      <c r="W1695" s="223"/>
      <c r="X1695" s="223"/>
      <c r="Y1695" s="223"/>
      <c r="Z1695" s="223"/>
    </row>
    <row r="1696">
      <c r="A1696" s="223" t="str">
        <f>IFERROR(__xludf.DUMMYFUNCTION("""COMPUTED_VALUE"""),"Spraggs : Monthly Services")</f>
        <v>Spraggs : Monthly Services</v>
      </c>
      <c r="B1696" s="223" t="str">
        <f>IFERROR(__xludf.DUMMYFUNCTION("""COMPUTED_VALUE"""),"Spraggs")</f>
        <v>Spraggs</v>
      </c>
      <c r="C1696" s="223" t="str">
        <f>IFERROR(__xludf.DUMMYFUNCTION("""COMPUTED_VALUE"""),"Monthly Services")</f>
        <v>Monthly Services</v>
      </c>
      <c r="D1696" s="316">
        <f>IFERROR(__xludf.DUMMYFUNCTION("""COMPUTED_VALUE"""),44706.0)</f>
        <v>44706</v>
      </c>
      <c r="E1696" s="298"/>
      <c r="F1696" s="298"/>
      <c r="G1696" s="298"/>
      <c r="H1696" s="223"/>
      <c r="I1696" s="298">
        <f>IFERROR(__xludf.DUMMYFUNCTION("""COMPUTED_VALUE"""),50.15)</f>
        <v>50.15</v>
      </c>
      <c r="J1696" s="223" t="str">
        <f>IFERROR(__xludf.DUMMYFUNCTION("""COMPUTED_VALUE"""),"Monthly")</f>
        <v>Monthly</v>
      </c>
      <c r="K1696" s="317">
        <f>IFERROR(__xludf.DUMMYFUNCTION("""COMPUTED_VALUE"""),2022.05)</f>
        <v>2022.05</v>
      </c>
      <c r="L1696" s="298">
        <f>IFERROR(__xludf.DUMMYFUNCTION("""COMPUTED_VALUE"""),50.15)</f>
        <v>50.15</v>
      </c>
      <c r="M1696" s="223"/>
      <c r="N1696" s="223"/>
      <c r="O1696" s="223"/>
      <c r="P1696" s="223"/>
      <c r="Q1696" s="223"/>
      <c r="R1696" s="223"/>
      <c r="S1696" s="223"/>
      <c r="T1696" s="223"/>
      <c r="U1696" s="223"/>
      <c r="V1696" s="223"/>
      <c r="W1696" s="223"/>
      <c r="X1696" s="223"/>
      <c r="Y1696" s="223"/>
      <c r="Z1696" s="223"/>
    </row>
    <row r="1697">
      <c r="A1697" s="223" t="str">
        <f>IFERROR(__xludf.DUMMYFUNCTION("""COMPUTED_VALUE"""),"Tuscany : Monthly Services")</f>
        <v>Tuscany : Monthly Services</v>
      </c>
      <c r="B1697" s="223" t="str">
        <f>IFERROR(__xludf.DUMMYFUNCTION("""COMPUTED_VALUE"""),"Tuscany")</f>
        <v>Tuscany</v>
      </c>
      <c r="C1697" s="223" t="str">
        <f>IFERROR(__xludf.DUMMYFUNCTION("""COMPUTED_VALUE"""),"Monthly Services")</f>
        <v>Monthly Services</v>
      </c>
      <c r="D1697" s="316">
        <f>IFERROR(__xludf.DUMMYFUNCTION("""COMPUTED_VALUE"""),44711.0)</f>
        <v>44711</v>
      </c>
      <c r="E1697" s="298"/>
      <c r="F1697" s="298"/>
      <c r="G1697" s="298"/>
      <c r="H1697" s="223"/>
      <c r="I1697" s="298">
        <f>IFERROR(__xludf.DUMMYFUNCTION("""COMPUTED_VALUE"""),750.0)</f>
        <v>750</v>
      </c>
      <c r="J1697" s="223" t="str">
        <f>IFERROR(__xludf.DUMMYFUNCTION("""COMPUTED_VALUE"""),"Monthly")</f>
        <v>Monthly</v>
      </c>
      <c r="K1697" s="317">
        <f>IFERROR(__xludf.DUMMYFUNCTION("""COMPUTED_VALUE"""),2022.05)</f>
        <v>2022.05</v>
      </c>
      <c r="L1697" s="298">
        <f>IFERROR(__xludf.DUMMYFUNCTION("""COMPUTED_VALUE"""),750.0)</f>
        <v>750</v>
      </c>
      <c r="M1697" s="223"/>
      <c r="N1697" s="223"/>
      <c r="O1697" s="223"/>
      <c r="P1697" s="223"/>
      <c r="Q1697" s="223"/>
      <c r="R1697" s="223"/>
      <c r="S1697" s="223"/>
      <c r="T1697" s="223"/>
      <c r="U1697" s="223"/>
      <c r="V1697" s="223"/>
      <c r="W1697" s="223"/>
      <c r="X1697" s="223"/>
      <c r="Y1697" s="223"/>
      <c r="Z1697" s="223"/>
    </row>
    <row r="1698">
      <c r="A1698" s="223" t="str">
        <f>IFERROR(__xludf.DUMMYFUNCTION("""COMPUTED_VALUE"""),"Tuscany : Monthly Services")</f>
        <v>Tuscany : Monthly Services</v>
      </c>
      <c r="B1698" s="223" t="str">
        <f>IFERROR(__xludf.DUMMYFUNCTION("""COMPUTED_VALUE"""),"Tuscany")</f>
        <v>Tuscany</v>
      </c>
      <c r="C1698" s="223" t="str">
        <f>IFERROR(__xludf.DUMMYFUNCTION("""COMPUTED_VALUE"""),"Monthly Services")</f>
        <v>Monthly Services</v>
      </c>
      <c r="D1698" s="316">
        <f>IFERROR(__xludf.DUMMYFUNCTION("""COMPUTED_VALUE"""),44714.0)</f>
        <v>44714</v>
      </c>
      <c r="E1698" s="298"/>
      <c r="F1698" s="298"/>
      <c r="G1698" s="298"/>
      <c r="H1698" s="223"/>
      <c r="I1698" s="298">
        <f>IFERROR(__xludf.DUMMYFUNCTION("""COMPUTED_VALUE"""),42.32)</f>
        <v>42.32</v>
      </c>
      <c r="J1698" s="223" t="str">
        <f>IFERROR(__xludf.DUMMYFUNCTION("""COMPUTED_VALUE"""),"Monthly")</f>
        <v>Monthly</v>
      </c>
      <c r="K1698" s="317">
        <f>IFERROR(__xludf.DUMMYFUNCTION("""COMPUTED_VALUE"""),2022.06)</f>
        <v>2022.06</v>
      </c>
      <c r="L1698" s="298">
        <f>IFERROR(__xludf.DUMMYFUNCTION("""COMPUTED_VALUE"""),42.32)</f>
        <v>42.32</v>
      </c>
      <c r="M1698" s="223"/>
      <c r="N1698" s="223"/>
      <c r="O1698" s="223"/>
      <c r="P1698" s="223"/>
      <c r="Q1698" s="223"/>
      <c r="R1698" s="223"/>
      <c r="S1698" s="223"/>
      <c r="T1698" s="223"/>
      <c r="U1698" s="223"/>
      <c r="V1698" s="223"/>
      <c r="W1698" s="223"/>
      <c r="X1698" s="223"/>
      <c r="Y1698" s="223"/>
      <c r="Z1698" s="223"/>
    </row>
    <row r="1699">
      <c r="A1699" s="223" t="str">
        <f>IFERROR(__xludf.DUMMYFUNCTION("""COMPUTED_VALUE"""),"PlusROI : Overhead")</f>
        <v>PlusROI : Overhead</v>
      </c>
      <c r="B1699" s="223" t="str">
        <f>IFERROR(__xludf.DUMMYFUNCTION("""COMPUTED_VALUE"""),"PlusROI")</f>
        <v>PlusROI</v>
      </c>
      <c r="C1699" s="223" t="str">
        <f>IFERROR(__xludf.DUMMYFUNCTION("""COMPUTED_VALUE"""),"Overhead")</f>
        <v>Overhead</v>
      </c>
      <c r="D1699" s="316">
        <f>IFERROR(__xludf.DUMMYFUNCTION("""COMPUTED_VALUE"""),44705.0)</f>
        <v>44705</v>
      </c>
      <c r="E1699" s="298"/>
      <c r="F1699" s="298"/>
      <c r="G1699" s="298"/>
      <c r="H1699" s="223"/>
      <c r="I1699" s="298">
        <f>IFERROR(__xludf.DUMMYFUNCTION("""COMPUTED_VALUE"""),38.81)</f>
        <v>38.81</v>
      </c>
      <c r="J1699" s="223" t="str">
        <f>IFERROR(__xludf.DUMMYFUNCTION("""COMPUTED_VALUE"""),"Hourly")</f>
        <v>Hourly</v>
      </c>
      <c r="K1699" s="317">
        <f>IFERROR(__xludf.DUMMYFUNCTION("""COMPUTED_VALUE"""),2022.0)</f>
        <v>2022</v>
      </c>
      <c r="L1699" s="298"/>
      <c r="M1699" s="223"/>
      <c r="N1699" s="223"/>
      <c r="O1699" s="223"/>
      <c r="P1699" s="223"/>
      <c r="Q1699" s="223"/>
      <c r="R1699" s="223"/>
      <c r="S1699" s="223"/>
      <c r="T1699" s="223"/>
      <c r="U1699" s="223"/>
      <c r="V1699" s="223"/>
      <c r="W1699" s="223"/>
      <c r="X1699" s="223"/>
      <c r="Y1699" s="223"/>
      <c r="Z1699" s="223"/>
    </row>
    <row r="1700">
      <c r="A1700" s="223" t="str">
        <f>IFERROR(__xludf.DUMMYFUNCTION("""COMPUTED_VALUE"""),"Venetian : Monthly Services")</f>
        <v>Venetian : Monthly Services</v>
      </c>
      <c r="B1700" s="223" t="str">
        <f>IFERROR(__xludf.DUMMYFUNCTION("""COMPUTED_VALUE"""),"Venetian")</f>
        <v>Venetian</v>
      </c>
      <c r="C1700" s="223" t="str">
        <f>IFERROR(__xludf.DUMMYFUNCTION("""COMPUTED_VALUE"""),"Monthly Services")</f>
        <v>Monthly Services</v>
      </c>
      <c r="D1700" s="316">
        <f>IFERROR(__xludf.DUMMYFUNCTION("""COMPUTED_VALUE"""),44715.0)</f>
        <v>44715</v>
      </c>
      <c r="E1700" s="298"/>
      <c r="F1700" s="298"/>
      <c r="G1700" s="298"/>
      <c r="H1700" s="223"/>
      <c r="I1700" s="298">
        <f>IFERROR(__xludf.DUMMYFUNCTION("""COMPUTED_VALUE"""),334.65)</f>
        <v>334.65</v>
      </c>
      <c r="J1700" s="223" t="str">
        <f>IFERROR(__xludf.DUMMYFUNCTION("""COMPUTED_VALUE"""),"Monthly")</f>
        <v>Monthly</v>
      </c>
      <c r="K1700" s="317">
        <f>IFERROR(__xludf.DUMMYFUNCTION("""COMPUTED_VALUE"""),2022.06)</f>
        <v>2022.06</v>
      </c>
      <c r="L1700" s="298">
        <f>IFERROR(__xludf.DUMMYFUNCTION("""COMPUTED_VALUE"""),334.65)</f>
        <v>334.65</v>
      </c>
      <c r="M1700" s="223"/>
      <c r="N1700" s="223"/>
      <c r="O1700" s="223"/>
      <c r="P1700" s="223"/>
      <c r="Q1700" s="223"/>
      <c r="R1700" s="223"/>
      <c r="S1700" s="223"/>
      <c r="T1700" s="223"/>
      <c r="U1700" s="223"/>
      <c r="V1700" s="223"/>
      <c r="W1700" s="223"/>
      <c r="X1700" s="223"/>
      <c r="Y1700" s="223"/>
      <c r="Z1700" s="223"/>
    </row>
    <row r="1701">
      <c r="A1701" s="223" t="str">
        <f>IFERROR(__xludf.DUMMYFUNCTION("""COMPUTED_VALUE"""),"Tugwell : 6 Month PPC")</f>
        <v>Tugwell : 6 Month PPC</v>
      </c>
      <c r="B1701" s="223" t="str">
        <f>IFERROR(__xludf.DUMMYFUNCTION("""COMPUTED_VALUE"""),"Tugwell")</f>
        <v>Tugwell</v>
      </c>
      <c r="C1701" s="223" t="str">
        <f>IFERROR(__xludf.DUMMYFUNCTION("""COMPUTED_VALUE"""),"6 Month PPC")</f>
        <v>6 Month PPC</v>
      </c>
      <c r="D1701" s="316">
        <f>IFERROR(__xludf.DUMMYFUNCTION("""COMPUTED_VALUE"""),44715.0)</f>
        <v>44715</v>
      </c>
      <c r="E1701" s="298"/>
      <c r="F1701" s="298"/>
      <c r="G1701" s="298"/>
      <c r="H1701" s="223"/>
      <c r="I1701" s="298">
        <f>IFERROR(__xludf.DUMMYFUNCTION("""COMPUTED_VALUE"""),260.35)</f>
        <v>260.35</v>
      </c>
      <c r="J1701" s="223" t="str">
        <f>IFERROR(__xludf.DUMMYFUNCTION("""COMPUTED_VALUE"""),"Fixed Project")</f>
        <v>Fixed Project</v>
      </c>
      <c r="K1701" s="317">
        <f>IFERROR(__xludf.DUMMYFUNCTION("""COMPUTED_VALUE"""),2022.0)</f>
        <v>2022</v>
      </c>
      <c r="L1701" s="298">
        <f>IFERROR(__xludf.DUMMYFUNCTION("""COMPUTED_VALUE"""),260.35)</f>
        <v>260.35</v>
      </c>
      <c r="M1701" s="223"/>
      <c r="N1701" s="223"/>
      <c r="O1701" s="223"/>
      <c r="P1701" s="223"/>
      <c r="Q1701" s="223"/>
      <c r="R1701" s="223"/>
      <c r="S1701" s="223"/>
      <c r="T1701" s="223"/>
      <c r="U1701" s="223"/>
      <c r="V1701" s="223"/>
      <c r="W1701" s="223"/>
      <c r="X1701" s="223"/>
      <c r="Y1701" s="223"/>
      <c r="Z1701" s="223"/>
    </row>
    <row r="1702">
      <c r="A1702" s="223" t="str">
        <f>IFERROR(__xludf.DUMMYFUNCTION("""COMPUTED_VALUE"""),"OA Region 6 : Monthly Services")</f>
        <v>OA Region 6 : Monthly Services</v>
      </c>
      <c r="B1702" s="223" t="str">
        <f>IFERROR(__xludf.DUMMYFUNCTION("""COMPUTED_VALUE"""),"OA Region 6")</f>
        <v>OA Region 6</v>
      </c>
      <c r="C1702" s="223" t="str">
        <f>IFERROR(__xludf.DUMMYFUNCTION("""COMPUTED_VALUE"""),"Monthly Services")</f>
        <v>Monthly Services</v>
      </c>
      <c r="D1702" s="316">
        <f>IFERROR(__xludf.DUMMYFUNCTION("""COMPUTED_VALUE"""),44742.0)</f>
        <v>44742</v>
      </c>
      <c r="E1702" s="298"/>
      <c r="F1702" s="298"/>
      <c r="G1702" s="298"/>
      <c r="H1702" s="223"/>
      <c r="I1702" s="298">
        <f>IFERROR(__xludf.DUMMYFUNCTION("""COMPUTED_VALUE"""),150.0)</f>
        <v>150</v>
      </c>
      <c r="J1702" s="223" t="str">
        <f>IFERROR(__xludf.DUMMYFUNCTION("""COMPUTED_VALUE"""),"Monthly")</f>
        <v>Monthly</v>
      </c>
      <c r="K1702" s="317">
        <f>IFERROR(__xludf.DUMMYFUNCTION("""COMPUTED_VALUE"""),2022.06)</f>
        <v>2022.06</v>
      </c>
      <c r="L1702" s="298"/>
      <c r="M1702" s="223"/>
      <c r="N1702" s="223"/>
      <c r="O1702" s="223"/>
      <c r="P1702" s="223"/>
      <c r="Q1702" s="223"/>
      <c r="R1702" s="223"/>
      <c r="S1702" s="223"/>
      <c r="T1702" s="223"/>
      <c r="U1702" s="223"/>
      <c r="V1702" s="223"/>
      <c r="W1702" s="223"/>
      <c r="X1702" s="223"/>
      <c r="Y1702" s="223"/>
      <c r="Z1702" s="223"/>
    </row>
    <row r="1703">
      <c r="A1703" s="223" t="str">
        <f>IFERROR(__xludf.DUMMYFUNCTION("""COMPUTED_VALUE"""),"Hastings House : Monthly Services")</f>
        <v>Hastings House : Monthly Services</v>
      </c>
      <c r="B1703" s="223" t="str">
        <f>IFERROR(__xludf.DUMMYFUNCTION("""COMPUTED_VALUE"""),"Hastings House")</f>
        <v>Hastings House</v>
      </c>
      <c r="C1703" s="223" t="str">
        <f>IFERROR(__xludf.DUMMYFUNCTION("""COMPUTED_VALUE"""),"Monthly Services")</f>
        <v>Monthly Services</v>
      </c>
      <c r="D1703" s="316">
        <f>IFERROR(__xludf.DUMMYFUNCTION("""COMPUTED_VALUE"""),44742.0)</f>
        <v>44742</v>
      </c>
      <c r="E1703" s="298"/>
      <c r="F1703" s="298"/>
      <c r="G1703" s="298"/>
      <c r="H1703" s="223"/>
      <c r="I1703" s="298">
        <f>IFERROR(__xludf.DUMMYFUNCTION("""COMPUTED_VALUE"""),350.0)</f>
        <v>350</v>
      </c>
      <c r="J1703" s="223" t="str">
        <f>IFERROR(__xludf.DUMMYFUNCTION("""COMPUTED_VALUE"""),"Monthly")</f>
        <v>Monthly</v>
      </c>
      <c r="K1703" s="317">
        <f>IFERROR(__xludf.DUMMYFUNCTION("""COMPUTED_VALUE"""),2022.06)</f>
        <v>2022.06</v>
      </c>
      <c r="L1703" s="298"/>
      <c r="M1703" s="223"/>
      <c r="N1703" s="223"/>
      <c r="O1703" s="223"/>
      <c r="P1703" s="223"/>
      <c r="Q1703" s="223"/>
      <c r="R1703" s="223"/>
      <c r="S1703" s="223"/>
      <c r="T1703" s="223"/>
      <c r="U1703" s="223"/>
      <c r="V1703" s="223"/>
      <c r="W1703" s="223"/>
      <c r="X1703" s="223"/>
      <c r="Y1703" s="223"/>
      <c r="Z1703" s="223"/>
    </row>
    <row r="1704">
      <c r="A1704" s="223" t="str">
        <f>IFERROR(__xludf.DUMMYFUNCTION("""COMPUTED_VALUE"""),"Spraggs : Monthly Services")</f>
        <v>Spraggs : Monthly Services</v>
      </c>
      <c r="B1704" s="223" t="str">
        <f>IFERROR(__xludf.DUMMYFUNCTION("""COMPUTED_VALUE"""),"Spraggs")</f>
        <v>Spraggs</v>
      </c>
      <c r="C1704" s="223" t="str">
        <f>IFERROR(__xludf.DUMMYFUNCTION("""COMPUTED_VALUE"""),"Monthly Services")</f>
        <v>Monthly Services</v>
      </c>
      <c r="D1704" s="316">
        <f>IFERROR(__xludf.DUMMYFUNCTION("""COMPUTED_VALUE"""),44742.0)</f>
        <v>44742</v>
      </c>
      <c r="E1704" s="298"/>
      <c r="F1704" s="298"/>
      <c r="G1704" s="298"/>
      <c r="H1704" s="223"/>
      <c r="I1704" s="298">
        <f>IFERROR(__xludf.DUMMYFUNCTION("""COMPUTED_VALUE"""),212.5)</f>
        <v>212.5</v>
      </c>
      <c r="J1704" s="223" t="str">
        <f>IFERROR(__xludf.DUMMYFUNCTION("""COMPUTED_VALUE"""),"Monthly")</f>
        <v>Monthly</v>
      </c>
      <c r="K1704" s="317">
        <f>IFERROR(__xludf.DUMMYFUNCTION("""COMPUTED_VALUE"""),2022.06)</f>
        <v>2022.06</v>
      </c>
      <c r="L1704" s="298"/>
      <c r="M1704" s="223"/>
      <c r="N1704" s="223"/>
      <c r="O1704" s="223"/>
      <c r="P1704" s="223"/>
      <c r="Q1704" s="223"/>
      <c r="R1704" s="223"/>
      <c r="S1704" s="223"/>
      <c r="T1704" s="223"/>
      <c r="U1704" s="223"/>
      <c r="V1704" s="223"/>
      <c r="W1704" s="223"/>
      <c r="X1704" s="223"/>
      <c r="Y1704" s="223"/>
      <c r="Z1704" s="223"/>
    </row>
    <row r="1705">
      <c r="A1705" s="223" t="str">
        <f>IFERROR(__xludf.DUMMYFUNCTION("""COMPUTED_VALUE"""),"Availed Technologies : Monthly Services")</f>
        <v>Availed Technologies : Monthly Services</v>
      </c>
      <c r="B1705" s="223" t="str">
        <f>IFERROR(__xludf.DUMMYFUNCTION("""COMPUTED_VALUE"""),"Availed Technologies")</f>
        <v>Availed Technologies</v>
      </c>
      <c r="C1705" s="223" t="str">
        <f>IFERROR(__xludf.DUMMYFUNCTION("""COMPUTED_VALUE"""),"Monthly Services")</f>
        <v>Monthly Services</v>
      </c>
      <c r="D1705" s="316">
        <f>IFERROR(__xludf.DUMMYFUNCTION("""COMPUTED_VALUE"""),44742.0)</f>
        <v>44742</v>
      </c>
      <c r="E1705" s="298"/>
      <c r="F1705" s="298"/>
      <c r="G1705" s="298"/>
      <c r="H1705" s="223"/>
      <c r="I1705" s="298">
        <f>IFERROR(__xludf.DUMMYFUNCTION("""COMPUTED_VALUE"""),175.0)</f>
        <v>175</v>
      </c>
      <c r="J1705" s="223" t="str">
        <f>IFERROR(__xludf.DUMMYFUNCTION("""COMPUTED_VALUE"""),"Monthly")</f>
        <v>Monthly</v>
      </c>
      <c r="K1705" s="317">
        <f>IFERROR(__xludf.DUMMYFUNCTION("""COMPUTED_VALUE"""),2022.06)</f>
        <v>2022.06</v>
      </c>
      <c r="L1705" s="298"/>
      <c r="M1705" s="223"/>
      <c r="N1705" s="223"/>
      <c r="O1705" s="223"/>
      <c r="P1705" s="223"/>
      <c r="Q1705" s="223"/>
      <c r="R1705" s="223"/>
      <c r="S1705" s="223"/>
      <c r="T1705" s="223"/>
      <c r="U1705" s="223"/>
      <c r="V1705" s="223"/>
      <c r="W1705" s="223"/>
      <c r="X1705" s="223"/>
      <c r="Y1705" s="223"/>
      <c r="Z1705" s="223"/>
    </row>
    <row r="1706">
      <c r="A1706" s="223" t="str">
        <f>IFERROR(__xludf.DUMMYFUNCTION("""COMPUTED_VALUE"""),"HSJ Lawyers : Monthly Services")</f>
        <v>HSJ Lawyers : Monthly Services</v>
      </c>
      <c r="B1706" s="223" t="str">
        <f>IFERROR(__xludf.DUMMYFUNCTION("""COMPUTED_VALUE"""),"HSJ Lawyers")</f>
        <v>HSJ Lawyers</v>
      </c>
      <c r="C1706" s="223" t="str">
        <f>IFERROR(__xludf.DUMMYFUNCTION("""COMPUTED_VALUE"""),"Monthly Services")</f>
        <v>Monthly Services</v>
      </c>
      <c r="D1706" s="316">
        <f>IFERROR(__xludf.DUMMYFUNCTION("""COMPUTED_VALUE"""),44742.0)</f>
        <v>44742</v>
      </c>
      <c r="E1706" s="298"/>
      <c r="F1706" s="298"/>
      <c r="G1706" s="298"/>
      <c r="H1706" s="223"/>
      <c r="I1706" s="298">
        <f>IFERROR(__xludf.DUMMYFUNCTION("""COMPUTED_VALUE"""),225.0)</f>
        <v>225</v>
      </c>
      <c r="J1706" s="223" t="str">
        <f>IFERROR(__xludf.DUMMYFUNCTION("""COMPUTED_VALUE"""),"Monthly")</f>
        <v>Monthly</v>
      </c>
      <c r="K1706" s="317">
        <f>IFERROR(__xludf.DUMMYFUNCTION("""COMPUTED_VALUE"""),2022.06)</f>
        <v>2022.06</v>
      </c>
      <c r="L1706" s="298"/>
      <c r="M1706" s="223"/>
      <c r="N1706" s="223"/>
      <c r="O1706" s="223"/>
      <c r="P1706" s="223"/>
      <c r="Q1706" s="223"/>
      <c r="R1706" s="223"/>
      <c r="S1706" s="223"/>
      <c r="T1706" s="223"/>
      <c r="U1706" s="223"/>
      <c r="V1706" s="223"/>
      <c r="W1706" s="223"/>
      <c r="X1706" s="223"/>
      <c r="Y1706" s="223"/>
      <c r="Z1706" s="223"/>
    </row>
    <row r="1707">
      <c r="A1707" s="223" t="str">
        <f>IFERROR(__xludf.DUMMYFUNCTION("""COMPUTED_VALUE"""),"Tugwell : 6 Month PPC")</f>
        <v>Tugwell : 6 Month PPC</v>
      </c>
      <c r="B1707" s="223" t="str">
        <f>IFERROR(__xludf.DUMMYFUNCTION("""COMPUTED_VALUE"""),"Tugwell")</f>
        <v>Tugwell</v>
      </c>
      <c r="C1707" s="223" t="str">
        <f>IFERROR(__xludf.DUMMYFUNCTION("""COMPUTED_VALUE"""),"6 Month PPC")</f>
        <v>6 Month PPC</v>
      </c>
      <c r="D1707" s="316">
        <f>IFERROR(__xludf.DUMMYFUNCTION("""COMPUTED_VALUE"""),44742.0)</f>
        <v>44742</v>
      </c>
      <c r="E1707" s="298"/>
      <c r="F1707" s="298"/>
      <c r="G1707" s="298"/>
      <c r="H1707" s="223"/>
      <c r="I1707" s="298">
        <f>IFERROR(__xludf.DUMMYFUNCTION("""COMPUTED_VALUE"""),125.0)</f>
        <v>125</v>
      </c>
      <c r="J1707" s="223" t="str">
        <f>IFERROR(__xludf.DUMMYFUNCTION("""COMPUTED_VALUE"""),"Fixed Project")</f>
        <v>Fixed Project</v>
      </c>
      <c r="K1707" s="317">
        <f>IFERROR(__xludf.DUMMYFUNCTION("""COMPUTED_VALUE"""),2022.0)</f>
        <v>2022</v>
      </c>
      <c r="L1707" s="298"/>
      <c r="M1707" s="223"/>
      <c r="N1707" s="223"/>
      <c r="O1707" s="223"/>
      <c r="P1707" s="223"/>
      <c r="Q1707" s="223"/>
      <c r="R1707" s="223"/>
      <c r="S1707" s="223"/>
      <c r="T1707" s="223"/>
      <c r="U1707" s="223"/>
      <c r="V1707" s="223"/>
      <c r="W1707" s="223"/>
      <c r="X1707" s="223"/>
      <c r="Y1707" s="223"/>
      <c r="Z1707" s="223"/>
    </row>
    <row r="1708">
      <c r="A1708" s="223" t="str">
        <f>IFERROR(__xludf.DUMMYFUNCTION("""COMPUTED_VALUE"""),"Arazy Group : Monthly Services")</f>
        <v>Arazy Group : Monthly Services</v>
      </c>
      <c r="B1708" s="223" t="str">
        <f>IFERROR(__xludf.DUMMYFUNCTION("""COMPUTED_VALUE"""),"Arazy Group")</f>
        <v>Arazy Group</v>
      </c>
      <c r="C1708" s="223" t="str">
        <f>IFERROR(__xludf.DUMMYFUNCTION("""COMPUTED_VALUE"""),"Monthly Services")</f>
        <v>Monthly Services</v>
      </c>
      <c r="D1708" s="316">
        <f>IFERROR(__xludf.DUMMYFUNCTION("""COMPUTED_VALUE"""),44742.0)</f>
        <v>44742</v>
      </c>
      <c r="E1708" s="298"/>
      <c r="F1708" s="298"/>
      <c r="G1708" s="298"/>
      <c r="H1708" s="223"/>
      <c r="I1708" s="298">
        <f>IFERROR(__xludf.DUMMYFUNCTION("""COMPUTED_VALUE"""),237.5)</f>
        <v>237.5</v>
      </c>
      <c r="J1708" s="223" t="str">
        <f>IFERROR(__xludf.DUMMYFUNCTION("""COMPUTED_VALUE"""),"Monthly")</f>
        <v>Monthly</v>
      </c>
      <c r="K1708" s="317">
        <f>IFERROR(__xludf.DUMMYFUNCTION("""COMPUTED_VALUE"""),2022.06)</f>
        <v>2022.06</v>
      </c>
      <c r="L1708" s="298"/>
      <c r="M1708" s="223"/>
      <c r="N1708" s="223"/>
      <c r="O1708" s="223"/>
      <c r="P1708" s="223"/>
      <c r="Q1708" s="223"/>
      <c r="R1708" s="223"/>
      <c r="S1708" s="223"/>
      <c r="T1708" s="223"/>
      <c r="U1708" s="223"/>
      <c r="V1708" s="223"/>
      <c r="W1708" s="223"/>
      <c r="X1708" s="223"/>
      <c r="Y1708" s="223"/>
      <c r="Z1708" s="223"/>
    </row>
    <row r="1709">
      <c r="A1709" s="223" t="str">
        <f>IFERROR(__xludf.DUMMYFUNCTION("""COMPUTED_VALUE"""),"Crisp Media : Genus Capital Managment PPC")</f>
        <v>Crisp Media : Genus Capital Managment PPC</v>
      </c>
      <c r="B1709" s="223" t="str">
        <f>IFERROR(__xludf.DUMMYFUNCTION("""COMPUTED_VALUE"""),"Crisp Media")</f>
        <v>Crisp Media</v>
      </c>
      <c r="C1709" s="223" t="str">
        <f>IFERROR(__xludf.DUMMYFUNCTION("""COMPUTED_VALUE"""),"Genus Capital Managment PPC")</f>
        <v>Genus Capital Managment PPC</v>
      </c>
      <c r="D1709" s="316">
        <f>IFERROR(__xludf.DUMMYFUNCTION("""COMPUTED_VALUE"""),44742.0)</f>
        <v>44742</v>
      </c>
      <c r="E1709" s="298"/>
      <c r="F1709" s="298"/>
      <c r="G1709" s="298"/>
      <c r="H1709" s="223"/>
      <c r="I1709" s="298">
        <f>IFERROR(__xludf.DUMMYFUNCTION("""COMPUTED_VALUE"""),175.0)</f>
        <v>175</v>
      </c>
      <c r="J1709" s="223" t="str">
        <f>IFERROR(__xludf.DUMMYFUNCTION("""COMPUTED_VALUE"""),"Fixed Project")</f>
        <v>Fixed Project</v>
      </c>
      <c r="K1709" s="317">
        <f>IFERROR(__xludf.DUMMYFUNCTION("""COMPUTED_VALUE"""),2022.0)</f>
        <v>2022</v>
      </c>
      <c r="L1709" s="298"/>
      <c r="M1709" s="223"/>
      <c r="N1709" s="223"/>
      <c r="O1709" s="223"/>
      <c r="P1709" s="223"/>
      <c r="Q1709" s="223"/>
      <c r="R1709" s="223"/>
      <c r="S1709" s="223"/>
      <c r="T1709" s="223"/>
      <c r="U1709" s="223"/>
      <c r="V1709" s="223"/>
      <c r="W1709" s="223"/>
      <c r="X1709" s="223"/>
      <c r="Y1709" s="223"/>
      <c r="Z1709" s="223"/>
    </row>
    <row r="1710">
      <c r="A1710" s="223" t="str">
        <f>IFERROR(__xludf.DUMMYFUNCTION("""COMPUTED_VALUE"""),"Viridian : Monthly Services")</f>
        <v>Viridian : Monthly Services</v>
      </c>
      <c r="B1710" s="223" t="str">
        <f>IFERROR(__xludf.DUMMYFUNCTION("""COMPUTED_VALUE"""),"Viridian")</f>
        <v>Viridian</v>
      </c>
      <c r="C1710" s="223" t="str">
        <f>IFERROR(__xludf.DUMMYFUNCTION("""COMPUTED_VALUE"""),"Monthly Services")</f>
        <v>Monthly Services</v>
      </c>
      <c r="D1710" s="316">
        <f>IFERROR(__xludf.DUMMYFUNCTION("""COMPUTED_VALUE"""),44742.0)</f>
        <v>44742</v>
      </c>
      <c r="E1710" s="298"/>
      <c r="F1710" s="298"/>
      <c r="G1710" s="298"/>
      <c r="H1710" s="223"/>
      <c r="I1710" s="298">
        <f>IFERROR(__xludf.DUMMYFUNCTION("""COMPUTED_VALUE"""),312.5)</f>
        <v>312.5</v>
      </c>
      <c r="J1710" s="223" t="str">
        <f>IFERROR(__xludf.DUMMYFUNCTION("""COMPUTED_VALUE"""),"Monthly")</f>
        <v>Monthly</v>
      </c>
      <c r="K1710" s="317">
        <f>IFERROR(__xludf.DUMMYFUNCTION("""COMPUTED_VALUE"""),2022.06)</f>
        <v>2022.06</v>
      </c>
      <c r="L1710" s="298"/>
      <c r="M1710" s="223"/>
      <c r="N1710" s="223"/>
      <c r="O1710" s="223"/>
      <c r="P1710" s="223"/>
      <c r="Q1710" s="223"/>
      <c r="R1710" s="223"/>
      <c r="S1710" s="223"/>
      <c r="T1710" s="223"/>
      <c r="U1710" s="223"/>
      <c r="V1710" s="223"/>
      <c r="W1710" s="223"/>
      <c r="X1710" s="223"/>
      <c r="Y1710" s="223"/>
      <c r="Z1710" s="223"/>
    </row>
    <row r="1711">
      <c r="A1711" s="223" t="str">
        <f>IFERROR(__xludf.DUMMYFUNCTION("""COMPUTED_VALUE"""),"Service First : Monthly Services")</f>
        <v>Service First : Monthly Services</v>
      </c>
      <c r="B1711" s="223" t="str">
        <f>IFERROR(__xludf.DUMMYFUNCTION("""COMPUTED_VALUE"""),"Service First")</f>
        <v>Service First</v>
      </c>
      <c r="C1711" s="223" t="str">
        <f>IFERROR(__xludf.DUMMYFUNCTION("""COMPUTED_VALUE"""),"Monthly Services")</f>
        <v>Monthly Services</v>
      </c>
      <c r="D1711" s="316">
        <f>IFERROR(__xludf.DUMMYFUNCTION("""COMPUTED_VALUE"""),44742.0)</f>
        <v>44742</v>
      </c>
      <c r="E1711" s="298"/>
      <c r="F1711" s="298"/>
      <c r="G1711" s="298"/>
      <c r="H1711" s="223"/>
      <c r="I1711" s="298">
        <f>IFERROR(__xludf.DUMMYFUNCTION("""COMPUTED_VALUE"""),125.0)</f>
        <v>125</v>
      </c>
      <c r="J1711" s="223" t="str">
        <f>IFERROR(__xludf.DUMMYFUNCTION("""COMPUTED_VALUE"""),"Monthly")</f>
        <v>Monthly</v>
      </c>
      <c r="K1711" s="317">
        <f>IFERROR(__xludf.DUMMYFUNCTION("""COMPUTED_VALUE"""),2022.06)</f>
        <v>2022.06</v>
      </c>
      <c r="L1711" s="298"/>
      <c r="M1711" s="223"/>
      <c r="N1711" s="223"/>
      <c r="O1711" s="223"/>
      <c r="P1711" s="223"/>
      <c r="Q1711" s="223"/>
      <c r="R1711" s="223"/>
      <c r="S1711" s="223"/>
      <c r="T1711" s="223"/>
      <c r="U1711" s="223"/>
      <c r="V1711" s="223"/>
      <c r="W1711" s="223"/>
      <c r="X1711" s="223"/>
      <c r="Y1711" s="223"/>
      <c r="Z1711" s="223"/>
    </row>
    <row r="1712">
      <c r="A1712" s="223" t="str">
        <f>IFERROR(__xludf.DUMMYFUNCTION("""COMPUTED_VALUE"""),"BookKing (Pacific Tier) : Monthly Services")</f>
        <v>BookKing (Pacific Tier) : Monthly Services</v>
      </c>
      <c r="B1712" s="223" t="str">
        <f>IFERROR(__xludf.DUMMYFUNCTION("""COMPUTED_VALUE"""),"BookKing (Pacific Tier)")</f>
        <v>BookKing (Pacific Tier)</v>
      </c>
      <c r="C1712" s="223" t="str">
        <f>IFERROR(__xludf.DUMMYFUNCTION("""COMPUTED_VALUE"""),"Monthly Services")</f>
        <v>Monthly Services</v>
      </c>
      <c r="D1712" s="316">
        <f>IFERROR(__xludf.DUMMYFUNCTION("""COMPUTED_VALUE"""),44742.0)</f>
        <v>44742</v>
      </c>
      <c r="E1712" s="298"/>
      <c r="F1712" s="298"/>
      <c r="G1712" s="298"/>
      <c r="H1712" s="223"/>
      <c r="I1712" s="298">
        <f>IFERROR(__xludf.DUMMYFUNCTION("""COMPUTED_VALUE"""),200.0)</f>
        <v>200</v>
      </c>
      <c r="J1712" s="223" t="str">
        <f>IFERROR(__xludf.DUMMYFUNCTION("""COMPUTED_VALUE"""),"Monthly")</f>
        <v>Monthly</v>
      </c>
      <c r="K1712" s="317">
        <f>IFERROR(__xludf.DUMMYFUNCTION("""COMPUTED_VALUE"""),2022.06)</f>
        <v>2022.06</v>
      </c>
      <c r="L1712" s="298"/>
      <c r="M1712" s="223"/>
      <c r="N1712" s="223"/>
      <c r="O1712" s="223"/>
      <c r="P1712" s="223"/>
      <c r="Q1712" s="223"/>
      <c r="R1712" s="223"/>
      <c r="S1712" s="223"/>
      <c r="T1712" s="223"/>
      <c r="U1712" s="223"/>
      <c r="V1712" s="223"/>
      <c r="W1712" s="223"/>
      <c r="X1712" s="223"/>
      <c r="Y1712" s="223"/>
      <c r="Z1712" s="223"/>
    </row>
    <row r="1713">
      <c r="A1713" s="223" t="str">
        <f>IFERROR(__xludf.DUMMYFUNCTION("""COMPUTED_VALUE"""),"MortgagePal : Monthly Services")</f>
        <v>MortgagePal : Monthly Services</v>
      </c>
      <c r="B1713" s="223" t="str">
        <f>IFERROR(__xludf.DUMMYFUNCTION("""COMPUTED_VALUE"""),"MortgagePal")</f>
        <v>MortgagePal</v>
      </c>
      <c r="C1713" s="223" t="str">
        <f>IFERROR(__xludf.DUMMYFUNCTION("""COMPUTED_VALUE"""),"Monthly Services")</f>
        <v>Monthly Services</v>
      </c>
      <c r="D1713" s="316">
        <f>IFERROR(__xludf.DUMMYFUNCTION("""COMPUTED_VALUE"""),44742.0)</f>
        <v>44742</v>
      </c>
      <c r="E1713" s="298"/>
      <c r="F1713" s="298"/>
      <c r="G1713" s="298"/>
      <c r="H1713" s="223"/>
      <c r="I1713" s="298">
        <f>IFERROR(__xludf.DUMMYFUNCTION("""COMPUTED_VALUE"""),212.5)</f>
        <v>212.5</v>
      </c>
      <c r="J1713" s="223" t="str">
        <f>IFERROR(__xludf.DUMMYFUNCTION("""COMPUTED_VALUE"""),"Monthly")</f>
        <v>Monthly</v>
      </c>
      <c r="K1713" s="317">
        <f>IFERROR(__xludf.DUMMYFUNCTION("""COMPUTED_VALUE"""),2022.06)</f>
        <v>2022.06</v>
      </c>
      <c r="L1713" s="298"/>
      <c r="M1713" s="223"/>
      <c r="N1713" s="223"/>
      <c r="O1713" s="223"/>
      <c r="P1713" s="223"/>
      <c r="Q1713" s="223"/>
      <c r="R1713" s="223"/>
      <c r="S1713" s="223"/>
      <c r="T1713" s="223"/>
      <c r="U1713" s="223"/>
      <c r="V1713" s="223"/>
      <c r="W1713" s="223"/>
      <c r="X1713" s="223"/>
      <c r="Y1713" s="223"/>
      <c r="Z1713" s="223"/>
    </row>
    <row r="1714">
      <c r="A1714" s="223" t="str">
        <f>IFERROR(__xludf.DUMMYFUNCTION("""COMPUTED_VALUE"""),"Wallack's Art Supplies : Monthly Services")</f>
        <v>Wallack's Art Supplies : Monthly Services</v>
      </c>
      <c r="B1714" s="223" t="str">
        <f>IFERROR(__xludf.DUMMYFUNCTION("""COMPUTED_VALUE"""),"Wallack's Art Supplies")</f>
        <v>Wallack's Art Supplies</v>
      </c>
      <c r="C1714" s="223" t="str">
        <f>IFERROR(__xludf.DUMMYFUNCTION("""COMPUTED_VALUE"""),"Monthly Services")</f>
        <v>Monthly Services</v>
      </c>
      <c r="D1714" s="316">
        <f>IFERROR(__xludf.DUMMYFUNCTION("""COMPUTED_VALUE"""),44742.0)</f>
        <v>44742</v>
      </c>
      <c r="E1714" s="298"/>
      <c r="F1714" s="298"/>
      <c r="G1714" s="298"/>
      <c r="H1714" s="223"/>
      <c r="I1714" s="298">
        <f>IFERROR(__xludf.DUMMYFUNCTION("""COMPUTED_VALUE"""),250.0)</f>
        <v>250</v>
      </c>
      <c r="J1714" s="223" t="str">
        <f>IFERROR(__xludf.DUMMYFUNCTION("""COMPUTED_VALUE"""),"Monthly")</f>
        <v>Monthly</v>
      </c>
      <c r="K1714" s="317">
        <f>IFERROR(__xludf.DUMMYFUNCTION("""COMPUTED_VALUE"""),2022.06)</f>
        <v>2022.06</v>
      </c>
      <c r="L1714" s="298"/>
      <c r="M1714" s="223"/>
      <c r="N1714" s="223"/>
      <c r="O1714" s="223"/>
      <c r="P1714" s="223"/>
      <c r="Q1714" s="223"/>
      <c r="R1714" s="223"/>
      <c r="S1714" s="223"/>
      <c r="T1714" s="223"/>
      <c r="U1714" s="223"/>
      <c r="V1714" s="223"/>
      <c r="W1714" s="223"/>
      <c r="X1714" s="223"/>
      <c r="Y1714" s="223"/>
      <c r="Z1714" s="223"/>
    </row>
    <row r="1715">
      <c r="A1715" s="223" t="str">
        <f>IFERROR(__xludf.DUMMYFUNCTION("""COMPUTED_VALUE"""),"Anook Athletics : Monthly Services")</f>
        <v>Anook Athletics : Monthly Services</v>
      </c>
      <c r="B1715" s="223" t="str">
        <f>IFERROR(__xludf.DUMMYFUNCTION("""COMPUTED_VALUE"""),"Anook Athletics")</f>
        <v>Anook Athletics</v>
      </c>
      <c r="C1715" s="223" t="str">
        <f>IFERROR(__xludf.DUMMYFUNCTION("""COMPUTED_VALUE"""),"Monthly Services")</f>
        <v>Monthly Services</v>
      </c>
      <c r="D1715" s="316">
        <f>IFERROR(__xludf.DUMMYFUNCTION("""COMPUTED_VALUE"""),44742.0)</f>
        <v>44742</v>
      </c>
      <c r="E1715" s="298"/>
      <c r="F1715" s="298"/>
      <c r="G1715" s="298"/>
      <c r="H1715" s="223"/>
      <c r="I1715" s="298">
        <f>IFERROR(__xludf.DUMMYFUNCTION("""COMPUTED_VALUE"""),500.0)</f>
        <v>500</v>
      </c>
      <c r="J1715" s="223" t="str">
        <f>IFERROR(__xludf.DUMMYFUNCTION("""COMPUTED_VALUE"""),"Monthly")</f>
        <v>Monthly</v>
      </c>
      <c r="K1715" s="317">
        <f>IFERROR(__xludf.DUMMYFUNCTION("""COMPUTED_VALUE"""),2022.06)</f>
        <v>2022.06</v>
      </c>
      <c r="L1715" s="298"/>
      <c r="M1715" s="223"/>
      <c r="N1715" s="223"/>
      <c r="O1715" s="223"/>
      <c r="P1715" s="223"/>
      <c r="Q1715" s="223"/>
      <c r="R1715" s="223"/>
      <c r="S1715" s="223"/>
      <c r="T1715" s="223"/>
      <c r="U1715" s="223"/>
      <c r="V1715" s="223"/>
      <c r="W1715" s="223"/>
      <c r="X1715" s="223"/>
      <c r="Y1715" s="223"/>
      <c r="Z1715" s="223"/>
    </row>
    <row r="1716">
      <c r="A1716" s="223" t="str">
        <f>IFERROR(__xludf.DUMMYFUNCTION("""COMPUTED_VALUE"""),"PMDI : Monthly Services")</f>
        <v>PMDI : Monthly Services</v>
      </c>
      <c r="B1716" s="223" t="str">
        <f>IFERROR(__xludf.DUMMYFUNCTION("""COMPUTED_VALUE"""),"PMDI")</f>
        <v>PMDI</v>
      </c>
      <c r="C1716" s="223" t="str">
        <f>IFERROR(__xludf.DUMMYFUNCTION("""COMPUTED_VALUE"""),"Monthly Services")</f>
        <v>Monthly Services</v>
      </c>
      <c r="D1716" s="316">
        <f>IFERROR(__xludf.DUMMYFUNCTION("""COMPUTED_VALUE"""),44742.0)</f>
        <v>44742</v>
      </c>
      <c r="E1716" s="298"/>
      <c r="F1716" s="298"/>
      <c r="G1716" s="298"/>
      <c r="H1716" s="223"/>
      <c r="I1716" s="298">
        <f>IFERROR(__xludf.DUMMYFUNCTION("""COMPUTED_VALUE"""),137.5)</f>
        <v>137.5</v>
      </c>
      <c r="J1716" s="223" t="str">
        <f>IFERROR(__xludf.DUMMYFUNCTION("""COMPUTED_VALUE"""),"Monthly")</f>
        <v>Monthly</v>
      </c>
      <c r="K1716" s="317">
        <f>IFERROR(__xludf.DUMMYFUNCTION("""COMPUTED_VALUE"""),2022.06)</f>
        <v>2022.06</v>
      </c>
      <c r="L1716" s="298"/>
      <c r="M1716" s="223"/>
      <c r="N1716" s="223"/>
      <c r="O1716" s="223"/>
      <c r="P1716" s="223"/>
      <c r="Q1716" s="223"/>
      <c r="R1716" s="223"/>
      <c r="S1716" s="223"/>
      <c r="T1716" s="223"/>
      <c r="U1716" s="223"/>
      <c r="V1716" s="223"/>
      <c r="W1716" s="223"/>
      <c r="X1716" s="223"/>
      <c r="Y1716" s="223"/>
      <c r="Z1716" s="223"/>
    </row>
    <row r="1717">
      <c r="A1717" s="223" t="str">
        <f>IFERROR(__xludf.DUMMYFUNCTION("""COMPUTED_VALUE"""),"Olivia Shoppe : Monthly Services")</f>
        <v>Olivia Shoppe : Monthly Services</v>
      </c>
      <c r="B1717" s="223" t="str">
        <f>IFERROR(__xludf.DUMMYFUNCTION("""COMPUTED_VALUE"""),"Olivia Shoppe")</f>
        <v>Olivia Shoppe</v>
      </c>
      <c r="C1717" s="223" t="str">
        <f>IFERROR(__xludf.DUMMYFUNCTION("""COMPUTED_VALUE"""),"Monthly Services")</f>
        <v>Monthly Services</v>
      </c>
      <c r="D1717" s="316">
        <f>IFERROR(__xludf.DUMMYFUNCTION("""COMPUTED_VALUE"""),44742.0)</f>
        <v>44742</v>
      </c>
      <c r="E1717" s="298"/>
      <c r="F1717" s="298"/>
      <c r="G1717" s="298"/>
      <c r="H1717" s="223"/>
      <c r="I1717" s="298">
        <f>IFERROR(__xludf.DUMMYFUNCTION("""COMPUTED_VALUE"""),250.0)</f>
        <v>250</v>
      </c>
      <c r="J1717" s="223" t="str">
        <f>IFERROR(__xludf.DUMMYFUNCTION("""COMPUTED_VALUE"""),"Monthly")</f>
        <v>Monthly</v>
      </c>
      <c r="K1717" s="317">
        <f>IFERROR(__xludf.DUMMYFUNCTION("""COMPUTED_VALUE"""),2022.06)</f>
        <v>2022.06</v>
      </c>
      <c r="L1717" s="298"/>
      <c r="M1717" s="223"/>
      <c r="N1717" s="223"/>
      <c r="O1717" s="223"/>
      <c r="P1717" s="223"/>
      <c r="Q1717" s="223"/>
      <c r="R1717" s="223"/>
      <c r="S1717" s="223"/>
      <c r="T1717" s="223"/>
      <c r="U1717" s="223"/>
      <c r="V1717" s="223"/>
      <c r="W1717" s="223"/>
      <c r="X1717" s="223"/>
      <c r="Y1717" s="223"/>
      <c r="Z1717" s="223"/>
    </row>
    <row r="1718">
      <c r="A1718" s="223" t="str">
        <f>IFERROR(__xludf.DUMMYFUNCTION("""COMPUTED_VALUE"""),"BookKing (Pacific Tier) : Monthly Services")</f>
        <v>BookKing (Pacific Tier) : Monthly Services</v>
      </c>
      <c r="B1718" s="223" t="str">
        <f>IFERROR(__xludf.DUMMYFUNCTION("""COMPUTED_VALUE"""),"BookKing (Pacific Tier)")</f>
        <v>BookKing (Pacific Tier)</v>
      </c>
      <c r="C1718" s="223" t="str">
        <f>IFERROR(__xludf.DUMMYFUNCTION("""COMPUTED_VALUE"""),"Monthly Services")</f>
        <v>Monthly Services</v>
      </c>
      <c r="D1718" s="316">
        <f>IFERROR(__xludf.DUMMYFUNCTION("""COMPUTED_VALUE"""),44742.0)</f>
        <v>44742</v>
      </c>
      <c r="E1718" s="298"/>
      <c r="F1718" s="298"/>
      <c r="G1718" s="298"/>
      <c r="H1718" s="223"/>
      <c r="I1718" s="298">
        <f>IFERROR(__xludf.DUMMYFUNCTION("""COMPUTED_VALUE"""),75.0)</f>
        <v>75</v>
      </c>
      <c r="J1718" s="223" t="str">
        <f>IFERROR(__xludf.DUMMYFUNCTION("""COMPUTED_VALUE"""),"Monthly")</f>
        <v>Monthly</v>
      </c>
      <c r="K1718" s="317">
        <f>IFERROR(__xludf.DUMMYFUNCTION("""COMPUTED_VALUE"""),2022.06)</f>
        <v>2022.06</v>
      </c>
      <c r="L1718" s="298"/>
      <c r="M1718" s="223"/>
      <c r="N1718" s="223"/>
      <c r="O1718" s="223"/>
      <c r="P1718" s="223"/>
      <c r="Q1718" s="223"/>
      <c r="R1718" s="223"/>
      <c r="S1718" s="223"/>
      <c r="T1718" s="223"/>
      <c r="U1718" s="223"/>
      <c r="V1718" s="223"/>
      <c r="W1718" s="223"/>
      <c r="X1718" s="223"/>
      <c r="Y1718" s="223"/>
      <c r="Z1718" s="223"/>
    </row>
    <row r="1719">
      <c r="A1719" s="223" t="str">
        <f>IFERROR(__xludf.DUMMYFUNCTION("""COMPUTED_VALUE"""),"Spraggs : Monthly Services")</f>
        <v>Spraggs : Monthly Services</v>
      </c>
      <c r="B1719" s="223" t="str">
        <f>IFERROR(__xludf.DUMMYFUNCTION("""COMPUTED_VALUE"""),"Spraggs")</f>
        <v>Spraggs</v>
      </c>
      <c r="C1719" s="223" t="str">
        <f>IFERROR(__xludf.DUMMYFUNCTION("""COMPUTED_VALUE"""),"Monthly Services")</f>
        <v>Monthly Services</v>
      </c>
      <c r="D1719" s="316">
        <f>IFERROR(__xludf.DUMMYFUNCTION("""COMPUTED_VALUE"""),44742.0)</f>
        <v>44742</v>
      </c>
      <c r="E1719" s="298"/>
      <c r="F1719" s="298"/>
      <c r="G1719" s="298"/>
      <c r="H1719" s="223"/>
      <c r="I1719" s="298">
        <f>IFERROR(__xludf.DUMMYFUNCTION("""COMPUTED_VALUE"""),575.0)</f>
        <v>575</v>
      </c>
      <c r="J1719" s="223" t="str">
        <f>IFERROR(__xludf.DUMMYFUNCTION("""COMPUTED_VALUE"""),"Monthly")</f>
        <v>Monthly</v>
      </c>
      <c r="K1719" s="317">
        <f>IFERROR(__xludf.DUMMYFUNCTION("""COMPUTED_VALUE"""),2022.06)</f>
        <v>2022.06</v>
      </c>
      <c r="L1719" s="298"/>
      <c r="M1719" s="223"/>
      <c r="N1719" s="223"/>
      <c r="O1719" s="223"/>
      <c r="P1719" s="223"/>
      <c r="Q1719" s="223"/>
      <c r="R1719" s="223"/>
      <c r="S1719" s="223"/>
      <c r="T1719" s="223"/>
      <c r="U1719" s="223"/>
      <c r="V1719" s="223"/>
      <c r="W1719" s="223"/>
      <c r="X1719" s="223"/>
      <c r="Y1719" s="223"/>
      <c r="Z1719" s="223"/>
    </row>
    <row r="1720">
      <c r="A1720" s="223" t="str">
        <f>IFERROR(__xludf.DUMMYFUNCTION("""COMPUTED_VALUE"""),"MortgagePal : Monthly Services")</f>
        <v>MortgagePal : Monthly Services</v>
      </c>
      <c r="B1720" s="223" t="str">
        <f>IFERROR(__xludf.DUMMYFUNCTION("""COMPUTED_VALUE"""),"MortgagePal")</f>
        <v>MortgagePal</v>
      </c>
      <c r="C1720" s="223" t="str">
        <f>IFERROR(__xludf.DUMMYFUNCTION("""COMPUTED_VALUE"""),"Monthly Services")</f>
        <v>Monthly Services</v>
      </c>
      <c r="D1720" s="316">
        <f>IFERROR(__xludf.DUMMYFUNCTION("""COMPUTED_VALUE"""),44742.0)</f>
        <v>44742</v>
      </c>
      <c r="E1720" s="298"/>
      <c r="F1720" s="298"/>
      <c r="G1720" s="298"/>
      <c r="H1720" s="223"/>
      <c r="I1720" s="298">
        <f>IFERROR(__xludf.DUMMYFUNCTION("""COMPUTED_VALUE"""),45.0)</f>
        <v>45</v>
      </c>
      <c r="J1720" s="223" t="str">
        <f>IFERROR(__xludf.DUMMYFUNCTION("""COMPUTED_VALUE"""),"Monthly")</f>
        <v>Monthly</v>
      </c>
      <c r="K1720" s="317">
        <f>IFERROR(__xludf.DUMMYFUNCTION("""COMPUTED_VALUE"""),2022.06)</f>
        <v>2022.06</v>
      </c>
      <c r="L1720" s="298"/>
      <c r="M1720" s="223"/>
      <c r="N1720" s="223"/>
      <c r="O1720" s="223"/>
      <c r="P1720" s="223"/>
      <c r="Q1720" s="223"/>
      <c r="R1720" s="223"/>
      <c r="S1720" s="223"/>
      <c r="T1720" s="223"/>
      <c r="U1720" s="223"/>
      <c r="V1720" s="223"/>
      <c r="W1720" s="223"/>
      <c r="X1720" s="223"/>
      <c r="Y1720" s="223"/>
      <c r="Z1720" s="223"/>
    </row>
    <row r="1721">
      <c r="A1721" s="223" t="str">
        <f>IFERROR(__xludf.DUMMYFUNCTION("""COMPUTED_VALUE"""),"Olivia Shoppe : Monthly Services")</f>
        <v>Olivia Shoppe : Monthly Services</v>
      </c>
      <c r="B1721" s="223" t="str">
        <f>IFERROR(__xludf.DUMMYFUNCTION("""COMPUTED_VALUE"""),"Olivia Shoppe")</f>
        <v>Olivia Shoppe</v>
      </c>
      <c r="C1721" s="223" t="str">
        <f>IFERROR(__xludf.DUMMYFUNCTION("""COMPUTED_VALUE"""),"Monthly Services")</f>
        <v>Monthly Services</v>
      </c>
      <c r="D1721" s="316">
        <f>IFERROR(__xludf.DUMMYFUNCTION("""COMPUTED_VALUE"""),44742.0)</f>
        <v>44742</v>
      </c>
      <c r="E1721" s="298"/>
      <c r="F1721" s="298"/>
      <c r="G1721" s="298"/>
      <c r="H1721" s="223"/>
      <c r="I1721" s="298">
        <f>IFERROR(__xludf.DUMMYFUNCTION("""COMPUTED_VALUE"""),60.0)</f>
        <v>60</v>
      </c>
      <c r="J1721" s="223" t="str">
        <f>IFERROR(__xludf.DUMMYFUNCTION("""COMPUTED_VALUE"""),"Monthly")</f>
        <v>Monthly</v>
      </c>
      <c r="K1721" s="317">
        <f>IFERROR(__xludf.DUMMYFUNCTION("""COMPUTED_VALUE"""),2022.06)</f>
        <v>2022.06</v>
      </c>
      <c r="L1721" s="298"/>
      <c r="M1721" s="223"/>
      <c r="N1721" s="223"/>
      <c r="O1721" s="223"/>
      <c r="P1721" s="223"/>
      <c r="Q1721" s="223"/>
      <c r="R1721" s="223"/>
      <c r="S1721" s="223"/>
      <c r="T1721" s="223"/>
      <c r="U1721" s="223"/>
      <c r="V1721" s="223"/>
      <c r="W1721" s="223"/>
      <c r="X1721" s="223"/>
      <c r="Y1721" s="223"/>
      <c r="Z1721" s="223"/>
    </row>
    <row r="1722">
      <c r="A1722" s="223" t="str">
        <f>IFERROR(__xludf.DUMMYFUNCTION("""COMPUTED_VALUE"""),"Tires Easy : Monthly Services for Tires-Easy.com")</f>
        <v>Tires Easy : Monthly Services for Tires-Easy.com</v>
      </c>
      <c r="B1722" s="223" t="str">
        <f>IFERROR(__xludf.DUMMYFUNCTION("""COMPUTED_VALUE"""),"Tires Easy")</f>
        <v>Tires Easy</v>
      </c>
      <c r="C1722" s="223" t="str">
        <f>IFERROR(__xludf.DUMMYFUNCTION("""COMPUTED_VALUE"""),"Monthly Services for Tires-Easy.com")</f>
        <v>Monthly Services for Tires-Easy.com</v>
      </c>
      <c r="D1722" s="316">
        <f>IFERROR(__xludf.DUMMYFUNCTION("""COMPUTED_VALUE"""),44742.0)</f>
        <v>44742</v>
      </c>
      <c r="E1722" s="298"/>
      <c r="F1722" s="298"/>
      <c r="G1722" s="298"/>
      <c r="H1722" s="223"/>
      <c r="I1722" s="298">
        <f>IFERROR(__xludf.DUMMYFUNCTION("""COMPUTED_VALUE"""),420.0)</f>
        <v>420</v>
      </c>
      <c r="J1722" s="223" t="str">
        <f>IFERROR(__xludf.DUMMYFUNCTION("""COMPUTED_VALUE"""),"Monthly")</f>
        <v>Monthly</v>
      </c>
      <c r="K1722" s="317">
        <f>IFERROR(__xludf.DUMMYFUNCTION("""COMPUTED_VALUE"""),2022.06)</f>
        <v>2022.06</v>
      </c>
      <c r="L1722" s="298"/>
      <c r="M1722" s="223"/>
      <c r="N1722" s="223"/>
      <c r="O1722" s="223"/>
      <c r="P1722" s="223"/>
      <c r="Q1722" s="223"/>
      <c r="R1722" s="223"/>
      <c r="S1722" s="223"/>
      <c r="T1722" s="223"/>
      <c r="U1722" s="223"/>
      <c r="V1722" s="223"/>
      <c r="W1722" s="223"/>
      <c r="X1722" s="223"/>
      <c r="Y1722" s="223"/>
      <c r="Z1722" s="223"/>
    </row>
    <row r="1723">
      <c r="A1723" s="223" t="str">
        <f>IFERROR(__xludf.DUMMYFUNCTION("""COMPUTED_VALUE"""),"Giga Tires : Monthly Services")</f>
        <v>Giga Tires : Monthly Services</v>
      </c>
      <c r="B1723" s="223" t="str">
        <f>IFERROR(__xludf.DUMMYFUNCTION("""COMPUTED_VALUE"""),"Giga Tires")</f>
        <v>Giga Tires</v>
      </c>
      <c r="C1723" s="223" t="str">
        <f>IFERROR(__xludf.DUMMYFUNCTION("""COMPUTED_VALUE"""),"Monthly Services")</f>
        <v>Monthly Services</v>
      </c>
      <c r="D1723" s="316">
        <f>IFERROR(__xludf.DUMMYFUNCTION("""COMPUTED_VALUE"""),44742.0)</f>
        <v>44742</v>
      </c>
      <c r="E1723" s="298"/>
      <c r="F1723" s="298"/>
      <c r="G1723" s="298"/>
      <c r="H1723" s="223"/>
      <c r="I1723" s="298">
        <f>IFERROR(__xludf.DUMMYFUNCTION("""COMPUTED_VALUE"""),70.0)</f>
        <v>70</v>
      </c>
      <c r="J1723" s="223" t="str">
        <f>IFERROR(__xludf.DUMMYFUNCTION("""COMPUTED_VALUE"""),"Monthly")</f>
        <v>Monthly</v>
      </c>
      <c r="K1723" s="317">
        <f>IFERROR(__xludf.DUMMYFUNCTION("""COMPUTED_VALUE"""),2022.06)</f>
        <v>2022.06</v>
      </c>
      <c r="L1723" s="298"/>
      <c r="M1723" s="223"/>
      <c r="N1723" s="223"/>
      <c r="O1723" s="223"/>
      <c r="P1723" s="223"/>
      <c r="Q1723" s="223"/>
      <c r="R1723" s="223"/>
      <c r="S1723" s="223"/>
      <c r="T1723" s="223"/>
      <c r="U1723" s="223"/>
      <c r="V1723" s="223"/>
      <c r="W1723" s="223"/>
      <c r="X1723" s="223"/>
      <c r="Y1723" s="223"/>
      <c r="Z1723" s="223"/>
    </row>
    <row r="1724">
      <c r="A1724" s="223" t="str">
        <f>IFERROR(__xludf.DUMMYFUNCTION("""COMPUTED_VALUE"""),"Service First : Monthly Services")</f>
        <v>Service First : Monthly Services</v>
      </c>
      <c r="B1724" s="223" t="str">
        <f>IFERROR(__xludf.DUMMYFUNCTION("""COMPUTED_VALUE"""),"Service First")</f>
        <v>Service First</v>
      </c>
      <c r="C1724" s="223" t="str">
        <f>IFERROR(__xludf.DUMMYFUNCTION("""COMPUTED_VALUE"""),"Monthly Services")</f>
        <v>Monthly Services</v>
      </c>
      <c r="D1724" s="316">
        <f>IFERROR(__xludf.DUMMYFUNCTION("""COMPUTED_VALUE"""),44742.0)</f>
        <v>44742</v>
      </c>
      <c r="E1724" s="298"/>
      <c r="F1724" s="298"/>
      <c r="G1724" s="298"/>
      <c r="H1724" s="223"/>
      <c r="I1724" s="298">
        <f>IFERROR(__xludf.DUMMYFUNCTION("""COMPUTED_VALUE"""),30.0)</f>
        <v>30</v>
      </c>
      <c r="J1724" s="223" t="str">
        <f>IFERROR(__xludf.DUMMYFUNCTION("""COMPUTED_VALUE"""),"Monthly")</f>
        <v>Monthly</v>
      </c>
      <c r="K1724" s="317">
        <f>IFERROR(__xludf.DUMMYFUNCTION("""COMPUTED_VALUE"""),2022.06)</f>
        <v>2022.06</v>
      </c>
      <c r="L1724" s="298"/>
      <c r="M1724" s="223"/>
      <c r="N1724" s="223"/>
      <c r="O1724" s="223"/>
      <c r="P1724" s="223"/>
      <c r="Q1724" s="223"/>
      <c r="R1724" s="223"/>
      <c r="S1724" s="223"/>
      <c r="T1724" s="223"/>
      <c r="U1724" s="223"/>
      <c r="V1724" s="223"/>
      <c r="W1724" s="223"/>
      <c r="X1724" s="223"/>
      <c r="Y1724" s="223"/>
      <c r="Z1724" s="223"/>
    </row>
    <row r="1725">
      <c r="A1725" s="223" t="str">
        <f>IFERROR(__xludf.DUMMYFUNCTION("""COMPUTED_VALUE"""),"HSJ Lawyers : Monthly Services")</f>
        <v>HSJ Lawyers : Monthly Services</v>
      </c>
      <c r="B1725" s="223" t="str">
        <f>IFERROR(__xludf.DUMMYFUNCTION("""COMPUTED_VALUE"""),"HSJ Lawyers")</f>
        <v>HSJ Lawyers</v>
      </c>
      <c r="C1725" s="223" t="str">
        <f>IFERROR(__xludf.DUMMYFUNCTION("""COMPUTED_VALUE"""),"Monthly Services")</f>
        <v>Monthly Services</v>
      </c>
      <c r="D1725" s="316">
        <f>IFERROR(__xludf.DUMMYFUNCTION("""COMPUTED_VALUE"""),44742.0)</f>
        <v>44742</v>
      </c>
      <c r="E1725" s="298"/>
      <c r="F1725" s="298"/>
      <c r="G1725" s="298"/>
      <c r="H1725" s="223"/>
      <c r="I1725" s="298">
        <f>IFERROR(__xludf.DUMMYFUNCTION("""COMPUTED_VALUE"""),75.0)</f>
        <v>75</v>
      </c>
      <c r="J1725" s="223" t="str">
        <f>IFERROR(__xludf.DUMMYFUNCTION("""COMPUTED_VALUE"""),"Monthly")</f>
        <v>Monthly</v>
      </c>
      <c r="K1725" s="317">
        <f>IFERROR(__xludf.DUMMYFUNCTION("""COMPUTED_VALUE"""),2022.06)</f>
        <v>2022.06</v>
      </c>
      <c r="L1725" s="298"/>
      <c r="M1725" s="223"/>
      <c r="N1725" s="223"/>
      <c r="O1725" s="223"/>
      <c r="P1725" s="223"/>
      <c r="Q1725" s="223"/>
      <c r="R1725" s="223"/>
      <c r="S1725" s="223"/>
      <c r="T1725" s="223"/>
      <c r="U1725" s="223"/>
      <c r="V1725" s="223"/>
      <c r="W1725" s="223"/>
      <c r="X1725" s="223"/>
      <c r="Y1725" s="223"/>
      <c r="Z1725" s="223"/>
    </row>
    <row r="1726">
      <c r="A1726" s="223" t="str">
        <f>IFERROR(__xludf.DUMMYFUNCTION("""COMPUTED_VALUE"""),"Booginhead : Monthly Services")</f>
        <v>Booginhead : Monthly Services</v>
      </c>
      <c r="B1726" s="223" t="str">
        <f>IFERROR(__xludf.DUMMYFUNCTION("""COMPUTED_VALUE"""),"Booginhead")</f>
        <v>Booginhead</v>
      </c>
      <c r="C1726" s="223" t="str">
        <f>IFERROR(__xludf.DUMMYFUNCTION("""COMPUTED_VALUE"""),"Monthly Services")</f>
        <v>Monthly Services</v>
      </c>
      <c r="D1726" s="316">
        <f>IFERROR(__xludf.DUMMYFUNCTION("""COMPUTED_VALUE"""),44742.0)</f>
        <v>44742</v>
      </c>
      <c r="E1726" s="298"/>
      <c r="F1726" s="298"/>
      <c r="G1726" s="298"/>
      <c r="H1726" s="223"/>
      <c r="I1726" s="298">
        <f>IFERROR(__xludf.DUMMYFUNCTION("""COMPUTED_VALUE"""),407.5)</f>
        <v>407.5</v>
      </c>
      <c r="J1726" s="223" t="str">
        <f>IFERROR(__xludf.DUMMYFUNCTION("""COMPUTED_VALUE"""),"Monthly")</f>
        <v>Monthly</v>
      </c>
      <c r="K1726" s="317">
        <f>IFERROR(__xludf.DUMMYFUNCTION("""COMPUTED_VALUE"""),2022.06)</f>
        <v>2022.06</v>
      </c>
      <c r="L1726" s="298"/>
      <c r="M1726" s="223"/>
      <c r="N1726" s="223"/>
      <c r="O1726" s="223"/>
      <c r="P1726" s="223"/>
      <c r="Q1726" s="223"/>
      <c r="R1726" s="223"/>
      <c r="S1726" s="223"/>
      <c r="T1726" s="223"/>
      <c r="U1726" s="223"/>
      <c r="V1726" s="223"/>
      <c r="W1726" s="223"/>
      <c r="X1726" s="223"/>
      <c r="Y1726" s="223"/>
      <c r="Z1726" s="223"/>
    </row>
    <row r="1727">
      <c r="A1727" s="223" t="str">
        <f>IFERROR(__xludf.DUMMYFUNCTION("""COMPUTED_VALUE"""),"Arazy Group : Monthly Services")</f>
        <v>Arazy Group : Monthly Services</v>
      </c>
      <c r="B1727" s="223" t="str">
        <f>IFERROR(__xludf.DUMMYFUNCTION("""COMPUTED_VALUE"""),"Arazy Group")</f>
        <v>Arazy Group</v>
      </c>
      <c r="C1727" s="223" t="str">
        <f>IFERROR(__xludf.DUMMYFUNCTION("""COMPUTED_VALUE"""),"Monthly Services")</f>
        <v>Monthly Services</v>
      </c>
      <c r="D1727" s="316">
        <f>IFERROR(__xludf.DUMMYFUNCTION("""COMPUTED_VALUE"""),44742.0)</f>
        <v>44742</v>
      </c>
      <c r="E1727" s="298"/>
      <c r="F1727" s="298"/>
      <c r="G1727" s="298"/>
      <c r="H1727" s="223"/>
      <c r="I1727" s="298">
        <f>IFERROR(__xludf.DUMMYFUNCTION("""COMPUTED_VALUE"""),60.0)</f>
        <v>60</v>
      </c>
      <c r="J1727" s="223" t="str">
        <f>IFERROR(__xludf.DUMMYFUNCTION("""COMPUTED_VALUE"""),"Monthly")</f>
        <v>Monthly</v>
      </c>
      <c r="K1727" s="317">
        <f>IFERROR(__xludf.DUMMYFUNCTION("""COMPUTED_VALUE"""),2022.06)</f>
        <v>2022.06</v>
      </c>
      <c r="L1727" s="298"/>
      <c r="M1727" s="223"/>
      <c r="N1727" s="223"/>
      <c r="O1727" s="223"/>
      <c r="P1727" s="223"/>
      <c r="Q1727" s="223"/>
      <c r="R1727" s="223"/>
      <c r="S1727" s="223"/>
      <c r="T1727" s="223"/>
      <c r="U1727" s="223"/>
      <c r="V1727" s="223"/>
      <c r="W1727" s="223"/>
      <c r="X1727" s="223"/>
      <c r="Y1727" s="223"/>
      <c r="Z1727" s="223"/>
    </row>
    <row r="1728">
      <c r="A1728" s="223" t="str">
        <f>IFERROR(__xludf.DUMMYFUNCTION("""COMPUTED_VALUE"""),"Hastings House : Monthly Services")</f>
        <v>Hastings House : Monthly Services</v>
      </c>
      <c r="B1728" s="223" t="str">
        <f>IFERROR(__xludf.DUMMYFUNCTION("""COMPUTED_VALUE"""),"Hastings House")</f>
        <v>Hastings House</v>
      </c>
      <c r="C1728" s="223" t="str">
        <f>IFERROR(__xludf.DUMMYFUNCTION("""COMPUTED_VALUE"""),"Monthly Services")</f>
        <v>Monthly Services</v>
      </c>
      <c r="D1728" s="316">
        <f>IFERROR(__xludf.DUMMYFUNCTION("""COMPUTED_VALUE"""),44742.0)</f>
        <v>44742</v>
      </c>
      <c r="E1728" s="298"/>
      <c r="F1728" s="298"/>
      <c r="G1728" s="298"/>
      <c r="H1728" s="223"/>
      <c r="I1728" s="298">
        <f>IFERROR(__xludf.DUMMYFUNCTION("""COMPUTED_VALUE"""),197.5)</f>
        <v>197.5</v>
      </c>
      <c r="J1728" s="223" t="str">
        <f>IFERROR(__xludf.DUMMYFUNCTION("""COMPUTED_VALUE"""),"Monthly")</f>
        <v>Monthly</v>
      </c>
      <c r="K1728" s="317">
        <f>IFERROR(__xludf.DUMMYFUNCTION("""COMPUTED_VALUE"""),2022.06)</f>
        <v>2022.06</v>
      </c>
      <c r="L1728" s="298"/>
      <c r="M1728" s="223"/>
      <c r="N1728" s="223"/>
      <c r="O1728" s="223"/>
      <c r="P1728" s="223"/>
      <c r="Q1728" s="223"/>
      <c r="R1728" s="223"/>
      <c r="S1728" s="223"/>
      <c r="T1728" s="223"/>
      <c r="U1728" s="223"/>
      <c r="V1728" s="223"/>
      <c r="W1728" s="223"/>
      <c r="X1728" s="223"/>
      <c r="Y1728" s="223"/>
      <c r="Z1728" s="223"/>
    </row>
    <row r="1729">
      <c r="A1729" s="223" t="str">
        <f>IFERROR(__xludf.DUMMYFUNCTION("""COMPUTED_VALUE"""),"Bratopia : Monthly Services")</f>
        <v>Bratopia : Monthly Services</v>
      </c>
      <c r="B1729" s="223" t="str">
        <f>IFERROR(__xludf.DUMMYFUNCTION("""COMPUTED_VALUE"""),"Bratopia")</f>
        <v>Bratopia</v>
      </c>
      <c r="C1729" s="223" t="str">
        <f>IFERROR(__xludf.DUMMYFUNCTION("""COMPUTED_VALUE"""),"Monthly Services")</f>
        <v>Monthly Services</v>
      </c>
      <c r="D1729" s="316">
        <f>IFERROR(__xludf.DUMMYFUNCTION("""COMPUTED_VALUE"""),44742.0)</f>
        <v>44742</v>
      </c>
      <c r="E1729" s="298"/>
      <c r="F1729" s="298"/>
      <c r="G1729" s="298"/>
      <c r="H1729" s="223"/>
      <c r="I1729" s="298">
        <f>IFERROR(__xludf.DUMMYFUNCTION("""COMPUTED_VALUE"""),400.0)</f>
        <v>400</v>
      </c>
      <c r="J1729" s="223" t="str">
        <f>IFERROR(__xludf.DUMMYFUNCTION("""COMPUTED_VALUE"""),"Monthly")</f>
        <v>Monthly</v>
      </c>
      <c r="K1729" s="317">
        <f>IFERROR(__xludf.DUMMYFUNCTION("""COMPUTED_VALUE"""),2022.06)</f>
        <v>2022.06</v>
      </c>
      <c r="L1729" s="298"/>
      <c r="M1729" s="223"/>
      <c r="N1729" s="223"/>
      <c r="O1729" s="223"/>
      <c r="P1729" s="223"/>
      <c r="Q1729" s="223"/>
      <c r="R1729" s="223"/>
      <c r="S1729" s="223"/>
      <c r="T1729" s="223"/>
      <c r="U1729" s="223"/>
      <c r="V1729" s="223"/>
      <c r="W1729" s="223"/>
      <c r="X1729" s="223"/>
      <c r="Y1729" s="223"/>
      <c r="Z1729" s="223"/>
    </row>
    <row r="1730">
      <c r="A1730" s="223" t="str">
        <f>IFERROR(__xludf.DUMMYFUNCTION("""COMPUTED_VALUE"""),"TisBest : Monthly Services")</f>
        <v>TisBest : Monthly Services</v>
      </c>
      <c r="B1730" s="223" t="str">
        <f>IFERROR(__xludf.DUMMYFUNCTION("""COMPUTED_VALUE"""),"TisBest")</f>
        <v>TisBest</v>
      </c>
      <c r="C1730" s="223" t="str">
        <f>IFERROR(__xludf.DUMMYFUNCTION("""COMPUTED_VALUE"""),"Monthly Services")</f>
        <v>Monthly Services</v>
      </c>
      <c r="D1730" s="316">
        <f>IFERROR(__xludf.DUMMYFUNCTION("""COMPUTED_VALUE"""),44742.0)</f>
        <v>44742</v>
      </c>
      <c r="E1730" s="298"/>
      <c r="F1730" s="298"/>
      <c r="G1730" s="298"/>
      <c r="H1730" s="223"/>
      <c r="I1730" s="298">
        <f>IFERROR(__xludf.DUMMYFUNCTION("""COMPUTED_VALUE"""),300.0)</f>
        <v>300</v>
      </c>
      <c r="J1730" s="223" t="str">
        <f>IFERROR(__xludf.DUMMYFUNCTION("""COMPUTED_VALUE"""),"Monthly")</f>
        <v>Monthly</v>
      </c>
      <c r="K1730" s="317">
        <f>IFERROR(__xludf.DUMMYFUNCTION("""COMPUTED_VALUE"""),2022.06)</f>
        <v>2022.06</v>
      </c>
      <c r="L1730" s="298"/>
      <c r="M1730" s="223"/>
      <c r="N1730" s="223"/>
      <c r="O1730" s="223"/>
      <c r="P1730" s="223"/>
      <c r="Q1730" s="223"/>
      <c r="R1730" s="223"/>
      <c r="S1730" s="223"/>
      <c r="T1730" s="223"/>
      <c r="U1730" s="223"/>
      <c r="V1730" s="223"/>
      <c r="W1730" s="223"/>
      <c r="X1730" s="223"/>
      <c r="Y1730" s="223"/>
      <c r="Z1730" s="223"/>
    </row>
    <row r="1731">
      <c r="A1731" s="223" t="str">
        <f>IFERROR(__xludf.DUMMYFUNCTION("""COMPUTED_VALUE"""),"Wallack's Art Supplies : Monthly Services")</f>
        <v>Wallack's Art Supplies : Monthly Services</v>
      </c>
      <c r="B1731" s="223" t="str">
        <f>IFERROR(__xludf.DUMMYFUNCTION("""COMPUTED_VALUE"""),"Wallack's Art Supplies")</f>
        <v>Wallack's Art Supplies</v>
      </c>
      <c r="C1731" s="223" t="str">
        <f>IFERROR(__xludf.DUMMYFUNCTION("""COMPUTED_VALUE"""),"Monthly Services")</f>
        <v>Monthly Services</v>
      </c>
      <c r="D1731" s="316">
        <f>IFERROR(__xludf.DUMMYFUNCTION("""COMPUTED_VALUE"""),44742.0)</f>
        <v>44742</v>
      </c>
      <c r="E1731" s="298"/>
      <c r="F1731" s="298"/>
      <c r="G1731" s="298"/>
      <c r="H1731" s="223"/>
      <c r="I1731" s="298">
        <f>IFERROR(__xludf.DUMMYFUNCTION("""COMPUTED_VALUE"""),60.0)</f>
        <v>60</v>
      </c>
      <c r="J1731" s="223" t="str">
        <f>IFERROR(__xludf.DUMMYFUNCTION("""COMPUTED_VALUE"""),"Monthly")</f>
        <v>Monthly</v>
      </c>
      <c r="K1731" s="317">
        <f>IFERROR(__xludf.DUMMYFUNCTION("""COMPUTED_VALUE"""),2022.06)</f>
        <v>2022.06</v>
      </c>
      <c r="L1731" s="298"/>
      <c r="M1731" s="223"/>
      <c r="N1731" s="223"/>
      <c r="O1731" s="223"/>
      <c r="P1731" s="223"/>
      <c r="Q1731" s="223"/>
      <c r="R1731" s="223"/>
      <c r="S1731" s="223"/>
      <c r="T1731" s="223"/>
      <c r="U1731" s="223"/>
      <c r="V1731" s="223"/>
      <c r="W1731" s="223"/>
      <c r="X1731" s="223"/>
      <c r="Y1731" s="223"/>
      <c r="Z1731" s="223"/>
    </row>
    <row r="1732">
      <c r="A1732" s="223" t="str">
        <f>IFERROR(__xludf.DUMMYFUNCTION("""COMPUTED_VALUE"""),"PMDI : Monthly Services")</f>
        <v>PMDI : Monthly Services</v>
      </c>
      <c r="B1732" s="223" t="str">
        <f>IFERROR(__xludf.DUMMYFUNCTION("""COMPUTED_VALUE"""),"PMDI")</f>
        <v>PMDI</v>
      </c>
      <c r="C1732" s="223" t="str">
        <f>IFERROR(__xludf.DUMMYFUNCTION("""COMPUTED_VALUE"""),"Monthly Services")</f>
        <v>Monthly Services</v>
      </c>
      <c r="D1732" s="316">
        <f>IFERROR(__xludf.DUMMYFUNCTION("""COMPUTED_VALUE"""),44742.0)</f>
        <v>44742</v>
      </c>
      <c r="E1732" s="298"/>
      <c r="F1732" s="298"/>
      <c r="G1732" s="298"/>
      <c r="H1732" s="223"/>
      <c r="I1732" s="298">
        <f>IFERROR(__xludf.DUMMYFUNCTION("""COMPUTED_VALUE"""),30.0)</f>
        <v>30</v>
      </c>
      <c r="J1732" s="223" t="str">
        <f>IFERROR(__xludf.DUMMYFUNCTION("""COMPUTED_VALUE"""),"Monthly")</f>
        <v>Monthly</v>
      </c>
      <c r="K1732" s="317">
        <f>IFERROR(__xludf.DUMMYFUNCTION("""COMPUTED_VALUE"""),2022.06)</f>
        <v>2022.06</v>
      </c>
      <c r="L1732" s="298"/>
      <c r="M1732" s="223"/>
      <c r="N1732" s="223"/>
      <c r="O1732" s="223"/>
      <c r="P1732" s="223"/>
      <c r="Q1732" s="223"/>
      <c r="R1732" s="223"/>
      <c r="S1732" s="223"/>
      <c r="T1732" s="223"/>
      <c r="U1732" s="223"/>
      <c r="V1732" s="223"/>
      <c r="W1732" s="223"/>
      <c r="X1732" s="223"/>
      <c r="Y1732" s="223"/>
      <c r="Z1732" s="223"/>
    </row>
    <row r="1733">
      <c r="A1733" s="223" t="str">
        <f>IFERROR(__xludf.DUMMYFUNCTION("""COMPUTED_VALUE"""),"Tofino Resort + Marina : Monthly Services")</f>
        <v>Tofino Resort + Marina : Monthly Services</v>
      </c>
      <c r="B1733" s="223" t="str">
        <f>IFERROR(__xludf.DUMMYFUNCTION("""COMPUTED_VALUE"""),"Tofino Resort + Marina")</f>
        <v>Tofino Resort + Marina</v>
      </c>
      <c r="C1733" s="223" t="str">
        <f>IFERROR(__xludf.DUMMYFUNCTION("""COMPUTED_VALUE"""),"Monthly Services")</f>
        <v>Monthly Services</v>
      </c>
      <c r="D1733" s="316">
        <f>IFERROR(__xludf.DUMMYFUNCTION("""COMPUTED_VALUE"""),44742.0)</f>
        <v>44742</v>
      </c>
      <c r="E1733" s="298"/>
      <c r="F1733" s="298"/>
      <c r="G1733" s="298"/>
      <c r="H1733" s="223"/>
      <c r="I1733" s="298">
        <f>IFERROR(__xludf.DUMMYFUNCTION("""COMPUTED_VALUE"""),300.0)</f>
        <v>300</v>
      </c>
      <c r="J1733" s="223" t="str">
        <f>IFERROR(__xludf.DUMMYFUNCTION("""COMPUTED_VALUE"""),"Monthly")</f>
        <v>Monthly</v>
      </c>
      <c r="K1733" s="317">
        <f>IFERROR(__xludf.DUMMYFUNCTION("""COMPUTED_VALUE"""),2022.06)</f>
        <v>2022.06</v>
      </c>
      <c r="L1733" s="298"/>
      <c r="M1733" s="223"/>
      <c r="N1733" s="223"/>
      <c r="O1733" s="223"/>
      <c r="P1733" s="223"/>
      <c r="Q1733" s="223"/>
      <c r="R1733" s="223"/>
      <c r="S1733" s="223"/>
      <c r="T1733" s="223"/>
      <c r="U1733" s="223"/>
      <c r="V1733" s="223"/>
      <c r="W1733" s="223"/>
      <c r="X1733" s="223"/>
      <c r="Y1733" s="223"/>
      <c r="Z1733" s="223"/>
    </row>
    <row r="1734">
      <c r="A1734" s="223" t="str">
        <f>IFERROR(__xludf.DUMMYFUNCTION("""COMPUTED_VALUE"""),"Anook Athletics : Monthly Services")</f>
        <v>Anook Athletics : Monthly Services</v>
      </c>
      <c r="B1734" s="223" t="str">
        <f>IFERROR(__xludf.DUMMYFUNCTION("""COMPUTED_VALUE"""),"Anook Athletics")</f>
        <v>Anook Athletics</v>
      </c>
      <c r="C1734" s="223" t="str">
        <f>IFERROR(__xludf.DUMMYFUNCTION("""COMPUTED_VALUE"""),"Monthly Services")</f>
        <v>Monthly Services</v>
      </c>
      <c r="D1734" s="316">
        <f>IFERROR(__xludf.DUMMYFUNCTION("""COMPUTED_VALUE"""),44742.0)</f>
        <v>44742</v>
      </c>
      <c r="E1734" s="298"/>
      <c r="F1734" s="298"/>
      <c r="G1734" s="298"/>
      <c r="H1734" s="223"/>
      <c r="I1734" s="298">
        <f>IFERROR(__xludf.DUMMYFUNCTION("""COMPUTED_VALUE"""),75.0)</f>
        <v>75</v>
      </c>
      <c r="J1734" s="223" t="str">
        <f>IFERROR(__xludf.DUMMYFUNCTION("""COMPUTED_VALUE"""),"Monthly")</f>
        <v>Monthly</v>
      </c>
      <c r="K1734" s="317">
        <f>IFERROR(__xludf.DUMMYFUNCTION("""COMPUTED_VALUE"""),2022.06)</f>
        <v>2022.06</v>
      </c>
      <c r="L1734" s="298"/>
      <c r="M1734" s="223"/>
      <c r="N1734" s="223"/>
      <c r="O1734" s="223"/>
      <c r="P1734" s="223"/>
      <c r="Q1734" s="223"/>
      <c r="R1734" s="223"/>
      <c r="S1734" s="223"/>
      <c r="T1734" s="223"/>
      <c r="U1734" s="223"/>
      <c r="V1734" s="223"/>
      <c r="W1734" s="223"/>
      <c r="X1734" s="223"/>
      <c r="Y1734" s="223"/>
      <c r="Z1734" s="223"/>
    </row>
    <row r="1735">
      <c r="A1735" s="223" t="str">
        <f>IFERROR(__xludf.DUMMYFUNCTION("""COMPUTED_VALUE"""),"New Growth Ecommerce Inc : Monthly Services")</f>
        <v>New Growth Ecommerce Inc : Monthly Services</v>
      </c>
      <c r="B1735" s="223" t="str">
        <f>IFERROR(__xludf.DUMMYFUNCTION("""COMPUTED_VALUE"""),"New Growth Ecommerce Inc")</f>
        <v>New Growth Ecommerce Inc</v>
      </c>
      <c r="C1735" s="223" t="str">
        <f>IFERROR(__xludf.DUMMYFUNCTION("""COMPUTED_VALUE"""),"Monthly Services")</f>
        <v>Monthly Services</v>
      </c>
      <c r="D1735" s="316">
        <f>IFERROR(__xludf.DUMMYFUNCTION("""COMPUTED_VALUE"""),44742.0)</f>
        <v>44742</v>
      </c>
      <c r="E1735" s="298"/>
      <c r="F1735" s="298"/>
      <c r="G1735" s="298"/>
      <c r="H1735" s="223"/>
      <c r="I1735" s="298">
        <f>IFERROR(__xludf.DUMMYFUNCTION("""COMPUTED_VALUE"""),1860.0)</f>
        <v>1860</v>
      </c>
      <c r="J1735" s="223" t="str">
        <f>IFERROR(__xludf.DUMMYFUNCTION("""COMPUTED_VALUE"""),"Monthly")</f>
        <v>Monthly</v>
      </c>
      <c r="K1735" s="317">
        <f>IFERROR(__xludf.DUMMYFUNCTION("""COMPUTED_VALUE"""),2022.06)</f>
        <v>2022.06</v>
      </c>
      <c r="L1735" s="298"/>
      <c r="M1735" s="223"/>
      <c r="N1735" s="223"/>
      <c r="O1735" s="223"/>
      <c r="P1735" s="223"/>
      <c r="Q1735" s="223"/>
      <c r="R1735" s="223"/>
      <c r="S1735" s="223"/>
      <c r="T1735" s="223"/>
      <c r="U1735" s="223"/>
      <c r="V1735" s="223"/>
      <c r="W1735" s="223"/>
      <c r="X1735" s="223"/>
      <c r="Y1735" s="223"/>
      <c r="Z1735" s="223"/>
    </row>
    <row r="1736">
      <c r="A1736" s="223" t="str">
        <f>IFERROR(__xludf.DUMMYFUNCTION("""COMPUTED_VALUE"""),"Viridian : Monthly Services")</f>
        <v>Viridian : Monthly Services</v>
      </c>
      <c r="B1736" s="223" t="str">
        <f>IFERROR(__xludf.DUMMYFUNCTION("""COMPUTED_VALUE"""),"Viridian")</f>
        <v>Viridian</v>
      </c>
      <c r="C1736" s="223" t="str">
        <f>IFERROR(__xludf.DUMMYFUNCTION("""COMPUTED_VALUE"""),"Monthly Services")</f>
        <v>Monthly Services</v>
      </c>
      <c r="D1736" s="316">
        <f>IFERROR(__xludf.DUMMYFUNCTION("""COMPUTED_VALUE"""),44742.0)</f>
        <v>44742</v>
      </c>
      <c r="E1736" s="298"/>
      <c r="F1736" s="298"/>
      <c r="G1736" s="298"/>
      <c r="H1736" s="223"/>
      <c r="I1736" s="298">
        <f>IFERROR(__xludf.DUMMYFUNCTION("""COMPUTED_VALUE"""),60.0)</f>
        <v>60</v>
      </c>
      <c r="J1736" s="223" t="str">
        <f>IFERROR(__xludf.DUMMYFUNCTION("""COMPUTED_VALUE"""),"Monthly")</f>
        <v>Monthly</v>
      </c>
      <c r="K1736" s="317">
        <f>IFERROR(__xludf.DUMMYFUNCTION("""COMPUTED_VALUE"""),2022.06)</f>
        <v>2022.06</v>
      </c>
      <c r="L1736" s="298"/>
      <c r="M1736" s="223"/>
      <c r="N1736" s="223"/>
      <c r="O1736" s="223"/>
      <c r="P1736" s="223"/>
      <c r="Q1736" s="223"/>
      <c r="R1736" s="223"/>
      <c r="S1736" s="223"/>
      <c r="T1736" s="223"/>
      <c r="U1736" s="223"/>
      <c r="V1736" s="223"/>
      <c r="W1736" s="223"/>
      <c r="X1736" s="223"/>
      <c r="Y1736" s="223"/>
      <c r="Z1736" s="223"/>
    </row>
    <row r="1737">
      <c r="A1737" s="223" t="str">
        <f>IFERROR(__xludf.DUMMYFUNCTION("""COMPUTED_VALUE"""),"Tugwell : 6 Month PPC")</f>
        <v>Tugwell : 6 Month PPC</v>
      </c>
      <c r="B1737" s="223" t="str">
        <f>IFERROR(__xludf.DUMMYFUNCTION("""COMPUTED_VALUE"""),"Tugwell")</f>
        <v>Tugwell</v>
      </c>
      <c r="C1737" s="223" t="str">
        <f>IFERROR(__xludf.DUMMYFUNCTION("""COMPUTED_VALUE"""),"6 Month PPC")</f>
        <v>6 Month PPC</v>
      </c>
      <c r="D1737" s="316">
        <f>IFERROR(__xludf.DUMMYFUNCTION("""COMPUTED_VALUE"""),44742.0)</f>
        <v>44742</v>
      </c>
      <c r="E1737" s="298"/>
      <c r="F1737" s="298"/>
      <c r="G1737" s="298"/>
      <c r="H1737" s="223"/>
      <c r="I1737" s="298">
        <f>IFERROR(__xludf.DUMMYFUNCTION("""COMPUTED_VALUE"""),30.0)</f>
        <v>30</v>
      </c>
      <c r="J1737" s="223" t="str">
        <f>IFERROR(__xludf.DUMMYFUNCTION("""COMPUTED_VALUE"""),"Fixed Project")</f>
        <v>Fixed Project</v>
      </c>
      <c r="K1737" s="317">
        <f>IFERROR(__xludf.DUMMYFUNCTION("""COMPUTED_VALUE"""),2022.0)</f>
        <v>2022</v>
      </c>
      <c r="L1737" s="298"/>
      <c r="M1737" s="223"/>
      <c r="N1737" s="223"/>
      <c r="O1737" s="223"/>
      <c r="P1737" s="223"/>
      <c r="Q1737" s="223"/>
      <c r="R1737" s="223"/>
      <c r="S1737" s="223"/>
      <c r="T1737" s="223"/>
      <c r="U1737" s="223"/>
      <c r="V1737" s="223"/>
      <c r="W1737" s="223"/>
      <c r="X1737" s="223"/>
      <c r="Y1737" s="223"/>
      <c r="Z1737" s="223"/>
    </row>
    <row r="1738">
      <c r="A1738" s="223" t="str">
        <f>IFERROR(__xludf.DUMMYFUNCTION("""COMPUTED_VALUE"""),"UnityWest Capital : Jericho Energy Ventures 6 month project")</f>
        <v>UnityWest Capital : Jericho Energy Ventures 6 month project</v>
      </c>
      <c r="B1738" s="223" t="str">
        <f>IFERROR(__xludf.DUMMYFUNCTION("""COMPUTED_VALUE"""),"UnityWest Capital")</f>
        <v>UnityWest Capital</v>
      </c>
      <c r="C1738" s="223" t="str">
        <f>IFERROR(__xludf.DUMMYFUNCTION("""COMPUTED_VALUE"""),"Jericho Energy Ventures 6 month project")</f>
        <v>Jericho Energy Ventures 6 month project</v>
      </c>
      <c r="D1738" s="316">
        <f>IFERROR(__xludf.DUMMYFUNCTION("""COMPUTED_VALUE"""),44742.0)</f>
        <v>44742</v>
      </c>
      <c r="E1738" s="298"/>
      <c r="F1738" s="298"/>
      <c r="G1738" s="298"/>
      <c r="H1738" s="223"/>
      <c r="I1738" s="298">
        <f>IFERROR(__xludf.DUMMYFUNCTION("""COMPUTED_VALUE"""),650.0)</f>
        <v>650</v>
      </c>
      <c r="J1738" s="223" t="str">
        <f>IFERROR(__xludf.DUMMYFUNCTION("""COMPUTED_VALUE"""),"Monthly")</f>
        <v>Monthly</v>
      </c>
      <c r="K1738" s="317">
        <f>IFERROR(__xludf.DUMMYFUNCTION("""COMPUTED_VALUE"""),2022.06)</f>
        <v>2022.06</v>
      </c>
      <c r="L1738" s="298"/>
      <c r="M1738" s="223"/>
      <c r="N1738" s="223"/>
      <c r="O1738" s="223"/>
      <c r="P1738" s="223"/>
      <c r="Q1738" s="223"/>
      <c r="R1738" s="223"/>
      <c r="S1738" s="223"/>
      <c r="T1738" s="223"/>
      <c r="U1738" s="223"/>
      <c r="V1738" s="223"/>
      <c r="W1738" s="223"/>
      <c r="X1738" s="223"/>
      <c r="Y1738" s="223"/>
      <c r="Z1738" s="223"/>
    </row>
    <row r="1739">
      <c r="A1739" s="223" t="str">
        <f>IFERROR(__xludf.DUMMYFUNCTION("""COMPUTED_VALUE"""),"Crisp Media : Genus Capital Managment PPC")</f>
        <v>Crisp Media : Genus Capital Managment PPC</v>
      </c>
      <c r="B1739" s="223" t="str">
        <f>IFERROR(__xludf.DUMMYFUNCTION("""COMPUTED_VALUE"""),"Crisp Media")</f>
        <v>Crisp Media</v>
      </c>
      <c r="C1739" s="223" t="str">
        <f>IFERROR(__xludf.DUMMYFUNCTION("""COMPUTED_VALUE"""),"Genus Capital Managment PPC")</f>
        <v>Genus Capital Managment PPC</v>
      </c>
      <c r="D1739" s="316">
        <f>IFERROR(__xludf.DUMMYFUNCTION("""COMPUTED_VALUE"""),44742.0)</f>
        <v>44742</v>
      </c>
      <c r="E1739" s="298"/>
      <c r="F1739" s="298"/>
      <c r="G1739" s="298"/>
      <c r="H1739" s="223"/>
      <c r="I1739" s="298">
        <f>IFERROR(__xludf.DUMMYFUNCTION("""COMPUTED_VALUE"""),45.0)</f>
        <v>45</v>
      </c>
      <c r="J1739" s="223" t="str">
        <f>IFERROR(__xludf.DUMMYFUNCTION("""COMPUTED_VALUE"""),"Fixed Project")</f>
        <v>Fixed Project</v>
      </c>
      <c r="K1739" s="317">
        <f>IFERROR(__xludf.DUMMYFUNCTION("""COMPUTED_VALUE"""),2022.0)</f>
        <v>2022</v>
      </c>
      <c r="L1739" s="298"/>
      <c r="M1739" s="223"/>
      <c r="N1739" s="223"/>
      <c r="O1739" s="223"/>
      <c r="P1739" s="223"/>
      <c r="Q1739" s="223"/>
      <c r="R1739" s="223"/>
      <c r="S1739" s="223"/>
      <c r="T1739" s="223"/>
      <c r="U1739" s="223"/>
      <c r="V1739" s="223"/>
      <c r="W1739" s="223"/>
      <c r="X1739" s="223"/>
      <c r="Y1739" s="223"/>
      <c r="Z1739" s="223"/>
    </row>
    <row r="1740">
      <c r="A1740" s="223" t="str">
        <f>IFERROR(__xludf.DUMMYFUNCTION("""COMPUTED_VALUE"""),"Big Hammer Wines : Google Search and Shopping Overhaul")</f>
        <v>Big Hammer Wines : Google Search and Shopping Overhaul</v>
      </c>
      <c r="B1740" s="223" t="str">
        <f>IFERROR(__xludf.DUMMYFUNCTION("""COMPUTED_VALUE"""),"Big Hammer Wines")</f>
        <v>Big Hammer Wines</v>
      </c>
      <c r="C1740" s="223" t="str">
        <f>IFERROR(__xludf.DUMMYFUNCTION("""COMPUTED_VALUE"""),"Google Search and Shopping Overhaul")</f>
        <v>Google Search and Shopping Overhaul</v>
      </c>
      <c r="D1740" s="316">
        <f>IFERROR(__xludf.DUMMYFUNCTION("""COMPUTED_VALUE"""),44742.0)</f>
        <v>44742</v>
      </c>
      <c r="E1740" s="298"/>
      <c r="F1740" s="298"/>
      <c r="G1740" s="298"/>
      <c r="H1740" s="223"/>
      <c r="I1740" s="298">
        <f>IFERROR(__xludf.DUMMYFUNCTION("""COMPUTED_VALUE"""),725.0)</f>
        <v>725</v>
      </c>
      <c r="J1740" s="223" t="str">
        <f>IFERROR(__xludf.DUMMYFUNCTION("""COMPUTED_VALUE"""),"Fixed Project")</f>
        <v>Fixed Project</v>
      </c>
      <c r="K1740" s="317">
        <f>IFERROR(__xludf.DUMMYFUNCTION("""COMPUTED_VALUE"""),2022.0)</f>
        <v>2022</v>
      </c>
      <c r="L1740" s="298"/>
      <c r="M1740" s="223"/>
      <c r="N1740" s="223"/>
      <c r="O1740" s="223"/>
      <c r="P1740" s="223"/>
      <c r="Q1740" s="223"/>
      <c r="R1740" s="223"/>
      <c r="S1740" s="223"/>
      <c r="T1740" s="223"/>
      <c r="U1740" s="223"/>
      <c r="V1740" s="223"/>
      <c r="W1740" s="223"/>
      <c r="X1740" s="223"/>
      <c r="Y1740" s="223"/>
      <c r="Z1740" s="223"/>
    </row>
    <row r="1741">
      <c r="A1741" s="223" t="str">
        <f>IFERROR(__xludf.DUMMYFUNCTION("""COMPUTED_VALUE"""),"Tuscany : Monthly Services")</f>
        <v>Tuscany : Monthly Services</v>
      </c>
      <c r="B1741" s="223" t="str">
        <f>IFERROR(__xludf.DUMMYFUNCTION("""COMPUTED_VALUE"""),"Tuscany")</f>
        <v>Tuscany</v>
      </c>
      <c r="C1741" s="223" t="str">
        <f>IFERROR(__xludf.DUMMYFUNCTION("""COMPUTED_VALUE"""),"Monthly Services")</f>
        <v>Monthly Services</v>
      </c>
      <c r="D1741" s="316">
        <f>IFERROR(__xludf.DUMMYFUNCTION("""COMPUTED_VALUE"""),44742.0)</f>
        <v>44742</v>
      </c>
      <c r="E1741" s="298"/>
      <c r="F1741" s="298"/>
      <c r="G1741" s="298"/>
      <c r="H1741" s="223"/>
      <c r="I1741" s="298">
        <f>IFERROR(__xludf.DUMMYFUNCTION("""COMPUTED_VALUE"""),662.5)</f>
        <v>662.5</v>
      </c>
      <c r="J1741" s="223" t="str">
        <f>IFERROR(__xludf.DUMMYFUNCTION("""COMPUTED_VALUE"""),"Monthly")</f>
        <v>Monthly</v>
      </c>
      <c r="K1741" s="317">
        <f>IFERROR(__xludf.DUMMYFUNCTION("""COMPUTED_VALUE"""),2022.06)</f>
        <v>2022.06</v>
      </c>
      <c r="L1741" s="298"/>
      <c r="M1741" s="223"/>
      <c r="N1741" s="223"/>
      <c r="O1741" s="223"/>
      <c r="P1741" s="223"/>
      <c r="Q1741" s="223"/>
      <c r="R1741" s="223"/>
      <c r="S1741" s="223"/>
      <c r="T1741" s="223"/>
      <c r="U1741" s="223"/>
      <c r="V1741" s="223"/>
      <c r="W1741" s="223"/>
      <c r="X1741" s="223"/>
      <c r="Y1741" s="223"/>
      <c r="Z1741" s="223"/>
    </row>
    <row r="1742">
      <c r="A1742" s="223" t="str">
        <f>IFERROR(__xludf.DUMMYFUNCTION("""COMPUTED_VALUE"""),"Venetian : Monthly Services")</f>
        <v>Venetian : Monthly Services</v>
      </c>
      <c r="B1742" s="223" t="str">
        <f>IFERROR(__xludf.DUMMYFUNCTION("""COMPUTED_VALUE"""),"Venetian")</f>
        <v>Venetian</v>
      </c>
      <c r="C1742" s="223" t="str">
        <f>IFERROR(__xludf.DUMMYFUNCTION("""COMPUTED_VALUE"""),"Monthly Services")</f>
        <v>Monthly Services</v>
      </c>
      <c r="D1742" s="316">
        <f>IFERROR(__xludf.DUMMYFUNCTION("""COMPUTED_VALUE"""),44742.0)</f>
        <v>44742</v>
      </c>
      <c r="E1742" s="298"/>
      <c r="F1742" s="298"/>
      <c r="G1742" s="298"/>
      <c r="H1742" s="223"/>
      <c r="I1742" s="298">
        <f>IFERROR(__xludf.DUMMYFUNCTION("""COMPUTED_VALUE"""),662.5)</f>
        <v>662.5</v>
      </c>
      <c r="J1742" s="223" t="str">
        <f>IFERROR(__xludf.DUMMYFUNCTION("""COMPUTED_VALUE"""),"Monthly")</f>
        <v>Monthly</v>
      </c>
      <c r="K1742" s="317">
        <f>IFERROR(__xludf.DUMMYFUNCTION("""COMPUTED_VALUE"""),2022.06)</f>
        <v>2022.06</v>
      </c>
      <c r="L1742" s="298"/>
      <c r="M1742" s="223"/>
      <c r="N1742" s="223"/>
      <c r="O1742" s="223"/>
      <c r="P1742" s="223"/>
      <c r="Q1742" s="223"/>
      <c r="R1742" s="223"/>
      <c r="S1742" s="223"/>
      <c r="T1742" s="223"/>
      <c r="U1742" s="223"/>
      <c r="V1742" s="223"/>
      <c r="W1742" s="223"/>
      <c r="X1742" s="223"/>
      <c r="Y1742" s="223"/>
      <c r="Z1742" s="223"/>
    </row>
    <row r="1743">
      <c r="A1743" s="223" t="str">
        <f>IFERROR(__xludf.DUMMYFUNCTION("""COMPUTED_VALUE"""),"Spraggs : Monthly Services")</f>
        <v>Spraggs : Monthly Services</v>
      </c>
      <c r="B1743" s="223" t="str">
        <f>IFERROR(__xludf.DUMMYFUNCTION("""COMPUTED_VALUE"""),"Spraggs")</f>
        <v>Spraggs</v>
      </c>
      <c r="C1743" s="223" t="str">
        <f>IFERROR(__xludf.DUMMYFUNCTION("""COMPUTED_VALUE"""),"Monthly Services")</f>
        <v>Monthly Services</v>
      </c>
      <c r="D1743" s="316">
        <f>IFERROR(__xludf.DUMMYFUNCTION("""COMPUTED_VALUE"""),44742.0)</f>
        <v>44742</v>
      </c>
      <c r="E1743" s="298"/>
      <c r="F1743" s="298"/>
      <c r="G1743" s="298"/>
      <c r="H1743" s="223"/>
      <c r="I1743" s="298">
        <f>IFERROR(__xludf.DUMMYFUNCTION("""COMPUTED_VALUE"""),350.0)</f>
        <v>350</v>
      </c>
      <c r="J1743" s="223" t="str">
        <f>IFERROR(__xludf.DUMMYFUNCTION("""COMPUTED_VALUE"""),"Monthly")</f>
        <v>Monthly</v>
      </c>
      <c r="K1743" s="317">
        <f>IFERROR(__xludf.DUMMYFUNCTION("""COMPUTED_VALUE"""),2022.06)</f>
        <v>2022.06</v>
      </c>
      <c r="L1743" s="298"/>
      <c r="M1743" s="223"/>
      <c r="N1743" s="223"/>
      <c r="O1743" s="223"/>
      <c r="P1743" s="223"/>
      <c r="Q1743" s="223"/>
      <c r="R1743" s="223"/>
      <c r="S1743" s="223"/>
      <c r="T1743" s="223"/>
      <c r="U1743" s="223"/>
      <c r="V1743" s="223"/>
      <c r="W1743" s="223"/>
      <c r="X1743" s="223"/>
      <c r="Y1743" s="223"/>
      <c r="Z1743" s="223"/>
    </row>
    <row r="1744">
      <c r="A1744" s="223" t="str">
        <f>IFERROR(__xludf.DUMMYFUNCTION("""COMPUTED_VALUE"""),"Diversified Health : Monthly Services")</f>
        <v>Diversified Health : Monthly Services</v>
      </c>
      <c r="B1744" s="223" t="str">
        <f>IFERROR(__xludf.DUMMYFUNCTION("""COMPUTED_VALUE"""),"Diversified Health")</f>
        <v>Diversified Health</v>
      </c>
      <c r="C1744" s="223" t="str">
        <f>IFERROR(__xludf.DUMMYFUNCTION("""COMPUTED_VALUE"""),"Monthly Services")</f>
        <v>Monthly Services</v>
      </c>
      <c r="D1744" s="316">
        <f>IFERROR(__xludf.DUMMYFUNCTION("""COMPUTED_VALUE"""),44742.0)</f>
        <v>44742</v>
      </c>
      <c r="E1744" s="298"/>
      <c r="F1744" s="298"/>
      <c r="G1744" s="298"/>
      <c r="H1744" s="223"/>
      <c r="I1744" s="298">
        <f>IFERROR(__xludf.DUMMYFUNCTION("""COMPUTED_VALUE"""),475.0)</f>
        <v>475</v>
      </c>
      <c r="J1744" s="223" t="str">
        <f>IFERROR(__xludf.DUMMYFUNCTION("""COMPUTED_VALUE"""),"Monthly")</f>
        <v>Monthly</v>
      </c>
      <c r="K1744" s="317">
        <f>IFERROR(__xludf.DUMMYFUNCTION("""COMPUTED_VALUE"""),2022.06)</f>
        <v>2022.06</v>
      </c>
      <c r="L1744" s="298"/>
      <c r="M1744" s="223"/>
      <c r="N1744" s="223"/>
      <c r="O1744" s="223"/>
      <c r="P1744" s="223"/>
      <c r="Q1744" s="223"/>
      <c r="R1744" s="223"/>
      <c r="S1744" s="223"/>
      <c r="T1744" s="223"/>
      <c r="U1744" s="223"/>
      <c r="V1744" s="223"/>
      <c r="W1744" s="223"/>
      <c r="X1744" s="223"/>
      <c r="Y1744" s="223"/>
      <c r="Z1744" s="223"/>
    </row>
    <row r="1745">
      <c r="A1745" s="223" t="str">
        <f>IFERROR(__xludf.DUMMYFUNCTION("""COMPUTED_VALUE"""),"TisBest : Monthly Services")</f>
        <v>TisBest : Monthly Services</v>
      </c>
      <c r="B1745" s="223" t="str">
        <f>IFERROR(__xludf.DUMMYFUNCTION("""COMPUTED_VALUE"""),"TisBest")</f>
        <v>TisBest</v>
      </c>
      <c r="C1745" s="223" t="str">
        <f>IFERROR(__xludf.DUMMYFUNCTION("""COMPUTED_VALUE"""),"Monthly Services")</f>
        <v>Monthly Services</v>
      </c>
      <c r="D1745" s="316">
        <f>IFERROR(__xludf.DUMMYFUNCTION("""COMPUTED_VALUE"""),44742.0)</f>
        <v>44742</v>
      </c>
      <c r="E1745" s="298"/>
      <c r="F1745" s="298"/>
      <c r="G1745" s="298"/>
      <c r="H1745" s="223"/>
      <c r="I1745" s="298">
        <f>IFERROR(__xludf.DUMMYFUNCTION("""COMPUTED_VALUE"""),1067.5)</f>
        <v>1067.5</v>
      </c>
      <c r="J1745" s="223" t="str">
        <f>IFERROR(__xludf.DUMMYFUNCTION("""COMPUTED_VALUE"""),"Monthly")</f>
        <v>Monthly</v>
      </c>
      <c r="K1745" s="317">
        <f>IFERROR(__xludf.DUMMYFUNCTION("""COMPUTED_VALUE"""),2022.06)</f>
        <v>2022.06</v>
      </c>
      <c r="L1745" s="298"/>
      <c r="M1745" s="223"/>
      <c r="N1745" s="223"/>
      <c r="O1745" s="223"/>
      <c r="P1745" s="223"/>
      <c r="Q1745" s="223"/>
      <c r="R1745" s="223"/>
      <c r="S1745" s="223"/>
      <c r="T1745" s="223"/>
      <c r="U1745" s="223"/>
      <c r="V1745" s="223"/>
      <c r="W1745" s="223"/>
      <c r="X1745" s="223"/>
      <c r="Y1745" s="223"/>
      <c r="Z1745" s="223"/>
    </row>
    <row r="1746">
      <c r="A1746" s="223" t="str">
        <f>IFERROR(__xludf.DUMMYFUNCTION("""COMPUTED_VALUE"""),"Tofino Resort + Marina : Monthly Services")</f>
        <v>Tofino Resort + Marina : Monthly Services</v>
      </c>
      <c r="B1746" s="223" t="str">
        <f>IFERROR(__xludf.DUMMYFUNCTION("""COMPUTED_VALUE"""),"Tofino Resort + Marina")</f>
        <v>Tofino Resort + Marina</v>
      </c>
      <c r="C1746" s="223" t="str">
        <f>IFERROR(__xludf.DUMMYFUNCTION("""COMPUTED_VALUE"""),"Monthly Services")</f>
        <v>Monthly Services</v>
      </c>
      <c r="D1746" s="316">
        <f>IFERROR(__xludf.DUMMYFUNCTION("""COMPUTED_VALUE"""),44742.0)</f>
        <v>44742</v>
      </c>
      <c r="E1746" s="298"/>
      <c r="F1746" s="298"/>
      <c r="G1746" s="298"/>
      <c r="H1746" s="223"/>
      <c r="I1746" s="298">
        <f>IFERROR(__xludf.DUMMYFUNCTION("""COMPUTED_VALUE"""),450.0)</f>
        <v>450</v>
      </c>
      <c r="J1746" s="223" t="str">
        <f>IFERROR(__xludf.DUMMYFUNCTION("""COMPUTED_VALUE"""),"Monthly")</f>
        <v>Monthly</v>
      </c>
      <c r="K1746" s="317">
        <f>IFERROR(__xludf.DUMMYFUNCTION("""COMPUTED_VALUE"""),2022.06)</f>
        <v>2022.06</v>
      </c>
      <c r="L1746" s="298"/>
      <c r="M1746" s="223"/>
      <c r="N1746" s="223"/>
      <c r="O1746" s="223"/>
      <c r="P1746" s="223"/>
      <c r="Q1746" s="223"/>
      <c r="R1746" s="223"/>
      <c r="S1746" s="223"/>
      <c r="T1746" s="223"/>
      <c r="U1746" s="223"/>
      <c r="V1746" s="223"/>
      <c r="W1746" s="223"/>
      <c r="X1746" s="223"/>
      <c r="Y1746" s="223"/>
      <c r="Z1746" s="223"/>
    </row>
    <row r="1747">
      <c r="A1747" s="223" t="str">
        <f>IFERROR(__xludf.DUMMYFUNCTION("""COMPUTED_VALUE"""),"Availed Technologies : Monthly Services")</f>
        <v>Availed Technologies : Monthly Services</v>
      </c>
      <c r="B1747" s="223" t="str">
        <f>IFERROR(__xludf.DUMMYFUNCTION("""COMPUTED_VALUE"""),"Availed Technologies")</f>
        <v>Availed Technologies</v>
      </c>
      <c r="C1747" s="223" t="str">
        <f>IFERROR(__xludf.DUMMYFUNCTION("""COMPUTED_VALUE"""),"Monthly Services")</f>
        <v>Monthly Services</v>
      </c>
      <c r="D1747" s="316">
        <f>IFERROR(__xludf.DUMMYFUNCTION("""COMPUTED_VALUE"""),44742.0)</f>
        <v>44742</v>
      </c>
      <c r="E1747" s="298"/>
      <c r="F1747" s="298"/>
      <c r="G1747" s="298"/>
      <c r="H1747" s="223"/>
      <c r="I1747" s="298">
        <f>IFERROR(__xludf.DUMMYFUNCTION("""COMPUTED_VALUE"""),162.5)</f>
        <v>162.5</v>
      </c>
      <c r="J1747" s="223" t="str">
        <f>IFERROR(__xludf.DUMMYFUNCTION("""COMPUTED_VALUE"""),"Monthly")</f>
        <v>Monthly</v>
      </c>
      <c r="K1747" s="317">
        <f>IFERROR(__xludf.DUMMYFUNCTION("""COMPUTED_VALUE"""),2022.06)</f>
        <v>2022.06</v>
      </c>
      <c r="L1747" s="298"/>
      <c r="M1747" s="223"/>
      <c r="N1747" s="223"/>
      <c r="O1747" s="223"/>
      <c r="P1747" s="223"/>
      <c r="Q1747" s="223"/>
      <c r="R1747" s="223"/>
      <c r="S1747" s="223"/>
      <c r="T1747" s="223"/>
      <c r="U1747" s="223"/>
      <c r="V1747" s="223"/>
      <c r="W1747" s="223"/>
      <c r="X1747" s="223"/>
      <c r="Y1747" s="223"/>
      <c r="Z1747" s="223"/>
    </row>
    <row r="1748">
      <c r="A1748" s="223" t="str">
        <f>IFERROR(__xludf.DUMMYFUNCTION("""COMPUTED_VALUE"""),"Bratopia : Monthly Services")</f>
        <v>Bratopia : Monthly Services</v>
      </c>
      <c r="B1748" s="223" t="str">
        <f>IFERROR(__xludf.DUMMYFUNCTION("""COMPUTED_VALUE"""),"Bratopia")</f>
        <v>Bratopia</v>
      </c>
      <c r="C1748" s="223" t="str">
        <f>IFERROR(__xludf.DUMMYFUNCTION("""COMPUTED_VALUE"""),"Monthly Services")</f>
        <v>Monthly Services</v>
      </c>
      <c r="D1748" s="316">
        <f>IFERROR(__xludf.DUMMYFUNCTION("""COMPUTED_VALUE"""),44742.0)</f>
        <v>44742</v>
      </c>
      <c r="E1748" s="298"/>
      <c r="F1748" s="298"/>
      <c r="G1748" s="298"/>
      <c r="H1748" s="223"/>
      <c r="I1748" s="298">
        <f>IFERROR(__xludf.DUMMYFUNCTION("""COMPUTED_VALUE"""),275.0)</f>
        <v>275</v>
      </c>
      <c r="J1748" s="223" t="str">
        <f>IFERROR(__xludf.DUMMYFUNCTION("""COMPUTED_VALUE"""),"Monthly")</f>
        <v>Monthly</v>
      </c>
      <c r="K1748" s="317">
        <f>IFERROR(__xludf.DUMMYFUNCTION("""COMPUTED_VALUE"""),2022.06)</f>
        <v>2022.06</v>
      </c>
      <c r="L1748" s="298"/>
      <c r="M1748" s="223"/>
      <c r="N1748" s="223"/>
      <c r="O1748" s="223"/>
      <c r="P1748" s="223"/>
      <c r="Q1748" s="223"/>
      <c r="R1748" s="223"/>
      <c r="S1748" s="223"/>
      <c r="T1748" s="223"/>
      <c r="U1748" s="223"/>
      <c r="V1748" s="223"/>
      <c r="W1748" s="223"/>
      <c r="X1748" s="223"/>
      <c r="Y1748" s="223"/>
      <c r="Z1748" s="223"/>
    </row>
    <row r="1749">
      <c r="A1749" s="223" t="str">
        <f>IFERROR(__xludf.DUMMYFUNCTION("""COMPUTED_VALUE"""),"Community Financials : Monthly Services")</f>
        <v>Community Financials : Monthly Services</v>
      </c>
      <c r="B1749" s="223" t="str">
        <f>IFERROR(__xludf.DUMMYFUNCTION("""COMPUTED_VALUE"""),"Community Financials")</f>
        <v>Community Financials</v>
      </c>
      <c r="C1749" s="223" t="str">
        <f>IFERROR(__xludf.DUMMYFUNCTION("""COMPUTED_VALUE"""),"Monthly Services")</f>
        <v>Monthly Services</v>
      </c>
      <c r="D1749" s="316">
        <f>IFERROR(__xludf.DUMMYFUNCTION("""COMPUTED_VALUE"""),44742.0)</f>
        <v>44742</v>
      </c>
      <c r="E1749" s="298"/>
      <c r="F1749" s="298"/>
      <c r="G1749" s="298"/>
      <c r="H1749" s="223"/>
      <c r="I1749" s="298">
        <f>IFERROR(__xludf.DUMMYFUNCTION("""COMPUTED_VALUE"""),550.0)</f>
        <v>550</v>
      </c>
      <c r="J1749" s="223" t="str">
        <f>IFERROR(__xludf.DUMMYFUNCTION("""COMPUTED_VALUE"""),"Monthly")</f>
        <v>Monthly</v>
      </c>
      <c r="K1749" s="317">
        <f>IFERROR(__xludf.DUMMYFUNCTION("""COMPUTED_VALUE"""),2022.06)</f>
        <v>2022.06</v>
      </c>
      <c r="L1749" s="298"/>
      <c r="M1749" s="223"/>
      <c r="N1749" s="223"/>
      <c r="O1749" s="223"/>
      <c r="P1749" s="223"/>
      <c r="Q1749" s="223"/>
      <c r="R1749" s="223"/>
      <c r="S1749" s="223"/>
      <c r="T1749" s="223"/>
      <c r="U1749" s="223"/>
      <c r="V1749" s="223"/>
      <c r="W1749" s="223"/>
      <c r="X1749" s="223"/>
      <c r="Y1749" s="223"/>
      <c r="Z1749" s="223"/>
    </row>
    <row r="1750">
      <c r="A1750" s="223" t="str">
        <f>IFERROR(__xludf.DUMMYFUNCTION("""COMPUTED_VALUE"""),"Technology Rivers : Monthly Services")</f>
        <v>Technology Rivers : Monthly Services</v>
      </c>
      <c r="B1750" s="223" t="str">
        <f>IFERROR(__xludf.DUMMYFUNCTION("""COMPUTED_VALUE"""),"Technology Rivers")</f>
        <v>Technology Rivers</v>
      </c>
      <c r="C1750" s="223" t="str">
        <f>IFERROR(__xludf.DUMMYFUNCTION("""COMPUTED_VALUE"""),"Monthly Services")</f>
        <v>Monthly Services</v>
      </c>
      <c r="D1750" s="316">
        <f>IFERROR(__xludf.DUMMYFUNCTION("""COMPUTED_VALUE"""),44742.0)</f>
        <v>44742</v>
      </c>
      <c r="E1750" s="298"/>
      <c r="F1750" s="298"/>
      <c r="G1750" s="298"/>
      <c r="H1750" s="223"/>
      <c r="I1750" s="298">
        <f>IFERROR(__xludf.DUMMYFUNCTION("""COMPUTED_VALUE"""),175.0)</f>
        <v>175</v>
      </c>
      <c r="J1750" s="223" t="str">
        <f>IFERROR(__xludf.DUMMYFUNCTION("""COMPUTED_VALUE"""),"Monthly")</f>
        <v>Monthly</v>
      </c>
      <c r="K1750" s="317">
        <f>IFERROR(__xludf.DUMMYFUNCTION("""COMPUTED_VALUE"""),2022.06)</f>
        <v>2022.06</v>
      </c>
      <c r="L1750" s="298"/>
      <c r="M1750" s="223"/>
      <c r="N1750" s="223"/>
      <c r="O1750" s="223"/>
      <c r="P1750" s="223"/>
      <c r="Q1750" s="223"/>
      <c r="R1750" s="223"/>
      <c r="S1750" s="223"/>
      <c r="T1750" s="223"/>
      <c r="U1750" s="223"/>
      <c r="V1750" s="223"/>
      <c r="W1750" s="223"/>
      <c r="X1750" s="223"/>
      <c r="Y1750" s="223"/>
      <c r="Z1750" s="223"/>
    </row>
    <row r="1751">
      <c r="A1751" s="223" t="str">
        <f>IFERROR(__xludf.DUMMYFUNCTION("""COMPUTED_VALUE"""),"Terra Insights : PPC Overhauls and SEO Matrix")</f>
        <v>Terra Insights : PPC Overhauls and SEO Matrix</v>
      </c>
      <c r="B1751" s="223" t="str">
        <f>IFERROR(__xludf.DUMMYFUNCTION("""COMPUTED_VALUE"""),"Terra Insights")</f>
        <v>Terra Insights</v>
      </c>
      <c r="C1751" s="223" t="str">
        <f>IFERROR(__xludf.DUMMYFUNCTION("""COMPUTED_VALUE"""),"PPC Overhauls and SEO Matrix")</f>
        <v>PPC Overhauls and SEO Matrix</v>
      </c>
      <c r="D1751" s="316">
        <f>IFERROR(__xludf.DUMMYFUNCTION("""COMPUTED_VALUE"""),44742.0)</f>
        <v>44742</v>
      </c>
      <c r="E1751" s="298"/>
      <c r="F1751" s="298"/>
      <c r="G1751" s="298"/>
      <c r="H1751" s="223"/>
      <c r="I1751" s="298">
        <f>IFERROR(__xludf.DUMMYFUNCTION("""COMPUTED_VALUE"""),300.0)</f>
        <v>300</v>
      </c>
      <c r="J1751" s="223" t="str">
        <f>IFERROR(__xludf.DUMMYFUNCTION("""COMPUTED_VALUE"""),"Fixed Project")</f>
        <v>Fixed Project</v>
      </c>
      <c r="K1751" s="317">
        <f>IFERROR(__xludf.DUMMYFUNCTION("""COMPUTED_VALUE"""),2022.0)</f>
        <v>2022</v>
      </c>
      <c r="L1751" s="298"/>
      <c r="M1751" s="223"/>
      <c r="N1751" s="223"/>
      <c r="O1751" s="223"/>
      <c r="P1751" s="223"/>
      <c r="Q1751" s="223"/>
      <c r="R1751" s="223"/>
      <c r="S1751" s="223"/>
      <c r="T1751" s="223"/>
      <c r="U1751" s="223"/>
      <c r="V1751" s="223"/>
      <c r="W1751" s="223"/>
      <c r="X1751" s="223"/>
      <c r="Y1751" s="223"/>
      <c r="Z1751" s="223"/>
    </row>
    <row r="1752">
      <c r="A1752" s="223" t="str">
        <f>IFERROR(__xludf.DUMMYFUNCTION("""COMPUTED_VALUE"""),"HSJ Lawyers : Monthly Services")</f>
        <v>HSJ Lawyers : Monthly Services</v>
      </c>
      <c r="B1752" s="223" t="str">
        <f>IFERROR(__xludf.DUMMYFUNCTION("""COMPUTED_VALUE"""),"HSJ Lawyers")</f>
        <v>HSJ Lawyers</v>
      </c>
      <c r="C1752" s="223" t="str">
        <f>IFERROR(__xludf.DUMMYFUNCTION("""COMPUTED_VALUE"""),"Monthly Services")</f>
        <v>Monthly Services</v>
      </c>
      <c r="D1752" s="316">
        <f>IFERROR(__xludf.DUMMYFUNCTION("""COMPUTED_VALUE"""),44742.0)</f>
        <v>44742</v>
      </c>
      <c r="E1752" s="298"/>
      <c r="F1752" s="298"/>
      <c r="G1752" s="298"/>
      <c r="H1752" s="223"/>
      <c r="I1752" s="298">
        <f>IFERROR(__xludf.DUMMYFUNCTION("""COMPUTED_VALUE"""),500.0)</f>
        <v>500</v>
      </c>
      <c r="J1752" s="223" t="str">
        <f>IFERROR(__xludf.DUMMYFUNCTION("""COMPUTED_VALUE"""),"Monthly")</f>
        <v>Monthly</v>
      </c>
      <c r="K1752" s="317">
        <f>IFERROR(__xludf.DUMMYFUNCTION("""COMPUTED_VALUE"""),2022.06)</f>
        <v>2022.06</v>
      </c>
      <c r="L1752" s="298"/>
      <c r="M1752" s="223"/>
      <c r="N1752" s="223"/>
      <c r="O1752" s="223"/>
      <c r="P1752" s="223"/>
      <c r="Q1752" s="223"/>
      <c r="R1752" s="223"/>
      <c r="S1752" s="223"/>
      <c r="T1752" s="223"/>
      <c r="U1752" s="223"/>
      <c r="V1752" s="223"/>
      <c r="W1752" s="223"/>
      <c r="X1752" s="223"/>
      <c r="Y1752" s="223"/>
      <c r="Z1752" s="223"/>
    </row>
    <row r="1753">
      <c r="A1753" s="223" t="str">
        <f>IFERROR(__xludf.DUMMYFUNCTION("""COMPUTED_VALUE"""),"Red Seal : Monthly Services")</f>
        <v>Red Seal : Monthly Services</v>
      </c>
      <c r="B1753" s="223" t="str">
        <f>IFERROR(__xludf.DUMMYFUNCTION("""COMPUTED_VALUE"""),"Red Seal")</f>
        <v>Red Seal</v>
      </c>
      <c r="C1753" s="223" t="str">
        <f>IFERROR(__xludf.DUMMYFUNCTION("""COMPUTED_VALUE"""),"Monthly Services")</f>
        <v>Monthly Services</v>
      </c>
      <c r="D1753" s="316">
        <f>IFERROR(__xludf.DUMMYFUNCTION("""COMPUTED_VALUE"""),44742.0)</f>
        <v>44742</v>
      </c>
      <c r="E1753" s="298"/>
      <c r="F1753" s="298"/>
      <c r="G1753" s="298"/>
      <c r="H1753" s="223"/>
      <c r="I1753" s="298">
        <f>IFERROR(__xludf.DUMMYFUNCTION("""COMPUTED_VALUE"""),30.0)</f>
        <v>30</v>
      </c>
      <c r="J1753" s="223" t="str">
        <f>IFERROR(__xludf.DUMMYFUNCTION("""COMPUTED_VALUE"""),"Monthly")</f>
        <v>Monthly</v>
      </c>
      <c r="K1753" s="317">
        <f>IFERROR(__xludf.DUMMYFUNCTION("""COMPUTED_VALUE"""),2022.06)</f>
        <v>2022.06</v>
      </c>
      <c r="L1753" s="298"/>
      <c r="M1753" s="223"/>
      <c r="N1753" s="223"/>
      <c r="O1753" s="223"/>
      <c r="P1753" s="223"/>
      <c r="Q1753" s="223"/>
      <c r="R1753" s="223"/>
      <c r="S1753" s="223"/>
      <c r="T1753" s="223"/>
      <c r="U1753" s="223"/>
      <c r="V1753" s="223"/>
      <c r="W1753" s="223"/>
      <c r="X1753" s="223"/>
      <c r="Y1753" s="223"/>
      <c r="Z1753" s="223"/>
    </row>
    <row r="1754">
      <c r="A1754" s="223" t="str">
        <f>IFERROR(__xludf.DUMMYFUNCTION("""COMPUTED_VALUE"""),"PlusROI : Admin")</f>
        <v>PlusROI : Admin</v>
      </c>
      <c r="B1754" s="223" t="str">
        <f>IFERROR(__xludf.DUMMYFUNCTION("""COMPUTED_VALUE"""),"PlusROI")</f>
        <v>PlusROI</v>
      </c>
      <c r="C1754" s="223" t="str">
        <f>IFERROR(__xludf.DUMMYFUNCTION("""COMPUTED_VALUE"""),"Admin")</f>
        <v>Admin</v>
      </c>
      <c r="D1754" s="316">
        <f>IFERROR(__xludf.DUMMYFUNCTION("""COMPUTED_VALUE"""),44742.0)</f>
        <v>44742</v>
      </c>
      <c r="E1754" s="298"/>
      <c r="F1754" s="298"/>
      <c r="G1754" s="298"/>
      <c r="H1754" s="223"/>
      <c r="I1754" s="298">
        <f>IFERROR(__xludf.DUMMYFUNCTION("""COMPUTED_VALUE"""),90.0)</f>
        <v>90</v>
      </c>
      <c r="J1754" s="223" t="str">
        <f>IFERROR(__xludf.DUMMYFUNCTION("""COMPUTED_VALUE"""),"Hourly")</f>
        <v>Hourly</v>
      </c>
      <c r="K1754" s="317">
        <f>IFERROR(__xludf.DUMMYFUNCTION("""COMPUTED_VALUE"""),2022.0)</f>
        <v>2022</v>
      </c>
      <c r="L1754" s="298"/>
      <c r="M1754" s="223"/>
      <c r="N1754" s="223"/>
      <c r="O1754" s="223"/>
      <c r="P1754" s="223"/>
      <c r="Q1754" s="223"/>
      <c r="R1754" s="223"/>
      <c r="S1754" s="223"/>
      <c r="T1754" s="223"/>
      <c r="U1754" s="223"/>
      <c r="V1754" s="223"/>
      <c r="W1754" s="223"/>
      <c r="X1754" s="223"/>
      <c r="Y1754" s="223"/>
      <c r="Z1754" s="223"/>
    </row>
    <row r="1755">
      <c r="A1755" s="223" t="str">
        <f>IFERROR(__xludf.DUMMYFUNCTION("""COMPUTED_VALUE"""),"Prime Engineering : Monthly Services")</f>
        <v>Prime Engineering : Monthly Services</v>
      </c>
      <c r="B1755" s="223" t="str">
        <f>IFERROR(__xludf.DUMMYFUNCTION("""COMPUTED_VALUE"""),"Prime Engineering")</f>
        <v>Prime Engineering</v>
      </c>
      <c r="C1755" s="223" t="str">
        <f>IFERROR(__xludf.DUMMYFUNCTION("""COMPUTED_VALUE"""),"Monthly Services")</f>
        <v>Monthly Services</v>
      </c>
      <c r="D1755" s="316">
        <f>IFERROR(__xludf.DUMMYFUNCTION("""COMPUTED_VALUE"""),44742.0)</f>
        <v>44742</v>
      </c>
      <c r="E1755" s="298"/>
      <c r="F1755" s="298"/>
      <c r="G1755" s="298"/>
      <c r="H1755" s="223"/>
      <c r="I1755" s="298">
        <f>IFERROR(__xludf.DUMMYFUNCTION("""COMPUTED_VALUE"""),187.5)</f>
        <v>187.5</v>
      </c>
      <c r="J1755" s="223" t="str">
        <f>IFERROR(__xludf.DUMMYFUNCTION("""COMPUTED_VALUE"""),"Monthly")</f>
        <v>Monthly</v>
      </c>
      <c r="K1755" s="317">
        <f>IFERROR(__xludf.DUMMYFUNCTION("""COMPUTED_VALUE"""),2022.06)</f>
        <v>2022.06</v>
      </c>
      <c r="L1755" s="298"/>
      <c r="M1755" s="223"/>
      <c r="N1755" s="223"/>
      <c r="O1755" s="223"/>
      <c r="P1755" s="223"/>
      <c r="Q1755" s="223"/>
      <c r="R1755" s="223"/>
      <c r="S1755" s="223"/>
      <c r="T1755" s="223"/>
      <c r="U1755" s="223"/>
      <c r="V1755" s="223"/>
      <c r="W1755" s="223"/>
      <c r="X1755" s="223"/>
      <c r="Y1755" s="223"/>
      <c r="Z1755" s="223"/>
    </row>
    <row r="1756">
      <c r="A1756" s="223" t="str">
        <f>IFERROR(__xludf.DUMMYFUNCTION("""COMPUTED_VALUE"""),"FIKSE Wheels : Google Ongoing Monthly Search Ad Work")</f>
        <v>FIKSE Wheels : Google Ongoing Monthly Search Ad Work</v>
      </c>
      <c r="B1756" s="223" t="str">
        <f>IFERROR(__xludf.DUMMYFUNCTION("""COMPUTED_VALUE"""),"FIKSE Wheels")</f>
        <v>FIKSE Wheels</v>
      </c>
      <c r="C1756" s="223" t="str">
        <f>IFERROR(__xludf.DUMMYFUNCTION("""COMPUTED_VALUE"""),"Google Ongoing Monthly Search Ad Work")</f>
        <v>Google Ongoing Monthly Search Ad Work</v>
      </c>
      <c r="D1756" s="316">
        <f>IFERROR(__xludf.DUMMYFUNCTION("""COMPUTED_VALUE"""),44742.0)</f>
        <v>44742</v>
      </c>
      <c r="E1756" s="298"/>
      <c r="F1756" s="298"/>
      <c r="G1756" s="298"/>
      <c r="H1756" s="223"/>
      <c r="I1756" s="298">
        <f>IFERROR(__xludf.DUMMYFUNCTION("""COMPUTED_VALUE"""),150.0)</f>
        <v>150</v>
      </c>
      <c r="J1756" s="223" t="str">
        <f>IFERROR(__xludf.DUMMYFUNCTION("""COMPUTED_VALUE"""),"Not Set")</f>
        <v>Not Set</v>
      </c>
      <c r="K1756" s="317">
        <f>IFERROR(__xludf.DUMMYFUNCTION("""COMPUTED_VALUE"""),2022.0)</f>
        <v>2022</v>
      </c>
      <c r="L1756" s="298"/>
      <c r="M1756" s="223"/>
      <c r="N1756" s="223"/>
      <c r="O1756" s="223"/>
      <c r="P1756" s="223"/>
      <c r="Q1756" s="223"/>
      <c r="R1756" s="223"/>
      <c r="S1756" s="223"/>
      <c r="T1756" s="223"/>
      <c r="U1756" s="223"/>
      <c r="V1756" s="223"/>
      <c r="W1756" s="223"/>
      <c r="X1756" s="223"/>
      <c r="Y1756" s="223"/>
      <c r="Z1756" s="223"/>
    </row>
    <row r="1757">
      <c r="A1757" s="223" t="str">
        <f>IFERROR(__xludf.DUMMYFUNCTION("""COMPUTED_VALUE"""),"Moloco : Initial Streamlined Search Ad Setup")</f>
        <v>Moloco : Initial Streamlined Search Ad Setup</v>
      </c>
      <c r="B1757" s="223" t="str">
        <f>IFERROR(__xludf.DUMMYFUNCTION("""COMPUTED_VALUE"""),"Moloco")</f>
        <v>Moloco</v>
      </c>
      <c r="C1757" s="223" t="str">
        <f>IFERROR(__xludf.DUMMYFUNCTION("""COMPUTED_VALUE"""),"Initial Streamlined Search Ad Setup")</f>
        <v>Initial Streamlined Search Ad Setup</v>
      </c>
      <c r="D1757" s="316">
        <f>IFERROR(__xludf.DUMMYFUNCTION("""COMPUTED_VALUE"""),44742.0)</f>
        <v>44742</v>
      </c>
      <c r="E1757" s="298"/>
      <c r="F1757" s="298"/>
      <c r="G1757" s="298"/>
      <c r="H1757" s="223"/>
      <c r="I1757" s="298">
        <f>IFERROR(__xludf.DUMMYFUNCTION("""COMPUTED_VALUE"""),250.0)</f>
        <v>250</v>
      </c>
      <c r="J1757" s="223" t="str">
        <f>IFERROR(__xludf.DUMMYFUNCTION("""COMPUTED_VALUE"""),"Fixed Project")</f>
        <v>Fixed Project</v>
      </c>
      <c r="K1757" s="317">
        <f>IFERROR(__xludf.DUMMYFUNCTION("""COMPUTED_VALUE"""),2022.0)</f>
        <v>2022</v>
      </c>
      <c r="L1757" s="298"/>
      <c r="M1757" s="223"/>
      <c r="N1757" s="223"/>
      <c r="O1757" s="223"/>
      <c r="P1757" s="223"/>
      <c r="Q1757" s="223"/>
      <c r="R1757" s="223"/>
      <c r="S1757" s="223"/>
      <c r="T1757" s="223"/>
      <c r="U1757" s="223"/>
      <c r="V1757" s="223"/>
      <c r="W1757" s="223"/>
      <c r="X1757" s="223"/>
      <c r="Y1757" s="223"/>
      <c r="Z1757" s="223"/>
    </row>
    <row r="1758">
      <c r="A1758" s="223" t="str">
        <f>IFERROR(__xludf.DUMMYFUNCTION("""COMPUTED_VALUE"""),"Booginhead : Monthly Services")</f>
        <v>Booginhead : Monthly Services</v>
      </c>
      <c r="B1758" s="223" t="str">
        <f>IFERROR(__xludf.DUMMYFUNCTION("""COMPUTED_VALUE"""),"Booginhead")</f>
        <v>Booginhead</v>
      </c>
      <c r="C1758" s="223" t="str">
        <f>IFERROR(__xludf.DUMMYFUNCTION("""COMPUTED_VALUE"""),"Monthly Services")</f>
        <v>Monthly Services</v>
      </c>
      <c r="D1758" s="316">
        <f>IFERROR(__xludf.DUMMYFUNCTION("""COMPUTED_VALUE"""),44742.0)</f>
        <v>44742</v>
      </c>
      <c r="E1758" s="298"/>
      <c r="F1758" s="298"/>
      <c r="G1758" s="298"/>
      <c r="H1758" s="223"/>
      <c r="I1758" s="298">
        <f>IFERROR(__xludf.DUMMYFUNCTION("""COMPUTED_VALUE"""),200.0)</f>
        <v>200</v>
      </c>
      <c r="J1758" s="223" t="str">
        <f>IFERROR(__xludf.DUMMYFUNCTION("""COMPUTED_VALUE"""),"Monthly")</f>
        <v>Monthly</v>
      </c>
      <c r="K1758" s="317">
        <f>IFERROR(__xludf.DUMMYFUNCTION("""COMPUTED_VALUE"""),2022.06)</f>
        <v>2022.06</v>
      </c>
      <c r="L1758" s="298"/>
      <c r="M1758" s="223"/>
      <c r="N1758" s="223"/>
      <c r="O1758" s="223"/>
      <c r="P1758" s="223"/>
      <c r="Q1758" s="223"/>
      <c r="R1758" s="223"/>
      <c r="S1758" s="223"/>
      <c r="T1758" s="223"/>
      <c r="U1758" s="223"/>
      <c r="V1758" s="223"/>
      <c r="W1758" s="223"/>
      <c r="X1758" s="223"/>
      <c r="Y1758" s="223"/>
      <c r="Z1758" s="223"/>
    </row>
    <row r="1759">
      <c r="A1759" s="223" t="str">
        <f>IFERROR(__xludf.DUMMYFUNCTION("""COMPUTED_VALUE"""),"Hastings House : Monthly Services")</f>
        <v>Hastings House : Monthly Services</v>
      </c>
      <c r="B1759" s="223" t="str">
        <f>IFERROR(__xludf.DUMMYFUNCTION("""COMPUTED_VALUE"""),"Hastings House")</f>
        <v>Hastings House</v>
      </c>
      <c r="C1759" s="223" t="str">
        <f>IFERROR(__xludf.DUMMYFUNCTION("""COMPUTED_VALUE"""),"Monthly Services")</f>
        <v>Monthly Services</v>
      </c>
      <c r="D1759" s="316">
        <f>IFERROR(__xludf.DUMMYFUNCTION("""COMPUTED_VALUE"""),44742.0)</f>
        <v>44742</v>
      </c>
      <c r="E1759" s="298"/>
      <c r="F1759" s="298"/>
      <c r="G1759" s="298"/>
      <c r="H1759" s="223"/>
      <c r="I1759" s="298">
        <f>IFERROR(__xludf.DUMMYFUNCTION("""COMPUTED_VALUE"""),150.0)</f>
        <v>150</v>
      </c>
      <c r="J1759" s="223" t="str">
        <f>IFERROR(__xludf.DUMMYFUNCTION("""COMPUTED_VALUE"""),"Monthly")</f>
        <v>Monthly</v>
      </c>
      <c r="K1759" s="317">
        <f>IFERROR(__xludf.DUMMYFUNCTION("""COMPUTED_VALUE"""),2022.06)</f>
        <v>2022.06</v>
      </c>
      <c r="L1759" s="298"/>
      <c r="M1759" s="223"/>
      <c r="N1759" s="223"/>
      <c r="O1759" s="223"/>
      <c r="P1759" s="223"/>
      <c r="Q1759" s="223"/>
      <c r="R1759" s="223"/>
      <c r="S1759" s="223"/>
      <c r="T1759" s="223"/>
      <c r="U1759" s="223"/>
      <c r="V1759" s="223"/>
      <c r="W1759" s="223"/>
      <c r="X1759" s="223"/>
      <c r="Y1759" s="223"/>
      <c r="Z1759" s="223"/>
    </row>
    <row r="1760">
      <c r="A1760" s="223" t="str">
        <f>IFERROR(__xludf.DUMMYFUNCTION("""COMPUTED_VALUE"""),"PlusROI : Overhead")</f>
        <v>PlusROI : Overhead</v>
      </c>
      <c r="B1760" s="223" t="str">
        <f>IFERROR(__xludf.DUMMYFUNCTION("""COMPUTED_VALUE"""),"PlusROI")</f>
        <v>PlusROI</v>
      </c>
      <c r="C1760" s="223" t="str">
        <f>IFERROR(__xludf.DUMMYFUNCTION("""COMPUTED_VALUE"""),"Overhead")</f>
        <v>Overhead</v>
      </c>
      <c r="D1760" s="316">
        <f>IFERROR(__xludf.DUMMYFUNCTION("""COMPUTED_VALUE"""),44766.0)</f>
        <v>44766</v>
      </c>
      <c r="E1760" s="298"/>
      <c r="F1760" s="298"/>
      <c r="G1760" s="298"/>
      <c r="H1760" s="223"/>
      <c r="I1760" s="298">
        <f>IFERROR(__xludf.DUMMYFUNCTION("""COMPUTED_VALUE"""),66.14)</f>
        <v>66.14</v>
      </c>
      <c r="J1760" s="223" t="str">
        <f>IFERROR(__xludf.DUMMYFUNCTION("""COMPUTED_VALUE"""),"Hourly")</f>
        <v>Hourly</v>
      </c>
      <c r="K1760" s="317">
        <f>IFERROR(__xludf.DUMMYFUNCTION("""COMPUTED_VALUE"""),2022.0)</f>
        <v>2022</v>
      </c>
      <c r="L1760" s="298"/>
      <c r="M1760" s="223"/>
      <c r="N1760" s="223"/>
      <c r="O1760" s="223"/>
      <c r="P1760" s="223"/>
      <c r="Q1760" s="223"/>
      <c r="R1760" s="223"/>
      <c r="S1760" s="223"/>
      <c r="T1760" s="223"/>
      <c r="U1760" s="223"/>
      <c r="V1760" s="223"/>
      <c r="W1760" s="223"/>
      <c r="X1760" s="223"/>
      <c r="Y1760" s="223"/>
      <c r="Z1760" s="223"/>
    </row>
    <row r="1761">
      <c r="A1761" s="223" t="str">
        <f>IFERROR(__xludf.DUMMYFUNCTION("""COMPUTED_VALUE"""),"PlusROI : Overhead")</f>
        <v>PlusROI : Overhead</v>
      </c>
      <c r="B1761" s="223" t="str">
        <f>IFERROR(__xludf.DUMMYFUNCTION("""COMPUTED_VALUE"""),"PlusROI")</f>
        <v>PlusROI</v>
      </c>
      <c r="C1761" s="223" t="str">
        <f>IFERROR(__xludf.DUMMYFUNCTION("""COMPUTED_VALUE"""),"Overhead")</f>
        <v>Overhead</v>
      </c>
      <c r="D1761" s="316">
        <f>IFERROR(__xludf.DUMMYFUNCTION("""COMPUTED_VALUE"""),44766.0)</f>
        <v>44766</v>
      </c>
      <c r="E1761" s="298"/>
      <c r="F1761" s="298"/>
      <c r="G1761" s="298"/>
      <c r="H1761" s="223"/>
      <c r="I1761" s="298">
        <f>IFERROR(__xludf.DUMMYFUNCTION("""COMPUTED_VALUE"""),63.73)</f>
        <v>63.73</v>
      </c>
      <c r="J1761" s="223" t="str">
        <f>IFERROR(__xludf.DUMMYFUNCTION("""COMPUTED_VALUE"""),"Hourly")</f>
        <v>Hourly</v>
      </c>
      <c r="K1761" s="317">
        <f>IFERROR(__xludf.DUMMYFUNCTION("""COMPUTED_VALUE"""),2022.0)</f>
        <v>2022</v>
      </c>
      <c r="L1761" s="298"/>
      <c r="M1761" s="223"/>
      <c r="N1761" s="223"/>
      <c r="O1761" s="223"/>
      <c r="P1761" s="223"/>
      <c r="Q1761" s="223"/>
      <c r="R1761" s="223"/>
      <c r="S1761" s="223"/>
      <c r="T1761" s="223"/>
      <c r="U1761" s="223"/>
      <c r="V1761" s="223"/>
      <c r="W1761" s="223"/>
      <c r="X1761" s="223"/>
      <c r="Y1761" s="223"/>
      <c r="Z1761" s="223"/>
    </row>
    <row r="1762">
      <c r="A1762" s="223" t="str">
        <f>IFERROR(__xludf.DUMMYFUNCTION("""COMPUTED_VALUE"""),"PlusROI : Overhead")</f>
        <v>PlusROI : Overhead</v>
      </c>
      <c r="B1762" s="223" t="str">
        <f>IFERROR(__xludf.DUMMYFUNCTION("""COMPUTED_VALUE"""),"PlusROI")</f>
        <v>PlusROI</v>
      </c>
      <c r="C1762" s="223" t="str">
        <f>IFERROR(__xludf.DUMMYFUNCTION("""COMPUTED_VALUE"""),"Overhead")</f>
        <v>Overhead</v>
      </c>
      <c r="D1762" s="316">
        <f>IFERROR(__xludf.DUMMYFUNCTION("""COMPUTED_VALUE"""),44766.0)</f>
        <v>44766</v>
      </c>
      <c r="E1762" s="298"/>
      <c r="F1762" s="298"/>
      <c r="G1762" s="298"/>
      <c r="H1762" s="223"/>
      <c r="I1762" s="298">
        <f>IFERROR(__xludf.DUMMYFUNCTION("""COMPUTED_VALUE"""),14.26)</f>
        <v>14.26</v>
      </c>
      <c r="J1762" s="223" t="str">
        <f>IFERROR(__xludf.DUMMYFUNCTION("""COMPUTED_VALUE"""),"Hourly")</f>
        <v>Hourly</v>
      </c>
      <c r="K1762" s="317">
        <f>IFERROR(__xludf.DUMMYFUNCTION("""COMPUTED_VALUE"""),2022.0)</f>
        <v>2022</v>
      </c>
      <c r="L1762" s="298"/>
      <c r="M1762" s="223"/>
      <c r="N1762" s="223"/>
      <c r="O1762" s="223"/>
      <c r="P1762" s="223"/>
      <c r="Q1762" s="223"/>
      <c r="R1762" s="223"/>
      <c r="S1762" s="223"/>
      <c r="T1762" s="223"/>
      <c r="U1762" s="223"/>
      <c r="V1762" s="223"/>
      <c r="W1762" s="223"/>
      <c r="X1762" s="223"/>
      <c r="Y1762" s="223"/>
      <c r="Z1762" s="223"/>
    </row>
    <row r="1763">
      <c r="A1763" s="223" t="str">
        <f>IFERROR(__xludf.DUMMYFUNCTION("""COMPUTED_VALUE"""),"PlusROI : Overhead")</f>
        <v>PlusROI : Overhead</v>
      </c>
      <c r="B1763" s="223" t="str">
        <f>IFERROR(__xludf.DUMMYFUNCTION("""COMPUTED_VALUE"""),"PlusROI")</f>
        <v>PlusROI</v>
      </c>
      <c r="C1763" s="223" t="str">
        <f>IFERROR(__xludf.DUMMYFUNCTION("""COMPUTED_VALUE"""),"Overhead")</f>
        <v>Overhead</v>
      </c>
      <c r="D1763" s="316">
        <f>IFERROR(__xludf.DUMMYFUNCTION("""COMPUTED_VALUE"""),44766.0)</f>
        <v>44766</v>
      </c>
      <c r="E1763" s="298"/>
      <c r="F1763" s="298"/>
      <c r="G1763" s="298"/>
      <c r="H1763" s="223"/>
      <c r="I1763" s="298">
        <f>IFERROR(__xludf.DUMMYFUNCTION("""COMPUTED_VALUE"""),52.71)</f>
        <v>52.71</v>
      </c>
      <c r="J1763" s="223" t="str">
        <f>IFERROR(__xludf.DUMMYFUNCTION("""COMPUTED_VALUE"""),"Hourly")</f>
        <v>Hourly</v>
      </c>
      <c r="K1763" s="317">
        <f>IFERROR(__xludf.DUMMYFUNCTION("""COMPUTED_VALUE"""),2022.0)</f>
        <v>2022</v>
      </c>
      <c r="L1763" s="298"/>
      <c r="M1763" s="223"/>
      <c r="N1763" s="223"/>
      <c r="O1763" s="223"/>
      <c r="P1763" s="223"/>
      <c r="Q1763" s="223"/>
      <c r="R1763" s="223"/>
      <c r="S1763" s="223"/>
      <c r="T1763" s="223"/>
      <c r="U1763" s="223"/>
      <c r="V1763" s="223"/>
      <c r="W1763" s="223"/>
      <c r="X1763" s="223"/>
      <c r="Y1763" s="223"/>
      <c r="Z1763" s="223"/>
    </row>
    <row r="1764">
      <c r="A1764" s="223" t="str">
        <f>IFERROR(__xludf.DUMMYFUNCTION("""COMPUTED_VALUE"""),"PlusROI : Overhead")</f>
        <v>PlusROI : Overhead</v>
      </c>
      <c r="B1764" s="223" t="str">
        <f>IFERROR(__xludf.DUMMYFUNCTION("""COMPUTED_VALUE"""),"PlusROI")</f>
        <v>PlusROI</v>
      </c>
      <c r="C1764" s="223" t="str">
        <f>IFERROR(__xludf.DUMMYFUNCTION("""COMPUTED_VALUE"""),"Overhead")</f>
        <v>Overhead</v>
      </c>
      <c r="D1764" s="316">
        <f>IFERROR(__xludf.DUMMYFUNCTION("""COMPUTED_VALUE"""),44766.0)</f>
        <v>44766</v>
      </c>
      <c r="E1764" s="298"/>
      <c r="F1764" s="298"/>
      <c r="G1764" s="298"/>
      <c r="H1764" s="223"/>
      <c r="I1764" s="298">
        <f>IFERROR(__xludf.DUMMYFUNCTION("""COMPUTED_VALUE"""),136.5)</f>
        <v>136.5</v>
      </c>
      <c r="J1764" s="223" t="str">
        <f>IFERROR(__xludf.DUMMYFUNCTION("""COMPUTED_VALUE"""),"Hourly")</f>
        <v>Hourly</v>
      </c>
      <c r="K1764" s="317">
        <f>IFERROR(__xludf.DUMMYFUNCTION("""COMPUTED_VALUE"""),2022.0)</f>
        <v>2022</v>
      </c>
      <c r="L1764" s="298"/>
      <c r="M1764" s="223"/>
      <c r="N1764" s="223"/>
      <c r="O1764" s="223"/>
      <c r="P1764" s="223"/>
      <c r="Q1764" s="223"/>
      <c r="R1764" s="223"/>
      <c r="S1764" s="223"/>
      <c r="T1764" s="223"/>
      <c r="U1764" s="223"/>
      <c r="V1764" s="223"/>
      <c r="W1764" s="223"/>
      <c r="X1764" s="223"/>
      <c r="Y1764" s="223"/>
      <c r="Z1764" s="223"/>
    </row>
    <row r="1765">
      <c r="A1765" s="223" t="str">
        <f>IFERROR(__xludf.DUMMYFUNCTION("""COMPUTED_VALUE"""),"Anavara : Website Development")</f>
        <v>Anavara : Website Development</v>
      </c>
      <c r="B1765" s="223" t="str">
        <f>IFERROR(__xludf.DUMMYFUNCTION("""COMPUTED_VALUE"""),"Anavara")</f>
        <v>Anavara</v>
      </c>
      <c r="C1765" s="223" t="str">
        <f>IFERROR(__xludf.DUMMYFUNCTION("""COMPUTED_VALUE"""),"Website Development")</f>
        <v>Website Development</v>
      </c>
      <c r="D1765" s="316">
        <f>IFERROR(__xludf.DUMMYFUNCTION("""COMPUTED_VALUE"""),44742.0)</f>
        <v>44742</v>
      </c>
      <c r="E1765" s="298"/>
      <c r="F1765" s="298"/>
      <c r="G1765" s="298"/>
      <c r="H1765" s="223"/>
      <c r="I1765" s="298">
        <f>IFERROR(__xludf.DUMMYFUNCTION("""COMPUTED_VALUE"""),1287.19)</f>
        <v>1287.19</v>
      </c>
      <c r="J1765" s="223" t="str">
        <f>IFERROR(__xludf.DUMMYFUNCTION("""COMPUTED_VALUE"""),"Fixed Project")</f>
        <v>Fixed Project</v>
      </c>
      <c r="K1765" s="317">
        <f>IFERROR(__xludf.DUMMYFUNCTION("""COMPUTED_VALUE"""),2022.0)</f>
        <v>2022</v>
      </c>
      <c r="L1765" s="298"/>
      <c r="M1765" s="223"/>
      <c r="N1765" s="223"/>
      <c r="O1765" s="223"/>
      <c r="P1765" s="223"/>
      <c r="Q1765" s="223"/>
      <c r="R1765" s="223"/>
      <c r="S1765" s="223"/>
      <c r="T1765" s="223"/>
      <c r="U1765" s="223"/>
      <c r="V1765" s="223"/>
      <c r="W1765" s="223"/>
      <c r="X1765" s="223"/>
      <c r="Y1765" s="223"/>
      <c r="Z1765" s="223"/>
    </row>
    <row r="1766">
      <c r="A1766" s="223" t="str">
        <f>IFERROR(__xludf.DUMMYFUNCTION("""COMPUTED_VALUE"""),"Arazy Group : Other Projects")</f>
        <v>Arazy Group : Other Projects</v>
      </c>
      <c r="B1766" s="223" t="str">
        <f>IFERROR(__xludf.DUMMYFUNCTION("""COMPUTED_VALUE"""),"Arazy Group")</f>
        <v>Arazy Group</v>
      </c>
      <c r="C1766" s="223" t="str">
        <f>IFERROR(__xludf.DUMMYFUNCTION("""COMPUTED_VALUE"""),"Other Projects")</f>
        <v>Other Projects</v>
      </c>
      <c r="D1766" s="316">
        <f>IFERROR(__xludf.DUMMYFUNCTION("""COMPUTED_VALUE"""),44742.0)</f>
        <v>44742</v>
      </c>
      <c r="E1766" s="298"/>
      <c r="F1766" s="298"/>
      <c r="G1766" s="298"/>
      <c r="H1766" s="223"/>
      <c r="I1766" s="298">
        <f>IFERROR(__xludf.DUMMYFUNCTION("""COMPUTED_VALUE"""),58.16)</f>
        <v>58.16</v>
      </c>
      <c r="J1766" s="223" t="str">
        <f>IFERROR(__xludf.DUMMYFUNCTION("""COMPUTED_VALUE"""),"Fixed Project")</f>
        <v>Fixed Project</v>
      </c>
      <c r="K1766" s="317">
        <f>IFERROR(__xludf.DUMMYFUNCTION("""COMPUTED_VALUE"""),2022.0)</f>
        <v>2022</v>
      </c>
      <c r="L1766" s="298"/>
      <c r="M1766" s="223"/>
      <c r="N1766" s="223"/>
      <c r="O1766" s="223"/>
      <c r="P1766" s="223"/>
      <c r="Q1766" s="223"/>
      <c r="R1766" s="223"/>
      <c r="S1766" s="223"/>
      <c r="T1766" s="223"/>
      <c r="U1766" s="223"/>
      <c r="V1766" s="223"/>
      <c r="W1766" s="223"/>
      <c r="X1766" s="223"/>
      <c r="Y1766" s="223"/>
      <c r="Z1766" s="223"/>
    </row>
    <row r="1767">
      <c r="A1767" s="223" t="str">
        <f>IFERROR(__xludf.DUMMYFUNCTION("""COMPUTED_VALUE"""),"Booginhead : Monthly Services")</f>
        <v>Booginhead : Monthly Services</v>
      </c>
      <c r="B1767" s="223" t="str">
        <f>IFERROR(__xludf.DUMMYFUNCTION("""COMPUTED_VALUE"""),"Booginhead")</f>
        <v>Booginhead</v>
      </c>
      <c r="C1767" s="223" t="str">
        <f>IFERROR(__xludf.DUMMYFUNCTION("""COMPUTED_VALUE"""),"Monthly Services")</f>
        <v>Monthly Services</v>
      </c>
      <c r="D1767" s="316">
        <f>IFERROR(__xludf.DUMMYFUNCTION("""COMPUTED_VALUE"""),44742.0)</f>
        <v>44742</v>
      </c>
      <c r="E1767" s="298"/>
      <c r="F1767" s="298"/>
      <c r="G1767" s="298"/>
      <c r="H1767" s="223"/>
      <c r="I1767" s="298">
        <f>IFERROR(__xludf.DUMMYFUNCTION("""COMPUTED_VALUE"""),60.59)</f>
        <v>60.59</v>
      </c>
      <c r="J1767" s="223" t="str">
        <f>IFERROR(__xludf.DUMMYFUNCTION("""COMPUTED_VALUE"""),"Monthly")</f>
        <v>Monthly</v>
      </c>
      <c r="K1767" s="317">
        <f>IFERROR(__xludf.DUMMYFUNCTION("""COMPUTED_VALUE"""),2022.06)</f>
        <v>2022.06</v>
      </c>
      <c r="L1767" s="298"/>
      <c r="M1767" s="223"/>
      <c r="N1767" s="223"/>
      <c r="O1767" s="223"/>
      <c r="P1767" s="223"/>
      <c r="Q1767" s="223"/>
      <c r="R1767" s="223"/>
      <c r="S1767" s="223"/>
      <c r="T1767" s="223"/>
      <c r="U1767" s="223"/>
      <c r="V1767" s="223"/>
      <c r="W1767" s="223"/>
      <c r="X1767" s="223"/>
      <c r="Y1767" s="223"/>
      <c r="Z1767" s="223"/>
    </row>
    <row r="1768">
      <c r="A1768" s="223" t="str">
        <f>IFERROR(__xludf.DUMMYFUNCTION("""COMPUTED_VALUE"""),"PlusROI : Admin")</f>
        <v>PlusROI : Admin</v>
      </c>
      <c r="B1768" s="223" t="str">
        <f>IFERROR(__xludf.DUMMYFUNCTION("""COMPUTED_VALUE"""),"PlusROI")</f>
        <v>PlusROI</v>
      </c>
      <c r="C1768" s="223" t="str">
        <f>IFERROR(__xludf.DUMMYFUNCTION("""COMPUTED_VALUE"""),"Admin")</f>
        <v>Admin</v>
      </c>
      <c r="D1768" s="316">
        <f>IFERROR(__xludf.DUMMYFUNCTION("""COMPUTED_VALUE"""),44742.0)</f>
        <v>44742</v>
      </c>
      <c r="E1768" s="298"/>
      <c r="F1768" s="298"/>
      <c r="G1768" s="298"/>
      <c r="H1768" s="223"/>
      <c r="I1768" s="298">
        <f>IFERROR(__xludf.DUMMYFUNCTION("""COMPUTED_VALUE"""),284.35)</f>
        <v>284.35</v>
      </c>
      <c r="J1768" s="223" t="str">
        <f>IFERROR(__xludf.DUMMYFUNCTION("""COMPUTED_VALUE"""),"Hourly")</f>
        <v>Hourly</v>
      </c>
      <c r="K1768" s="317">
        <f>IFERROR(__xludf.DUMMYFUNCTION("""COMPUTED_VALUE"""),2022.0)</f>
        <v>2022</v>
      </c>
      <c r="L1768" s="298"/>
      <c r="M1768" s="223"/>
      <c r="N1768" s="223"/>
      <c r="O1768" s="223"/>
      <c r="P1768" s="223"/>
      <c r="Q1768" s="223"/>
      <c r="R1768" s="223"/>
      <c r="S1768" s="223"/>
      <c r="T1768" s="223"/>
      <c r="U1768" s="223"/>
      <c r="V1768" s="223"/>
      <c r="W1768" s="223"/>
      <c r="X1768" s="223"/>
      <c r="Y1768" s="223"/>
      <c r="Z1768" s="223"/>
    </row>
    <row r="1769">
      <c r="A1769" s="223" t="str">
        <f>IFERROR(__xludf.DUMMYFUNCTION("""COMPUTED_VALUE"""),"PlusROI : Internal Skills and Capabilities Development")</f>
        <v>PlusROI : Internal Skills and Capabilities Development</v>
      </c>
      <c r="B1769" s="223" t="str">
        <f>IFERROR(__xludf.DUMMYFUNCTION("""COMPUTED_VALUE"""),"PlusROI")</f>
        <v>PlusROI</v>
      </c>
      <c r="C1769" s="223" t="str">
        <f>IFERROR(__xludf.DUMMYFUNCTION("""COMPUTED_VALUE"""),"Internal Skills and Capabilities Development")</f>
        <v>Internal Skills and Capabilities Development</v>
      </c>
      <c r="D1769" s="316">
        <f>IFERROR(__xludf.DUMMYFUNCTION("""COMPUTED_VALUE"""),44742.0)</f>
        <v>44742</v>
      </c>
      <c r="E1769" s="298"/>
      <c r="F1769" s="298"/>
      <c r="G1769" s="298"/>
      <c r="H1769" s="223"/>
      <c r="I1769" s="298">
        <f>IFERROR(__xludf.DUMMYFUNCTION("""COMPUTED_VALUE"""),44.56)</f>
        <v>44.56</v>
      </c>
      <c r="J1769" s="223" t="str">
        <f>IFERROR(__xludf.DUMMYFUNCTION("""COMPUTED_VALUE"""),"Hourly")</f>
        <v>Hourly</v>
      </c>
      <c r="K1769" s="317">
        <f>IFERROR(__xludf.DUMMYFUNCTION("""COMPUTED_VALUE"""),2022.0)</f>
        <v>2022</v>
      </c>
      <c r="L1769" s="298"/>
      <c r="M1769" s="223"/>
      <c r="N1769" s="223"/>
      <c r="O1769" s="223"/>
      <c r="P1769" s="223"/>
      <c r="Q1769" s="223"/>
      <c r="R1769" s="223"/>
      <c r="S1769" s="223"/>
      <c r="T1769" s="223"/>
      <c r="U1769" s="223"/>
      <c r="V1769" s="223"/>
      <c r="W1769" s="223"/>
      <c r="X1769" s="223"/>
      <c r="Y1769" s="223"/>
      <c r="Z1769" s="223"/>
    </row>
    <row r="1770">
      <c r="A1770" s="223" t="str">
        <f>IFERROR(__xludf.DUMMYFUNCTION("""COMPUTED_VALUE"""),"Bratopia : Monthly Services")</f>
        <v>Bratopia : Monthly Services</v>
      </c>
      <c r="B1770" s="223" t="str">
        <f>IFERROR(__xludf.DUMMYFUNCTION("""COMPUTED_VALUE"""),"Bratopia")</f>
        <v>Bratopia</v>
      </c>
      <c r="C1770" s="223" t="str">
        <f>IFERROR(__xludf.DUMMYFUNCTION("""COMPUTED_VALUE"""),"Monthly Services")</f>
        <v>Monthly Services</v>
      </c>
      <c r="D1770" s="316">
        <f>IFERROR(__xludf.DUMMYFUNCTION("""COMPUTED_VALUE"""),44742.0)</f>
        <v>44742</v>
      </c>
      <c r="E1770" s="298"/>
      <c r="F1770" s="298"/>
      <c r="G1770" s="298"/>
      <c r="H1770" s="223"/>
      <c r="I1770" s="298">
        <f>IFERROR(__xludf.DUMMYFUNCTION("""COMPUTED_VALUE"""),1.57)</f>
        <v>1.57</v>
      </c>
      <c r="J1770" s="223" t="str">
        <f>IFERROR(__xludf.DUMMYFUNCTION("""COMPUTED_VALUE"""),"Monthly")</f>
        <v>Monthly</v>
      </c>
      <c r="K1770" s="317">
        <f>IFERROR(__xludf.DUMMYFUNCTION("""COMPUTED_VALUE"""),2022.06)</f>
        <v>2022.06</v>
      </c>
      <c r="L1770" s="298"/>
      <c r="M1770" s="223"/>
      <c r="N1770" s="223"/>
      <c r="O1770" s="223"/>
      <c r="P1770" s="223"/>
      <c r="Q1770" s="223"/>
      <c r="R1770" s="223"/>
      <c r="S1770" s="223"/>
      <c r="T1770" s="223"/>
      <c r="U1770" s="223"/>
      <c r="V1770" s="223"/>
      <c r="W1770" s="223"/>
      <c r="X1770" s="223"/>
      <c r="Y1770" s="223"/>
      <c r="Z1770" s="223"/>
    </row>
    <row r="1771">
      <c r="A1771" s="223" t="str">
        <f>IFERROR(__xludf.DUMMYFUNCTION("""COMPUTED_VALUE"""),"Community Financials : Monthly Services")</f>
        <v>Community Financials : Monthly Services</v>
      </c>
      <c r="B1771" s="223" t="str">
        <f>IFERROR(__xludf.DUMMYFUNCTION("""COMPUTED_VALUE"""),"Community Financials")</f>
        <v>Community Financials</v>
      </c>
      <c r="C1771" s="223" t="str">
        <f>IFERROR(__xludf.DUMMYFUNCTION("""COMPUTED_VALUE"""),"Monthly Services")</f>
        <v>Monthly Services</v>
      </c>
      <c r="D1771" s="316">
        <f>IFERROR(__xludf.DUMMYFUNCTION("""COMPUTED_VALUE"""),44742.0)</f>
        <v>44742</v>
      </c>
      <c r="E1771" s="298"/>
      <c r="F1771" s="298"/>
      <c r="G1771" s="298"/>
      <c r="H1771" s="223"/>
      <c r="I1771" s="298">
        <f>IFERROR(__xludf.DUMMYFUNCTION("""COMPUTED_VALUE"""),34.89)</f>
        <v>34.89</v>
      </c>
      <c r="J1771" s="223" t="str">
        <f>IFERROR(__xludf.DUMMYFUNCTION("""COMPUTED_VALUE"""),"Monthly")</f>
        <v>Monthly</v>
      </c>
      <c r="K1771" s="317">
        <f>IFERROR(__xludf.DUMMYFUNCTION("""COMPUTED_VALUE"""),2022.06)</f>
        <v>2022.06</v>
      </c>
      <c r="L1771" s="298"/>
      <c r="M1771" s="223"/>
      <c r="N1771" s="223"/>
      <c r="O1771" s="223"/>
      <c r="P1771" s="223"/>
      <c r="Q1771" s="223"/>
      <c r="R1771" s="223"/>
      <c r="S1771" s="223"/>
      <c r="T1771" s="223"/>
      <c r="U1771" s="223"/>
      <c r="V1771" s="223"/>
      <c r="W1771" s="223"/>
      <c r="X1771" s="223"/>
      <c r="Y1771" s="223"/>
      <c r="Z1771" s="223"/>
    </row>
    <row r="1772">
      <c r="A1772" s="223" t="str">
        <f>IFERROR(__xludf.DUMMYFUNCTION("""COMPUTED_VALUE"""),"Howard Fine Jewellers : Ongoing PPC and SEO Support")</f>
        <v>Howard Fine Jewellers : Ongoing PPC and SEO Support</v>
      </c>
      <c r="B1772" s="223" t="str">
        <f>IFERROR(__xludf.DUMMYFUNCTION("""COMPUTED_VALUE"""),"Howard Fine Jewellers")</f>
        <v>Howard Fine Jewellers</v>
      </c>
      <c r="C1772" s="223" t="str">
        <f>IFERROR(__xludf.DUMMYFUNCTION("""COMPUTED_VALUE"""),"Ongoing PPC and SEO Support")</f>
        <v>Ongoing PPC and SEO Support</v>
      </c>
      <c r="D1772" s="316">
        <f>IFERROR(__xludf.DUMMYFUNCTION("""COMPUTED_VALUE"""),44742.0)</f>
        <v>44742</v>
      </c>
      <c r="E1772" s="298"/>
      <c r="F1772" s="298"/>
      <c r="G1772" s="298"/>
      <c r="H1772" s="223"/>
      <c r="I1772" s="298">
        <f>IFERROR(__xludf.DUMMYFUNCTION("""COMPUTED_VALUE"""),79.59)</f>
        <v>79.59</v>
      </c>
      <c r="J1772" s="223" t="str">
        <f>IFERROR(__xludf.DUMMYFUNCTION("""COMPUTED_VALUE"""),"Monthly")</f>
        <v>Monthly</v>
      </c>
      <c r="K1772" s="317">
        <f>IFERROR(__xludf.DUMMYFUNCTION("""COMPUTED_VALUE"""),2022.06)</f>
        <v>2022.06</v>
      </c>
      <c r="L1772" s="298"/>
      <c r="M1772" s="223"/>
      <c r="N1772" s="223"/>
      <c r="O1772" s="223"/>
      <c r="P1772" s="223"/>
      <c r="Q1772" s="223"/>
      <c r="R1772" s="223"/>
      <c r="S1772" s="223"/>
      <c r="T1772" s="223"/>
      <c r="U1772" s="223"/>
      <c r="V1772" s="223"/>
      <c r="W1772" s="223"/>
      <c r="X1772" s="223"/>
      <c r="Y1772" s="223"/>
      <c r="Z1772" s="223"/>
    </row>
    <row r="1773">
      <c r="A1773" s="223" t="str">
        <f>IFERROR(__xludf.DUMMYFUNCTION("""COMPUTED_VALUE"""),"UnityWest Capital : Jericho Energy Ventures 6 month project")</f>
        <v>UnityWest Capital : Jericho Energy Ventures 6 month project</v>
      </c>
      <c r="B1773" s="223" t="str">
        <f>IFERROR(__xludf.DUMMYFUNCTION("""COMPUTED_VALUE"""),"UnityWest Capital")</f>
        <v>UnityWest Capital</v>
      </c>
      <c r="C1773" s="223" t="str">
        <f>IFERROR(__xludf.DUMMYFUNCTION("""COMPUTED_VALUE"""),"Jericho Energy Ventures 6 month project")</f>
        <v>Jericho Energy Ventures 6 month project</v>
      </c>
      <c r="D1773" s="316">
        <f>IFERROR(__xludf.DUMMYFUNCTION("""COMPUTED_VALUE"""),44742.0)</f>
        <v>44742</v>
      </c>
      <c r="E1773" s="298"/>
      <c r="F1773" s="298"/>
      <c r="G1773" s="298"/>
      <c r="H1773" s="223"/>
      <c r="I1773" s="298">
        <f>IFERROR(__xludf.DUMMYFUNCTION("""COMPUTED_VALUE"""),15.89)</f>
        <v>15.89</v>
      </c>
      <c r="J1773" s="223" t="str">
        <f>IFERROR(__xludf.DUMMYFUNCTION("""COMPUTED_VALUE"""),"Monthly")</f>
        <v>Monthly</v>
      </c>
      <c r="K1773" s="317">
        <f>IFERROR(__xludf.DUMMYFUNCTION("""COMPUTED_VALUE"""),2022.06)</f>
        <v>2022.06</v>
      </c>
      <c r="L1773" s="298"/>
      <c r="M1773" s="223"/>
      <c r="N1773" s="223"/>
      <c r="O1773" s="223"/>
      <c r="P1773" s="223"/>
      <c r="Q1773" s="223"/>
      <c r="R1773" s="223"/>
      <c r="S1773" s="223"/>
      <c r="T1773" s="223"/>
      <c r="U1773" s="223"/>
      <c r="V1773" s="223"/>
      <c r="W1773" s="223"/>
      <c r="X1773" s="223"/>
      <c r="Y1773" s="223"/>
      <c r="Z1773" s="223"/>
    </row>
    <row r="1774">
      <c r="A1774" s="223" t="str">
        <f>IFERROR(__xludf.DUMMYFUNCTION("""COMPUTED_VALUE"""),"Maka Health : Quick Site")</f>
        <v>Maka Health : Quick Site</v>
      </c>
      <c r="B1774" s="223" t="str">
        <f>IFERROR(__xludf.DUMMYFUNCTION("""COMPUTED_VALUE"""),"Maka Health")</f>
        <v>Maka Health</v>
      </c>
      <c r="C1774" s="223" t="str">
        <f>IFERROR(__xludf.DUMMYFUNCTION("""COMPUTED_VALUE"""),"Quick Site")</f>
        <v>Quick Site</v>
      </c>
      <c r="D1774" s="316">
        <f>IFERROR(__xludf.DUMMYFUNCTION("""COMPUTED_VALUE"""),44742.0)</f>
        <v>44742</v>
      </c>
      <c r="E1774" s="298"/>
      <c r="F1774" s="298"/>
      <c r="G1774" s="298"/>
      <c r="H1774" s="223"/>
      <c r="I1774" s="298">
        <f>IFERROR(__xludf.DUMMYFUNCTION("""COMPUTED_VALUE"""),642.82)</f>
        <v>642.82</v>
      </c>
      <c r="J1774" s="223" t="str">
        <f>IFERROR(__xludf.DUMMYFUNCTION("""COMPUTED_VALUE"""),"Fixed Project")</f>
        <v>Fixed Project</v>
      </c>
      <c r="K1774" s="317">
        <f>IFERROR(__xludf.DUMMYFUNCTION("""COMPUTED_VALUE"""),2022.0)</f>
        <v>2022</v>
      </c>
      <c r="L1774" s="298"/>
      <c r="M1774" s="223"/>
      <c r="N1774" s="223"/>
      <c r="O1774" s="223"/>
      <c r="P1774" s="223"/>
      <c r="Q1774" s="223"/>
      <c r="R1774" s="223"/>
      <c r="S1774" s="223"/>
      <c r="T1774" s="223"/>
      <c r="U1774" s="223"/>
      <c r="V1774" s="223"/>
      <c r="W1774" s="223"/>
      <c r="X1774" s="223"/>
      <c r="Y1774" s="223"/>
      <c r="Z1774" s="223"/>
    </row>
    <row r="1775">
      <c r="A1775" s="223" t="str">
        <f>IFERROR(__xludf.DUMMYFUNCTION("""COMPUTED_VALUE"""),"Spraggs : Monthly Services")</f>
        <v>Spraggs : Monthly Services</v>
      </c>
      <c r="B1775" s="223" t="str">
        <f>IFERROR(__xludf.DUMMYFUNCTION("""COMPUTED_VALUE"""),"Spraggs")</f>
        <v>Spraggs</v>
      </c>
      <c r="C1775" s="223" t="str">
        <f>IFERROR(__xludf.DUMMYFUNCTION("""COMPUTED_VALUE"""),"Monthly Services")</f>
        <v>Monthly Services</v>
      </c>
      <c r="D1775" s="316">
        <f>IFERROR(__xludf.DUMMYFUNCTION("""COMPUTED_VALUE"""),44742.0)</f>
        <v>44742</v>
      </c>
      <c r="E1775" s="298"/>
      <c r="F1775" s="298"/>
      <c r="G1775" s="298"/>
      <c r="H1775" s="223"/>
      <c r="I1775" s="298">
        <f>IFERROR(__xludf.DUMMYFUNCTION("""COMPUTED_VALUE"""),0.02)</f>
        <v>0.02</v>
      </c>
      <c r="J1775" s="223" t="str">
        <f>IFERROR(__xludf.DUMMYFUNCTION("""COMPUTED_VALUE"""),"Monthly")</f>
        <v>Monthly</v>
      </c>
      <c r="K1775" s="317">
        <f>IFERROR(__xludf.DUMMYFUNCTION("""COMPUTED_VALUE"""),2022.06)</f>
        <v>2022.06</v>
      </c>
      <c r="L1775" s="298"/>
      <c r="M1775" s="223"/>
      <c r="N1775" s="223"/>
      <c r="O1775" s="223"/>
      <c r="P1775" s="223"/>
      <c r="Q1775" s="223"/>
      <c r="R1775" s="223"/>
      <c r="S1775" s="223"/>
      <c r="T1775" s="223"/>
      <c r="U1775" s="223"/>
      <c r="V1775" s="223"/>
      <c r="W1775" s="223"/>
      <c r="X1775" s="223"/>
      <c r="Y1775" s="223"/>
      <c r="Z1775" s="223"/>
    </row>
    <row r="1776">
      <c r="A1776" s="223" t="str">
        <f>IFERROR(__xludf.DUMMYFUNCTION("""COMPUTED_VALUE"""),"Technology Rivers : Monthly Services")</f>
        <v>Technology Rivers : Monthly Services</v>
      </c>
      <c r="B1776" s="223" t="str">
        <f>IFERROR(__xludf.DUMMYFUNCTION("""COMPUTED_VALUE"""),"Technology Rivers")</f>
        <v>Technology Rivers</v>
      </c>
      <c r="C1776" s="223" t="str">
        <f>IFERROR(__xludf.DUMMYFUNCTION("""COMPUTED_VALUE"""),"Monthly Services")</f>
        <v>Monthly Services</v>
      </c>
      <c r="D1776" s="316">
        <f>IFERROR(__xludf.DUMMYFUNCTION("""COMPUTED_VALUE"""),44742.0)</f>
        <v>44742</v>
      </c>
      <c r="E1776" s="298"/>
      <c r="F1776" s="298"/>
      <c r="G1776" s="298"/>
      <c r="H1776" s="223"/>
      <c r="I1776" s="298">
        <f>IFERROR(__xludf.DUMMYFUNCTION("""COMPUTED_VALUE"""),15.81)</f>
        <v>15.81</v>
      </c>
      <c r="J1776" s="223" t="str">
        <f>IFERROR(__xludf.DUMMYFUNCTION("""COMPUTED_VALUE"""),"Monthly")</f>
        <v>Monthly</v>
      </c>
      <c r="K1776" s="317">
        <f>IFERROR(__xludf.DUMMYFUNCTION("""COMPUTED_VALUE"""),2022.06)</f>
        <v>2022.06</v>
      </c>
      <c r="L1776" s="298"/>
      <c r="M1776" s="223"/>
      <c r="N1776" s="223"/>
      <c r="O1776" s="223"/>
      <c r="P1776" s="223"/>
      <c r="Q1776" s="223"/>
      <c r="R1776" s="223"/>
      <c r="S1776" s="223"/>
      <c r="T1776" s="223"/>
      <c r="U1776" s="223"/>
      <c r="V1776" s="223"/>
      <c r="W1776" s="223"/>
      <c r="X1776" s="223"/>
      <c r="Y1776" s="223"/>
      <c r="Z1776" s="223"/>
    </row>
    <row r="1777">
      <c r="A1777" s="223" t="str">
        <f>IFERROR(__xludf.DUMMYFUNCTION("""COMPUTED_VALUE"""),"Terra Insights : PPC Overhauls and SEO Matrix")</f>
        <v>Terra Insights : PPC Overhauls and SEO Matrix</v>
      </c>
      <c r="B1777" s="223" t="str">
        <f>IFERROR(__xludf.DUMMYFUNCTION("""COMPUTED_VALUE"""),"Terra Insights")</f>
        <v>Terra Insights</v>
      </c>
      <c r="C1777" s="223" t="str">
        <f>IFERROR(__xludf.DUMMYFUNCTION("""COMPUTED_VALUE"""),"PPC Overhauls and SEO Matrix")</f>
        <v>PPC Overhauls and SEO Matrix</v>
      </c>
      <c r="D1777" s="316">
        <f>IFERROR(__xludf.DUMMYFUNCTION("""COMPUTED_VALUE"""),44742.0)</f>
        <v>44742</v>
      </c>
      <c r="E1777" s="298"/>
      <c r="F1777" s="298"/>
      <c r="G1777" s="298"/>
      <c r="H1777" s="223"/>
      <c r="I1777" s="298">
        <f>IFERROR(__xludf.DUMMYFUNCTION("""COMPUTED_VALUE"""),53.29)</f>
        <v>53.29</v>
      </c>
      <c r="J1777" s="223" t="str">
        <f>IFERROR(__xludf.DUMMYFUNCTION("""COMPUTED_VALUE"""),"Fixed Project")</f>
        <v>Fixed Project</v>
      </c>
      <c r="K1777" s="317">
        <f>IFERROR(__xludf.DUMMYFUNCTION("""COMPUTED_VALUE"""),2022.0)</f>
        <v>2022</v>
      </c>
      <c r="L1777" s="298"/>
      <c r="M1777" s="223"/>
      <c r="N1777" s="223"/>
      <c r="O1777" s="223"/>
      <c r="P1777" s="223"/>
      <c r="Q1777" s="223"/>
      <c r="R1777" s="223"/>
      <c r="S1777" s="223"/>
      <c r="T1777" s="223"/>
      <c r="U1777" s="223"/>
      <c r="V1777" s="223"/>
      <c r="W1777" s="223"/>
      <c r="X1777" s="223"/>
      <c r="Y1777" s="223"/>
      <c r="Z1777" s="223"/>
    </row>
    <row r="1778">
      <c r="A1778" s="223" t="str">
        <f>IFERROR(__xludf.DUMMYFUNCTION("""COMPUTED_VALUE"""),"Tuscany : Monthly Services")</f>
        <v>Tuscany : Monthly Services</v>
      </c>
      <c r="B1778" s="223" t="str">
        <f>IFERROR(__xludf.DUMMYFUNCTION("""COMPUTED_VALUE"""),"Tuscany")</f>
        <v>Tuscany</v>
      </c>
      <c r="C1778" s="223" t="str">
        <f>IFERROR(__xludf.DUMMYFUNCTION("""COMPUTED_VALUE"""),"Monthly Services")</f>
        <v>Monthly Services</v>
      </c>
      <c r="D1778" s="316">
        <f>IFERROR(__xludf.DUMMYFUNCTION("""COMPUTED_VALUE"""),44742.0)</f>
        <v>44742</v>
      </c>
      <c r="E1778" s="298"/>
      <c r="F1778" s="298"/>
      <c r="G1778" s="298"/>
      <c r="H1778" s="223"/>
      <c r="I1778" s="298">
        <f>IFERROR(__xludf.DUMMYFUNCTION("""COMPUTED_VALUE"""),5.46)</f>
        <v>5.46</v>
      </c>
      <c r="J1778" s="223" t="str">
        <f>IFERROR(__xludf.DUMMYFUNCTION("""COMPUTED_VALUE"""),"Monthly")</f>
        <v>Monthly</v>
      </c>
      <c r="K1778" s="317">
        <f>IFERROR(__xludf.DUMMYFUNCTION("""COMPUTED_VALUE"""),2022.06)</f>
        <v>2022.06</v>
      </c>
      <c r="L1778" s="298"/>
      <c r="M1778" s="223"/>
      <c r="N1778" s="223"/>
      <c r="O1778" s="223"/>
      <c r="P1778" s="223"/>
      <c r="Q1778" s="223"/>
      <c r="R1778" s="223"/>
      <c r="S1778" s="223"/>
      <c r="T1778" s="223"/>
      <c r="U1778" s="223"/>
      <c r="V1778" s="223"/>
      <c r="W1778" s="223"/>
      <c r="X1778" s="223"/>
      <c r="Y1778" s="223"/>
      <c r="Z1778" s="223"/>
    </row>
    <row r="1779">
      <c r="A1779" s="223" t="str">
        <f>IFERROR(__xludf.DUMMYFUNCTION("""COMPUTED_VALUE"""),"Waypoint : Website Updates")</f>
        <v>Waypoint : Website Updates</v>
      </c>
      <c r="B1779" s="223" t="str">
        <f>IFERROR(__xludf.DUMMYFUNCTION("""COMPUTED_VALUE"""),"Waypoint")</f>
        <v>Waypoint</v>
      </c>
      <c r="C1779" s="223" t="str">
        <f>IFERROR(__xludf.DUMMYFUNCTION("""COMPUTED_VALUE"""),"Website Updates")</f>
        <v>Website Updates</v>
      </c>
      <c r="D1779" s="316">
        <f>IFERROR(__xludf.DUMMYFUNCTION("""COMPUTED_VALUE"""),44742.0)</f>
        <v>44742</v>
      </c>
      <c r="E1779" s="298"/>
      <c r="F1779" s="298"/>
      <c r="G1779" s="298"/>
      <c r="H1779" s="223"/>
      <c r="I1779" s="298">
        <f>IFERROR(__xludf.DUMMYFUNCTION("""COMPUTED_VALUE"""),132.53)</f>
        <v>132.53</v>
      </c>
      <c r="J1779" s="223" t="str">
        <f>IFERROR(__xludf.DUMMYFUNCTION("""COMPUTED_VALUE"""),"Fixed Project")</f>
        <v>Fixed Project</v>
      </c>
      <c r="K1779" s="317">
        <f>IFERROR(__xludf.DUMMYFUNCTION("""COMPUTED_VALUE"""),2022.0)</f>
        <v>2022</v>
      </c>
      <c r="L1779" s="298"/>
      <c r="M1779" s="223"/>
      <c r="N1779" s="223"/>
      <c r="O1779" s="223"/>
      <c r="P1779" s="223"/>
      <c r="Q1779" s="223"/>
      <c r="R1779" s="223"/>
      <c r="S1779" s="223"/>
      <c r="T1779" s="223"/>
      <c r="U1779" s="223"/>
      <c r="V1779" s="223"/>
      <c r="W1779" s="223"/>
      <c r="X1779" s="223"/>
      <c r="Y1779" s="223"/>
      <c r="Z1779" s="223"/>
    </row>
    <row r="1780">
      <c r="A1780" s="223" t="str">
        <f>IFERROR(__xludf.DUMMYFUNCTION("""COMPUTED_VALUE"""),"Venetian : Monthly Services")</f>
        <v>Venetian : Monthly Services</v>
      </c>
      <c r="B1780" s="223" t="str">
        <f>IFERROR(__xludf.DUMMYFUNCTION("""COMPUTED_VALUE"""),"Venetian")</f>
        <v>Venetian</v>
      </c>
      <c r="C1780" s="223" t="str">
        <f>IFERROR(__xludf.DUMMYFUNCTION("""COMPUTED_VALUE"""),"Monthly Services")</f>
        <v>Monthly Services</v>
      </c>
      <c r="D1780" s="316">
        <f>IFERROR(__xludf.DUMMYFUNCTION("""COMPUTED_VALUE"""),44733.0)</f>
        <v>44733</v>
      </c>
      <c r="E1780" s="298"/>
      <c r="F1780" s="298"/>
      <c r="G1780" s="298"/>
      <c r="H1780" s="223"/>
      <c r="I1780" s="298">
        <f>IFERROR(__xludf.DUMMYFUNCTION("""COMPUTED_VALUE"""),750.0)</f>
        <v>750</v>
      </c>
      <c r="J1780" s="223" t="str">
        <f>IFERROR(__xludf.DUMMYFUNCTION("""COMPUTED_VALUE"""),"Monthly")</f>
        <v>Monthly</v>
      </c>
      <c r="K1780" s="317">
        <f>IFERROR(__xludf.DUMMYFUNCTION("""COMPUTED_VALUE"""),2022.06)</f>
        <v>2022.06</v>
      </c>
      <c r="L1780" s="298">
        <f>IFERROR(__xludf.DUMMYFUNCTION("""COMPUTED_VALUE"""),750.0)</f>
        <v>750</v>
      </c>
      <c r="M1780" s="223"/>
      <c r="N1780" s="223"/>
      <c r="O1780" s="223"/>
      <c r="P1780" s="223"/>
      <c r="Q1780" s="223"/>
      <c r="R1780" s="223"/>
      <c r="S1780" s="223"/>
      <c r="T1780" s="223"/>
      <c r="U1780" s="223"/>
      <c r="V1780" s="223"/>
      <c r="W1780" s="223"/>
      <c r="X1780" s="223"/>
      <c r="Y1780" s="223"/>
      <c r="Z1780" s="223"/>
    </row>
    <row r="1781">
      <c r="A1781" s="223" t="str">
        <f>IFERROR(__xludf.DUMMYFUNCTION("""COMPUTED_VALUE"""),"Tugwell : 6 Month PPC")</f>
        <v>Tugwell : 6 Month PPC</v>
      </c>
      <c r="B1781" s="223" t="str">
        <f>IFERROR(__xludf.DUMMYFUNCTION("""COMPUTED_VALUE"""),"Tugwell")</f>
        <v>Tugwell</v>
      </c>
      <c r="C1781" s="223" t="str">
        <f>IFERROR(__xludf.DUMMYFUNCTION("""COMPUTED_VALUE"""),"6 Month PPC")</f>
        <v>6 Month PPC</v>
      </c>
      <c r="D1781" s="316">
        <f>IFERROR(__xludf.DUMMYFUNCTION("""COMPUTED_VALUE"""),44736.0)</f>
        <v>44736</v>
      </c>
      <c r="E1781" s="298"/>
      <c r="F1781" s="298"/>
      <c r="G1781" s="298"/>
      <c r="H1781" s="223"/>
      <c r="I1781" s="298">
        <f>IFERROR(__xludf.DUMMYFUNCTION("""COMPUTED_VALUE"""),750.0)</f>
        <v>750</v>
      </c>
      <c r="J1781" s="223" t="str">
        <f>IFERROR(__xludf.DUMMYFUNCTION("""COMPUTED_VALUE"""),"Fixed Project")</f>
        <v>Fixed Project</v>
      </c>
      <c r="K1781" s="317">
        <f>IFERROR(__xludf.DUMMYFUNCTION("""COMPUTED_VALUE"""),2022.0)</f>
        <v>2022</v>
      </c>
      <c r="L1781" s="298">
        <f>IFERROR(__xludf.DUMMYFUNCTION("""COMPUTED_VALUE"""),750.0)</f>
        <v>750</v>
      </c>
      <c r="M1781" s="223"/>
      <c r="N1781" s="223"/>
      <c r="O1781" s="223"/>
      <c r="P1781" s="223"/>
      <c r="Q1781" s="223"/>
      <c r="R1781" s="223"/>
      <c r="S1781" s="223"/>
      <c r="T1781" s="223"/>
      <c r="U1781" s="223"/>
      <c r="V1781" s="223"/>
      <c r="W1781" s="223"/>
      <c r="X1781" s="223"/>
      <c r="Y1781" s="223"/>
      <c r="Z1781" s="223"/>
    </row>
    <row r="1782">
      <c r="A1782" s="223" t="str">
        <f>IFERROR(__xludf.DUMMYFUNCTION("""COMPUTED_VALUE"""),"Tuscany : Monthly Services")</f>
        <v>Tuscany : Monthly Services</v>
      </c>
      <c r="B1782" s="223" t="str">
        <f>IFERROR(__xludf.DUMMYFUNCTION("""COMPUTED_VALUE"""),"Tuscany")</f>
        <v>Tuscany</v>
      </c>
      <c r="C1782" s="223" t="str">
        <f>IFERROR(__xludf.DUMMYFUNCTION("""COMPUTED_VALUE"""),"Monthly Services")</f>
        <v>Monthly Services</v>
      </c>
      <c r="D1782" s="316">
        <f>IFERROR(__xludf.DUMMYFUNCTION("""COMPUTED_VALUE"""),44741.0)</f>
        <v>44741</v>
      </c>
      <c r="E1782" s="298"/>
      <c r="F1782" s="298"/>
      <c r="G1782" s="298"/>
      <c r="H1782" s="223"/>
      <c r="I1782" s="298">
        <f>IFERROR(__xludf.DUMMYFUNCTION("""COMPUTED_VALUE"""),750.0)</f>
        <v>750</v>
      </c>
      <c r="J1782" s="223" t="str">
        <f>IFERROR(__xludf.DUMMYFUNCTION("""COMPUTED_VALUE"""),"Monthly")</f>
        <v>Monthly</v>
      </c>
      <c r="K1782" s="317">
        <f>IFERROR(__xludf.DUMMYFUNCTION("""COMPUTED_VALUE"""),2022.06)</f>
        <v>2022.06</v>
      </c>
      <c r="L1782" s="298">
        <f>IFERROR(__xludf.DUMMYFUNCTION("""COMPUTED_VALUE"""),750.0)</f>
        <v>750</v>
      </c>
      <c r="M1782" s="223"/>
      <c r="N1782" s="223"/>
      <c r="O1782" s="223"/>
      <c r="P1782" s="223"/>
      <c r="Q1782" s="223"/>
      <c r="R1782" s="223"/>
      <c r="S1782" s="223"/>
      <c r="T1782" s="223"/>
      <c r="U1782" s="223"/>
      <c r="V1782" s="223"/>
      <c r="W1782" s="223"/>
      <c r="X1782" s="223"/>
      <c r="Y1782" s="223"/>
      <c r="Z1782" s="223"/>
    </row>
    <row r="1783">
      <c r="A1783" s="223" t="str">
        <f>IFERROR(__xludf.DUMMYFUNCTION("""COMPUTED_VALUE"""),"Tuscany : Monthly Services")</f>
        <v>Tuscany : Monthly Services</v>
      </c>
      <c r="B1783" s="223" t="str">
        <f>IFERROR(__xludf.DUMMYFUNCTION("""COMPUTED_VALUE"""),"Tuscany")</f>
        <v>Tuscany</v>
      </c>
      <c r="C1783" s="223" t="str">
        <f>IFERROR(__xludf.DUMMYFUNCTION("""COMPUTED_VALUE"""),"Monthly Services")</f>
        <v>Monthly Services</v>
      </c>
      <c r="D1783" s="316">
        <f>IFERROR(__xludf.DUMMYFUNCTION("""COMPUTED_VALUE"""),44743.0)</f>
        <v>44743</v>
      </c>
      <c r="E1783" s="298"/>
      <c r="F1783" s="298"/>
      <c r="G1783" s="298"/>
      <c r="H1783" s="223"/>
      <c r="I1783" s="298">
        <f>IFERROR(__xludf.DUMMYFUNCTION("""COMPUTED_VALUE"""),76.13)</f>
        <v>76.13</v>
      </c>
      <c r="J1783" s="223" t="str">
        <f>IFERROR(__xludf.DUMMYFUNCTION("""COMPUTED_VALUE"""),"Monthly")</f>
        <v>Monthly</v>
      </c>
      <c r="K1783" s="317">
        <f>IFERROR(__xludf.DUMMYFUNCTION("""COMPUTED_VALUE"""),2022.07)</f>
        <v>2022.07</v>
      </c>
      <c r="L1783" s="298">
        <f>IFERROR(__xludf.DUMMYFUNCTION("""COMPUTED_VALUE"""),76.13)</f>
        <v>76.13</v>
      </c>
      <c r="M1783" s="223"/>
      <c r="N1783" s="223"/>
      <c r="O1783" s="223"/>
      <c r="P1783" s="223"/>
      <c r="Q1783" s="223"/>
      <c r="R1783" s="223"/>
      <c r="S1783" s="223"/>
      <c r="T1783" s="223"/>
      <c r="U1783" s="223"/>
      <c r="V1783" s="223"/>
      <c r="W1783" s="223"/>
      <c r="X1783" s="223"/>
      <c r="Y1783" s="223"/>
      <c r="Z1783" s="223"/>
    </row>
    <row r="1784">
      <c r="A1784" s="223" t="str">
        <f>IFERROR(__xludf.DUMMYFUNCTION("""COMPUTED_VALUE"""),"Tugwell : 6 Month PPC")</f>
        <v>Tugwell : 6 Month PPC</v>
      </c>
      <c r="B1784" s="223" t="str">
        <f>IFERROR(__xludf.DUMMYFUNCTION("""COMPUTED_VALUE"""),"Tugwell")</f>
        <v>Tugwell</v>
      </c>
      <c r="C1784" s="223" t="str">
        <f>IFERROR(__xludf.DUMMYFUNCTION("""COMPUTED_VALUE"""),"6 Month PPC")</f>
        <v>6 Month PPC</v>
      </c>
      <c r="D1784" s="316">
        <f>IFERROR(__xludf.DUMMYFUNCTION("""COMPUTED_VALUE"""),44743.0)</f>
        <v>44743</v>
      </c>
      <c r="E1784" s="298"/>
      <c r="F1784" s="298"/>
      <c r="G1784" s="298"/>
      <c r="H1784" s="223"/>
      <c r="I1784" s="298">
        <f>IFERROR(__xludf.DUMMYFUNCTION("""COMPUTED_VALUE"""),231.36)</f>
        <v>231.36</v>
      </c>
      <c r="J1784" s="223" t="str">
        <f>IFERROR(__xludf.DUMMYFUNCTION("""COMPUTED_VALUE"""),"Fixed Project")</f>
        <v>Fixed Project</v>
      </c>
      <c r="K1784" s="317">
        <f>IFERROR(__xludf.DUMMYFUNCTION("""COMPUTED_VALUE"""),2022.0)</f>
        <v>2022</v>
      </c>
      <c r="L1784" s="298">
        <f>IFERROR(__xludf.DUMMYFUNCTION("""COMPUTED_VALUE"""),231.36)</f>
        <v>231.36</v>
      </c>
      <c r="M1784" s="223"/>
      <c r="N1784" s="223"/>
      <c r="O1784" s="223"/>
      <c r="P1784" s="223"/>
      <c r="Q1784" s="223"/>
      <c r="R1784" s="223"/>
      <c r="S1784" s="223"/>
      <c r="T1784" s="223"/>
      <c r="U1784" s="223"/>
      <c r="V1784" s="223"/>
      <c r="W1784" s="223"/>
      <c r="X1784" s="223"/>
      <c r="Y1784" s="223"/>
      <c r="Z1784" s="223"/>
    </row>
    <row r="1785">
      <c r="A1785" s="223" t="str">
        <f>IFERROR(__xludf.DUMMYFUNCTION("""COMPUTED_VALUE"""),"Venetian : Monthly Services")</f>
        <v>Venetian : Monthly Services</v>
      </c>
      <c r="B1785" s="223" t="str">
        <f>IFERROR(__xludf.DUMMYFUNCTION("""COMPUTED_VALUE"""),"Venetian")</f>
        <v>Venetian</v>
      </c>
      <c r="C1785" s="223" t="str">
        <f>IFERROR(__xludf.DUMMYFUNCTION("""COMPUTED_VALUE"""),"Monthly Services")</f>
        <v>Monthly Services</v>
      </c>
      <c r="D1785" s="316">
        <f>IFERROR(__xludf.DUMMYFUNCTION("""COMPUTED_VALUE"""),44743.0)</f>
        <v>44743</v>
      </c>
      <c r="E1785" s="298"/>
      <c r="F1785" s="298"/>
      <c r="G1785" s="298"/>
      <c r="H1785" s="223"/>
      <c r="I1785" s="298">
        <f>IFERROR(__xludf.DUMMYFUNCTION("""COMPUTED_VALUE"""),304.36)</f>
        <v>304.36</v>
      </c>
      <c r="J1785" s="223" t="str">
        <f>IFERROR(__xludf.DUMMYFUNCTION("""COMPUTED_VALUE"""),"Monthly")</f>
        <v>Monthly</v>
      </c>
      <c r="K1785" s="317">
        <f>IFERROR(__xludf.DUMMYFUNCTION("""COMPUTED_VALUE"""),2022.07)</f>
        <v>2022.07</v>
      </c>
      <c r="L1785" s="298">
        <f>IFERROR(__xludf.DUMMYFUNCTION("""COMPUTED_VALUE"""),304.36)</f>
        <v>304.36</v>
      </c>
      <c r="M1785" s="223"/>
      <c r="N1785" s="223"/>
      <c r="O1785" s="223"/>
      <c r="P1785" s="223"/>
      <c r="Q1785" s="223"/>
      <c r="R1785" s="223"/>
      <c r="S1785" s="223"/>
      <c r="T1785" s="223"/>
      <c r="U1785" s="223"/>
      <c r="V1785" s="223"/>
      <c r="W1785" s="223"/>
      <c r="X1785" s="223"/>
      <c r="Y1785" s="223"/>
      <c r="Z1785" s="223"/>
    </row>
    <row r="1786">
      <c r="A1786" s="223" t="str">
        <f>IFERROR(__xludf.DUMMYFUNCTION("""COMPUTED_VALUE"""),"Spraggs : Monthly Services")</f>
        <v>Spraggs : Monthly Services</v>
      </c>
      <c r="B1786" s="223" t="str">
        <f>IFERROR(__xludf.DUMMYFUNCTION("""COMPUTED_VALUE"""),"Spraggs")</f>
        <v>Spraggs</v>
      </c>
      <c r="C1786" s="223" t="str">
        <f>IFERROR(__xludf.DUMMYFUNCTION("""COMPUTED_VALUE"""),"Monthly Services")</f>
        <v>Monthly Services</v>
      </c>
      <c r="D1786" s="316">
        <f>IFERROR(__xludf.DUMMYFUNCTION("""COMPUTED_VALUE"""),44743.0)</f>
        <v>44743</v>
      </c>
      <c r="E1786" s="298"/>
      <c r="F1786" s="298"/>
      <c r="G1786" s="298"/>
      <c r="H1786" s="223"/>
      <c r="I1786" s="298">
        <f>IFERROR(__xludf.DUMMYFUNCTION("""COMPUTED_VALUE"""),20.54)</f>
        <v>20.54</v>
      </c>
      <c r="J1786" s="223" t="str">
        <f>IFERROR(__xludf.DUMMYFUNCTION("""COMPUTED_VALUE"""),"Monthly")</f>
        <v>Monthly</v>
      </c>
      <c r="K1786" s="317">
        <f>IFERROR(__xludf.DUMMYFUNCTION("""COMPUTED_VALUE"""),2022.07)</f>
        <v>2022.07</v>
      </c>
      <c r="L1786" s="298">
        <f>IFERROR(__xludf.DUMMYFUNCTION("""COMPUTED_VALUE"""),20.54)</f>
        <v>20.54</v>
      </c>
      <c r="M1786" s="223"/>
      <c r="N1786" s="223"/>
      <c r="O1786" s="223"/>
      <c r="P1786" s="223"/>
      <c r="Q1786" s="223"/>
      <c r="R1786" s="223"/>
      <c r="S1786" s="223"/>
      <c r="T1786" s="223"/>
      <c r="U1786" s="223"/>
      <c r="V1786" s="223"/>
      <c r="W1786" s="223"/>
      <c r="X1786" s="223"/>
      <c r="Y1786" s="223"/>
      <c r="Z1786" s="223"/>
    </row>
    <row r="1787">
      <c r="A1787" s="223" t="str">
        <f>IFERROR(__xludf.DUMMYFUNCTION("""COMPUTED_VALUE"""),"HSJ Lawyers : Monthly Services")</f>
        <v>HSJ Lawyers : Monthly Services</v>
      </c>
      <c r="B1787" s="223" t="str">
        <f>IFERROR(__xludf.DUMMYFUNCTION("""COMPUTED_VALUE"""),"HSJ Lawyers")</f>
        <v>HSJ Lawyers</v>
      </c>
      <c r="C1787" s="223" t="str">
        <f>IFERROR(__xludf.DUMMYFUNCTION("""COMPUTED_VALUE"""),"Monthly Services")</f>
        <v>Monthly Services</v>
      </c>
      <c r="D1787" s="316">
        <f>IFERROR(__xludf.DUMMYFUNCTION("""COMPUTED_VALUE"""),44773.0)</f>
        <v>44773</v>
      </c>
      <c r="E1787" s="298"/>
      <c r="F1787" s="298"/>
      <c r="G1787" s="298"/>
      <c r="H1787" s="223"/>
      <c r="I1787" s="298">
        <f>IFERROR(__xludf.DUMMYFUNCTION("""COMPUTED_VALUE"""),225.0)</f>
        <v>225</v>
      </c>
      <c r="J1787" s="223" t="str">
        <f>IFERROR(__xludf.DUMMYFUNCTION("""COMPUTED_VALUE"""),"Monthly")</f>
        <v>Monthly</v>
      </c>
      <c r="K1787" s="317">
        <f>IFERROR(__xludf.DUMMYFUNCTION("""COMPUTED_VALUE"""),2022.07)</f>
        <v>2022.07</v>
      </c>
      <c r="L1787" s="298"/>
      <c r="M1787" s="223"/>
      <c r="N1787" s="223"/>
      <c r="O1787" s="223"/>
      <c r="P1787" s="223"/>
      <c r="Q1787" s="223"/>
      <c r="R1787" s="223"/>
      <c r="S1787" s="223"/>
      <c r="T1787" s="223"/>
      <c r="U1787" s="223"/>
      <c r="V1787" s="223"/>
      <c r="W1787" s="223"/>
      <c r="X1787" s="223"/>
      <c r="Y1787" s="223"/>
      <c r="Z1787" s="223"/>
    </row>
    <row r="1788">
      <c r="A1788" s="223" t="str">
        <f>IFERROR(__xludf.DUMMYFUNCTION("""COMPUTED_VALUE"""),"Tugwell : 6 Month PPC")</f>
        <v>Tugwell : 6 Month PPC</v>
      </c>
      <c r="B1788" s="223" t="str">
        <f>IFERROR(__xludf.DUMMYFUNCTION("""COMPUTED_VALUE"""),"Tugwell")</f>
        <v>Tugwell</v>
      </c>
      <c r="C1788" s="223" t="str">
        <f>IFERROR(__xludf.DUMMYFUNCTION("""COMPUTED_VALUE"""),"6 Month PPC")</f>
        <v>6 Month PPC</v>
      </c>
      <c r="D1788" s="316">
        <f>IFERROR(__xludf.DUMMYFUNCTION("""COMPUTED_VALUE"""),44773.0)</f>
        <v>44773</v>
      </c>
      <c r="E1788" s="298"/>
      <c r="F1788" s="298"/>
      <c r="G1788" s="298"/>
      <c r="H1788" s="223"/>
      <c r="I1788" s="298">
        <f>IFERROR(__xludf.DUMMYFUNCTION("""COMPUTED_VALUE"""),125.0)</f>
        <v>125</v>
      </c>
      <c r="J1788" s="223" t="str">
        <f>IFERROR(__xludf.DUMMYFUNCTION("""COMPUTED_VALUE"""),"Fixed Project")</f>
        <v>Fixed Project</v>
      </c>
      <c r="K1788" s="317">
        <f>IFERROR(__xludf.DUMMYFUNCTION("""COMPUTED_VALUE"""),2022.0)</f>
        <v>2022</v>
      </c>
      <c r="L1788" s="298"/>
      <c r="M1788" s="223"/>
      <c r="N1788" s="223"/>
      <c r="O1788" s="223"/>
      <c r="P1788" s="223"/>
      <c r="Q1788" s="223"/>
      <c r="R1788" s="223"/>
      <c r="S1788" s="223"/>
      <c r="T1788" s="223"/>
      <c r="U1788" s="223"/>
      <c r="V1788" s="223"/>
      <c r="W1788" s="223"/>
      <c r="X1788" s="223"/>
      <c r="Y1788" s="223"/>
      <c r="Z1788" s="223"/>
    </row>
    <row r="1789">
      <c r="A1789" s="223" t="str">
        <f>IFERROR(__xludf.DUMMYFUNCTION("""COMPUTED_VALUE"""),"Arazy Group : Monthly Services")</f>
        <v>Arazy Group : Monthly Services</v>
      </c>
      <c r="B1789" s="223" t="str">
        <f>IFERROR(__xludf.DUMMYFUNCTION("""COMPUTED_VALUE"""),"Arazy Group")</f>
        <v>Arazy Group</v>
      </c>
      <c r="C1789" s="223" t="str">
        <f>IFERROR(__xludf.DUMMYFUNCTION("""COMPUTED_VALUE"""),"Monthly Services")</f>
        <v>Monthly Services</v>
      </c>
      <c r="D1789" s="316">
        <f>IFERROR(__xludf.DUMMYFUNCTION("""COMPUTED_VALUE"""),44773.0)</f>
        <v>44773</v>
      </c>
      <c r="E1789" s="298"/>
      <c r="F1789" s="298"/>
      <c r="G1789" s="298"/>
      <c r="H1789" s="223"/>
      <c r="I1789" s="298">
        <f>IFERROR(__xludf.DUMMYFUNCTION("""COMPUTED_VALUE"""),237.5)</f>
        <v>237.5</v>
      </c>
      <c r="J1789" s="223" t="str">
        <f>IFERROR(__xludf.DUMMYFUNCTION("""COMPUTED_VALUE"""),"Monthly")</f>
        <v>Monthly</v>
      </c>
      <c r="K1789" s="317">
        <f>IFERROR(__xludf.DUMMYFUNCTION("""COMPUTED_VALUE"""),2022.07)</f>
        <v>2022.07</v>
      </c>
      <c r="L1789" s="298"/>
      <c r="M1789" s="223"/>
      <c r="N1789" s="223"/>
      <c r="O1789" s="223"/>
      <c r="P1789" s="223"/>
      <c r="Q1789" s="223"/>
      <c r="R1789" s="223"/>
      <c r="S1789" s="223"/>
      <c r="T1789" s="223"/>
      <c r="U1789" s="223"/>
      <c r="V1789" s="223"/>
      <c r="W1789" s="223"/>
      <c r="X1789" s="223"/>
      <c r="Y1789" s="223"/>
      <c r="Z1789" s="223"/>
    </row>
    <row r="1790">
      <c r="A1790" s="223" t="str">
        <f>IFERROR(__xludf.DUMMYFUNCTION("""COMPUTED_VALUE"""),"Crisp Media : Genus Capital Managment PPC")</f>
        <v>Crisp Media : Genus Capital Managment PPC</v>
      </c>
      <c r="B1790" s="223" t="str">
        <f>IFERROR(__xludf.DUMMYFUNCTION("""COMPUTED_VALUE"""),"Crisp Media")</f>
        <v>Crisp Media</v>
      </c>
      <c r="C1790" s="223" t="str">
        <f>IFERROR(__xludf.DUMMYFUNCTION("""COMPUTED_VALUE"""),"Genus Capital Managment PPC")</f>
        <v>Genus Capital Managment PPC</v>
      </c>
      <c r="D1790" s="316">
        <f>IFERROR(__xludf.DUMMYFUNCTION("""COMPUTED_VALUE"""),44773.0)</f>
        <v>44773</v>
      </c>
      <c r="E1790" s="298"/>
      <c r="F1790" s="298"/>
      <c r="G1790" s="298"/>
      <c r="H1790" s="223"/>
      <c r="I1790" s="298">
        <f>IFERROR(__xludf.DUMMYFUNCTION("""COMPUTED_VALUE"""),175.0)</f>
        <v>175</v>
      </c>
      <c r="J1790" s="223" t="str">
        <f>IFERROR(__xludf.DUMMYFUNCTION("""COMPUTED_VALUE"""),"Fixed Project")</f>
        <v>Fixed Project</v>
      </c>
      <c r="K1790" s="317">
        <f>IFERROR(__xludf.DUMMYFUNCTION("""COMPUTED_VALUE"""),2022.0)</f>
        <v>2022</v>
      </c>
      <c r="L1790" s="298"/>
      <c r="M1790" s="223"/>
      <c r="N1790" s="223"/>
      <c r="O1790" s="223"/>
      <c r="P1790" s="223"/>
      <c r="Q1790" s="223"/>
      <c r="R1790" s="223"/>
      <c r="S1790" s="223"/>
      <c r="T1790" s="223"/>
      <c r="U1790" s="223"/>
      <c r="V1790" s="223"/>
      <c r="W1790" s="223"/>
      <c r="X1790" s="223"/>
      <c r="Y1790" s="223"/>
      <c r="Z1790" s="223"/>
    </row>
    <row r="1791">
      <c r="A1791" s="223" t="str">
        <f>IFERROR(__xludf.DUMMYFUNCTION("""COMPUTED_VALUE"""),"PlusROI : Admin")</f>
        <v>PlusROI : Admin</v>
      </c>
      <c r="B1791" s="223" t="str">
        <f>IFERROR(__xludf.DUMMYFUNCTION("""COMPUTED_VALUE"""),"PlusROI")</f>
        <v>PlusROI</v>
      </c>
      <c r="C1791" s="223" t="str">
        <f>IFERROR(__xludf.DUMMYFUNCTION("""COMPUTED_VALUE"""),"Admin")</f>
        <v>Admin</v>
      </c>
      <c r="D1791" s="316">
        <f>IFERROR(__xludf.DUMMYFUNCTION("""COMPUTED_VALUE"""),44773.0)</f>
        <v>44773</v>
      </c>
      <c r="E1791" s="298"/>
      <c r="F1791" s="298"/>
      <c r="G1791" s="298"/>
      <c r="H1791" s="223"/>
      <c r="I1791" s="298">
        <f>IFERROR(__xludf.DUMMYFUNCTION("""COMPUTED_VALUE"""),16.5)</f>
        <v>16.5</v>
      </c>
      <c r="J1791" s="223" t="str">
        <f>IFERROR(__xludf.DUMMYFUNCTION("""COMPUTED_VALUE"""),"Hourly")</f>
        <v>Hourly</v>
      </c>
      <c r="K1791" s="317">
        <f>IFERROR(__xludf.DUMMYFUNCTION("""COMPUTED_VALUE"""),2022.0)</f>
        <v>2022</v>
      </c>
      <c r="L1791" s="298"/>
      <c r="M1791" s="223"/>
      <c r="N1791" s="223"/>
      <c r="O1791" s="223"/>
      <c r="P1791" s="223"/>
      <c r="Q1791" s="223"/>
      <c r="R1791" s="223"/>
      <c r="S1791" s="223"/>
      <c r="T1791" s="223"/>
      <c r="U1791" s="223"/>
      <c r="V1791" s="223"/>
      <c r="W1791" s="223"/>
      <c r="X1791" s="223"/>
      <c r="Y1791" s="223"/>
      <c r="Z1791" s="223"/>
    </row>
    <row r="1792">
      <c r="A1792" s="223" t="str">
        <f>IFERROR(__xludf.DUMMYFUNCTION("""COMPUTED_VALUE"""),"Viridian : Monthly Services")</f>
        <v>Viridian : Monthly Services</v>
      </c>
      <c r="B1792" s="223" t="str">
        <f>IFERROR(__xludf.DUMMYFUNCTION("""COMPUTED_VALUE"""),"Viridian")</f>
        <v>Viridian</v>
      </c>
      <c r="C1792" s="223" t="str">
        <f>IFERROR(__xludf.DUMMYFUNCTION("""COMPUTED_VALUE"""),"Monthly Services")</f>
        <v>Monthly Services</v>
      </c>
      <c r="D1792" s="316">
        <f>IFERROR(__xludf.DUMMYFUNCTION("""COMPUTED_VALUE"""),44773.0)</f>
        <v>44773</v>
      </c>
      <c r="E1792" s="298"/>
      <c r="F1792" s="298"/>
      <c r="G1792" s="298"/>
      <c r="H1792" s="223"/>
      <c r="I1792" s="298">
        <f>IFERROR(__xludf.DUMMYFUNCTION("""COMPUTED_VALUE"""),312.5)</f>
        <v>312.5</v>
      </c>
      <c r="J1792" s="223" t="str">
        <f>IFERROR(__xludf.DUMMYFUNCTION("""COMPUTED_VALUE"""),"Monthly")</f>
        <v>Monthly</v>
      </c>
      <c r="K1792" s="317">
        <f>IFERROR(__xludf.DUMMYFUNCTION("""COMPUTED_VALUE"""),2022.07)</f>
        <v>2022.07</v>
      </c>
      <c r="L1792" s="298"/>
      <c r="M1792" s="223"/>
      <c r="N1792" s="223"/>
      <c r="O1792" s="223"/>
      <c r="P1792" s="223"/>
      <c r="Q1792" s="223"/>
      <c r="R1792" s="223"/>
      <c r="S1792" s="223"/>
      <c r="T1792" s="223"/>
      <c r="U1792" s="223"/>
      <c r="V1792" s="223"/>
      <c r="W1792" s="223"/>
      <c r="X1792" s="223"/>
      <c r="Y1792" s="223"/>
      <c r="Z1792" s="223"/>
    </row>
    <row r="1793">
      <c r="A1793" s="223" t="str">
        <f>IFERROR(__xludf.DUMMYFUNCTION("""COMPUTED_VALUE"""),"Service First : Monthly Services")</f>
        <v>Service First : Monthly Services</v>
      </c>
      <c r="B1793" s="223" t="str">
        <f>IFERROR(__xludf.DUMMYFUNCTION("""COMPUTED_VALUE"""),"Service First")</f>
        <v>Service First</v>
      </c>
      <c r="C1793" s="223" t="str">
        <f>IFERROR(__xludf.DUMMYFUNCTION("""COMPUTED_VALUE"""),"Monthly Services")</f>
        <v>Monthly Services</v>
      </c>
      <c r="D1793" s="316">
        <f>IFERROR(__xludf.DUMMYFUNCTION("""COMPUTED_VALUE"""),44773.0)</f>
        <v>44773</v>
      </c>
      <c r="E1793" s="298"/>
      <c r="F1793" s="298"/>
      <c r="G1793" s="298"/>
      <c r="H1793" s="223"/>
      <c r="I1793" s="298">
        <f>IFERROR(__xludf.DUMMYFUNCTION("""COMPUTED_VALUE"""),125.0)</f>
        <v>125</v>
      </c>
      <c r="J1793" s="223" t="str">
        <f>IFERROR(__xludf.DUMMYFUNCTION("""COMPUTED_VALUE"""),"Monthly")</f>
        <v>Monthly</v>
      </c>
      <c r="K1793" s="317">
        <f>IFERROR(__xludf.DUMMYFUNCTION("""COMPUTED_VALUE"""),2022.07)</f>
        <v>2022.07</v>
      </c>
      <c r="L1793" s="298"/>
      <c r="M1793" s="223"/>
      <c r="N1793" s="223"/>
      <c r="O1793" s="223"/>
      <c r="P1793" s="223"/>
      <c r="Q1793" s="223"/>
      <c r="R1793" s="223"/>
      <c r="S1793" s="223"/>
      <c r="T1793" s="223"/>
      <c r="U1793" s="223"/>
      <c r="V1793" s="223"/>
      <c r="W1793" s="223"/>
      <c r="X1793" s="223"/>
      <c r="Y1793" s="223"/>
      <c r="Z1793" s="223"/>
    </row>
    <row r="1794">
      <c r="A1794" s="223" t="str">
        <f>IFERROR(__xludf.DUMMYFUNCTION("""COMPUTED_VALUE"""),"BookKing (Pacific Tier) : Monthly Services")</f>
        <v>BookKing (Pacific Tier) : Monthly Services</v>
      </c>
      <c r="B1794" s="223" t="str">
        <f>IFERROR(__xludf.DUMMYFUNCTION("""COMPUTED_VALUE"""),"BookKing (Pacific Tier)")</f>
        <v>BookKing (Pacific Tier)</v>
      </c>
      <c r="C1794" s="223" t="str">
        <f>IFERROR(__xludf.DUMMYFUNCTION("""COMPUTED_VALUE"""),"Monthly Services")</f>
        <v>Monthly Services</v>
      </c>
      <c r="D1794" s="316">
        <f>IFERROR(__xludf.DUMMYFUNCTION("""COMPUTED_VALUE"""),44773.0)</f>
        <v>44773</v>
      </c>
      <c r="E1794" s="298"/>
      <c r="F1794" s="298"/>
      <c r="G1794" s="298"/>
      <c r="H1794" s="223"/>
      <c r="I1794" s="298">
        <f>IFERROR(__xludf.DUMMYFUNCTION("""COMPUTED_VALUE"""),200.0)</f>
        <v>200</v>
      </c>
      <c r="J1794" s="223" t="str">
        <f>IFERROR(__xludf.DUMMYFUNCTION("""COMPUTED_VALUE"""),"Monthly")</f>
        <v>Monthly</v>
      </c>
      <c r="K1794" s="317">
        <f>IFERROR(__xludf.DUMMYFUNCTION("""COMPUTED_VALUE"""),2022.07)</f>
        <v>2022.07</v>
      </c>
      <c r="L1794" s="298"/>
      <c r="M1794" s="223"/>
      <c r="N1794" s="223"/>
      <c r="O1794" s="223"/>
      <c r="P1794" s="223"/>
      <c r="Q1794" s="223"/>
      <c r="R1794" s="223"/>
      <c r="S1794" s="223"/>
      <c r="T1794" s="223"/>
      <c r="U1794" s="223"/>
      <c r="V1794" s="223"/>
      <c r="W1794" s="223"/>
      <c r="X1794" s="223"/>
      <c r="Y1794" s="223"/>
      <c r="Z1794" s="223"/>
    </row>
    <row r="1795">
      <c r="A1795" s="223" t="str">
        <f>IFERROR(__xludf.DUMMYFUNCTION("""COMPUTED_VALUE"""),"MortgagePal : Monthly Services")</f>
        <v>MortgagePal : Monthly Services</v>
      </c>
      <c r="B1795" s="223" t="str">
        <f>IFERROR(__xludf.DUMMYFUNCTION("""COMPUTED_VALUE"""),"MortgagePal")</f>
        <v>MortgagePal</v>
      </c>
      <c r="C1795" s="223" t="str">
        <f>IFERROR(__xludf.DUMMYFUNCTION("""COMPUTED_VALUE"""),"Monthly Services")</f>
        <v>Monthly Services</v>
      </c>
      <c r="D1795" s="316">
        <f>IFERROR(__xludf.DUMMYFUNCTION("""COMPUTED_VALUE"""),44773.0)</f>
        <v>44773</v>
      </c>
      <c r="E1795" s="298"/>
      <c r="F1795" s="298"/>
      <c r="G1795" s="298"/>
      <c r="H1795" s="223"/>
      <c r="I1795" s="298">
        <f>IFERROR(__xludf.DUMMYFUNCTION("""COMPUTED_VALUE"""),212.5)</f>
        <v>212.5</v>
      </c>
      <c r="J1795" s="223" t="str">
        <f>IFERROR(__xludf.DUMMYFUNCTION("""COMPUTED_VALUE"""),"Monthly")</f>
        <v>Monthly</v>
      </c>
      <c r="K1795" s="317">
        <f>IFERROR(__xludf.DUMMYFUNCTION("""COMPUTED_VALUE"""),2022.07)</f>
        <v>2022.07</v>
      </c>
      <c r="L1795" s="298"/>
      <c r="M1795" s="223"/>
      <c r="N1795" s="223"/>
      <c r="O1795" s="223"/>
      <c r="P1795" s="223"/>
      <c r="Q1795" s="223"/>
      <c r="R1795" s="223"/>
      <c r="S1795" s="223"/>
      <c r="T1795" s="223"/>
      <c r="U1795" s="223"/>
      <c r="V1795" s="223"/>
      <c r="W1795" s="223"/>
      <c r="X1795" s="223"/>
      <c r="Y1795" s="223"/>
      <c r="Z1795" s="223"/>
    </row>
    <row r="1796">
      <c r="A1796" s="223" t="str">
        <f>IFERROR(__xludf.DUMMYFUNCTION("""COMPUTED_VALUE"""),"Wallack's Art Supplies : Monthly Services")</f>
        <v>Wallack's Art Supplies : Monthly Services</v>
      </c>
      <c r="B1796" s="223" t="str">
        <f>IFERROR(__xludf.DUMMYFUNCTION("""COMPUTED_VALUE"""),"Wallack's Art Supplies")</f>
        <v>Wallack's Art Supplies</v>
      </c>
      <c r="C1796" s="223" t="str">
        <f>IFERROR(__xludf.DUMMYFUNCTION("""COMPUTED_VALUE"""),"Monthly Services")</f>
        <v>Monthly Services</v>
      </c>
      <c r="D1796" s="316">
        <f>IFERROR(__xludf.DUMMYFUNCTION("""COMPUTED_VALUE"""),44773.0)</f>
        <v>44773</v>
      </c>
      <c r="E1796" s="298"/>
      <c r="F1796" s="298"/>
      <c r="G1796" s="298"/>
      <c r="H1796" s="223"/>
      <c r="I1796" s="298">
        <f>IFERROR(__xludf.DUMMYFUNCTION("""COMPUTED_VALUE"""),262.5)</f>
        <v>262.5</v>
      </c>
      <c r="J1796" s="223" t="str">
        <f>IFERROR(__xludf.DUMMYFUNCTION("""COMPUTED_VALUE"""),"Monthly")</f>
        <v>Monthly</v>
      </c>
      <c r="K1796" s="317">
        <f>IFERROR(__xludf.DUMMYFUNCTION("""COMPUTED_VALUE"""),2022.07)</f>
        <v>2022.07</v>
      </c>
      <c r="L1796" s="298"/>
      <c r="M1796" s="223"/>
      <c r="N1796" s="223"/>
      <c r="O1796" s="223"/>
      <c r="P1796" s="223"/>
      <c r="Q1796" s="223"/>
      <c r="R1796" s="223"/>
      <c r="S1796" s="223"/>
      <c r="T1796" s="223"/>
      <c r="U1796" s="223"/>
      <c r="V1796" s="223"/>
      <c r="W1796" s="223"/>
      <c r="X1796" s="223"/>
      <c r="Y1796" s="223"/>
      <c r="Z1796" s="223"/>
    </row>
    <row r="1797">
      <c r="A1797" s="223" t="str">
        <f>IFERROR(__xludf.DUMMYFUNCTION("""COMPUTED_VALUE"""),"Anook Athletics : Monthly Services")</f>
        <v>Anook Athletics : Monthly Services</v>
      </c>
      <c r="B1797" s="223" t="str">
        <f>IFERROR(__xludf.DUMMYFUNCTION("""COMPUTED_VALUE"""),"Anook Athletics")</f>
        <v>Anook Athletics</v>
      </c>
      <c r="C1797" s="223" t="str">
        <f>IFERROR(__xludf.DUMMYFUNCTION("""COMPUTED_VALUE"""),"Monthly Services")</f>
        <v>Monthly Services</v>
      </c>
      <c r="D1797" s="316">
        <f>IFERROR(__xludf.DUMMYFUNCTION("""COMPUTED_VALUE"""),44773.0)</f>
        <v>44773</v>
      </c>
      <c r="E1797" s="298"/>
      <c r="F1797" s="298"/>
      <c r="G1797" s="298"/>
      <c r="H1797" s="223"/>
      <c r="I1797" s="298">
        <f>IFERROR(__xludf.DUMMYFUNCTION("""COMPUTED_VALUE"""),500.0)</f>
        <v>500</v>
      </c>
      <c r="J1797" s="223" t="str">
        <f>IFERROR(__xludf.DUMMYFUNCTION("""COMPUTED_VALUE"""),"Monthly")</f>
        <v>Monthly</v>
      </c>
      <c r="K1797" s="317">
        <f>IFERROR(__xludf.DUMMYFUNCTION("""COMPUTED_VALUE"""),2022.07)</f>
        <v>2022.07</v>
      </c>
      <c r="L1797" s="298"/>
      <c r="M1797" s="223"/>
      <c r="N1797" s="223"/>
      <c r="O1797" s="223"/>
      <c r="P1797" s="223"/>
      <c r="Q1797" s="223"/>
      <c r="R1797" s="223"/>
      <c r="S1797" s="223"/>
      <c r="T1797" s="223"/>
      <c r="U1797" s="223"/>
      <c r="V1797" s="223"/>
      <c r="W1797" s="223"/>
      <c r="X1797" s="223"/>
      <c r="Y1797" s="223"/>
      <c r="Z1797" s="223"/>
    </row>
    <row r="1798">
      <c r="A1798" s="223" t="str">
        <f>IFERROR(__xludf.DUMMYFUNCTION("""COMPUTED_VALUE"""),"PMDI : Monthly Services")</f>
        <v>PMDI : Monthly Services</v>
      </c>
      <c r="B1798" s="223" t="str">
        <f>IFERROR(__xludf.DUMMYFUNCTION("""COMPUTED_VALUE"""),"PMDI")</f>
        <v>PMDI</v>
      </c>
      <c r="C1798" s="223" t="str">
        <f>IFERROR(__xludf.DUMMYFUNCTION("""COMPUTED_VALUE"""),"Monthly Services")</f>
        <v>Monthly Services</v>
      </c>
      <c r="D1798" s="316">
        <f>IFERROR(__xludf.DUMMYFUNCTION("""COMPUTED_VALUE"""),44773.0)</f>
        <v>44773</v>
      </c>
      <c r="E1798" s="298"/>
      <c r="F1798" s="298"/>
      <c r="G1798" s="298"/>
      <c r="H1798" s="223"/>
      <c r="I1798" s="298">
        <f>IFERROR(__xludf.DUMMYFUNCTION("""COMPUTED_VALUE"""),137.5)</f>
        <v>137.5</v>
      </c>
      <c r="J1798" s="223" t="str">
        <f>IFERROR(__xludf.DUMMYFUNCTION("""COMPUTED_VALUE"""),"Monthly")</f>
        <v>Monthly</v>
      </c>
      <c r="K1798" s="317">
        <f>IFERROR(__xludf.DUMMYFUNCTION("""COMPUTED_VALUE"""),2022.07)</f>
        <v>2022.07</v>
      </c>
      <c r="L1798" s="298"/>
      <c r="M1798" s="223"/>
      <c r="N1798" s="223"/>
      <c r="O1798" s="223"/>
      <c r="P1798" s="223"/>
      <c r="Q1798" s="223"/>
      <c r="R1798" s="223"/>
      <c r="S1798" s="223"/>
      <c r="T1798" s="223"/>
      <c r="U1798" s="223"/>
      <c r="V1798" s="223"/>
      <c r="W1798" s="223"/>
      <c r="X1798" s="223"/>
      <c r="Y1798" s="223"/>
      <c r="Z1798" s="223"/>
    </row>
    <row r="1799">
      <c r="A1799" s="223" t="str">
        <f>IFERROR(__xludf.DUMMYFUNCTION("""COMPUTED_VALUE"""),"Availed Technologies : Monthly Services")</f>
        <v>Availed Technologies : Monthly Services</v>
      </c>
      <c r="B1799" s="223" t="str">
        <f>IFERROR(__xludf.DUMMYFUNCTION("""COMPUTED_VALUE"""),"Availed Technologies")</f>
        <v>Availed Technologies</v>
      </c>
      <c r="C1799" s="223" t="str">
        <f>IFERROR(__xludf.DUMMYFUNCTION("""COMPUTED_VALUE"""),"Monthly Services")</f>
        <v>Monthly Services</v>
      </c>
      <c r="D1799" s="316">
        <f>IFERROR(__xludf.DUMMYFUNCTION("""COMPUTED_VALUE"""),44773.0)</f>
        <v>44773</v>
      </c>
      <c r="E1799" s="298"/>
      <c r="F1799" s="298"/>
      <c r="G1799" s="298"/>
      <c r="H1799" s="223"/>
      <c r="I1799" s="298">
        <f>IFERROR(__xludf.DUMMYFUNCTION("""COMPUTED_VALUE"""),162.5)</f>
        <v>162.5</v>
      </c>
      <c r="J1799" s="223" t="str">
        <f>IFERROR(__xludf.DUMMYFUNCTION("""COMPUTED_VALUE"""),"Monthly")</f>
        <v>Monthly</v>
      </c>
      <c r="K1799" s="317">
        <f>IFERROR(__xludf.DUMMYFUNCTION("""COMPUTED_VALUE"""),2022.07)</f>
        <v>2022.07</v>
      </c>
      <c r="L1799" s="298"/>
      <c r="M1799" s="223"/>
      <c r="N1799" s="223"/>
      <c r="O1799" s="223"/>
      <c r="P1799" s="223"/>
      <c r="Q1799" s="223"/>
      <c r="R1799" s="223"/>
      <c r="S1799" s="223"/>
      <c r="T1799" s="223"/>
      <c r="U1799" s="223"/>
      <c r="V1799" s="223"/>
      <c r="W1799" s="223"/>
      <c r="X1799" s="223"/>
      <c r="Y1799" s="223"/>
      <c r="Z1799" s="223"/>
    </row>
    <row r="1800">
      <c r="A1800" s="223" t="str">
        <f>IFERROR(__xludf.DUMMYFUNCTION("""COMPUTED_VALUE"""),"Bratopia : Monthly Services")</f>
        <v>Bratopia : Monthly Services</v>
      </c>
      <c r="B1800" s="223" t="str">
        <f>IFERROR(__xludf.DUMMYFUNCTION("""COMPUTED_VALUE"""),"Bratopia")</f>
        <v>Bratopia</v>
      </c>
      <c r="C1800" s="223" t="str">
        <f>IFERROR(__xludf.DUMMYFUNCTION("""COMPUTED_VALUE"""),"Monthly Services")</f>
        <v>Monthly Services</v>
      </c>
      <c r="D1800" s="316">
        <f>IFERROR(__xludf.DUMMYFUNCTION("""COMPUTED_VALUE"""),44773.0)</f>
        <v>44773</v>
      </c>
      <c r="E1800" s="298"/>
      <c r="F1800" s="298"/>
      <c r="G1800" s="298"/>
      <c r="H1800" s="223"/>
      <c r="I1800" s="298">
        <f>IFERROR(__xludf.DUMMYFUNCTION("""COMPUTED_VALUE"""),450.0)</f>
        <v>450</v>
      </c>
      <c r="J1800" s="223" t="str">
        <f>IFERROR(__xludf.DUMMYFUNCTION("""COMPUTED_VALUE"""),"Monthly")</f>
        <v>Monthly</v>
      </c>
      <c r="K1800" s="317">
        <f>IFERROR(__xludf.DUMMYFUNCTION("""COMPUTED_VALUE"""),2022.07)</f>
        <v>2022.07</v>
      </c>
      <c r="L1800" s="298"/>
      <c r="M1800" s="223"/>
      <c r="N1800" s="223"/>
      <c r="O1800" s="223"/>
      <c r="P1800" s="223"/>
      <c r="Q1800" s="223"/>
      <c r="R1800" s="223"/>
      <c r="S1800" s="223"/>
      <c r="T1800" s="223"/>
      <c r="U1800" s="223"/>
      <c r="V1800" s="223"/>
      <c r="W1800" s="223"/>
      <c r="X1800" s="223"/>
      <c r="Y1800" s="223"/>
      <c r="Z1800" s="223"/>
    </row>
    <row r="1801">
      <c r="A1801" s="223" t="str">
        <f>IFERROR(__xludf.DUMMYFUNCTION("""COMPUTED_VALUE"""),"Moloco : Initial Streamlined Search Ad Setup")</f>
        <v>Moloco : Initial Streamlined Search Ad Setup</v>
      </c>
      <c r="B1801" s="223" t="str">
        <f>IFERROR(__xludf.DUMMYFUNCTION("""COMPUTED_VALUE"""),"Moloco")</f>
        <v>Moloco</v>
      </c>
      <c r="C1801" s="223" t="str">
        <f>IFERROR(__xludf.DUMMYFUNCTION("""COMPUTED_VALUE"""),"Initial Streamlined Search Ad Setup")</f>
        <v>Initial Streamlined Search Ad Setup</v>
      </c>
      <c r="D1801" s="316">
        <f>IFERROR(__xludf.DUMMYFUNCTION("""COMPUTED_VALUE"""),44773.0)</f>
        <v>44773</v>
      </c>
      <c r="E1801" s="298"/>
      <c r="F1801" s="298"/>
      <c r="G1801" s="298"/>
      <c r="H1801" s="223"/>
      <c r="I1801" s="298">
        <f>IFERROR(__xludf.DUMMYFUNCTION("""COMPUTED_VALUE"""),387.5)</f>
        <v>387.5</v>
      </c>
      <c r="J1801" s="223" t="str">
        <f>IFERROR(__xludf.DUMMYFUNCTION("""COMPUTED_VALUE"""),"Fixed Project")</f>
        <v>Fixed Project</v>
      </c>
      <c r="K1801" s="317">
        <f>IFERROR(__xludf.DUMMYFUNCTION("""COMPUTED_VALUE"""),2022.0)</f>
        <v>2022</v>
      </c>
      <c r="L1801" s="298"/>
      <c r="M1801" s="223"/>
      <c r="N1801" s="223"/>
      <c r="O1801" s="223"/>
      <c r="P1801" s="223"/>
      <c r="Q1801" s="223"/>
      <c r="R1801" s="223"/>
      <c r="S1801" s="223"/>
      <c r="T1801" s="223"/>
      <c r="U1801" s="223"/>
      <c r="V1801" s="223"/>
      <c r="W1801" s="223"/>
      <c r="X1801" s="223"/>
      <c r="Y1801" s="223"/>
      <c r="Z1801" s="223"/>
    </row>
    <row r="1802">
      <c r="A1802" s="223" t="str">
        <f>IFERROR(__xludf.DUMMYFUNCTION("""COMPUTED_VALUE"""),"Red Seal : Monthly Services")</f>
        <v>Red Seal : Monthly Services</v>
      </c>
      <c r="B1802" s="223" t="str">
        <f>IFERROR(__xludf.DUMMYFUNCTION("""COMPUTED_VALUE"""),"Red Seal")</f>
        <v>Red Seal</v>
      </c>
      <c r="C1802" s="223" t="str">
        <f>IFERROR(__xludf.DUMMYFUNCTION("""COMPUTED_VALUE"""),"Monthly Services")</f>
        <v>Monthly Services</v>
      </c>
      <c r="D1802" s="316">
        <f>IFERROR(__xludf.DUMMYFUNCTION("""COMPUTED_VALUE"""),44773.0)</f>
        <v>44773</v>
      </c>
      <c r="E1802" s="298"/>
      <c r="F1802" s="298"/>
      <c r="G1802" s="298"/>
      <c r="H1802" s="223"/>
      <c r="I1802" s="298">
        <f>IFERROR(__xludf.DUMMYFUNCTION("""COMPUTED_VALUE"""),350.0)</f>
        <v>350</v>
      </c>
      <c r="J1802" s="223" t="str">
        <f>IFERROR(__xludf.DUMMYFUNCTION("""COMPUTED_VALUE"""),"Monthly")</f>
        <v>Monthly</v>
      </c>
      <c r="K1802" s="317">
        <f>IFERROR(__xludf.DUMMYFUNCTION("""COMPUTED_VALUE"""),2022.07)</f>
        <v>2022.07</v>
      </c>
      <c r="L1802" s="298"/>
      <c r="M1802" s="223"/>
      <c r="N1802" s="223"/>
      <c r="O1802" s="223"/>
      <c r="P1802" s="223"/>
      <c r="Q1802" s="223"/>
      <c r="R1802" s="223"/>
      <c r="S1802" s="223"/>
      <c r="T1802" s="223"/>
      <c r="U1802" s="223"/>
      <c r="V1802" s="223"/>
      <c r="W1802" s="223"/>
      <c r="X1802" s="223"/>
      <c r="Y1802" s="223"/>
      <c r="Z1802" s="223"/>
    </row>
    <row r="1803">
      <c r="A1803" s="223" t="str">
        <f>IFERROR(__xludf.DUMMYFUNCTION("""COMPUTED_VALUE"""),"Continutity Programs Inc. : Website Relaunch and SEO Review")</f>
        <v>Continutity Programs Inc. : Website Relaunch and SEO Review</v>
      </c>
      <c r="B1803" s="223" t="str">
        <f>IFERROR(__xludf.DUMMYFUNCTION("""COMPUTED_VALUE"""),"Continutity Programs Inc.")</f>
        <v>Continutity Programs Inc.</v>
      </c>
      <c r="C1803" s="223" t="str">
        <f>IFERROR(__xludf.DUMMYFUNCTION("""COMPUTED_VALUE"""),"Website Relaunch and SEO Review")</f>
        <v>Website Relaunch and SEO Review</v>
      </c>
      <c r="D1803" s="316">
        <f>IFERROR(__xludf.DUMMYFUNCTION("""COMPUTED_VALUE"""),44773.0)</f>
        <v>44773</v>
      </c>
      <c r="E1803" s="298"/>
      <c r="F1803" s="298"/>
      <c r="G1803" s="298"/>
      <c r="H1803" s="223"/>
      <c r="I1803" s="298">
        <f>IFERROR(__xludf.DUMMYFUNCTION("""COMPUTED_VALUE"""),1250.0)</f>
        <v>1250</v>
      </c>
      <c r="J1803" s="223" t="str">
        <f>IFERROR(__xludf.DUMMYFUNCTION("""COMPUTED_VALUE"""),"Not Set")</f>
        <v>Not Set</v>
      </c>
      <c r="K1803" s="317">
        <f>IFERROR(__xludf.DUMMYFUNCTION("""COMPUTED_VALUE"""),2022.0)</f>
        <v>2022</v>
      </c>
      <c r="L1803" s="298"/>
      <c r="M1803" s="223"/>
      <c r="N1803" s="223"/>
      <c r="O1803" s="223"/>
      <c r="P1803" s="223"/>
      <c r="Q1803" s="223"/>
      <c r="R1803" s="223"/>
      <c r="S1803" s="223"/>
      <c r="T1803" s="223"/>
      <c r="U1803" s="223"/>
      <c r="V1803" s="223"/>
      <c r="W1803" s="223"/>
      <c r="X1803" s="223"/>
      <c r="Y1803" s="223"/>
      <c r="Z1803" s="223"/>
    </row>
    <row r="1804">
      <c r="A1804" s="223" t="str">
        <f>IFERROR(__xludf.DUMMYFUNCTION("""COMPUTED_VALUE"""),"Howard Fine Jewellers : Ongoing PPC and SEO Support")</f>
        <v>Howard Fine Jewellers : Ongoing PPC and SEO Support</v>
      </c>
      <c r="B1804" s="223" t="str">
        <f>IFERROR(__xludf.DUMMYFUNCTION("""COMPUTED_VALUE"""),"Howard Fine Jewellers")</f>
        <v>Howard Fine Jewellers</v>
      </c>
      <c r="C1804" s="223" t="str">
        <f>IFERROR(__xludf.DUMMYFUNCTION("""COMPUTED_VALUE"""),"Ongoing PPC and SEO Support")</f>
        <v>Ongoing PPC and SEO Support</v>
      </c>
      <c r="D1804" s="316">
        <f>IFERROR(__xludf.DUMMYFUNCTION("""COMPUTED_VALUE"""),44773.0)</f>
        <v>44773</v>
      </c>
      <c r="E1804" s="298"/>
      <c r="F1804" s="298"/>
      <c r="G1804" s="298"/>
      <c r="H1804" s="223"/>
      <c r="I1804" s="298">
        <f>IFERROR(__xludf.DUMMYFUNCTION("""COMPUTED_VALUE"""),125.0)</f>
        <v>125</v>
      </c>
      <c r="J1804" s="223" t="str">
        <f>IFERROR(__xludf.DUMMYFUNCTION("""COMPUTED_VALUE"""),"Monthly")</f>
        <v>Monthly</v>
      </c>
      <c r="K1804" s="317">
        <f>IFERROR(__xludf.DUMMYFUNCTION("""COMPUTED_VALUE"""),2022.07)</f>
        <v>2022.07</v>
      </c>
      <c r="L1804" s="298"/>
      <c r="M1804" s="223"/>
      <c r="N1804" s="223"/>
      <c r="O1804" s="223"/>
      <c r="P1804" s="223"/>
      <c r="Q1804" s="223"/>
      <c r="R1804" s="223"/>
      <c r="S1804" s="223"/>
      <c r="T1804" s="223"/>
      <c r="U1804" s="223"/>
      <c r="V1804" s="223"/>
      <c r="W1804" s="223"/>
      <c r="X1804" s="223"/>
      <c r="Y1804" s="223"/>
      <c r="Z1804" s="223"/>
    </row>
    <row r="1805">
      <c r="A1805" s="223" t="str">
        <f>IFERROR(__xludf.DUMMYFUNCTION("""COMPUTED_VALUE"""),"PlusROI : Admin")</f>
        <v>PlusROI : Admin</v>
      </c>
      <c r="B1805" s="223" t="str">
        <f>IFERROR(__xludf.DUMMYFUNCTION("""COMPUTED_VALUE"""),"PlusROI")</f>
        <v>PlusROI</v>
      </c>
      <c r="C1805" s="223" t="str">
        <f>IFERROR(__xludf.DUMMYFUNCTION("""COMPUTED_VALUE"""),"Admin")</f>
        <v>Admin</v>
      </c>
      <c r="D1805" s="316">
        <f>IFERROR(__xludf.DUMMYFUNCTION("""COMPUTED_VALUE"""),44773.0)</f>
        <v>44773</v>
      </c>
      <c r="E1805" s="298"/>
      <c r="F1805" s="298"/>
      <c r="G1805" s="298"/>
      <c r="H1805" s="223"/>
      <c r="I1805" s="298">
        <f>IFERROR(__xludf.DUMMYFUNCTION("""COMPUTED_VALUE"""),90.0)</f>
        <v>90</v>
      </c>
      <c r="J1805" s="223" t="str">
        <f>IFERROR(__xludf.DUMMYFUNCTION("""COMPUTED_VALUE"""),"Hourly")</f>
        <v>Hourly</v>
      </c>
      <c r="K1805" s="317">
        <f>IFERROR(__xludf.DUMMYFUNCTION("""COMPUTED_VALUE"""),2022.0)</f>
        <v>2022</v>
      </c>
      <c r="L1805" s="298"/>
      <c r="M1805" s="223"/>
      <c r="N1805" s="223"/>
      <c r="O1805" s="223"/>
      <c r="P1805" s="223"/>
      <c r="Q1805" s="223"/>
      <c r="R1805" s="223"/>
      <c r="S1805" s="223"/>
      <c r="T1805" s="223"/>
      <c r="U1805" s="223"/>
      <c r="V1805" s="223"/>
      <c r="W1805" s="223"/>
      <c r="X1805" s="223"/>
      <c r="Y1805" s="223"/>
      <c r="Z1805" s="223"/>
    </row>
    <row r="1806">
      <c r="A1806" s="223" t="str">
        <f>IFERROR(__xludf.DUMMYFUNCTION("""COMPUTED_VALUE"""),"Hastings House : Monthly Services")</f>
        <v>Hastings House : Monthly Services</v>
      </c>
      <c r="B1806" s="223" t="str">
        <f>IFERROR(__xludf.DUMMYFUNCTION("""COMPUTED_VALUE"""),"Hastings House")</f>
        <v>Hastings House</v>
      </c>
      <c r="C1806" s="223" t="str">
        <f>IFERROR(__xludf.DUMMYFUNCTION("""COMPUTED_VALUE"""),"Monthly Services")</f>
        <v>Monthly Services</v>
      </c>
      <c r="D1806" s="316">
        <f>IFERROR(__xludf.DUMMYFUNCTION("""COMPUTED_VALUE"""),44773.0)</f>
        <v>44773</v>
      </c>
      <c r="E1806" s="298"/>
      <c r="F1806" s="298"/>
      <c r="G1806" s="298"/>
      <c r="H1806" s="223"/>
      <c r="I1806" s="298">
        <f>IFERROR(__xludf.DUMMYFUNCTION("""COMPUTED_VALUE"""),350.0)</f>
        <v>350</v>
      </c>
      <c r="J1806" s="223" t="str">
        <f>IFERROR(__xludf.DUMMYFUNCTION("""COMPUTED_VALUE"""),"Monthly")</f>
        <v>Monthly</v>
      </c>
      <c r="K1806" s="317">
        <f>IFERROR(__xludf.DUMMYFUNCTION("""COMPUTED_VALUE"""),2022.07)</f>
        <v>2022.07</v>
      </c>
      <c r="L1806" s="298"/>
      <c r="M1806" s="223"/>
      <c r="N1806" s="223"/>
      <c r="O1806" s="223"/>
      <c r="P1806" s="223"/>
      <c r="Q1806" s="223"/>
      <c r="R1806" s="223"/>
      <c r="S1806" s="223"/>
      <c r="T1806" s="223"/>
      <c r="U1806" s="223"/>
      <c r="V1806" s="223"/>
      <c r="W1806" s="223"/>
      <c r="X1806" s="223"/>
      <c r="Y1806" s="223"/>
      <c r="Z1806" s="223"/>
    </row>
    <row r="1807">
      <c r="A1807" s="223" t="str">
        <f>IFERROR(__xludf.DUMMYFUNCTION("""COMPUTED_VALUE"""),"Spraggs : Monthly Services")</f>
        <v>Spraggs : Monthly Services</v>
      </c>
      <c r="B1807" s="223" t="str">
        <f>IFERROR(__xludf.DUMMYFUNCTION("""COMPUTED_VALUE"""),"Spraggs")</f>
        <v>Spraggs</v>
      </c>
      <c r="C1807" s="223" t="str">
        <f>IFERROR(__xludf.DUMMYFUNCTION("""COMPUTED_VALUE"""),"Monthly Services")</f>
        <v>Monthly Services</v>
      </c>
      <c r="D1807" s="316">
        <f>IFERROR(__xludf.DUMMYFUNCTION("""COMPUTED_VALUE"""),44773.0)</f>
        <v>44773</v>
      </c>
      <c r="E1807" s="298"/>
      <c r="F1807" s="298"/>
      <c r="G1807" s="298"/>
      <c r="H1807" s="223"/>
      <c r="I1807" s="298">
        <f>IFERROR(__xludf.DUMMYFUNCTION("""COMPUTED_VALUE"""),212.5)</f>
        <v>212.5</v>
      </c>
      <c r="J1807" s="223" t="str">
        <f>IFERROR(__xludf.DUMMYFUNCTION("""COMPUTED_VALUE"""),"Monthly")</f>
        <v>Monthly</v>
      </c>
      <c r="K1807" s="317">
        <f>IFERROR(__xludf.DUMMYFUNCTION("""COMPUTED_VALUE"""),2022.07)</f>
        <v>2022.07</v>
      </c>
      <c r="L1807" s="298"/>
      <c r="M1807" s="223"/>
      <c r="N1807" s="223"/>
      <c r="O1807" s="223"/>
      <c r="P1807" s="223"/>
      <c r="Q1807" s="223"/>
      <c r="R1807" s="223"/>
      <c r="S1807" s="223"/>
      <c r="T1807" s="223"/>
      <c r="U1807" s="223"/>
      <c r="V1807" s="223"/>
      <c r="W1807" s="223"/>
      <c r="X1807" s="223"/>
      <c r="Y1807" s="223"/>
      <c r="Z1807" s="223"/>
    </row>
    <row r="1808">
      <c r="A1808" s="223" t="str">
        <f>IFERROR(__xludf.DUMMYFUNCTION("""COMPUTED_VALUE"""),"Availed Technologies : Monthly Services")</f>
        <v>Availed Technologies : Monthly Services</v>
      </c>
      <c r="B1808" s="223" t="str">
        <f>IFERROR(__xludf.DUMMYFUNCTION("""COMPUTED_VALUE"""),"Availed Technologies")</f>
        <v>Availed Technologies</v>
      </c>
      <c r="C1808" s="223" t="str">
        <f>IFERROR(__xludf.DUMMYFUNCTION("""COMPUTED_VALUE"""),"Monthly Services")</f>
        <v>Monthly Services</v>
      </c>
      <c r="D1808" s="316">
        <f>IFERROR(__xludf.DUMMYFUNCTION("""COMPUTED_VALUE"""),44773.0)</f>
        <v>44773</v>
      </c>
      <c r="E1808" s="298"/>
      <c r="F1808" s="298"/>
      <c r="G1808" s="298"/>
      <c r="H1808" s="223"/>
      <c r="I1808" s="298">
        <f>IFERROR(__xludf.DUMMYFUNCTION("""COMPUTED_VALUE"""),175.0)</f>
        <v>175</v>
      </c>
      <c r="J1808" s="223" t="str">
        <f>IFERROR(__xludf.DUMMYFUNCTION("""COMPUTED_VALUE"""),"Monthly")</f>
        <v>Monthly</v>
      </c>
      <c r="K1808" s="317">
        <f>IFERROR(__xludf.DUMMYFUNCTION("""COMPUTED_VALUE"""),2022.07)</f>
        <v>2022.07</v>
      </c>
      <c r="L1808" s="298"/>
      <c r="M1808" s="223"/>
      <c r="N1808" s="223"/>
      <c r="O1808" s="223"/>
      <c r="P1808" s="223"/>
      <c r="Q1808" s="223"/>
      <c r="R1808" s="223"/>
      <c r="S1808" s="223"/>
      <c r="T1808" s="223"/>
      <c r="U1808" s="223"/>
      <c r="V1808" s="223"/>
      <c r="W1808" s="223"/>
      <c r="X1808" s="223"/>
      <c r="Y1808" s="223"/>
      <c r="Z1808" s="223"/>
    </row>
    <row r="1809">
      <c r="A1809" s="223" t="str">
        <f>IFERROR(__xludf.DUMMYFUNCTION("""COMPUTED_VALUE"""),"BookKing (Pacific Tier) : Monthly Services")</f>
        <v>BookKing (Pacific Tier) : Monthly Services</v>
      </c>
      <c r="B1809" s="223" t="str">
        <f>IFERROR(__xludf.DUMMYFUNCTION("""COMPUTED_VALUE"""),"BookKing (Pacific Tier)")</f>
        <v>BookKing (Pacific Tier)</v>
      </c>
      <c r="C1809" s="223" t="str">
        <f>IFERROR(__xludf.DUMMYFUNCTION("""COMPUTED_VALUE"""),"Monthly Services")</f>
        <v>Monthly Services</v>
      </c>
      <c r="D1809" s="316">
        <f>IFERROR(__xludf.DUMMYFUNCTION("""COMPUTED_VALUE"""),44773.0)</f>
        <v>44773</v>
      </c>
      <c r="E1809" s="298"/>
      <c r="F1809" s="298"/>
      <c r="G1809" s="298"/>
      <c r="H1809" s="223"/>
      <c r="I1809" s="298">
        <f>IFERROR(__xludf.DUMMYFUNCTION("""COMPUTED_VALUE"""),75.0)</f>
        <v>75</v>
      </c>
      <c r="J1809" s="223" t="str">
        <f>IFERROR(__xludf.DUMMYFUNCTION("""COMPUTED_VALUE"""),"Monthly")</f>
        <v>Monthly</v>
      </c>
      <c r="K1809" s="317">
        <f>IFERROR(__xludf.DUMMYFUNCTION("""COMPUTED_VALUE"""),2022.07)</f>
        <v>2022.07</v>
      </c>
      <c r="L1809" s="298"/>
      <c r="M1809" s="223"/>
      <c r="N1809" s="223"/>
      <c r="O1809" s="223"/>
      <c r="P1809" s="223"/>
      <c r="Q1809" s="223"/>
      <c r="R1809" s="223"/>
      <c r="S1809" s="223"/>
      <c r="T1809" s="223"/>
      <c r="U1809" s="223"/>
      <c r="V1809" s="223"/>
      <c r="W1809" s="223"/>
      <c r="X1809" s="223"/>
      <c r="Y1809" s="223"/>
      <c r="Z1809" s="223"/>
    </row>
    <row r="1810">
      <c r="A1810" s="223" t="str">
        <f>IFERROR(__xludf.DUMMYFUNCTION("""COMPUTED_VALUE"""),"Spraggs : Monthly Services")</f>
        <v>Spraggs : Monthly Services</v>
      </c>
      <c r="B1810" s="223" t="str">
        <f>IFERROR(__xludf.DUMMYFUNCTION("""COMPUTED_VALUE"""),"Spraggs")</f>
        <v>Spraggs</v>
      </c>
      <c r="C1810" s="223" t="str">
        <f>IFERROR(__xludf.DUMMYFUNCTION("""COMPUTED_VALUE"""),"Monthly Services")</f>
        <v>Monthly Services</v>
      </c>
      <c r="D1810" s="316">
        <f>IFERROR(__xludf.DUMMYFUNCTION("""COMPUTED_VALUE"""),44773.0)</f>
        <v>44773</v>
      </c>
      <c r="E1810" s="298"/>
      <c r="F1810" s="298"/>
      <c r="G1810" s="298"/>
      <c r="H1810" s="223"/>
      <c r="I1810" s="298">
        <f>IFERROR(__xludf.DUMMYFUNCTION("""COMPUTED_VALUE"""),575.0)</f>
        <v>575</v>
      </c>
      <c r="J1810" s="223" t="str">
        <f>IFERROR(__xludf.DUMMYFUNCTION("""COMPUTED_VALUE"""),"Monthly")</f>
        <v>Monthly</v>
      </c>
      <c r="K1810" s="317">
        <f>IFERROR(__xludf.DUMMYFUNCTION("""COMPUTED_VALUE"""),2022.07)</f>
        <v>2022.07</v>
      </c>
      <c r="L1810" s="298"/>
      <c r="M1810" s="223"/>
      <c r="N1810" s="223"/>
      <c r="O1810" s="223"/>
      <c r="P1810" s="223"/>
      <c r="Q1810" s="223"/>
      <c r="R1810" s="223"/>
      <c r="S1810" s="223"/>
      <c r="T1810" s="223"/>
      <c r="U1810" s="223"/>
      <c r="V1810" s="223"/>
      <c r="W1810" s="223"/>
      <c r="X1810" s="223"/>
      <c r="Y1810" s="223"/>
      <c r="Z1810" s="223"/>
    </row>
    <row r="1811">
      <c r="A1811" s="223" t="str">
        <f>IFERROR(__xludf.DUMMYFUNCTION("""COMPUTED_VALUE"""),"MortgagePal : Monthly Services")</f>
        <v>MortgagePal : Monthly Services</v>
      </c>
      <c r="B1811" s="223" t="str">
        <f>IFERROR(__xludf.DUMMYFUNCTION("""COMPUTED_VALUE"""),"MortgagePal")</f>
        <v>MortgagePal</v>
      </c>
      <c r="C1811" s="223" t="str">
        <f>IFERROR(__xludf.DUMMYFUNCTION("""COMPUTED_VALUE"""),"Monthly Services")</f>
        <v>Monthly Services</v>
      </c>
      <c r="D1811" s="316">
        <f>IFERROR(__xludf.DUMMYFUNCTION("""COMPUTED_VALUE"""),44773.0)</f>
        <v>44773</v>
      </c>
      <c r="E1811" s="298"/>
      <c r="F1811" s="298"/>
      <c r="G1811" s="298"/>
      <c r="H1811" s="223"/>
      <c r="I1811" s="298">
        <f>IFERROR(__xludf.DUMMYFUNCTION("""COMPUTED_VALUE"""),45.0)</f>
        <v>45</v>
      </c>
      <c r="J1811" s="223" t="str">
        <f>IFERROR(__xludf.DUMMYFUNCTION("""COMPUTED_VALUE"""),"Monthly")</f>
        <v>Monthly</v>
      </c>
      <c r="K1811" s="317">
        <f>IFERROR(__xludf.DUMMYFUNCTION("""COMPUTED_VALUE"""),2022.07)</f>
        <v>2022.07</v>
      </c>
      <c r="L1811" s="298"/>
      <c r="M1811" s="223"/>
      <c r="N1811" s="223"/>
      <c r="O1811" s="223"/>
      <c r="P1811" s="223"/>
      <c r="Q1811" s="223"/>
      <c r="R1811" s="223"/>
      <c r="S1811" s="223"/>
      <c r="T1811" s="223"/>
      <c r="U1811" s="223"/>
      <c r="V1811" s="223"/>
      <c r="W1811" s="223"/>
      <c r="X1811" s="223"/>
      <c r="Y1811" s="223"/>
      <c r="Z1811" s="223"/>
    </row>
    <row r="1812">
      <c r="A1812" s="223" t="str">
        <f>IFERROR(__xludf.DUMMYFUNCTION("""COMPUTED_VALUE"""),"Tires Easy : Monthly Services for Tires-Easy.com")</f>
        <v>Tires Easy : Monthly Services for Tires-Easy.com</v>
      </c>
      <c r="B1812" s="223" t="str">
        <f>IFERROR(__xludf.DUMMYFUNCTION("""COMPUTED_VALUE"""),"Tires Easy")</f>
        <v>Tires Easy</v>
      </c>
      <c r="C1812" s="223" t="str">
        <f>IFERROR(__xludf.DUMMYFUNCTION("""COMPUTED_VALUE"""),"Monthly Services for Tires-Easy.com")</f>
        <v>Monthly Services for Tires-Easy.com</v>
      </c>
      <c r="D1812" s="316">
        <f>IFERROR(__xludf.DUMMYFUNCTION("""COMPUTED_VALUE"""),44773.0)</f>
        <v>44773</v>
      </c>
      <c r="E1812" s="298"/>
      <c r="F1812" s="298"/>
      <c r="G1812" s="298"/>
      <c r="H1812" s="223"/>
      <c r="I1812" s="298">
        <f>IFERROR(__xludf.DUMMYFUNCTION("""COMPUTED_VALUE"""),448.0)</f>
        <v>448</v>
      </c>
      <c r="J1812" s="223" t="str">
        <f>IFERROR(__xludf.DUMMYFUNCTION("""COMPUTED_VALUE"""),"Monthly")</f>
        <v>Monthly</v>
      </c>
      <c r="K1812" s="317">
        <f>IFERROR(__xludf.DUMMYFUNCTION("""COMPUTED_VALUE"""),2022.07)</f>
        <v>2022.07</v>
      </c>
      <c r="L1812" s="298"/>
      <c r="M1812" s="223"/>
      <c r="N1812" s="223"/>
      <c r="O1812" s="223"/>
      <c r="P1812" s="223"/>
      <c r="Q1812" s="223"/>
      <c r="R1812" s="223"/>
      <c r="S1812" s="223"/>
      <c r="T1812" s="223"/>
      <c r="U1812" s="223"/>
      <c r="V1812" s="223"/>
      <c r="W1812" s="223"/>
      <c r="X1812" s="223"/>
      <c r="Y1812" s="223"/>
      <c r="Z1812" s="223"/>
    </row>
    <row r="1813">
      <c r="A1813" s="223" t="str">
        <f>IFERROR(__xludf.DUMMYFUNCTION("""COMPUTED_VALUE"""),"Giga Tires : Monthly Services")</f>
        <v>Giga Tires : Monthly Services</v>
      </c>
      <c r="B1813" s="223" t="str">
        <f>IFERROR(__xludf.DUMMYFUNCTION("""COMPUTED_VALUE"""),"Giga Tires")</f>
        <v>Giga Tires</v>
      </c>
      <c r="C1813" s="223" t="str">
        <f>IFERROR(__xludf.DUMMYFUNCTION("""COMPUTED_VALUE"""),"Monthly Services")</f>
        <v>Monthly Services</v>
      </c>
      <c r="D1813" s="316">
        <f>IFERROR(__xludf.DUMMYFUNCTION("""COMPUTED_VALUE"""),44773.0)</f>
        <v>44773</v>
      </c>
      <c r="E1813" s="298"/>
      <c r="F1813" s="298"/>
      <c r="G1813" s="298"/>
      <c r="H1813" s="223"/>
      <c r="I1813" s="298">
        <f>IFERROR(__xludf.DUMMYFUNCTION("""COMPUTED_VALUE"""),192.5)</f>
        <v>192.5</v>
      </c>
      <c r="J1813" s="223" t="str">
        <f>IFERROR(__xludf.DUMMYFUNCTION("""COMPUTED_VALUE"""),"Monthly")</f>
        <v>Monthly</v>
      </c>
      <c r="K1813" s="317">
        <f>IFERROR(__xludf.DUMMYFUNCTION("""COMPUTED_VALUE"""),2022.07)</f>
        <v>2022.07</v>
      </c>
      <c r="L1813" s="298"/>
      <c r="M1813" s="223"/>
      <c r="N1813" s="223"/>
      <c r="O1813" s="223"/>
      <c r="P1813" s="223"/>
      <c r="Q1813" s="223"/>
      <c r="R1813" s="223"/>
      <c r="S1813" s="223"/>
      <c r="T1813" s="223"/>
      <c r="U1813" s="223"/>
      <c r="V1813" s="223"/>
      <c r="W1813" s="223"/>
      <c r="X1813" s="223"/>
      <c r="Y1813" s="223"/>
      <c r="Z1813" s="223"/>
    </row>
    <row r="1814">
      <c r="A1814" s="223" t="str">
        <f>IFERROR(__xludf.DUMMYFUNCTION("""COMPUTED_VALUE"""),"Tires Easy : Monthly Services for Tires Easy Truck")</f>
        <v>Tires Easy : Monthly Services for Tires Easy Truck</v>
      </c>
      <c r="B1814" s="223" t="str">
        <f>IFERROR(__xludf.DUMMYFUNCTION("""COMPUTED_VALUE"""),"Tires Easy")</f>
        <v>Tires Easy</v>
      </c>
      <c r="C1814" s="223" t="str">
        <f>IFERROR(__xludf.DUMMYFUNCTION("""COMPUTED_VALUE"""),"Monthly Services for Tires Easy Truck")</f>
        <v>Monthly Services for Tires Easy Truck</v>
      </c>
      <c r="D1814" s="316">
        <f>IFERROR(__xludf.DUMMYFUNCTION("""COMPUTED_VALUE"""),44773.0)</f>
        <v>44773</v>
      </c>
      <c r="E1814" s="298"/>
      <c r="F1814" s="298"/>
      <c r="G1814" s="298"/>
      <c r="H1814" s="223"/>
      <c r="I1814" s="298">
        <f>IFERROR(__xludf.DUMMYFUNCTION("""COMPUTED_VALUE"""),192.5)</f>
        <v>192.5</v>
      </c>
      <c r="J1814" s="223" t="str">
        <f>IFERROR(__xludf.DUMMYFUNCTION("""COMPUTED_VALUE"""),"Monthly")</f>
        <v>Monthly</v>
      </c>
      <c r="K1814" s="317">
        <f>IFERROR(__xludf.DUMMYFUNCTION("""COMPUTED_VALUE"""),2022.07)</f>
        <v>2022.07</v>
      </c>
      <c r="L1814" s="298"/>
      <c r="M1814" s="223"/>
      <c r="N1814" s="223"/>
      <c r="O1814" s="223"/>
      <c r="P1814" s="223"/>
      <c r="Q1814" s="223"/>
      <c r="R1814" s="223"/>
      <c r="S1814" s="223"/>
      <c r="T1814" s="223"/>
      <c r="U1814" s="223"/>
      <c r="V1814" s="223"/>
      <c r="W1814" s="223"/>
      <c r="X1814" s="223"/>
      <c r="Y1814" s="223"/>
      <c r="Z1814" s="223"/>
    </row>
    <row r="1815">
      <c r="A1815" s="223" t="str">
        <f>IFERROR(__xludf.DUMMYFUNCTION("""COMPUTED_VALUE"""),"Service First : Monthly Services")</f>
        <v>Service First : Monthly Services</v>
      </c>
      <c r="B1815" s="223" t="str">
        <f>IFERROR(__xludf.DUMMYFUNCTION("""COMPUTED_VALUE"""),"Service First")</f>
        <v>Service First</v>
      </c>
      <c r="C1815" s="223" t="str">
        <f>IFERROR(__xludf.DUMMYFUNCTION("""COMPUTED_VALUE"""),"Monthly Services")</f>
        <v>Monthly Services</v>
      </c>
      <c r="D1815" s="316">
        <f>IFERROR(__xludf.DUMMYFUNCTION("""COMPUTED_VALUE"""),44773.0)</f>
        <v>44773</v>
      </c>
      <c r="E1815" s="298"/>
      <c r="F1815" s="298"/>
      <c r="G1815" s="298"/>
      <c r="H1815" s="223"/>
      <c r="I1815" s="298">
        <f>IFERROR(__xludf.DUMMYFUNCTION("""COMPUTED_VALUE"""),30.0)</f>
        <v>30</v>
      </c>
      <c r="J1815" s="223" t="str">
        <f>IFERROR(__xludf.DUMMYFUNCTION("""COMPUTED_VALUE"""),"Monthly")</f>
        <v>Monthly</v>
      </c>
      <c r="K1815" s="317">
        <f>IFERROR(__xludf.DUMMYFUNCTION("""COMPUTED_VALUE"""),2022.07)</f>
        <v>2022.07</v>
      </c>
      <c r="L1815" s="298"/>
      <c r="M1815" s="223"/>
      <c r="N1815" s="223"/>
      <c r="O1815" s="223"/>
      <c r="P1815" s="223"/>
      <c r="Q1815" s="223"/>
      <c r="R1815" s="223"/>
      <c r="S1815" s="223"/>
      <c r="T1815" s="223"/>
      <c r="U1815" s="223"/>
      <c r="V1815" s="223"/>
      <c r="W1815" s="223"/>
      <c r="X1815" s="223"/>
      <c r="Y1815" s="223"/>
      <c r="Z1815" s="223"/>
    </row>
    <row r="1816">
      <c r="A1816" s="223" t="str">
        <f>IFERROR(__xludf.DUMMYFUNCTION("""COMPUTED_VALUE"""),"HSJ Lawyers : Monthly Services")</f>
        <v>HSJ Lawyers : Monthly Services</v>
      </c>
      <c r="B1816" s="223" t="str">
        <f>IFERROR(__xludf.DUMMYFUNCTION("""COMPUTED_VALUE"""),"HSJ Lawyers")</f>
        <v>HSJ Lawyers</v>
      </c>
      <c r="C1816" s="223" t="str">
        <f>IFERROR(__xludf.DUMMYFUNCTION("""COMPUTED_VALUE"""),"Monthly Services")</f>
        <v>Monthly Services</v>
      </c>
      <c r="D1816" s="316">
        <f>IFERROR(__xludf.DUMMYFUNCTION("""COMPUTED_VALUE"""),44773.0)</f>
        <v>44773</v>
      </c>
      <c r="E1816" s="298"/>
      <c r="F1816" s="298"/>
      <c r="G1816" s="298"/>
      <c r="H1816" s="223"/>
      <c r="I1816" s="298">
        <f>IFERROR(__xludf.DUMMYFUNCTION("""COMPUTED_VALUE"""),75.0)</f>
        <v>75</v>
      </c>
      <c r="J1816" s="223" t="str">
        <f>IFERROR(__xludf.DUMMYFUNCTION("""COMPUTED_VALUE"""),"Monthly")</f>
        <v>Monthly</v>
      </c>
      <c r="K1816" s="317">
        <f>IFERROR(__xludf.DUMMYFUNCTION("""COMPUTED_VALUE"""),2022.07)</f>
        <v>2022.07</v>
      </c>
      <c r="L1816" s="298"/>
      <c r="M1816" s="223"/>
      <c r="N1816" s="223"/>
      <c r="O1816" s="223"/>
      <c r="P1816" s="223"/>
      <c r="Q1816" s="223"/>
      <c r="R1816" s="223"/>
      <c r="S1816" s="223"/>
      <c r="T1816" s="223"/>
      <c r="U1816" s="223"/>
      <c r="V1816" s="223"/>
      <c r="W1816" s="223"/>
      <c r="X1816" s="223"/>
      <c r="Y1816" s="223"/>
      <c r="Z1816" s="223"/>
    </row>
    <row r="1817">
      <c r="A1817" s="223" t="str">
        <f>IFERROR(__xludf.DUMMYFUNCTION("""COMPUTED_VALUE"""),"Booginhead : Monthly Services")</f>
        <v>Booginhead : Monthly Services</v>
      </c>
      <c r="B1817" s="223" t="str">
        <f>IFERROR(__xludf.DUMMYFUNCTION("""COMPUTED_VALUE"""),"Booginhead")</f>
        <v>Booginhead</v>
      </c>
      <c r="C1817" s="223" t="str">
        <f>IFERROR(__xludf.DUMMYFUNCTION("""COMPUTED_VALUE"""),"Monthly Services")</f>
        <v>Monthly Services</v>
      </c>
      <c r="D1817" s="316">
        <f>IFERROR(__xludf.DUMMYFUNCTION("""COMPUTED_VALUE"""),44773.0)</f>
        <v>44773</v>
      </c>
      <c r="E1817" s="298"/>
      <c r="F1817" s="298"/>
      <c r="G1817" s="298"/>
      <c r="H1817" s="223"/>
      <c r="I1817" s="298">
        <f>IFERROR(__xludf.DUMMYFUNCTION("""COMPUTED_VALUE"""),270.0)</f>
        <v>270</v>
      </c>
      <c r="J1817" s="223" t="str">
        <f>IFERROR(__xludf.DUMMYFUNCTION("""COMPUTED_VALUE"""),"Monthly")</f>
        <v>Monthly</v>
      </c>
      <c r="K1817" s="317">
        <f>IFERROR(__xludf.DUMMYFUNCTION("""COMPUTED_VALUE"""),2022.07)</f>
        <v>2022.07</v>
      </c>
      <c r="L1817" s="298"/>
      <c r="M1817" s="223"/>
      <c r="N1817" s="223"/>
      <c r="O1817" s="223"/>
      <c r="P1817" s="223"/>
      <c r="Q1817" s="223"/>
      <c r="R1817" s="223"/>
      <c r="S1817" s="223"/>
      <c r="T1817" s="223"/>
      <c r="U1817" s="223"/>
      <c r="V1817" s="223"/>
      <c r="W1817" s="223"/>
      <c r="X1817" s="223"/>
      <c r="Y1817" s="223"/>
      <c r="Z1817" s="223"/>
    </row>
    <row r="1818">
      <c r="A1818" s="223" t="str">
        <f>IFERROR(__xludf.DUMMYFUNCTION("""COMPUTED_VALUE"""),"Arazy Group : Monthly Services")</f>
        <v>Arazy Group : Monthly Services</v>
      </c>
      <c r="B1818" s="223" t="str">
        <f>IFERROR(__xludf.DUMMYFUNCTION("""COMPUTED_VALUE"""),"Arazy Group")</f>
        <v>Arazy Group</v>
      </c>
      <c r="C1818" s="223" t="str">
        <f>IFERROR(__xludf.DUMMYFUNCTION("""COMPUTED_VALUE"""),"Monthly Services")</f>
        <v>Monthly Services</v>
      </c>
      <c r="D1818" s="316">
        <f>IFERROR(__xludf.DUMMYFUNCTION("""COMPUTED_VALUE"""),44773.0)</f>
        <v>44773</v>
      </c>
      <c r="E1818" s="298"/>
      <c r="F1818" s="298"/>
      <c r="G1818" s="298"/>
      <c r="H1818" s="223"/>
      <c r="I1818" s="298">
        <f>IFERROR(__xludf.DUMMYFUNCTION("""COMPUTED_VALUE"""),60.0)</f>
        <v>60</v>
      </c>
      <c r="J1818" s="223" t="str">
        <f>IFERROR(__xludf.DUMMYFUNCTION("""COMPUTED_VALUE"""),"Monthly")</f>
        <v>Monthly</v>
      </c>
      <c r="K1818" s="317">
        <f>IFERROR(__xludf.DUMMYFUNCTION("""COMPUTED_VALUE"""),2022.07)</f>
        <v>2022.07</v>
      </c>
      <c r="L1818" s="298"/>
      <c r="M1818" s="223"/>
      <c r="N1818" s="223"/>
      <c r="O1818" s="223"/>
      <c r="P1818" s="223"/>
      <c r="Q1818" s="223"/>
      <c r="R1818" s="223"/>
      <c r="S1818" s="223"/>
      <c r="T1818" s="223"/>
      <c r="U1818" s="223"/>
      <c r="V1818" s="223"/>
      <c r="W1818" s="223"/>
      <c r="X1818" s="223"/>
      <c r="Y1818" s="223"/>
      <c r="Z1818" s="223"/>
    </row>
    <row r="1819">
      <c r="A1819" s="223" t="str">
        <f>IFERROR(__xludf.DUMMYFUNCTION("""COMPUTED_VALUE"""),"Hastings House : Monthly Services")</f>
        <v>Hastings House : Monthly Services</v>
      </c>
      <c r="B1819" s="223" t="str">
        <f>IFERROR(__xludf.DUMMYFUNCTION("""COMPUTED_VALUE"""),"Hastings House")</f>
        <v>Hastings House</v>
      </c>
      <c r="C1819" s="223" t="str">
        <f>IFERROR(__xludf.DUMMYFUNCTION("""COMPUTED_VALUE"""),"Monthly Services")</f>
        <v>Monthly Services</v>
      </c>
      <c r="D1819" s="316">
        <f>IFERROR(__xludf.DUMMYFUNCTION("""COMPUTED_VALUE"""),44773.0)</f>
        <v>44773</v>
      </c>
      <c r="E1819" s="298"/>
      <c r="F1819" s="298"/>
      <c r="G1819" s="298"/>
      <c r="H1819" s="223"/>
      <c r="I1819" s="298">
        <f>IFERROR(__xludf.DUMMYFUNCTION("""COMPUTED_VALUE"""),135.0)</f>
        <v>135</v>
      </c>
      <c r="J1819" s="223" t="str">
        <f>IFERROR(__xludf.DUMMYFUNCTION("""COMPUTED_VALUE"""),"Monthly")</f>
        <v>Monthly</v>
      </c>
      <c r="K1819" s="317">
        <f>IFERROR(__xludf.DUMMYFUNCTION("""COMPUTED_VALUE"""),2022.07)</f>
        <v>2022.07</v>
      </c>
      <c r="L1819" s="298"/>
      <c r="M1819" s="223"/>
      <c r="N1819" s="223"/>
      <c r="O1819" s="223"/>
      <c r="P1819" s="223"/>
      <c r="Q1819" s="223"/>
      <c r="R1819" s="223"/>
      <c r="S1819" s="223"/>
      <c r="T1819" s="223"/>
      <c r="U1819" s="223"/>
      <c r="V1819" s="223"/>
      <c r="W1819" s="223"/>
      <c r="X1819" s="223"/>
      <c r="Y1819" s="223"/>
      <c r="Z1819" s="223"/>
    </row>
    <row r="1820">
      <c r="A1820" s="223" t="str">
        <f>IFERROR(__xludf.DUMMYFUNCTION("""COMPUTED_VALUE"""),"Bratopia : Monthly Services")</f>
        <v>Bratopia : Monthly Services</v>
      </c>
      <c r="B1820" s="223" t="str">
        <f>IFERROR(__xludf.DUMMYFUNCTION("""COMPUTED_VALUE"""),"Bratopia")</f>
        <v>Bratopia</v>
      </c>
      <c r="C1820" s="223" t="str">
        <f>IFERROR(__xludf.DUMMYFUNCTION("""COMPUTED_VALUE"""),"Monthly Services")</f>
        <v>Monthly Services</v>
      </c>
      <c r="D1820" s="316">
        <f>IFERROR(__xludf.DUMMYFUNCTION("""COMPUTED_VALUE"""),44773.0)</f>
        <v>44773</v>
      </c>
      <c r="E1820" s="298"/>
      <c r="F1820" s="298"/>
      <c r="G1820" s="298"/>
      <c r="H1820" s="223"/>
      <c r="I1820" s="298">
        <f>IFERROR(__xludf.DUMMYFUNCTION("""COMPUTED_VALUE"""),350.0)</f>
        <v>350</v>
      </c>
      <c r="J1820" s="223" t="str">
        <f>IFERROR(__xludf.DUMMYFUNCTION("""COMPUTED_VALUE"""),"Monthly")</f>
        <v>Monthly</v>
      </c>
      <c r="K1820" s="317">
        <f>IFERROR(__xludf.DUMMYFUNCTION("""COMPUTED_VALUE"""),2022.07)</f>
        <v>2022.07</v>
      </c>
      <c r="L1820" s="298"/>
      <c r="M1820" s="223"/>
      <c r="N1820" s="223"/>
      <c r="O1820" s="223"/>
      <c r="P1820" s="223"/>
      <c r="Q1820" s="223"/>
      <c r="R1820" s="223"/>
      <c r="S1820" s="223"/>
      <c r="T1820" s="223"/>
      <c r="U1820" s="223"/>
      <c r="V1820" s="223"/>
      <c r="W1820" s="223"/>
      <c r="X1820" s="223"/>
      <c r="Y1820" s="223"/>
      <c r="Z1820" s="223"/>
    </row>
    <row r="1821">
      <c r="A1821" s="223" t="str">
        <f>IFERROR(__xludf.DUMMYFUNCTION("""COMPUTED_VALUE"""),"TisBest : Monthly Services")</f>
        <v>TisBest : Monthly Services</v>
      </c>
      <c r="B1821" s="223" t="str">
        <f>IFERROR(__xludf.DUMMYFUNCTION("""COMPUTED_VALUE"""),"TisBest")</f>
        <v>TisBest</v>
      </c>
      <c r="C1821" s="223" t="str">
        <f>IFERROR(__xludf.DUMMYFUNCTION("""COMPUTED_VALUE"""),"Monthly Services")</f>
        <v>Monthly Services</v>
      </c>
      <c r="D1821" s="316">
        <f>IFERROR(__xludf.DUMMYFUNCTION("""COMPUTED_VALUE"""),44773.0)</f>
        <v>44773</v>
      </c>
      <c r="E1821" s="298"/>
      <c r="F1821" s="298"/>
      <c r="G1821" s="298"/>
      <c r="H1821" s="223"/>
      <c r="I1821" s="298">
        <f>IFERROR(__xludf.DUMMYFUNCTION("""COMPUTED_VALUE"""),300.0)</f>
        <v>300</v>
      </c>
      <c r="J1821" s="223" t="str">
        <f>IFERROR(__xludf.DUMMYFUNCTION("""COMPUTED_VALUE"""),"Monthly")</f>
        <v>Monthly</v>
      </c>
      <c r="K1821" s="317">
        <f>IFERROR(__xludf.DUMMYFUNCTION("""COMPUTED_VALUE"""),2022.07)</f>
        <v>2022.07</v>
      </c>
      <c r="L1821" s="298"/>
      <c r="M1821" s="223"/>
      <c r="N1821" s="223"/>
      <c r="O1821" s="223"/>
      <c r="P1821" s="223"/>
      <c r="Q1821" s="223"/>
      <c r="R1821" s="223"/>
      <c r="S1821" s="223"/>
      <c r="T1821" s="223"/>
      <c r="U1821" s="223"/>
      <c r="V1821" s="223"/>
      <c r="W1821" s="223"/>
      <c r="X1821" s="223"/>
      <c r="Y1821" s="223"/>
      <c r="Z1821" s="223"/>
    </row>
    <row r="1822">
      <c r="A1822" s="223" t="str">
        <f>IFERROR(__xludf.DUMMYFUNCTION("""COMPUTED_VALUE"""),"Wallack's Art Supplies : Monthly Services")</f>
        <v>Wallack's Art Supplies : Monthly Services</v>
      </c>
      <c r="B1822" s="223" t="str">
        <f>IFERROR(__xludf.DUMMYFUNCTION("""COMPUTED_VALUE"""),"Wallack's Art Supplies")</f>
        <v>Wallack's Art Supplies</v>
      </c>
      <c r="C1822" s="223" t="str">
        <f>IFERROR(__xludf.DUMMYFUNCTION("""COMPUTED_VALUE"""),"Monthly Services")</f>
        <v>Monthly Services</v>
      </c>
      <c r="D1822" s="316">
        <f>IFERROR(__xludf.DUMMYFUNCTION("""COMPUTED_VALUE"""),44773.0)</f>
        <v>44773</v>
      </c>
      <c r="E1822" s="298"/>
      <c r="F1822" s="298"/>
      <c r="G1822" s="298"/>
      <c r="H1822" s="223"/>
      <c r="I1822" s="298">
        <f>IFERROR(__xludf.DUMMYFUNCTION("""COMPUTED_VALUE"""),60.0)</f>
        <v>60</v>
      </c>
      <c r="J1822" s="223" t="str">
        <f>IFERROR(__xludf.DUMMYFUNCTION("""COMPUTED_VALUE"""),"Monthly")</f>
        <v>Monthly</v>
      </c>
      <c r="K1822" s="317">
        <f>IFERROR(__xludf.DUMMYFUNCTION("""COMPUTED_VALUE"""),2022.07)</f>
        <v>2022.07</v>
      </c>
      <c r="L1822" s="298"/>
      <c r="M1822" s="223"/>
      <c r="N1822" s="223"/>
      <c r="O1822" s="223"/>
      <c r="P1822" s="223"/>
      <c r="Q1822" s="223"/>
      <c r="R1822" s="223"/>
      <c r="S1822" s="223"/>
      <c r="T1822" s="223"/>
      <c r="U1822" s="223"/>
      <c r="V1822" s="223"/>
      <c r="W1822" s="223"/>
      <c r="X1822" s="223"/>
      <c r="Y1822" s="223"/>
      <c r="Z1822" s="223"/>
    </row>
    <row r="1823">
      <c r="A1823" s="223" t="str">
        <f>IFERROR(__xludf.DUMMYFUNCTION("""COMPUTED_VALUE"""),"PMDI : Monthly Services")</f>
        <v>PMDI : Monthly Services</v>
      </c>
      <c r="B1823" s="223" t="str">
        <f>IFERROR(__xludf.DUMMYFUNCTION("""COMPUTED_VALUE"""),"PMDI")</f>
        <v>PMDI</v>
      </c>
      <c r="C1823" s="223" t="str">
        <f>IFERROR(__xludf.DUMMYFUNCTION("""COMPUTED_VALUE"""),"Monthly Services")</f>
        <v>Monthly Services</v>
      </c>
      <c r="D1823" s="316">
        <f>IFERROR(__xludf.DUMMYFUNCTION("""COMPUTED_VALUE"""),44773.0)</f>
        <v>44773</v>
      </c>
      <c r="E1823" s="298"/>
      <c r="F1823" s="298"/>
      <c r="G1823" s="298"/>
      <c r="H1823" s="223"/>
      <c r="I1823" s="298">
        <f>IFERROR(__xludf.DUMMYFUNCTION("""COMPUTED_VALUE"""),30.0)</f>
        <v>30</v>
      </c>
      <c r="J1823" s="223" t="str">
        <f>IFERROR(__xludf.DUMMYFUNCTION("""COMPUTED_VALUE"""),"Monthly")</f>
        <v>Monthly</v>
      </c>
      <c r="K1823" s="317">
        <f>IFERROR(__xludf.DUMMYFUNCTION("""COMPUTED_VALUE"""),2022.07)</f>
        <v>2022.07</v>
      </c>
      <c r="L1823" s="298"/>
      <c r="M1823" s="223"/>
      <c r="N1823" s="223"/>
      <c r="O1823" s="223"/>
      <c r="P1823" s="223"/>
      <c r="Q1823" s="223"/>
      <c r="R1823" s="223"/>
      <c r="S1823" s="223"/>
      <c r="T1823" s="223"/>
      <c r="U1823" s="223"/>
      <c r="V1823" s="223"/>
      <c r="W1823" s="223"/>
      <c r="X1823" s="223"/>
      <c r="Y1823" s="223"/>
      <c r="Z1823" s="223"/>
    </row>
    <row r="1824">
      <c r="A1824" s="223" t="str">
        <f>IFERROR(__xludf.DUMMYFUNCTION("""COMPUTED_VALUE"""),"Tofino Resort + Marina : Monthly Services")</f>
        <v>Tofino Resort + Marina : Monthly Services</v>
      </c>
      <c r="B1824" s="223" t="str">
        <f>IFERROR(__xludf.DUMMYFUNCTION("""COMPUTED_VALUE"""),"Tofino Resort + Marina")</f>
        <v>Tofino Resort + Marina</v>
      </c>
      <c r="C1824" s="223" t="str">
        <f>IFERROR(__xludf.DUMMYFUNCTION("""COMPUTED_VALUE"""),"Monthly Services")</f>
        <v>Monthly Services</v>
      </c>
      <c r="D1824" s="316">
        <f>IFERROR(__xludf.DUMMYFUNCTION("""COMPUTED_VALUE"""),44773.0)</f>
        <v>44773</v>
      </c>
      <c r="E1824" s="298"/>
      <c r="F1824" s="298"/>
      <c r="G1824" s="298"/>
      <c r="H1824" s="223"/>
      <c r="I1824" s="298">
        <f>IFERROR(__xludf.DUMMYFUNCTION("""COMPUTED_VALUE"""),300.0)</f>
        <v>300</v>
      </c>
      <c r="J1824" s="223" t="str">
        <f>IFERROR(__xludf.DUMMYFUNCTION("""COMPUTED_VALUE"""),"Monthly")</f>
        <v>Monthly</v>
      </c>
      <c r="K1824" s="317">
        <f>IFERROR(__xludf.DUMMYFUNCTION("""COMPUTED_VALUE"""),2022.07)</f>
        <v>2022.07</v>
      </c>
      <c r="L1824" s="298"/>
      <c r="M1824" s="223"/>
      <c r="N1824" s="223"/>
      <c r="O1824" s="223"/>
      <c r="P1824" s="223"/>
      <c r="Q1824" s="223"/>
      <c r="R1824" s="223"/>
      <c r="S1824" s="223"/>
      <c r="T1824" s="223"/>
      <c r="U1824" s="223"/>
      <c r="V1824" s="223"/>
      <c r="W1824" s="223"/>
      <c r="X1824" s="223"/>
      <c r="Y1824" s="223"/>
      <c r="Z1824" s="223"/>
    </row>
    <row r="1825">
      <c r="A1825" s="223" t="str">
        <f>IFERROR(__xludf.DUMMYFUNCTION("""COMPUTED_VALUE"""),"Anook Athletics : Monthly Services")</f>
        <v>Anook Athletics : Monthly Services</v>
      </c>
      <c r="B1825" s="223" t="str">
        <f>IFERROR(__xludf.DUMMYFUNCTION("""COMPUTED_VALUE"""),"Anook Athletics")</f>
        <v>Anook Athletics</v>
      </c>
      <c r="C1825" s="223" t="str">
        <f>IFERROR(__xludf.DUMMYFUNCTION("""COMPUTED_VALUE"""),"Monthly Services")</f>
        <v>Monthly Services</v>
      </c>
      <c r="D1825" s="316">
        <f>IFERROR(__xludf.DUMMYFUNCTION("""COMPUTED_VALUE"""),44773.0)</f>
        <v>44773</v>
      </c>
      <c r="E1825" s="298"/>
      <c r="F1825" s="298"/>
      <c r="G1825" s="298"/>
      <c r="H1825" s="223"/>
      <c r="I1825" s="298">
        <f>IFERROR(__xludf.DUMMYFUNCTION("""COMPUTED_VALUE"""),75.0)</f>
        <v>75</v>
      </c>
      <c r="J1825" s="223" t="str">
        <f>IFERROR(__xludf.DUMMYFUNCTION("""COMPUTED_VALUE"""),"Monthly")</f>
        <v>Monthly</v>
      </c>
      <c r="K1825" s="317">
        <f>IFERROR(__xludf.DUMMYFUNCTION("""COMPUTED_VALUE"""),2022.07)</f>
        <v>2022.07</v>
      </c>
      <c r="L1825" s="298"/>
      <c r="M1825" s="223"/>
      <c r="N1825" s="223"/>
      <c r="O1825" s="223"/>
      <c r="P1825" s="223"/>
      <c r="Q1825" s="223"/>
      <c r="R1825" s="223"/>
      <c r="S1825" s="223"/>
      <c r="T1825" s="223"/>
      <c r="U1825" s="223"/>
      <c r="V1825" s="223"/>
      <c r="W1825" s="223"/>
      <c r="X1825" s="223"/>
      <c r="Y1825" s="223"/>
      <c r="Z1825" s="223"/>
    </row>
    <row r="1826">
      <c r="A1826" s="223" t="str">
        <f>IFERROR(__xludf.DUMMYFUNCTION("""COMPUTED_VALUE"""),"New Growth Ecommerce Inc : Monthly Services")</f>
        <v>New Growth Ecommerce Inc : Monthly Services</v>
      </c>
      <c r="B1826" s="223" t="str">
        <f>IFERROR(__xludf.DUMMYFUNCTION("""COMPUTED_VALUE"""),"New Growth Ecommerce Inc")</f>
        <v>New Growth Ecommerce Inc</v>
      </c>
      <c r="C1826" s="223" t="str">
        <f>IFERROR(__xludf.DUMMYFUNCTION("""COMPUTED_VALUE"""),"Monthly Services")</f>
        <v>Monthly Services</v>
      </c>
      <c r="D1826" s="316">
        <f>IFERROR(__xludf.DUMMYFUNCTION("""COMPUTED_VALUE"""),44773.0)</f>
        <v>44773</v>
      </c>
      <c r="E1826" s="298"/>
      <c r="F1826" s="298"/>
      <c r="G1826" s="298"/>
      <c r="H1826" s="223"/>
      <c r="I1826" s="298">
        <f>IFERROR(__xludf.DUMMYFUNCTION("""COMPUTED_VALUE"""),1860.0)</f>
        <v>1860</v>
      </c>
      <c r="J1826" s="223" t="str">
        <f>IFERROR(__xludf.DUMMYFUNCTION("""COMPUTED_VALUE"""),"Monthly")</f>
        <v>Monthly</v>
      </c>
      <c r="K1826" s="317">
        <f>IFERROR(__xludf.DUMMYFUNCTION("""COMPUTED_VALUE"""),2022.07)</f>
        <v>2022.07</v>
      </c>
      <c r="L1826" s="298"/>
      <c r="M1826" s="223"/>
      <c r="N1826" s="223"/>
      <c r="O1826" s="223"/>
      <c r="P1826" s="223"/>
      <c r="Q1826" s="223"/>
      <c r="R1826" s="223"/>
      <c r="S1826" s="223"/>
      <c r="T1826" s="223"/>
      <c r="U1826" s="223"/>
      <c r="V1826" s="223"/>
      <c r="W1826" s="223"/>
      <c r="X1826" s="223"/>
      <c r="Y1826" s="223"/>
      <c r="Z1826" s="223"/>
    </row>
    <row r="1827">
      <c r="A1827" s="223" t="str">
        <f>IFERROR(__xludf.DUMMYFUNCTION("""COMPUTED_VALUE"""),"Viridian : Monthly Services")</f>
        <v>Viridian : Monthly Services</v>
      </c>
      <c r="B1827" s="223" t="str">
        <f>IFERROR(__xludf.DUMMYFUNCTION("""COMPUTED_VALUE"""),"Viridian")</f>
        <v>Viridian</v>
      </c>
      <c r="C1827" s="223" t="str">
        <f>IFERROR(__xludf.DUMMYFUNCTION("""COMPUTED_VALUE"""),"Monthly Services")</f>
        <v>Monthly Services</v>
      </c>
      <c r="D1827" s="316">
        <f>IFERROR(__xludf.DUMMYFUNCTION("""COMPUTED_VALUE"""),44773.0)</f>
        <v>44773</v>
      </c>
      <c r="E1827" s="298"/>
      <c r="F1827" s="298"/>
      <c r="G1827" s="298"/>
      <c r="H1827" s="223"/>
      <c r="I1827" s="298">
        <f>IFERROR(__xludf.DUMMYFUNCTION("""COMPUTED_VALUE"""),60.0)</f>
        <v>60</v>
      </c>
      <c r="J1827" s="223" t="str">
        <f>IFERROR(__xludf.DUMMYFUNCTION("""COMPUTED_VALUE"""),"Monthly")</f>
        <v>Monthly</v>
      </c>
      <c r="K1827" s="317">
        <f>IFERROR(__xludf.DUMMYFUNCTION("""COMPUTED_VALUE"""),2022.07)</f>
        <v>2022.07</v>
      </c>
      <c r="L1827" s="298"/>
      <c r="M1827" s="223"/>
      <c r="N1827" s="223"/>
      <c r="O1827" s="223"/>
      <c r="P1827" s="223"/>
      <c r="Q1827" s="223"/>
      <c r="R1827" s="223"/>
      <c r="S1827" s="223"/>
      <c r="T1827" s="223"/>
      <c r="U1827" s="223"/>
      <c r="V1827" s="223"/>
      <c r="W1827" s="223"/>
      <c r="X1827" s="223"/>
      <c r="Y1827" s="223"/>
      <c r="Z1827" s="223"/>
    </row>
    <row r="1828">
      <c r="A1828" s="223" t="str">
        <f>IFERROR(__xludf.DUMMYFUNCTION("""COMPUTED_VALUE"""),"Tugwell : 6 Month PPC")</f>
        <v>Tugwell : 6 Month PPC</v>
      </c>
      <c r="B1828" s="223" t="str">
        <f>IFERROR(__xludf.DUMMYFUNCTION("""COMPUTED_VALUE"""),"Tugwell")</f>
        <v>Tugwell</v>
      </c>
      <c r="C1828" s="223" t="str">
        <f>IFERROR(__xludf.DUMMYFUNCTION("""COMPUTED_VALUE"""),"6 Month PPC")</f>
        <v>6 Month PPC</v>
      </c>
      <c r="D1828" s="316">
        <f>IFERROR(__xludf.DUMMYFUNCTION("""COMPUTED_VALUE"""),44773.0)</f>
        <v>44773</v>
      </c>
      <c r="E1828" s="298"/>
      <c r="F1828" s="298"/>
      <c r="G1828" s="298"/>
      <c r="H1828" s="223"/>
      <c r="I1828" s="298">
        <f>IFERROR(__xludf.DUMMYFUNCTION("""COMPUTED_VALUE"""),30.0)</f>
        <v>30</v>
      </c>
      <c r="J1828" s="223" t="str">
        <f>IFERROR(__xludf.DUMMYFUNCTION("""COMPUTED_VALUE"""),"Fixed Project")</f>
        <v>Fixed Project</v>
      </c>
      <c r="K1828" s="317">
        <f>IFERROR(__xludf.DUMMYFUNCTION("""COMPUTED_VALUE"""),2022.0)</f>
        <v>2022</v>
      </c>
      <c r="L1828" s="298"/>
      <c r="M1828" s="223"/>
      <c r="N1828" s="223"/>
      <c r="O1828" s="223"/>
      <c r="P1828" s="223"/>
      <c r="Q1828" s="223"/>
      <c r="R1828" s="223"/>
      <c r="S1828" s="223"/>
      <c r="T1828" s="223"/>
      <c r="U1828" s="223"/>
      <c r="V1828" s="223"/>
      <c r="W1828" s="223"/>
      <c r="X1828" s="223"/>
      <c r="Y1828" s="223"/>
      <c r="Z1828" s="223"/>
    </row>
    <row r="1829">
      <c r="A1829" s="223" t="str">
        <f>IFERROR(__xludf.DUMMYFUNCTION("""COMPUTED_VALUE"""),"UnityWest Capital : Jericho Energy Ventures 6 month project")</f>
        <v>UnityWest Capital : Jericho Energy Ventures 6 month project</v>
      </c>
      <c r="B1829" s="223" t="str">
        <f>IFERROR(__xludf.DUMMYFUNCTION("""COMPUTED_VALUE"""),"UnityWest Capital")</f>
        <v>UnityWest Capital</v>
      </c>
      <c r="C1829" s="223" t="str">
        <f>IFERROR(__xludf.DUMMYFUNCTION("""COMPUTED_VALUE"""),"Jericho Energy Ventures 6 month project")</f>
        <v>Jericho Energy Ventures 6 month project</v>
      </c>
      <c r="D1829" s="316">
        <f>IFERROR(__xludf.DUMMYFUNCTION("""COMPUTED_VALUE"""),44773.0)</f>
        <v>44773</v>
      </c>
      <c r="E1829" s="298"/>
      <c r="F1829" s="298"/>
      <c r="G1829" s="298"/>
      <c r="H1829" s="223"/>
      <c r="I1829" s="298">
        <f>IFERROR(__xludf.DUMMYFUNCTION("""COMPUTED_VALUE"""),650.0)</f>
        <v>650</v>
      </c>
      <c r="J1829" s="223" t="str">
        <f>IFERROR(__xludf.DUMMYFUNCTION("""COMPUTED_VALUE"""),"Monthly")</f>
        <v>Monthly</v>
      </c>
      <c r="K1829" s="317">
        <f>IFERROR(__xludf.DUMMYFUNCTION("""COMPUTED_VALUE"""),2022.07)</f>
        <v>2022.07</v>
      </c>
      <c r="L1829" s="298"/>
      <c r="M1829" s="223"/>
      <c r="N1829" s="223"/>
      <c r="O1829" s="223"/>
      <c r="P1829" s="223"/>
      <c r="Q1829" s="223"/>
      <c r="R1829" s="223"/>
      <c r="S1829" s="223"/>
      <c r="T1829" s="223"/>
      <c r="U1829" s="223"/>
      <c r="V1829" s="223"/>
      <c r="W1829" s="223"/>
      <c r="X1829" s="223"/>
      <c r="Y1829" s="223"/>
      <c r="Z1829" s="223"/>
    </row>
    <row r="1830">
      <c r="A1830" s="223" t="str">
        <f>IFERROR(__xludf.DUMMYFUNCTION("""COMPUTED_VALUE"""),"Crisp Media : Genus Capital Managment PPC")</f>
        <v>Crisp Media : Genus Capital Managment PPC</v>
      </c>
      <c r="B1830" s="223" t="str">
        <f>IFERROR(__xludf.DUMMYFUNCTION("""COMPUTED_VALUE"""),"Crisp Media")</f>
        <v>Crisp Media</v>
      </c>
      <c r="C1830" s="223" t="str">
        <f>IFERROR(__xludf.DUMMYFUNCTION("""COMPUTED_VALUE"""),"Genus Capital Managment PPC")</f>
        <v>Genus Capital Managment PPC</v>
      </c>
      <c r="D1830" s="316">
        <f>IFERROR(__xludf.DUMMYFUNCTION("""COMPUTED_VALUE"""),44773.0)</f>
        <v>44773</v>
      </c>
      <c r="E1830" s="298"/>
      <c r="F1830" s="298"/>
      <c r="G1830" s="298"/>
      <c r="H1830" s="223"/>
      <c r="I1830" s="298">
        <f>IFERROR(__xludf.DUMMYFUNCTION("""COMPUTED_VALUE"""),45.0)</f>
        <v>45</v>
      </c>
      <c r="J1830" s="223" t="str">
        <f>IFERROR(__xludf.DUMMYFUNCTION("""COMPUTED_VALUE"""),"Fixed Project")</f>
        <v>Fixed Project</v>
      </c>
      <c r="K1830" s="317">
        <f>IFERROR(__xludf.DUMMYFUNCTION("""COMPUTED_VALUE"""),2022.0)</f>
        <v>2022</v>
      </c>
      <c r="L1830" s="298"/>
      <c r="M1830" s="223"/>
      <c r="N1830" s="223"/>
      <c r="O1830" s="223"/>
      <c r="P1830" s="223"/>
      <c r="Q1830" s="223"/>
      <c r="R1830" s="223"/>
      <c r="S1830" s="223"/>
      <c r="T1830" s="223"/>
      <c r="U1830" s="223"/>
      <c r="V1830" s="223"/>
      <c r="W1830" s="223"/>
      <c r="X1830" s="223"/>
      <c r="Y1830" s="223"/>
      <c r="Z1830" s="223"/>
    </row>
    <row r="1831">
      <c r="A1831" s="223" t="str">
        <f>IFERROR(__xludf.DUMMYFUNCTION("""COMPUTED_VALUE"""),"C360 : Johns Hopkins University PPC Management")</f>
        <v>C360 : Johns Hopkins University PPC Management</v>
      </c>
      <c r="B1831" s="223" t="str">
        <f>IFERROR(__xludf.DUMMYFUNCTION("""COMPUTED_VALUE"""),"C360")</f>
        <v>C360</v>
      </c>
      <c r="C1831" s="223" t="str">
        <f>IFERROR(__xludf.DUMMYFUNCTION("""COMPUTED_VALUE"""),"Johns Hopkins University PPC Management")</f>
        <v>Johns Hopkins University PPC Management</v>
      </c>
      <c r="D1831" s="316">
        <f>IFERROR(__xludf.DUMMYFUNCTION("""COMPUTED_VALUE"""),44773.0)</f>
        <v>44773</v>
      </c>
      <c r="E1831" s="298"/>
      <c r="F1831" s="298"/>
      <c r="G1831" s="298"/>
      <c r="H1831" s="223"/>
      <c r="I1831" s="298">
        <f>IFERROR(__xludf.DUMMYFUNCTION("""COMPUTED_VALUE"""),557.5)</f>
        <v>557.5</v>
      </c>
      <c r="J1831" s="223" t="str">
        <f>IFERROR(__xludf.DUMMYFUNCTION("""COMPUTED_VALUE"""),"Fixed Project")</f>
        <v>Fixed Project</v>
      </c>
      <c r="K1831" s="317">
        <f>IFERROR(__xludf.DUMMYFUNCTION("""COMPUTED_VALUE"""),2022.0)</f>
        <v>2022</v>
      </c>
      <c r="L1831" s="298"/>
      <c r="M1831" s="223"/>
      <c r="N1831" s="223"/>
      <c r="O1831" s="223"/>
      <c r="P1831" s="223"/>
      <c r="Q1831" s="223"/>
      <c r="R1831" s="223"/>
      <c r="S1831" s="223"/>
      <c r="T1831" s="223"/>
      <c r="U1831" s="223"/>
      <c r="V1831" s="223"/>
      <c r="W1831" s="223"/>
      <c r="X1831" s="223"/>
      <c r="Y1831" s="223"/>
      <c r="Z1831" s="223"/>
    </row>
    <row r="1832">
      <c r="A1832" s="223" t="str">
        <f>IFERROR(__xludf.DUMMYFUNCTION("""COMPUTED_VALUE"""),"Bevridge : PPC, Analytics &amp; Landing Page work")</f>
        <v>Bevridge : PPC, Analytics &amp; Landing Page work</v>
      </c>
      <c r="B1832" s="223" t="str">
        <f>IFERROR(__xludf.DUMMYFUNCTION("""COMPUTED_VALUE"""),"Bevridge")</f>
        <v>Bevridge</v>
      </c>
      <c r="C1832" s="223" t="str">
        <f>IFERROR(__xludf.DUMMYFUNCTION("""COMPUTED_VALUE"""),"PPC, Analytics &amp; Landing Page work")</f>
        <v>PPC, Analytics &amp; Landing Page work</v>
      </c>
      <c r="D1832" s="316">
        <f>IFERROR(__xludf.DUMMYFUNCTION("""COMPUTED_VALUE"""),44773.0)</f>
        <v>44773</v>
      </c>
      <c r="E1832" s="298"/>
      <c r="F1832" s="298"/>
      <c r="G1832" s="298"/>
      <c r="H1832" s="223"/>
      <c r="I1832" s="298">
        <f>IFERROR(__xludf.DUMMYFUNCTION("""COMPUTED_VALUE"""),750.0)</f>
        <v>750</v>
      </c>
      <c r="J1832" s="223" t="str">
        <f>IFERROR(__xludf.DUMMYFUNCTION("""COMPUTED_VALUE"""),"Fixed Project")</f>
        <v>Fixed Project</v>
      </c>
      <c r="K1832" s="317">
        <f>IFERROR(__xludf.DUMMYFUNCTION("""COMPUTED_VALUE"""),2022.0)</f>
        <v>2022</v>
      </c>
      <c r="L1832" s="298"/>
      <c r="M1832" s="223"/>
      <c r="N1832" s="223"/>
      <c r="O1832" s="223"/>
      <c r="P1832" s="223"/>
      <c r="Q1832" s="223"/>
      <c r="R1832" s="223"/>
      <c r="S1832" s="223"/>
      <c r="T1832" s="223"/>
      <c r="U1832" s="223"/>
      <c r="V1832" s="223"/>
      <c r="W1832" s="223"/>
      <c r="X1832" s="223"/>
      <c r="Y1832" s="223"/>
      <c r="Z1832" s="223"/>
    </row>
    <row r="1833">
      <c r="A1833" s="223" t="str">
        <f>IFERROR(__xludf.DUMMYFUNCTION("""COMPUTED_VALUE"""),"Howard Fine Jewellers : Ongoing PPC and SEO Support")</f>
        <v>Howard Fine Jewellers : Ongoing PPC and SEO Support</v>
      </c>
      <c r="B1833" s="223" t="str">
        <f>IFERROR(__xludf.DUMMYFUNCTION("""COMPUTED_VALUE"""),"Howard Fine Jewellers")</f>
        <v>Howard Fine Jewellers</v>
      </c>
      <c r="C1833" s="223" t="str">
        <f>IFERROR(__xludf.DUMMYFUNCTION("""COMPUTED_VALUE"""),"Ongoing PPC and SEO Support")</f>
        <v>Ongoing PPC and SEO Support</v>
      </c>
      <c r="D1833" s="316">
        <f>IFERROR(__xludf.DUMMYFUNCTION("""COMPUTED_VALUE"""),44773.0)</f>
        <v>44773</v>
      </c>
      <c r="E1833" s="298"/>
      <c r="F1833" s="298"/>
      <c r="G1833" s="298"/>
      <c r="H1833" s="223"/>
      <c r="I1833" s="298">
        <f>IFERROR(__xludf.DUMMYFUNCTION("""COMPUTED_VALUE"""),300.0)</f>
        <v>300</v>
      </c>
      <c r="J1833" s="223" t="str">
        <f>IFERROR(__xludf.DUMMYFUNCTION("""COMPUTED_VALUE"""),"Monthly")</f>
        <v>Monthly</v>
      </c>
      <c r="K1833" s="317">
        <f>IFERROR(__xludf.DUMMYFUNCTION("""COMPUTED_VALUE"""),2022.07)</f>
        <v>2022.07</v>
      </c>
      <c r="L1833" s="298"/>
      <c r="M1833" s="223"/>
      <c r="N1833" s="223"/>
      <c r="O1833" s="223"/>
      <c r="P1833" s="223"/>
      <c r="Q1833" s="223"/>
      <c r="R1833" s="223"/>
      <c r="S1833" s="223"/>
      <c r="T1833" s="223"/>
      <c r="U1833" s="223"/>
      <c r="V1833" s="223"/>
      <c r="W1833" s="223"/>
      <c r="X1833" s="223"/>
      <c r="Y1833" s="223"/>
      <c r="Z1833" s="223"/>
    </row>
    <row r="1834">
      <c r="A1834" s="223" t="str">
        <f>IFERROR(__xludf.DUMMYFUNCTION("""COMPUTED_VALUE"""),"OA Region 6 : Monthly Services")</f>
        <v>OA Region 6 : Monthly Services</v>
      </c>
      <c r="B1834" s="223" t="str">
        <f>IFERROR(__xludf.DUMMYFUNCTION("""COMPUTED_VALUE"""),"OA Region 6")</f>
        <v>OA Region 6</v>
      </c>
      <c r="C1834" s="223" t="str">
        <f>IFERROR(__xludf.DUMMYFUNCTION("""COMPUTED_VALUE"""),"Monthly Services")</f>
        <v>Monthly Services</v>
      </c>
      <c r="D1834" s="316">
        <f>IFERROR(__xludf.DUMMYFUNCTION("""COMPUTED_VALUE"""),44773.0)</f>
        <v>44773</v>
      </c>
      <c r="E1834" s="298"/>
      <c r="F1834" s="298"/>
      <c r="G1834" s="298"/>
      <c r="H1834" s="223"/>
      <c r="I1834" s="298">
        <f>IFERROR(__xludf.DUMMYFUNCTION("""COMPUTED_VALUE"""),150.0)</f>
        <v>150</v>
      </c>
      <c r="J1834" s="223" t="str">
        <f>IFERROR(__xludf.DUMMYFUNCTION("""COMPUTED_VALUE"""),"Monthly")</f>
        <v>Monthly</v>
      </c>
      <c r="K1834" s="317">
        <f>IFERROR(__xludf.DUMMYFUNCTION("""COMPUTED_VALUE"""),2022.07)</f>
        <v>2022.07</v>
      </c>
      <c r="L1834" s="298"/>
      <c r="M1834" s="223"/>
      <c r="N1834" s="223"/>
      <c r="O1834" s="223"/>
      <c r="P1834" s="223"/>
      <c r="Q1834" s="223"/>
      <c r="R1834" s="223"/>
      <c r="S1834" s="223"/>
      <c r="T1834" s="223"/>
      <c r="U1834" s="223"/>
      <c r="V1834" s="223"/>
      <c r="W1834" s="223"/>
      <c r="X1834" s="223"/>
      <c r="Y1834" s="223"/>
      <c r="Z1834" s="223"/>
    </row>
    <row r="1835">
      <c r="A1835" s="223" t="str">
        <f>IFERROR(__xludf.DUMMYFUNCTION("""COMPUTED_VALUE"""),"FIKSE Wheels : Google Ongoing Monthly Search Ad Work")</f>
        <v>FIKSE Wheels : Google Ongoing Monthly Search Ad Work</v>
      </c>
      <c r="B1835" s="223" t="str">
        <f>IFERROR(__xludf.DUMMYFUNCTION("""COMPUTED_VALUE"""),"FIKSE Wheels")</f>
        <v>FIKSE Wheels</v>
      </c>
      <c r="C1835" s="223" t="str">
        <f>IFERROR(__xludf.DUMMYFUNCTION("""COMPUTED_VALUE"""),"Google Ongoing Monthly Search Ad Work")</f>
        <v>Google Ongoing Monthly Search Ad Work</v>
      </c>
      <c r="D1835" s="316">
        <f>IFERROR(__xludf.DUMMYFUNCTION("""COMPUTED_VALUE"""),44773.0)</f>
        <v>44773</v>
      </c>
      <c r="E1835" s="298"/>
      <c r="F1835" s="298"/>
      <c r="G1835" s="298"/>
      <c r="H1835" s="223"/>
      <c r="I1835" s="298">
        <f>IFERROR(__xludf.DUMMYFUNCTION("""COMPUTED_VALUE"""),150.0)</f>
        <v>150</v>
      </c>
      <c r="J1835" s="223" t="str">
        <f>IFERROR(__xludf.DUMMYFUNCTION("""COMPUTED_VALUE"""),"Not Set")</f>
        <v>Not Set</v>
      </c>
      <c r="K1835" s="317">
        <f>IFERROR(__xludf.DUMMYFUNCTION("""COMPUTED_VALUE"""),2022.0)</f>
        <v>2022</v>
      </c>
      <c r="L1835" s="298"/>
      <c r="M1835" s="223"/>
      <c r="N1835" s="223"/>
      <c r="O1835" s="223"/>
      <c r="P1835" s="223"/>
      <c r="Q1835" s="223"/>
      <c r="R1835" s="223"/>
      <c r="S1835" s="223"/>
      <c r="T1835" s="223"/>
      <c r="U1835" s="223"/>
      <c r="V1835" s="223"/>
      <c r="W1835" s="223"/>
      <c r="X1835" s="223"/>
      <c r="Y1835" s="223"/>
      <c r="Z1835" s="223"/>
    </row>
    <row r="1836">
      <c r="A1836" s="223" t="str">
        <f>IFERROR(__xludf.DUMMYFUNCTION("""COMPUTED_VALUE"""),"Bevridge : PPC, Analytics &amp; Landing Page work")</f>
        <v>Bevridge : PPC, Analytics &amp; Landing Page work</v>
      </c>
      <c r="B1836" s="223" t="str">
        <f>IFERROR(__xludf.DUMMYFUNCTION("""COMPUTED_VALUE"""),"Bevridge")</f>
        <v>Bevridge</v>
      </c>
      <c r="C1836" s="223" t="str">
        <f>IFERROR(__xludf.DUMMYFUNCTION("""COMPUTED_VALUE"""),"PPC, Analytics &amp; Landing Page work")</f>
        <v>PPC, Analytics &amp; Landing Page work</v>
      </c>
      <c r="D1836" s="316">
        <f>IFERROR(__xludf.DUMMYFUNCTION("""COMPUTED_VALUE"""),44773.0)</f>
        <v>44773</v>
      </c>
      <c r="E1836" s="298"/>
      <c r="F1836" s="298"/>
      <c r="G1836" s="298"/>
      <c r="H1836" s="223"/>
      <c r="I1836" s="298">
        <f>IFERROR(__xludf.DUMMYFUNCTION("""COMPUTED_VALUE"""),200.0)</f>
        <v>200</v>
      </c>
      <c r="J1836" s="223" t="str">
        <f>IFERROR(__xludf.DUMMYFUNCTION("""COMPUTED_VALUE"""),"Fixed Project")</f>
        <v>Fixed Project</v>
      </c>
      <c r="K1836" s="317">
        <f>IFERROR(__xludf.DUMMYFUNCTION("""COMPUTED_VALUE"""),2022.0)</f>
        <v>2022</v>
      </c>
      <c r="L1836" s="298"/>
      <c r="M1836" s="223"/>
      <c r="N1836" s="223"/>
      <c r="O1836" s="223"/>
      <c r="P1836" s="223"/>
      <c r="Q1836" s="223"/>
      <c r="R1836" s="223"/>
      <c r="S1836" s="223"/>
      <c r="T1836" s="223"/>
      <c r="U1836" s="223"/>
      <c r="V1836" s="223"/>
      <c r="W1836" s="223"/>
      <c r="X1836" s="223"/>
      <c r="Y1836" s="223"/>
      <c r="Z1836" s="223"/>
    </row>
    <row r="1837">
      <c r="A1837" s="223" t="str">
        <f>IFERROR(__xludf.DUMMYFUNCTION("""COMPUTED_VALUE"""),"Booginhead : Monthly Services")</f>
        <v>Booginhead : Monthly Services</v>
      </c>
      <c r="B1837" s="223" t="str">
        <f>IFERROR(__xludf.DUMMYFUNCTION("""COMPUTED_VALUE"""),"Booginhead")</f>
        <v>Booginhead</v>
      </c>
      <c r="C1837" s="223" t="str">
        <f>IFERROR(__xludf.DUMMYFUNCTION("""COMPUTED_VALUE"""),"Monthly Services")</f>
        <v>Monthly Services</v>
      </c>
      <c r="D1837" s="316">
        <f>IFERROR(__xludf.DUMMYFUNCTION("""COMPUTED_VALUE"""),44773.0)</f>
        <v>44773</v>
      </c>
      <c r="E1837" s="298"/>
      <c r="F1837" s="298"/>
      <c r="G1837" s="298"/>
      <c r="H1837" s="223"/>
      <c r="I1837" s="298">
        <f>IFERROR(__xludf.DUMMYFUNCTION("""COMPUTED_VALUE"""),337.5)</f>
        <v>337.5</v>
      </c>
      <c r="J1837" s="223" t="str">
        <f>IFERROR(__xludf.DUMMYFUNCTION("""COMPUTED_VALUE"""),"Monthly")</f>
        <v>Monthly</v>
      </c>
      <c r="K1837" s="317">
        <f>IFERROR(__xludf.DUMMYFUNCTION("""COMPUTED_VALUE"""),2022.07)</f>
        <v>2022.07</v>
      </c>
      <c r="L1837" s="298"/>
      <c r="M1837" s="223"/>
      <c r="N1837" s="223"/>
      <c r="O1837" s="223"/>
      <c r="P1837" s="223"/>
      <c r="Q1837" s="223"/>
      <c r="R1837" s="223"/>
      <c r="S1837" s="223"/>
      <c r="T1837" s="223"/>
      <c r="U1837" s="223"/>
      <c r="V1837" s="223"/>
      <c r="W1837" s="223"/>
      <c r="X1837" s="223"/>
      <c r="Y1837" s="223"/>
      <c r="Z1837" s="223"/>
    </row>
    <row r="1838">
      <c r="A1838" s="223" t="str">
        <f>IFERROR(__xludf.DUMMYFUNCTION("""COMPUTED_VALUE"""),"Hastings House : Monthly Services")</f>
        <v>Hastings House : Monthly Services</v>
      </c>
      <c r="B1838" s="223" t="str">
        <f>IFERROR(__xludf.DUMMYFUNCTION("""COMPUTED_VALUE"""),"Hastings House")</f>
        <v>Hastings House</v>
      </c>
      <c r="C1838" s="223" t="str">
        <f>IFERROR(__xludf.DUMMYFUNCTION("""COMPUTED_VALUE"""),"Monthly Services")</f>
        <v>Monthly Services</v>
      </c>
      <c r="D1838" s="316">
        <f>IFERROR(__xludf.DUMMYFUNCTION("""COMPUTED_VALUE"""),44773.0)</f>
        <v>44773</v>
      </c>
      <c r="E1838" s="298"/>
      <c r="F1838" s="298"/>
      <c r="G1838" s="298"/>
      <c r="H1838" s="223"/>
      <c r="I1838" s="298">
        <f>IFERROR(__xludf.DUMMYFUNCTION("""COMPUTED_VALUE"""),212.5)</f>
        <v>212.5</v>
      </c>
      <c r="J1838" s="223" t="str">
        <f>IFERROR(__xludf.DUMMYFUNCTION("""COMPUTED_VALUE"""),"Monthly")</f>
        <v>Monthly</v>
      </c>
      <c r="K1838" s="317">
        <f>IFERROR(__xludf.DUMMYFUNCTION("""COMPUTED_VALUE"""),2022.07)</f>
        <v>2022.07</v>
      </c>
      <c r="L1838" s="298"/>
      <c r="M1838" s="223"/>
      <c r="N1838" s="223"/>
      <c r="O1838" s="223"/>
      <c r="P1838" s="223"/>
      <c r="Q1838" s="223"/>
      <c r="R1838" s="223"/>
      <c r="S1838" s="223"/>
      <c r="T1838" s="223"/>
      <c r="U1838" s="223"/>
      <c r="V1838" s="223"/>
      <c r="W1838" s="223"/>
      <c r="X1838" s="223"/>
      <c r="Y1838" s="223"/>
      <c r="Z1838" s="223"/>
    </row>
    <row r="1839">
      <c r="A1839" s="223" t="str">
        <f>IFERROR(__xludf.DUMMYFUNCTION("""COMPUTED_VALUE"""),"Tuscany : Monthly Services")</f>
        <v>Tuscany : Monthly Services</v>
      </c>
      <c r="B1839" s="223" t="str">
        <f>IFERROR(__xludf.DUMMYFUNCTION("""COMPUTED_VALUE"""),"Tuscany")</f>
        <v>Tuscany</v>
      </c>
      <c r="C1839" s="223" t="str">
        <f>IFERROR(__xludf.DUMMYFUNCTION("""COMPUTED_VALUE"""),"Monthly Services")</f>
        <v>Monthly Services</v>
      </c>
      <c r="D1839" s="316">
        <f>IFERROR(__xludf.DUMMYFUNCTION("""COMPUTED_VALUE"""),44773.0)</f>
        <v>44773</v>
      </c>
      <c r="E1839" s="298"/>
      <c r="F1839" s="298"/>
      <c r="G1839" s="298"/>
      <c r="H1839" s="223"/>
      <c r="I1839" s="298">
        <f>IFERROR(__xludf.DUMMYFUNCTION("""COMPUTED_VALUE"""),662.5)</f>
        <v>662.5</v>
      </c>
      <c r="J1839" s="223" t="str">
        <f>IFERROR(__xludf.DUMMYFUNCTION("""COMPUTED_VALUE"""),"Monthly")</f>
        <v>Monthly</v>
      </c>
      <c r="K1839" s="317">
        <f>IFERROR(__xludf.DUMMYFUNCTION("""COMPUTED_VALUE"""),2022.07)</f>
        <v>2022.07</v>
      </c>
      <c r="L1839" s="298"/>
      <c r="M1839" s="223"/>
      <c r="N1839" s="223"/>
      <c r="O1839" s="223"/>
      <c r="P1839" s="223"/>
      <c r="Q1839" s="223"/>
      <c r="R1839" s="223"/>
      <c r="S1839" s="223"/>
      <c r="T1839" s="223"/>
      <c r="U1839" s="223"/>
      <c r="V1839" s="223"/>
      <c r="W1839" s="223"/>
      <c r="X1839" s="223"/>
      <c r="Y1839" s="223"/>
      <c r="Z1839" s="223"/>
    </row>
    <row r="1840">
      <c r="A1840" s="223" t="str">
        <f>IFERROR(__xludf.DUMMYFUNCTION("""COMPUTED_VALUE"""),"Venetian : Monthly Services")</f>
        <v>Venetian : Monthly Services</v>
      </c>
      <c r="B1840" s="223" t="str">
        <f>IFERROR(__xludf.DUMMYFUNCTION("""COMPUTED_VALUE"""),"Venetian")</f>
        <v>Venetian</v>
      </c>
      <c r="C1840" s="223" t="str">
        <f>IFERROR(__xludf.DUMMYFUNCTION("""COMPUTED_VALUE"""),"Monthly Services")</f>
        <v>Monthly Services</v>
      </c>
      <c r="D1840" s="316">
        <f>IFERROR(__xludf.DUMMYFUNCTION("""COMPUTED_VALUE"""),44773.0)</f>
        <v>44773</v>
      </c>
      <c r="E1840" s="298"/>
      <c r="F1840" s="298"/>
      <c r="G1840" s="298"/>
      <c r="H1840" s="223"/>
      <c r="I1840" s="298">
        <f>IFERROR(__xludf.DUMMYFUNCTION("""COMPUTED_VALUE"""),662.5)</f>
        <v>662.5</v>
      </c>
      <c r="J1840" s="223" t="str">
        <f>IFERROR(__xludf.DUMMYFUNCTION("""COMPUTED_VALUE"""),"Monthly")</f>
        <v>Monthly</v>
      </c>
      <c r="K1840" s="317">
        <f>IFERROR(__xludf.DUMMYFUNCTION("""COMPUTED_VALUE"""),2022.07)</f>
        <v>2022.07</v>
      </c>
      <c r="L1840" s="298"/>
      <c r="M1840" s="223"/>
      <c r="N1840" s="223"/>
      <c r="O1840" s="223"/>
      <c r="P1840" s="223"/>
      <c r="Q1840" s="223"/>
      <c r="R1840" s="223"/>
      <c r="S1840" s="223"/>
      <c r="T1840" s="223"/>
      <c r="U1840" s="223"/>
      <c r="V1840" s="223"/>
      <c r="W1840" s="223"/>
      <c r="X1840" s="223"/>
      <c r="Y1840" s="223"/>
      <c r="Z1840" s="223"/>
    </row>
    <row r="1841">
      <c r="A1841" s="223" t="str">
        <f>IFERROR(__xludf.DUMMYFUNCTION("""COMPUTED_VALUE"""),"Spraggs : Monthly Services")</f>
        <v>Spraggs : Monthly Services</v>
      </c>
      <c r="B1841" s="223" t="str">
        <f>IFERROR(__xludf.DUMMYFUNCTION("""COMPUTED_VALUE"""),"Spraggs")</f>
        <v>Spraggs</v>
      </c>
      <c r="C1841" s="223" t="str">
        <f>IFERROR(__xludf.DUMMYFUNCTION("""COMPUTED_VALUE"""),"Monthly Services")</f>
        <v>Monthly Services</v>
      </c>
      <c r="D1841" s="316">
        <f>IFERROR(__xludf.DUMMYFUNCTION("""COMPUTED_VALUE"""),44773.0)</f>
        <v>44773</v>
      </c>
      <c r="E1841" s="298"/>
      <c r="F1841" s="298"/>
      <c r="G1841" s="298"/>
      <c r="H1841" s="223"/>
      <c r="I1841" s="298">
        <f>IFERROR(__xludf.DUMMYFUNCTION("""COMPUTED_VALUE"""),350.0)</f>
        <v>350</v>
      </c>
      <c r="J1841" s="223" t="str">
        <f>IFERROR(__xludf.DUMMYFUNCTION("""COMPUTED_VALUE"""),"Monthly")</f>
        <v>Monthly</v>
      </c>
      <c r="K1841" s="317">
        <f>IFERROR(__xludf.DUMMYFUNCTION("""COMPUTED_VALUE"""),2022.07)</f>
        <v>2022.07</v>
      </c>
      <c r="L1841" s="298"/>
      <c r="M1841" s="223"/>
      <c r="N1841" s="223"/>
      <c r="O1841" s="223"/>
      <c r="P1841" s="223"/>
      <c r="Q1841" s="223"/>
      <c r="R1841" s="223"/>
      <c r="S1841" s="223"/>
      <c r="T1841" s="223"/>
      <c r="U1841" s="223"/>
      <c r="V1841" s="223"/>
      <c r="W1841" s="223"/>
      <c r="X1841" s="223"/>
      <c r="Y1841" s="223"/>
      <c r="Z1841" s="223"/>
    </row>
    <row r="1842">
      <c r="A1842" s="223" t="str">
        <f>IFERROR(__xludf.DUMMYFUNCTION("""COMPUTED_VALUE"""),"Diversified Health : Monthly Services")</f>
        <v>Diversified Health : Monthly Services</v>
      </c>
      <c r="B1842" s="223" t="str">
        <f>IFERROR(__xludf.DUMMYFUNCTION("""COMPUTED_VALUE"""),"Diversified Health")</f>
        <v>Diversified Health</v>
      </c>
      <c r="C1842" s="223" t="str">
        <f>IFERROR(__xludf.DUMMYFUNCTION("""COMPUTED_VALUE"""),"Monthly Services")</f>
        <v>Monthly Services</v>
      </c>
      <c r="D1842" s="316">
        <f>IFERROR(__xludf.DUMMYFUNCTION("""COMPUTED_VALUE"""),44773.0)</f>
        <v>44773</v>
      </c>
      <c r="E1842" s="298"/>
      <c r="F1842" s="298"/>
      <c r="G1842" s="298"/>
      <c r="H1842" s="223"/>
      <c r="I1842" s="298">
        <f>IFERROR(__xludf.DUMMYFUNCTION("""COMPUTED_VALUE"""),475.0)</f>
        <v>475</v>
      </c>
      <c r="J1842" s="223" t="str">
        <f>IFERROR(__xludf.DUMMYFUNCTION("""COMPUTED_VALUE"""),"Monthly")</f>
        <v>Monthly</v>
      </c>
      <c r="K1842" s="317">
        <f>IFERROR(__xludf.DUMMYFUNCTION("""COMPUTED_VALUE"""),2022.07)</f>
        <v>2022.07</v>
      </c>
      <c r="L1842" s="298"/>
      <c r="M1842" s="223"/>
      <c r="N1842" s="223"/>
      <c r="O1842" s="223"/>
      <c r="P1842" s="223"/>
      <c r="Q1842" s="223"/>
      <c r="R1842" s="223"/>
      <c r="S1842" s="223"/>
      <c r="T1842" s="223"/>
      <c r="U1842" s="223"/>
      <c r="V1842" s="223"/>
      <c r="W1842" s="223"/>
      <c r="X1842" s="223"/>
      <c r="Y1842" s="223"/>
      <c r="Z1842" s="223"/>
    </row>
    <row r="1843">
      <c r="A1843" s="223" t="str">
        <f>IFERROR(__xludf.DUMMYFUNCTION("""COMPUTED_VALUE"""),"TisBest : Monthly Services")</f>
        <v>TisBest : Monthly Services</v>
      </c>
      <c r="B1843" s="223" t="str">
        <f>IFERROR(__xludf.DUMMYFUNCTION("""COMPUTED_VALUE"""),"TisBest")</f>
        <v>TisBest</v>
      </c>
      <c r="C1843" s="223" t="str">
        <f>IFERROR(__xludf.DUMMYFUNCTION("""COMPUTED_VALUE"""),"Monthly Services")</f>
        <v>Monthly Services</v>
      </c>
      <c r="D1843" s="316">
        <f>IFERROR(__xludf.DUMMYFUNCTION("""COMPUTED_VALUE"""),44773.0)</f>
        <v>44773</v>
      </c>
      <c r="E1843" s="298"/>
      <c r="F1843" s="298"/>
      <c r="G1843" s="298"/>
      <c r="H1843" s="223"/>
      <c r="I1843" s="298">
        <f>IFERROR(__xludf.DUMMYFUNCTION("""COMPUTED_VALUE"""),1087.5)</f>
        <v>1087.5</v>
      </c>
      <c r="J1843" s="223" t="str">
        <f>IFERROR(__xludf.DUMMYFUNCTION("""COMPUTED_VALUE"""),"Monthly")</f>
        <v>Monthly</v>
      </c>
      <c r="K1843" s="317">
        <f>IFERROR(__xludf.DUMMYFUNCTION("""COMPUTED_VALUE"""),2022.07)</f>
        <v>2022.07</v>
      </c>
      <c r="L1843" s="298"/>
      <c r="M1843" s="223"/>
      <c r="N1843" s="223"/>
      <c r="O1843" s="223"/>
      <c r="P1843" s="223"/>
      <c r="Q1843" s="223"/>
      <c r="R1843" s="223"/>
      <c r="S1843" s="223"/>
      <c r="T1843" s="223"/>
      <c r="U1843" s="223"/>
      <c r="V1843" s="223"/>
      <c r="W1843" s="223"/>
      <c r="X1843" s="223"/>
      <c r="Y1843" s="223"/>
      <c r="Z1843" s="223"/>
    </row>
    <row r="1844">
      <c r="A1844" s="223" t="str">
        <f>IFERROR(__xludf.DUMMYFUNCTION("""COMPUTED_VALUE"""),"Tofino Resort + Marina : Monthly Services")</f>
        <v>Tofino Resort + Marina : Monthly Services</v>
      </c>
      <c r="B1844" s="223" t="str">
        <f>IFERROR(__xludf.DUMMYFUNCTION("""COMPUTED_VALUE"""),"Tofino Resort + Marina")</f>
        <v>Tofino Resort + Marina</v>
      </c>
      <c r="C1844" s="223" t="str">
        <f>IFERROR(__xludf.DUMMYFUNCTION("""COMPUTED_VALUE"""),"Monthly Services")</f>
        <v>Monthly Services</v>
      </c>
      <c r="D1844" s="316">
        <f>IFERROR(__xludf.DUMMYFUNCTION("""COMPUTED_VALUE"""),44773.0)</f>
        <v>44773</v>
      </c>
      <c r="E1844" s="298"/>
      <c r="F1844" s="298"/>
      <c r="G1844" s="298"/>
      <c r="H1844" s="223"/>
      <c r="I1844" s="298">
        <f>IFERROR(__xludf.DUMMYFUNCTION("""COMPUTED_VALUE"""),450.0)</f>
        <v>450</v>
      </c>
      <c r="J1844" s="223" t="str">
        <f>IFERROR(__xludf.DUMMYFUNCTION("""COMPUTED_VALUE"""),"Monthly")</f>
        <v>Monthly</v>
      </c>
      <c r="K1844" s="317">
        <f>IFERROR(__xludf.DUMMYFUNCTION("""COMPUTED_VALUE"""),2022.07)</f>
        <v>2022.07</v>
      </c>
      <c r="L1844" s="298"/>
      <c r="M1844" s="223"/>
      <c r="N1844" s="223"/>
      <c r="O1844" s="223"/>
      <c r="P1844" s="223"/>
      <c r="Q1844" s="223"/>
      <c r="R1844" s="223"/>
      <c r="S1844" s="223"/>
      <c r="T1844" s="223"/>
      <c r="U1844" s="223"/>
      <c r="V1844" s="223"/>
      <c r="W1844" s="223"/>
      <c r="X1844" s="223"/>
      <c r="Y1844" s="223"/>
      <c r="Z1844" s="223"/>
    </row>
    <row r="1845">
      <c r="A1845" s="223" t="str">
        <f>IFERROR(__xludf.DUMMYFUNCTION("""COMPUTED_VALUE"""),"Prime Engineering : Monthly Services")</f>
        <v>Prime Engineering : Monthly Services</v>
      </c>
      <c r="B1845" s="223" t="str">
        <f>IFERROR(__xludf.DUMMYFUNCTION("""COMPUTED_VALUE"""),"Prime Engineering")</f>
        <v>Prime Engineering</v>
      </c>
      <c r="C1845" s="223" t="str">
        <f>IFERROR(__xludf.DUMMYFUNCTION("""COMPUTED_VALUE"""),"Monthly Services")</f>
        <v>Monthly Services</v>
      </c>
      <c r="D1845" s="316">
        <f>IFERROR(__xludf.DUMMYFUNCTION("""COMPUTED_VALUE"""),44773.0)</f>
        <v>44773</v>
      </c>
      <c r="E1845" s="298"/>
      <c r="F1845" s="298"/>
      <c r="G1845" s="298"/>
      <c r="H1845" s="223"/>
      <c r="I1845" s="298">
        <f>IFERROR(__xludf.DUMMYFUNCTION("""COMPUTED_VALUE"""),187.5)</f>
        <v>187.5</v>
      </c>
      <c r="J1845" s="223" t="str">
        <f>IFERROR(__xludf.DUMMYFUNCTION("""COMPUTED_VALUE"""),"Monthly")</f>
        <v>Monthly</v>
      </c>
      <c r="K1845" s="317">
        <f>IFERROR(__xludf.DUMMYFUNCTION("""COMPUTED_VALUE"""),2022.07)</f>
        <v>2022.07</v>
      </c>
      <c r="L1845" s="298"/>
      <c r="M1845" s="223"/>
      <c r="N1845" s="223"/>
      <c r="O1845" s="223"/>
      <c r="P1845" s="223"/>
      <c r="Q1845" s="223"/>
      <c r="R1845" s="223"/>
      <c r="S1845" s="223"/>
      <c r="T1845" s="223"/>
      <c r="U1845" s="223"/>
      <c r="V1845" s="223"/>
      <c r="W1845" s="223"/>
      <c r="X1845" s="223"/>
      <c r="Y1845" s="223"/>
      <c r="Z1845" s="223"/>
    </row>
    <row r="1846">
      <c r="A1846" s="223" t="str">
        <f>IFERROR(__xludf.DUMMYFUNCTION("""COMPUTED_VALUE"""),"PlusROI : Overhead")</f>
        <v>PlusROI : Overhead</v>
      </c>
      <c r="B1846" s="223" t="str">
        <f>IFERROR(__xludf.DUMMYFUNCTION("""COMPUTED_VALUE"""),"PlusROI")</f>
        <v>PlusROI</v>
      </c>
      <c r="C1846" s="223" t="str">
        <f>IFERROR(__xludf.DUMMYFUNCTION("""COMPUTED_VALUE"""),"Overhead")</f>
        <v>Overhead</v>
      </c>
      <c r="D1846" s="316">
        <f>IFERROR(__xludf.DUMMYFUNCTION("""COMPUTED_VALUE"""),44785.0)</f>
        <v>44785</v>
      </c>
      <c r="E1846" s="298"/>
      <c r="F1846" s="298"/>
      <c r="G1846" s="298"/>
      <c r="H1846" s="223"/>
      <c r="I1846" s="298">
        <f>IFERROR(__xludf.DUMMYFUNCTION("""COMPUTED_VALUE"""),14.54)</f>
        <v>14.54</v>
      </c>
      <c r="J1846" s="223" t="str">
        <f>IFERROR(__xludf.DUMMYFUNCTION("""COMPUTED_VALUE"""),"Hourly")</f>
        <v>Hourly</v>
      </c>
      <c r="K1846" s="317">
        <f>IFERROR(__xludf.DUMMYFUNCTION("""COMPUTED_VALUE"""),2022.0)</f>
        <v>2022</v>
      </c>
      <c r="L1846" s="298"/>
      <c r="M1846" s="223"/>
      <c r="N1846" s="223"/>
      <c r="O1846" s="223"/>
      <c r="P1846" s="223"/>
      <c r="Q1846" s="223"/>
      <c r="R1846" s="223"/>
      <c r="S1846" s="223"/>
      <c r="T1846" s="223"/>
      <c r="U1846" s="223"/>
      <c r="V1846" s="223"/>
      <c r="W1846" s="223"/>
      <c r="X1846" s="223"/>
      <c r="Y1846" s="223"/>
      <c r="Z1846" s="223"/>
    </row>
    <row r="1847">
      <c r="A1847" s="223" t="str">
        <f>IFERROR(__xludf.DUMMYFUNCTION("""COMPUTED_VALUE"""),"PlusROI : Overhead")</f>
        <v>PlusROI : Overhead</v>
      </c>
      <c r="B1847" s="223" t="str">
        <f>IFERROR(__xludf.DUMMYFUNCTION("""COMPUTED_VALUE"""),"PlusROI")</f>
        <v>PlusROI</v>
      </c>
      <c r="C1847" s="223" t="str">
        <f>IFERROR(__xludf.DUMMYFUNCTION("""COMPUTED_VALUE"""),"Overhead")</f>
        <v>Overhead</v>
      </c>
      <c r="D1847" s="316">
        <f>IFERROR(__xludf.DUMMYFUNCTION("""COMPUTED_VALUE"""),44785.0)</f>
        <v>44785</v>
      </c>
      <c r="E1847" s="298"/>
      <c r="F1847" s="298"/>
      <c r="G1847" s="298"/>
      <c r="H1847" s="223"/>
      <c r="I1847" s="298">
        <f>IFERROR(__xludf.DUMMYFUNCTION("""COMPUTED_VALUE"""),52.22)</f>
        <v>52.22</v>
      </c>
      <c r="J1847" s="223" t="str">
        <f>IFERROR(__xludf.DUMMYFUNCTION("""COMPUTED_VALUE"""),"Hourly")</f>
        <v>Hourly</v>
      </c>
      <c r="K1847" s="317">
        <f>IFERROR(__xludf.DUMMYFUNCTION("""COMPUTED_VALUE"""),2022.0)</f>
        <v>2022</v>
      </c>
      <c r="L1847" s="298"/>
      <c r="M1847" s="223"/>
      <c r="N1847" s="223"/>
      <c r="O1847" s="223"/>
      <c r="P1847" s="223"/>
      <c r="Q1847" s="223"/>
      <c r="R1847" s="223"/>
      <c r="S1847" s="223"/>
      <c r="T1847" s="223"/>
      <c r="U1847" s="223"/>
      <c r="V1847" s="223"/>
      <c r="W1847" s="223"/>
      <c r="X1847" s="223"/>
      <c r="Y1847" s="223"/>
      <c r="Z1847" s="223"/>
    </row>
    <row r="1848">
      <c r="A1848" s="223" t="str">
        <f>IFERROR(__xludf.DUMMYFUNCTION("""COMPUTED_VALUE"""),"PlusROI : Overhead")</f>
        <v>PlusROI : Overhead</v>
      </c>
      <c r="B1848" s="223" t="str">
        <f>IFERROR(__xludf.DUMMYFUNCTION("""COMPUTED_VALUE"""),"PlusROI")</f>
        <v>PlusROI</v>
      </c>
      <c r="C1848" s="223" t="str">
        <f>IFERROR(__xludf.DUMMYFUNCTION("""COMPUTED_VALUE"""),"Overhead")</f>
        <v>Overhead</v>
      </c>
      <c r="D1848" s="316">
        <f>IFERROR(__xludf.DUMMYFUNCTION("""COMPUTED_VALUE"""),44785.0)</f>
        <v>44785</v>
      </c>
      <c r="E1848" s="298"/>
      <c r="F1848" s="298"/>
      <c r="G1848" s="298"/>
      <c r="H1848" s="223"/>
      <c r="I1848" s="298">
        <f>IFERROR(__xludf.DUMMYFUNCTION("""COMPUTED_VALUE"""),5.98)</f>
        <v>5.98</v>
      </c>
      <c r="J1848" s="223" t="str">
        <f>IFERROR(__xludf.DUMMYFUNCTION("""COMPUTED_VALUE"""),"Hourly")</f>
        <v>Hourly</v>
      </c>
      <c r="K1848" s="317">
        <f>IFERROR(__xludf.DUMMYFUNCTION("""COMPUTED_VALUE"""),2022.0)</f>
        <v>2022</v>
      </c>
      <c r="L1848" s="298"/>
      <c r="M1848" s="223"/>
      <c r="N1848" s="223"/>
      <c r="O1848" s="223"/>
      <c r="P1848" s="223"/>
      <c r="Q1848" s="223"/>
      <c r="R1848" s="223"/>
      <c r="S1848" s="223"/>
      <c r="T1848" s="223"/>
      <c r="U1848" s="223"/>
      <c r="V1848" s="223"/>
      <c r="W1848" s="223"/>
      <c r="X1848" s="223"/>
      <c r="Y1848" s="223"/>
      <c r="Z1848" s="223"/>
    </row>
    <row r="1849">
      <c r="A1849" s="223" t="str">
        <f>IFERROR(__xludf.DUMMYFUNCTION("""COMPUTED_VALUE"""),"PlusROI : Overhead")</f>
        <v>PlusROI : Overhead</v>
      </c>
      <c r="B1849" s="223" t="str">
        <f>IFERROR(__xludf.DUMMYFUNCTION("""COMPUTED_VALUE"""),"PlusROI")</f>
        <v>PlusROI</v>
      </c>
      <c r="C1849" s="223" t="str">
        <f>IFERROR(__xludf.DUMMYFUNCTION("""COMPUTED_VALUE"""),"Overhead")</f>
        <v>Overhead</v>
      </c>
      <c r="D1849" s="316"/>
      <c r="E1849" s="298"/>
      <c r="F1849" s="298"/>
      <c r="G1849" s="298"/>
      <c r="H1849" s="223"/>
      <c r="I1849" s="298">
        <f>IFERROR(__xludf.DUMMYFUNCTION("""COMPUTED_VALUE"""),31.5)</f>
        <v>31.5</v>
      </c>
      <c r="J1849" s="223" t="str">
        <f>IFERROR(__xludf.DUMMYFUNCTION("""COMPUTED_VALUE"""),"Hourly")</f>
        <v>Hourly</v>
      </c>
      <c r="K1849" s="317">
        <f>IFERROR(__xludf.DUMMYFUNCTION("""COMPUTED_VALUE"""),1899.0)</f>
        <v>1899</v>
      </c>
      <c r="L1849" s="298"/>
      <c r="M1849" s="223"/>
      <c r="N1849" s="223"/>
      <c r="O1849" s="223"/>
      <c r="P1849" s="223"/>
      <c r="Q1849" s="223"/>
      <c r="R1849" s="223"/>
      <c r="S1849" s="223"/>
      <c r="T1849" s="223"/>
      <c r="U1849" s="223"/>
      <c r="V1849" s="223"/>
      <c r="W1849" s="223"/>
      <c r="X1849" s="223"/>
      <c r="Y1849" s="223"/>
      <c r="Z1849" s="223"/>
    </row>
    <row r="1850">
      <c r="A1850" s="223" t="str">
        <f>IFERROR(__xludf.DUMMYFUNCTION("""COMPUTED_VALUE"""),"Anavara : Website Development")</f>
        <v>Anavara : Website Development</v>
      </c>
      <c r="B1850" s="223" t="str">
        <f>IFERROR(__xludf.DUMMYFUNCTION("""COMPUTED_VALUE"""),"Anavara")</f>
        <v>Anavara</v>
      </c>
      <c r="C1850" s="223" t="str">
        <f>IFERROR(__xludf.DUMMYFUNCTION("""COMPUTED_VALUE"""),"Website Development")</f>
        <v>Website Development</v>
      </c>
      <c r="D1850" s="316">
        <f>IFERROR(__xludf.DUMMYFUNCTION("""COMPUTED_VALUE"""),44773.0)</f>
        <v>44773</v>
      </c>
      <c r="E1850" s="298"/>
      <c r="F1850" s="298"/>
      <c r="G1850" s="298"/>
      <c r="H1850" s="223"/>
      <c r="I1850" s="298">
        <f>IFERROR(__xludf.DUMMYFUNCTION("""COMPUTED_VALUE"""),646.52)</f>
        <v>646.52</v>
      </c>
      <c r="J1850" s="223" t="str">
        <f>IFERROR(__xludf.DUMMYFUNCTION("""COMPUTED_VALUE"""),"Fixed Project")</f>
        <v>Fixed Project</v>
      </c>
      <c r="K1850" s="317">
        <f>IFERROR(__xludf.DUMMYFUNCTION("""COMPUTED_VALUE"""),2022.0)</f>
        <v>2022</v>
      </c>
      <c r="L1850" s="298"/>
      <c r="M1850" s="223"/>
      <c r="N1850" s="223"/>
      <c r="O1850" s="223"/>
      <c r="P1850" s="223"/>
      <c r="Q1850" s="223"/>
      <c r="R1850" s="223"/>
      <c r="S1850" s="223"/>
      <c r="T1850" s="223"/>
      <c r="U1850" s="223"/>
      <c r="V1850" s="223"/>
      <c r="W1850" s="223"/>
      <c r="X1850" s="223"/>
      <c r="Y1850" s="223"/>
      <c r="Z1850" s="223"/>
    </row>
    <row r="1851">
      <c r="A1851" s="223" t="str">
        <f>IFERROR(__xludf.DUMMYFUNCTION("""COMPUTED_VALUE"""),"ASASoft : Other Projects")</f>
        <v>ASASoft : Other Projects</v>
      </c>
      <c r="B1851" s="223" t="str">
        <f>IFERROR(__xludf.DUMMYFUNCTION("""COMPUTED_VALUE"""),"ASASoft")</f>
        <v>ASASoft</v>
      </c>
      <c r="C1851" s="223" t="str">
        <f>IFERROR(__xludf.DUMMYFUNCTION("""COMPUTED_VALUE"""),"Other Projects")</f>
        <v>Other Projects</v>
      </c>
      <c r="D1851" s="316">
        <f>IFERROR(__xludf.DUMMYFUNCTION("""COMPUTED_VALUE"""),44773.0)</f>
        <v>44773</v>
      </c>
      <c r="E1851" s="298"/>
      <c r="F1851" s="298"/>
      <c r="G1851" s="298"/>
      <c r="H1851" s="223"/>
      <c r="I1851" s="298">
        <f>IFERROR(__xludf.DUMMYFUNCTION("""COMPUTED_VALUE"""),257.09)</f>
        <v>257.09</v>
      </c>
      <c r="J1851" s="223" t="str">
        <f>IFERROR(__xludf.DUMMYFUNCTION("""COMPUTED_VALUE"""),"Fixed Project")</f>
        <v>Fixed Project</v>
      </c>
      <c r="K1851" s="317">
        <f>IFERROR(__xludf.DUMMYFUNCTION("""COMPUTED_VALUE"""),2022.0)</f>
        <v>2022</v>
      </c>
      <c r="L1851" s="298"/>
      <c r="M1851" s="223"/>
      <c r="N1851" s="223"/>
      <c r="O1851" s="223"/>
      <c r="P1851" s="223"/>
      <c r="Q1851" s="223"/>
      <c r="R1851" s="223"/>
      <c r="S1851" s="223"/>
      <c r="T1851" s="223"/>
      <c r="U1851" s="223"/>
      <c r="V1851" s="223"/>
      <c r="W1851" s="223"/>
      <c r="X1851" s="223"/>
      <c r="Y1851" s="223"/>
      <c r="Z1851" s="223"/>
    </row>
    <row r="1852">
      <c r="A1852" s="223" t="str">
        <f>IFERROR(__xludf.DUMMYFUNCTION("""COMPUTED_VALUE"""),"Availed Technologies : Monthly Services")</f>
        <v>Availed Technologies : Monthly Services</v>
      </c>
      <c r="B1852" s="223" t="str">
        <f>IFERROR(__xludf.DUMMYFUNCTION("""COMPUTED_VALUE"""),"Availed Technologies")</f>
        <v>Availed Technologies</v>
      </c>
      <c r="C1852" s="223" t="str">
        <f>IFERROR(__xludf.DUMMYFUNCTION("""COMPUTED_VALUE"""),"Monthly Services")</f>
        <v>Monthly Services</v>
      </c>
      <c r="D1852" s="316">
        <f>IFERROR(__xludf.DUMMYFUNCTION("""COMPUTED_VALUE"""),44773.0)</f>
        <v>44773</v>
      </c>
      <c r="E1852" s="298"/>
      <c r="F1852" s="298"/>
      <c r="G1852" s="298"/>
      <c r="H1852" s="223"/>
      <c r="I1852" s="298">
        <f>IFERROR(__xludf.DUMMYFUNCTION("""COMPUTED_VALUE"""),6.39)</f>
        <v>6.39</v>
      </c>
      <c r="J1852" s="223" t="str">
        <f>IFERROR(__xludf.DUMMYFUNCTION("""COMPUTED_VALUE"""),"Monthly")</f>
        <v>Monthly</v>
      </c>
      <c r="K1852" s="317">
        <f>IFERROR(__xludf.DUMMYFUNCTION("""COMPUTED_VALUE"""),2022.07)</f>
        <v>2022.07</v>
      </c>
      <c r="L1852" s="298"/>
      <c r="M1852" s="223"/>
      <c r="N1852" s="223"/>
      <c r="O1852" s="223"/>
      <c r="P1852" s="223"/>
      <c r="Q1852" s="223"/>
      <c r="R1852" s="223"/>
      <c r="S1852" s="223"/>
      <c r="T1852" s="223"/>
      <c r="U1852" s="223"/>
      <c r="V1852" s="223"/>
      <c r="W1852" s="223"/>
      <c r="X1852" s="223"/>
      <c r="Y1852" s="223"/>
      <c r="Z1852" s="223"/>
    </row>
    <row r="1853">
      <c r="A1853" s="223" t="str">
        <f>IFERROR(__xludf.DUMMYFUNCTION("""COMPUTED_VALUE"""),"Bevridge : PPC, Analytics &amp; Landing Page work")</f>
        <v>Bevridge : PPC, Analytics &amp; Landing Page work</v>
      </c>
      <c r="B1853" s="223" t="str">
        <f>IFERROR(__xludf.DUMMYFUNCTION("""COMPUTED_VALUE"""),"Bevridge")</f>
        <v>Bevridge</v>
      </c>
      <c r="C1853" s="223" t="str">
        <f>IFERROR(__xludf.DUMMYFUNCTION("""COMPUTED_VALUE"""),"PPC, Analytics &amp; Landing Page work")</f>
        <v>PPC, Analytics &amp; Landing Page work</v>
      </c>
      <c r="D1853" s="316">
        <f>IFERROR(__xludf.DUMMYFUNCTION("""COMPUTED_VALUE"""),44773.0)</f>
        <v>44773</v>
      </c>
      <c r="E1853" s="298"/>
      <c r="F1853" s="298"/>
      <c r="G1853" s="298"/>
      <c r="H1853" s="223"/>
      <c r="I1853" s="298">
        <f>IFERROR(__xludf.DUMMYFUNCTION("""COMPUTED_VALUE"""),316.15)</f>
        <v>316.15</v>
      </c>
      <c r="J1853" s="223" t="str">
        <f>IFERROR(__xludf.DUMMYFUNCTION("""COMPUTED_VALUE"""),"Fixed Project")</f>
        <v>Fixed Project</v>
      </c>
      <c r="K1853" s="317">
        <f>IFERROR(__xludf.DUMMYFUNCTION("""COMPUTED_VALUE"""),2022.0)</f>
        <v>2022</v>
      </c>
      <c r="L1853" s="298"/>
      <c r="M1853" s="223"/>
      <c r="N1853" s="223"/>
      <c r="O1853" s="223"/>
      <c r="P1853" s="223"/>
      <c r="Q1853" s="223"/>
      <c r="R1853" s="223"/>
      <c r="S1853" s="223"/>
      <c r="T1853" s="223"/>
      <c r="U1853" s="223"/>
      <c r="V1853" s="223"/>
      <c r="W1853" s="223"/>
      <c r="X1853" s="223"/>
      <c r="Y1853" s="223"/>
      <c r="Z1853" s="223"/>
    </row>
    <row r="1854">
      <c r="A1854" s="223" t="str">
        <f>IFERROR(__xludf.DUMMYFUNCTION("""COMPUTED_VALUE"""),"BookKing (Pacific Tier) : Monthly Services")</f>
        <v>BookKing (Pacific Tier) : Monthly Services</v>
      </c>
      <c r="B1854" s="223" t="str">
        <f>IFERROR(__xludf.DUMMYFUNCTION("""COMPUTED_VALUE"""),"BookKing (Pacific Tier)")</f>
        <v>BookKing (Pacific Tier)</v>
      </c>
      <c r="C1854" s="223" t="str">
        <f>IFERROR(__xludf.DUMMYFUNCTION("""COMPUTED_VALUE"""),"Monthly Services")</f>
        <v>Monthly Services</v>
      </c>
      <c r="D1854" s="316">
        <f>IFERROR(__xludf.DUMMYFUNCTION("""COMPUTED_VALUE"""),44773.0)</f>
        <v>44773</v>
      </c>
      <c r="E1854" s="298"/>
      <c r="F1854" s="298"/>
      <c r="G1854" s="298"/>
      <c r="H1854" s="223"/>
      <c r="I1854" s="298">
        <f>IFERROR(__xludf.DUMMYFUNCTION("""COMPUTED_VALUE"""),6.67)</f>
        <v>6.67</v>
      </c>
      <c r="J1854" s="223" t="str">
        <f>IFERROR(__xludf.DUMMYFUNCTION("""COMPUTED_VALUE"""),"Monthly")</f>
        <v>Monthly</v>
      </c>
      <c r="K1854" s="317">
        <f>IFERROR(__xludf.DUMMYFUNCTION("""COMPUTED_VALUE"""),2022.07)</f>
        <v>2022.07</v>
      </c>
      <c r="L1854" s="298"/>
      <c r="M1854" s="223"/>
      <c r="N1854" s="223"/>
      <c r="O1854" s="223"/>
      <c r="P1854" s="223"/>
      <c r="Q1854" s="223"/>
      <c r="R1854" s="223"/>
      <c r="S1854" s="223"/>
      <c r="T1854" s="223"/>
      <c r="U1854" s="223"/>
      <c r="V1854" s="223"/>
      <c r="W1854" s="223"/>
      <c r="X1854" s="223"/>
      <c r="Y1854" s="223"/>
      <c r="Z1854" s="223"/>
    </row>
    <row r="1855">
      <c r="A1855" s="223" t="str">
        <f>IFERROR(__xludf.DUMMYFUNCTION("""COMPUTED_VALUE"""),"Bratopia : Monthly Services")</f>
        <v>Bratopia : Monthly Services</v>
      </c>
      <c r="B1855" s="223" t="str">
        <f>IFERROR(__xludf.DUMMYFUNCTION("""COMPUTED_VALUE"""),"Bratopia")</f>
        <v>Bratopia</v>
      </c>
      <c r="C1855" s="223" t="str">
        <f>IFERROR(__xludf.DUMMYFUNCTION("""COMPUTED_VALUE"""),"Monthly Services")</f>
        <v>Monthly Services</v>
      </c>
      <c r="D1855" s="316">
        <f>IFERROR(__xludf.DUMMYFUNCTION("""COMPUTED_VALUE"""),44773.0)</f>
        <v>44773</v>
      </c>
      <c r="E1855" s="298"/>
      <c r="F1855" s="298"/>
      <c r="G1855" s="298"/>
      <c r="H1855" s="223"/>
      <c r="I1855" s="298">
        <f>IFERROR(__xludf.DUMMYFUNCTION("""COMPUTED_VALUE"""),1.64)</f>
        <v>1.64</v>
      </c>
      <c r="J1855" s="223" t="str">
        <f>IFERROR(__xludf.DUMMYFUNCTION("""COMPUTED_VALUE"""),"Monthly")</f>
        <v>Monthly</v>
      </c>
      <c r="K1855" s="317">
        <f>IFERROR(__xludf.DUMMYFUNCTION("""COMPUTED_VALUE"""),2022.07)</f>
        <v>2022.07</v>
      </c>
      <c r="L1855" s="298"/>
      <c r="M1855" s="223"/>
      <c r="N1855" s="223"/>
      <c r="O1855" s="223"/>
      <c r="P1855" s="223"/>
      <c r="Q1855" s="223"/>
      <c r="R1855" s="223"/>
      <c r="S1855" s="223"/>
      <c r="T1855" s="223"/>
      <c r="U1855" s="223"/>
      <c r="V1855" s="223"/>
      <c r="W1855" s="223"/>
      <c r="X1855" s="223"/>
      <c r="Y1855" s="223"/>
      <c r="Z1855" s="223"/>
    </row>
    <row r="1856">
      <c r="A1856" s="223" t="str">
        <f>IFERROR(__xludf.DUMMYFUNCTION("""COMPUTED_VALUE"""),"HSJ Lawyers : Monthly Services")</f>
        <v>HSJ Lawyers : Monthly Services</v>
      </c>
      <c r="B1856" s="223" t="str">
        <f>IFERROR(__xludf.DUMMYFUNCTION("""COMPUTED_VALUE"""),"HSJ Lawyers")</f>
        <v>HSJ Lawyers</v>
      </c>
      <c r="C1856" s="223" t="str">
        <f>IFERROR(__xludf.DUMMYFUNCTION("""COMPUTED_VALUE"""),"Monthly Services")</f>
        <v>Monthly Services</v>
      </c>
      <c r="D1856" s="316">
        <f>IFERROR(__xludf.DUMMYFUNCTION("""COMPUTED_VALUE"""),44773.0)</f>
        <v>44773</v>
      </c>
      <c r="E1856" s="298"/>
      <c r="F1856" s="298"/>
      <c r="G1856" s="298"/>
      <c r="H1856" s="223"/>
      <c r="I1856" s="298">
        <f>IFERROR(__xludf.DUMMYFUNCTION("""COMPUTED_VALUE"""),14.1)</f>
        <v>14.1</v>
      </c>
      <c r="J1856" s="223" t="str">
        <f>IFERROR(__xludf.DUMMYFUNCTION("""COMPUTED_VALUE"""),"Monthly")</f>
        <v>Monthly</v>
      </c>
      <c r="K1856" s="317">
        <f>IFERROR(__xludf.DUMMYFUNCTION("""COMPUTED_VALUE"""),2022.07)</f>
        <v>2022.07</v>
      </c>
      <c r="L1856" s="298"/>
      <c r="M1856" s="223"/>
      <c r="N1856" s="223"/>
      <c r="O1856" s="223"/>
      <c r="P1856" s="223"/>
      <c r="Q1856" s="223"/>
      <c r="R1856" s="223"/>
      <c r="S1856" s="223"/>
      <c r="T1856" s="223"/>
      <c r="U1856" s="223"/>
      <c r="V1856" s="223"/>
      <c r="W1856" s="223"/>
      <c r="X1856" s="223"/>
      <c r="Y1856" s="223"/>
      <c r="Z1856" s="223"/>
    </row>
    <row r="1857">
      <c r="A1857" s="223" t="str">
        <f>IFERROR(__xludf.DUMMYFUNCTION("""COMPUTED_VALUE"""),"C360 : Johns Hopkins University PPC Management")</f>
        <v>C360 : Johns Hopkins University PPC Management</v>
      </c>
      <c r="B1857" s="223" t="str">
        <f>IFERROR(__xludf.DUMMYFUNCTION("""COMPUTED_VALUE"""),"C360")</f>
        <v>C360</v>
      </c>
      <c r="C1857" s="223" t="str">
        <f>IFERROR(__xludf.DUMMYFUNCTION("""COMPUTED_VALUE"""),"Johns Hopkins University PPC Management")</f>
        <v>Johns Hopkins University PPC Management</v>
      </c>
      <c r="D1857" s="316">
        <f>IFERROR(__xludf.DUMMYFUNCTION("""COMPUTED_VALUE"""),44773.0)</f>
        <v>44773</v>
      </c>
      <c r="E1857" s="298"/>
      <c r="F1857" s="298"/>
      <c r="G1857" s="298"/>
      <c r="H1857" s="223"/>
      <c r="I1857" s="298">
        <f>IFERROR(__xludf.DUMMYFUNCTION("""COMPUTED_VALUE"""),56.49)</f>
        <v>56.49</v>
      </c>
      <c r="J1857" s="223" t="str">
        <f>IFERROR(__xludf.DUMMYFUNCTION("""COMPUTED_VALUE"""),"Fixed Project")</f>
        <v>Fixed Project</v>
      </c>
      <c r="K1857" s="317">
        <f>IFERROR(__xludf.DUMMYFUNCTION("""COMPUTED_VALUE"""),2022.0)</f>
        <v>2022</v>
      </c>
      <c r="L1857" s="298"/>
      <c r="M1857" s="223"/>
      <c r="N1857" s="223"/>
      <c r="O1857" s="223"/>
      <c r="P1857" s="223"/>
      <c r="Q1857" s="223"/>
      <c r="R1857" s="223"/>
      <c r="S1857" s="223"/>
      <c r="T1857" s="223"/>
      <c r="U1857" s="223"/>
      <c r="V1857" s="223"/>
      <c r="W1857" s="223"/>
      <c r="X1857" s="223"/>
      <c r="Y1857" s="223"/>
      <c r="Z1857" s="223"/>
    </row>
    <row r="1858">
      <c r="A1858" s="223" t="str">
        <f>IFERROR(__xludf.DUMMYFUNCTION("""COMPUTED_VALUE"""),"Loud+Clear : Hourly Work")</f>
        <v>Loud+Clear : Hourly Work</v>
      </c>
      <c r="B1858" s="223" t="str">
        <f>IFERROR(__xludf.DUMMYFUNCTION("""COMPUTED_VALUE"""),"Loud+Clear")</f>
        <v>Loud+Clear</v>
      </c>
      <c r="C1858" s="223" t="str">
        <f>IFERROR(__xludf.DUMMYFUNCTION("""COMPUTED_VALUE"""),"Hourly Work")</f>
        <v>Hourly Work</v>
      </c>
      <c r="D1858" s="316">
        <f>IFERROR(__xludf.DUMMYFUNCTION("""COMPUTED_VALUE"""),44773.0)</f>
        <v>44773</v>
      </c>
      <c r="E1858" s="298"/>
      <c r="F1858" s="298"/>
      <c r="G1858" s="298"/>
      <c r="H1858" s="223"/>
      <c r="I1858" s="298">
        <f>IFERROR(__xludf.DUMMYFUNCTION("""COMPUTED_VALUE"""),287.91)</f>
        <v>287.91</v>
      </c>
      <c r="J1858" s="223" t="str">
        <f>IFERROR(__xludf.DUMMYFUNCTION("""COMPUTED_VALUE"""),"Hourly")</f>
        <v>Hourly</v>
      </c>
      <c r="K1858" s="317">
        <f>IFERROR(__xludf.DUMMYFUNCTION("""COMPUTED_VALUE"""),2022.0)</f>
        <v>2022</v>
      </c>
      <c r="L1858" s="298"/>
      <c r="M1858" s="223"/>
      <c r="N1858" s="223"/>
      <c r="O1858" s="223"/>
      <c r="P1858" s="223"/>
      <c r="Q1858" s="223"/>
      <c r="R1858" s="223"/>
      <c r="S1858" s="223"/>
      <c r="T1858" s="223"/>
      <c r="U1858" s="223"/>
      <c r="V1858" s="223"/>
      <c r="W1858" s="223"/>
      <c r="X1858" s="223"/>
      <c r="Y1858" s="223"/>
      <c r="Z1858" s="223"/>
    </row>
    <row r="1859">
      <c r="A1859" s="223" t="str">
        <f>IFERROR(__xludf.DUMMYFUNCTION("""COMPUTED_VALUE"""),"Maka Health : Quick Site")</f>
        <v>Maka Health : Quick Site</v>
      </c>
      <c r="B1859" s="223" t="str">
        <f>IFERROR(__xludf.DUMMYFUNCTION("""COMPUTED_VALUE"""),"Maka Health")</f>
        <v>Maka Health</v>
      </c>
      <c r="C1859" s="223" t="str">
        <f>IFERROR(__xludf.DUMMYFUNCTION("""COMPUTED_VALUE"""),"Quick Site")</f>
        <v>Quick Site</v>
      </c>
      <c r="D1859" s="316">
        <f>IFERROR(__xludf.DUMMYFUNCTION("""COMPUTED_VALUE"""),44773.0)</f>
        <v>44773</v>
      </c>
      <c r="E1859" s="298"/>
      <c r="F1859" s="298"/>
      <c r="G1859" s="298"/>
      <c r="H1859" s="223"/>
      <c r="I1859" s="298">
        <f>IFERROR(__xludf.DUMMYFUNCTION("""COMPUTED_VALUE"""),94.22)</f>
        <v>94.22</v>
      </c>
      <c r="J1859" s="223" t="str">
        <f>IFERROR(__xludf.DUMMYFUNCTION("""COMPUTED_VALUE"""),"Fixed Project")</f>
        <v>Fixed Project</v>
      </c>
      <c r="K1859" s="317">
        <f>IFERROR(__xludf.DUMMYFUNCTION("""COMPUTED_VALUE"""),2022.0)</f>
        <v>2022</v>
      </c>
      <c r="L1859" s="298"/>
      <c r="M1859" s="223"/>
      <c r="N1859" s="223"/>
      <c r="O1859" s="223"/>
      <c r="P1859" s="223"/>
      <c r="Q1859" s="223"/>
      <c r="R1859" s="223"/>
      <c r="S1859" s="223"/>
      <c r="T1859" s="223"/>
      <c r="U1859" s="223"/>
      <c r="V1859" s="223"/>
      <c r="W1859" s="223"/>
      <c r="X1859" s="223"/>
      <c r="Y1859" s="223"/>
      <c r="Z1859" s="223"/>
    </row>
    <row r="1860">
      <c r="A1860" s="223" t="str">
        <f>IFERROR(__xludf.DUMMYFUNCTION("""COMPUTED_VALUE"""),"PlusROI : Admin")</f>
        <v>PlusROI : Admin</v>
      </c>
      <c r="B1860" s="223" t="str">
        <f>IFERROR(__xludf.DUMMYFUNCTION("""COMPUTED_VALUE"""),"PlusROI")</f>
        <v>PlusROI</v>
      </c>
      <c r="C1860" s="223" t="str">
        <f>IFERROR(__xludf.DUMMYFUNCTION("""COMPUTED_VALUE"""),"Admin")</f>
        <v>Admin</v>
      </c>
      <c r="D1860" s="316">
        <f>IFERROR(__xludf.DUMMYFUNCTION("""COMPUTED_VALUE"""),44773.0)</f>
        <v>44773</v>
      </c>
      <c r="E1860" s="298"/>
      <c r="F1860" s="298"/>
      <c r="G1860" s="298"/>
      <c r="H1860" s="223"/>
      <c r="I1860" s="298">
        <f>IFERROR(__xludf.DUMMYFUNCTION("""COMPUTED_VALUE"""),293.92)</f>
        <v>293.92</v>
      </c>
      <c r="J1860" s="223" t="str">
        <f>IFERROR(__xludf.DUMMYFUNCTION("""COMPUTED_VALUE"""),"Hourly")</f>
        <v>Hourly</v>
      </c>
      <c r="K1860" s="317">
        <f>IFERROR(__xludf.DUMMYFUNCTION("""COMPUTED_VALUE"""),2022.0)</f>
        <v>2022</v>
      </c>
      <c r="L1860" s="298"/>
      <c r="M1860" s="223"/>
      <c r="N1860" s="223"/>
      <c r="O1860" s="223"/>
      <c r="P1860" s="223"/>
      <c r="Q1860" s="223"/>
      <c r="R1860" s="223"/>
      <c r="S1860" s="223"/>
      <c r="T1860" s="223"/>
      <c r="U1860" s="223"/>
      <c r="V1860" s="223"/>
      <c r="W1860" s="223"/>
      <c r="X1860" s="223"/>
      <c r="Y1860" s="223"/>
      <c r="Z1860" s="223"/>
    </row>
    <row r="1861">
      <c r="A1861" s="223" t="str">
        <f>IFERROR(__xludf.DUMMYFUNCTION("""COMPUTED_VALUE"""),"Red Seal : Monthly Services")</f>
        <v>Red Seal : Monthly Services</v>
      </c>
      <c r="B1861" s="223" t="str">
        <f>IFERROR(__xludf.DUMMYFUNCTION("""COMPUTED_VALUE"""),"Red Seal")</f>
        <v>Red Seal</v>
      </c>
      <c r="C1861" s="223" t="str">
        <f>IFERROR(__xludf.DUMMYFUNCTION("""COMPUTED_VALUE"""),"Monthly Services")</f>
        <v>Monthly Services</v>
      </c>
      <c r="D1861" s="316">
        <f>IFERROR(__xludf.DUMMYFUNCTION("""COMPUTED_VALUE"""),44773.0)</f>
        <v>44773</v>
      </c>
      <c r="E1861" s="298"/>
      <c r="F1861" s="298"/>
      <c r="G1861" s="298"/>
      <c r="H1861" s="223"/>
      <c r="I1861" s="298">
        <f>IFERROR(__xludf.DUMMYFUNCTION("""COMPUTED_VALUE"""),171.2)</f>
        <v>171.2</v>
      </c>
      <c r="J1861" s="223" t="str">
        <f>IFERROR(__xludf.DUMMYFUNCTION("""COMPUTED_VALUE"""),"Monthly")</f>
        <v>Monthly</v>
      </c>
      <c r="K1861" s="317">
        <f>IFERROR(__xludf.DUMMYFUNCTION("""COMPUTED_VALUE"""),2022.07)</f>
        <v>2022.07</v>
      </c>
      <c r="L1861" s="298"/>
      <c r="M1861" s="223"/>
      <c r="N1861" s="223"/>
      <c r="O1861" s="223"/>
      <c r="P1861" s="223"/>
      <c r="Q1861" s="223"/>
      <c r="R1861" s="223"/>
      <c r="S1861" s="223"/>
      <c r="T1861" s="223"/>
      <c r="U1861" s="223"/>
      <c r="V1861" s="223"/>
      <c r="W1861" s="223"/>
      <c r="X1861" s="223"/>
      <c r="Y1861" s="223"/>
      <c r="Z1861" s="223"/>
    </row>
    <row r="1862">
      <c r="A1862" s="223" t="str">
        <f>IFERROR(__xludf.DUMMYFUNCTION("""COMPUTED_VALUE"""),"Spraggs : Monthly Services")</f>
        <v>Spraggs : Monthly Services</v>
      </c>
      <c r="B1862" s="223" t="str">
        <f>IFERROR(__xludf.DUMMYFUNCTION("""COMPUTED_VALUE"""),"Spraggs")</f>
        <v>Spraggs</v>
      </c>
      <c r="C1862" s="223" t="str">
        <f>IFERROR(__xludf.DUMMYFUNCTION("""COMPUTED_VALUE"""),"Monthly Services")</f>
        <v>Monthly Services</v>
      </c>
      <c r="D1862" s="316">
        <f>IFERROR(__xludf.DUMMYFUNCTION("""COMPUTED_VALUE"""),44773.0)</f>
        <v>44773</v>
      </c>
      <c r="E1862" s="298"/>
      <c r="F1862" s="298"/>
      <c r="G1862" s="298"/>
      <c r="H1862" s="223"/>
      <c r="I1862" s="298">
        <f>IFERROR(__xludf.DUMMYFUNCTION("""COMPUTED_VALUE"""),90.28)</f>
        <v>90.28</v>
      </c>
      <c r="J1862" s="223" t="str">
        <f>IFERROR(__xludf.DUMMYFUNCTION("""COMPUTED_VALUE"""),"Monthly")</f>
        <v>Monthly</v>
      </c>
      <c r="K1862" s="317">
        <f>IFERROR(__xludf.DUMMYFUNCTION("""COMPUTED_VALUE"""),2022.07)</f>
        <v>2022.07</v>
      </c>
      <c r="L1862" s="298"/>
      <c r="M1862" s="223"/>
      <c r="N1862" s="223"/>
      <c r="O1862" s="223"/>
      <c r="P1862" s="223"/>
      <c r="Q1862" s="223"/>
      <c r="R1862" s="223"/>
      <c r="S1862" s="223"/>
      <c r="T1862" s="223"/>
      <c r="U1862" s="223"/>
      <c r="V1862" s="223"/>
      <c r="W1862" s="223"/>
      <c r="X1862" s="223"/>
      <c r="Y1862" s="223"/>
      <c r="Z1862" s="223"/>
    </row>
    <row r="1863">
      <c r="A1863" s="223" t="str">
        <f>IFERROR(__xludf.DUMMYFUNCTION("""COMPUTED_VALUE"""),"Technology Rivers : Monthly Services")</f>
        <v>Technology Rivers : Monthly Services</v>
      </c>
      <c r="B1863" s="223" t="str">
        <f>IFERROR(__xludf.DUMMYFUNCTION("""COMPUTED_VALUE"""),"Technology Rivers")</f>
        <v>Technology Rivers</v>
      </c>
      <c r="C1863" s="223" t="str">
        <f>IFERROR(__xludf.DUMMYFUNCTION("""COMPUTED_VALUE"""),"Monthly Services")</f>
        <v>Monthly Services</v>
      </c>
      <c r="D1863" s="316">
        <f>IFERROR(__xludf.DUMMYFUNCTION("""COMPUTED_VALUE"""),44773.0)</f>
        <v>44773</v>
      </c>
      <c r="E1863" s="298"/>
      <c r="F1863" s="298"/>
      <c r="G1863" s="298"/>
      <c r="H1863" s="223"/>
      <c r="I1863" s="298">
        <f>IFERROR(__xludf.DUMMYFUNCTION("""COMPUTED_VALUE"""),5.08)</f>
        <v>5.08</v>
      </c>
      <c r="J1863" s="223" t="str">
        <f>IFERROR(__xludf.DUMMYFUNCTION("""COMPUTED_VALUE"""),"Monthly")</f>
        <v>Monthly</v>
      </c>
      <c r="K1863" s="317">
        <f>IFERROR(__xludf.DUMMYFUNCTION("""COMPUTED_VALUE"""),2022.07)</f>
        <v>2022.07</v>
      </c>
      <c r="L1863" s="298"/>
      <c r="M1863" s="223"/>
      <c r="N1863" s="223"/>
      <c r="O1863" s="223"/>
      <c r="P1863" s="223"/>
      <c r="Q1863" s="223"/>
      <c r="R1863" s="223"/>
      <c r="S1863" s="223"/>
      <c r="T1863" s="223"/>
      <c r="U1863" s="223"/>
      <c r="V1863" s="223"/>
      <c r="W1863" s="223"/>
      <c r="X1863" s="223"/>
      <c r="Y1863" s="223"/>
      <c r="Z1863" s="223"/>
    </row>
    <row r="1864">
      <c r="A1864" s="223" t="str">
        <f>IFERROR(__xludf.DUMMYFUNCTION("""COMPUTED_VALUE"""),"Terra Insights : PPC Overhauls and SEO Matrix")</f>
        <v>Terra Insights : PPC Overhauls and SEO Matrix</v>
      </c>
      <c r="B1864" s="223" t="str">
        <f>IFERROR(__xludf.DUMMYFUNCTION("""COMPUTED_VALUE"""),"Terra Insights")</f>
        <v>Terra Insights</v>
      </c>
      <c r="C1864" s="223" t="str">
        <f>IFERROR(__xludf.DUMMYFUNCTION("""COMPUTED_VALUE"""),"PPC Overhauls and SEO Matrix")</f>
        <v>PPC Overhauls and SEO Matrix</v>
      </c>
      <c r="D1864" s="316">
        <f>IFERROR(__xludf.DUMMYFUNCTION("""COMPUTED_VALUE"""),44773.0)</f>
        <v>44773</v>
      </c>
      <c r="E1864" s="298"/>
      <c r="F1864" s="298"/>
      <c r="G1864" s="298"/>
      <c r="H1864" s="223"/>
      <c r="I1864" s="298">
        <f>IFERROR(__xludf.DUMMYFUNCTION("""COMPUTED_VALUE"""),12.89)</f>
        <v>12.89</v>
      </c>
      <c r="J1864" s="223" t="str">
        <f>IFERROR(__xludf.DUMMYFUNCTION("""COMPUTED_VALUE"""),"Fixed Project")</f>
        <v>Fixed Project</v>
      </c>
      <c r="K1864" s="317">
        <f>IFERROR(__xludf.DUMMYFUNCTION("""COMPUTED_VALUE"""),2022.0)</f>
        <v>2022</v>
      </c>
      <c r="L1864" s="298"/>
      <c r="M1864" s="223"/>
      <c r="N1864" s="223"/>
      <c r="O1864" s="223"/>
      <c r="P1864" s="223"/>
      <c r="Q1864" s="223"/>
      <c r="R1864" s="223"/>
      <c r="S1864" s="223"/>
      <c r="T1864" s="223"/>
      <c r="U1864" s="223"/>
      <c r="V1864" s="223"/>
      <c r="W1864" s="223"/>
      <c r="X1864" s="223"/>
      <c r="Y1864" s="223"/>
      <c r="Z1864" s="223"/>
    </row>
    <row r="1865">
      <c r="A1865" s="223" t="str">
        <f>IFERROR(__xludf.DUMMYFUNCTION("""COMPUTED_VALUE"""),"Waypoint : Website Updates")</f>
        <v>Waypoint : Website Updates</v>
      </c>
      <c r="B1865" s="223" t="str">
        <f>IFERROR(__xludf.DUMMYFUNCTION("""COMPUTED_VALUE"""),"Waypoint")</f>
        <v>Waypoint</v>
      </c>
      <c r="C1865" s="223" t="str">
        <f>IFERROR(__xludf.DUMMYFUNCTION("""COMPUTED_VALUE"""),"Website Updates")</f>
        <v>Website Updates</v>
      </c>
      <c r="D1865" s="316">
        <f>IFERROR(__xludf.DUMMYFUNCTION("""COMPUTED_VALUE"""),44773.0)</f>
        <v>44773</v>
      </c>
      <c r="E1865" s="298"/>
      <c r="F1865" s="298"/>
      <c r="G1865" s="298"/>
      <c r="H1865" s="223"/>
      <c r="I1865" s="298">
        <f>IFERROR(__xludf.DUMMYFUNCTION("""COMPUTED_VALUE"""),11.24)</f>
        <v>11.24</v>
      </c>
      <c r="J1865" s="223" t="str">
        <f>IFERROR(__xludf.DUMMYFUNCTION("""COMPUTED_VALUE"""),"Fixed Project")</f>
        <v>Fixed Project</v>
      </c>
      <c r="K1865" s="317">
        <f>IFERROR(__xludf.DUMMYFUNCTION("""COMPUTED_VALUE"""),2022.0)</f>
        <v>2022</v>
      </c>
      <c r="L1865" s="298"/>
      <c r="M1865" s="223"/>
      <c r="N1865" s="223"/>
      <c r="O1865" s="223"/>
      <c r="P1865" s="223"/>
      <c r="Q1865" s="223"/>
      <c r="R1865" s="223"/>
      <c r="S1865" s="223"/>
      <c r="T1865" s="223"/>
      <c r="U1865" s="223"/>
      <c r="V1865" s="223"/>
      <c r="W1865" s="223"/>
      <c r="X1865" s="223"/>
      <c r="Y1865" s="223"/>
      <c r="Z1865" s="223"/>
    </row>
    <row r="1866">
      <c r="A1866" s="223" t="str">
        <f>IFERROR(__xludf.DUMMYFUNCTION("""COMPUTED_VALUE"""),"Tuscany : Monthly Services")</f>
        <v>Tuscany : Monthly Services</v>
      </c>
      <c r="B1866" s="223" t="str">
        <f>IFERROR(__xludf.DUMMYFUNCTION("""COMPUTED_VALUE"""),"Tuscany")</f>
        <v>Tuscany</v>
      </c>
      <c r="C1866" s="223" t="str">
        <f>IFERROR(__xludf.DUMMYFUNCTION("""COMPUTED_VALUE"""),"Monthly Services")</f>
        <v>Monthly Services</v>
      </c>
      <c r="D1866" s="316">
        <f>IFERROR(__xludf.DUMMYFUNCTION("""COMPUTED_VALUE"""),44762.0)</f>
        <v>44762</v>
      </c>
      <c r="E1866" s="298"/>
      <c r="F1866" s="298"/>
      <c r="G1866" s="298"/>
      <c r="H1866" s="223"/>
      <c r="I1866" s="298">
        <f>IFERROR(__xludf.DUMMYFUNCTION("""COMPUTED_VALUE"""),750.0)</f>
        <v>750</v>
      </c>
      <c r="J1866" s="223" t="str">
        <f>IFERROR(__xludf.DUMMYFUNCTION("""COMPUTED_VALUE"""),"Monthly")</f>
        <v>Monthly</v>
      </c>
      <c r="K1866" s="317">
        <f>IFERROR(__xludf.DUMMYFUNCTION("""COMPUTED_VALUE"""),2022.07)</f>
        <v>2022.07</v>
      </c>
      <c r="L1866" s="298">
        <f>IFERROR(__xludf.DUMMYFUNCTION("""COMPUTED_VALUE"""),750.0)</f>
        <v>750</v>
      </c>
      <c r="M1866" s="223"/>
      <c r="N1866" s="223"/>
      <c r="O1866" s="223"/>
      <c r="P1866" s="223"/>
      <c r="Q1866" s="223"/>
      <c r="R1866" s="223"/>
      <c r="S1866" s="223"/>
      <c r="T1866" s="223"/>
      <c r="U1866" s="223"/>
      <c r="V1866" s="223"/>
      <c r="W1866" s="223"/>
      <c r="X1866" s="223"/>
      <c r="Y1866" s="223"/>
      <c r="Z1866" s="223"/>
    </row>
    <row r="1867">
      <c r="A1867" s="223" t="str">
        <f>IFERROR(__xludf.DUMMYFUNCTION("""COMPUTED_VALUE"""),"Tugwell : 6 Month PPC")</f>
        <v>Tugwell : 6 Month PPC</v>
      </c>
      <c r="B1867" s="223" t="str">
        <f>IFERROR(__xludf.DUMMYFUNCTION("""COMPUTED_VALUE"""),"Tugwell")</f>
        <v>Tugwell</v>
      </c>
      <c r="C1867" s="223" t="str">
        <f>IFERROR(__xludf.DUMMYFUNCTION("""COMPUTED_VALUE"""),"6 Month PPC")</f>
        <v>6 Month PPC</v>
      </c>
      <c r="D1867" s="316">
        <f>IFERROR(__xludf.DUMMYFUNCTION("""COMPUTED_VALUE"""),44767.0)</f>
        <v>44767</v>
      </c>
      <c r="E1867" s="298"/>
      <c r="F1867" s="298"/>
      <c r="G1867" s="298"/>
      <c r="H1867" s="223"/>
      <c r="I1867" s="298">
        <f>IFERROR(__xludf.DUMMYFUNCTION("""COMPUTED_VALUE"""),750.0)</f>
        <v>750</v>
      </c>
      <c r="J1867" s="223" t="str">
        <f>IFERROR(__xludf.DUMMYFUNCTION("""COMPUTED_VALUE"""),"Fixed Project")</f>
        <v>Fixed Project</v>
      </c>
      <c r="K1867" s="317">
        <f>IFERROR(__xludf.DUMMYFUNCTION("""COMPUTED_VALUE"""),2022.0)</f>
        <v>2022</v>
      </c>
      <c r="L1867" s="298">
        <f>IFERROR(__xludf.DUMMYFUNCTION("""COMPUTED_VALUE"""),750.0)</f>
        <v>750</v>
      </c>
      <c r="M1867" s="223"/>
      <c r="N1867" s="223"/>
      <c r="O1867" s="223"/>
      <c r="P1867" s="223"/>
      <c r="Q1867" s="223"/>
      <c r="R1867" s="223"/>
      <c r="S1867" s="223"/>
      <c r="T1867" s="223"/>
      <c r="U1867" s="223"/>
      <c r="V1867" s="223"/>
      <c r="W1867" s="223"/>
      <c r="X1867" s="223"/>
      <c r="Y1867" s="223"/>
      <c r="Z1867" s="223"/>
    </row>
    <row r="1868">
      <c r="A1868" s="223" t="str">
        <f>IFERROR(__xludf.DUMMYFUNCTION("""COMPUTED_VALUE"""),"Spraggs : Monthly Services")</f>
        <v>Spraggs : Monthly Services</v>
      </c>
      <c r="B1868" s="223" t="str">
        <f>IFERROR(__xludf.DUMMYFUNCTION("""COMPUTED_VALUE"""),"Spraggs")</f>
        <v>Spraggs</v>
      </c>
      <c r="C1868" s="223" t="str">
        <f>IFERROR(__xludf.DUMMYFUNCTION("""COMPUTED_VALUE"""),"Monthly Services")</f>
        <v>Monthly Services</v>
      </c>
      <c r="D1868" s="316">
        <f>IFERROR(__xludf.DUMMYFUNCTION("""COMPUTED_VALUE"""),44767.0)</f>
        <v>44767</v>
      </c>
      <c r="E1868" s="298"/>
      <c r="F1868" s="298"/>
      <c r="G1868" s="298"/>
      <c r="H1868" s="223"/>
      <c r="I1868" s="298">
        <f>IFERROR(__xludf.DUMMYFUNCTION("""COMPUTED_VALUE"""),69.32)</f>
        <v>69.32</v>
      </c>
      <c r="J1868" s="223" t="str">
        <f>IFERROR(__xludf.DUMMYFUNCTION("""COMPUTED_VALUE"""),"Monthly")</f>
        <v>Monthly</v>
      </c>
      <c r="K1868" s="317">
        <f>IFERROR(__xludf.DUMMYFUNCTION("""COMPUTED_VALUE"""),2022.07)</f>
        <v>2022.07</v>
      </c>
      <c r="L1868" s="298">
        <f>IFERROR(__xludf.DUMMYFUNCTION("""COMPUTED_VALUE"""),69.32)</f>
        <v>69.32</v>
      </c>
      <c r="M1868" s="223"/>
      <c r="N1868" s="223"/>
      <c r="O1868" s="223"/>
      <c r="P1868" s="223"/>
      <c r="Q1868" s="223"/>
      <c r="R1868" s="223"/>
      <c r="S1868" s="223"/>
      <c r="T1868" s="223"/>
      <c r="U1868" s="223"/>
      <c r="V1868" s="223"/>
      <c r="W1868" s="223"/>
      <c r="X1868" s="223"/>
      <c r="Y1868" s="223"/>
      <c r="Z1868" s="223"/>
    </row>
    <row r="1869">
      <c r="A1869" s="223" t="str">
        <f>IFERROR(__xludf.DUMMYFUNCTION("""COMPUTED_VALUE"""),"PlusROI : Overhead")</f>
        <v>PlusROI : Overhead</v>
      </c>
      <c r="B1869" s="223" t="str">
        <f>IFERROR(__xludf.DUMMYFUNCTION("""COMPUTED_VALUE"""),"PlusROI")</f>
        <v>PlusROI</v>
      </c>
      <c r="C1869" s="223" t="str">
        <f>IFERROR(__xludf.DUMMYFUNCTION("""COMPUTED_VALUE"""),"Overhead")</f>
        <v>Overhead</v>
      </c>
      <c r="D1869" s="316">
        <f>IFERROR(__xludf.DUMMYFUNCTION("""COMPUTED_VALUE"""),44773.0)</f>
        <v>44773</v>
      </c>
      <c r="E1869" s="298"/>
      <c r="F1869" s="298"/>
      <c r="G1869" s="298"/>
      <c r="H1869" s="223"/>
      <c r="I1869" s="298">
        <f>IFERROR(__xludf.DUMMYFUNCTION("""COMPUTED_VALUE"""),469.72)</f>
        <v>469.72</v>
      </c>
      <c r="J1869" s="223" t="str">
        <f>IFERROR(__xludf.DUMMYFUNCTION("""COMPUTED_VALUE"""),"Hourly")</f>
        <v>Hourly</v>
      </c>
      <c r="K1869" s="317">
        <f>IFERROR(__xludf.DUMMYFUNCTION("""COMPUTED_VALUE"""),2022.0)</f>
        <v>2022</v>
      </c>
      <c r="L1869" s="298"/>
      <c r="M1869" s="223"/>
      <c r="N1869" s="223"/>
      <c r="O1869" s="223"/>
      <c r="P1869" s="223"/>
      <c r="Q1869" s="223"/>
      <c r="R1869" s="223"/>
      <c r="S1869" s="223"/>
      <c r="T1869" s="223"/>
      <c r="U1869" s="223"/>
      <c r="V1869" s="223"/>
      <c r="W1869" s="223"/>
      <c r="X1869" s="223"/>
      <c r="Y1869" s="223"/>
      <c r="Z1869" s="223"/>
    </row>
    <row r="1870">
      <c r="A1870" s="223" t="str">
        <f>IFERROR(__xludf.DUMMYFUNCTION("""COMPUTED_VALUE"""),"Tuscany : Monthly Services")</f>
        <v>Tuscany : Monthly Services</v>
      </c>
      <c r="B1870" s="223" t="str">
        <f>IFERROR(__xludf.DUMMYFUNCTION("""COMPUTED_VALUE"""),"Tuscany")</f>
        <v>Tuscany</v>
      </c>
      <c r="C1870" s="223" t="str">
        <f>IFERROR(__xludf.DUMMYFUNCTION("""COMPUTED_VALUE"""),"Monthly Services")</f>
        <v>Monthly Services</v>
      </c>
      <c r="D1870" s="316">
        <f>IFERROR(__xludf.DUMMYFUNCTION("""COMPUTED_VALUE"""),44774.0)</f>
        <v>44774</v>
      </c>
      <c r="E1870" s="298"/>
      <c r="F1870" s="298"/>
      <c r="G1870" s="298"/>
      <c r="H1870" s="223"/>
      <c r="I1870" s="298">
        <f>IFERROR(__xludf.DUMMYFUNCTION("""COMPUTED_VALUE"""),441.85)</f>
        <v>441.85</v>
      </c>
      <c r="J1870" s="223" t="str">
        <f>IFERROR(__xludf.DUMMYFUNCTION("""COMPUTED_VALUE"""),"Monthly")</f>
        <v>Monthly</v>
      </c>
      <c r="K1870" s="317">
        <f>IFERROR(__xludf.DUMMYFUNCTION("""COMPUTED_VALUE"""),2022.08)</f>
        <v>2022.08</v>
      </c>
      <c r="L1870" s="298">
        <f>IFERROR(__xludf.DUMMYFUNCTION("""COMPUTED_VALUE"""),441.85)</f>
        <v>441.85</v>
      </c>
      <c r="M1870" s="223"/>
      <c r="N1870" s="223"/>
      <c r="O1870" s="223"/>
      <c r="P1870" s="223"/>
      <c r="Q1870" s="223"/>
      <c r="R1870" s="223"/>
      <c r="S1870" s="223"/>
      <c r="T1870" s="223"/>
      <c r="U1870" s="223"/>
      <c r="V1870" s="223"/>
      <c r="W1870" s="223"/>
      <c r="X1870" s="223"/>
      <c r="Y1870" s="223"/>
      <c r="Z1870" s="223"/>
    </row>
    <row r="1871">
      <c r="A1871" s="223" t="str">
        <f>IFERROR(__xludf.DUMMYFUNCTION("""COMPUTED_VALUE"""),"Tugwell : 6 Month PPC")</f>
        <v>Tugwell : 6 Month PPC</v>
      </c>
      <c r="B1871" s="223" t="str">
        <f>IFERROR(__xludf.DUMMYFUNCTION("""COMPUTED_VALUE"""),"Tugwell")</f>
        <v>Tugwell</v>
      </c>
      <c r="C1871" s="223" t="str">
        <f>IFERROR(__xludf.DUMMYFUNCTION("""COMPUTED_VALUE"""),"6 Month PPC")</f>
        <v>6 Month PPC</v>
      </c>
      <c r="D1871" s="316">
        <f>IFERROR(__xludf.DUMMYFUNCTION("""COMPUTED_VALUE"""),44774.0)</f>
        <v>44774</v>
      </c>
      <c r="E1871" s="298"/>
      <c r="F1871" s="298"/>
      <c r="G1871" s="298"/>
      <c r="H1871" s="223"/>
      <c r="I1871" s="298">
        <f>IFERROR(__xludf.DUMMYFUNCTION("""COMPUTED_VALUE"""),104.3)</f>
        <v>104.3</v>
      </c>
      <c r="J1871" s="223" t="str">
        <f>IFERROR(__xludf.DUMMYFUNCTION("""COMPUTED_VALUE"""),"Fixed Project")</f>
        <v>Fixed Project</v>
      </c>
      <c r="K1871" s="317">
        <f>IFERROR(__xludf.DUMMYFUNCTION("""COMPUTED_VALUE"""),2022.0)</f>
        <v>2022</v>
      </c>
      <c r="L1871" s="298">
        <f>IFERROR(__xludf.DUMMYFUNCTION("""COMPUTED_VALUE"""),104.3)</f>
        <v>104.3</v>
      </c>
      <c r="M1871" s="223"/>
      <c r="N1871" s="223"/>
      <c r="O1871" s="223"/>
      <c r="P1871" s="223"/>
      <c r="Q1871" s="223"/>
      <c r="R1871" s="223"/>
      <c r="S1871" s="223"/>
      <c r="T1871" s="223"/>
      <c r="U1871" s="223"/>
      <c r="V1871" s="223"/>
      <c r="W1871" s="223"/>
      <c r="X1871" s="223"/>
      <c r="Y1871" s="223"/>
      <c r="Z1871" s="223"/>
    </row>
    <row r="1872">
      <c r="A1872" s="223" t="str">
        <f>IFERROR(__xludf.DUMMYFUNCTION("""COMPUTED_VALUE"""),"Venetian : Monthly Services")</f>
        <v>Venetian : Monthly Services</v>
      </c>
      <c r="B1872" s="223" t="str">
        <f>IFERROR(__xludf.DUMMYFUNCTION("""COMPUTED_VALUE"""),"Venetian")</f>
        <v>Venetian</v>
      </c>
      <c r="C1872" s="223" t="str">
        <f>IFERROR(__xludf.DUMMYFUNCTION("""COMPUTED_VALUE"""),"Monthly Services")</f>
        <v>Monthly Services</v>
      </c>
      <c r="D1872" s="316">
        <f>IFERROR(__xludf.DUMMYFUNCTION("""COMPUTED_VALUE"""),44774.0)</f>
        <v>44774</v>
      </c>
      <c r="E1872" s="298"/>
      <c r="F1872" s="298"/>
      <c r="G1872" s="298"/>
      <c r="H1872" s="223"/>
      <c r="I1872" s="298">
        <f>IFERROR(__xludf.DUMMYFUNCTION("""COMPUTED_VALUE"""),608.52)</f>
        <v>608.52</v>
      </c>
      <c r="J1872" s="223" t="str">
        <f>IFERROR(__xludf.DUMMYFUNCTION("""COMPUTED_VALUE"""),"Monthly")</f>
        <v>Monthly</v>
      </c>
      <c r="K1872" s="317">
        <f>IFERROR(__xludf.DUMMYFUNCTION("""COMPUTED_VALUE"""),2022.08)</f>
        <v>2022.08</v>
      </c>
      <c r="L1872" s="298">
        <f>IFERROR(__xludf.DUMMYFUNCTION("""COMPUTED_VALUE"""),608.52)</f>
        <v>608.52</v>
      </c>
      <c r="M1872" s="223"/>
      <c r="N1872" s="223"/>
      <c r="O1872" s="223"/>
      <c r="P1872" s="223"/>
      <c r="Q1872" s="223"/>
      <c r="R1872" s="223"/>
      <c r="S1872" s="223"/>
      <c r="T1872" s="223"/>
      <c r="U1872" s="223"/>
      <c r="V1872" s="223"/>
      <c r="W1872" s="223"/>
      <c r="X1872" s="223"/>
      <c r="Y1872" s="223"/>
      <c r="Z1872" s="223"/>
    </row>
    <row r="1873">
      <c r="A1873" s="223" t="str">
        <f>IFERROR(__xludf.DUMMYFUNCTION("""COMPUTED_VALUE"""),"Spraggs : Monthly Services")</f>
        <v>Spraggs : Monthly Services</v>
      </c>
      <c r="B1873" s="223" t="str">
        <f>IFERROR(__xludf.DUMMYFUNCTION("""COMPUTED_VALUE"""),"Spraggs")</f>
        <v>Spraggs</v>
      </c>
      <c r="C1873" s="223" t="str">
        <f>IFERROR(__xludf.DUMMYFUNCTION("""COMPUTED_VALUE"""),"Monthly Services")</f>
        <v>Monthly Services</v>
      </c>
      <c r="D1873" s="316">
        <f>IFERROR(__xludf.DUMMYFUNCTION("""COMPUTED_VALUE"""),44775.0)</f>
        <v>44775</v>
      </c>
      <c r="E1873" s="298"/>
      <c r="F1873" s="298"/>
      <c r="G1873" s="298"/>
      <c r="H1873" s="223"/>
      <c r="I1873" s="298">
        <f>IFERROR(__xludf.DUMMYFUNCTION("""COMPUTED_VALUE"""),70.0)</f>
        <v>70</v>
      </c>
      <c r="J1873" s="223" t="str">
        <f>IFERROR(__xludf.DUMMYFUNCTION("""COMPUTED_VALUE"""),"Monthly")</f>
        <v>Monthly</v>
      </c>
      <c r="K1873" s="317">
        <f>IFERROR(__xludf.DUMMYFUNCTION("""COMPUTED_VALUE"""),2022.08)</f>
        <v>2022.08</v>
      </c>
      <c r="L1873" s="298">
        <f>IFERROR(__xludf.DUMMYFUNCTION("""COMPUTED_VALUE"""),70.0)</f>
        <v>70</v>
      </c>
      <c r="M1873" s="223"/>
      <c r="N1873" s="223"/>
      <c r="O1873" s="223"/>
      <c r="P1873" s="223"/>
      <c r="Q1873" s="223"/>
      <c r="R1873" s="223"/>
      <c r="S1873" s="223"/>
      <c r="T1873" s="223"/>
      <c r="U1873" s="223"/>
      <c r="V1873" s="223"/>
      <c r="W1873" s="223"/>
      <c r="X1873" s="223"/>
      <c r="Y1873" s="223"/>
      <c r="Z1873" s="223"/>
    </row>
    <row r="1874">
      <c r="A1874" s="223" t="str">
        <f>IFERROR(__xludf.DUMMYFUNCTION("""COMPUTED_VALUE"""),"Arazy Group : Monthly Services")</f>
        <v>Arazy Group : Monthly Services</v>
      </c>
      <c r="B1874" s="223" t="str">
        <f>IFERROR(__xludf.DUMMYFUNCTION("""COMPUTED_VALUE"""),"Arazy Group")</f>
        <v>Arazy Group</v>
      </c>
      <c r="C1874" s="223" t="str">
        <f>IFERROR(__xludf.DUMMYFUNCTION("""COMPUTED_VALUE"""),"Monthly Services")</f>
        <v>Monthly Services</v>
      </c>
      <c r="D1874" s="316">
        <f>IFERROR(__xludf.DUMMYFUNCTION("""COMPUTED_VALUE"""),44804.0)</f>
        <v>44804</v>
      </c>
      <c r="E1874" s="298"/>
      <c r="F1874" s="298"/>
      <c r="G1874" s="298"/>
      <c r="H1874" s="223"/>
      <c r="I1874" s="298">
        <f>IFERROR(__xludf.DUMMYFUNCTION("""COMPUTED_VALUE"""),237.5)</f>
        <v>237.5</v>
      </c>
      <c r="J1874" s="223" t="str">
        <f>IFERROR(__xludf.DUMMYFUNCTION("""COMPUTED_VALUE"""),"Monthly")</f>
        <v>Monthly</v>
      </c>
      <c r="K1874" s="317">
        <f>IFERROR(__xludf.DUMMYFUNCTION("""COMPUTED_VALUE"""),2022.08)</f>
        <v>2022.08</v>
      </c>
      <c r="L1874" s="298"/>
      <c r="M1874" s="223"/>
      <c r="N1874" s="223"/>
      <c r="O1874" s="223"/>
      <c r="P1874" s="223"/>
      <c r="Q1874" s="223"/>
      <c r="R1874" s="223"/>
      <c r="S1874" s="223"/>
      <c r="T1874" s="223"/>
      <c r="U1874" s="223"/>
      <c r="V1874" s="223"/>
      <c r="W1874" s="223"/>
      <c r="X1874" s="223"/>
      <c r="Y1874" s="223"/>
      <c r="Z1874" s="223"/>
    </row>
    <row r="1875">
      <c r="A1875" s="223" t="str">
        <f>IFERROR(__xludf.DUMMYFUNCTION("""COMPUTED_VALUE"""),"HSJ Lawyers : Monthly Services")</f>
        <v>HSJ Lawyers : Monthly Services</v>
      </c>
      <c r="B1875" s="223" t="str">
        <f>IFERROR(__xludf.DUMMYFUNCTION("""COMPUTED_VALUE"""),"HSJ Lawyers")</f>
        <v>HSJ Lawyers</v>
      </c>
      <c r="C1875" s="223" t="str">
        <f>IFERROR(__xludf.DUMMYFUNCTION("""COMPUTED_VALUE"""),"Monthly Services")</f>
        <v>Monthly Services</v>
      </c>
      <c r="D1875" s="316">
        <f>IFERROR(__xludf.DUMMYFUNCTION("""COMPUTED_VALUE"""),44804.0)</f>
        <v>44804</v>
      </c>
      <c r="E1875" s="298"/>
      <c r="F1875" s="298"/>
      <c r="G1875" s="298"/>
      <c r="H1875" s="223"/>
      <c r="I1875" s="298">
        <f>IFERROR(__xludf.DUMMYFUNCTION("""COMPUTED_VALUE"""),225.0)</f>
        <v>225</v>
      </c>
      <c r="J1875" s="223" t="str">
        <f>IFERROR(__xludf.DUMMYFUNCTION("""COMPUTED_VALUE"""),"Monthly")</f>
        <v>Monthly</v>
      </c>
      <c r="K1875" s="317">
        <f>IFERROR(__xludf.DUMMYFUNCTION("""COMPUTED_VALUE"""),2022.08)</f>
        <v>2022.08</v>
      </c>
      <c r="L1875" s="298"/>
      <c r="M1875" s="223"/>
      <c r="N1875" s="223"/>
      <c r="O1875" s="223"/>
      <c r="P1875" s="223"/>
      <c r="Q1875" s="223"/>
      <c r="R1875" s="223"/>
      <c r="S1875" s="223"/>
      <c r="T1875" s="223"/>
      <c r="U1875" s="223"/>
      <c r="V1875" s="223"/>
      <c r="W1875" s="223"/>
      <c r="X1875" s="223"/>
      <c r="Y1875" s="223"/>
      <c r="Z1875" s="223"/>
    </row>
    <row r="1876">
      <c r="A1876" s="223" t="str">
        <f>IFERROR(__xludf.DUMMYFUNCTION("""COMPUTED_VALUE"""),"Tugwell : 6 Month PPC")</f>
        <v>Tugwell : 6 Month PPC</v>
      </c>
      <c r="B1876" s="223" t="str">
        <f>IFERROR(__xludf.DUMMYFUNCTION("""COMPUTED_VALUE"""),"Tugwell")</f>
        <v>Tugwell</v>
      </c>
      <c r="C1876" s="223" t="str">
        <f>IFERROR(__xludf.DUMMYFUNCTION("""COMPUTED_VALUE"""),"6 Month PPC")</f>
        <v>6 Month PPC</v>
      </c>
      <c r="D1876" s="316">
        <f>IFERROR(__xludf.DUMMYFUNCTION("""COMPUTED_VALUE"""),44804.0)</f>
        <v>44804</v>
      </c>
      <c r="E1876" s="298"/>
      <c r="F1876" s="298"/>
      <c r="G1876" s="298"/>
      <c r="H1876" s="223"/>
      <c r="I1876" s="298">
        <f>IFERROR(__xludf.DUMMYFUNCTION("""COMPUTED_VALUE"""),125.0)</f>
        <v>125</v>
      </c>
      <c r="J1876" s="223" t="str">
        <f>IFERROR(__xludf.DUMMYFUNCTION("""COMPUTED_VALUE"""),"Fixed Project")</f>
        <v>Fixed Project</v>
      </c>
      <c r="K1876" s="317">
        <f>IFERROR(__xludf.DUMMYFUNCTION("""COMPUTED_VALUE"""),2022.0)</f>
        <v>2022</v>
      </c>
      <c r="L1876" s="298"/>
      <c r="M1876" s="223"/>
      <c r="N1876" s="223"/>
      <c r="O1876" s="223"/>
      <c r="P1876" s="223"/>
      <c r="Q1876" s="223"/>
      <c r="R1876" s="223"/>
      <c r="S1876" s="223"/>
      <c r="T1876" s="223"/>
      <c r="U1876" s="223"/>
      <c r="V1876" s="223"/>
      <c r="W1876" s="223"/>
      <c r="X1876" s="223"/>
      <c r="Y1876" s="223"/>
      <c r="Z1876" s="223"/>
    </row>
    <row r="1877">
      <c r="A1877" s="223" t="str">
        <f>IFERROR(__xludf.DUMMYFUNCTION("""COMPUTED_VALUE"""),"Crisp Media : Genus Capital Managment PPC")</f>
        <v>Crisp Media : Genus Capital Managment PPC</v>
      </c>
      <c r="B1877" s="223" t="str">
        <f>IFERROR(__xludf.DUMMYFUNCTION("""COMPUTED_VALUE"""),"Crisp Media")</f>
        <v>Crisp Media</v>
      </c>
      <c r="C1877" s="223" t="str">
        <f>IFERROR(__xludf.DUMMYFUNCTION("""COMPUTED_VALUE"""),"Genus Capital Managment PPC")</f>
        <v>Genus Capital Managment PPC</v>
      </c>
      <c r="D1877" s="316">
        <f>IFERROR(__xludf.DUMMYFUNCTION("""COMPUTED_VALUE"""),44804.0)</f>
        <v>44804</v>
      </c>
      <c r="E1877" s="298"/>
      <c r="F1877" s="298"/>
      <c r="G1877" s="298"/>
      <c r="H1877" s="223"/>
      <c r="I1877" s="298">
        <f>IFERROR(__xludf.DUMMYFUNCTION("""COMPUTED_VALUE"""),175.0)</f>
        <v>175</v>
      </c>
      <c r="J1877" s="223" t="str">
        <f>IFERROR(__xludf.DUMMYFUNCTION("""COMPUTED_VALUE"""),"Fixed Project")</f>
        <v>Fixed Project</v>
      </c>
      <c r="K1877" s="317">
        <f>IFERROR(__xludf.DUMMYFUNCTION("""COMPUTED_VALUE"""),2022.0)</f>
        <v>2022</v>
      </c>
      <c r="L1877" s="298"/>
      <c r="M1877" s="223"/>
      <c r="N1877" s="223"/>
      <c r="O1877" s="223"/>
      <c r="P1877" s="223"/>
      <c r="Q1877" s="223"/>
      <c r="R1877" s="223"/>
      <c r="S1877" s="223"/>
      <c r="T1877" s="223"/>
      <c r="U1877" s="223"/>
      <c r="V1877" s="223"/>
      <c r="W1877" s="223"/>
      <c r="X1877" s="223"/>
      <c r="Y1877" s="223"/>
      <c r="Z1877" s="223"/>
    </row>
    <row r="1878">
      <c r="A1878" s="223" t="str">
        <f>IFERROR(__xludf.DUMMYFUNCTION("""COMPUTED_VALUE"""),"Charli AI : PPC Work")</f>
        <v>Charli AI : PPC Work</v>
      </c>
      <c r="B1878" s="223" t="str">
        <f>IFERROR(__xludf.DUMMYFUNCTION("""COMPUTED_VALUE"""),"Charli AI")</f>
        <v>Charli AI</v>
      </c>
      <c r="C1878" s="223" t="str">
        <f>IFERROR(__xludf.DUMMYFUNCTION("""COMPUTED_VALUE"""),"PPC Work")</f>
        <v>PPC Work</v>
      </c>
      <c r="D1878" s="316">
        <f>IFERROR(__xludf.DUMMYFUNCTION("""COMPUTED_VALUE"""),44804.0)</f>
        <v>44804</v>
      </c>
      <c r="E1878" s="298"/>
      <c r="F1878" s="298"/>
      <c r="G1878" s="298"/>
      <c r="H1878" s="223"/>
      <c r="I1878" s="298">
        <f>IFERROR(__xludf.DUMMYFUNCTION("""COMPUTED_VALUE"""),175.0)</f>
        <v>175</v>
      </c>
      <c r="J1878" s="223" t="str">
        <f>IFERROR(__xludf.DUMMYFUNCTION("""COMPUTED_VALUE"""),"Fixed Project")</f>
        <v>Fixed Project</v>
      </c>
      <c r="K1878" s="317">
        <f>IFERROR(__xludf.DUMMYFUNCTION("""COMPUTED_VALUE"""),2022.0)</f>
        <v>2022</v>
      </c>
      <c r="L1878" s="298"/>
      <c r="M1878" s="223"/>
      <c r="N1878" s="223"/>
      <c r="O1878" s="223"/>
      <c r="P1878" s="223"/>
      <c r="Q1878" s="223"/>
      <c r="R1878" s="223"/>
      <c r="S1878" s="223"/>
      <c r="T1878" s="223"/>
      <c r="U1878" s="223"/>
      <c r="V1878" s="223"/>
      <c r="W1878" s="223"/>
      <c r="X1878" s="223"/>
      <c r="Y1878" s="223"/>
      <c r="Z1878" s="223"/>
    </row>
    <row r="1879">
      <c r="A1879" s="223" t="str">
        <f>IFERROR(__xludf.DUMMYFUNCTION("""COMPUTED_VALUE"""),"PlusROI : Marketing")</f>
        <v>PlusROI : Marketing</v>
      </c>
      <c r="B1879" s="223" t="str">
        <f>IFERROR(__xludf.DUMMYFUNCTION("""COMPUTED_VALUE"""),"PlusROI")</f>
        <v>PlusROI</v>
      </c>
      <c r="C1879" s="223" t="str">
        <f>IFERROR(__xludf.DUMMYFUNCTION("""COMPUTED_VALUE"""),"Marketing")</f>
        <v>Marketing</v>
      </c>
      <c r="D1879" s="316">
        <f>IFERROR(__xludf.DUMMYFUNCTION("""COMPUTED_VALUE"""),44804.0)</f>
        <v>44804</v>
      </c>
      <c r="E1879" s="298"/>
      <c r="F1879" s="298"/>
      <c r="G1879" s="298"/>
      <c r="H1879" s="223"/>
      <c r="I1879" s="298">
        <f>IFERROR(__xludf.DUMMYFUNCTION("""COMPUTED_VALUE"""),100.0)</f>
        <v>100</v>
      </c>
      <c r="J1879" s="223" t="str">
        <f>IFERROR(__xludf.DUMMYFUNCTION("""COMPUTED_VALUE"""),"Hourly")</f>
        <v>Hourly</v>
      </c>
      <c r="K1879" s="317">
        <f>IFERROR(__xludf.DUMMYFUNCTION("""COMPUTED_VALUE"""),2022.0)</f>
        <v>2022</v>
      </c>
      <c r="L1879" s="298"/>
      <c r="M1879" s="223"/>
      <c r="N1879" s="223"/>
      <c r="O1879" s="223"/>
      <c r="P1879" s="223"/>
      <c r="Q1879" s="223"/>
      <c r="R1879" s="223"/>
      <c r="S1879" s="223"/>
      <c r="T1879" s="223"/>
      <c r="U1879" s="223"/>
      <c r="V1879" s="223"/>
      <c r="W1879" s="223"/>
      <c r="X1879" s="223"/>
      <c r="Y1879" s="223"/>
      <c r="Z1879" s="223"/>
    </row>
    <row r="1880">
      <c r="A1880" s="223" t="str">
        <f>IFERROR(__xludf.DUMMYFUNCTION("""COMPUTED_VALUE"""),"BookKing (Pacific Tier) : Monthly Services")</f>
        <v>BookKing (Pacific Tier) : Monthly Services</v>
      </c>
      <c r="B1880" s="223" t="str">
        <f>IFERROR(__xludf.DUMMYFUNCTION("""COMPUTED_VALUE"""),"BookKing (Pacific Tier)")</f>
        <v>BookKing (Pacific Tier)</v>
      </c>
      <c r="C1880" s="223" t="str">
        <f>IFERROR(__xludf.DUMMYFUNCTION("""COMPUTED_VALUE"""),"Monthly Services")</f>
        <v>Monthly Services</v>
      </c>
      <c r="D1880" s="316">
        <f>IFERROR(__xludf.DUMMYFUNCTION("""COMPUTED_VALUE"""),44804.0)</f>
        <v>44804</v>
      </c>
      <c r="E1880" s="298"/>
      <c r="F1880" s="298"/>
      <c r="G1880" s="298"/>
      <c r="H1880" s="223"/>
      <c r="I1880" s="298">
        <f>IFERROR(__xludf.DUMMYFUNCTION("""COMPUTED_VALUE"""),200.0)</f>
        <v>200</v>
      </c>
      <c r="J1880" s="223" t="str">
        <f>IFERROR(__xludf.DUMMYFUNCTION("""COMPUTED_VALUE"""),"Monthly")</f>
        <v>Monthly</v>
      </c>
      <c r="K1880" s="317">
        <f>IFERROR(__xludf.DUMMYFUNCTION("""COMPUTED_VALUE"""),2022.08)</f>
        <v>2022.08</v>
      </c>
      <c r="L1880" s="298"/>
      <c r="M1880" s="223"/>
      <c r="N1880" s="223"/>
      <c r="O1880" s="223"/>
      <c r="P1880" s="223"/>
      <c r="Q1880" s="223"/>
      <c r="R1880" s="223"/>
      <c r="S1880" s="223"/>
      <c r="T1880" s="223"/>
      <c r="U1880" s="223"/>
      <c r="V1880" s="223"/>
      <c r="W1880" s="223"/>
      <c r="X1880" s="223"/>
      <c r="Y1880" s="223"/>
      <c r="Z1880" s="223"/>
    </row>
    <row r="1881">
      <c r="A1881" s="223" t="str">
        <f>IFERROR(__xludf.DUMMYFUNCTION("""COMPUTED_VALUE"""),"PlusROI : Marketing")</f>
        <v>PlusROI : Marketing</v>
      </c>
      <c r="B1881" s="223" t="str">
        <f>IFERROR(__xludf.DUMMYFUNCTION("""COMPUTED_VALUE"""),"PlusROI")</f>
        <v>PlusROI</v>
      </c>
      <c r="C1881" s="223" t="str">
        <f>IFERROR(__xludf.DUMMYFUNCTION("""COMPUTED_VALUE"""),"Marketing")</f>
        <v>Marketing</v>
      </c>
      <c r="D1881" s="316">
        <f>IFERROR(__xludf.DUMMYFUNCTION("""COMPUTED_VALUE"""),44804.0)</f>
        <v>44804</v>
      </c>
      <c r="E1881" s="298"/>
      <c r="F1881" s="298"/>
      <c r="G1881" s="298"/>
      <c r="H1881" s="223"/>
      <c r="I1881" s="298">
        <f>IFERROR(__xludf.DUMMYFUNCTION("""COMPUTED_VALUE"""),150.0)</f>
        <v>150</v>
      </c>
      <c r="J1881" s="223" t="str">
        <f>IFERROR(__xludf.DUMMYFUNCTION("""COMPUTED_VALUE"""),"Hourly")</f>
        <v>Hourly</v>
      </c>
      <c r="K1881" s="317">
        <f>IFERROR(__xludf.DUMMYFUNCTION("""COMPUTED_VALUE"""),2022.0)</f>
        <v>2022</v>
      </c>
      <c r="L1881" s="298"/>
      <c r="M1881" s="223"/>
      <c r="N1881" s="223"/>
      <c r="O1881" s="223"/>
      <c r="P1881" s="223"/>
      <c r="Q1881" s="223"/>
      <c r="R1881" s="223"/>
      <c r="S1881" s="223"/>
      <c r="T1881" s="223"/>
      <c r="U1881" s="223"/>
      <c r="V1881" s="223"/>
      <c r="W1881" s="223"/>
      <c r="X1881" s="223"/>
      <c r="Y1881" s="223"/>
      <c r="Z1881" s="223"/>
    </row>
    <row r="1882">
      <c r="A1882" s="223" t="str">
        <f>IFERROR(__xludf.DUMMYFUNCTION("""COMPUTED_VALUE"""),"Viridian : Monthly Services")</f>
        <v>Viridian : Monthly Services</v>
      </c>
      <c r="B1882" s="223" t="str">
        <f>IFERROR(__xludf.DUMMYFUNCTION("""COMPUTED_VALUE"""),"Viridian")</f>
        <v>Viridian</v>
      </c>
      <c r="C1882" s="223" t="str">
        <f>IFERROR(__xludf.DUMMYFUNCTION("""COMPUTED_VALUE"""),"Monthly Services")</f>
        <v>Monthly Services</v>
      </c>
      <c r="D1882" s="316">
        <f>IFERROR(__xludf.DUMMYFUNCTION("""COMPUTED_VALUE"""),44804.0)</f>
        <v>44804</v>
      </c>
      <c r="E1882" s="298"/>
      <c r="F1882" s="298"/>
      <c r="G1882" s="298"/>
      <c r="H1882" s="223"/>
      <c r="I1882" s="298">
        <f>IFERROR(__xludf.DUMMYFUNCTION("""COMPUTED_VALUE"""),312.5)</f>
        <v>312.5</v>
      </c>
      <c r="J1882" s="223" t="str">
        <f>IFERROR(__xludf.DUMMYFUNCTION("""COMPUTED_VALUE"""),"Monthly")</f>
        <v>Monthly</v>
      </c>
      <c r="K1882" s="317">
        <f>IFERROR(__xludf.DUMMYFUNCTION("""COMPUTED_VALUE"""),2022.08)</f>
        <v>2022.08</v>
      </c>
      <c r="L1882" s="298"/>
      <c r="M1882" s="223"/>
      <c r="N1882" s="223"/>
      <c r="O1882" s="223"/>
      <c r="P1882" s="223"/>
      <c r="Q1882" s="223"/>
      <c r="R1882" s="223"/>
      <c r="S1882" s="223"/>
      <c r="T1882" s="223"/>
      <c r="U1882" s="223"/>
      <c r="V1882" s="223"/>
      <c r="W1882" s="223"/>
      <c r="X1882" s="223"/>
      <c r="Y1882" s="223"/>
      <c r="Z1882" s="223"/>
    </row>
    <row r="1883">
      <c r="A1883" s="223" t="str">
        <f>IFERROR(__xludf.DUMMYFUNCTION("""COMPUTED_VALUE"""),"Service First : Monthly Services")</f>
        <v>Service First : Monthly Services</v>
      </c>
      <c r="B1883" s="223" t="str">
        <f>IFERROR(__xludf.DUMMYFUNCTION("""COMPUTED_VALUE"""),"Service First")</f>
        <v>Service First</v>
      </c>
      <c r="C1883" s="223" t="str">
        <f>IFERROR(__xludf.DUMMYFUNCTION("""COMPUTED_VALUE"""),"Monthly Services")</f>
        <v>Monthly Services</v>
      </c>
      <c r="D1883" s="316">
        <f>IFERROR(__xludf.DUMMYFUNCTION("""COMPUTED_VALUE"""),44804.0)</f>
        <v>44804</v>
      </c>
      <c r="E1883" s="298"/>
      <c r="F1883" s="298"/>
      <c r="G1883" s="298"/>
      <c r="H1883" s="223"/>
      <c r="I1883" s="298">
        <f>IFERROR(__xludf.DUMMYFUNCTION("""COMPUTED_VALUE"""),125.0)</f>
        <v>125</v>
      </c>
      <c r="J1883" s="223" t="str">
        <f>IFERROR(__xludf.DUMMYFUNCTION("""COMPUTED_VALUE"""),"Monthly")</f>
        <v>Monthly</v>
      </c>
      <c r="K1883" s="317">
        <f>IFERROR(__xludf.DUMMYFUNCTION("""COMPUTED_VALUE"""),2022.08)</f>
        <v>2022.08</v>
      </c>
      <c r="L1883" s="298"/>
      <c r="M1883" s="223"/>
      <c r="N1883" s="223"/>
      <c r="O1883" s="223"/>
      <c r="P1883" s="223"/>
      <c r="Q1883" s="223"/>
      <c r="R1883" s="223"/>
      <c r="S1883" s="223"/>
      <c r="T1883" s="223"/>
      <c r="U1883" s="223"/>
      <c r="V1883" s="223"/>
      <c r="W1883" s="223"/>
      <c r="X1883" s="223"/>
      <c r="Y1883" s="223"/>
      <c r="Z1883" s="223"/>
    </row>
    <row r="1884">
      <c r="A1884" s="223" t="str">
        <f>IFERROR(__xludf.DUMMYFUNCTION("""COMPUTED_VALUE"""),"PMDI : Monthly Services")</f>
        <v>PMDI : Monthly Services</v>
      </c>
      <c r="B1884" s="223" t="str">
        <f>IFERROR(__xludf.DUMMYFUNCTION("""COMPUTED_VALUE"""),"PMDI")</f>
        <v>PMDI</v>
      </c>
      <c r="C1884" s="223" t="str">
        <f>IFERROR(__xludf.DUMMYFUNCTION("""COMPUTED_VALUE"""),"Monthly Services")</f>
        <v>Monthly Services</v>
      </c>
      <c r="D1884" s="316">
        <f>IFERROR(__xludf.DUMMYFUNCTION("""COMPUTED_VALUE"""),44804.0)</f>
        <v>44804</v>
      </c>
      <c r="E1884" s="298"/>
      <c r="F1884" s="298"/>
      <c r="G1884" s="298"/>
      <c r="H1884" s="223"/>
      <c r="I1884" s="298">
        <f>IFERROR(__xludf.DUMMYFUNCTION("""COMPUTED_VALUE"""),137.5)</f>
        <v>137.5</v>
      </c>
      <c r="J1884" s="223" t="str">
        <f>IFERROR(__xludf.DUMMYFUNCTION("""COMPUTED_VALUE"""),"Monthly")</f>
        <v>Monthly</v>
      </c>
      <c r="K1884" s="317">
        <f>IFERROR(__xludf.DUMMYFUNCTION("""COMPUTED_VALUE"""),2022.08)</f>
        <v>2022.08</v>
      </c>
      <c r="L1884" s="298"/>
      <c r="M1884" s="223"/>
      <c r="N1884" s="223"/>
      <c r="O1884" s="223"/>
      <c r="P1884" s="223"/>
      <c r="Q1884" s="223"/>
      <c r="R1884" s="223"/>
      <c r="S1884" s="223"/>
      <c r="T1884" s="223"/>
      <c r="U1884" s="223"/>
      <c r="V1884" s="223"/>
      <c r="W1884" s="223"/>
      <c r="X1884" s="223"/>
      <c r="Y1884" s="223"/>
      <c r="Z1884" s="223"/>
    </row>
    <row r="1885">
      <c r="A1885" s="223" t="str">
        <f>IFERROR(__xludf.DUMMYFUNCTION("""COMPUTED_VALUE"""),"Anook Athletics : Monthly Services")</f>
        <v>Anook Athletics : Monthly Services</v>
      </c>
      <c r="B1885" s="223" t="str">
        <f>IFERROR(__xludf.DUMMYFUNCTION("""COMPUTED_VALUE"""),"Anook Athletics")</f>
        <v>Anook Athletics</v>
      </c>
      <c r="C1885" s="223" t="str">
        <f>IFERROR(__xludf.DUMMYFUNCTION("""COMPUTED_VALUE"""),"Monthly Services")</f>
        <v>Monthly Services</v>
      </c>
      <c r="D1885" s="316">
        <f>IFERROR(__xludf.DUMMYFUNCTION("""COMPUTED_VALUE"""),44804.0)</f>
        <v>44804</v>
      </c>
      <c r="E1885" s="298"/>
      <c r="F1885" s="298"/>
      <c r="G1885" s="298"/>
      <c r="H1885" s="223"/>
      <c r="I1885" s="298">
        <f>IFERROR(__xludf.DUMMYFUNCTION("""COMPUTED_VALUE"""),500.0)</f>
        <v>500</v>
      </c>
      <c r="J1885" s="223" t="str">
        <f>IFERROR(__xludf.DUMMYFUNCTION("""COMPUTED_VALUE"""),"Monthly")</f>
        <v>Monthly</v>
      </c>
      <c r="K1885" s="317">
        <f>IFERROR(__xludf.DUMMYFUNCTION("""COMPUTED_VALUE"""),2022.08)</f>
        <v>2022.08</v>
      </c>
      <c r="L1885" s="298"/>
      <c r="M1885" s="223"/>
      <c r="N1885" s="223"/>
      <c r="O1885" s="223"/>
      <c r="P1885" s="223"/>
      <c r="Q1885" s="223"/>
      <c r="R1885" s="223"/>
      <c r="S1885" s="223"/>
      <c r="T1885" s="223"/>
      <c r="U1885" s="223"/>
      <c r="V1885" s="223"/>
      <c r="W1885" s="223"/>
      <c r="X1885" s="223"/>
      <c r="Y1885" s="223"/>
      <c r="Z1885" s="223"/>
    </row>
    <row r="1886">
      <c r="A1886" s="223" t="str">
        <f>IFERROR(__xludf.DUMMYFUNCTION("""COMPUTED_VALUE"""),"MortgagePal : Monthly Services")</f>
        <v>MortgagePal : Monthly Services</v>
      </c>
      <c r="B1886" s="223" t="str">
        <f>IFERROR(__xludf.DUMMYFUNCTION("""COMPUTED_VALUE"""),"MortgagePal")</f>
        <v>MortgagePal</v>
      </c>
      <c r="C1886" s="223" t="str">
        <f>IFERROR(__xludf.DUMMYFUNCTION("""COMPUTED_VALUE"""),"Monthly Services")</f>
        <v>Monthly Services</v>
      </c>
      <c r="D1886" s="316">
        <f>IFERROR(__xludf.DUMMYFUNCTION("""COMPUTED_VALUE"""),44804.0)</f>
        <v>44804</v>
      </c>
      <c r="E1886" s="298"/>
      <c r="F1886" s="298"/>
      <c r="G1886" s="298"/>
      <c r="H1886" s="223"/>
      <c r="I1886" s="298">
        <f>IFERROR(__xludf.DUMMYFUNCTION("""COMPUTED_VALUE"""),212.5)</f>
        <v>212.5</v>
      </c>
      <c r="J1886" s="223" t="str">
        <f>IFERROR(__xludf.DUMMYFUNCTION("""COMPUTED_VALUE"""),"Monthly")</f>
        <v>Monthly</v>
      </c>
      <c r="K1886" s="317">
        <f>IFERROR(__xludf.DUMMYFUNCTION("""COMPUTED_VALUE"""),2022.08)</f>
        <v>2022.08</v>
      </c>
      <c r="L1886" s="298"/>
      <c r="M1886" s="223"/>
      <c r="N1886" s="223"/>
      <c r="O1886" s="223"/>
      <c r="P1886" s="223"/>
      <c r="Q1886" s="223"/>
      <c r="R1886" s="223"/>
      <c r="S1886" s="223"/>
      <c r="T1886" s="223"/>
      <c r="U1886" s="223"/>
      <c r="V1886" s="223"/>
      <c r="W1886" s="223"/>
      <c r="X1886" s="223"/>
      <c r="Y1886" s="223"/>
      <c r="Z1886" s="223"/>
    </row>
    <row r="1887">
      <c r="A1887" s="223" t="str">
        <f>IFERROR(__xludf.DUMMYFUNCTION("""COMPUTED_VALUE"""),"Wallack's Art Supplies : Monthly Services")</f>
        <v>Wallack's Art Supplies : Monthly Services</v>
      </c>
      <c r="B1887" s="223" t="str">
        <f>IFERROR(__xludf.DUMMYFUNCTION("""COMPUTED_VALUE"""),"Wallack's Art Supplies")</f>
        <v>Wallack's Art Supplies</v>
      </c>
      <c r="C1887" s="223" t="str">
        <f>IFERROR(__xludf.DUMMYFUNCTION("""COMPUTED_VALUE"""),"Monthly Services")</f>
        <v>Monthly Services</v>
      </c>
      <c r="D1887" s="316">
        <f>IFERROR(__xludf.DUMMYFUNCTION("""COMPUTED_VALUE"""),44804.0)</f>
        <v>44804</v>
      </c>
      <c r="E1887" s="298"/>
      <c r="F1887" s="298"/>
      <c r="G1887" s="298"/>
      <c r="H1887" s="223"/>
      <c r="I1887" s="298">
        <f>IFERROR(__xludf.DUMMYFUNCTION("""COMPUTED_VALUE"""),262.5)</f>
        <v>262.5</v>
      </c>
      <c r="J1887" s="223" t="str">
        <f>IFERROR(__xludf.DUMMYFUNCTION("""COMPUTED_VALUE"""),"Monthly")</f>
        <v>Monthly</v>
      </c>
      <c r="K1887" s="317">
        <f>IFERROR(__xludf.DUMMYFUNCTION("""COMPUTED_VALUE"""),2022.08)</f>
        <v>2022.08</v>
      </c>
      <c r="L1887" s="298"/>
      <c r="M1887" s="223"/>
      <c r="N1887" s="223"/>
      <c r="O1887" s="223"/>
      <c r="P1887" s="223"/>
      <c r="Q1887" s="223"/>
      <c r="R1887" s="223"/>
      <c r="S1887" s="223"/>
      <c r="T1887" s="223"/>
      <c r="U1887" s="223"/>
      <c r="V1887" s="223"/>
      <c r="W1887" s="223"/>
      <c r="X1887" s="223"/>
      <c r="Y1887" s="223"/>
      <c r="Z1887" s="223"/>
    </row>
    <row r="1888">
      <c r="A1888" s="223" t="str">
        <f>IFERROR(__xludf.DUMMYFUNCTION("""COMPUTED_VALUE"""),"Hastings House : Monthly Services")</f>
        <v>Hastings House : Monthly Services</v>
      </c>
      <c r="B1888" s="223" t="str">
        <f>IFERROR(__xludf.DUMMYFUNCTION("""COMPUTED_VALUE"""),"Hastings House")</f>
        <v>Hastings House</v>
      </c>
      <c r="C1888" s="223" t="str">
        <f>IFERROR(__xludf.DUMMYFUNCTION("""COMPUTED_VALUE"""),"Monthly Services")</f>
        <v>Monthly Services</v>
      </c>
      <c r="D1888" s="316">
        <f>IFERROR(__xludf.DUMMYFUNCTION("""COMPUTED_VALUE"""),44804.0)</f>
        <v>44804</v>
      </c>
      <c r="E1888" s="298"/>
      <c r="F1888" s="298"/>
      <c r="G1888" s="298"/>
      <c r="H1888" s="223"/>
      <c r="I1888" s="298">
        <f>IFERROR(__xludf.DUMMYFUNCTION("""COMPUTED_VALUE"""),350.0)</f>
        <v>350</v>
      </c>
      <c r="J1888" s="223" t="str">
        <f>IFERROR(__xludf.DUMMYFUNCTION("""COMPUTED_VALUE"""),"Monthly")</f>
        <v>Monthly</v>
      </c>
      <c r="K1888" s="317">
        <f>IFERROR(__xludf.DUMMYFUNCTION("""COMPUTED_VALUE"""),2022.08)</f>
        <v>2022.08</v>
      </c>
      <c r="L1888" s="298"/>
      <c r="M1888" s="223"/>
      <c r="N1888" s="223"/>
      <c r="O1888" s="223"/>
      <c r="P1888" s="223"/>
      <c r="Q1888" s="223"/>
      <c r="R1888" s="223"/>
      <c r="S1888" s="223"/>
      <c r="T1888" s="223"/>
      <c r="U1888" s="223"/>
      <c r="V1888" s="223"/>
      <c r="W1888" s="223"/>
      <c r="X1888" s="223"/>
      <c r="Y1888" s="223"/>
      <c r="Z1888" s="223"/>
    </row>
    <row r="1889">
      <c r="A1889" s="223" t="str">
        <f>IFERROR(__xludf.DUMMYFUNCTION("""COMPUTED_VALUE"""),"Spraggs : Monthly Services")</f>
        <v>Spraggs : Monthly Services</v>
      </c>
      <c r="B1889" s="223" t="str">
        <f>IFERROR(__xludf.DUMMYFUNCTION("""COMPUTED_VALUE"""),"Spraggs")</f>
        <v>Spraggs</v>
      </c>
      <c r="C1889" s="223" t="str">
        <f>IFERROR(__xludf.DUMMYFUNCTION("""COMPUTED_VALUE"""),"Monthly Services")</f>
        <v>Monthly Services</v>
      </c>
      <c r="D1889" s="316">
        <f>IFERROR(__xludf.DUMMYFUNCTION("""COMPUTED_VALUE"""),44804.0)</f>
        <v>44804</v>
      </c>
      <c r="E1889" s="298"/>
      <c r="F1889" s="298"/>
      <c r="G1889" s="298"/>
      <c r="H1889" s="223"/>
      <c r="I1889" s="298">
        <f>IFERROR(__xludf.DUMMYFUNCTION("""COMPUTED_VALUE"""),212.5)</f>
        <v>212.5</v>
      </c>
      <c r="J1889" s="223" t="str">
        <f>IFERROR(__xludf.DUMMYFUNCTION("""COMPUTED_VALUE"""),"Monthly")</f>
        <v>Monthly</v>
      </c>
      <c r="K1889" s="317">
        <f>IFERROR(__xludf.DUMMYFUNCTION("""COMPUTED_VALUE"""),2022.08)</f>
        <v>2022.08</v>
      </c>
      <c r="L1889" s="298"/>
      <c r="M1889" s="223"/>
      <c r="N1889" s="223"/>
      <c r="O1889" s="223"/>
      <c r="P1889" s="223"/>
      <c r="Q1889" s="223"/>
      <c r="R1889" s="223"/>
      <c r="S1889" s="223"/>
      <c r="T1889" s="223"/>
      <c r="U1889" s="223"/>
      <c r="V1889" s="223"/>
      <c r="W1889" s="223"/>
      <c r="X1889" s="223"/>
      <c r="Y1889" s="223"/>
      <c r="Z1889" s="223"/>
    </row>
    <row r="1890">
      <c r="A1890" s="223" t="str">
        <f>IFERROR(__xludf.DUMMYFUNCTION("""COMPUTED_VALUE"""),"Availed Technologies : Monthly Services")</f>
        <v>Availed Technologies : Monthly Services</v>
      </c>
      <c r="B1890" s="223" t="str">
        <f>IFERROR(__xludf.DUMMYFUNCTION("""COMPUTED_VALUE"""),"Availed Technologies")</f>
        <v>Availed Technologies</v>
      </c>
      <c r="C1890" s="223" t="str">
        <f>IFERROR(__xludf.DUMMYFUNCTION("""COMPUTED_VALUE"""),"Monthly Services")</f>
        <v>Monthly Services</v>
      </c>
      <c r="D1890" s="316">
        <f>IFERROR(__xludf.DUMMYFUNCTION("""COMPUTED_VALUE"""),44804.0)</f>
        <v>44804</v>
      </c>
      <c r="E1890" s="298"/>
      <c r="F1890" s="298"/>
      <c r="G1890" s="298"/>
      <c r="H1890" s="223"/>
      <c r="I1890" s="298">
        <f>IFERROR(__xludf.DUMMYFUNCTION("""COMPUTED_VALUE"""),227.5)</f>
        <v>227.5</v>
      </c>
      <c r="J1890" s="223" t="str">
        <f>IFERROR(__xludf.DUMMYFUNCTION("""COMPUTED_VALUE"""),"Monthly")</f>
        <v>Monthly</v>
      </c>
      <c r="K1890" s="317">
        <f>IFERROR(__xludf.DUMMYFUNCTION("""COMPUTED_VALUE"""),2022.08)</f>
        <v>2022.08</v>
      </c>
      <c r="L1890" s="298"/>
      <c r="M1890" s="223"/>
      <c r="N1890" s="223"/>
      <c r="O1890" s="223"/>
      <c r="P1890" s="223"/>
      <c r="Q1890" s="223"/>
      <c r="R1890" s="223"/>
      <c r="S1890" s="223"/>
      <c r="T1890" s="223"/>
      <c r="U1890" s="223"/>
      <c r="V1890" s="223"/>
      <c r="W1890" s="223"/>
      <c r="X1890" s="223"/>
      <c r="Y1890" s="223"/>
      <c r="Z1890" s="223"/>
    </row>
    <row r="1891">
      <c r="A1891" s="223" t="str">
        <f>IFERROR(__xludf.DUMMYFUNCTION("""COMPUTED_VALUE"""),"Bratopia : Monthly Services")</f>
        <v>Bratopia : Monthly Services</v>
      </c>
      <c r="B1891" s="223" t="str">
        <f>IFERROR(__xludf.DUMMYFUNCTION("""COMPUTED_VALUE"""),"Bratopia")</f>
        <v>Bratopia</v>
      </c>
      <c r="C1891" s="223" t="str">
        <f>IFERROR(__xludf.DUMMYFUNCTION("""COMPUTED_VALUE"""),"Monthly Services")</f>
        <v>Monthly Services</v>
      </c>
      <c r="D1891" s="316">
        <f>IFERROR(__xludf.DUMMYFUNCTION("""COMPUTED_VALUE"""),44804.0)</f>
        <v>44804</v>
      </c>
      <c r="E1891" s="298"/>
      <c r="F1891" s="298"/>
      <c r="G1891" s="298"/>
      <c r="H1891" s="223"/>
      <c r="I1891" s="298">
        <f>IFERROR(__xludf.DUMMYFUNCTION("""COMPUTED_VALUE"""),315.0)</f>
        <v>315</v>
      </c>
      <c r="J1891" s="223" t="str">
        <f>IFERROR(__xludf.DUMMYFUNCTION("""COMPUTED_VALUE"""),"Monthly")</f>
        <v>Monthly</v>
      </c>
      <c r="K1891" s="317">
        <f>IFERROR(__xludf.DUMMYFUNCTION("""COMPUTED_VALUE"""),2022.08)</f>
        <v>2022.08</v>
      </c>
      <c r="L1891" s="298"/>
      <c r="M1891" s="223"/>
      <c r="N1891" s="223"/>
      <c r="O1891" s="223"/>
      <c r="P1891" s="223"/>
      <c r="Q1891" s="223"/>
      <c r="R1891" s="223"/>
      <c r="S1891" s="223"/>
      <c r="T1891" s="223"/>
      <c r="U1891" s="223"/>
      <c r="V1891" s="223"/>
      <c r="W1891" s="223"/>
      <c r="X1891" s="223"/>
      <c r="Y1891" s="223"/>
      <c r="Z1891" s="223"/>
    </row>
    <row r="1892">
      <c r="A1892" s="223" t="str">
        <f>IFERROR(__xludf.DUMMYFUNCTION("""COMPUTED_VALUE"""),"HSJ Lawyers : Monthly Services")</f>
        <v>HSJ Lawyers : Monthly Services</v>
      </c>
      <c r="B1892" s="223" t="str">
        <f>IFERROR(__xludf.DUMMYFUNCTION("""COMPUTED_VALUE"""),"HSJ Lawyers")</f>
        <v>HSJ Lawyers</v>
      </c>
      <c r="C1892" s="223" t="str">
        <f>IFERROR(__xludf.DUMMYFUNCTION("""COMPUTED_VALUE"""),"Monthly Services")</f>
        <v>Monthly Services</v>
      </c>
      <c r="D1892" s="316">
        <f>IFERROR(__xludf.DUMMYFUNCTION("""COMPUTED_VALUE"""),44804.0)</f>
        <v>44804</v>
      </c>
      <c r="E1892" s="298"/>
      <c r="F1892" s="298"/>
      <c r="G1892" s="298"/>
      <c r="H1892" s="223"/>
      <c r="I1892" s="298">
        <f>IFERROR(__xludf.DUMMYFUNCTION("""COMPUTED_VALUE"""),140.0)</f>
        <v>140</v>
      </c>
      <c r="J1892" s="223" t="str">
        <f>IFERROR(__xludf.DUMMYFUNCTION("""COMPUTED_VALUE"""),"Monthly")</f>
        <v>Monthly</v>
      </c>
      <c r="K1892" s="317">
        <f>IFERROR(__xludf.DUMMYFUNCTION("""COMPUTED_VALUE"""),2022.08)</f>
        <v>2022.08</v>
      </c>
      <c r="L1892" s="298"/>
      <c r="M1892" s="223"/>
      <c r="N1892" s="223"/>
      <c r="O1892" s="223"/>
      <c r="P1892" s="223"/>
      <c r="Q1892" s="223"/>
      <c r="R1892" s="223"/>
      <c r="S1892" s="223"/>
      <c r="T1892" s="223"/>
      <c r="U1892" s="223"/>
      <c r="V1892" s="223"/>
      <c r="W1892" s="223"/>
      <c r="X1892" s="223"/>
      <c r="Y1892" s="223"/>
      <c r="Z1892" s="223"/>
    </row>
    <row r="1893">
      <c r="A1893" s="223" t="str">
        <f>IFERROR(__xludf.DUMMYFUNCTION("""COMPUTED_VALUE"""),"Red Seal : Monthly Services")</f>
        <v>Red Seal : Monthly Services</v>
      </c>
      <c r="B1893" s="223" t="str">
        <f>IFERROR(__xludf.DUMMYFUNCTION("""COMPUTED_VALUE"""),"Red Seal")</f>
        <v>Red Seal</v>
      </c>
      <c r="C1893" s="223" t="str">
        <f>IFERROR(__xludf.DUMMYFUNCTION("""COMPUTED_VALUE"""),"Monthly Services")</f>
        <v>Monthly Services</v>
      </c>
      <c r="D1893" s="316">
        <f>IFERROR(__xludf.DUMMYFUNCTION("""COMPUTED_VALUE"""),44804.0)</f>
        <v>44804</v>
      </c>
      <c r="E1893" s="298"/>
      <c r="F1893" s="298"/>
      <c r="G1893" s="298"/>
      <c r="H1893" s="223"/>
      <c r="I1893" s="298">
        <f>IFERROR(__xludf.DUMMYFUNCTION("""COMPUTED_VALUE"""),365.0)</f>
        <v>365</v>
      </c>
      <c r="J1893" s="223" t="str">
        <f>IFERROR(__xludf.DUMMYFUNCTION("""COMPUTED_VALUE"""),"Monthly")</f>
        <v>Monthly</v>
      </c>
      <c r="K1893" s="317">
        <f>IFERROR(__xludf.DUMMYFUNCTION("""COMPUTED_VALUE"""),2022.08)</f>
        <v>2022.08</v>
      </c>
      <c r="L1893" s="298"/>
      <c r="M1893" s="223"/>
      <c r="N1893" s="223"/>
      <c r="O1893" s="223"/>
      <c r="P1893" s="223"/>
      <c r="Q1893" s="223"/>
      <c r="R1893" s="223"/>
      <c r="S1893" s="223"/>
      <c r="T1893" s="223"/>
      <c r="U1893" s="223"/>
      <c r="V1893" s="223"/>
      <c r="W1893" s="223"/>
      <c r="X1893" s="223"/>
      <c r="Y1893" s="223"/>
      <c r="Z1893" s="223"/>
    </row>
    <row r="1894">
      <c r="A1894" s="223" t="str">
        <f>IFERROR(__xludf.DUMMYFUNCTION("""COMPUTED_VALUE"""),"PlusROI : Marketing")</f>
        <v>PlusROI : Marketing</v>
      </c>
      <c r="B1894" s="223" t="str">
        <f>IFERROR(__xludf.DUMMYFUNCTION("""COMPUTED_VALUE"""),"PlusROI")</f>
        <v>PlusROI</v>
      </c>
      <c r="C1894" s="223" t="str">
        <f>IFERROR(__xludf.DUMMYFUNCTION("""COMPUTED_VALUE"""),"Marketing")</f>
        <v>Marketing</v>
      </c>
      <c r="D1894" s="316">
        <f>IFERROR(__xludf.DUMMYFUNCTION("""COMPUTED_VALUE"""),44804.0)</f>
        <v>44804</v>
      </c>
      <c r="E1894" s="298"/>
      <c r="F1894" s="298"/>
      <c r="G1894" s="298"/>
      <c r="H1894" s="223"/>
      <c r="I1894" s="298">
        <f>IFERROR(__xludf.DUMMYFUNCTION("""COMPUTED_VALUE"""),67.5)</f>
        <v>67.5</v>
      </c>
      <c r="J1894" s="223" t="str">
        <f>IFERROR(__xludf.DUMMYFUNCTION("""COMPUTED_VALUE"""),"Hourly")</f>
        <v>Hourly</v>
      </c>
      <c r="K1894" s="317">
        <f>IFERROR(__xludf.DUMMYFUNCTION("""COMPUTED_VALUE"""),2022.0)</f>
        <v>2022</v>
      </c>
      <c r="L1894" s="298"/>
      <c r="M1894" s="223"/>
      <c r="N1894" s="223"/>
      <c r="O1894" s="223"/>
      <c r="P1894" s="223"/>
      <c r="Q1894" s="223"/>
      <c r="R1894" s="223"/>
      <c r="S1894" s="223"/>
      <c r="T1894" s="223"/>
      <c r="U1894" s="223"/>
      <c r="V1894" s="223"/>
      <c r="W1894" s="223"/>
      <c r="X1894" s="223"/>
      <c r="Y1894" s="223"/>
      <c r="Z1894" s="223"/>
    </row>
    <row r="1895">
      <c r="A1895" s="223" t="str">
        <f>IFERROR(__xludf.DUMMYFUNCTION("""COMPUTED_VALUE"""),"Community Financials : Monthly Services")</f>
        <v>Community Financials : Monthly Services</v>
      </c>
      <c r="B1895" s="223" t="str">
        <f>IFERROR(__xludf.DUMMYFUNCTION("""COMPUTED_VALUE"""),"Community Financials")</f>
        <v>Community Financials</v>
      </c>
      <c r="C1895" s="223" t="str">
        <f>IFERROR(__xludf.DUMMYFUNCTION("""COMPUTED_VALUE"""),"Monthly Services")</f>
        <v>Monthly Services</v>
      </c>
      <c r="D1895" s="316">
        <f>IFERROR(__xludf.DUMMYFUNCTION("""COMPUTED_VALUE"""),44804.0)</f>
        <v>44804</v>
      </c>
      <c r="E1895" s="298"/>
      <c r="F1895" s="298"/>
      <c r="G1895" s="298"/>
      <c r="H1895" s="223"/>
      <c r="I1895" s="298">
        <f>IFERROR(__xludf.DUMMYFUNCTION("""COMPUTED_VALUE"""),30.0)</f>
        <v>30</v>
      </c>
      <c r="J1895" s="223" t="str">
        <f>IFERROR(__xludf.DUMMYFUNCTION("""COMPUTED_VALUE"""),"Monthly")</f>
        <v>Monthly</v>
      </c>
      <c r="K1895" s="317">
        <f>IFERROR(__xludf.DUMMYFUNCTION("""COMPUTED_VALUE"""),2022.08)</f>
        <v>2022.08</v>
      </c>
      <c r="L1895" s="298"/>
      <c r="M1895" s="223"/>
      <c r="N1895" s="223"/>
      <c r="O1895" s="223"/>
      <c r="P1895" s="223"/>
      <c r="Q1895" s="223"/>
      <c r="R1895" s="223"/>
      <c r="S1895" s="223"/>
      <c r="T1895" s="223"/>
      <c r="U1895" s="223"/>
      <c r="V1895" s="223"/>
      <c r="W1895" s="223"/>
      <c r="X1895" s="223"/>
      <c r="Y1895" s="223"/>
      <c r="Z1895" s="223"/>
    </row>
    <row r="1896">
      <c r="A1896" s="223" t="str">
        <f>IFERROR(__xludf.DUMMYFUNCTION("""COMPUTED_VALUE"""),"Continuity Programs Inc. : Website Relaunch and SEO Review")</f>
        <v>Continuity Programs Inc. : Website Relaunch and SEO Review</v>
      </c>
      <c r="B1896" s="223" t="str">
        <f>IFERROR(__xludf.DUMMYFUNCTION("""COMPUTED_VALUE"""),"Continuity Programs Inc.")</f>
        <v>Continuity Programs Inc.</v>
      </c>
      <c r="C1896" s="223" t="str">
        <f>IFERROR(__xludf.DUMMYFUNCTION("""COMPUTED_VALUE"""),"Website Relaunch and SEO Review")</f>
        <v>Website Relaunch and SEO Review</v>
      </c>
      <c r="D1896" s="316">
        <f>IFERROR(__xludf.DUMMYFUNCTION("""COMPUTED_VALUE"""),44804.0)</f>
        <v>44804</v>
      </c>
      <c r="E1896" s="298"/>
      <c r="F1896" s="298"/>
      <c r="G1896" s="298"/>
      <c r="H1896" s="223"/>
      <c r="I1896" s="298">
        <f>IFERROR(__xludf.DUMMYFUNCTION("""COMPUTED_VALUE"""),30.0)</f>
        <v>30</v>
      </c>
      <c r="J1896" s="223" t="str">
        <f>IFERROR(__xludf.DUMMYFUNCTION("""COMPUTED_VALUE"""),"Fixed Project")</f>
        <v>Fixed Project</v>
      </c>
      <c r="K1896" s="317">
        <f>IFERROR(__xludf.DUMMYFUNCTION("""COMPUTED_VALUE"""),2022.0)</f>
        <v>2022</v>
      </c>
      <c r="L1896" s="298"/>
      <c r="M1896" s="223"/>
      <c r="N1896" s="223"/>
      <c r="O1896" s="223"/>
      <c r="P1896" s="223"/>
      <c r="Q1896" s="223"/>
      <c r="R1896" s="223"/>
      <c r="S1896" s="223"/>
      <c r="T1896" s="223"/>
      <c r="U1896" s="223"/>
      <c r="V1896" s="223"/>
      <c r="W1896" s="223"/>
      <c r="X1896" s="223"/>
      <c r="Y1896" s="223"/>
      <c r="Z1896" s="223"/>
    </row>
    <row r="1897">
      <c r="A1897" s="223" t="str">
        <f>IFERROR(__xludf.DUMMYFUNCTION("""COMPUTED_VALUE"""),"Tuscany : Monthly Services")</f>
        <v>Tuscany : Monthly Services</v>
      </c>
      <c r="B1897" s="223" t="str">
        <f>IFERROR(__xludf.DUMMYFUNCTION("""COMPUTED_VALUE"""),"Tuscany")</f>
        <v>Tuscany</v>
      </c>
      <c r="C1897" s="223" t="str">
        <f>IFERROR(__xludf.DUMMYFUNCTION("""COMPUTED_VALUE"""),"Monthly Services")</f>
        <v>Monthly Services</v>
      </c>
      <c r="D1897" s="316">
        <f>IFERROR(__xludf.DUMMYFUNCTION("""COMPUTED_VALUE"""),44804.0)</f>
        <v>44804</v>
      </c>
      <c r="E1897" s="298"/>
      <c r="F1897" s="298"/>
      <c r="G1897" s="298"/>
      <c r="H1897" s="223"/>
      <c r="I1897" s="298">
        <f>IFERROR(__xludf.DUMMYFUNCTION("""COMPUTED_VALUE"""),662.5)</f>
        <v>662.5</v>
      </c>
      <c r="J1897" s="223" t="str">
        <f>IFERROR(__xludf.DUMMYFUNCTION("""COMPUTED_VALUE"""),"Monthly")</f>
        <v>Monthly</v>
      </c>
      <c r="K1897" s="317">
        <f>IFERROR(__xludf.DUMMYFUNCTION("""COMPUTED_VALUE"""),2022.08)</f>
        <v>2022.08</v>
      </c>
      <c r="L1897" s="298"/>
      <c r="M1897" s="223"/>
      <c r="N1897" s="223"/>
      <c r="O1897" s="223"/>
      <c r="P1897" s="223"/>
      <c r="Q1897" s="223"/>
      <c r="R1897" s="223"/>
      <c r="S1897" s="223"/>
      <c r="T1897" s="223"/>
      <c r="U1897" s="223"/>
      <c r="V1897" s="223"/>
      <c r="W1897" s="223"/>
      <c r="X1897" s="223"/>
      <c r="Y1897" s="223"/>
      <c r="Z1897" s="223"/>
    </row>
    <row r="1898">
      <c r="A1898" s="223" t="str">
        <f>IFERROR(__xludf.DUMMYFUNCTION("""COMPUTED_VALUE"""),"Venetian : Monthly Services")</f>
        <v>Venetian : Monthly Services</v>
      </c>
      <c r="B1898" s="223" t="str">
        <f>IFERROR(__xludf.DUMMYFUNCTION("""COMPUTED_VALUE"""),"Venetian")</f>
        <v>Venetian</v>
      </c>
      <c r="C1898" s="223" t="str">
        <f>IFERROR(__xludf.DUMMYFUNCTION("""COMPUTED_VALUE"""),"Monthly Services")</f>
        <v>Monthly Services</v>
      </c>
      <c r="D1898" s="316">
        <f>IFERROR(__xludf.DUMMYFUNCTION("""COMPUTED_VALUE"""),44804.0)</f>
        <v>44804</v>
      </c>
      <c r="E1898" s="298"/>
      <c r="F1898" s="298"/>
      <c r="G1898" s="298"/>
      <c r="H1898" s="223"/>
      <c r="I1898" s="298">
        <f>IFERROR(__xludf.DUMMYFUNCTION("""COMPUTED_VALUE"""),662.5)</f>
        <v>662.5</v>
      </c>
      <c r="J1898" s="223" t="str">
        <f>IFERROR(__xludf.DUMMYFUNCTION("""COMPUTED_VALUE"""),"Monthly")</f>
        <v>Monthly</v>
      </c>
      <c r="K1898" s="317">
        <f>IFERROR(__xludf.DUMMYFUNCTION("""COMPUTED_VALUE"""),2022.08)</f>
        <v>2022.08</v>
      </c>
      <c r="L1898" s="298"/>
      <c r="M1898" s="223"/>
      <c r="N1898" s="223"/>
      <c r="O1898" s="223"/>
      <c r="P1898" s="223"/>
      <c r="Q1898" s="223"/>
      <c r="R1898" s="223"/>
      <c r="S1898" s="223"/>
      <c r="T1898" s="223"/>
      <c r="U1898" s="223"/>
      <c r="V1898" s="223"/>
      <c r="W1898" s="223"/>
      <c r="X1898" s="223"/>
      <c r="Y1898" s="223"/>
      <c r="Z1898" s="223"/>
    </row>
    <row r="1899">
      <c r="A1899" s="223" t="str">
        <f>IFERROR(__xludf.DUMMYFUNCTION("""COMPUTED_VALUE"""),"Spraggs : Monthly Services")</f>
        <v>Spraggs : Monthly Services</v>
      </c>
      <c r="B1899" s="223" t="str">
        <f>IFERROR(__xludf.DUMMYFUNCTION("""COMPUTED_VALUE"""),"Spraggs")</f>
        <v>Spraggs</v>
      </c>
      <c r="C1899" s="223" t="str">
        <f>IFERROR(__xludf.DUMMYFUNCTION("""COMPUTED_VALUE"""),"Monthly Services")</f>
        <v>Monthly Services</v>
      </c>
      <c r="D1899" s="316">
        <f>IFERROR(__xludf.DUMMYFUNCTION("""COMPUTED_VALUE"""),44804.0)</f>
        <v>44804</v>
      </c>
      <c r="E1899" s="298"/>
      <c r="F1899" s="298"/>
      <c r="G1899" s="298"/>
      <c r="H1899" s="223"/>
      <c r="I1899" s="298">
        <f>IFERROR(__xludf.DUMMYFUNCTION("""COMPUTED_VALUE"""),450.0)</f>
        <v>450</v>
      </c>
      <c r="J1899" s="223" t="str">
        <f>IFERROR(__xludf.DUMMYFUNCTION("""COMPUTED_VALUE"""),"Monthly")</f>
        <v>Monthly</v>
      </c>
      <c r="K1899" s="317">
        <f>IFERROR(__xludf.DUMMYFUNCTION("""COMPUTED_VALUE"""),2022.08)</f>
        <v>2022.08</v>
      </c>
      <c r="L1899" s="298"/>
      <c r="M1899" s="223"/>
      <c r="N1899" s="223"/>
      <c r="O1899" s="223"/>
      <c r="P1899" s="223"/>
      <c r="Q1899" s="223"/>
      <c r="R1899" s="223"/>
      <c r="S1899" s="223"/>
      <c r="T1899" s="223"/>
      <c r="U1899" s="223"/>
      <c r="V1899" s="223"/>
      <c r="W1899" s="223"/>
      <c r="X1899" s="223"/>
      <c r="Y1899" s="223"/>
      <c r="Z1899" s="223"/>
    </row>
    <row r="1900">
      <c r="A1900" s="223" t="str">
        <f>IFERROR(__xludf.DUMMYFUNCTION("""COMPUTED_VALUE"""),"Diversified Health : Monthly Services")</f>
        <v>Diversified Health : Monthly Services</v>
      </c>
      <c r="B1900" s="223" t="str">
        <f>IFERROR(__xludf.DUMMYFUNCTION("""COMPUTED_VALUE"""),"Diversified Health")</f>
        <v>Diversified Health</v>
      </c>
      <c r="C1900" s="223" t="str">
        <f>IFERROR(__xludf.DUMMYFUNCTION("""COMPUTED_VALUE"""),"Monthly Services")</f>
        <v>Monthly Services</v>
      </c>
      <c r="D1900" s="316">
        <f>IFERROR(__xludf.DUMMYFUNCTION("""COMPUTED_VALUE"""),44804.0)</f>
        <v>44804</v>
      </c>
      <c r="E1900" s="298"/>
      <c r="F1900" s="298"/>
      <c r="G1900" s="298"/>
      <c r="H1900" s="223"/>
      <c r="I1900" s="298">
        <f>IFERROR(__xludf.DUMMYFUNCTION("""COMPUTED_VALUE"""),475.0)</f>
        <v>475</v>
      </c>
      <c r="J1900" s="223" t="str">
        <f>IFERROR(__xludf.DUMMYFUNCTION("""COMPUTED_VALUE"""),"Monthly")</f>
        <v>Monthly</v>
      </c>
      <c r="K1900" s="317">
        <f>IFERROR(__xludf.DUMMYFUNCTION("""COMPUTED_VALUE"""),2022.08)</f>
        <v>2022.08</v>
      </c>
      <c r="L1900" s="298"/>
      <c r="M1900" s="223"/>
      <c r="N1900" s="223"/>
      <c r="O1900" s="223"/>
      <c r="P1900" s="223"/>
      <c r="Q1900" s="223"/>
      <c r="R1900" s="223"/>
      <c r="S1900" s="223"/>
      <c r="T1900" s="223"/>
      <c r="U1900" s="223"/>
      <c r="V1900" s="223"/>
      <c r="W1900" s="223"/>
      <c r="X1900" s="223"/>
      <c r="Y1900" s="223"/>
      <c r="Z1900" s="223"/>
    </row>
    <row r="1901">
      <c r="A1901" s="223" t="str">
        <f>IFERROR(__xludf.DUMMYFUNCTION("""COMPUTED_VALUE"""),"TisBest : Monthly Services")</f>
        <v>TisBest : Monthly Services</v>
      </c>
      <c r="B1901" s="223" t="str">
        <f>IFERROR(__xludf.DUMMYFUNCTION("""COMPUTED_VALUE"""),"TisBest")</f>
        <v>TisBest</v>
      </c>
      <c r="C1901" s="223" t="str">
        <f>IFERROR(__xludf.DUMMYFUNCTION("""COMPUTED_VALUE"""),"Monthly Services")</f>
        <v>Monthly Services</v>
      </c>
      <c r="D1901" s="316">
        <f>IFERROR(__xludf.DUMMYFUNCTION("""COMPUTED_VALUE"""),44804.0)</f>
        <v>44804</v>
      </c>
      <c r="E1901" s="298"/>
      <c r="F1901" s="298"/>
      <c r="G1901" s="298"/>
      <c r="H1901" s="223"/>
      <c r="I1901" s="298">
        <f>IFERROR(__xludf.DUMMYFUNCTION("""COMPUTED_VALUE"""),1087.5)</f>
        <v>1087.5</v>
      </c>
      <c r="J1901" s="223" t="str">
        <f>IFERROR(__xludf.DUMMYFUNCTION("""COMPUTED_VALUE"""),"Monthly")</f>
        <v>Monthly</v>
      </c>
      <c r="K1901" s="317">
        <f>IFERROR(__xludf.DUMMYFUNCTION("""COMPUTED_VALUE"""),2022.08)</f>
        <v>2022.08</v>
      </c>
      <c r="L1901" s="298"/>
      <c r="M1901" s="223"/>
      <c r="N1901" s="223"/>
      <c r="O1901" s="223"/>
      <c r="P1901" s="223"/>
      <c r="Q1901" s="223"/>
      <c r="R1901" s="223"/>
      <c r="S1901" s="223"/>
      <c r="T1901" s="223"/>
      <c r="U1901" s="223"/>
      <c r="V1901" s="223"/>
      <c r="W1901" s="223"/>
      <c r="X1901" s="223"/>
      <c r="Y1901" s="223"/>
      <c r="Z1901" s="223"/>
    </row>
    <row r="1902">
      <c r="A1902" s="223" t="str">
        <f>IFERROR(__xludf.DUMMYFUNCTION("""COMPUTED_VALUE"""),"Tofino Resort + Marina : Monthly Services")</f>
        <v>Tofino Resort + Marina : Monthly Services</v>
      </c>
      <c r="B1902" s="223" t="str">
        <f>IFERROR(__xludf.DUMMYFUNCTION("""COMPUTED_VALUE"""),"Tofino Resort + Marina")</f>
        <v>Tofino Resort + Marina</v>
      </c>
      <c r="C1902" s="223" t="str">
        <f>IFERROR(__xludf.DUMMYFUNCTION("""COMPUTED_VALUE"""),"Monthly Services")</f>
        <v>Monthly Services</v>
      </c>
      <c r="D1902" s="316">
        <f>IFERROR(__xludf.DUMMYFUNCTION("""COMPUTED_VALUE"""),44804.0)</f>
        <v>44804</v>
      </c>
      <c r="E1902" s="298"/>
      <c r="F1902" s="298"/>
      <c r="G1902" s="298"/>
      <c r="H1902" s="223"/>
      <c r="I1902" s="298">
        <f>IFERROR(__xludf.DUMMYFUNCTION("""COMPUTED_VALUE"""),450.0)</f>
        <v>450</v>
      </c>
      <c r="J1902" s="223" t="str">
        <f>IFERROR(__xludf.DUMMYFUNCTION("""COMPUTED_VALUE"""),"Monthly")</f>
        <v>Monthly</v>
      </c>
      <c r="K1902" s="317">
        <f>IFERROR(__xludf.DUMMYFUNCTION("""COMPUTED_VALUE"""),2022.08)</f>
        <v>2022.08</v>
      </c>
      <c r="L1902" s="298"/>
      <c r="M1902" s="223"/>
      <c r="N1902" s="223"/>
      <c r="O1902" s="223"/>
      <c r="P1902" s="223"/>
      <c r="Q1902" s="223"/>
      <c r="R1902" s="223"/>
      <c r="S1902" s="223"/>
      <c r="T1902" s="223"/>
      <c r="U1902" s="223"/>
      <c r="V1902" s="223"/>
      <c r="W1902" s="223"/>
      <c r="X1902" s="223"/>
      <c r="Y1902" s="223"/>
      <c r="Z1902" s="223"/>
    </row>
    <row r="1903">
      <c r="A1903" s="223" t="str">
        <f>IFERROR(__xludf.DUMMYFUNCTION("""COMPUTED_VALUE"""),"BookKing (Pacific Tier) : Monthly Services")</f>
        <v>BookKing (Pacific Tier) : Monthly Services</v>
      </c>
      <c r="B1903" s="223" t="str">
        <f>IFERROR(__xludf.DUMMYFUNCTION("""COMPUTED_VALUE"""),"BookKing (Pacific Tier)")</f>
        <v>BookKing (Pacific Tier)</v>
      </c>
      <c r="C1903" s="223" t="str">
        <f>IFERROR(__xludf.DUMMYFUNCTION("""COMPUTED_VALUE"""),"Monthly Services")</f>
        <v>Monthly Services</v>
      </c>
      <c r="D1903" s="316">
        <f>IFERROR(__xludf.DUMMYFUNCTION("""COMPUTED_VALUE"""),44804.0)</f>
        <v>44804</v>
      </c>
      <c r="E1903" s="298"/>
      <c r="F1903" s="298"/>
      <c r="G1903" s="298"/>
      <c r="H1903" s="223"/>
      <c r="I1903" s="298">
        <f>IFERROR(__xludf.DUMMYFUNCTION("""COMPUTED_VALUE"""),75.0)</f>
        <v>75</v>
      </c>
      <c r="J1903" s="223" t="str">
        <f>IFERROR(__xludf.DUMMYFUNCTION("""COMPUTED_VALUE"""),"Monthly")</f>
        <v>Monthly</v>
      </c>
      <c r="K1903" s="317">
        <f>IFERROR(__xludf.DUMMYFUNCTION("""COMPUTED_VALUE"""),2022.08)</f>
        <v>2022.08</v>
      </c>
      <c r="L1903" s="298"/>
      <c r="M1903" s="223"/>
      <c r="N1903" s="223"/>
      <c r="O1903" s="223"/>
      <c r="P1903" s="223"/>
      <c r="Q1903" s="223"/>
      <c r="R1903" s="223"/>
      <c r="S1903" s="223"/>
      <c r="T1903" s="223"/>
      <c r="U1903" s="223"/>
      <c r="V1903" s="223"/>
      <c r="W1903" s="223"/>
      <c r="X1903" s="223"/>
      <c r="Y1903" s="223"/>
      <c r="Z1903" s="223"/>
    </row>
    <row r="1904">
      <c r="A1904" s="223" t="str">
        <f>IFERROR(__xludf.DUMMYFUNCTION("""COMPUTED_VALUE"""),"Spraggs : Monthly Services")</f>
        <v>Spraggs : Monthly Services</v>
      </c>
      <c r="B1904" s="223" t="str">
        <f>IFERROR(__xludf.DUMMYFUNCTION("""COMPUTED_VALUE"""),"Spraggs")</f>
        <v>Spraggs</v>
      </c>
      <c r="C1904" s="223" t="str">
        <f>IFERROR(__xludf.DUMMYFUNCTION("""COMPUTED_VALUE"""),"Monthly Services")</f>
        <v>Monthly Services</v>
      </c>
      <c r="D1904" s="316">
        <f>IFERROR(__xludf.DUMMYFUNCTION("""COMPUTED_VALUE"""),44804.0)</f>
        <v>44804</v>
      </c>
      <c r="E1904" s="298"/>
      <c r="F1904" s="298"/>
      <c r="G1904" s="298"/>
      <c r="H1904" s="223"/>
      <c r="I1904" s="298">
        <f>IFERROR(__xludf.DUMMYFUNCTION("""COMPUTED_VALUE"""),575.0)</f>
        <v>575</v>
      </c>
      <c r="J1904" s="223" t="str">
        <f>IFERROR(__xludf.DUMMYFUNCTION("""COMPUTED_VALUE"""),"Monthly")</f>
        <v>Monthly</v>
      </c>
      <c r="K1904" s="317">
        <f>IFERROR(__xludf.DUMMYFUNCTION("""COMPUTED_VALUE"""),2022.08)</f>
        <v>2022.08</v>
      </c>
      <c r="L1904" s="298"/>
      <c r="M1904" s="223"/>
      <c r="N1904" s="223"/>
      <c r="O1904" s="223"/>
      <c r="P1904" s="223"/>
      <c r="Q1904" s="223"/>
      <c r="R1904" s="223"/>
      <c r="S1904" s="223"/>
      <c r="T1904" s="223"/>
      <c r="U1904" s="223"/>
      <c r="V1904" s="223"/>
      <c r="W1904" s="223"/>
      <c r="X1904" s="223"/>
      <c r="Y1904" s="223"/>
      <c r="Z1904" s="223"/>
    </row>
    <row r="1905">
      <c r="A1905" s="223" t="str">
        <f>IFERROR(__xludf.DUMMYFUNCTION("""COMPUTED_VALUE"""),"MortgagePal : Monthly Services")</f>
        <v>MortgagePal : Monthly Services</v>
      </c>
      <c r="B1905" s="223" t="str">
        <f>IFERROR(__xludf.DUMMYFUNCTION("""COMPUTED_VALUE"""),"MortgagePal")</f>
        <v>MortgagePal</v>
      </c>
      <c r="C1905" s="223" t="str">
        <f>IFERROR(__xludf.DUMMYFUNCTION("""COMPUTED_VALUE"""),"Monthly Services")</f>
        <v>Monthly Services</v>
      </c>
      <c r="D1905" s="316">
        <f>IFERROR(__xludf.DUMMYFUNCTION("""COMPUTED_VALUE"""),44804.0)</f>
        <v>44804</v>
      </c>
      <c r="E1905" s="298"/>
      <c r="F1905" s="298"/>
      <c r="G1905" s="298"/>
      <c r="H1905" s="223"/>
      <c r="I1905" s="298">
        <f>IFERROR(__xludf.DUMMYFUNCTION("""COMPUTED_VALUE"""),45.0)</f>
        <v>45</v>
      </c>
      <c r="J1905" s="223" t="str">
        <f>IFERROR(__xludf.DUMMYFUNCTION("""COMPUTED_VALUE"""),"Monthly")</f>
        <v>Monthly</v>
      </c>
      <c r="K1905" s="317">
        <f>IFERROR(__xludf.DUMMYFUNCTION("""COMPUTED_VALUE"""),2022.08)</f>
        <v>2022.08</v>
      </c>
      <c r="L1905" s="298"/>
      <c r="M1905" s="223"/>
      <c r="N1905" s="223"/>
      <c r="O1905" s="223"/>
      <c r="P1905" s="223"/>
      <c r="Q1905" s="223"/>
      <c r="R1905" s="223"/>
      <c r="S1905" s="223"/>
      <c r="T1905" s="223"/>
      <c r="U1905" s="223"/>
      <c r="V1905" s="223"/>
      <c r="W1905" s="223"/>
      <c r="X1905" s="223"/>
      <c r="Y1905" s="223"/>
      <c r="Z1905" s="223"/>
    </row>
    <row r="1906">
      <c r="A1906" s="223" t="str">
        <f>IFERROR(__xludf.DUMMYFUNCTION("""COMPUTED_VALUE"""),"Service First : Monthly Services")</f>
        <v>Service First : Monthly Services</v>
      </c>
      <c r="B1906" s="223" t="str">
        <f>IFERROR(__xludf.DUMMYFUNCTION("""COMPUTED_VALUE"""),"Service First")</f>
        <v>Service First</v>
      </c>
      <c r="C1906" s="223" t="str">
        <f>IFERROR(__xludf.DUMMYFUNCTION("""COMPUTED_VALUE"""),"Monthly Services")</f>
        <v>Monthly Services</v>
      </c>
      <c r="D1906" s="316">
        <f>IFERROR(__xludf.DUMMYFUNCTION("""COMPUTED_VALUE"""),44804.0)</f>
        <v>44804</v>
      </c>
      <c r="E1906" s="298"/>
      <c r="F1906" s="298"/>
      <c r="G1906" s="298"/>
      <c r="H1906" s="223"/>
      <c r="I1906" s="298">
        <f>IFERROR(__xludf.DUMMYFUNCTION("""COMPUTED_VALUE"""),30.0)</f>
        <v>30</v>
      </c>
      <c r="J1906" s="223" t="str">
        <f>IFERROR(__xludf.DUMMYFUNCTION("""COMPUTED_VALUE"""),"Monthly")</f>
        <v>Monthly</v>
      </c>
      <c r="K1906" s="317">
        <f>IFERROR(__xludf.DUMMYFUNCTION("""COMPUTED_VALUE"""),2022.08)</f>
        <v>2022.08</v>
      </c>
      <c r="L1906" s="298"/>
      <c r="M1906" s="223"/>
      <c r="N1906" s="223"/>
      <c r="O1906" s="223"/>
      <c r="P1906" s="223"/>
      <c r="Q1906" s="223"/>
      <c r="R1906" s="223"/>
      <c r="S1906" s="223"/>
      <c r="T1906" s="223"/>
      <c r="U1906" s="223"/>
      <c r="V1906" s="223"/>
      <c r="W1906" s="223"/>
      <c r="X1906" s="223"/>
      <c r="Y1906" s="223"/>
      <c r="Z1906" s="223"/>
    </row>
    <row r="1907">
      <c r="A1907" s="223" t="str">
        <f>IFERROR(__xludf.DUMMYFUNCTION("""COMPUTED_VALUE"""),"HSJ Lawyers : Monthly Services")</f>
        <v>HSJ Lawyers : Monthly Services</v>
      </c>
      <c r="B1907" s="223" t="str">
        <f>IFERROR(__xludf.DUMMYFUNCTION("""COMPUTED_VALUE"""),"HSJ Lawyers")</f>
        <v>HSJ Lawyers</v>
      </c>
      <c r="C1907" s="223" t="str">
        <f>IFERROR(__xludf.DUMMYFUNCTION("""COMPUTED_VALUE"""),"Monthly Services")</f>
        <v>Monthly Services</v>
      </c>
      <c r="D1907" s="316">
        <f>IFERROR(__xludf.DUMMYFUNCTION("""COMPUTED_VALUE"""),44804.0)</f>
        <v>44804</v>
      </c>
      <c r="E1907" s="298"/>
      <c r="F1907" s="298"/>
      <c r="G1907" s="298"/>
      <c r="H1907" s="223"/>
      <c r="I1907" s="298">
        <f>IFERROR(__xludf.DUMMYFUNCTION("""COMPUTED_VALUE"""),75.0)</f>
        <v>75</v>
      </c>
      <c r="J1907" s="223" t="str">
        <f>IFERROR(__xludf.DUMMYFUNCTION("""COMPUTED_VALUE"""),"Monthly")</f>
        <v>Monthly</v>
      </c>
      <c r="K1907" s="317">
        <f>IFERROR(__xludf.DUMMYFUNCTION("""COMPUTED_VALUE"""),2022.08)</f>
        <v>2022.08</v>
      </c>
      <c r="L1907" s="298"/>
      <c r="M1907" s="223"/>
      <c r="N1907" s="223"/>
      <c r="O1907" s="223"/>
      <c r="P1907" s="223"/>
      <c r="Q1907" s="223"/>
      <c r="R1907" s="223"/>
      <c r="S1907" s="223"/>
      <c r="T1907" s="223"/>
      <c r="U1907" s="223"/>
      <c r="V1907" s="223"/>
      <c r="W1907" s="223"/>
      <c r="X1907" s="223"/>
      <c r="Y1907" s="223"/>
      <c r="Z1907" s="223"/>
    </row>
    <row r="1908">
      <c r="A1908" s="223" t="str">
        <f>IFERROR(__xludf.DUMMYFUNCTION("""COMPUTED_VALUE"""),"Booginhead : Monthly Services")</f>
        <v>Booginhead : Monthly Services</v>
      </c>
      <c r="B1908" s="223" t="str">
        <f>IFERROR(__xludf.DUMMYFUNCTION("""COMPUTED_VALUE"""),"Booginhead")</f>
        <v>Booginhead</v>
      </c>
      <c r="C1908" s="223" t="str">
        <f>IFERROR(__xludf.DUMMYFUNCTION("""COMPUTED_VALUE"""),"Monthly Services")</f>
        <v>Monthly Services</v>
      </c>
      <c r="D1908" s="316">
        <f>IFERROR(__xludf.DUMMYFUNCTION("""COMPUTED_VALUE"""),44804.0)</f>
        <v>44804</v>
      </c>
      <c r="E1908" s="298"/>
      <c r="F1908" s="298"/>
      <c r="G1908" s="298"/>
      <c r="H1908" s="223"/>
      <c r="I1908" s="298">
        <f>IFERROR(__xludf.DUMMYFUNCTION("""COMPUTED_VALUE"""),120.0)</f>
        <v>120</v>
      </c>
      <c r="J1908" s="223" t="str">
        <f>IFERROR(__xludf.DUMMYFUNCTION("""COMPUTED_VALUE"""),"Monthly")</f>
        <v>Monthly</v>
      </c>
      <c r="K1908" s="317">
        <f>IFERROR(__xludf.DUMMYFUNCTION("""COMPUTED_VALUE"""),2022.08)</f>
        <v>2022.08</v>
      </c>
      <c r="L1908" s="298"/>
      <c r="M1908" s="223"/>
      <c r="N1908" s="223"/>
      <c r="O1908" s="223"/>
      <c r="P1908" s="223"/>
      <c r="Q1908" s="223"/>
      <c r="R1908" s="223"/>
      <c r="S1908" s="223"/>
      <c r="T1908" s="223"/>
      <c r="U1908" s="223"/>
      <c r="V1908" s="223"/>
      <c r="W1908" s="223"/>
      <c r="X1908" s="223"/>
      <c r="Y1908" s="223"/>
      <c r="Z1908" s="223"/>
    </row>
    <row r="1909">
      <c r="A1909" s="223" t="str">
        <f>IFERROR(__xludf.DUMMYFUNCTION("""COMPUTED_VALUE"""),"Arazy Group : Monthly Services")</f>
        <v>Arazy Group : Monthly Services</v>
      </c>
      <c r="B1909" s="223" t="str">
        <f>IFERROR(__xludf.DUMMYFUNCTION("""COMPUTED_VALUE"""),"Arazy Group")</f>
        <v>Arazy Group</v>
      </c>
      <c r="C1909" s="223" t="str">
        <f>IFERROR(__xludf.DUMMYFUNCTION("""COMPUTED_VALUE"""),"Monthly Services")</f>
        <v>Monthly Services</v>
      </c>
      <c r="D1909" s="316">
        <f>IFERROR(__xludf.DUMMYFUNCTION("""COMPUTED_VALUE"""),44804.0)</f>
        <v>44804</v>
      </c>
      <c r="E1909" s="298"/>
      <c r="F1909" s="298"/>
      <c r="G1909" s="298"/>
      <c r="H1909" s="223"/>
      <c r="I1909" s="298">
        <f>IFERROR(__xludf.DUMMYFUNCTION("""COMPUTED_VALUE"""),60.0)</f>
        <v>60</v>
      </c>
      <c r="J1909" s="223" t="str">
        <f>IFERROR(__xludf.DUMMYFUNCTION("""COMPUTED_VALUE"""),"Monthly")</f>
        <v>Monthly</v>
      </c>
      <c r="K1909" s="317">
        <f>IFERROR(__xludf.DUMMYFUNCTION("""COMPUTED_VALUE"""),2022.08)</f>
        <v>2022.08</v>
      </c>
      <c r="L1909" s="298"/>
      <c r="M1909" s="223"/>
      <c r="N1909" s="223"/>
      <c r="O1909" s="223"/>
      <c r="P1909" s="223"/>
      <c r="Q1909" s="223"/>
      <c r="R1909" s="223"/>
      <c r="S1909" s="223"/>
      <c r="T1909" s="223"/>
      <c r="U1909" s="223"/>
      <c r="V1909" s="223"/>
      <c r="W1909" s="223"/>
      <c r="X1909" s="223"/>
      <c r="Y1909" s="223"/>
      <c r="Z1909" s="223"/>
    </row>
    <row r="1910">
      <c r="A1910" s="223" t="str">
        <f>IFERROR(__xludf.DUMMYFUNCTION("""COMPUTED_VALUE"""),"Hastings House : Monthly Services")</f>
        <v>Hastings House : Monthly Services</v>
      </c>
      <c r="B1910" s="223" t="str">
        <f>IFERROR(__xludf.DUMMYFUNCTION("""COMPUTED_VALUE"""),"Hastings House")</f>
        <v>Hastings House</v>
      </c>
      <c r="C1910" s="223" t="str">
        <f>IFERROR(__xludf.DUMMYFUNCTION("""COMPUTED_VALUE"""),"Monthly Services")</f>
        <v>Monthly Services</v>
      </c>
      <c r="D1910" s="316">
        <f>IFERROR(__xludf.DUMMYFUNCTION("""COMPUTED_VALUE"""),44804.0)</f>
        <v>44804</v>
      </c>
      <c r="E1910" s="298"/>
      <c r="F1910" s="298"/>
      <c r="G1910" s="298"/>
      <c r="H1910" s="223"/>
      <c r="I1910" s="298">
        <f>IFERROR(__xludf.DUMMYFUNCTION("""COMPUTED_VALUE"""),135.0)</f>
        <v>135</v>
      </c>
      <c r="J1910" s="223" t="str">
        <f>IFERROR(__xludf.DUMMYFUNCTION("""COMPUTED_VALUE"""),"Monthly")</f>
        <v>Monthly</v>
      </c>
      <c r="K1910" s="317">
        <f>IFERROR(__xludf.DUMMYFUNCTION("""COMPUTED_VALUE"""),2022.08)</f>
        <v>2022.08</v>
      </c>
      <c r="L1910" s="298"/>
      <c r="M1910" s="223"/>
      <c r="N1910" s="223"/>
      <c r="O1910" s="223"/>
      <c r="P1910" s="223"/>
      <c r="Q1910" s="223"/>
      <c r="R1910" s="223"/>
      <c r="S1910" s="223"/>
      <c r="T1910" s="223"/>
      <c r="U1910" s="223"/>
      <c r="V1910" s="223"/>
      <c r="W1910" s="223"/>
      <c r="X1910" s="223"/>
      <c r="Y1910" s="223"/>
      <c r="Z1910" s="223"/>
    </row>
    <row r="1911">
      <c r="A1911" s="223" t="str">
        <f>IFERROR(__xludf.DUMMYFUNCTION("""COMPUTED_VALUE"""),"Bratopia : Monthly Services")</f>
        <v>Bratopia : Monthly Services</v>
      </c>
      <c r="B1911" s="223" t="str">
        <f>IFERROR(__xludf.DUMMYFUNCTION("""COMPUTED_VALUE"""),"Bratopia")</f>
        <v>Bratopia</v>
      </c>
      <c r="C1911" s="223" t="str">
        <f>IFERROR(__xludf.DUMMYFUNCTION("""COMPUTED_VALUE"""),"Monthly Services")</f>
        <v>Monthly Services</v>
      </c>
      <c r="D1911" s="316">
        <f>IFERROR(__xludf.DUMMYFUNCTION("""COMPUTED_VALUE"""),44804.0)</f>
        <v>44804</v>
      </c>
      <c r="E1911" s="298"/>
      <c r="F1911" s="298"/>
      <c r="G1911" s="298"/>
      <c r="H1911" s="223"/>
      <c r="I1911" s="298">
        <f>IFERROR(__xludf.DUMMYFUNCTION("""COMPUTED_VALUE"""),400.0)</f>
        <v>400</v>
      </c>
      <c r="J1911" s="223" t="str">
        <f>IFERROR(__xludf.DUMMYFUNCTION("""COMPUTED_VALUE"""),"Monthly")</f>
        <v>Monthly</v>
      </c>
      <c r="K1911" s="317">
        <f>IFERROR(__xludf.DUMMYFUNCTION("""COMPUTED_VALUE"""),2022.08)</f>
        <v>2022.08</v>
      </c>
      <c r="L1911" s="298"/>
      <c r="M1911" s="223"/>
      <c r="N1911" s="223"/>
      <c r="O1911" s="223"/>
      <c r="P1911" s="223"/>
      <c r="Q1911" s="223"/>
      <c r="R1911" s="223"/>
      <c r="S1911" s="223"/>
      <c r="T1911" s="223"/>
      <c r="U1911" s="223"/>
      <c r="V1911" s="223"/>
      <c r="W1911" s="223"/>
      <c r="X1911" s="223"/>
      <c r="Y1911" s="223"/>
      <c r="Z1911" s="223"/>
    </row>
    <row r="1912">
      <c r="A1912" s="223" t="str">
        <f>IFERROR(__xludf.DUMMYFUNCTION("""COMPUTED_VALUE"""),"TisBest : Monthly Services")</f>
        <v>TisBest : Monthly Services</v>
      </c>
      <c r="B1912" s="223" t="str">
        <f>IFERROR(__xludf.DUMMYFUNCTION("""COMPUTED_VALUE"""),"TisBest")</f>
        <v>TisBest</v>
      </c>
      <c r="C1912" s="223" t="str">
        <f>IFERROR(__xludf.DUMMYFUNCTION("""COMPUTED_VALUE"""),"Monthly Services")</f>
        <v>Monthly Services</v>
      </c>
      <c r="D1912" s="316">
        <f>IFERROR(__xludf.DUMMYFUNCTION("""COMPUTED_VALUE"""),44804.0)</f>
        <v>44804</v>
      </c>
      <c r="E1912" s="298"/>
      <c r="F1912" s="298"/>
      <c r="G1912" s="298"/>
      <c r="H1912" s="223"/>
      <c r="I1912" s="298">
        <f>IFERROR(__xludf.DUMMYFUNCTION("""COMPUTED_VALUE"""),300.0)</f>
        <v>300</v>
      </c>
      <c r="J1912" s="223" t="str">
        <f>IFERROR(__xludf.DUMMYFUNCTION("""COMPUTED_VALUE"""),"Monthly")</f>
        <v>Monthly</v>
      </c>
      <c r="K1912" s="317">
        <f>IFERROR(__xludf.DUMMYFUNCTION("""COMPUTED_VALUE"""),2022.08)</f>
        <v>2022.08</v>
      </c>
      <c r="L1912" s="298"/>
      <c r="M1912" s="223"/>
      <c r="N1912" s="223"/>
      <c r="O1912" s="223"/>
      <c r="P1912" s="223"/>
      <c r="Q1912" s="223"/>
      <c r="R1912" s="223"/>
      <c r="S1912" s="223"/>
      <c r="T1912" s="223"/>
      <c r="U1912" s="223"/>
      <c r="V1912" s="223"/>
      <c r="W1912" s="223"/>
      <c r="X1912" s="223"/>
      <c r="Y1912" s="223"/>
      <c r="Z1912" s="223"/>
    </row>
    <row r="1913">
      <c r="A1913" s="223" t="str">
        <f>IFERROR(__xludf.DUMMYFUNCTION("""COMPUTED_VALUE"""),"Wallack's Art Supplies : Monthly Services")</f>
        <v>Wallack's Art Supplies : Monthly Services</v>
      </c>
      <c r="B1913" s="223" t="str">
        <f>IFERROR(__xludf.DUMMYFUNCTION("""COMPUTED_VALUE"""),"Wallack's Art Supplies")</f>
        <v>Wallack's Art Supplies</v>
      </c>
      <c r="C1913" s="223" t="str">
        <f>IFERROR(__xludf.DUMMYFUNCTION("""COMPUTED_VALUE"""),"Monthly Services")</f>
        <v>Monthly Services</v>
      </c>
      <c r="D1913" s="316">
        <f>IFERROR(__xludf.DUMMYFUNCTION("""COMPUTED_VALUE"""),44804.0)</f>
        <v>44804</v>
      </c>
      <c r="E1913" s="298"/>
      <c r="F1913" s="298"/>
      <c r="G1913" s="298"/>
      <c r="H1913" s="223"/>
      <c r="I1913" s="298">
        <f>IFERROR(__xludf.DUMMYFUNCTION("""COMPUTED_VALUE"""),60.0)</f>
        <v>60</v>
      </c>
      <c r="J1913" s="223" t="str">
        <f>IFERROR(__xludf.DUMMYFUNCTION("""COMPUTED_VALUE"""),"Monthly")</f>
        <v>Monthly</v>
      </c>
      <c r="K1913" s="317">
        <f>IFERROR(__xludf.DUMMYFUNCTION("""COMPUTED_VALUE"""),2022.08)</f>
        <v>2022.08</v>
      </c>
      <c r="L1913" s="298"/>
      <c r="M1913" s="223"/>
      <c r="N1913" s="223"/>
      <c r="O1913" s="223"/>
      <c r="P1913" s="223"/>
      <c r="Q1913" s="223"/>
      <c r="R1913" s="223"/>
      <c r="S1913" s="223"/>
      <c r="T1913" s="223"/>
      <c r="U1913" s="223"/>
      <c r="V1913" s="223"/>
      <c r="W1913" s="223"/>
      <c r="X1913" s="223"/>
      <c r="Y1913" s="223"/>
      <c r="Z1913" s="223"/>
    </row>
    <row r="1914">
      <c r="A1914" s="223" t="str">
        <f>IFERROR(__xludf.DUMMYFUNCTION("""COMPUTED_VALUE"""),"PMDI : Monthly Services")</f>
        <v>PMDI : Monthly Services</v>
      </c>
      <c r="B1914" s="223" t="str">
        <f>IFERROR(__xludf.DUMMYFUNCTION("""COMPUTED_VALUE"""),"PMDI")</f>
        <v>PMDI</v>
      </c>
      <c r="C1914" s="223" t="str">
        <f>IFERROR(__xludf.DUMMYFUNCTION("""COMPUTED_VALUE"""),"Monthly Services")</f>
        <v>Monthly Services</v>
      </c>
      <c r="D1914" s="316">
        <f>IFERROR(__xludf.DUMMYFUNCTION("""COMPUTED_VALUE"""),44804.0)</f>
        <v>44804</v>
      </c>
      <c r="E1914" s="298"/>
      <c r="F1914" s="298"/>
      <c r="G1914" s="298"/>
      <c r="H1914" s="223"/>
      <c r="I1914" s="298">
        <f>IFERROR(__xludf.DUMMYFUNCTION("""COMPUTED_VALUE"""),30.0)</f>
        <v>30</v>
      </c>
      <c r="J1914" s="223" t="str">
        <f>IFERROR(__xludf.DUMMYFUNCTION("""COMPUTED_VALUE"""),"Monthly")</f>
        <v>Monthly</v>
      </c>
      <c r="K1914" s="317">
        <f>IFERROR(__xludf.DUMMYFUNCTION("""COMPUTED_VALUE"""),2022.08)</f>
        <v>2022.08</v>
      </c>
      <c r="L1914" s="298"/>
      <c r="M1914" s="223"/>
      <c r="N1914" s="223"/>
      <c r="O1914" s="223"/>
      <c r="P1914" s="223"/>
      <c r="Q1914" s="223"/>
      <c r="R1914" s="223"/>
      <c r="S1914" s="223"/>
      <c r="T1914" s="223"/>
      <c r="U1914" s="223"/>
      <c r="V1914" s="223"/>
      <c r="W1914" s="223"/>
      <c r="X1914" s="223"/>
      <c r="Y1914" s="223"/>
      <c r="Z1914" s="223"/>
    </row>
    <row r="1915">
      <c r="A1915" s="223" t="str">
        <f>IFERROR(__xludf.DUMMYFUNCTION("""COMPUTED_VALUE"""),"Tofino Resort + Marina : Monthly Services")</f>
        <v>Tofino Resort + Marina : Monthly Services</v>
      </c>
      <c r="B1915" s="223" t="str">
        <f>IFERROR(__xludf.DUMMYFUNCTION("""COMPUTED_VALUE"""),"Tofino Resort + Marina")</f>
        <v>Tofino Resort + Marina</v>
      </c>
      <c r="C1915" s="223" t="str">
        <f>IFERROR(__xludf.DUMMYFUNCTION("""COMPUTED_VALUE"""),"Monthly Services")</f>
        <v>Monthly Services</v>
      </c>
      <c r="D1915" s="316">
        <f>IFERROR(__xludf.DUMMYFUNCTION("""COMPUTED_VALUE"""),44804.0)</f>
        <v>44804</v>
      </c>
      <c r="E1915" s="298"/>
      <c r="F1915" s="298"/>
      <c r="G1915" s="298"/>
      <c r="H1915" s="223"/>
      <c r="I1915" s="298">
        <f>IFERROR(__xludf.DUMMYFUNCTION("""COMPUTED_VALUE"""),300.0)</f>
        <v>300</v>
      </c>
      <c r="J1915" s="223" t="str">
        <f>IFERROR(__xludf.DUMMYFUNCTION("""COMPUTED_VALUE"""),"Monthly")</f>
        <v>Monthly</v>
      </c>
      <c r="K1915" s="317">
        <f>IFERROR(__xludf.DUMMYFUNCTION("""COMPUTED_VALUE"""),2022.08)</f>
        <v>2022.08</v>
      </c>
      <c r="L1915" s="298"/>
      <c r="M1915" s="223"/>
      <c r="N1915" s="223"/>
      <c r="O1915" s="223"/>
      <c r="P1915" s="223"/>
      <c r="Q1915" s="223"/>
      <c r="R1915" s="223"/>
      <c r="S1915" s="223"/>
      <c r="T1915" s="223"/>
      <c r="U1915" s="223"/>
      <c r="V1915" s="223"/>
      <c r="W1915" s="223"/>
      <c r="X1915" s="223"/>
      <c r="Y1915" s="223"/>
      <c r="Z1915" s="223"/>
    </row>
    <row r="1916">
      <c r="A1916" s="223" t="str">
        <f>IFERROR(__xludf.DUMMYFUNCTION("""COMPUTED_VALUE"""),"New Growth Ecommerce Inc : Monthly Services")</f>
        <v>New Growth Ecommerce Inc : Monthly Services</v>
      </c>
      <c r="B1916" s="223" t="str">
        <f>IFERROR(__xludf.DUMMYFUNCTION("""COMPUTED_VALUE"""),"New Growth Ecommerce Inc")</f>
        <v>New Growth Ecommerce Inc</v>
      </c>
      <c r="C1916" s="223" t="str">
        <f>IFERROR(__xludf.DUMMYFUNCTION("""COMPUTED_VALUE"""),"Monthly Services")</f>
        <v>Monthly Services</v>
      </c>
      <c r="D1916" s="316">
        <f>IFERROR(__xludf.DUMMYFUNCTION("""COMPUTED_VALUE"""),44804.0)</f>
        <v>44804</v>
      </c>
      <c r="E1916" s="298"/>
      <c r="F1916" s="298"/>
      <c r="G1916" s="298"/>
      <c r="H1916" s="223"/>
      <c r="I1916" s="298">
        <f>IFERROR(__xludf.DUMMYFUNCTION("""COMPUTED_VALUE"""),1860.0)</f>
        <v>1860</v>
      </c>
      <c r="J1916" s="223" t="str">
        <f>IFERROR(__xludf.DUMMYFUNCTION("""COMPUTED_VALUE"""),"Monthly")</f>
        <v>Monthly</v>
      </c>
      <c r="K1916" s="317">
        <f>IFERROR(__xludf.DUMMYFUNCTION("""COMPUTED_VALUE"""),2022.08)</f>
        <v>2022.08</v>
      </c>
      <c r="L1916" s="298"/>
      <c r="M1916" s="223"/>
      <c r="N1916" s="223"/>
      <c r="O1916" s="223"/>
      <c r="P1916" s="223"/>
      <c r="Q1916" s="223"/>
      <c r="R1916" s="223"/>
      <c r="S1916" s="223"/>
      <c r="T1916" s="223"/>
      <c r="U1916" s="223"/>
      <c r="V1916" s="223"/>
      <c r="W1916" s="223"/>
      <c r="X1916" s="223"/>
      <c r="Y1916" s="223"/>
      <c r="Z1916" s="223"/>
    </row>
    <row r="1917">
      <c r="A1917" s="223" t="str">
        <f>IFERROR(__xludf.DUMMYFUNCTION("""COMPUTED_VALUE"""),"Tugwell : 6 Month PPC")</f>
        <v>Tugwell : 6 Month PPC</v>
      </c>
      <c r="B1917" s="223" t="str">
        <f>IFERROR(__xludf.DUMMYFUNCTION("""COMPUTED_VALUE"""),"Tugwell")</f>
        <v>Tugwell</v>
      </c>
      <c r="C1917" s="223" t="str">
        <f>IFERROR(__xludf.DUMMYFUNCTION("""COMPUTED_VALUE"""),"6 Month PPC")</f>
        <v>6 Month PPC</v>
      </c>
      <c r="D1917" s="316">
        <f>IFERROR(__xludf.DUMMYFUNCTION("""COMPUTED_VALUE"""),44804.0)</f>
        <v>44804</v>
      </c>
      <c r="E1917" s="298"/>
      <c r="F1917" s="298"/>
      <c r="G1917" s="298"/>
      <c r="H1917" s="223"/>
      <c r="I1917" s="298">
        <f>IFERROR(__xludf.DUMMYFUNCTION("""COMPUTED_VALUE"""),30.0)</f>
        <v>30</v>
      </c>
      <c r="J1917" s="223" t="str">
        <f>IFERROR(__xludf.DUMMYFUNCTION("""COMPUTED_VALUE"""),"Fixed Project")</f>
        <v>Fixed Project</v>
      </c>
      <c r="K1917" s="317">
        <f>IFERROR(__xludf.DUMMYFUNCTION("""COMPUTED_VALUE"""),2022.0)</f>
        <v>2022</v>
      </c>
      <c r="L1917" s="298"/>
      <c r="M1917" s="223"/>
      <c r="N1917" s="223"/>
      <c r="O1917" s="223"/>
      <c r="P1917" s="223"/>
      <c r="Q1917" s="223"/>
      <c r="R1917" s="223"/>
      <c r="S1917" s="223"/>
      <c r="T1917" s="223"/>
      <c r="U1917" s="223"/>
      <c r="V1917" s="223"/>
      <c r="W1917" s="223"/>
      <c r="X1917" s="223"/>
      <c r="Y1917" s="223"/>
      <c r="Z1917" s="223"/>
    </row>
    <row r="1918">
      <c r="A1918" s="223" t="str">
        <f>IFERROR(__xludf.DUMMYFUNCTION("""COMPUTED_VALUE"""),"UnityWest Capital : Jericho Energy Ventures 6 month project")</f>
        <v>UnityWest Capital : Jericho Energy Ventures 6 month project</v>
      </c>
      <c r="B1918" s="223" t="str">
        <f>IFERROR(__xludf.DUMMYFUNCTION("""COMPUTED_VALUE"""),"UnityWest Capital")</f>
        <v>UnityWest Capital</v>
      </c>
      <c r="C1918" s="223" t="str">
        <f>IFERROR(__xludf.DUMMYFUNCTION("""COMPUTED_VALUE"""),"Jericho Energy Ventures 6 month project")</f>
        <v>Jericho Energy Ventures 6 month project</v>
      </c>
      <c r="D1918" s="316">
        <f>IFERROR(__xludf.DUMMYFUNCTION("""COMPUTED_VALUE"""),44804.0)</f>
        <v>44804</v>
      </c>
      <c r="E1918" s="298"/>
      <c r="F1918" s="298"/>
      <c r="G1918" s="298"/>
      <c r="H1918" s="223"/>
      <c r="I1918" s="298">
        <f>IFERROR(__xludf.DUMMYFUNCTION("""COMPUTED_VALUE"""),650.0)</f>
        <v>650</v>
      </c>
      <c r="J1918" s="223" t="str">
        <f>IFERROR(__xludf.DUMMYFUNCTION("""COMPUTED_VALUE"""),"Monthly")</f>
        <v>Monthly</v>
      </c>
      <c r="K1918" s="317">
        <f>IFERROR(__xludf.DUMMYFUNCTION("""COMPUTED_VALUE"""),2022.08)</f>
        <v>2022.08</v>
      </c>
      <c r="L1918" s="298"/>
      <c r="M1918" s="223"/>
      <c r="N1918" s="223"/>
      <c r="O1918" s="223"/>
      <c r="P1918" s="223"/>
      <c r="Q1918" s="223"/>
      <c r="R1918" s="223"/>
      <c r="S1918" s="223"/>
      <c r="T1918" s="223"/>
      <c r="U1918" s="223"/>
      <c r="V1918" s="223"/>
      <c r="W1918" s="223"/>
      <c r="X1918" s="223"/>
      <c r="Y1918" s="223"/>
      <c r="Z1918" s="223"/>
    </row>
    <row r="1919">
      <c r="A1919" s="223" t="str">
        <f>IFERROR(__xludf.DUMMYFUNCTION("""COMPUTED_VALUE"""),"Crisp Media : Genus Capital Managment PPC")</f>
        <v>Crisp Media : Genus Capital Managment PPC</v>
      </c>
      <c r="B1919" s="223" t="str">
        <f>IFERROR(__xludf.DUMMYFUNCTION("""COMPUTED_VALUE"""),"Crisp Media")</f>
        <v>Crisp Media</v>
      </c>
      <c r="C1919" s="223" t="str">
        <f>IFERROR(__xludf.DUMMYFUNCTION("""COMPUTED_VALUE"""),"Genus Capital Managment PPC")</f>
        <v>Genus Capital Managment PPC</v>
      </c>
      <c r="D1919" s="316">
        <f>IFERROR(__xludf.DUMMYFUNCTION("""COMPUTED_VALUE"""),44804.0)</f>
        <v>44804</v>
      </c>
      <c r="E1919" s="298"/>
      <c r="F1919" s="298"/>
      <c r="G1919" s="298"/>
      <c r="H1919" s="223"/>
      <c r="I1919" s="298">
        <f>IFERROR(__xludf.DUMMYFUNCTION("""COMPUTED_VALUE"""),45.0)</f>
        <v>45</v>
      </c>
      <c r="J1919" s="223" t="str">
        <f>IFERROR(__xludf.DUMMYFUNCTION("""COMPUTED_VALUE"""),"Fixed Project")</f>
        <v>Fixed Project</v>
      </c>
      <c r="K1919" s="317">
        <f>IFERROR(__xludf.DUMMYFUNCTION("""COMPUTED_VALUE"""),2022.0)</f>
        <v>2022</v>
      </c>
      <c r="L1919" s="298"/>
      <c r="M1919" s="223"/>
      <c r="N1919" s="223"/>
      <c r="O1919" s="223"/>
      <c r="P1919" s="223"/>
      <c r="Q1919" s="223"/>
      <c r="R1919" s="223"/>
      <c r="S1919" s="223"/>
      <c r="T1919" s="223"/>
      <c r="U1919" s="223"/>
      <c r="V1919" s="223"/>
      <c r="W1919" s="223"/>
      <c r="X1919" s="223"/>
      <c r="Y1919" s="223"/>
      <c r="Z1919" s="223"/>
    </row>
    <row r="1920">
      <c r="A1920" s="223" t="str">
        <f>IFERROR(__xludf.DUMMYFUNCTION("""COMPUTED_VALUE"""),"Howard Fine Jewellers : Ongoing PPC and SEO Support")</f>
        <v>Howard Fine Jewellers : Ongoing PPC and SEO Support</v>
      </c>
      <c r="B1920" s="223" t="str">
        <f>IFERROR(__xludf.DUMMYFUNCTION("""COMPUTED_VALUE"""),"Howard Fine Jewellers")</f>
        <v>Howard Fine Jewellers</v>
      </c>
      <c r="C1920" s="223" t="str">
        <f>IFERROR(__xludf.DUMMYFUNCTION("""COMPUTED_VALUE"""),"Ongoing PPC and SEO Support")</f>
        <v>Ongoing PPC and SEO Support</v>
      </c>
      <c r="D1920" s="316">
        <f>IFERROR(__xludf.DUMMYFUNCTION("""COMPUTED_VALUE"""),44804.0)</f>
        <v>44804</v>
      </c>
      <c r="E1920" s="298"/>
      <c r="F1920" s="298"/>
      <c r="G1920" s="298"/>
      <c r="H1920" s="223"/>
      <c r="I1920" s="298">
        <f>IFERROR(__xludf.DUMMYFUNCTION("""COMPUTED_VALUE"""),150.0)</f>
        <v>150</v>
      </c>
      <c r="J1920" s="223" t="str">
        <f>IFERROR(__xludf.DUMMYFUNCTION("""COMPUTED_VALUE"""),"Monthly")</f>
        <v>Monthly</v>
      </c>
      <c r="K1920" s="317">
        <f>IFERROR(__xludf.DUMMYFUNCTION("""COMPUTED_VALUE"""),2022.08)</f>
        <v>2022.08</v>
      </c>
      <c r="L1920" s="298"/>
      <c r="M1920" s="223"/>
      <c r="N1920" s="223"/>
      <c r="O1920" s="223"/>
      <c r="P1920" s="223"/>
      <c r="Q1920" s="223"/>
      <c r="R1920" s="223"/>
      <c r="S1920" s="223"/>
      <c r="T1920" s="223"/>
      <c r="U1920" s="223"/>
      <c r="V1920" s="223"/>
      <c r="W1920" s="223"/>
      <c r="X1920" s="223"/>
      <c r="Y1920" s="223"/>
      <c r="Z1920" s="223"/>
    </row>
    <row r="1921">
      <c r="A1921" s="223" t="str">
        <f>IFERROR(__xludf.DUMMYFUNCTION("""COMPUTED_VALUE"""),"Anavara : PPC Work")</f>
        <v>Anavara : PPC Work</v>
      </c>
      <c r="B1921" s="223" t="str">
        <f>IFERROR(__xludf.DUMMYFUNCTION("""COMPUTED_VALUE"""),"Anavara")</f>
        <v>Anavara</v>
      </c>
      <c r="C1921" s="223" t="str">
        <f>IFERROR(__xludf.DUMMYFUNCTION("""COMPUTED_VALUE"""),"PPC Work")</f>
        <v>PPC Work</v>
      </c>
      <c r="D1921" s="316">
        <f>IFERROR(__xludf.DUMMYFUNCTION("""COMPUTED_VALUE"""),44804.0)</f>
        <v>44804</v>
      </c>
      <c r="E1921" s="298"/>
      <c r="F1921" s="298"/>
      <c r="G1921" s="298"/>
      <c r="H1921" s="223"/>
      <c r="I1921" s="298">
        <f>IFERROR(__xludf.DUMMYFUNCTION("""COMPUTED_VALUE"""),450.0)</f>
        <v>450</v>
      </c>
      <c r="J1921" s="223" t="str">
        <f>IFERROR(__xludf.DUMMYFUNCTION("""COMPUTED_VALUE"""),"Monthly")</f>
        <v>Monthly</v>
      </c>
      <c r="K1921" s="317">
        <f>IFERROR(__xludf.DUMMYFUNCTION("""COMPUTED_VALUE"""),2022.08)</f>
        <v>2022.08</v>
      </c>
      <c r="L1921" s="298"/>
      <c r="M1921" s="223"/>
      <c r="N1921" s="223"/>
      <c r="O1921" s="223"/>
      <c r="P1921" s="223"/>
      <c r="Q1921" s="223"/>
      <c r="R1921" s="223"/>
      <c r="S1921" s="223"/>
      <c r="T1921" s="223"/>
      <c r="U1921" s="223"/>
      <c r="V1921" s="223"/>
      <c r="W1921" s="223"/>
      <c r="X1921" s="223"/>
      <c r="Y1921" s="223"/>
      <c r="Z1921" s="223"/>
    </row>
    <row r="1922">
      <c r="A1922" s="223" t="str">
        <f>IFERROR(__xludf.DUMMYFUNCTION("""COMPUTED_VALUE"""),"Bevridge : PPC, Analytics &amp; Landing Page work")</f>
        <v>Bevridge : PPC, Analytics &amp; Landing Page work</v>
      </c>
      <c r="B1922" s="223" t="str">
        <f>IFERROR(__xludf.DUMMYFUNCTION("""COMPUTED_VALUE"""),"Bevridge")</f>
        <v>Bevridge</v>
      </c>
      <c r="C1922" s="223" t="str">
        <f>IFERROR(__xludf.DUMMYFUNCTION("""COMPUTED_VALUE"""),"PPC, Analytics &amp; Landing Page work")</f>
        <v>PPC, Analytics &amp; Landing Page work</v>
      </c>
      <c r="D1922" s="316">
        <f>IFERROR(__xludf.DUMMYFUNCTION("""COMPUTED_VALUE"""),44804.0)</f>
        <v>44804</v>
      </c>
      <c r="E1922" s="298"/>
      <c r="F1922" s="298"/>
      <c r="G1922" s="298"/>
      <c r="H1922" s="223"/>
      <c r="I1922" s="298">
        <f>IFERROR(__xludf.DUMMYFUNCTION("""COMPUTED_VALUE"""),250.0)</f>
        <v>250</v>
      </c>
      <c r="J1922" s="223" t="str">
        <f>IFERROR(__xludf.DUMMYFUNCTION("""COMPUTED_VALUE"""),"Fixed Project")</f>
        <v>Fixed Project</v>
      </c>
      <c r="K1922" s="317">
        <f>IFERROR(__xludf.DUMMYFUNCTION("""COMPUTED_VALUE"""),2022.0)</f>
        <v>2022</v>
      </c>
      <c r="L1922" s="298"/>
      <c r="M1922" s="223"/>
      <c r="N1922" s="223"/>
      <c r="O1922" s="223"/>
      <c r="P1922" s="223"/>
      <c r="Q1922" s="223"/>
      <c r="R1922" s="223"/>
      <c r="S1922" s="223"/>
      <c r="T1922" s="223"/>
      <c r="U1922" s="223"/>
      <c r="V1922" s="223"/>
      <c r="W1922" s="223"/>
      <c r="X1922" s="223"/>
      <c r="Y1922" s="223"/>
      <c r="Z1922" s="223"/>
    </row>
    <row r="1923">
      <c r="A1923" s="223" t="str">
        <f>IFERROR(__xludf.DUMMYFUNCTION("""COMPUTED_VALUE"""),"C360 : Johns Hopkins University PPC Management")</f>
        <v>C360 : Johns Hopkins University PPC Management</v>
      </c>
      <c r="B1923" s="223" t="str">
        <f>IFERROR(__xludf.DUMMYFUNCTION("""COMPUTED_VALUE"""),"C360")</f>
        <v>C360</v>
      </c>
      <c r="C1923" s="223" t="str">
        <f>IFERROR(__xludf.DUMMYFUNCTION("""COMPUTED_VALUE"""),"Johns Hopkins University PPC Management")</f>
        <v>Johns Hopkins University PPC Management</v>
      </c>
      <c r="D1923" s="316">
        <f>IFERROR(__xludf.DUMMYFUNCTION("""COMPUTED_VALUE"""),44804.0)</f>
        <v>44804</v>
      </c>
      <c r="E1923" s="298"/>
      <c r="F1923" s="298"/>
      <c r="G1923" s="298"/>
      <c r="H1923" s="223"/>
      <c r="I1923" s="298">
        <f>IFERROR(__xludf.DUMMYFUNCTION("""COMPUTED_VALUE"""),257.5)</f>
        <v>257.5</v>
      </c>
      <c r="J1923" s="223" t="str">
        <f>IFERROR(__xludf.DUMMYFUNCTION("""COMPUTED_VALUE"""),"Fixed Project")</f>
        <v>Fixed Project</v>
      </c>
      <c r="K1923" s="317">
        <f>IFERROR(__xludf.DUMMYFUNCTION("""COMPUTED_VALUE"""),2022.0)</f>
        <v>2022</v>
      </c>
      <c r="L1923" s="298"/>
      <c r="M1923" s="223"/>
      <c r="N1923" s="223"/>
      <c r="O1923" s="223"/>
      <c r="P1923" s="223"/>
      <c r="Q1923" s="223"/>
      <c r="R1923" s="223"/>
      <c r="S1923" s="223"/>
      <c r="T1923" s="223"/>
      <c r="U1923" s="223"/>
      <c r="V1923" s="223"/>
      <c r="W1923" s="223"/>
      <c r="X1923" s="223"/>
      <c r="Y1923" s="223"/>
      <c r="Z1923" s="223"/>
    </row>
    <row r="1924">
      <c r="A1924" s="223" t="str">
        <f>IFERROR(__xludf.DUMMYFUNCTION("""COMPUTED_VALUE"""),"Anook Athletics : Monthly Services")</f>
        <v>Anook Athletics : Monthly Services</v>
      </c>
      <c r="B1924" s="223" t="str">
        <f>IFERROR(__xludf.DUMMYFUNCTION("""COMPUTED_VALUE"""),"Anook Athletics")</f>
        <v>Anook Athletics</v>
      </c>
      <c r="C1924" s="223" t="str">
        <f>IFERROR(__xludf.DUMMYFUNCTION("""COMPUTED_VALUE"""),"Monthly Services")</f>
        <v>Monthly Services</v>
      </c>
      <c r="D1924" s="316">
        <f>IFERROR(__xludf.DUMMYFUNCTION("""COMPUTED_VALUE"""),44804.0)</f>
        <v>44804</v>
      </c>
      <c r="E1924" s="298"/>
      <c r="F1924" s="298"/>
      <c r="G1924" s="298"/>
      <c r="H1924" s="223"/>
      <c r="I1924" s="298">
        <f>IFERROR(__xludf.DUMMYFUNCTION("""COMPUTED_VALUE"""),75.0)</f>
        <v>75</v>
      </c>
      <c r="J1924" s="223" t="str">
        <f>IFERROR(__xludf.DUMMYFUNCTION("""COMPUTED_VALUE"""),"Monthly")</f>
        <v>Monthly</v>
      </c>
      <c r="K1924" s="317">
        <f>IFERROR(__xludf.DUMMYFUNCTION("""COMPUTED_VALUE"""),2022.08)</f>
        <v>2022.08</v>
      </c>
      <c r="L1924" s="298"/>
      <c r="M1924" s="223"/>
      <c r="N1924" s="223"/>
      <c r="O1924" s="223"/>
      <c r="P1924" s="223"/>
      <c r="Q1924" s="223"/>
      <c r="R1924" s="223"/>
      <c r="S1924" s="223"/>
      <c r="T1924" s="223"/>
      <c r="U1924" s="223"/>
      <c r="V1924" s="223"/>
      <c r="W1924" s="223"/>
      <c r="X1924" s="223"/>
      <c r="Y1924" s="223"/>
      <c r="Z1924" s="223"/>
    </row>
    <row r="1925">
      <c r="A1925" s="223" t="str">
        <f>IFERROR(__xludf.DUMMYFUNCTION("""COMPUTED_VALUE"""),"Viridian : Monthly Services")</f>
        <v>Viridian : Monthly Services</v>
      </c>
      <c r="B1925" s="223" t="str">
        <f>IFERROR(__xludf.DUMMYFUNCTION("""COMPUTED_VALUE"""),"Viridian")</f>
        <v>Viridian</v>
      </c>
      <c r="C1925" s="223" t="str">
        <f>IFERROR(__xludf.DUMMYFUNCTION("""COMPUTED_VALUE"""),"Monthly Services")</f>
        <v>Monthly Services</v>
      </c>
      <c r="D1925" s="316">
        <f>IFERROR(__xludf.DUMMYFUNCTION("""COMPUTED_VALUE"""),44804.0)</f>
        <v>44804</v>
      </c>
      <c r="E1925" s="298"/>
      <c r="F1925" s="298"/>
      <c r="G1925" s="298"/>
      <c r="H1925" s="223"/>
      <c r="I1925" s="298">
        <f>IFERROR(__xludf.DUMMYFUNCTION("""COMPUTED_VALUE"""),60.0)</f>
        <v>60</v>
      </c>
      <c r="J1925" s="223" t="str">
        <f>IFERROR(__xludf.DUMMYFUNCTION("""COMPUTED_VALUE"""),"Monthly")</f>
        <v>Monthly</v>
      </c>
      <c r="K1925" s="317">
        <f>IFERROR(__xludf.DUMMYFUNCTION("""COMPUTED_VALUE"""),2022.08)</f>
        <v>2022.08</v>
      </c>
      <c r="L1925" s="298"/>
      <c r="M1925" s="223"/>
      <c r="N1925" s="223"/>
      <c r="O1925" s="223"/>
      <c r="P1925" s="223"/>
      <c r="Q1925" s="223"/>
      <c r="R1925" s="223"/>
      <c r="S1925" s="223"/>
      <c r="T1925" s="223"/>
      <c r="U1925" s="223"/>
      <c r="V1925" s="223"/>
      <c r="W1925" s="223"/>
      <c r="X1925" s="223"/>
      <c r="Y1925" s="223"/>
      <c r="Z1925" s="223"/>
    </row>
    <row r="1926">
      <c r="A1926" s="223" t="str">
        <f>IFERROR(__xludf.DUMMYFUNCTION("""COMPUTED_VALUE"""),"Booginhead : Monthly Services")</f>
        <v>Booginhead : Monthly Services</v>
      </c>
      <c r="B1926" s="223" t="str">
        <f>IFERROR(__xludf.DUMMYFUNCTION("""COMPUTED_VALUE"""),"Booginhead")</f>
        <v>Booginhead</v>
      </c>
      <c r="C1926" s="223" t="str">
        <f>IFERROR(__xludf.DUMMYFUNCTION("""COMPUTED_VALUE"""),"Monthly Services")</f>
        <v>Monthly Services</v>
      </c>
      <c r="D1926" s="316">
        <f>IFERROR(__xludf.DUMMYFUNCTION("""COMPUTED_VALUE"""),44804.0)</f>
        <v>44804</v>
      </c>
      <c r="E1926" s="298"/>
      <c r="F1926" s="298"/>
      <c r="G1926" s="298"/>
      <c r="H1926" s="223"/>
      <c r="I1926" s="298">
        <f>IFERROR(__xludf.DUMMYFUNCTION("""COMPUTED_VALUE"""),487.5)</f>
        <v>487.5</v>
      </c>
      <c r="J1926" s="223" t="str">
        <f>IFERROR(__xludf.DUMMYFUNCTION("""COMPUTED_VALUE"""),"Monthly")</f>
        <v>Monthly</v>
      </c>
      <c r="K1926" s="317">
        <f>IFERROR(__xludf.DUMMYFUNCTION("""COMPUTED_VALUE"""),2022.08)</f>
        <v>2022.08</v>
      </c>
      <c r="L1926" s="298"/>
      <c r="M1926" s="223"/>
      <c r="N1926" s="223"/>
      <c r="O1926" s="223"/>
      <c r="P1926" s="223"/>
      <c r="Q1926" s="223"/>
      <c r="R1926" s="223"/>
      <c r="S1926" s="223"/>
      <c r="T1926" s="223"/>
      <c r="U1926" s="223"/>
      <c r="V1926" s="223"/>
      <c r="W1926" s="223"/>
      <c r="X1926" s="223"/>
      <c r="Y1926" s="223"/>
      <c r="Z1926" s="223"/>
    </row>
    <row r="1927">
      <c r="A1927" s="223" t="str">
        <f>IFERROR(__xludf.DUMMYFUNCTION("""COMPUTED_VALUE"""),"Hastings House : Monthly Services")</f>
        <v>Hastings House : Monthly Services</v>
      </c>
      <c r="B1927" s="223" t="str">
        <f>IFERROR(__xludf.DUMMYFUNCTION("""COMPUTED_VALUE"""),"Hastings House")</f>
        <v>Hastings House</v>
      </c>
      <c r="C1927" s="223" t="str">
        <f>IFERROR(__xludf.DUMMYFUNCTION("""COMPUTED_VALUE"""),"Monthly Services")</f>
        <v>Monthly Services</v>
      </c>
      <c r="D1927" s="316">
        <f>IFERROR(__xludf.DUMMYFUNCTION("""COMPUTED_VALUE"""),44804.0)</f>
        <v>44804</v>
      </c>
      <c r="E1927" s="298"/>
      <c r="F1927" s="298"/>
      <c r="G1927" s="298"/>
      <c r="H1927" s="223"/>
      <c r="I1927" s="298">
        <f>IFERROR(__xludf.DUMMYFUNCTION("""COMPUTED_VALUE"""),212.5)</f>
        <v>212.5</v>
      </c>
      <c r="J1927" s="223" t="str">
        <f>IFERROR(__xludf.DUMMYFUNCTION("""COMPUTED_VALUE"""),"Monthly")</f>
        <v>Monthly</v>
      </c>
      <c r="K1927" s="317">
        <f>IFERROR(__xludf.DUMMYFUNCTION("""COMPUTED_VALUE"""),2022.08)</f>
        <v>2022.08</v>
      </c>
      <c r="L1927" s="298"/>
      <c r="M1927" s="223"/>
      <c r="N1927" s="223"/>
      <c r="O1927" s="223"/>
      <c r="P1927" s="223"/>
      <c r="Q1927" s="223"/>
      <c r="R1927" s="223"/>
      <c r="S1927" s="223"/>
      <c r="T1927" s="223"/>
      <c r="U1927" s="223"/>
      <c r="V1927" s="223"/>
      <c r="W1927" s="223"/>
      <c r="X1927" s="223"/>
      <c r="Y1927" s="223"/>
      <c r="Z1927" s="223"/>
    </row>
    <row r="1928">
      <c r="A1928" s="223" t="str">
        <f>IFERROR(__xludf.DUMMYFUNCTION("""COMPUTED_VALUE"""),"Howard Fine Jewellers : Ongoing PPC and SEO Support")</f>
        <v>Howard Fine Jewellers : Ongoing PPC and SEO Support</v>
      </c>
      <c r="B1928" s="223" t="str">
        <f>IFERROR(__xludf.DUMMYFUNCTION("""COMPUTED_VALUE"""),"Howard Fine Jewellers")</f>
        <v>Howard Fine Jewellers</v>
      </c>
      <c r="C1928" s="223" t="str">
        <f>IFERROR(__xludf.DUMMYFUNCTION("""COMPUTED_VALUE"""),"Ongoing PPC and SEO Support")</f>
        <v>Ongoing PPC and SEO Support</v>
      </c>
      <c r="D1928" s="316">
        <f>IFERROR(__xludf.DUMMYFUNCTION("""COMPUTED_VALUE"""),44804.0)</f>
        <v>44804</v>
      </c>
      <c r="E1928" s="298"/>
      <c r="F1928" s="298"/>
      <c r="G1928" s="298"/>
      <c r="H1928" s="223"/>
      <c r="I1928" s="298">
        <f>IFERROR(__xludf.DUMMYFUNCTION("""COMPUTED_VALUE"""),150.0)</f>
        <v>150</v>
      </c>
      <c r="J1928" s="223" t="str">
        <f>IFERROR(__xludf.DUMMYFUNCTION("""COMPUTED_VALUE"""),"Monthly")</f>
        <v>Monthly</v>
      </c>
      <c r="K1928" s="317">
        <f>IFERROR(__xludf.DUMMYFUNCTION("""COMPUTED_VALUE"""),2022.08)</f>
        <v>2022.08</v>
      </c>
      <c r="L1928" s="298"/>
      <c r="M1928" s="223"/>
      <c r="N1928" s="223"/>
      <c r="O1928" s="223"/>
      <c r="P1928" s="223"/>
      <c r="Q1928" s="223"/>
      <c r="R1928" s="223"/>
      <c r="S1928" s="223"/>
      <c r="T1928" s="223"/>
      <c r="U1928" s="223"/>
      <c r="V1928" s="223"/>
      <c r="W1928" s="223"/>
      <c r="X1928" s="223"/>
      <c r="Y1928" s="223"/>
      <c r="Z1928" s="223"/>
    </row>
    <row r="1929">
      <c r="A1929" s="223" t="str">
        <f>IFERROR(__xludf.DUMMYFUNCTION("""COMPUTED_VALUE"""),"Moloco : Monthly PPC")</f>
        <v>Moloco : Monthly PPC</v>
      </c>
      <c r="B1929" s="223" t="str">
        <f>IFERROR(__xludf.DUMMYFUNCTION("""COMPUTED_VALUE"""),"Moloco")</f>
        <v>Moloco</v>
      </c>
      <c r="C1929" s="223" t="str">
        <f>IFERROR(__xludf.DUMMYFUNCTION("""COMPUTED_VALUE"""),"Monthly PPC")</f>
        <v>Monthly PPC</v>
      </c>
      <c r="D1929" s="316">
        <f>IFERROR(__xludf.DUMMYFUNCTION("""COMPUTED_VALUE"""),44804.0)</f>
        <v>44804</v>
      </c>
      <c r="E1929" s="298"/>
      <c r="F1929" s="298"/>
      <c r="G1929" s="298"/>
      <c r="H1929" s="223"/>
      <c r="I1929" s="298">
        <f>IFERROR(__xludf.DUMMYFUNCTION("""COMPUTED_VALUE"""),175.0)</f>
        <v>175</v>
      </c>
      <c r="J1929" s="223" t="str">
        <f>IFERROR(__xludf.DUMMYFUNCTION("""COMPUTED_VALUE"""),"Monthly")</f>
        <v>Monthly</v>
      </c>
      <c r="K1929" s="317">
        <f>IFERROR(__xludf.DUMMYFUNCTION("""COMPUTED_VALUE"""),2022.08)</f>
        <v>2022.08</v>
      </c>
      <c r="L1929" s="298"/>
      <c r="M1929" s="223"/>
      <c r="N1929" s="223"/>
      <c r="O1929" s="223"/>
      <c r="P1929" s="223"/>
      <c r="Q1929" s="223"/>
      <c r="R1929" s="223"/>
      <c r="S1929" s="223"/>
      <c r="T1929" s="223"/>
      <c r="U1929" s="223"/>
      <c r="V1929" s="223"/>
      <c r="W1929" s="223"/>
      <c r="X1929" s="223"/>
      <c r="Y1929" s="223"/>
      <c r="Z1929" s="223"/>
    </row>
    <row r="1930">
      <c r="A1930" s="223" t="str">
        <f>IFERROR(__xludf.DUMMYFUNCTION("""COMPUTED_VALUE"""),"FIKSE Wheels : Monthly Services")</f>
        <v>FIKSE Wheels : Monthly Services</v>
      </c>
      <c r="B1930" s="223" t="str">
        <f>IFERROR(__xludf.DUMMYFUNCTION("""COMPUTED_VALUE"""),"FIKSE Wheels")</f>
        <v>FIKSE Wheels</v>
      </c>
      <c r="C1930" s="223" t="str">
        <f>IFERROR(__xludf.DUMMYFUNCTION("""COMPUTED_VALUE"""),"Monthly Services")</f>
        <v>Monthly Services</v>
      </c>
      <c r="D1930" s="316">
        <f>IFERROR(__xludf.DUMMYFUNCTION("""COMPUTED_VALUE"""),44804.0)</f>
        <v>44804</v>
      </c>
      <c r="E1930" s="298"/>
      <c r="F1930" s="298"/>
      <c r="G1930" s="298"/>
      <c r="H1930" s="223"/>
      <c r="I1930" s="298">
        <f>IFERROR(__xludf.DUMMYFUNCTION("""COMPUTED_VALUE"""),150.0)</f>
        <v>150</v>
      </c>
      <c r="J1930" s="223" t="str">
        <f>IFERROR(__xludf.DUMMYFUNCTION("""COMPUTED_VALUE"""),"Monthly")</f>
        <v>Monthly</v>
      </c>
      <c r="K1930" s="317">
        <f>IFERROR(__xludf.DUMMYFUNCTION("""COMPUTED_VALUE"""),2022.08)</f>
        <v>2022.08</v>
      </c>
      <c r="L1930" s="298"/>
      <c r="M1930" s="223"/>
      <c r="N1930" s="223"/>
      <c r="O1930" s="223"/>
      <c r="P1930" s="223"/>
      <c r="Q1930" s="223"/>
      <c r="R1930" s="223"/>
      <c r="S1930" s="223"/>
      <c r="T1930" s="223"/>
      <c r="U1930" s="223"/>
      <c r="V1930" s="223"/>
      <c r="W1930" s="223"/>
      <c r="X1930" s="223"/>
      <c r="Y1930" s="223"/>
      <c r="Z1930" s="223"/>
    </row>
    <row r="1931">
      <c r="A1931" s="223" t="str">
        <f>IFERROR(__xludf.DUMMYFUNCTION("""COMPUTED_VALUE"""),"PlusROI : Overhead")</f>
        <v>PlusROI : Overhead</v>
      </c>
      <c r="B1931" s="223" t="str">
        <f>IFERROR(__xludf.DUMMYFUNCTION("""COMPUTED_VALUE"""),"PlusROI")</f>
        <v>PlusROI</v>
      </c>
      <c r="C1931" s="223" t="str">
        <f>IFERROR(__xludf.DUMMYFUNCTION("""COMPUTED_VALUE"""),"Overhead")</f>
        <v>Overhead</v>
      </c>
      <c r="D1931" s="316"/>
      <c r="E1931" s="298"/>
      <c r="F1931" s="298"/>
      <c r="G1931" s="298"/>
      <c r="H1931" s="223"/>
      <c r="I1931" s="298">
        <f>IFERROR(__xludf.DUMMYFUNCTION("""COMPUTED_VALUE"""),131.42)</f>
        <v>131.42</v>
      </c>
      <c r="J1931" s="223" t="str">
        <f>IFERROR(__xludf.DUMMYFUNCTION("""COMPUTED_VALUE"""),"Hourly")</f>
        <v>Hourly</v>
      </c>
      <c r="K1931" s="317"/>
      <c r="L1931" s="298"/>
      <c r="M1931" s="223"/>
      <c r="N1931" s="223"/>
      <c r="O1931" s="223"/>
      <c r="P1931" s="223"/>
      <c r="Q1931" s="223"/>
      <c r="R1931" s="223"/>
      <c r="S1931" s="223"/>
      <c r="T1931" s="223"/>
      <c r="U1931" s="223"/>
      <c r="V1931" s="223"/>
      <c r="W1931" s="223"/>
      <c r="X1931" s="223"/>
      <c r="Y1931" s="223"/>
      <c r="Z1931" s="223"/>
    </row>
    <row r="1932">
      <c r="A1932" s="223" t="str">
        <f>IFERROR(__xludf.DUMMYFUNCTION("""COMPUTED_VALUE"""),"PlusROI : Marketing")</f>
        <v>PlusROI : Marketing</v>
      </c>
      <c r="B1932" s="223" t="str">
        <f>IFERROR(__xludf.DUMMYFUNCTION("""COMPUTED_VALUE"""),"PlusROI")</f>
        <v>PlusROI</v>
      </c>
      <c r="C1932" s="223" t="str">
        <f>IFERROR(__xludf.DUMMYFUNCTION("""COMPUTED_VALUE"""),"Marketing")</f>
        <v>Marketing</v>
      </c>
      <c r="D1932" s="316"/>
      <c r="E1932" s="298"/>
      <c r="F1932" s="298"/>
      <c r="G1932" s="298"/>
      <c r="H1932" s="223"/>
      <c r="I1932" s="298">
        <f>IFERROR(__xludf.DUMMYFUNCTION("""COMPUTED_VALUE"""),65.21)</f>
        <v>65.21</v>
      </c>
      <c r="J1932" s="223" t="str">
        <f>IFERROR(__xludf.DUMMYFUNCTION("""COMPUTED_VALUE"""),"Hourly")</f>
        <v>Hourly</v>
      </c>
      <c r="K1932" s="317"/>
      <c r="L1932" s="298"/>
      <c r="M1932" s="223"/>
      <c r="N1932" s="223"/>
      <c r="O1932" s="223"/>
      <c r="P1932" s="223"/>
      <c r="Q1932" s="223"/>
      <c r="R1932" s="223"/>
      <c r="S1932" s="223"/>
      <c r="T1932" s="223"/>
      <c r="U1932" s="223"/>
      <c r="V1932" s="223"/>
      <c r="W1932" s="223"/>
      <c r="X1932" s="223"/>
      <c r="Y1932" s="223"/>
      <c r="Z1932" s="223"/>
    </row>
    <row r="1933">
      <c r="A1933" s="223" t="str">
        <f>IFERROR(__xludf.DUMMYFUNCTION("""COMPUTED_VALUE"""),"Prime Engineering : Monthly Services")</f>
        <v>Prime Engineering : Monthly Services</v>
      </c>
      <c r="B1933" s="223" t="str">
        <f>IFERROR(__xludf.DUMMYFUNCTION("""COMPUTED_VALUE"""),"Prime Engineering")</f>
        <v>Prime Engineering</v>
      </c>
      <c r="C1933" s="223" t="str">
        <f>IFERROR(__xludf.DUMMYFUNCTION("""COMPUTED_VALUE"""),"Monthly Services")</f>
        <v>Monthly Services</v>
      </c>
      <c r="D1933" s="316">
        <f>IFERROR(__xludf.DUMMYFUNCTION("""COMPUTED_VALUE"""),44804.0)</f>
        <v>44804</v>
      </c>
      <c r="E1933" s="298"/>
      <c r="F1933" s="298"/>
      <c r="G1933" s="298"/>
      <c r="H1933" s="223"/>
      <c r="I1933" s="298">
        <f>IFERROR(__xludf.DUMMYFUNCTION("""COMPUTED_VALUE"""),187.5)</f>
        <v>187.5</v>
      </c>
      <c r="J1933" s="223" t="str">
        <f>IFERROR(__xludf.DUMMYFUNCTION("""COMPUTED_VALUE"""),"Monthly")</f>
        <v>Monthly</v>
      </c>
      <c r="K1933" s="317">
        <f>IFERROR(__xludf.DUMMYFUNCTION("""COMPUTED_VALUE"""),2022.08)</f>
        <v>2022.08</v>
      </c>
      <c r="L1933" s="298"/>
      <c r="M1933" s="223"/>
      <c r="N1933" s="223"/>
      <c r="O1933" s="223"/>
      <c r="P1933" s="223"/>
      <c r="Q1933" s="223"/>
      <c r="R1933" s="223"/>
      <c r="S1933" s="223"/>
      <c r="T1933" s="223"/>
      <c r="U1933" s="223"/>
      <c r="V1933" s="223"/>
      <c r="W1933" s="223"/>
      <c r="X1933" s="223"/>
      <c r="Y1933" s="223"/>
      <c r="Z1933" s="223"/>
    </row>
    <row r="1934">
      <c r="A1934" s="223" t="str">
        <f>IFERROR(__xludf.DUMMYFUNCTION("""COMPUTED_VALUE"""),"OA Region 6 : Monthly Services")</f>
        <v>OA Region 6 : Monthly Services</v>
      </c>
      <c r="B1934" s="223" t="str">
        <f>IFERROR(__xludf.DUMMYFUNCTION("""COMPUTED_VALUE"""),"OA Region 6")</f>
        <v>OA Region 6</v>
      </c>
      <c r="C1934" s="223" t="str">
        <f>IFERROR(__xludf.DUMMYFUNCTION("""COMPUTED_VALUE"""),"Monthly Services")</f>
        <v>Monthly Services</v>
      </c>
      <c r="D1934" s="316">
        <f>IFERROR(__xludf.DUMMYFUNCTION("""COMPUTED_VALUE"""),44804.0)</f>
        <v>44804</v>
      </c>
      <c r="E1934" s="298"/>
      <c r="F1934" s="298"/>
      <c r="G1934" s="298"/>
      <c r="H1934" s="223"/>
      <c r="I1934" s="298">
        <f>IFERROR(__xludf.DUMMYFUNCTION("""COMPUTED_VALUE"""),150.0)</f>
        <v>150</v>
      </c>
      <c r="J1934" s="223" t="str">
        <f>IFERROR(__xludf.DUMMYFUNCTION("""COMPUTED_VALUE"""),"Monthly")</f>
        <v>Monthly</v>
      </c>
      <c r="K1934" s="317">
        <f>IFERROR(__xludf.DUMMYFUNCTION("""COMPUTED_VALUE"""),2022.08)</f>
        <v>2022.08</v>
      </c>
      <c r="L1934" s="298"/>
      <c r="M1934" s="223"/>
      <c r="N1934" s="223"/>
      <c r="O1934" s="223"/>
      <c r="P1934" s="223"/>
      <c r="Q1934" s="223"/>
      <c r="R1934" s="223"/>
      <c r="S1934" s="223"/>
      <c r="T1934" s="223"/>
      <c r="U1934" s="223"/>
      <c r="V1934" s="223"/>
      <c r="W1934" s="223"/>
      <c r="X1934" s="223"/>
      <c r="Y1934" s="223"/>
      <c r="Z1934" s="223"/>
    </row>
    <row r="1935">
      <c r="A1935" s="223" t="str">
        <f>IFERROR(__xludf.DUMMYFUNCTION("""COMPUTED_VALUE"""),"Anavara : Website Development")</f>
        <v>Anavara : Website Development</v>
      </c>
      <c r="B1935" s="223" t="str">
        <f>IFERROR(__xludf.DUMMYFUNCTION("""COMPUTED_VALUE"""),"Anavara")</f>
        <v>Anavara</v>
      </c>
      <c r="C1935" s="223" t="str">
        <f>IFERROR(__xludf.DUMMYFUNCTION("""COMPUTED_VALUE"""),"Website Development")</f>
        <v>Website Development</v>
      </c>
      <c r="D1935" s="316">
        <f>IFERROR(__xludf.DUMMYFUNCTION("""COMPUTED_VALUE"""),44804.0)</f>
        <v>44804</v>
      </c>
      <c r="E1935" s="298"/>
      <c r="F1935" s="298"/>
      <c r="G1935" s="298"/>
      <c r="H1935" s="223"/>
      <c r="I1935" s="298">
        <f>IFERROR(__xludf.DUMMYFUNCTION("""COMPUTED_VALUE"""),214.13)</f>
        <v>214.13</v>
      </c>
      <c r="J1935" s="223" t="str">
        <f>IFERROR(__xludf.DUMMYFUNCTION("""COMPUTED_VALUE"""),"Fixed Project")</f>
        <v>Fixed Project</v>
      </c>
      <c r="K1935" s="317">
        <f>IFERROR(__xludf.DUMMYFUNCTION("""COMPUTED_VALUE"""),2022.0)</f>
        <v>2022</v>
      </c>
      <c r="L1935" s="298"/>
      <c r="M1935" s="223"/>
      <c r="N1935" s="223"/>
      <c r="O1935" s="223"/>
      <c r="P1935" s="223"/>
      <c r="Q1935" s="223"/>
      <c r="R1935" s="223"/>
      <c r="S1935" s="223"/>
      <c r="T1935" s="223"/>
      <c r="U1935" s="223"/>
      <c r="V1935" s="223"/>
      <c r="W1935" s="223"/>
      <c r="X1935" s="223"/>
      <c r="Y1935" s="223"/>
      <c r="Z1935" s="223"/>
    </row>
    <row r="1936">
      <c r="A1936" s="223" t="str">
        <f>IFERROR(__xludf.DUMMYFUNCTION("""COMPUTED_VALUE"""),"Booginhead : Monthly Services")</f>
        <v>Booginhead : Monthly Services</v>
      </c>
      <c r="B1936" s="223" t="str">
        <f>IFERROR(__xludf.DUMMYFUNCTION("""COMPUTED_VALUE"""),"Booginhead")</f>
        <v>Booginhead</v>
      </c>
      <c r="C1936" s="223" t="str">
        <f>IFERROR(__xludf.DUMMYFUNCTION("""COMPUTED_VALUE"""),"Monthly Services")</f>
        <v>Monthly Services</v>
      </c>
      <c r="D1936" s="316">
        <f>IFERROR(__xludf.DUMMYFUNCTION("""COMPUTED_VALUE"""),44804.0)</f>
        <v>44804</v>
      </c>
      <c r="E1936" s="298"/>
      <c r="F1936" s="298"/>
      <c r="G1936" s="298"/>
      <c r="H1936" s="223"/>
      <c r="I1936" s="298">
        <f>IFERROR(__xludf.DUMMYFUNCTION("""COMPUTED_VALUE"""),42.47)</f>
        <v>42.47</v>
      </c>
      <c r="J1936" s="223" t="str">
        <f>IFERROR(__xludf.DUMMYFUNCTION("""COMPUTED_VALUE"""),"Monthly")</f>
        <v>Monthly</v>
      </c>
      <c r="K1936" s="317">
        <f>IFERROR(__xludf.DUMMYFUNCTION("""COMPUTED_VALUE"""),2022.08)</f>
        <v>2022.08</v>
      </c>
      <c r="L1936" s="298"/>
      <c r="M1936" s="223"/>
      <c r="N1936" s="223"/>
      <c r="O1936" s="223"/>
      <c r="P1936" s="223"/>
      <c r="Q1936" s="223"/>
      <c r="R1936" s="223"/>
      <c r="S1936" s="223"/>
      <c r="T1936" s="223"/>
      <c r="U1936" s="223"/>
      <c r="V1936" s="223"/>
      <c r="W1936" s="223"/>
      <c r="X1936" s="223"/>
      <c r="Y1936" s="223"/>
      <c r="Z1936" s="223"/>
    </row>
    <row r="1937">
      <c r="A1937" s="223" t="str">
        <f>IFERROR(__xludf.DUMMYFUNCTION("""COMPUTED_VALUE"""),"Community Financials : Monthly Services")</f>
        <v>Community Financials : Monthly Services</v>
      </c>
      <c r="B1937" s="223" t="str">
        <f>IFERROR(__xludf.DUMMYFUNCTION("""COMPUTED_VALUE"""),"Community Financials")</f>
        <v>Community Financials</v>
      </c>
      <c r="C1937" s="223" t="str">
        <f>IFERROR(__xludf.DUMMYFUNCTION("""COMPUTED_VALUE"""),"Monthly Services")</f>
        <v>Monthly Services</v>
      </c>
      <c r="D1937" s="316">
        <f>IFERROR(__xludf.DUMMYFUNCTION("""COMPUTED_VALUE"""),44804.0)</f>
        <v>44804</v>
      </c>
      <c r="E1937" s="298"/>
      <c r="F1937" s="298"/>
      <c r="G1937" s="298"/>
      <c r="H1937" s="223"/>
      <c r="I1937" s="298">
        <f>IFERROR(__xludf.DUMMYFUNCTION("""COMPUTED_VALUE"""),2.53)</f>
        <v>2.53</v>
      </c>
      <c r="J1937" s="223" t="str">
        <f>IFERROR(__xludf.DUMMYFUNCTION("""COMPUTED_VALUE"""),"Monthly")</f>
        <v>Monthly</v>
      </c>
      <c r="K1937" s="317">
        <f>IFERROR(__xludf.DUMMYFUNCTION("""COMPUTED_VALUE"""),2022.08)</f>
        <v>2022.08</v>
      </c>
      <c r="L1937" s="298"/>
      <c r="M1937" s="223"/>
      <c r="N1937" s="223"/>
      <c r="O1937" s="223"/>
      <c r="P1937" s="223"/>
      <c r="Q1937" s="223"/>
      <c r="R1937" s="223"/>
      <c r="S1937" s="223"/>
      <c r="T1937" s="223"/>
      <c r="U1937" s="223"/>
      <c r="V1937" s="223"/>
      <c r="W1937" s="223"/>
      <c r="X1937" s="223"/>
      <c r="Y1937" s="223"/>
      <c r="Z1937" s="223"/>
    </row>
    <row r="1938">
      <c r="A1938" s="223" t="str">
        <f>IFERROR(__xludf.DUMMYFUNCTION("""COMPUTED_VALUE"""),"The Sands : Sands Owners Site Rebuild")</f>
        <v>The Sands : Sands Owners Site Rebuild</v>
      </c>
      <c r="B1938" s="223" t="str">
        <f>IFERROR(__xludf.DUMMYFUNCTION("""COMPUTED_VALUE"""),"The Sands")</f>
        <v>The Sands</v>
      </c>
      <c r="C1938" s="223" t="str">
        <f>IFERROR(__xludf.DUMMYFUNCTION("""COMPUTED_VALUE"""),"Sands Owners Site Rebuild")</f>
        <v>Sands Owners Site Rebuild</v>
      </c>
      <c r="D1938" s="316">
        <f>IFERROR(__xludf.DUMMYFUNCTION("""COMPUTED_VALUE"""),44804.0)</f>
        <v>44804</v>
      </c>
      <c r="E1938" s="298"/>
      <c r="F1938" s="298"/>
      <c r="G1938" s="298"/>
      <c r="H1938" s="223"/>
      <c r="I1938" s="298">
        <f>IFERROR(__xludf.DUMMYFUNCTION("""COMPUTED_VALUE"""),554.05)</f>
        <v>554.05</v>
      </c>
      <c r="J1938" s="223" t="str">
        <f>IFERROR(__xludf.DUMMYFUNCTION("""COMPUTED_VALUE"""),"Fixed Project")</f>
        <v>Fixed Project</v>
      </c>
      <c r="K1938" s="317">
        <f>IFERROR(__xludf.DUMMYFUNCTION("""COMPUTED_VALUE"""),2022.0)</f>
        <v>2022</v>
      </c>
      <c r="L1938" s="298"/>
      <c r="M1938" s="223"/>
      <c r="N1938" s="223"/>
      <c r="O1938" s="223"/>
      <c r="P1938" s="223"/>
      <c r="Q1938" s="223"/>
      <c r="R1938" s="223"/>
      <c r="S1938" s="223"/>
      <c r="T1938" s="223"/>
      <c r="U1938" s="223"/>
      <c r="V1938" s="223"/>
      <c r="W1938" s="223"/>
      <c r="X1938" s="223"/>
      <c r="Y1938" s="223"/>
      <c r="Z1938" s="223"/>
    </row>
    <row r="1939">
      <c r="A1939" s="223" t="str">
        <f>IFERROR(__xludf.DUMMYFUNCTION("""COMPUTED_VALUE"""),"The Sands : The Sands Quick Rebuild")</f>
        <v>The Sands : The Sands Quick Rebuild</v>
      </c>
      <c r="B1939" s="223" t="str">
        <f>IFERROR(__xludf.DUMMYFUNCTION("""COMPUTED_VALUE"""),"The Sands")</f>
        <v>The Sands</v>
      </c>
      <c r="C1939" s="223" t="str">
        <f>IFERROR(__xludf.DUMMYFUNCTION("""COMPUTED_VALUE"""),"The Sands Quick Rebuild")</f>
        <v>The Sands Quick Rebuild</v>
      </c>
      <c r="D1939" s="316">
        <f>IFERROR(__xludf.DUMMYFUNCTION("""COMPUTED_VALUE"""),44804.0)</f>
        <v>44804</v>
      </c>
      <c r="E1939" s="298"/>
      <c r="F1939" s="298"/>
      <c r="G1939" s="298"/>
      <c r="H1939" s="223"/>
      <c r="I1939" s="298">
        <f>IFERROR(__xludf.DUMMYFUNCTION("""COMPUTED_VALUE"""),668.9)</f>
        <v>668.9</v>
      </c>
      <c r="J1939" s="223" t="str">
        <f>IFERROR(__xludf.DUMMYFUNCTION("""COMPUTED_VALUE"""),"Fixed Project")</f>
        <v>Fixed Project</v>
      </c>
      <c r="K1939" s="317">
        <f>IFERROR(__xludf.DUMMYFUNCTION("""COMPUTED_VALUE"""),2022.0)</f>
        <v>2022</v>
      </c>
      <c r="L1939" s="298"/>
      <c r="M1939" s="223"/>
      <c r="N1939" s="223"/>
      <c r="O1939" s="223"/>
      <c r="P1939" s="223"/>
      <c r="Q1939" s="223"/>
      <c r="R1939" s="223"/>
      <c r="S1939" s="223"/>
      <c r="T1939" s="223"/>
      <c r="U1939" s="223"/>
      <c r="V1939" s="223"/>
      <c r="W1939" s="223"/>
      <c r="X1939" s="223"/>
      <c r="Y1939" s="223"/>
      <c r="Z1939" s="223"/>
    </row>
    <row r="1940">
      <c r="A1940" s="223" t="str">
        <f>IFERROR(__xludf.DUMMYFUNCTION("""COMPUTED_VALUE"""),"HSJ Lawyers : Monthly Services")</f>
        <v>HSJ Lawyers : Monthly Services</v>
      </c>
      <c r="B1940" s="223" t="str">
        <f>IFERROR(__xludf.DUMMYFUNCTION("""COMPUTED_VALUE"""),"HSJ Lawyers")</f>
        <v>HSJ Lawyers</v>
      </c>
      <c r="C1940" s="223" t="str">
        <f>IFERROR(__xludf.DUMMYFUNCTION("""COMPUTED_VALUE"""),"Monthly Services")</f>
        <v>Monthly Services</v>
      </c>
      <c r="D1940" s="316">
        <f>IFERROR(__xludf.DUMMYFUNCTION("""COMPUTED_VALUE"""),44804.0)</f>
        <v>44804</v>
      </c>
      <c r="E1940" s="298"/>
      <c r="F1940" s="298"/>
      <c r="G1940" s="298"/>
      <c r="H1940" s="223"/>
      <c r="I1940" s="298">
        <f>IFERROR(__xludf.DUMMYFUNCTION("""COMPUTED_VALUE"""),100.89)</f>
        <v>100.89</v>
      </c>
      <c r="J1940" s="223" t="str">
        <f>IFERROR(__xludf.DUMMYFUNCTION("""COMPUTED_VALUE"""),"Monthly")</f>
        <v>Monthly</v>
      </c>
      <c r="K1940" s="317">
        <f>IFERROR(__xludf.DUMMYFUNCTION("""COMPUTED_VALUE"""),2022.08)</f>
        <v>2022.08</v>
      </c>
      <c r="L1940" s="298"/>
      <c r="M1940" s="223"/>
      <c r="N1940" s="223"/>
      <c r="O1940" s="223"/>
      <c r="P1940" s="223"/>
      <c r="Q1940" s="223"/>
      <c r="R1940" s="223"/>
      <c r="S1940" s="223"/>
      <c r="T1940" s="223"/>
      <c r="U1940" s="223"/>
      <c r="V1940" s="223"/>
      <c r="W1940" s="223"/>
      <c r="X1940" s="223"/>
      <c r="Y1940" s="223"/>
      <c r="Z1940" s="223"/>
    </row>
    <row r="1941">
      <c r="A1941" s="223" t="str">
        <f>IFERROR(__xludf.DUMMYFUNCTION("""COMPUTED_VALUE"""),"Ideon : 5 Hour Support Block")</f>
        <v>Ideon : 5 Hour Support Block</v>
      </c>
      <c r="B1941" s="223" t="str">
        <f>IFERROR(__xludf.DUMMYFUNCTION("""COMPUTED_VALUE"""),"Ideon")</f>
        <v>Ideon</v>
      </c>
      <c r="C1941" s="223" t="str">
        <f>IFERROR(__xludf.DUMMYFUNCTION("""COMPUTED_VALUE"""),"5 Hour Support Block")</f>
        <v>5 Hour Support Block</v>
      </c>
      <c r="D1941" s="316">
        <f>IFERROR(__xludf.DUMMYFUNCTION("""COMPUTED_VALUE"""),44804.0)</f>
        <v>44804</v>
      </c>
      <c r="E1941" s="298"/>
      <c r="F1941" s="298"/>
      <c r="G1941" s="298"/>
      <c r="H1941" s="223"/>
      <c r="I1941" s="298">
        <f>IFERROR(__xludf.DUMMYFUNCTION("""COMPUTED_VALUE"""),7.91)</f>
        <v>7.91</v>
      </c>
      <c r="J1941" s="223" t="str">
        <f>IFERROR(__xludf.DUMMYFUNCTION("""COMPUTED_VALUE"""),"Fixed Project")</f>
        <v>Fixed Project</v>
      </c>
      <c r="K1941" s="317">
        <f>IFERROR(__xludf.DUMMYFUNCTION("""COMPUTED_VALUE"""),2022.0)</f>
        <v>2022</v>
      </c>
      <c r="L1941" s="298"/>
      <c r="M1941" s="223"/>
      <c r="N1941" s="223"/>
      <c r="O1941" s="223"/>
      <c r="P1941" s="223"/>
      <c r="Q1941" s="223"/>
      <c r="R1941" s="223"/>
      <c r="S1941" s="223"/>
      <c r="T1941" s="223"/>
      <c r="U1941" s="223"/>
      <c r="V1941" s="223"/>
      <c r="W1941" s="223"/>
      <c r="X1941" s="223"/>
      <c r="Y1941" s="223"/>
      <c r="Z1941" s="223"/>
    </row>
    <row r="1942">
      <c r="A1942" s="223" t="str">
        <f>IFERROR(__xludf.DUMMYFUNCTION("""COMPUTED_VALUE"""),"UnityWest Capital : Jericho Energy Ventures 6 month project")</f>
        <v>UnityWest Capital : Jericho Energy Ventures 6 month project</v>
      </c>
      <c r="B1942" s="223" t="str">
        <f>IFERROR(__xludf.DUMMYFUNCTION("""COMPUTED_VALUE"""),"UnityWest Capital")</f>
        <v>UnityWest Capital</v>
      </c>
      <c r="C1942" s="223" t="str">
        <f>IFERROR(__xludf.DUMMYFUNCTION("""COMPUTED_VALUE"""),"Jericho Energy Ventures 6 month project")</f>
        <v>Jericho Energy Ventures 6 month project</v>
      </c>
      <c r="D1942" s="316">
        <f>IFERROR(__xludf.DUMMYFUNCTION("""COMPUTED_VALUE"""),44804.0)</f>
        <v>44804</v>
      </c>
      <c r="E1942" s="298"/>
      <c r="F1942" s="298"/>
      <c r="G1942" s="298"/>
      <c r="H1942" s="223"/>
      <c r="I1942" s="298">
        <f>IFERROR(__xludf.DUMMYFUNCTION("""COMPUTED_VALUE"""),47.79)</f>
        <v>47.79</v>
      </c>
      <c r="J1942" s="223" t="str">
        <f>IFERROR(__xludf.DUMMYFUNCTION("""COMPUTED_VALUE"""),"Monthly")</f>
        <v>Monthly</v>
      </c>
      <c r="K1942" s="317">
        <f>IFERROR(__xludf.DUMMYFUNCTION("""COMPUTED_VALUE"""),2022.08)</f>
        <v>2022.08</v>
      </c>
      <c r="L1942" s="298"/>
      <c r="M1942" s="223"/>
      <c r="N1942" s="223"/>
      <c r="O1942" s="223"/>
      <c r="P1942" s="223"/>
      <c r="Q1942" s="223"/>
      <c r="R1942" s="223"/>
      <c r="S1942" s="223"/>
      <c r="T1942" s="223"/>
      <c r="U1942" s="223"/>
      <c r="V1942" s="223"/>
      <c r="W1942" s="223"/>
      <c r="X1942" s="223"/>
      <c r="Y1942" s="223"/>
      <c r="Z1942" s="223"/>
    </row>
    <row r="1943">
      <c r="A1943" s="223" t="str">
        <f>IFERROR(__xludf.DUMMYFUNCTION("""COMPUTED_VALUE"""),"Maka Health : Quick Site")</f>
        <v>Maka Health : Quick Site</v>
      </c>
      <c r="B1943" s="223" t="str">
        <f>IFERROR(__xludf.DUMMYFUNCTION("""COMPUTED_VALUE"""),"Maka Health")</f>
        <v>Maka Health</v>
      </c>
      <c r="C1943" s="223" t="str">
        <f>IFERROR(__xludf.DUMMYFUNCTION("""COMPUTED_VALUE"""),"Quick Site")</f>
        <v>Quick Site</v>
      </c>
      <c r="D1943" s="316">
        <f>IFERROR(__xludf.DUMMYFUNCTION("""COMPUTED_VALUE"""),44804.0)</f>
        <v>44804</v>
      </c>
      <c r="E1943" s="298"/>
      <c r="F1943" s="298"/>
      <c r="G1943" s="298"/>
      <c r="H1943" s="223"/>
      <c r="I1943" s="298">
        <f>IFERROR(__xludf.DUMMYFUNCTION("""COMPUTED_VALUE"""),32.29)</f>
        <v>32.29</v>
      </c>
      <c r="J1943" s="223" t="str">
        <f>IFERROR(__xludf.DUMMYFUNCTION("""COMPUTED_VALUE"""),"Fixed Project")</f>
        <v>Fixed Project</v>
      </c>
      <c r="K1943" s="317">
        <f>IFERROR(__xludf.DUMMYFUNCTION("""COMPUTED_VALUE"""),2022.0)</f>
        <v>2022</v>
      </c>
      <c r="L1943" s="298"/>
      <c r="M1943" s="223"/>
      <c r="N1943" s="223"/>
      <c r="O1943" s="223"/>
      <c r="P1943" s="223"/>
      <c r="Q1943" s="223"/>
      <c r="R1943" s="223"/>
      <c r="S1943" s="223"/>
      <c r="T1943" s="223"/>
      <c r="U1943" s="223"/>
      <c r="V1943" s="223"/>
      <c r="W1943" s="223"/>
      <c r="X1943" s="223"/>
      <c r="Y1943" s="223"/>
      <c r="Z1943" s="223"/>
    </row>
    <row r="1944">
      <c r="A1944" s="223" t="str">
        <f>IFERROR(__xludf.DUMMYFUNCTION("""COMPUTED_VALUE"""),"PlusROI : Admin")</f>
        <v>PlusROI : Admin</v>
      </c>
      <c r="B1944" s="223" t="str">
        <f>IFERROR(__xludf.DUMMYFUNCTION("""COMPUTED_VALUE"""),"PlusROI")</f>
        <v>PlusROI</v>
      </c>
      <c r="C1944" s="223" t="str">
        <f>IFERROR(__xludf.DUMMYFUNCTION("""COMPUTED_VALUE"""),"Admin")</f>
        <v>Admin</v>
      </c>
      <c r="D1944" s="316">
        <f>IFERROR(__xludf.DUMMYFUNCTION("""COMPUTED_VALUE"""),44804.0)</f>
        <v>44804</v>
      </c>
      <c r="E1944" s="298"/>
      <c r="F1944" s="298"/>
      <c r="G1944" s="298"/>
      <c r="H1944" s="223"/>
      <c r="I1944" s="298">
        <f>IFERROR(__xludf.DUMMYFUNCTION("""COMPUTED_VALUE"""),320.99)</f>
        <v>320.99</v>
      </c>
      <c r="J1944" s="223" t="str">
        <f>IFERROR(__xludf.DUMMYFUNCTION("""COMPUTED_VALUE"""),"Hourly")</f>
        <v>Hourly</v>
      </c>
      <c r="K1944" s="317">
        <f>IFERROR(__xludf.DUMMYFUNCTION("""COMPUTED_VALUE"""),2022.0)</f>
        <v>2022</v>
      </c>
      <c r="L1944" s="298"/>
      <c r="M1944" s="223"/>
      <c r="N1944" s="223"/>
      <c r="O1944" s="223"/>
      <c r="P1944" s="223"/>
      <c r="Q1944" s="223"/>
      <c r="R1944" s="223"/>
      <c r="S1944" s="223"/>
      <c r="T1944" s="223"/>
      <c r="U1944" s="223"/>
      <c r="V1944" s="223"/>
      <c r="W1944" s="223"/>
      <c r="X1944" s="223"/>
      <c r="Y1944" s="223"/>
      <c r="Z1944" s="223"/>
    </row>
    <row r="1945">
      <c r="A1945" s="223" t="str">
        <f>IFERROR(__xludf.DUMMYFUNCTION("""COMPUTED_VALUE"""),"Red Seal : Monthly Services")</f>
        <v>Red Seal : Monthly Services</v>
      </c>
      <c r="B1945" s="223" t="str">
        <f>IFERROR(__xludf.DUMMYFUNCTION("""COMPUTED_VALUE"""),"Red Seal")</f>
        <v>Red Seal</v>
      </c>
      <c r="C1945" s="223" t="str">
        <f>IFERROR(__xludf.DUMMYFUNCTION("""COMPUTED_VALUE"""),"Monthly Services")</f>
        <v>Monthly Services</v>
      </c>
      <c r="D1945" s="316">
        <f>IFERROR(__xludf.DUMMYFUNCTION("""COMPUTED_VALUE"""),44804.0)</f>
        <v>44804</v>
      </c>
      <c r="E1945" s="298"/>
      <c r="F1945" s="298"/>
      <c r="G1945" s="298"/>
      <c r="H1945" s="223"/>
      <c r="I1945" s="298">
        <f>IFERROR(__xludf.DUMMYFUNCTION("""COMPUTED_VALUE"""),422.46)</f>
        <v>422.46</v>
      </c>
      <c r="J1945" s="223" t="str">
        <f>IFERROR(__xludf.DUMMYFUNCTION("""COMPUTED_VALUE"""),"Monthly")</f>
        <v>Monthly</v>
      </c>
      <c r="K1945" s="317">
        <f>IFERROR(__xludf.DUMMYFUNCTION("""COMPUTED_VALUE"""),2022.08)</f>
        <v>2022.08</v>
      </c>
      <c r="L1945" s="298"/>
      <c r="M1945" s="223"/>
      <c r="N1945" s="223"/>
      <c r="O1945" s="223"/>
      <c r="P1945" s="223"/>
      <c r="Q1945" s="223"/>
      <c r="R1945" s="223"/>
      <c r="S1945" s="223"/>
      <c r="T1945" s="223"/>
      <c r="U1945" s="223"/>
      <c r="V1945" s="223"/>
      <c r="W1945" s="223"/>
      <c r="X1945" s="223"/>
      <c r="Y1945" s="223"/>
      <c r="Z1945" s="223"/>
    </row>
    <row r="1946">
      <c r="A1946" s="223" t="str">
        <f>IFERROR(__xludf.DUMMYFUNCTION("""COMPUTED_VALUE"""),"Spraggs : Monthly Services")</f>
        <v>Spraggs : Monthly Services</v>
      </c>
      <c r="B1946" s="223" t="str">
        <f>IFERROR(__xludf.DUMMYFUNCTION("""COMPUTED_VALUE"""),"Spraggs")</f>
        <v>Spraggs</v>
      </c>
      <c r="C1946" s="223" t="str">
        <f>IFERROR(__xludf.DUMMYFUNCTION("""COMPUTED_VALUE"""),"Monthly Services")</f>
        <v>Monthly Services</v>
      </c>
      <c r="D1946" s="316">
        <f>IFERROR(__xludf.DUMMYFUNCTION("""COMPUTED_VALUE"""),44804.0)</f>
        <v>44804</v>
      </c>
      <c r="E1946" s="298"/>
      <c r="F1946" s="298"/>
      <c r="G1946" s="298"/>
      <c r="H1946" s="223"/>
      <c r="I1946" s="298">
        <f>IFERROR(__xludf.DUMMYFUNCTION("""COMPUTED_VALUE"""),14.63)</f>
        <v>14.63</v>
      </c>
      <c r="J1946" s="223" t="str">
        <f>IFERROR(__xludf.DUMMYFUNCTION("""COMPUTED_VALUE"""),"Monthly")</f>
        <v>Monthly</v>
      </c>
      <c r="K1946" s="317">
        <f>IFERROR(__xludf.DUMMYFUNCTION("""COMPUTED_VALUE"""),2022.08)</f>
        <v>2022.08</v>
      </c>
      <c r="L1946" s="298"/>
      <c r="M1946" s="223"/>
      <c r="N1946" s="223"/>
      <c r="O1946" s="223"/>
      <c r="P1946" s="223"/>
      <c r="Q1946" s="223"/>
      <c r="R1946" s="223"/>
      <c r="S1946" s="223"/>
      <c r="T1946" s="223"/>
      <c r="U1946" s="223"/>
      <c r="V1946" s="223"/>
      <c r="W1946" s="223"/>
      <c r="X1946" s="223"/>
      <c r="Y1946" s="223"/>
      <c r="Z1946" s="223"/>
    </row>
    <row r="1947">
      <c r="A1947" s="223" t="str">
        <f>IFERROR(__xludf.DUMMYFUNCTION("""COMPUTED_VALUE"""),"Venetian : Monthly Services")</f>
        <v>Venetian : Monthly Services</v>
      </c>
      <c r="B1947" s="223" t="str">
        <f>IFERROR(__xludf.DUMMYFUNCTION("""COMPUTED_VALUE"""),"Venetian")</f>
        <v>Venetian</v>
      </c>
      <c r="C1947" s="223" t="str">
        <f>IFERROR(__xludf.DUMMYFUNCTION("""COMPUTED_VALUE"""),"Monthly Services")</f>
        <v>Monthly Services</v>
      </c>
      <c r="D1947" s="316">
        <f>IFERROR(__xludf.DUMMYFUNCTION("""COMPUTED_VALUE"""),44804.0)</f>
        <v>44804</v>
      </c>
      <c r="E1947" s="298"/>
      <c r="F1947" s="298"/>
      <c r="G1947" s="298"/>
      <c r="H1947" s="223"/>
      <c r="I1947" s="298">
        <f>IFERROR(__xludf.DUMMYFUNCTION("""COMPUTED_VALUE"""),2.55)</f>
        <v>2.55</v>
      </c>
      <c r="J1947" s="223" t="str">
        <f>IFERROR(__xludf.DUMMYFUNCTION("""COMPUTED_VALUE"""),"Monthly")</f>
        <v>Monthly</v>
      </c>
      <c r="K1947" s="317">
        <f>IFERROR(__xludf.DUMMYFUNCTION("""COMPUTED_VALUE"""),2022.08)</f>
        <v>2022.08</v>
      </c>
      <c r="L1947" s="298"/>
      <c r="M1947" s="223"/>
      <c r="N1947" s="223"/>
      <c r="O1947" s="223"/>
      <c r="P1947" s="223"/>
      <c r="Q1947" s="223"/>
      <c r="R1947" s="223"/>
      <c r="S1947" s="223"/>
      <c r="T1947" s="223"/>
      <c r="U1947" s="223"/>
      <c r="V1947" s="223"/>
      <c r="W1947" s="223"/>
      <c r="X1947" s="223"/>
      <c r="Y1947" s="223"/>
      <c r="Z1947" s="223"/>
    </row>
    <row r="1948">
      <c r="A1948" s="223" t="str">
        <f>IFERROR(__xludf.DUMMYFUNCTION("""COMPUTED_VALUE"""),"Villa del Mar : Website Rebuild")</f>
        <v>Villa del Mar : Website Rebuild</v>
      </c>
      <c r="B1948" s="223" t="str">
        <f>IFERROR(__xludf.DUMMYFUNCTION("""COMPUTED_VALUE"""),"Villa del Mar")</f>
        <v>Villa del Mar</v>
      </c>
      <c r="C1948" s="223" t="str">
        <f>IFERROR(__xludf.DUMMYFUNCTION("""COMPUTED_VALUE"""),"Website Rebuild")</f>
        <v>Website Rebuild</v>
      </c>
      <c r="D1948" s="316">
        <f>IFERROR(__xludf.DUMMYFUNCTION("""COMPUTED_VALUE"""),44804.0)</f>
        <v>44804</v>
      </c>
      <c r="E1948" s="298"/>
      <c r="F1948" s="298"/>
      <c r="G1948" s="298"/>
      <c r="H1948" s="223"/>
      <c r="I1948" s="298">
        <f>IFERROR(__xludf.DUMMYFUNCTION("""COMPUTED_VALUE"""),363.14)</f>
        <v>363.14</v>
      </c>
      <c r="J1948" s="223" t="str">
        <f>IFERROR(__xludf.DUMMYFUNCTION("""COMPUTED_VALUE"""),"Fixed Project")</f>
        <v>Fixed Project</v>
      </c>
      <c r="K1948" s="317">
        <f>IFERROR(__xludf.DUMMYFUNCTION("""COMPUTED_VALUE"""),2022.0)</f>
        <v>2022</v>
      </c>
      <c r="L1948" s="298"/>
      <c r="M1948" s="223"/>
      <c r="N1948" s="223"/>
      <c r="O1948" s="223"/>
      <c r="P1948" s="223"/>
      <c r="Q1948" s="223"/>
      <c r="R1948" s="223"/>
      <c r="S1948" s="223"/>
      <c r="T1948" s="223"/>
      <c r="U1948" s="223"/>
      <c r="V1948" s="223"/>
      <c r="W1948" s="223"/>
      <c r="X1948" s="223"/>
      <c r="Y1948" s="223"/>
      <c r="Z1948" s="223"/>
    </row>
    <row r="1949">
      <c r="A1949" s="223" t="str">
        <f>IFERROR(__xludf.DUMMYFUNCTION("""COMPUTED_VALUE"""),"Viridian : Monthly Services")</f>
        <v>Viridian : Monthly Services</v>
      </c>
      <c r="B1949" s="223" t="str">
        <f>IFERROR(__xludf.DUMMYFUNCTION("""COMPUTED_VALUE"""),"Viridian")</f>
        <v>Viridian</v>
      </c>
      <c r="C1949" s="223" t="str">
        <f>IFERROR(__xludf.DUMMYFUNCTION("""COMPUTED_VALUE"""),"Monthly Services")</f>
        <v>Monthly Services</v>
      </c>
      <c r="D1949" s="316">
        <f>IFERROR(__xludf.DUMMYFUNCTION("""COMPUTED_VALUE"""),44804.0)</f>
        <v>44804</v>
      </c>
      <c r="E1949" s="298"/>
      <c r="F1949" s="298"/>
      <c r="G1949" s="298"/>
      <c r="H1949" s="223"/>
      <c r="I1949" s="298">
        <f>IFERROR(__xludf.DUMMYFUNCTION("""COMPUTED_VALUE"""),83.74)</f>
        <v>83.74</v>
      </c>
      <c r="J1949" s="223" t="str">
        <f>IFERROR(__xludf.DUMMYFUNCTION("""COMPUTED_VALUE"""),"Monthly")</f>
        <v>Monthly</v>
      </c>
      <c r="K1949" s="317">
        <f>IFERROR(__xludf.DUMMYFUNCTION("""COMPUTED_VALUE"""),2022.08)</f>
        <v>2022.08</v>
      </c>
      <c r="L1949" s="298"/>
      <c r="M1949" s="223"/>
      <c r="N1949" s="223"/>
      <c r="O1949" s="223"/>
      <c r="P1949" s="223"/>
      <c r="Q1949" s="223"/>
      <c r="R1949" s="223"/>
      <c r="S1949" s="223"/>
      <c r="T1949" s="223"/>
      <c r="U1949" s="223"/>
      <c r="V1949" s="223"/>
      <c r="W1949" s="223"/>
      <c r="X1949" s="223"/>
      <c r="Y1949" s="223"/>
      <c r="Z1949" s="223"/>
    </row>
    <row r="1950">
      <c r="A1950" s="223" t="str">
        <f>IFERROR(__xludf.DUMMYFUNCTION("""COMPUTED_VALUE"""),"Tuscany : Monthly Services")</f>
        <v>Tuscany : Monthly Services</v>
      </c>
      <c r="B1950" s="223" t="str">
        <f>IFERROR(__xludf.DUMMYFUNCTION("""COMPUTED_VALUE"""),"Tuscany")</f>
        <v>Tuscany</v>
      </c>
      <c r="C1950" s="223" t="str">
        <f>IFERROR(__xludf.DUMMYFUNCTION("""COMPUTED_VALUE"""),"Monthly Services")</f>
        <v>Monthly Services</v>
      </c>
      <c r="D1950" s="316">
        <f>IFERROR(__xludf.DUMMYFUNCTION("""COMPUTED_VALUE"""),44794.0)</f>
        <v>44794</v>
      </c>
      <c r="E1950" s="298"/>
      <c r="F1950" s="298"/>
      <c r="G1950" s="298"/>
      <c r="H1950" s="223"/>
      <c r="I1950" s="298">
        <f>IFERROR(__xludf.DUMMYFUNCTION("""COMPUTED_VALUE"""),750.0)</f>
        <v>750</v>
      </c>
      <c r="J1950" s="223" t="str">
        <f>IFERROR(__xludf.DUMMYFUNCTION("""COMPUTED_VALUE"""),"Monthly")</f>
        <v>Monthly</v>
      </c>
      <c r="K1950" s="317">
        <f>IFERROR(__xludf.DUMMYFUNCTION("""COMPUTED_VALUE"""),2022.08)</f>
        <v>2022.08</v>
      </c>
      <c r="L1950" s="298">
        <f>IFERROR(__xludf.DUMMYFUNCTION("""COMPUTED_VALUE"""),750.0)</f>
        <v>750</v>
      </c>
      <c r="M1950" s="223"/>
      <c r="N1950" s="223"/>
      <c r="O1950" s="223"/>
      <c r="P1950" s="223"/>
      <c r="Q1950" s="223"/>
      <c r="R1950" s="223"/>
      <c r="S1950" s="223"/>
      <c r="T1950" s="223"/>
      <c r="U1950" s="223"/>
      <c r="V1950" s="223"/>
      <c r="W1950" s="223"/>
      <c r="X1950" s="223"/>
      <c r="Y1950" s="223"/>
      <c r="Z1950" s="223"/>
    </row>
    <row r="1951">
      <c r="A1951" s="223" t="str">
        <f>IFERROR(__xludf.DUMMYFUNCTION("""COMPUTED_VALUE"""),"Spraggs : Monthly Services")</f>
        <v>Spraggs : Monthly Services</v>
      </c>
      <c r="B1951" s="223" t="str">
        <f>IFERROR(__xludf.DUMMYFUNCTION("""COMPUTED_VALUE"""),"Spraggs")</f>
        <v>Spraggs</v>
      </c>
      <c r="C1951" s="223" t="str">
        <f>IFERROR(__xludf.DUMMYFUNCTION("""COMPUTED_VALUE"""),"Monthly Services")</f>
        <v>Monthly Services</v>
      </c>
      <c r="D1951" s="316">
        <f>IFERROR(__xludf.DUMMYFUNCTION("""COMPUTED_VALUE"""),44798.0)</f>
        <v>44798</v>
      </c>
      <c r="E1951" s="298"/>
      <c r="F1951" s="298"/>
      <c r="G1951" s="298"/>
      <c r="H1951" s="223"/>
      <c r="I1951" s="298">
        <f>IFERROR(__xludf.DUMMYFUNCTION("""COMPUTED_VALUE"""),19.6)</f>
        <v>19.6</v>
      </c>
      <c r="J1951" s="223" t="str">
        <f>IFERROR(__xludf.DUMMYFUNCTION("""COMPUTED_VALUE"""),"Monthly")</f>
        <v>Monthly</v>
      </c>
      <c r="K1951" s="317">
        <f>IFERROR(__xludf.DUMMYFUNCTION("""COMPUTED_VALUE"""),2022.08)</f>
        <v>2022.08</v>
      </c>
      <c r="L1951" s="298">
        <f>IFERROR(__xludf.DUMMYFUNCTION("""COMPUTED_VALUE"""),19.6)</f>
        <v>19.6</v>
      </c>
      <c r="M1951" s="223"/>
      <c r="N1951" s="223"/>
      <c r="O1951" s="223"/>
      <c r="P1951" s="223"/>
      <c r="Q1951" s="223"/>
      <c r="R1951" s="223"/>
      <c r="S1951" s="223"/>
      <c r="T1951" s="223"/>
      <c r="U1951" s="223"/>
      <c r="V1951" s="223"/>
      <c r="W1951" s="223"/>
      <c r="X1951" s="223"/>
      <c r="Y1951" s="223"/>
      <c r="Z1951" s="223"/>
    </row>
    <row r="1952">
      <c r="A1952" s="223" t="str">
        <f>IFERROR(__xludf.DUMMYFUNCTION("""COMPUTED_VALUE"""),"Venetian : Monthly Services")</f>
        <v>Venetian : Monthly Services</v>
      </c>
      <c r="B1952" s="223" t="str">
        <f>IFERROR(__xludf.DUMMYFUNCTION("""COMPUTED_VALUE"""),"Venetian")</f>
        <v>Venetian</v>
      </c>
      <c r="C1952" s="223" t="str">
        <f>IFERROR(__xludf.DUMMYFUNCTION("""COMPUTED_VALUE"""),"Monthly Services")</f>
        <v>Monthly Services</v>
      </c>
      <c r="D1952" s="316">
        <f>IFERROR(__xludf.DUMMYFUNCTION("""COMPUTED_VALUE"""),44802.0)</f>
        <v>44802</v>
      </c>
      <c r="E1952" s="298"/>
      <c r="F1952" s="298"/>
      <c r="G1952" s="298"/>
      <c r="H1952" s="223"/>
      <c r="I1952" s="298">
        <f>IFERROR(__xludf.DUMMYFUNCTION("""COMPUTED_VALUE"""),750.0)</f>
        <v>750</v>
      </c>
      <c r="J1952" s="223" t="str">
        <f>IFERROR(__xludf.DUMMYFUNCTION("""COMPUTED_VALUE"""),"Monthly")</f>
        <v>Monthly</v>
      </c>
      <c r="K1952" s="317">
        <f>IFERROR(__xludf.DUMMYFUNCTION("""COMPUTED_VALUE"""),2022.08)</f>
        <v>2022.08</v>
      </c>
      <c r="L1952" s="298">
        <f>IFERROR(__xludf.DUMMYFUNCTION("""COMPUTED_VALUE"""),750.0)</f>
        <v>750</v>
      </c>
      <c r="M1952" s="223"/>
      <c r="N1952" s="223"/>
      <c r="O1952" s="223"/>
      <c r="P1952" s="223"/>
      <c r="Q1952" s="223"/>
      <c r="R1952" s="223"/>
      <c r="S1952" s="223"/>
      <c r="T1952" s="223"/>
      <c r="U1952" s="223"/>
      <c r="V1952" s="223"/>
      <c r="W1952" s="223"/>
      <c r="X1952" s="223"/>
      <c r="Y1952" s="223"/>
      <c r="Z1952" s="223"/>
    </row>
    <row r="1953">
      <c r="A1953" s="223" t="str">
        <f>IFERROR(__xludf.DUMMYFUNCTION("""COMPUTED_VALUE"""),"Spraggs : Monthly Services")</f>
        <v>Spraggs : Monthly Services</v>
      </c>
      <c r="B1953" s="223" t="str">
        <f>IFERROR(__xludf.DUMMYFUNCTION("""COMPUTED_VALUE"""),"Spraggs")</f>
        <v>Spraggs</v>
      </c>
      <c r="C1953" s="223" t="str">
        <f>IFERROR(__xludf.DUMMYFUNCTION("""COMPUTED_VALUE"""),"Monthly Services")</f>
        <v>Monthly Services</v>
      </c>
      <c r="D1953" s="316">
        <f>IFERROR(__xludf.DUMMYFUNCTION("""COMPUTED_VALUE"""),44804.0)</f>
        <v>44804</v>
      </c>
      <c r="E1953" s="298"/>
      <c r="F1953" s="298"/>
      <c r="G1953" s="298"/>
      <c r="H1953" s="223"/>
      <c r="I1953" s="298">
        <f>IFERROR(__xludf.DUMMYFUNCTION("""COMPUTED_VALUE"""),47.1)</f>
        <v>47.1</v>
      </c>
      <c r="J1953" s="223" t="str">
        <f>IFERROR(__xludf.DUMMYFUNCTION("""COMPUTED_VALUE"""),"Monthly")</f>
        <v>Monthly</v>
      </c>
      <c r="K1953" s="317">
        <f>IFERROR(__xludf.DUMMYFUNCTION("""COMPUTED_VALUE"""),2022.08)</f>
        <v>2022.08</v>
      </c>
      <c r="L1953" s="298">
        <f>IFERROR(__xludf.DUMMYFUNCTION("""COMPUTED_VALUE"""),47.1)</f>
        <v>47.1</v>
      </c>
      <c r="M1953" s="223"/>
      <c r="N1953" s="223"/>
      <c r="O1953" s="223"/>
      <c r="P1953" s="223"/>
      <c r="Q1953" s="223"/>
      <c r="R1953" s="223"/>
      <c r="S1953" s="223"/>
      <c r="T1953" s="223"/>
      <c r="U1953" s="223"/>
      <c r="V1953" s="223"/>
      <c r="W1953" s="223"/>
      <c r="X1953" s="223"/>
      <c r="Y1953" s="223"/>
      <c r="Z1953" s="223"/>
    </row>
    <row r="1954">
      <c r="A1954" s="223" t="str">
        <f>IFERROR(__xludf.DUMMYFUNCTION("""COMPUTED_VALUE"""),"Tuscany : Monthly Services")</f>
        <v>Tuscany : Monthly Services</v>
      </c>
      <c r="B1954" s="223" t="str">
        <f>IFERROR(__xludf.DUMMYFUNCTION("""COMPUTED_VALUE"""),"Tuscany")</f>
        <v>Tuscany</v>
      </c>
      <c r="C1954" s="223" t="str">
        <f>IFERROR(__xludf.DUMMYFUNCTION("""COMPUTED_VALUE"""),"Monthly Services")</f>
        <v>Monthly Services</v>
      </c>
      <c r="D1954" s="316">
        <f>IFERROR(__xludf.DUMMYFUNCTION("""COMPUTED_VALUE"""),44805.0)</f>
        <v>44805</v>
      </c>
      <c r="E1954" s="298"/>
      <c r="F1954" s="298"/>
      <c r="G1954" s="298"/>
      <c r="H1954" s="223"/>
      <c r="I1954" s="298">
        <f>IFERROR(__xludf.DUMMYFUNCTION("""COMPUTED_VALUE"""),334.07)</f>
        <v>334.07</v>
      </c>
      <c r="J1954" s="223" t="str">
        <f>IFERROR(__xludf.DUMMYFUNCTION("""COMPUTED_VALUE"""),"Monthly")</f>
        <v>Monthly</v>
      </c>
      <c r="K1954" s="317">
        <f>IFERROR(__xludf.DUMMYFUNCTION("""COMPUTED_VALUE"""),2022.09)</f>
        <v>2022.09</v>
      </c>
      <c r="L1954" s="298">
        <f>IFERROR(__xludf.DUMMYFUNCTION("""COMPUTED_VALUE"""),334.07)</f>
        <v>334.07</v>
      </c>
      <c r="M1954" s="223"/>
      <c r="N1954" s="223"/>
      <c r="O1954" s="223"/>
      <c r="P1954" s="223"/>
      <c r="Q1954" s="223"/>
      <c r="R1954" s="223"/>
      <c r="S1954" s="223"/>
      <c r="T1954" s="223"/>
      <c r="U1954" s="223"/>
      <c r="V1954" s="223"/>
      <c r="W1954" s="223"/>
      <c r="X1954" s="223"/>
      <c r="Y1954" s="223"/>
      <c r="Z1954" s="223"/>
    </row>
    <row r="1955">
      <c r="A1955" s="223" t="str">
        <f>IFERROR(__xludf.DUMMYFUNCTION("""COMPUTED_VALUE"""),"Venetian : Monthly Services")</f>
        <v>Venetian : Monthly Services</v>
      </c>
      <c r="B1955" s="223" t="str">
        <f>IFERROR(__xludf.DUMMYFUNCTION("""COMPUTED_VALUE"""),"Venetian")</f>
        <v>Venetian</v>
      </c>
      <c r="C1955" s="223" t="str">
        <f>IFERROR(__xludf.DUMMYFUNCTION("""COMPUTED_VALUE"""),"Monthly Services")</f>
        <v>Monthly Services</v>
      </c>
      <c r="D1955" s="316">
        <f>IFERROR(__xludf.DUMMYFUNCTION("""COMPUTED_VALUE"""),44805.0)</f>
        <v>44805</v>
      </c>
      <c r="E1955" s="298"/>
      <c r="F1955" s="298"/>
      <c r="G1955" s="298"/>
      <c r="H1955" s="223"/>
      <c r="I1955" s="298">
        <f>IFERROR(__xludf.DUMMYFUNCTION("""COMPUTED_VALUE"""),186.26)</f>
        <v>186.26</v>
      </c>
      <c r="J1955" s="223" t="str">
        <f>IFERROR(__xludf.DUMMYFUNCTION("""COMPUTED_VALUE"""),"Monthly")</f>
        <v>Monthly</v>
      </c>
      <c r="K1955" s="317">
        <f>IFERROR(__xludf.DUMMYFUNCTION("""COMPUTED_VALUE"""),2022.09)</f>
        <v>2022.09</v>
      </c>
      <c r="L1955" s="298">
        <f>IFERROR(__xludf.DUMMYFUNCTION("""COMPUTED_VALUE"""),186.26)</f>
        <v>186.26</v>
      </c>
      <c r="M1955" s="223"/>
      <c r="N1955" s="223"/>
      <c r="O1955" s="223"/>
      <c r="P1955" s="223"/>
      <c r="Q1955" s="223"/>
      <c r="R1955" s="223"/>
      <c r="S1955" s="223"/>
      <c r="T1955" s="223"/>
      <c r="U1955" s="223"/>
      <c r="V1955" s="223"/>
      <c r="W1955" s="223"/>
      <c r="X1955" s="223"/>
      <c r="Y1955" s="223"/>
      <c r="Z1955" s="223"/>
    </row>
    <row r="1956">
      <c r="A1956" s="223" t="str">
        <f>IFERROR(__xludf.DUMMYFUNCTION("""COMPUTED_VALUE"""),"Tugwell : 6 Month PPC")</f>
        <v>Tugwell : 6 Month PPC</v>
      </c>
      <c r="B1956" s="223" t="str">
        <f>IFERROR(__xludf.DUMMYFUNCTION("""COMPUTED_VALUE"""),"Tugwell")</f>
        <v>Tugwell</v>
      </c>
      <c r="C1956" s="223" t="str">
        <f>IFERROR(__xludf.DUMMYFUNCTION("""COMPUTED_VALUE"""),"6 Month PPC")</f>
        <v>6 Month PPC</v>
      </c>
      <c r="D1956" s="316">
        <f>IFERROR(__xludf.DUMMYFUNCTION("""COMPUTED_VALUE"""),44805.0)</f>
        <v>44805</v>
      </c>
      <c r="E1956" s="298"/>
      <c r="F1956" s="298"/>
      <c r="G1956" s="298"/>
      <c r="H1956" s="223"/>
      <c r="I1956" s="298">
        <f>IFERROR(__xludf.DUMMYFUNCTION("""COMPUTED_VALUE"""),55.4)</f>
        <v>55.4</v>
      </c>
      <c r="J1956" s="223" t="str">
        <f>IFERROR(__xludf.DUMMYFUNCTION("""COMPUTED_VALUE"""),"Fixed Project")</f>
        <v>Fixed Project</v>
      </c>
      <c r="K1956" s="317">
        <f>IFERROR(__xludf.DUMMYFUNCTION("""COMPUTED_VALUE"""),2022.0)</f>
        <v>2022</v>
      </c>
      <c r="L1956" s="298">
        <f>IFERROR(__xludf.DUMMYFUNCTION("""COMPUTED_VALUE"""),55.4)</f>
        <v>55.4</v>
      </c>
      <c r="M1956" s="223"/>
      <c r="N1956" s="223"/>
      <c r="O1956" s="223"/>
      <c r="P1956" s="223"/>
      <c r="Q1956" s="223"/>
      <c r="R1956" s="223"/>
      <c r="S1956" s="223"/>
      <c r="T1956" s="223"/>
      <c r="U1956" s="223"/>
      <c r="V1956" s="223"/>
      <c r="W1956" s="223"/>
      <c r="X1956" s="223"/>
      <c r="Y1956" s="223"/>
      <c r="Z1956" s="223"/>
    </row>
    <row r="1957">
      <c r="A1957" s="223" t="str">
        <f>IFERROR(__xludf.DUMMYFUNCTION("""COMPUTED_VALUE"""),"OA Region 6 : Monthly Services")</f>
        <v>OA Region 6 : Monthly Services</v>
      </c>
      <c r="B1957" s="223" t="str">
        <f>IFERROR(__xludf.DUMMYFUNCTION("""COMPUTED_VALUE"""),"OA Region 6")</f>
        <v>OA Region 6</v>
      </c>
      <c r="C1957" s="223" t="str">
        <f>IFERROR(__xludf.DUMMYFUNCTION("""COMPUTED_VALUE"""),"Monthly Services")</f>
        <v>Monthly Services</v>
      </c>
      <c r="D1957" s="316">
        <f>IFERROR(__xludf.DUMMYFUNCTION("""COMPUTED_VALUE"""),44834.0)</f>
        <v>44834</v>
      </c>
      <c r="E1957" s="298"/>
      <c r="F1957" s="298"/>
      <c r="G1957" s="298"/>
      <c r="H1957" s="223"/>
      <c r="I1957" s="298">
        <f>IFERROR(__xludf.DUMMYFUNCTION("""COMPUTED_VALUE"""),150.0)</f>
        <v>150</v>
      </c>
      <c r="J1957" s="223" t="str">
        <f>IFERROR(__xludf.DUMMYFUNCTION("""COMPUTED_VALUE"""),"Monthly")</f>
        <v>Monthly</v>
      </c>
      <c r="K1957" s="317">
        <f>IFERROR(__xludf.DUMMYFUNCTION("""COMPUTED_VALUE"""),2022.09)</f>
        <v>2022.09</v>
      </c>
      <c r="L1957" s="298"/>
      <c r="M1957" s="223"/>
      <c r="N1957" s="223"/>
      <c r="O1957" s="223"/>
      <c r="P1957" s="223"/>
      <c r="Q1957" s="223"/>
      <c r="R1957" s="223"/>
      <c r="S1957" s="223"/>
      <c r="T1957" s="223"/>
      <c r="U1957" s="223"/>
      <c r="V1957" s="223"/>
      <c r="W1957" s="223"/>
      <c r="X1957" s="223"/>
      <c r="Y1957" s="223"/>
      <c r="Z1957" s="223"/>
    </row>
    <row r="1958">
      <c r="A1958" s="223" t="str">
        <f>IFERROR(__xludf.DUMMYFUNCTION("""COMPUTED_VALUE"""),"Crisp Media : Genus Capital Managment PPC")</f>
        <v>Crisp Media : Genus Capital Managment PPC</v>
      </c>
      <c r="B1958" s="223" t="str">
        <f>IFERROR(__xludf.DUMMYFUNCTION("""COMPUTED_VALUE"""),"Crisp Media")</f>
        <v>Crisp Media</v>
      </c>
      <c r="C1958" s="223" t="str">
        <f>IFERROR(__xludf.DUMMYFUNCTION("""COMPUTED_VALUE"""),"Genus Capital Managment PPC")</f>
        <v>Genus Capital Managment PPC</v>
      </c>
      <c r="D1958" s="316">
        <f>IFERROR(__xludf.DUMMYFUNCTION("""COMPUTED_VALUE"""),44834.0)</f>
        <v>44834</v>
      </c>
      <c r="E1958" s="298"/>
      <c r="F1958" s="298"/>
      <c r="G1958" s="298"/>
      <c r="H1958" s="223"/>
      <c r="I1958" s="298">
        <f>IFERROR(__xludf.DUMMYFUNCTION("""COMPUTED_VALUE"""),175.0)</f>
        <v>175</v>
      </c>
      <c r="J1958" s="223" t="str">
        <f>IFERROR(__xludf.DUMMYFUNCTION("""COMPUTED_VALUE"""),"Fixed Project")</f>
        <v>Fixed Project</v>
      </c>
      <c r="K1958" s="317">
        <f>IFERROR(__xludf.DUMMYFUNCTION("""COMPUTED_VALUE"""),2022.0)</f>
        <v>2022</v>
      </c>
      <c r="L1958" s="298"/>
      <c r="M1958" s="223"/>
      <c r="N1958" s="223"/>
      <c r="O1958" s="223"/>
      <c r="P1958" s="223"/>
      <c r="Q1958" s="223"/>
      <c r="R1958" s="223"/>
      <c r="S1958" s="223"/>
      <c r="T1958" s="223"/>
      <c r="U1958" s="223"/>
      <c r="V1958" s="223"/>
      <c r="W1958" s="223"/>
      <c r="X1958" s="223"/>
      <c r="Y1958" s="223"/>
      <c r="Z1958" s="223"/>
    </row>
    <row r="1959">
      <c r="A1959" s="223" t="str">
        <f>IFERROR(__xludf.DUMMYFUNCTION("""COMPUTED_VALUE"""),"UnityWest Capital : Jericho Energy Ventures 6 month project")</f>
        <v>UnityWest Capital : Jericho Energy Ventures 6 month project</v>
      </c>
      <c r="B1959" s="223" t="str">
        <f>IFERROR(__xludf.DUMMYFUNCTION("""COMPUTED_VALUE"""),"UnityWest Capital")</f>
        <v>UnityWest Capital</v>
      </c>
      <c r="C1959" s="223" t="str">
        <f>IFERROR(__xludf.DUMMYFUNCTION("""COMPUTED_VALUE"""),"Jericho Energy Ventures 6 month project")</f>
        <v>Jericho Energy Ventures 6 month project</v>
      </c>
      <c r="D1959" s="316">
        <f>IFERROR(__xludf.DUMMYFUNCTION("""COMPUTED_VALUE"""),44834.0)</f>
        <v>44834</v>
      </c>
      <c r="E1959" s="298"/>
      <c r="F1959" s="298"/>
      <c r="G1959" s="298"/>
      <c r="H1959" s="223"/>
      <c r="I1959" s="298">
        <f>IFERROR(__xludf.DUMMYFUNCTION("""COMPUTED_VALUE"""),50.0)</f>
        <v>50</v>
      </c>
      <c r="J1959" s="223" t="str">
        <f>IFERROR(__xludf.DUMMYFUNCTION("""COMPUTED_VALUE"""),"Monthly")</f>
        <v>Monthly</v>
      </c>
      <c r="K1959" s="317">
        <f>IFERROR(__xludf.DUMMYFUNCTION("""COMPUTED_VALUE"""),2022.09)</f>
        <v>2022.09</v>
      </c>
      <c r="L1959" s="298"/>
      <c r="M1959" s="223"/>
      <c r="N1959" s="223"/>
      <c r="O1959" s="223"/>
      <c r="P1959" s="223"/>
      <c r="Q1959" s="223"/>
      <c r="R1959" s="223"/>
      <c r="S1959" s="223"/>
      <c r="T1959" s="223"/>
      <c r="U1959" s="223"/>
      <c r="V1959" s="223"/>
      <c r="W1959" s="223"/>
      <c r="X1959" s="223"/>
      <c r="Y1959" s="223"/>
      <c r="Z1959" s="223"/>
    </row>
    <row r="1960">
      <c r="A1960" s="223" t="str">
        <f>IFERROR(__xludf.DUMMYFUNCTION("""COMPUTED_VALUE"""),"Arazy Group : Monthly Services")</f>
        <v>Arazy Group : Monthly Services</v>
      </c>
      <c r="B1960" s="223" t="str">
        <f>IFERROR(__xludf.DUMMYFUNCTION("""COMPUTED_VALUE"""),"Arazy Group")</f>
        <v>Arazy Group</v>
      </c>
      <c r="C1960" s="223" t="str">
        <f>IFERROR(__xludf.DUMMYFUNCTION("""COMPUTED_VALUE"""),"Monthly Services")</f>
        <v>Monthly Services</v>
      </c>
      <c r="D1960" s="316">
        <f>IFERROR(__xludf.DUMMYFUNCTION("""COMPUTED_VALUE"""),44834.0)</f>
        <v>44834</v>
      </c>
      <c r="E1960" s="298"/>
      <c r="F1960" s="298"/>
      <c r="G1960" s="298"/>
      <c r="H1960" s="223"/>
      <c r="I1960" s="298">
        <f>IFERROR(__xludf.DUMMYFUNCTION("""COMPUTED_VALUE"""),237.5)</f>
        <v>237.5</v>
      </c>
      <c r="J1960" s="223" t="str">
        <f>IFERROR(__xludf.DUMMYFUNCTION("""COMPUTED_VALUE"""),"Monthly")</f>
        <v>Monthly</v>
      </c>
      <c r="K1960" s="317">
        <f>IFERROR(__xludf.DUMMYFUNCTION("""COMPUTED_VALUE"""),2022.09)</f>
        <v>2022.09</v>
      </c>
      <c r="L1960" s="298"/>
      <c r="M1960" s="223"/>
      <c r="N1960" s="223"/>
      <c r="O1960" s="223"/>
      <c r="P1960" s="223"/>
      <c r="Q1960" s="223"/>
      <c r="R1960" s="223"/>
      <c r="S1960" s="223"/>
      <c r="T1960" s="223"/>
      <c r="U1960" s="223"/>
      <c r="V1960" s="223"/>
      <c r="W1960" s="223"/>
      <c r="X1960" s="223"/>
      <c r="Y1960" s="223"/>
      <c r="Z1960" s="223"/>
    </row>
    <row r="1961">
      <c r="A1961" s="223" t="str">
        <f>IFERROR(__xludf.DUMMYFUNCTION("""COMPUTED_VALUE"""),"HSJ Lawyers : Monthly Services")</f>
        <v>HSJ Lawyers : Monthly Services</v>
      </c>
      <c r="B1961" s="223" t="str">
        <f>IFERROR(__xludf.DUMMYFUNCTION("""COMPUTED_VALUE"""),"HSJ Lawyers")</f>
        <v>HSJ Lawyers</v>
      </c>
      <c r="C1961" s="223" t="str">
        <f>IFERROR(__xludf.DUMMYFUNCTION("""COMPUTED_VALUE"""),"Monthly Services")</f>
        <v>Monthly Services</v>
      </c>
      <c r="D1961" s="316">
        <f>IFERROR(__xludf.DUMMYFUNCTION("""COMPUTED_VALUE"""),44834.0)</f>
        <v>44834</v>
      </c>
      <c r="E1961" s="298"/>
      <c r="F1961" s="298"/>
      <c r="G1961" s="298"/>
      <c r="H1961" s="223"/>
      <c r="I1961" s="298">
        <f>IFERROR(__xludf.DUMMYFUNCTION("""COMPUTED_VALUE"""),225.0)</f>
        <v>225</v>
      </c>
      <c r="J1961" s="223" t="str">
        <f>IFERROR(__xludf.DUMMYFUNCTION("""COMPUTED_VALUE"""),"Monthly")</f>
        <v>Monthly</v>
      </c>
      <c r="K1961" s="317">
        <f>IFERROR(__xludf.DUMMYFUNCTION("""COMPUTED_VALUE"""),2022.09)</f>
        <v>2022.09</v>
      </c>
      <c r="L1961" s="298"/>
      <c r="M1961" s="223"/>
      <c r="N1961" s="223"/>
      <c r="O1961" s="223"/>
      <c r="P1961" s="223"/>
      <c r="Q1961" s="223"/>
      <c r="R1961" s="223"/>
      <c r="S1961" s="223"/>
      <c r="T1961" s="223"/>
      <c r="U1961" s="223"/>
      <c r="V1961" s="223"/>
      <c r="W1961" s="223"/>
      <c r="X1961" s="223"/>
      <c r="Y1961" s="223"/>
      <c r="Z1961" s="223"/>
    </row>
    <row r="1962">
      <c r="A1962" s="223" t="str">
        <f>IFERROR(__xludf.DUMMYFUNCTION("""COMPUTED_VALUE"""),"Spraggs : Monthly Services")</f>
        <v>Spraggs : Monthly Services</v>
      </c>
      <c r="B1962" s="223" t="str">
        <f>IFERROR(__xludf.DUMMYFUNCTION("""COMPUTED_VALUE"""),"Spraggs")</f>
        <v>Spraggs</v>
      </c>
      <c r="C1962" s="223" t="str">
        <f>IFERROR(__xludf.DUMMYFUNCTION("""COMPUTED_VALUE"""),"Monthly Services")</f>
        <v>Monthly Services</v>
      </c>
      <c r="D1962" s="316">
        <f>IFERROR(__xludf.DUMMYFUNCTION("""COMPUTED_VALUE"""),44834.0)</f>
        <v>44834</v>
      </c>
      <c r="E1962" s="298"/>
      <c r="F1962" s="298"/>
      <c r="G1962" s="298"/>
      <c r="H1962" s="223"/>
      <c r="I1962" s="298">
        <f>IFERROR(__xludf.DUMMYFUNCTION("""COMPUTED_VALUE"""),300.0)</f>
        <v>300</v>
      </c>
      <c r="J1962" s="223" t="str">
        <f>IFERROR(__xludf.DUMMYFUNCTION("""COMPUTED_VALUE"""),"Monthly")</f>
        <v>Monthly</v>
      </c>
      <c r="K1962" s="317">
        <f>IFERROR(__xludf.DUMMYFUNCTION("""COMPUTED_VALUE"""),2022.09)</f>
        <v>2022.09</v>
      </c>
      <c r="L1962" s="298"/>
      <c r="M1962" s="223"/>
      <c r="N1962" s="223"/>
      <c r="O1962" s="223"/>
      <c r="P1962" s="223"/>
      <c r="Q1962" s="223"/>
      <c r="R1962" s="223"/>
      <c r="S1962" s="223"/>
      <c r="T1962" s="223"/>
      <c r="U1962" s="223"/>
      <c r="V1962" s="223"/>
      <c r="W1962" s="223"/>
      <c r="X1962" s="223"/>
      <c r="Y1962" s="223"/>
      <c r="Z1962" s="223"/>
    </row>
    <row r="1963">
      <c r="A1963" s="223" t="str">
        <f>IFERROR(__xludf.DUMMYFUNCTION("""COMPUTED_VALUE"""),"Availed Technologies : Monthly Services")</f>
        <v>Availed Technologies : Monthly Services</v>
      </c>
      <c r="B1963" s="223" t="str">
        <f>IFERROR(__xludf.DUMMYFUNCTION("""COMPUTED_VALUE"""),"Availed Technologies")</f>
        <v>Availed Technologies</v>
      </c>
      <c r="C1963" s="223" t="str">
        <f>IFERROR(__xludf.DUMMYFUNCTION("""COMPUTED_VALUE"""),"Monthly Services")</f>
        <v>Monthly Services</v>
      </c>
      <c r="D1963" s="316">
        <f>IFERROR(__xludf.DUMMYFUNCTION("""COMPUTED_VALUE"""),44834.0)</f>
        <v>44834</v>
      </c>
      <c r="E1963" s="298"/>
      <c r="F1963" s="298"/>
      <c r="G1963" s="298"/>
      <c r="H1963" s="223"/>
      <c r="I1963" s="298">
        <f>IFERROR(__xludf.DUMMYFUNCTION("""COMPUTED_VALUE"""),177.5)</f>
        <v>177.5</v>
      </c>
      <c r="J1963" s="223" t="str">
        <f>IFERROR(__xludf.DUMMYFUNCTION("""COMPUTED_VALUE"""),"Monthly")</f>
        <v>Monthly</v>
      </c>
      <c r="K1963" s="317">
        <f>IFERROR(__xludf.DUMMYFUNCTION("""COMPUTED_VALUE"""),2022.09)</f>
        <v>2022.09</v>
      </c>
      <c r="L1963" s="298"/>
      <c r="M1963" s="223"/>
      <c r="N1963" s="223"/>
      <c r="O1963" s="223"/>
      <c r="P1963" s="223"/>
      <c r="Q1963" s="223"/>
      <c r="R1963" s="223"/>
      <c r="S1963" s="223"/>
      <c r="T1963" s="223"/>
      <c r="U1963" s="223"/>
      <c r="V1963" s="223"/>
      <c r="W1963" s="223"/>
      <c r="X1963" s="223"/>
      <c r="Y1963" s="223"/>
      <c r="Z1963" s="223"/>
    </row>
    <row r="1964">
      <c r="A1964" s="223" t="str">
        <f>IFERROR(__xludf.DUMMYFUNCTION("""COMPUTED_VALUE"""),"Bratopia : Google click costs for French Postcard")</f>
        <v>Bratopia : Google click costs for French Postcard</v>
      </c>
      <c r="B1964" s="223" t="str">
        <f>IFERROR(__xludf.DUMMYFUNCTION("""COMPUTED_VALUE"""),"Bratopia")</f>
        <v>Bratopia</v>
      </c>
      <c r="C1964" s="223" t="str">
        <f>IFERROR(__xludf.DUMMYFUNCTION("""COMPUTED_VALUE"""),"Google click costs for French Postcard")</f>
        <v>Google click costs for French Postcard</v>
      </c>
      <c r="D1964" s="316">
        <f>IFERROR(__xludf.DUMMYFUNCTION("""COMPUTED_VALUE"""),44834.0)</f>
        <v>44834</v>
      </c>
      <c r="E1964" s="298"/>
      <c r="F1964" s="298"/>
      <c r="G1964" s="298"/>
      <c r="H1964" s="223"/>
      <c r="I1964" s="298">
        <f>IFERROR(__xludf.DUMMYFUNCTION("""COMPUTED_VALUE"""),315.0)</f>
        <v>315</v>
      </c>
      <c r="J1964" s="223" t="str">
        <f>IFERROR(__xludf.DUMMYFUNCTION("""COMPUTED_VALUE"""),"Fixed Project")</f>
        <v>Fixed Project</v>
      </c>
      <c r="K1964" s="317">
        <f>IFERROR(__xludf.DUMMYFUNCTION("""COMPUTED_VALUE"""),2022.0)</f>
        <v>2022</v>
      </c>
      <c r="L1964" s="298"/>
      <c r="M1964" s="223"/>
      <c r="N1964" s="223"/>
      <c r="O1964" s="223"/>
      <c r="P1964" s="223"/>
      <c r="Q1964" s="223"/>
      <c r="R1964" s="223"/>
      <c r="S1964" s="223"/>
      <c r="T1964" s="223"/>
      <c r="U1964" s="223"/>
      <c r="V1964" s="223"/>
      <c r="W1964" s="223"/>
      <c r="X1964" s="223"/>
      <c r="Y1964" s="223"/>
      <c r="Z1964" s="223"/>
    </row>
    <row r="1965">
      <c r="A1965" s="223" t="str">
        <f>IFERROR(__xludf.DUMMYFUNCTION("""COMPUTED_VALUE"""),"Saanich Peninsula Chamber of Commerce : Website Staging")</f>
        <v>Saanich Peninsula Chamber of Commerce : Website Staging</v>
      </c>
      <c r="B1965" s="223" t="str">
        <f>IFERROR(__xludf.DUMMYFUNCTION("""COMPUTED_VALUE"""),"Saanich Peninsula Chamber of Commerce")</f>
        <v>Saanich Peninsula Chamber of Commerce</v>
      </c>
      <c r="C1965" s="223" t="str">
        <f>IFERROR(__xludf.DUMMYFUNCTION("""COMPUTED_VALUE"""),"Website Staging")</f>
        <v>Website Staging</v>
      </c>
      <c r="D1965" s="316">
        <f>IFERROR(__xludf.DUMMYFUNCTION("""COMPUTED_VALUE"""),44834.0)</f>
        <v>44834</v>
      </c>
      <c r="E1965" s="298"/>
      <c r="F1965" s="298"/>
      <c r="G1965" s="298"/>
      <c r="H1965" s="223"/>
      <c r="I1965" s="298">
        <f>IFERROR(__xludf.DUMMYFUNCTION("""COMPUTED_VALUE"""),575.0)</f>
        <v>575</v>
      </c>
      <c r="J1965" s="223" t="str">
        <f>IFERROR(__xludf.DUMMYFUNCTION("""COMPUTED_VALUE"""),"Fixed Project")</f>
        <v>Fixed Project</v>
      </c>
      <c r="K1965" s="317">
        <f>IFERROR(__xludf.DUMMYFUNCTION("""COMPUTED_VALUE"""),2022.0)</f>
        <v>2022</v>
      </c>
      <c r="L1965" s="298"/>
      <c r="M1965" s="223"/>
      <c r="N1965" s="223"/>
      <c r="O1965" s="223"/>
      <c r="P1965" s="223"/>
      <c r="Q1965" s="223"/>
      <c r="R1965" s="223"/>
      <c r="S1965" s="223"/>
      <c r="T1965" s="223"/>
      <c r="U1965" s="223"/>
      <c r="V1965" s="223"/>
      <c r="W1965" s="223"/>
      <c r="X1965" s="223"/>
      <c r="Y1965" s="223"/>
      <c r="Z1965" s="223"/>
    </row>
    <row r="1966">
      <c r="A1966" s="223" t="str">
        <f>IFERROR(__xludf.DUMMYFUNCTION("""COMPUTED_VALUE"""),"Red Seal : Monthly Services")</f>
        <v>Red Seal : Monthly Services</v>
      </c>
      <c r="B1966" s="223" t="str">
        <f>IFERROR(__xludf.DUMMYFUNCTION("""COMPUTED_VALUE"""),"Red Seal")</f>
        <v>Red Seal</v>
      </c>
      <c r="C1966" s="223" t="str">
        <f>IFERROR(__xludf.DUMMYFUNCTION("""COMPUTED_VALUE"""),"Monthly Services")</f>
        <v>Monthly Services</v>
      </c>
      <c r="D1966" s="316">
        <f>IFERROR(__xludf.DUMMYFUNCTION("""COMPUTED_VALUE"""),44834.0)</f>
        <v>44834</v>
      </c>
      <c r="E1966" s="298"/>
      <c r="F1966" s="298"/>
      <c r="G1966" s="298"/>
      <c r="H1966" s="223"/>
      <c r="I1966" s="298">
        <f>IFERROR(__xludf.DUMMYFUNCTION("""COMPUTED_VALUE"""),455.0)</f>
        <v>455</v>
      </c>
      <c r="J1966" s="223" t="str">
        <f>IFERROR(__xludf.DUMMYFUNCTION("""COMPUTED_VALUE"""),"Monthly")</f>
        <v>Monthly</v>
      </c>
      <c r="K1966" s="317">
        <f>IFERROR(__xludf.DUMMYFUNCTION("""COMPUTED_VALUE"""),2022.09)</f>
        <v>2022.09</v>
      </c>
      <c r="L1966" s="298"/>
      <c r="M1966" s="223"/>
      <c r="N1966" s="223"/>
      <c r="O1966" s="223"/>
      <c r="P1966" s="223"/>
      <c r="Q1966" s="223"/>
      <c r="R1966" s="223"/>
      <c r="S1966" s="223"/>
      <c r="T1966" s="223"/>
      <c r="U1966" s="223"/>
      <c r="V1966" s="223"/>
      <c r="W1966" s="223"/>
      <c r="X1966" s="223"/>
      <c r="Y1966" s="223"/>
      <c r="Z1966" s="223"/>
    </row>
    <row r="1967">
      <c r="A1967" s="223" t="str">
        <f>IFERROR(__xludf.DUMMYFUNCTION("""COMPUTED_VALUE"""),"HSJ Lawyers : Monthly Services")</f>
        <v>HSJ Lawyers : Monthly Services</v>
      </c>
      <c r="B1967" s="223" t="str">
        <f>IFERROR(__xludf.DUMMYFUNCTION("""COMPUTED_VALUE"""),"HSJ Lawyers")</f>
        <v>HSJ Lawyers</v>
      </c>
      <c r="C1967" s="223" t="str">
        <f>IFERROR(__xludf.DUMMYFUNCTION("""COMPUTED_VALUE"""),"Monthly Services")</f>
        <v>Monthly Services</v>
      </c>
      <c r="D1967" s="316">
        <f>IFERROR(__xludf.DUMMYFUNCTION("""COMPUTED_VALUE"""),44834.0)</f>
        <v>44834</v>
      </c>
      <c r="E1967" s="298"/>
      <c r="F1967" s="298"/>
      <c r="G1967" s="298"/>
      <c r="H1967" s="223"/>
      <c r="I1967" s="298">
        <f>IFERROR(__xludf.DUMMYFUNCTION("""COMPUTED_VALUE"""),227.5)</f>
        <v>227.5</v>
      </c>
      <c r="J1967" s="223" t="str">
        <f>IFERROR(__xludf.DUMMYFUNCTION("""COMPUTED_VALUE"""),"Monthly")</f>
        <v>Monthly</v>
      </c>
      <c r="K1967" s="317">
        <f>IFERROR(__xludf.DUMMYFUNCTION("""COMPUTED_VALUE"""),2022.09)</f>
        <v>2022.09</v>
      </c>
      <c r="L1967" s="298"/>
      <c r="M1967" s="223"/>
      <c r="N1967" s="223"/>
      <c r="O1967" s="223"/>
      <c r="P1967" s="223"/>
      <c r="Q1967" s="223"/>
      <c r="R1967" s="223"/>
      <c r="S1967" s="223"/>
      <c r="T1967" s="223"/>
      <c r="U1967" s="223"/>
      <c r="V1967" s="223"/>
      <c r="W1967" s="223"/>
      <c r="X1967" s="223"/>
      <c r="Y1967" s="223"/>
      <c r="Z1967" s="223"/>
    </row>
    <row r="1968">
      <c r="A1968" s="223" t="str">
        <f>IFERROR(__xludf.DUMMYFUNCTION("""COMPUTED_VALUE"""),"Bevridge : SEO Project")</f>
        <v>Bevridge : SEO Project</v>
      </c>
      <c r="B1968" s="223" t="str">
        <f>IFERROR(__xludf.DUMMYFUNCTION("""COMPUTED_VALUE"""),"Bevridge")</f>
        <v>Bevridge</v>
      </c>
      <c r="C1968" s="223" t="str">
        <f>IFERROR(__xludf.DUMMYFUNCTION("""COMPUTED_VALUE"""),"SEO Project")</f>
        <v>SEO Project</v>
      </c>
      <c r="D1968" s="316">
        <f>IFERROR(__xludf.DUMMYFUNCTION("""COMPUTED_VALUE"""),44834.0)</f>
        <v>44834</v>
      </c>
      <c r="E1968" s="298"/>
      <c r="F1968" s="298"/>
      <c r="G1968" s="298"/>
      <c r="H1968" s="223"/>
      <c r="I1968" s="298">
        <f>IFERROR(__xludf.DUMMYFUNCTION("""COMPUTED_VALUE"""),200.0)</f>
        <v>200</v>
      </c>
      <c r="J1968" s="223" t="str">
        <f>IFERROR(__xludf.DUMMYFUNCTION("""COMPUTED_VALUE"""),"Fixed Project")</f>
        <v>Fixed Project</v>
      </c>
      <c r="K1968" s="317">
        <f>IFERROR(__xludf.DUMMYFUNCTION("""COMPUTED_VALUE"""),2022.0)</f>
        <v>2022</v>
      </c>
      <c r="L1968" s="298"/>
      <c r="M1968" s="223"/>
      <c r="N1968" s="223"/>
      <c r="O1968" s="223"/>
      <c r="P1968" s="223"/>
      <c r="Q1968" s="223"/>
      <c r="R1968" s="223"/>
      <c r="S1968" s="223"/>
      <c r="T1968" s="223"/>
      <c r="U1968" s="223"/>
      <c r="V1968" s="223"/>
      <c r="W1968" s="223"/>
      <c r="X1968" s="223"/>
      <c r="Y1968" s="223"/>
      <c r="Z1968" s="223"/>
    </row>
    <row r="1969">
      <c r="A1969" s="223" t="str">
        <f>IFERROR(__xludf.DUMMYFUNCTION("""COMPUTED_VALUE"""),"Turks and Caicos Reservations : General Projects")</f>
        <v>Turks and Caicos Reservations : General Projects</v>
      </c>
      <c r="B1969" s="223" t="str">
        <f>IFERROR(__xludf.DUMMYFUNCTION("""COMPUTED_VALUE"""),"Turks and Caicos Reservations")</f>
        <v>Turks and Caicos Reservations</v>
      </c>
      <c r="C1969" s="223" t="str">
        <f>IFERROR(__xludf.DUMMYFUNCTION("""COMPUTED_VALUE"""),"General Projects")</f>
        <v>General Projects</v>
      </c>
      <c r="D1969" s="316">
        <f>IFERROR(__xludf.DUMMYFUNCTION("""COMPUTED_VALUE"""),44834.0)</f>
        <v>44834</v>
      </c>
      <c r="E1969" s="298"/>
      <c r="F1969" s="298"/>
      <c r="G1969" s="298"/>
      <c r="H1969" s="223"/>
      <c r="I1969" s="298">
        <f>IFERROR(__xludf.DUMMYFUNCTION("""COMPUTED_VALUE"""),350.0)</f>
        <v>350</v>
      </c>
      <c r="J1969" s="223" t="str">
        <f>IFERROR(__xludf.DUMMYFUNCTION("""COMPUTED_VALUE"""),"Fixed Project")</f>
        <v>Fixed Project</v>
      </c>
      <c r="K1969" s="317">
        <f>IFERROR(__xludf.DUMMYFUNCTION("""COMPUTED_VALUE"""),2022.0)</f>
        <v>2022</v>
      </c>
      <c r="L1969" s="298"/>
      <c r="M1969" s="223"/>
      <c r="N1969" s="223"/>
      <c r="O1969" s="223"/>
      <c r="P1969" s="223"/>
      <c r="Q1969" s="223"/>
      <c r="R1969" s="223"/>
      <c r="S1969" s="223"/>
      <c r="T1969" s="223"/>
      <c r="U1969" s="223"/>
      <c r="V1969" s="223"/>
      <c r="W1969" s="223"/>
      <c r="X1969" s="223"/>
      <c r="Y1969" s="223"/>
      <c r="Z1969" s="223"/>
    </row>
    <row r="1970">
      <c r="A1970" s="223" t="str">
        <f>IFERROR(__xludf.DUMMYFUNCTION("""COMPUTED_VALUE"""),"Starfish Medical : 5 Hour Support Block")</f>
        <v>Starfish Medical : 5 Hour Support Block</v>
      </c>
      <c r="B1970" s="223" t="str">
        <f>IFERROR(__xludf.DUMMYFUNCTION("""COMPUTED_VALUE"""),"Starfish Medical")</f>
        <v>Starfish Medical</v>
      </c>
      <c r="C1970" s="223" t="str">
        <f>IFERROR(__xludf.DUMMYFUNCTION("""COMPUTED_VALUE"""),"5 Hour Support Block")</f>
        <v>5 Hour Support Block</v>
      </c>
      <c r="D1970" s="316">
        <f>IFERROR(__xludf.DUMMYFUNCTION("""COMPUTED_VALUE"""),44834.0)</f>
        <v>44834</v>
      </c>
      <c r="E1970" s="298"/>
      <c r="F1970" s="298"/>
      <c r="G1970" s="298"/>
      <c r="H1970" s="223"/>
      <c r="I1970" s="298">
        <f>IFERROR(__xludf.DUMMYFUNCTION("""COMPUTED_VALUE"""),200.0)</f>
        <v>200</v>
      </c>
      <c r="J1970" s="223" t="str">
        <f>IFERROR(__xludf.DUMMYFUNCTION("""COMPUTED_VALUE"""),"Hourly")</f>
        <v>Hourly</v>
      </c>
      <c r="K1970" s="317">
        <f>IFERROR(__xludf.DUMMYFUNCTION("""COMPUTED_VALUE"""),2022.0)</f>
        <v>2022</v>
      </c>
      <c r="L1970" s="298"/>
      <c r="M1970" s="223"/>
      <c r="N1970" s="223"/>
      <c r="O1970" s="223"/>
      <c r="P1970" s="223"/>
      <c r="Q1970" s="223"/>
      <c r="R1970" s="223"/>
      <c r="S1970" s="223"/>
      <c r="T1970" s="223"/>
      <c r="U1970" s="223"/>
      <c r="V1970" s="223"/>
      <c r="W1970" s="223"/>
      <c r="X1970" s="223"/>
      <c r="Y1970" s="223"/>
      <c r="Z1970" s="223"/>
    </row>
    <row r="1971">
      <c r="A1971" s="223" t="str">
        <f>IFERROR(__xludf.DUMMYFUNCTION("""COMPUTED_VALUE"""),"Canyon's Construction : Enhanced Hosting &amp; WordPress Support")</f>
        <v>Canyon's Construction : Enhanced Hosting &amp; WordPress Support</v>
      </c>
      <c r="B1971" s="223" t="str">
        <f>IFERROR(__xludf.DUMMYFUNCTION("""COMPUTED_VALUE"""),"Canyon's Construction")</f>
        <v>Canyon's Construction</v>
      </c>
      <c r="C1971" s="223" t="str">
        <f>IFERROR(__xludf.DUMMYFUNCTION("""COMPUTED_VALUE"""),"Enhanced Hosting &amp; WordPress Support")</f>
        <v>Enhanced Hosting &amp; WordPress Support</v>
      </c>
      <c r="D1971" s="316">
        <f>IFERROR(__xludf.DUMMYFUNCTION("""COMPUTED_VALUE"""),44834.0)</f>
        <v>44834</v>
      </c>
      <c r="E1971" s="298"/>
      <c r="F1971" s="298"/>
      <c r="G1971" s="298"/>
      <c r="H1971" s="223"/>
      <c r="I1971" s="298">
        <f>IFERROR(__xludf.DUMMYFUNCTION("""COMPUTED_VALUE"""),30.0)</f>
        <v>30</v>
      </c>
      <c r="J1971" s="223" t="str">
        <f>IFERROR(__xludf.DUMMYFUNCTION("""COMPUTED_VALUE"""),"Monthly")</f>
        <v>Monthly</v>
      </c>
      <c r="K1971" s="317">
        <f>IFERROR(__xludf.DUMMYFUNCTION("""COMPUTED_VALUE"""),2022.09)</f>
        <v>2022.09</v>
      </c>
      <c r="L1971" s="298"/>
      <c r="M1971" s="223"/>
      <c r="N1971" s="223"/>
      <c r="O1971" s="223"/>
      <c r="P1971" s="223"/>
      <c r="Q1971" s="223"/>
      <c r="R1971" s="223"/>
      <c r="S1971" s="223"/>
      <c r="T1971" s="223"/>
      <c r="U1971" s="223"/>
      <c r="V1971" s="223"/>
      <c r="W1971" s="223"/>
      <c r="X1971" s="223"/>
      <c r="Y1971" s="223"/>
      <c r="Z1971" s="223"/>
    </row>
    <row r="1972">
      <c r="A1972" s="223" t="str">
        <f>IFERROR(__xludf.DUMMYFUNCTION("""COMPUTED_VALUE"""),"Viridian : Monthly Services")</f>
        <v>Viridian : Monthly Services</v>
      </c>
      <c r="B1972" s="223" t="str">
        <f>IFERROR(__xludf.DUMMYFUNCTION("""COMPUTED_VALUE"""),"Viridian")</f>
        <v>Viridian</v>
      </c>
      <c r="C1972" s="223" t="str">
        <f>IFERROR(__xludf.DUMMYFUNCTION("""COMPUTED_VALUE"""),"Monthly Services")</f>
        <v>Monthly Services</v>
      </c>
      <c r="D1972" s="316">
        <f>IFERROR(__xludf.DUMMYFUNCTION("""COMPUTED_VALUE"""),44834.0)</f>
        <v>44834</v>
      </c>
      <c r="E1972" s="298"/>
      <c r="F1972" s="298"/>
      <c r="G1972" s="298"/>
      <c r="H1972" s="223"/>
      <c r="I1972" s="298">
        <f>IFERROR(__xludf.DUMMYFUNCTION("""COMPUTED_VALUE"""),312.5)</f>
        <v>312.5</v>
      </c>
      <c r="J1972" s="223" t="str">
        <f>IFERROR(__xludf.DUMMYFUNCTION("""COMPUTED_VALUE"""),"Monthly")</f>
        <v>Monthly</v>
      </c>
      <c r="K1972" s="317">
        <f>IFERROR(__xludf.DUMMYFUNCTION("""COMPUTED_VALUE"""),2022.09)</f>
        <v>2022.09</v>
      </c>
      <c r="L1972" s="298"/>
      <c r="M1972" s="223"/>
      <c r="N1972" s="223"/>
      <c r="O1972" s="223"/>
      <c r="P1972" s="223"/>
      <c r="Q1972" s="223"/>
      <c r="R1972" s="223"/>
      <c r="S1972" s="223"/>
      <c r="T1972" s="223"/>
      <c r="U1972" s="223"/>
      <c r="V1972" s="223"/>
      <c r="W1972" s="223"/>
      <c r="X1972" s="223"/>
      <c r="Y1972" s="223"/>
      <c r="Z1972" s="223"/>
    </row>
    <row r="1973">
      <c r="A1973" s="223" t="str">
        <f>IFERROR(__xludf.DUMMYFUNCTION("""COMPUTED_VALUE"""),"Service First : Monthly Services")</f>
        <v>Service First : Monthly Services</v>
      </c>
      <c r="B1973" s="223" t="str">
        <f>IFERROR(__xludf.DUMMYFUNCTION("""COMPUTED_VALUE"""),"Service First")</f>
        <v>Service First</v>
      </c>
      <c r="C1973" s="223" t="str">
        <f>IFERROR(__xludf.DUMMYFUNCTION("""COMPUTED_VALUE"""),"Monthly Services")</f>
        <v>Monthly Services</v>
      </c>
      <c r="D1973" s="316">
        <f>IFERROR(__xludf.DUMMYFUNCTION("""COMPUTED_VALUE"""),44834.0)</f>
        <v>44834</v>
      </c>
      <c r="E1973" s="298"/>
      <c r="F1973" s="298"/>
      <c r="G1973" s="298"/>
      <c r="H1973" s="223"/>
      <c r="I1973" s="298">
        <f>IFERROR(__xludf.DUMMYFUNCTION("""COMPUTED_VALUE"""),125.0)</f>
        <v>125</v>
      </c>
      <c r="J1973" s="223" t="str">
        <f>IFERROR(__xludf.DUMMYFUNCTION("""COMPUTED_VALUE"""),"Monthly")</f>
        <v>Monthly</v>
      </c>
      <c r="K1973" s="317">
        <f>IFERROR(__xludf.DUMMYFUNCTION("""COMPUTED_VALUE"""),2022.09)</f>
        <v>2022.09</v>
      </c>
      <c r="L1973" s="298"/>
      <c r="M1973" s="223"/>
      <c r="N1973" s="223"/>
      <c r="O1973" s="223"/>
      <c r="P1973" s="223"/>
      <c r="Q1973" s="223"/>
      <c r="R1973" s="223"/>
      <c r="S1973" s="223"/>
      <c r="T1973" s="223"/>
      <c r="U1973" s="223"/>
      <c r="V1973" s="223"/>
      <c r="W1973" s="223"/>
      <c r="X1973" s="223"/>
      <c r="Y1973" s="223"/>
      <c r="Z1973" s="223"/>
    </row>
    <row r="1974">
      <c r="A1974" s="223" t="str">
        <f>IFERROR(__xludf.DUMMYFUNCTION("""COMPUTED_VALUE"""),"PMDI : Monthly Services")</f>
        <v>PMDI : Monthly Services</v>
      </c>
      <c r="B1974" s="223" t="str">
        <f>IFERROR(__xludf.DUMMYFUNCTION("""COMPUTED_VALUE"""),"PMDI")</f>
        <v>PMDI</v>
      </c>
      <c r="C1974" s="223" t="str">
        <f>IFERROR(__xludf.DUMMYFUNCTION("""COMPUTED_VALUE"""),"Monthly Services")</f>
        <v>Monthly Services</v>
      </c>
      <c r="D1974" s="316">
        <f>IFERROR(__xludf.DUMMYFUNCTION("""COMPUTED_VALUE"""),44834.0)</f>
        <v>44834</v>
      </c>
      <c r="E1974" s="298"/>
      <c r="F1974" s="298"/>
      <c r="G1974" s="298"/>
      <c r="H1974" s="223"/>
      <c r="I1974" s="298">
        <f>IFERROR(__xludf.DUMMYFUNCTION("""COMPUTED_VALUE"""),137.5)</f>
        <v>137.5</v>
      </c>
      <c r="J1974" s="223" t="str">
        <f>IFERROR(__xludf.DUMMYFUNCTION("""COMPUTED_VALUE"""),"Monthly")</f>
        <v>Monthly</v>
      </c>
      <c r="K1974" s="317">
        <f>IFERROR(__xludf.DUMMYFUNCTION("""COMPUTED_VALUE"""),2022.09)</f>
        <v>2022.09</v>
      </c>
      <c r="L1974" s="298"/>
      <c r="M1974" s="223"/>
      <c r="N1974" s="223"/>
      <c r="O1974" s="223"/>
      <c r="P1974" s="223"/>
      <c r="Q1974" s="223"/>
      <c r="R1974" s="223"/>
      <c r="S1974" s="223"/>
      <c r="T1974" s="223"/>
      <c r="U1974" s="223"/>
      <c r="V1974" s="223"/>
      <c r="W1974" s="223"/>
      <c r="X1974" s="223"/>
      <c r="Y1974" s="223"/>
      <c r="Z1974" s="223"/>
    </row>
    <row r="1975">
      <c r="A1975" s="223" t="str">
        <f>IFERROR(__xludf.DUMMYFUNCTION("""COMPUTED_VALUE"""),"Anook Athletics : Monthly Services")</f>
        <v>Anook Athletics : Monthly Services</v>
      </c>
      <c r="B1975" s="223" t="str">
        <f>IFERROR(__xludf.DUMMYFUNCTION("""COMPUTED_VALUE"""),"Anook Athletics")</f>
        <v>Anook Athletics</v>
      </c>
      <c r="C1975" s="223" t="str">
        <f>IFERROR(__xludf.DUMMYFUNCTION("""COMPUTED_VALUE"""),"Monthly Services")</f>
        <v>Monthly Services</v>
      </c>
      <c r="D1975" s="316">
        <f>IFERROR(__xludf.DUMMYFUNCTION("""COMPUTED_VALUE"""),44834.0)</f>
        <v>44834</v>
      </c>
      <c r="E1975" s="298"/>
      <c r="F1975" s="298"/>
      <c r="G1975" s="298"/>
      <c r="H1975" s="223"/>
      <c r="I1975" s="298">
        <f>IFERROR(__xludf.DUMMYFUNCTION("""COMPUTED_VALUE"""),500.0)</f>
        <v>500</v>
      </c>
      <c r="J1975" s="223" t="str">
        <f>IFERROR(__xludf.DUMMYFUNCTION("""COMPUTED_VALUE"""),"Monthly")</f>
        <v>Monthly</v>
      </c>
      <c r="K1975" s="317">
        <f>IFERROR(__xludf.DUMMYFUNCTION("""COMPUTED_VALUE"""),2022.09)</f>
        <v>2022.09</v>
      </c>
      <c r="L1975" s="298"/>
      <c r="M1975" s="223"/>
      <c r="N1975" s="223"/>
      <c r="O1975" s="223"/>
      <c r="P1975" s="223"/>
      <c r="Q1975" s="223"/>
      <c r="R1975" s="223"/>
      <c r="S1975" s="223"/>
      <c r="T1975" s="223"/>
      <c r="U1975" s="223"/>
      <c r="V1975" s="223"/>
      <c r="W1975" s="223"/>
      <c r="X1975" s="223"/>
      <c r="Y1975" s="223"/>
      <c r="Z1975" s="223"/>
    </row>
    <row r="1976">
      <c r="A1976" s="223" t="str">
        <f>IFERROR(__xludf.DUMMYFUNCTION("""COMPUTED_VALUE"""),"MortgagePal : Monthly Services")</f>
        <v>MortgagePal : Monthly Services</v>
      </c>
      <c r="B1976" s="223" t="str">
        <f>IFERROR(__xludf.DUMMYFUNCTION("""COMPUTED_VALUE"""),"MortgagePal")</f>
        <v>MortgagePal</v>
      </c>
      <c r="C1976" s="223" t="str">
        <f>IFERROR(__xludf.DUMMYFUNCTION("""COMPUTED_VALUE"""),"Monthly Services")</f>
        <v>Monthly Services</v>
      </c>
      <c r="D1976" s="316">
        <f>IFERROR(__xludf.DUMMYFUNCTION("""COMPUTED_VALUE"""),44834.0)</f>
        <v>44834</v>
      </c>
      <c r="E1976" s="298"/>
      <c r="F1976" s="298"/>
      <c r="G1976" s="298"/>
      <c r="H1976" s="223"/>
      <c r="I1976" s="298">
        <f>IFERROR(__xludf.DUMMYFUNCTION("""COMPUTED_VALUE"""),212.5)</f>
        <v>212.5</v>
      </c>
      <c r="J1976" s="223" t="str">
        <f>IFERROR(__xludf.DUMMYFUNCTION("""COMPUTED_VALUE"""),"Monthly")</f>
        <v>Monthly</v>
      </c>
      <c r="K1976" s="317">
        <f>IFERROR(__xludf.DUMMYFUNCTION("""COMPUTED_VALUE"""),2022.09)</f>
        <v>2022.09</v>
      </c>
      <c r="L1976" s="298"/>
      <c r="M1976" s="223"/>
      <c r="N1976" s="223"/>
      <c r="O1976" s="223"/>
      <c r="P1976" s="223"/>
      <c r="Q1976" s="223"/>
      <c r="R1976" s="223"/>
      <c r="S1976" s="223"/>
      <c r="T1976" s="223"/>
      <c r="U1976" s="223"/>
      <c r="V1976" s="223"/>
      <c r="W1976" s="223"/>
      <c r="X1976" s="223"/>
      <c r="Y1976" s="223"/>
      <c r="Z1976" s="223"/>
    </row>
    <row r="1977">
      <c r="A1977" s="223" t="str">
        <f>IFERROR(__xludf.DUMMYFUNCTION("""COMPUTED_VALUE"""),"Wallack's Art Supplies : Monthly Services")</f>
        <v>Wallack's Art Supplies : Monthly Services</v>
      </c>
      <c r="B1977" s="223" t="str">
        <f>IFERROR(__xludf.DUMMYFUNCTION("""COMPUTED_VALUE"""),"Wallack's Art Supplies")</f>
        <v>Wallack's Art Supplies</v>
      </c>
      <c r="C1977" s="223" t="str">
        <f>IFERROR(__xludf.DUMMYFUNCTION("""COMPUTED_VALUE"""),"Monthly Services")</f>
        <v>Monthly Services</v>
      </c>
      <c r="D1977" s="316">
        <f>IFERROR(__xludf.DUMMYFUNCTION("""COMPUTED_VALUE"""),44834.0)</f>
        <v>44834</v>
      </c>
      <c r="E1977" s="298"/>
      <c r="F1977" s="298"/>
      <c r="G1977" s="298"/>
      <c r="H1977" s="223"/>
      <c r="I1977" s="298">
        <f>IFERROR(__xludf.DUMMYFUNCTION("""COMPUTED_VALUE"""),262.5)</f>
        <v>262.5</v>
      </c>
      <c r="J1977" s="223" t="str">
        <f>IFERROR(__xludf.DUMMYFUNCTION("""COMPUTED_VALUE"""),"Monthly")</f>
        <v>Monthly</v>
      </c>
      <c r="K1977" s="317">
        <f>IFERROR(__xludf.DUMMYFUNCTION("""COMPUTED_VALUE"""),2022.09)</f>
        <v>2022.09</v>
      </c>
      <c r="L1977" s="298"/>
      <c r="M1977" s="223"/>
      <c r="N1977" s="223"/>
      <c r="O1977" s="223"/>
      <c r="P1977" s="223"/>
      <c r="Q1977" s="223"/>
      <c r="R1977" s="223"/>
      <c r="S1977" s="223"/>
      <c r="T1977" s="223"/>
      <c r="U1977" s="223"/>
      <c r="V1977" s="223"/>
      <c r="W1977" s="223"/>
      <c r="X1977" s="223"/>
      <c r="Y1977" s="223"/>
      <c r="Z1977" s="223"/>
    </row>
    <row r="1978">
      <c r="A1978" s="223" t="str">
        <f>IFERROR(__xludf.DUMMYFUNCTION("""COMPUTED_VALUE"""),"Bratopia : Monthly Services")</f>
        <v>Bratopia : Monthly Services</v>
      </c>
      <c r="B1978" s="223" t="str">
        <f>IFERROR(__xludf.DUMMYFUNCTION("""COMPUTED_VALUE"""),"Bratopia")</f>
        <v>Bratopia</v>
      </c>
      <c r="C1978" s="223" t="str">
        <f>IFERROR(__xludf.DUMMYFUNCTION("""COMPUTED_VALUE"""),"Monthly Services")</f>
        <v>Monthly Services</v>
      </c>
      <c r="D1978" s="316">
        <f>IFERROR(__xludf.DUMMYFUNCTION("""COMPUTED_VALUE"""),44834.0)</f>
        <v>44834</v>
      </c>
      <c r="E1978" s="298"/>
      <c r="F1978" s="298"/>
      <c r="G1978" s="298"/>
      <c r="H1978" s="223"/>
      <c r="I1978" s="298">
        <f>IFERROR(__xludf.DUMMYFUNCTION("""COMPUTED_VALUE"""),350.0)</f>
        <v>350</v>
      </c>
      <c r="J1978" s="223" t="str">
        <f>IFERROR(__xludf.DUMMYFUNCTION("""COMPUTED_VALUE"""),"Monthly")</f>
        <v>Monthly</v>
      </c>
      <c r="K1978" s="317">
        <f>IFERROR(__xludf.DUMMYFUNCTION("""COMPUTED_VALUE"""),2022.09)</f>
        <v>2022.09</v>
      </c>
      <c r="L1978" s="298"/>
      <c r="M1978" s="223"/>
      <c r="N1978" s="223"/>
      <c r="O1978" s="223"/>
      <c r="P1978" s="223"/>
      <c r="Q1978" s="223"/>
      <c r="R1978" s="223"/>
      <c r="S1978" s="223"/>
      <c r="T1978" s="223"/>
      <c r="U1978" s="223"/>
      <c r="V1978" s="223"/>
      <c r="W1978" s="223"/>
      <c r="X1978" s="223"/>
      <c r="Y1978" s="223"/>
      <c r="Z1978" s="223"/>
    </row>
    <row r="1979">
      <c r="A1979" s="223" t="str">
        <f>IFERROR(__xludf.DUMMYFUNCTION("""COMPUTED_VALUE"""),"Big Hammer Wines : Google Search and Shopping Overhaul")</f>
        <v>Big Hammer Wines : Google Search and Shopping Overhaul</v>
      </c>
      <c r="B1979" s="223" t="str">
        <f>IFERROR(__xludf.DUMMYFUNCTION("""COMPUTED_VALUE"""),"Big Hammer Wines")</f>
        <v>Big Hammer Wines</v>
      </c>
      <c r="C1979" s="223" t="str">
        <f>IFERROR(__xludf.DUMMYFUNCTION("""COMPUTED_VALUE"""),"Google Search and Shopping Overhaul")</f>
        <v>Google Search and Shopping Overhaul</v>
      </c>
      <c r="D1979" s="316">
        <f>IFERROR(__xludf.DUMMYFUNCTION("""COMPUTED_VALUE"""),44834.0)</f>
        <v>44834</v>
      </c>
      <c r="E1979" s="298"/>
      <c r="F1979" s="298"/>
      <c r="G1979" s="298"/>
      <c r="H1979" s="223"/>
      <c r="I1979" s="298">
        <f>IFERROR(__xludf.DUMMYFUNCTION("""COMPUTED_VALUE"""),237.5)</f>
        <v>237.5</v>
      </c>
      <c r="J1979" s="223" t="str">
        <f>IFERROR(__xludf.DUMMYFUNCTION("""COMPUTED_VALUE"""),"Fixed Project")</f>
        <v>Fixed Project</v>
      </c>
      <c r="K1979" s="317">
        <f>IFERROR(__xludf.DUMMYFUNCTION("""COMPUTED_VALUE"""),2022.0)</f>
        <v>2022</v>
      </c>
      <c r="L1979" s="298"/>
      <c r="M1979" s="223"/>
      <c r="N1979" s="223"/>
      <c r="O1979" s="223"/>
      <c r="P1979" s="223"/>
      <c r="Q1979" s="223"/>
      <c r="R1979" s="223"/>
      <c r="S1979" s="223"/>
      <c r="T1979" s="223"/>
      <c r="U1979" s="223"/>
      <c r="V1979" s="223"/>
      <c r="W1979" s="223"/>
      <c r="X1979" s="223"/>
      <c r="Y1979" s="223"/>
      <c r="Z1979" s="223"/>
    </row>
    <row r="1980">
      <c r="A1980" s="223" t="str">
        <f>IFERROR(__xludf.DUMMYFUNCTION("""COMPUTED_VALUE"""),"Spraggs : Monthly Services")</f>
        <v>Spraggs : Monthly Services</v>
      </c>
      <c r="B1980" s="223" t="str">
        <f>IFERROR(__xludf.DUMMYFUNCTION("""COMPUTED_VALUE"""),"Spraggs")</f>
        <v>Spraggs</v>
      </c>
      <c r="C1980" s="223" t="str">
        <f>IFERROR(__xludf.DUMMYFUNCTION("""COMPUTED_VALUE"""),"Monthly Services")</f>
        <v>Monthly Services</v>
      </c>
      <c r="D1980" s="316">
        <f>IFERROR(__xludf.DUMMYFUNCTION("""COMPUTED_VALUE"""),44834.0)</f>
        <v>44834</v>
      </c>
      <c r="E1980" s="298"/>
      <c r="F1980" s="298"/>
      <c r="G1980" s="298"/>
      <c r="H1980" s="223"/>
      <c r="I1980" s="298">
        <f>IFERROR(__xludf.DUMMYFUNCTION("""COMPUTED_VALUE"""),275.0)</f>
        <v>275</v>
      </c>
      <c r="J1980" s="223" t="str">
        <f>IFERROR(__xludf.DUMMYFUNCTION("""COMPUTED_VALUE"""),"Monthly")</f>
        <v>Monthly</v>
      </c>
      <c r="K1980" s="317">
        <f>IFERROR(__xludf.DUMMYFUNCTION("""COMPUTED_VALUE"""),2022.09)</f>
        <v>2022.09</v>
      </c>
      <c r="L1980" s="298"/>
      <c r="M1980" s="223"/>
      <c r="N1980" s="223"/>
      <c r="O1980" s="223"/>
      <c r="P1980" s="223"/>
      <c r="Q1980" s="223"/>
      <c r="R1980" s="223"/>
      <c r="S1980" s="223"/>
      <c r="T1980" s="223"/>
      <c r="U1980" s="223"/>
      <c r="V1980" s="223"/>
      <c r="W1980" s="223"/>
      <c r="X1980" s="223"/>
      <c r="Y1980" s="223"/>
      <c r="Z1980" s="223"/>
    </row>
    <row r="1981">
      <c r="A1981" s="223" t="str">
        <f>IFERROR(__xludf.DUMMYFUNCTION("""COMPUTED_VALUE"""),"MortgagePal : Monthly Services")</f>
        <v>MortgagePal : Monthly Services</v>
      </c>
      <c r="B1981" s="223" t="str">
        <f>IFERROR(__xludf.DUMMYFUNCTION("""COMPUTED_VALUE"""),"MortgagePal")</f>
        <v>MortgagePal</v>
      </c>
      <c r="C1981" s="223" t="str">
        <f>IFERROR(__xludf.DUMMYFUNCTION("""COMPUTED_VALUE"""),"Monthly Services")</f>
        <v>Monthly Services</v>
      </c>
      <c r="D1981" s="316">
        <f>IFERROR(__xludf.DUMMYFUNCTION("""COMPUTED_VALUE"""),44834.0)</f>
        <v>44834</v>
      </c>
      <c r="E1981" s="298"/>
      <c r="F1981" s="298"/>
      <c r="G1981" s="298"/>
      <c r="H1981" s="223"/>
      <c r="I1981" s="298">
        <f>IFERROR(__xludf.DUMMYFUNCTION("""COMPUTED_VALUE"""),45.0)</f>
        <v>45</v>
      </c>
      <c r="J1981" s="223" t="str">
        <f>IFERROR(__xludf.DUMMYFUNCTION("""COMPUTED_VALUE"""),"Monthly")</f>
        <v>Monthly</v>
      </c>
      <c r="K1981" s="317">
        <f>IFERROR(__xludf.DUMMYFUNCTION("""COMPUTED_VALUE"""),2022.09)</f>
        <v>2022.09</v>
      </c>
      <c r="L1981" s="298"/>
      <c r="M1981" s="223"/>
      <c r="N1981" s="223"/>
      <c r="O1981" s="223"/>
      <c r="P1981" s="223"/>
      <c r="Q1981" s="223"/>
      <c r="R1981" s="223"/>
      <c r="S1981" s="223"/>
      <c r="T1981" s="223"/>
      <c r="U1981" s="223"/>
      <c r="V1981" s="223"/>
      <c r="W1981" s="223"/>
      <c r="X1981" s="223"/>
      <c r="Y1981" s="223"/>
      <c r="Z1981" s="223"/>
    </row>
    <row r="1982">
      <c r="A1982" s="223" t="str">
        <f>IFERROR(__xludf.DUMMYFUNCTION("""COMPUTED_VALUE"""),"Service First : Monthly Services")</f>
        <v>Service First : Monthly Services</v>
      </c>
      <c r="B1982" s="223" t="str">
        <f>IFERROR(__xludf.DUMMYFUNCTION("""COMPUTED_VALUE"""),"Service First")</f>
        <v>Service First</v>
      </c>
      <c r="C1982" s="223" t="str">
        <f>IFERROR(__xludf.DUMMYFUNCTION("""COMPUTED_VALUE"""),"Monthly Services")</f>
        <v>Monthly Services</v>
      </c>
      <c r="D1982" s="316">
        <f>IFERROR(__xludf.DUMMYFUNCTION("""COMPUTED_VALUE"""),44834.0)</f>
        <v>44834</v>
      </c>
      <c r="E1982" s="298"/>
      <c r="F1982" s="298"/>
      <c r="G1982" s="298"/>
      <c r="H1982" s="223"/>
      <c r="I1982" s="298">
        <f>IFERROR(__xludf.DUMMYFUNCTION("""COMPUTED_VALUE"""),30.0)</f>
        <v>30</v>
      </c>
      <c r="J1982" s="223" t="str">
        <f>IFERROR(__xludf.DUMMYFUNCTION("""COMPUTED_VALUE"""),"Monthly")</f>
        <v>Monthly</v>
      </c>
      <c r="K1982" s="317">
        <f>IFERROR(__xludf.DUMMYFUNCTION("""COMPUTED_VALUE"""),2022.09)</f>
        <v>2022.09</v>
      </c>
      <c r="L1982" s="298"/>
      <c r="M1982" s="223"/>
      <c r="N1982" s="223"/>
      <c r="O1982" s="223"/>
      <c r="P1982" s="223"/>
      <c r="Q1982" s="223"/>
      <c r="R1982" s="223"/>
      <c r="S1982" s="223"/>
      <c r="T1982" s="223"/>
      <c r="U1982" s="223"/>
      <c r="V1982" s="223"/>
      <c r="W1982" s="223"/>
      <c r="X1982" s="223"/>
      <c r="Y1982" s="223"/>
      <c r="Z1982" s="223"/>
    </row>
    <row r="1983">
      <c r="A1983" s="223" t="str">
        <f>IFERROR(__xludf.DUMMYFUNCTION("""COMPUTED_VALUE"""),"HSJ Lawyers : Monthly Services")</f>
        <v>HSJ Lawyers : Monthly Services</v>
      </c>
      <c r="B1983" s="223" t="str">
        <f>IFERROR(__xludf.DUMMYFUNCTION("""COMPUTED_VALUE"""),"HSJ Lawyers")</f>
        <v>HSJ Lawyers</v>
      </c>
      <c r="C1983" s="223" t="str">
        <f>IFERROR(__xludf.DUMMYFUNCTION("""COMPUTED_VALUE"""),"Monthly Services")</f>
        <v>Monthly Services</v>
      </c>
      <c r="D1983" s="316">
        <f>IFERROR(__xludf.DUMMYFUNCTION("""COMPUTED_VALUE"""),44834.0)</f>
        <v>44834</v>
      </c>
      <c r="E1983" s="298"/>
      <c r="F1983" s="298"/>
      <c r="G1983" s="298"/>
      <c r="H1983" s="223"/>
      <c r="I1983" s="298">
        <f>IFERROR(__xludf.DUMMYFUNCTION("""COMPUTED_VALUE"""),75.0)</f>
        <v>75</v>
      </c>
      <c r="J1983" s="223" t="str">
        <f>IFERROR(__xludf.DUMMYFUNCTION("""COMPUTED_VALUE"""),"Monthly")</f>
        <v>Monthly</v>
      </c>
      <c r="K1983" s="317">
        <f>IFERROR(__xludf.DUMMYFUNCTION("""COMPUTED_VALUE"""),2022.09)</f>
        <v>2022.09</v>
      </c>
      <c r="L1983" s="298"/>
      <c r="M1983" s="223"/>
      <c r="N1983" s="223"/>
      <c r="O1983" s="223"/>
      <c r="P1983" s="223"/>
      <c r="Q1983" s="223"/>
      <c r="R1983" s="223"/>
      <c r="S1983" s="223"/>
      <c r="T1983" s="223"/>
      <c r="U1983" s="223"/>
      <c r="V1983" s="223"/>
      <c r="W1983" s="223"/>
      <c r="X1983" s="223"/>
      <c r="Y1983" s="223"/>
      <c r="Z1983" s="223"/>
    </row>
    <row r="1984">
      <c r="A1984" s="223" t="str">
        <f>IFERROR(__xludf.DUMMYFUNCTION("""COMPUTED_VALUE"""),"Booginhead : Monthly Services")</f>
        <v>Booginhead : Monthly Services</v>
      </c>
      <c r="B1984" s="223" t="str">
        <f>IFERROR(__xludf.DUMMYFUNCTION("""COMPUTED_VALUE"""),"Booginhead")</f>
        <v>Booginhead</v>
      </c>
      <c r="C1984" s="223" t="str">
        <f>IFERROR(__xludf.DUMMYFUNCTION("""COMPUTED_VALUE"""),"Monthly Services")</f>
        <v>Monthly Services</v>
      </c>
      <c r="D1984" s="316">
        <f>IFERROR(__xludf.DUMMYFUNCTION("""COMPUTED_VALUE"""),44834.0)</f>
        <v>44834</v>
      </c>
      <c r="E1984" s="298"/>
      <c r="F1984" s="298"/>
      <c r="G1984" s="298"/>
      <c r="H1984" s="223"/>
      <c r="I1984" s="298">
        <f>IFERROR(__xludf.DUMMYFUNCTION("""COMPUTED_VALUE"""),270.0)</f>
        <v>270</v>
      </c>
      <c r="J1984" s="223" t="str">
        <f>IFERROR(__xludf.DUMMYFUNCTION("""COMPUTED_VALUE"""),"Monthly")</f>
        <v>Monthly</v>
      </c>
      <c r="K1984" s="317">
        <f>IFERROR(__xludf.DUMMYFUNCTION("""COMPUTED_VALUE"""),2022.09)</f>
        <v>2022.09</v>
      </c>
      <c r="L1984" s="298"/>
      <c r="M1984" s="223"/>
      <c r="N1984" s="223"/>
      <c r="O1984" s="223"/>
      <c r="P1984" s="223"/>
      <c r="Q1984" s="223"/>
      <c r="R1984" s="223"/>
      <c r="S1984" s="223"/>
      <c r="T1984" s="223"/>
      <c r="U1984" s="223"/>
      <c r="V1984" s="223"/>
      <c r="W1984" s="223"/>
      <c r="X1984" s="223"/>
      <c r="Y1984" s="223"/>
      <c r="Z1984" s="223"/>
    </row>
    <row r="1985">
      <c r="A1985" s="223" t="str">
        <f>IFERROR(__xludf.DUMMYFUNCTION("""COMPUTED_VALUE"""),"Arazy Group : Monthly Services")</f>
        <v>Arazy Group : Monthly Services</v>
      </c>
      <c r="B1985" s="223" t="str">
        <f>IFERROR(__xludf.DUMMYFUNCTION("""COMPUTED_VALUE"""),"Arazy Group")</f>
        <v>Arazy Group</v>
      </c>
      <c r="C1985" s="223" t="str">
        <f>IFERROR(__xludf.DUMMYFUNCTION("""COMPUTED_VALUE"""),"Monthly Services")</f>
        <v>Monthly Services</v>
      </c>
      <c r="D1985" s="316">
        <f>IFERROR(__xludf.DUMMYFUNCTION("""COMPUTED_VALUE"""),44834.0)</f>
        <v>44834</v>
      </c>
      <c r="E1985" s="298"/>
      <c r="F1985" s="298"/>
      <c r="G1985" s="298"/>
      <c r="H1985" s="223"/>
      <c r="I1985" s="298">
        <f>IFERROR(__xludf.DUMMYFUNCTION("""COMPUTED_VALUE"""),60.0)</f>
        <v>60</v>
      </c>
      <c r="J1985" s="223" t="str">
        <f>IFERROR(__xludf.DUMMYFUNCTION("""COMPUTED_VALUE"""),"Monthly")</f>
        <v>Monthly</v>
      </c>
      <c r="K1985" s="317">
        <f>IFERROR(__xludf.DUMMYFUNCTION("""COMPUTED_VALUE"""),2022.09)</f>
        <v>2022.09</v>
      </c>
      <c r="L1985" s="298"/>
      <c r="M1985" s="223"/>
      <c r="N1985" s="223"/>
      <c r="O1985" s="223"/>
      <c r="P1985" s="223"/>
      <c r="Q1985" s="223"/>
      <c r="R1985" s="223"/>
      <c r="S1985" s="223"/>
      <c r="T1985" s="223"/>
      <c r="U1985" s="223"/>
      <c r="V1985" s="223"/>
      <c r="W1985" s="223"/>
      <c r="X1985" s="223"/>
      <c r="Y1985" s="223"/>
      <c r="Z1985" s="223"/>
    </row>
    <row r="1986">
      <c r="A1986" s="223" t="str">
        <f>IFERROR(__xludf.DUMMYFUNCTION("""COMPUTED_VALUE"""),"Hastings House : Monthly Services")</f>
        <v>Hastings House : Monthly Services</v>
      </c>
      <c r="B1986" s="223" t="str">
        <f>IFERROR(__xludf.DUMMYFUNCTION("""COMPUTED_VALUE"""),"Hastings House")</f>
        <v>Hastings House</v>
      </c>
      <c r="C1986" s="223" t="str">
        <f>IFERROR(__xludf.DUMMYFUNCTION("""COMPUTED_VALUE"""),"Monthly Services")</f>
        <v>Monthly Services</v>
      </c>
      <c r="D1986" s="316">
        <f>IFERROR(__xludf.DUMMYFUNCTION("""COMPUTED_VALUE"""),44834.0)</f>
        <v>44834</v>
      </c>
      <c r="E1986" s="298"/>
      <c r="F1986" s="298"/>
      <c r="G1986" s="298"/>
      <c r="H1986" s="223"/>
      <c r="I1986" s="298">
        <f>IFERROR(__xludf.DUMMYFUNCTION("""COMPUTED_VALUE"""),135.0)</f>
        <v>135</v>
      </c>
      <c r="J1986" s="223" t="str">
        <f>IFERROR(__xludf.DUMMYFUNCTION("""COMPUTED_VALUE"""),"Monthly")</f>
        <v>Monthly</v>
      </c>
      <c r="K1986" s="317">
        <f>IFERROR(__xludf.DUMMYFUNCTION("""COMPUTED_VALUE"""),2022.09)</f>
        <v>2022.09</v>
      </c>
      <c r="L1986" s="298"/>
      <c r="M1986" s="223"/>
      <c r="N1986" s="223"/>
      <c r="O1986" s="223"/>
      <c r="P1986" s="223"/>
      <c r="Q1986" s="223"/>
      <c r="R1986" s="223"/>
      <c r="S1986" s="223"/>
      <c r="T1986" s="223"/>
      <c r="U1986" s="223"/>
      <c r="V1986" s="223"/>
      <c r="W1986" s="223"/>
      <c r="X1986" s="223"/>
      <c r="Y1986" s="223"/>
      <c r="Z1986" s="223"/>
    </row>
    <row r="1987">
      <c r="A1987" s="223" t="str">
        <f>IFERROR(__xludf.DUMMYFUNCTION("""COMPUTED_VALUE"""),"Bratopia : Monthly Services")</f>
        <v>Bratopia : Monthly Services</v>
      </c>
      <c r="B1987" s="223" t="str">
        <f>IFERROR(__xludf.DUMMYFUNCTION("""COMPUTED_VALUE"""),"Bratopia")</f>
        <v>Bratopia</v>
      </c>
      <c r="C1987" s="223" t="str">
        <f>IFERROR(__xludf.DUMMYFUNCTION("""COMPUTED_VALUE"""),"Monthly Services")</f>
        <v>Monthly Services</v>
      </c>
      <c r="D1987" s="316">
        <f>IFERROR(__xludf.DUMMYFUNCTION("""COMPUTED_VALUE"""),44834.0)</f>
        <v>44834</v>
      </c>
      <c r="E1987" s="298"/>
      <c r="F1987" s="298"/>
      <c r="G1987" s="298"/>
      <c r="H1987" s="223"/>
      <c r="I1987" s="298">
        <f>IFERROR(__xludf.DUMMYFUNCTION("""COMPUTED_VALUE"""),50.0)</f>
        <v>50</v>
      </c>
      <c r="J1987" s="223" t="str">
        <f>IFERROR(__xludf.DUMMYFUNCTION("""COMPUTED_VALUE"""),"Monthly")</f>
        <v>Monthly</v>
      </c>
      <c r="K1987" s="317">
        <f>IFERROR(__xludf.DUMMYFUNCTION("""COMPUTED_VALUE"""),2022.09)</f>
        <v>2022.09</v>
      </c>
      <c r="L1987" s="298"/>
      <c r="M1987" s="223"/>
      <c r="N1987" s="223"/>
      <c r="O1987" s="223"/>
      <c r="P1987" s="223"/>
      <c r="Q1987" s="223"/>
      <c r="R1987" s="223"/>
      <c r="S1987" s="223"/>
      <c r="T1987" s="223"/>
      <c r="U1987" s="223"/>
      <c r="V1987" s="223"/>
      <c r="W1987" s="223"/>
      <c r="X1987" s="223"/>
      <c r="Y1987" s="223"/>
      <c r="Z1987" s="223"/>
    </row>
    <row r="1988">
      <c r="A1988" s="223" t="str">
        <f>IFERROR(__xludf.DUMMYFUNCTION("""COMPUTED_VALUE"""),"TisBest : Monthly Services")</f>
        <v>TisBest : Monthly Services</v>
      </c>
      <c r="B1988" s="223" t="str">
        <f>IFERROR(__xludf.DUMMYFUNCTION("""COMPUTED_VALUE"""),"TisBest")</f>
        <v>TisBest</v>
      </c>
      <c r="C1988" s="223" t="str">
        <f>IFERROR(__xludf.DUMMYFUNCTION("""COMPUTED_VALUE"""),"Monthly Services")</f>
        <v>Monthly Services</v>
      </c>
      <c r="D1988" s="316">
        <f>IFERROR(__xludf.DUMMYFUNCTION("""COMPUTED_VALUE"""),44834.0)</f>
        <v>44834</v>
      </c>
      <c r="E1988" s="298"/>
      <c r="F1988" s="298"/>
      <c r="G1988" s="298"/>
      <c r="H1988" s="223"/>
      <c r="I1988" s="298">
        <f>IFERROR(__xludf.DUMMYFUNCTION("""COMPUTED_VALUE"""),300.0)</f>
        <v>300</v>
      </c>
      <c r="J1988" s="223" t="str">
        <f>IFERROR(__xludf.DUMMYFUNCTION("""COMPUTED_VALUE"""),"Monthly")</f>
        <v>Monthly</v>
      </c>
      <c r="K1988" s="317">
        <f>IFERROR(__xludf.DUMMYFUNCTION("""COMPUTED_VALUE"""),2022.09)</f>
        <v>2022.09</v>
      </c>
      <c r="L1988" s="298"/>
      <c r="M1988" s="223"/>
      <c r="N1988" s="223"/>
      <c r="O1988" s="223"/>
      <c r="P1988" s="223"/>
      <c r="Q1988" s="223"/>
      <c r="R1988" s="223"/>
      <c r="S1988" s="223"/>
      <c r="T1988" s="223"/>
      <c r="U1988" s="223"/>
      <c r="V1988" s="223"/>
      <c r="W1988" s="223"/>
      <c r="X1988" s="223"/>
      <c r="Y1988" s="223"/>
      <c r="Z1988" s="223"/>
    </row>
    <row r="1989">
      <c r="A1989" s="223" t="str">
        <f>IFERROR(__xludf.DUMMYFUNCTION("""COMPUTED_VALUE"""),"Wallack's Art Supplies : Monthly Services")</f>
        <v>Wallack's Art Supplies : Monthly Services</v>
      </c>
      <c r="B1989" s="223" t="str">
        <f>IFERROR(__xludf.DUMMYFUNCTION("""COMPUTED_VALUE"""),"Wallack's Art Supplies")</f>
        <v>Wallack's Art Supplies</v>
      </c>
      <c r="C1989" s="223" t="str">
        <f>IFERROR(__xludf.DUMMYFUNCTION("""COMPUTED_VALUE"""),"Monthly Services")</f>
        <v>Monthly Services</v>
      </c>
      <c r="D1989" s="316">
        <f>IFERROR(__xludf.DUMMYFUNCTION("""COMPUTED_VALUE"""),44834.0)</f>
        <v>44834</v>
      </c>
      <c r="E1989" s="298"/>
      <c r="F1989" s="298"/>
      <c r="G1989" s="298"/>
      <c r="H1989" s="223"/>
      <c r="I1989" s="298">
        <f>IFERROR(__xludf.DUMMYFUNCTION("""COMPUTED_VALUE"""),60.0)</f>
        <v>60</v>
      </c>
      <c r="J1989" s="223" t="str">
        <f>IFERROR(__xludf.DUMMYFUNCTION("""COMPUTED_VALUE"""),"Monthly")</f>
        <v>Monthly</v>
      </c>
      <c r="K1989" s="317">
        <f>IFERROR(__xludf.DUMMYFUNCTION("""COMPUTED_VALUE"""),2022.09)</f>
        <v>2022.09</v>
      </c>
      <c r="L1989" s="298"/>
      <c r="M1989" s="223"/>
      <c r="N1989" s="223"/>
      <c r="O1989" s="223"/>
      <c r="P1989" s="223"/>
      <c r="Q1989" s="223"/>
      <c r="R1989" s="223"/>
      <c r="S1989" s="223"/>
      <c r="T1989" s="223"/>
      <c r="U1989" s="223"/>
      <c r="V1989" s="223"/>
      <c r="W1989" s="223"/>
      <c r="X1989" s="223"/>
      <c r="Y1989" s="223"/>
      <c r="Z1989" s="223"/>
    </row>
    <row r="1990">
      <c r="A1990" s="223" t="str">
        <f>IFERROR(__xludf.DUMMYFUNCTION("""COMPUTED_VALUE"""),"PMDI : Monthly Services")</f>
        <v>PMDI : Monthly Services</v>
      </c>
      <c r="B1990" s="223" t="str">
        <f>IFERROR(__xludf.DUMMYFUNCTION("""COMPUTED_VALUE"""),"PMDI")</f>
        <v>PMDI</v>
      </c>
      <c r="C1990" s="223" t="str">
        <f>IFERROR(__xludf.DUMMYFUNCTION("""COMPUTED_VALUE"""),"Monthly Services")</f>
        <v>Monthly Services</v>
      </c>
      <c r="D1990" s="316">
        <f>IFERROR(__xludf.DUMMYFUNCTION("""COMPUTED_VALUE"""),44834.0)</f>
        <v>44834</v>
      </c>
      <c r="E1990" s="298"/>
      <c r="F1990" s="298"/>
      <c r="G1990" s="298"/>
      <c r="H1990" s="223"/>
      <c r="I1990" s="298">
        <f>IFERROR(__xludf.DUMMYFUNCTION("""COMPUTED_VALUE"""),30.0)</f>
        <v>30</v>
      </c>
      <c r="J1990" s="223" t="str">
        <f>IFERROR(__xludf.DUMMYFUNCTION("""COMPUTED_VALUE"""),"Monthly")</f>
        <v>Monthly</v>
      </c>
      <c r="K1990" s="317">
        <f>IFERROR(__xludf.DUMMYFUNCTION("""COMPUTED_VALUE"""),2022.09)</f>
        <v>2022.09</v>
      </c>
      <c r="L1990" s="298"/>
      <c r="M1990" s="223"/>
      <c r="N1990" s="223"/>
      <c r="O1990" s="223"/>
      <c r="P1990" s="223"/>
      <c r="Q1990" s="223"/>
      <c r="R1990" s="223"/>
      <c r="S1990" s="223"/>
      <c r="T1990" s="223"/>
      <c r="U1990" s="223"/>
      <c r="V1990" s="223"/>
      <c r="W1990" s="223"/>
      <c r="X1990" s="223"/>
      <c r="Y1990" s="223"/>
      <c r="Z1990" s="223"/>
    </row>
    <row r="1991">
      <c r="A1991" s="223" t="str">
        <f>IFERROR(__xludf.DUMMYFUNCTION("""COMPUTED_VALUE"""),"Tofino Resort + Marina : Monthly Services")</f>
        <v>Tofino Resort + Marina : Monthly Services</v>
      </c>
      <c r="B1991" s="223" t="str">
        <f>IFERROR(__xludf.DUMMYFUNCTION("""COMPUTED_VALUE"""),"Tofino Resort + Marina")</f>
        <v>Tofino Resort + Marina</v>
      </c>
      <c r="C1991" s="223" t="str">
        <f>IFERROR(__xludf.DUMMYFUNCTION("""COMPUTED_VALUE"""),"Monthly Services")</f>
        <v>Monthly Services</v>
      </c>
      <c r="D1991" s="316">
        <f>IFERROR(__xludf.DUMMYFUNCTION("""COMPUTED_VALUE"""),44834.0)</f>
        <v>44834</v>
      </c>
      <c r="E1991" s="298"/>
      <c r="F1991" s="298"/>
      <c r="G1991" s="298"/>
      <c r="H1991" s="223"/>
      <c r="I1991" s="298">
        <f>IFERROR(__xludf.DUMMYFUNCTION("""COMPUTED_VALUE"""),300.0)</f>
        <v>300</v>
      </c>
      <c r="J1991" s="223" t="str">
        <f>IFERROR(__xludf.DUMMYFUNCTION("""COMPUTED_VALUE"""),"Monthly")</f>
        <v>Monthly</v>
      </c>
      <c r="K1991" s="317">
        <f>IFERROR(__xludf.DUMMYFUNCTION("""COMPUTED_VALUE"""),2022.09)</f>
        <v>2022.09</v>
      </c>
      <c r="L1991" s="298"/>
      <c r="M1991" s="223"/>
      <c r="N1991" s="223"/>
      <c r="O1991" s="223"/>
      <c r="P1991" s="223"/>
      <c r="Q1991" s="223"/>
      <c r="R1991" s="223"/>
      <c r="S1991" s="223"/>
      <c r="T1991" s="223"/>
      <c r="U1991" s="223"/>
      <c r="V1991" s="223"/>
      <c r="W1991" s="223"/>
      <c r="X1991" s="223"/>
      <c r="Y1991" s="223"/>
      <c r="Z1991" s="223"/>
    </row>
    <row r="1992">
      <c r="A1992" s="223" t="str">
        <f>IFERROR(__xludf.DUMMYFUNCTION("""COMPUTED_VALUE"""),"Anook Athletics : Monthly Services")</f>
        <v>Anook Athletics : Monthly Services</v>
      </c>
      <c r="B1992" s="223" t="str">
        <f>IFERROR(__xludf.DUMMYFUNCTION("""COMPUTED_VALUE"""),"Anook Athletics")</f>
        <v>Anook Athletics</v>
      </c>
      <c r="C1992" s="223" t="str">
        <f>IFERROR(__xludf.DUMMYFUNCTION("""COMPUTED_VALUE"""),"Monthly Services")</f>
        <v>Monthly Services</v>
      </c>
      <c r="D1992" s="316">
        <f>IFERROR(__xludf.DUMMYFUNCTION("""COMPUTED_VALUE"""),44834.0)</f>
        <v>44834</v>
      </c>
      <c r="E1992" s="298"/>
      <c r="F1992" s="298"/>
      <c r="G1992" s="298"/>
      <c r="H1992" s="223"/>
      <c r="I1992" s="298">
        <f>IFERROR(__xludf.DUMMYFUNCTION("""COMPUTED_VALUE"""),75.0)</f>
        <v>75</v>
      </c>
      <c r="J1992" s="223" t="str">
        <f>IFERROR(__xludf.DUMMYFUNCTION("""COMPUTED_VALUE"""),"Monthly")</f>
        <v>Monthly</v>
      </c>
      <c r="K1992" s="317">
        <f>IFERROR(__xludf.DUMMYFUNCTION("""COMPUTED_VALUE"""),2022.09)</f>
        <v>2022.09</v>
      </c>
      <c r="L1992" s="298"/>
      <c r="M1992" s="223"/>
      <c r="N1992" s="223"/>
      <c r="O1992" s="223"/>
      <c r="P1992" s="223"/>
      <c r="Q1992" s="223"/>
      <c r="R1992" s="223"/>
      <c r="S1992" s="223"/>
      <c r="T1992" s="223"/>
      <c r="U1992" s="223"/>
      <c r="V1992" s="223"/>
      <c r="W1992" s="223"/>
      <c r="X1992" s="223"/>
      <c r="Y1992" s="223"/>
      <c r="Z1992" s="223"/>
    </row>
    <row r="1993">
      <c r="A1993" s="223" t="str">
        <f>IFERROR(__xludf.DUMMYFUNCTION("""COMPUTED_VALUE"""),"New Growth Ecommerce Inc : Monthly Services")</f>
        <v>New Growth Ecommerce Inc : Monthly Services</v>
      </c>
      <c r="B1993" s="223" t="str">
        <f>IFERROR(__xludf.DUMMYFUNCTION("""COMPUTED_VALUE"""),"New Growth Ecommerce Inc")</f>
        <v>New Growth Ecommerce Inc</v>
      </c>
      <c r="C1993" s="223" t="str">
        <f>IFERROR(__xludf.DUMMYFUNCTION("""COMPUTED_VALUE"""),"Monthly Services")</f>
        <v>Monthly Services</v>
      </c>
      <c r="D1993" s="316">
        <f>IFERROR(__xludf.DUMMYFUNCTION("""COMPUTED_VALUE"""),44834.0)</f>
        <v>44834</v>
      </c>
      <c r="E1993" s="298"/>
      <c r="F1993" s="298"/>
      <c r="G1993" s="298"/>
      <c r="H1993" s="223"/>
      <c r="I1993" s="298">
        <f>IFERROR(__xludf.DUMMYFUNCTION("""COMPUTED_VALUE"""),1860.0)</f>
        <v>1860</v>
      </c>
      <c r="J1993" s="223" t="str">
        <f>IFERROR(__xludf.DUMMYFUNCTION("""COMPUTED_VALUE"""),"Monthly")</f>
        <v>Monthly</v>
      </c>
      <c r="K1993" s="317">
        <f>IFERROR(__xludf.DUMMYFUNCTION("""COMPUTED_VALUE"""),2022.09)</f>
        <v>2022.09</v>
      </c>
      <c r="L1993" s="298"/>
      <c r="M1993" s="223"/>
      <c r="N1993" s="223"/>
      <c r="O1993" s="223"/>
      <c r="P1993" s="223"/>
      <c r="Q1993" s="223"/>
      <c r="R1993" s="223"/>
      <c r="S1993" s="223"/>
      <c r="T1993" s="223"/>
      <c r="U1993" s="223"/>
      <c r="V1993" s="223"/>
      <c r="W1993" s="223"/>
      <c r="X1993" s="223"/>
      <c r="Y1993" s="223"/>
      <c r="Z1993" s="223"/>
    </row>
    <row r="1994">
      <c r="A1994" s="223" t="str">
        <f>IFERROR(__xludf.DUMMYFUNCTION("""COMPUTED_VALUE"""),"Viridian : Monthly Services")</f>
        <v>Viridian : Monthly Services</v>
      </c>
      <c r="B1994" s="223" t="str">
        <f>IFERROR(__xludf.DUMMYFUNCTION("""COMPUTED_VALUE"""),"Viridian")</f>
        <v>Viridian</v>
      </c>
      <c r="C1994" s="223" t="str">
        <f>IFERROR(__xludf.DUMMYFUNCTION("""COMPUTED_VALUE"""),"Monthly Services")</f>
        <v>Monthly Services</v>
      </c>
      <c r="D1994" s="316">
        <f>IFERROR(__xludf.DUMMYFUNCTION("""COMPUTED_VALUE"""),44834.0)</f>
        <v>44834</v>
      </c>
      <c r="E1994" s="298"/>
      <c r="F1994" s="298"/>
      <c r="G1994" s="298"/>
      <c r="H1994" s="223"/>
      <c r="I1994" s="298">
        <f>IFERROR(__xludf.DUMMYFUNCTION("""COMPUTED_VALUE"""),60.0)</f>
        <v>60</v>
      </c>
      <c r="J1994" s="223" t="str">
        <f>IFERROR(__xludf.DUMMYFUNCTION("""COMPUTED_VALUE"""),"Monthly")</f>
        <v>Monthly</v>
      </c>
      <c r="K1994" s="317">
        <f>IFERROR(__xludf.DUMMYFUNCTION("""COMPUTED_VALUE"""),2022.09)</f>
        <v>2022.09</v>
      </c>
      <c r="L1994" s="298"/>
      <c r="M1994" s="223"/>
      <c r="N1994" s="223"/>
      <c r="O1994" s="223"/>
      <c r="P1994" s="223"/>
      <c r="Q1994" s="223"/>
      <c r="R1994" s="223"/>
      <c r="S1994" s="223"/>
      <c r="T1994" s="223"/>
      <c r="U1994" s="223"/>
      <c r="V1994" s="223"/>
      <c r="W1994" s="223"/>
      <c r="X1994" s="223"/>
      <c r="Y1994" s="223"/>
      <c r="Z1994" s="223"/>
    </row>
    <row r="1995">
      <c r="A1995" s="223" t="str">
        <f>IFERROR(__xludf.DUMMYFUNCTION("""COMPUTED_VALUE"""),"UnityWest Capital : Jericho Energy Ventures 6 month project")</f>
        <v>UnityWest Capital : Jericho Energy Ventures 6 month project</v>
      </c>
      <c r="B1995" s="223" t="str">
        <f>IFERROR(__xludf.DUMMYFUNCTION("""COMPUTED_VALUE"""),"UnityWest Capital")</f>
        <v>UnityWest Capital</v>
      </c>
      <c r="C1995" s="223" t="str">
        <f>IFERROR(__xludf.DUMMYFUNCTION("""COMPUTED_VALUE"""),"Jericho Energy Ventures 6 month project")</f>
        <v>Jericho Energy Ventures 6 month project</v>
      </c>
      <c r="D1995" s="316">
        <f>IFERROR(__xludf.DUMMYFUNCTION("""COMPUTED_VALUE"""),44834.0)</f>
        <v>44834</v>
      </c>
      <c r="E1995" s="298"/>
      <c r="F1995" s="298"/>
      <c r="G1995" s="298"/>
      <c r="H1995" s="223"/>
      <c r="I1995" s="298">
        <f>IFERROR(__xludf.DUMMYFUNCTION("""COMPUTED_VALUE"""),650.0)</f>
        <v>650</v>
      </c>
      <c r="J1995" s="223" t="str">
        <f>IFERROR(__xludf.DUMMYFUNCTION("""COMPUTED_VALUE"""),"Monthly")</f>
        <v>Monthly</v>
      </c>
      <c r="K1995" s="317">
        <f>IFERROR(__xludf.DUMMYFUNCTION("""COMPUTED_VALUE"""),2022.09)</f>
        <v>2022.09</v>
      </c>
      <c r="L1995" s="298"/>
      <c r="M1995" s="223"/>
      <c r="N1995" s="223"/>
      <c r="O1995" s="223"/>
      <c r="P1995" s="223"/>
      <c r="Q1995" s="223"/>
      <c r="R1995" s="223"/>
      <c r="S1995" s="223"/>
      <c r="T1995" s="223"/>
      <c r="U1995" s="223"/>
      <c r="V1995" s="223"/>
      <c r="W1995" s="223"/>
      <c r="X1995" s="223"/>
      <c r="Y1995" s="223"/>
      <c r="Z1995" s="223"/>
    </row>
    <row r="1996">
      <c r="A1996" s="223" t="str">
        <f>IFERROR(__xludf.DUMMYFUNCTION("""COMPUTED_VALUE"""),"Crisp Media : Genus Capital Managment PPC")</f>
        <v>Crisp Media : Genus Capital Managment PPC</v>
      </c>
      <c r="B1996" s="223" t="str">
        <f>IFERROR(__xludf.DUMMYFUNCTION("""COMPUTED_VALUE"""),"Crisp Media")</f>
        <v>Crisp Media</v>
      </c>
      <c r="C1996" s="223" t="str">
        <f>IFERROR(__xludf.DUMMYFUNCTION("""COMPUTED_VALUE"""),"Genus Capital Managment PPC")</f>
        <v>Genus Capital Managment PPC</v>
      </c>
      <c r="D1996" s="316">
        <f>IFERROR(__xludf.DUMMYFUNCTION("""COMPUTED_VALUE"""),44834.0)</f>
        <v>44834</v>
      </c>
      <c r="E1996" s="298"/>
      <c r="F1996" s="298"/>
      <c r="G1996" s="298"/>
      <c r="H1996" s="223"/>
      <c r="I1996" s="298">
        <f>IFERROR(__xludf.DUMMYFUNCTION("""COMPUTED_VALUE"""),45.0)</f>
        <v>45</v>
      </c>
      <c r="J1996" s="223" t="str">
        <f>IFERROR(__xludf.DUMMYFUNCTION("""COMPUTED_VALUE"""),"Fixed Project")</f>
        <v>Fixed Project</v>
      </c>
      <c r="K1996" s="317">
        <f>IFERROR(__xludf.DUMMYFUNCTION("""COMPUTED_VALUE"""),2022.0)</f>
        <v>2022</v>
      </c>
      <c r="L1996" s="298"/>
      <c r="M1996" s="223"/>
      <c r="N1996" s="223"/>
      <c r="O1996" s="223"/>
      <c r="P1996" s="223"/>
      <c r="Q1996" s="223"/>
      <c r="R1996" s="223"/>
      <c r="S1996" s="223"/>
      <c r="T1996" s="223"/>
      <c r="U1996" s="223"/>
      <c r="V1996" s="223"/>
      <c r="W1996" s="223"/>
      <c r="X1996" s="223"/>
      <c r="Y1996" s="223"/>
      <c r="Z1996" s="223"/>
    </row>
    <row r="1997">
      <c r="A1997" s="223" t="str">
        <f>IFERROR(__xludf.DUMMYFUNCTION("""COMPUTED_VALUE"""),"Howard Fine Jewellers : Ongoing PPC and SEO Support")</f>
        <v>Howard Fine Jewellers : Ongoing PPC and SEO Support</v>
      </c>
      <c r="B1997" s="223" t="str">
        <f>IFERROR(__xludf.DUMMYFUNCTION("""COMPUTED_VALUE"""),"Howard Fine Jewellers")</f>
        <v>Howard Fine Jewellers</v>
      </c>
      <c r="C1997" s="223" t="str">
        <f>IFERROR(__xludf.DUMMYFUNCTION("""COMPUTED_VALUE"""),"Ongoing PPC and SEO Support")</f>
        <v>Ongoing PPC and SEO Support</v>
      </c>
      <c r="D1997" s="316">
        <f>IFERROR(__xludf.DUMMYFUNCTION("""COMPUTED_VALUE"""),44834.0)</f>
        <v>44834</v>
      </c>
      <c r="E1997" s="298"/>
      <c r="F1997" s="298"/>
      <c r="G1997" s="298"/>
      <c r="H1997" s="223"/>
      <c r="I1997" s="298">
        <f>IFERROR(__xludf.DUMMYFUNCTION("""COMPUTED_VALUE"""),150.0)</f>
        <v>150</v>
      </c>
      <c r="J1997" s="223" t="str">
        <f>IFERROR(__xludf.DUMMYFUNCTION("""COMPUTED_VALUE"""),"Monthly")</f>
        <v>Monthly</v>
      </c>
      <c r="K1997" s="317">
        <f>IFERROR(__xludf.DUMMYFUNCTION("""COMPUTED_VALUE"""),2022.09)</f>
        <v>2022.09</v>
      </c>
      <c r="L1997" s="298"/>
      <c r="M1997" s="223"/>
      <c r="N1997" s="223"/>
      <c r="O1997" s="223"/>
      <c r="P1997" s="223"/>
      <c r="Q1997" s="223"/>
      <c r="R1997" s="223"/>
      <c r="S1997" s="223"/>
      <c r="T1997" s="223"/>
      <c r="U1997" s="223"/>
      <c r="V1997" s="223"/>
      <c r="W1997" s="223"/>
      <c r="X1997" s="223"/>
      <c r="Y1997" s="223"/>
      <c r="Z1997" s="223"/>
    </row>
    <row r="1998">
      <c r="A1998" s="223" t="str">
        <f>IFERROR(__xludf.DUMMYFUNCTION("""COMPUTED_VALUE"""),"Bevridge : Click. Sip. Learn. Campaign")</f>
        <v>Bevridge : Click. Sip. Learn. Campaign</v>
      </c>
      <c r="B1998" s="223" t="str">
        <f>IFERROR(__xludf.DUMMYFUNCTION("""COMPUTED_VALUE"""),"Bevridge")</f>
        <v>Bevridge</v>
      </c>
      <c r="C1998" s="223" t="str">
        <f>IFERROR(__xludf.DUMMYFUNCTION("""COMPUTED_VALUE"""),"Click. Sip. Learn. Campaign")</f>
        <v>Click. Sip. Learn. Campaign</v>
      </c>
      <c r="D1998" s="316">
        <f>IFERROR(__xludf.DUMMYFUNCTION("""COMPUTED_VALUE"""),44834.0)</f>
        <v>44834</v>
      </c>
      <c r="E1998" s="298"/>
      <c r="F1998" s="298"/>
      <c r="G1998" s="298"/>
      <c r="H1998" s="223"/>
      <c r="I1998" s="298">
        <f>IFERROR(__xludf.DUMMYFUNCTION("""COMPUTED_VALUE"""),210.0)</f>
        <v>210</v>
      </c>
      <c r="J1998" s="223" t="str">
        <f>IFERROR(__xludf.DUMMYFUNCTION("""COMPUTED_VALUE"""),"Fixed Project")</f>
        <v>Fixed Project</v>
      </c>
      <c r="K1998" s="317">
        <f>IFERROR(__xludf.DUMMYFUNCTION("""COMPUTED_VALUE"""),2022.0)</f>
        <v>2022</v>
      </c>
      <c r="L1998" s="298"/>
      <c r="M1998" s="223"/>
      <c r="N1998" s="223"/>
      <c r="O1998" s="223"/>
      <c r="P1998" s="223"/>
      <c r="Q1998" s="223"/>
      <c r="R1998" s="223"/>
      <c r="S1998" s="223"/>
      <c r="T1998" s="223"/>
      <c r="U1998" s="223"/>
      <c r="V1998" s="223"/>
      <c r="W1998" s="223"/>
      <c r="X1998" s="223"/>
      <c r="Y1998" s="223"/>
      <c r="Z1998" s="223"/>
    </row>
    <row r="1999">
      <c r="A1999" s="223" t="str">
        <f>IFERROR(__xludf.DUMMYFUNCTION("""COMPUTED_VALUE"""),"Big Hammer Wines : Google Search and Shopping Overhaul")</f>
        <v>Big Hammer Wines : Google Search and Shopping Overhaul</v>
      </c>
      <c r="B1999" s="223" t="str">
        <f>IFERROR(__xludf.DUMMYFUNCTION("""COMPUTED_VALUE"""),"Big Hammer Wines")</f>
        <v>Big Hammer Wines</v>
      </c>
      <c r="C1999" s="223" t="str">
        <f>IFERROR(__xludf.DUMMYFUNCTION("""COMPUTED_VALUE"""),"Google Search and Shopping Overhaul")</f>
        <v>Google Search and Shopping Overhaul</v>
      </c>
      <c r="D1999" s="316">
        <f>IFERROR(__xludf.DUMMYFUNCTION("""COMPUTED_VALUE"""),44834.0)</f>
        <v>44834</v>
      </c>
      <c r="E1999" s="298"/>
      <c r="F1999" s="298"/>
      <c r="G1999" s="298"/>
      <c r="H1999" s="223"/>
      <c r="I1999" s="298">
        <f>IFERROR(__xludf.DUMMYFUNCTION("""COMPUTED_VALUE"""),60.0)</f>
        <v>60</v>
      </c>
      <c r="J1999" s="223" t="str">
        <f>IFERROR(__xludf.DUMMYFUNCTION("""COMPUTED_VALUE"""),"Fixed Project")</f>
        <v>Fixed Project</v>
      </c>
      <c r="K1999" s="317">
        <f>IFERROR(__xludf.DUMMYFUNCTION("""COMPUTED_VALUE"""),2022.0)</f>
        <v>2022</v>
      </c>
      <c r="L1999" s="298"/>
      <c r="M1999" s="223"/>
      <c r="N1999" s="223"/>
      <c r="O1999" s="223"/>
      <c r="P1999" s="223"/>
      <c r="Q1999" s="223"/>
      <c r="R1999" s="223"/>
      <c r="S1999" s="223"/>
      <c r="T1999" s="223"/>
      <c r="U1999" s="223"/>
      <c r="V1999" s="223"/>
      <c r="W1999" s="223"/>
      <c r="X1999" s="223"/>
      <c r="Y1999" s="223"/>
      <c r="Z1999" s="223"/>
    </row>
    <row r="2000">
      <c r="A2000" s="223" t="str">
        <f>IFERROR(__xludf.DUMMYFUNCTION("""COMPUTED_VALUE"""),"Moloco : Monthly PPC")</f>
        <v>Moloco : Monthly PPC</v>
      </c>
      <c r="B2000" s="223" t="str">
        <f>IFERROR(__xludf.DUMMYFUNCTION("""COMPUTED_VALUE"""),"Moloco")</f>
        <v>Moloco</v>
      </c>
      <c r="C2000" s="223" t="str">
        <f>IFERROR(__xludf.DUMMYFUNCTION("""COMPUTED_VALUE"""),"Monthly PPC")</f>
        <v>Monthly PPC</v>
      </c>
      <c r="D2000" s="316">
        <f>IFERROR(__xludf.DUMMYFUNCTION("""COMPUTED_VALUE"""),44834.0)</f>
        <v>44834</v>
      </c>
      <c r="E2000" s="298"/>
      <c r="F2000" s="298"/>
      <c r="G2000" s="298"/>
      <c r="H2000" s="223"/>
      <c r="I2000" s="298">
        <f>IFERROR(__xludf.DUMMYFUNCTION("""COMPUTED_VALUE"""),45.0)</f>
        <v>45</v>
      </c>
      <c r="J2000" s="223" t="str">
        <f>IFERROR(__xludf.DUMMYFUNCTION("""COMPUTED_VALUE"""),"Monthly")</f>
        <v>Monthly</v>
      </c>
      <c r="K2000" s="317">
        <f>IFERROR(__xludf.DUMMYFUNCTION("""COMPUTED_VALUE"""),2022.09)</f>
        <v>2022.09</v>
      </c>
      <c r="L2000" s="298"/>
      <c r="M2000" s="223"/>
      <c r="N2000" s="223"/>
      <c r="O2000" s="223"/>
      <c r="P2000" s="223"/>
      <c r="Q2000" s="223"/>
      <c r="R2000" s="223"/>
      <c r="S2000" s="223"/>
      <c r="T2000" s="223"/>
      <c r="U2000" s="223"/>
      <c r="V2000" s="223"/>
      <c r="W2000" s="223"/>
      <c r="X2000" s="223"/>
      <c r="Y2000" s="223"/>
      <c r="Z2000" s="223"/>
    </row>
    <row r="2001">
      <c r="A2001" s="223" t="str">
        <f>IFERROR(__xludf.DUMMYFUNCTION("""COMPUTED_VALUE"""),"Hastings House : Monthly Services")</f>
        <v>Hastings House : Monthly Services</v>
      </c>
      <c r="B2001" s="223" t="str">
        <f>IFERROR(__xludf.DUMMYFUNCTION("""COMPUTED_VALUE"""),"Hastings House")</f>
        <v>Hastings House</v>
      </c>
      <c r="C2001" s="223" t="str">
        <f>IFERROR(__xludf.DUMMYFUNCTION("""COMPUTED_VALUE"""),"Monthly Services")</f>
        <v>Monthly Services</v>
      </c>
      <c r="D2001" s="316">
        <f>IFERROR(__xludf.DUMMYFUNCTION("""COMPUTED_VALUE"""),44834.0)</f>
        <v>44834</v>
      </c>
      <c r="E2001" s="298"/>
      <c r="F2001" s="298"/>
      <c r="G2001" s="298"/>
      <c r="H2001" s="223"/>
      <c r="I2001" s="298">
        <f>IFERROR(__xludf.DUMMYFUNCTION("""COMPUTED_VALUE"""),350.0)</f>
        <v>350</v>
      </c>
      <c r="J2001" s="223" t="str">
        <f>IFERROR(__xludf.DUMMYFUNCTION("""COMPUTED_VALUE"""),"Monthly")</f>
        <v>Monthly</v>
      </c>
      <c r="K2001" s="317">
        <f>IFERROR(__xludf.DUMMYFUNCTION("""COMPUTED_VALUE"""),2022.09)</f>
        <v>2022.09</v>
      </c>
      <c r="L2001" s="298"/>
      <c r="M2001" s="223"/>
      <c r="N2001" s="223"/>
      <c r="O2001" s="223"/>
      <c r="P2001" s="223"/>
      <c r="Q2001" s="223"/>
      <c r="R2001" s="223"/>
      <c r="S2001" s="223"/>
      <c r="T2001" s="223"/>
      <c r="U2001" s="223"/>
      <c r="V2001" s="223"/>
      <c r="W2001" s="223"/>
      <c r="X2001" s="223"/>
      <c r="Y2001" s="223"/>
      <c r="Z2001" s="223"/>
    </row>
    <row r="2002">
      <c r="A2002" s="223" t="str">
        <f>IFERROR(__xludf.DUMMYFUNCTION("""COMPUTED_VALUE"""),"Spraggs : Monthly Services")</f>
        <v>Spraggs : Monthly Services</v>
      </c>
      <c r="B2002" s="223" t="str">
        <f>IFERROR(__xludf.DUMMYFUNCTION("""COMPUTED_VALUE"""),"Spraggs")</f>
        <v>Spraggs</v>
      </c>
      <c r="C2002" s="223" t="str">
        <f>IFERROR(__xludf.DUMMYFUNCTION("""COMPUTED_VALUE"""),"Monthly Services")</f>
        <v>Monthly Services</v>
      </c>
      <c r="D2002" s="316">
        <f>IFERROR(__xludf.DUMMYFUNCTION("""COMPUTED_VALUE"""),44834.0)</f>
        <v>44834</v>
      </c>
      <c r="E2002" s="298"/>
      <c r="F2002" s="298"/>
      <c r="G2002" s="298"/>
      <c r="H2002" s="223"/>
      <c r="I2002" s="298">
        <f>IFERROR(__xludf.DUMMYFUNCTION("""COMPUTED_VALUE"""),212.5)</f>
        <v>212.5</v>
      </c>
      <c r="J2002" s="223" t="str">
        <f>IFERROR(__xludf.DUMMYFUNCTION("""COMPUTED_VALUE"""),"Monthly")</f>
        <v>Monthly</v>
      </c>
      <c r="K2002" s="317">
        <f>IFERROR(__xludf.DUMMYFUNCTION("""COMPUTED_VALUE"""),2022.09)</f>
        <v>2022.09</v>
      </c>
      <c r="L2002" s="298"/>
      <c r="M2002" s="223"/>
      <c r="N2002" s="223"/>
      <c r="O2002" s="223"/>
      <c r="P2002" s="223"/>
      <c r="Q2002" s="223"/>
      <c r="R2002" s="223"/>
      <c r="S2002" s="223"/>
      <c r="T2002" s="223"/>
      <c r="U2002" s="223"/>
      <c r="V2002" s="223"/>
      <c r="W2002" s="223"/>
      <c r="X2002" s="223"/>
      <c r="Y2002" s="223"/>
      <c r="Z2002" s="223"/>
    </row>
    <row r="2003">
      <c r="A2003" s="223" t="str">
        <f>IFERROR(__xludf.DUMMYFUNCTION("""COMPUTED_VALUE"""),"Availed Technologies : Monthly Services")</f>
        <v>Availed Technologies : Monthly Services</v>
      </c>
      <c r="B2003" s="223" t="str">
        <f>IFERROR(__xludf.DUMMYFUNCTION("""COMPUTED_VALUE"""),"Availed Technologies")</f>
        <v>Availed Technologies</v>
      </c>
      <c r="C2003" s="223" t="str">
        <f>IFERROR(__xludf.DUMMYFUNCTION("""COMPUTED_VALUE"""),"Monthly Services")</f>
        <v>Monthly Services</v>
      </c>
      <c r="D2003" s="316">
        <f>IFERROR(__xludf.DUMMYFUNCTION("""COMPUTED_VALUE"""),44834.0)</f>
        <v>44834</v>
      </c>
      <c r="E2003" s="298"/>
      <c r="F2003" s="298"/>
      <c r="G2003" s="298"/>
      <c r="H2003" s="223"/>
      <c r="I2003" s="298">
        <f>IFERROR(__xludf.DUMMYFUNCTION("""COMPUTED_VALUE"""),350.0)</f>
        <v>350</v>
      </c>
      <c r="J2003" s="223" t="str">
        <f>IFERROR(__xludf.DUMMYFUNCTION("""COMPUTED_VALUE"""),"Monthly")</f>
        <v>Monthly</v>
      </c>
      <c r="K2003" s="317">
        <f>IFERROR(__xludf.DUMMYFUNCTION("""COMPUTED_VALUE"""),2022.09)</f>
        <v>2022.09</v>
      </c>
      <c r="L2003" s="298"/>
      <c r="M2003" s="223"/>
      <c r="N2003" s="223"/>
      <c r="O2003" s="223"/>
      <c r="P2003" s="223"/>
      <c r="Q2003" s="223"/>
      <c r="R2003" s="223"/>
      <c r="S2003" s="223"/>
      <c r="T2003" s="223"/>
      <c r="U2003" s="223"/>
      <c r="V2003" s="223"/>
      <c r="W2003" s="223"/>
      <c r="X2003" s="223"/>
      <c r="Y2003" s="223"/>
      <c r="Z2003" s="223"/>
    </row>
    <row r="2004">
      <c r="A2004" s="223" t="str">
        <f>IFERROR(__xludf.DUMMYFUNCTION("""COMPUTED_VALUE"""),"Tuscany : Monthly Services")</f>
        <v>Tuscany : Monthly Services</v>
      </c>
      <c r="B2004" s="223" t="str">
        <f>IFERROR(__xludf.DUMMYFUNCTION("""COMPUTED_VALUE"""),"Tuscany")</f>
        <v>Tuscany</v>
      </c>
      <c r="C2004" s="223" t="str">
        <f>IFERROR(__xludf.DUMMYFUNCTION("""COMPUTED_VALUE"""),"Monthly Services")</f>
        <v>Monthly Services</v>
      </c>
      <c r="D2004" s="316">
        <f>IFERROR(__xludf.DUMMYFUNCTION("""COMPUTED_VALUE"""),44834.0)</f>
        <v>44834</v>
      </c>
      <c r="E2004" s="298"/>
      <c r="F2004" s="298"/>
      <c r="G2004" s="298"/>
      <c r="H2004" s="223"/>
      <c r="I2004" s="298">
        <f>IFERROR(__xludf.DUMMYFUNCTION("""COMPUTED_VALUE"""),662.5)</f>
        <v>662.5</v>
      </c>
      <c r="J2004" s="223" t="str">
        <f>IFERROR(__xludf.DUMMYFUNCTION("""COMPUTED_VALUE"""),"Monthly")</f>
        <v>Monthly</v>
      </c>
      <c r="K2004" s="317">
        <f>IFERROR(__xludf.DUMMYFUNCTION("""COMPUTED_VALUE"""),2022.09)</f>
        <v>2022.09</v>
      </c>
      <c r="L2004" s="298"/>
      <c r="M2004" s="223"/>
      <c r="N2004" s="223"/>
      <c r="O2004" s="223"/>
      <c r="P2004" s="223"/>
      <c r="Q2004" s="223"/>
      <c r="R2004" s="223"/>
      <c r="S2004" s="223"/>
      <c r="T2004" s="223"/>
      <c r="U2004" s="223"/>
      <c r="V2004" s="223"/>
      <c r="W2004" s="223"/>
      <c r="X2004" s="223"/>
      <c r="Y2004" s="223"/>
      <c r="Z2004" s="223"/>
    </row>
    <row r="2005">
      <c r="A2005" s="223" t="str">
        <f>IFERROR(__xludf.DUMMYFUNCTION("""COMPUTED_VALUE"""),"Venetian : Monthly Services")</f>
        <v>Venetian : Monthly Services</v>
      </c>
      <c r="B2005" s="223" t="str">
        <f>IFERROR(__xludf.DUMMYFUNCTION("""COMPUTED_VALUE"""),"Venetian")</f>
        <v>Venetian</v>
      </c>
      <c r="C2005" s="223" t="str">
        <f>IFERROR(__xludf.DUMMYFUNCTION("""COMPUTED_VALUE"""),"Monthly Services")</f>
        <v>Monthly Services</v>
      </c>
      <c r="D2005" s="316">
        <f>IFERROR(__xludf.DUMMYFUNCTION("""COMPUTED_VALUE"""),44834.0)</f>
        <v>44834</v>
      </c>
      <c r="E2005" s="298"/>
      <c r="F2005" s="298"/>
      <c r="G2005" s="298"/>
      <c r="H2005" s="223"/>
      <c r="I2005" s="298">
        <f>IFERROR(__xludf.DUMMYFUNCTION("""COMPUTED_VALUE"""),662.5)</f>
        <v>662.5</v>
      </c>
      <c r="J2005" s="223" t="str">
        <f>IFERROR(__xludf.DUMMYFUNCTION("""COMPUTED_VALUE"""),"Monthly")</f>
        <v>Monthly</v>
      </c>
      <c r="K2005" s="317">
        <f>IFERROR(__xludf.DUMMYFUNCTION("""COMPUTED_VALUE"""),2022.09)</f>
        <v>2022.09</v>
      </c>
      <c r="L2005" s="298"/>
      <c r="M2005" s="223"/>
      <c r="N2005" s="223"/>
      <c r="O2005" s="223"/>
      <c r="P2005" s="223"/>
      <c r="Q2005" s="223"/>
      <c r="R2005" s="223"/>
      <c r="S2005" s="223"/>
      <c r="T2005" s="223"/>
      <c r="U2005" s="223"/>
      <c r="V2005" s="223"/>
      <c r="W2005" s="223"/>
      <c r="X2005" s="223"/>
      <c r="Y2005" s="223"/>
      <c r="Z2005" s="223"/>
    </row>
    <row r="2006">
      <c r="A2006" s="223" t="str">
        <f>IFERROR(__xludf.DUMMYFUNCTION("""COMPUTED_VALUE"""),"Spraggs : Monthly Services")</f>
        <v>Spraggs : Monthly Services</v>
      </c>
      <c r="B2006" s="223" t="str">
        <f>IFERROR(__xludf.DUMMYFUNCTION("""COMPUTED_VALUE"""),"Spraggs")</f>
        <v>Spraggs</v>
      </c>
      <c r="C2006" s="223" t="str">
        <f>IFERROR(__xludf.DUMMYFUNCTION("""COMPUTED_VALUE"""),"Monthly Services")</f>
        <v>Monthly Services</v>
      </c>
      <c r="D2006" s="316">
        <f>IFERROR(__xludf.DUMMYFUNCTION("""COMPUTED_VALUE"""),44834.0)</f>
        <v>44834</v>
      </c>
      <c r="E2006" s="298"/>
      <c r="F2006" s="298"/>
      <c r="G2006" s="298"/>
      <c r="H2006" s="223"/>
      <c r="I2006" s="298">
        <f>IFERROR(__xludf.DUMMYFUNCTION("""COMPUTED_VALUE"""),450.0)</f>
        <v>450</v>
      </c>
      <c r="J2006" s="223" t="str">
        <f>IFERROR(__xludf.DUMMYFUNCTION("""COMPUTED_VALUE"""),"Monthly")</f>
        <v>Monthly</v>
      </c>
      <c r="K2006" s="317">
        <f>IFERROR(__xludf.DUMMYFUNCTION("""COMPUTED_VALUE"""),2022.09)</f>
        <v>2022.09</v>
      </c>
      <c r="L2006" s="298"/>
      <c r="M2006" s="223"/>
      <c r="N2006" s="223"/>
      <c r="O2006" s="223"/>
      <c r="P2006" s="223"/>
      <c r="Q2006" s="223"/>
      <c r="R2006" s="223"/>
      <c r="S2006" s="223"/>
      <c r="T2006" s="223"/>
      <c r="U2006" s="223"/>
      <c r="V2006" s="223"/>
      <c r="W2006" s="223"/>
      <c r="X2006" s="223"/>
      <c r="Y2006" s="223"/>
      <c r="Z2006" s="223"/>
    </row>
    <row r="2007">
      <c r="A2007" s="223" t="str">
        <f>IFERROR(__xludf.DUMMYFUNCTION("""COMPUTED_VALUE"""),"Diversified Health : Monthly Services")</f>
        <v>Diversified Health : Monthly Services</v>
      </c>
      <c r="B2007" s="223" t="str">
        <f>IFERROR(__xludf.DUMMYFUNCTION("""COMPUTED_VALUE"""),"Diversified Health")</f>
        <v>Diversified Health</v>
      </c>
      <c r="C2007" s="223" t="str">
        <f>IFERROR(__xludf.DUMMYFUNCTION("""COMPUTED_VALUE"""),"Monthly Services")</f>
        <v>Monthly Services</v>
      </c>
      <c r="D2007" s="316">
        <f>IFERROR(__xludf.DUMMYFUNCTION("""COMPUTED_VALUE"""),44834.0)</f>
        <v>44834</v>
      </c>
      <c r="E2007" s="298"/>
      <c r="F2007" s="298"/>
      <c r="G2007" s="298"/>
      <c r="H2007" s="223"/>
      <c r="I2007" s="298">
        <f>IFERROR(__xludf.DUMMYFUNCTION("""COMPUTED_VALUE"""),475.0)</f>
        <v>475</v>
      </c>
      <c r="J2007" s="223" t="str">
        <f>IFERROR(__xludf.DUMMYFUNCTION("""COMPUTED_VALUE"""),"Monthly")</f>
        <v>Monthly</v>
      </c>
      <c r="K2007" s="317">
        <f>IFERROR(__xludf.DUMMYFUNCTION("""COMPUTED_VALUE"""),2022.09)</f>
        <v>2022.09</v>
      </c>
      <c r="L2007" s="298"/>
      <c r="M2007" s="223"/>
      <c r="N2007" s="223"/>
      <c r="O2007" s="223"/>
      <c r="P2007" s="223"/>
      <c r="Q2007" s="223"/>
      <c r="R2007" s="223"/>
      <c r="S2007" s="223"/>
      <c r="T2007" s="223"/>
      <c r="U2007" s="223"/>
      <c r="V2007" s="223"/>
      <c r="W2007" s="223"/>
      <c r="X2007" s="223"/>
      <c r="Y2007" s="223"/>
      <c r="Z2007" s="223"/>
    </row>
    <row r="2008">
      <c r="A2008" s="223" t="str">
        <f>IFERROR(__xludf.DUMMYFUNCTION("""COMPUTED_VALUE"""),"TisBest : Monthly Services")</f>
        <v>TisBest : Monthly Services</v>
      </c>
      <c r="B2008" s="223" t="str">
        <f>IFERROR(__xludf.DUMMYFUNCTION("""COMPUTED_VALUE"""),"TisBest")</f>
        <v>TisBest</v>
      </c>
      <c r="C2008" s="223" t="str">
        <f>IFERROR(__xludf.DUMMYFUNCTION("""COMPUTED_VALUE"""),"Monthly Services")</f>
        <v>Monthly Services</v>
      </c>
      <c r="D2008" s="316">
        <f>IFERROR(__xludf.DUMMYFUNCTION("""COMPUTED_VALUE"""),44834.0)</f>
        <v>44834</v>
      </c>
      <c r="E2008" s="298"/>
      <c r="F2008" s="298"/>
      <c r="G2008" s="298"/>
      <c r="H2008" s="223"/>
      <c r="I2008" s="298">
        <f>IFERROR(__xludf.DUMMYFUNCTION("""COMPUTED_VALUE"""),1067.5)</f>
        <v>1067.5</v>
      </c>
      <c r="J2008" s="223" t="str">
        <f>IFERROR(__xludf.DUMMYFUNCTION("""COMPUTED_VALUE"""),"Monthly")</f>
        <v>Monthly</v>
      </c>
      <c r="K2008" s="317">
        <f>IFERROR(__xludf.DUMMYFUNCTION("""COMPUTED_VALUE"""),2022.09)</f>
        <v>2022.09</v>
      </c>
      <c r="L2008" s="298"/>
      <c r="M2008" s="223"/>
      <c r="N2008" s="223"/>
      <c r="O2008" s="223"/>
      <c r="P2008" s="223"/>
      <c r="Q2008" s="223"/>
      <c r="R2008" s="223"/>
      <c r="S2008" s="223"/>
      <c r="T2008" s="223"/>
      <c r="U2008" s="223"/>
      <c r="V2008" s="223"/>
      <c r="W2008" s="223"/>
      <c r="X2008" s="223"/>
      <c r="Y2008" s="223"/>
      <c r="Z2008" s="223"/>
    </row>
    <row r="2009">
      <c r="A2009" s="223" t="str">
        <f>IFERROR(__xludf.DUMMYFUNCTION("""COMPUTED_VALUE"""),"Tofino Resort + Marina : Monthly Services")</f>
        <v>Tofino Resort + Marina : Monthly Services</v>
      </c>
      <c r="B2009" s="223" t="str">
        <f>IFERROR(__xludf.DUMMYFUNCTION("""COMPUTED_VALUE"""),"Tofino Resort + Marina")</f>
        <v>Tofino Resort + Marina</v>
      </c>
      <c r="C2009" s="223" t="str">
        <f>IFERROR(__xludf.DUMMYFUNCTION("""COMPUTED_VALUE"""),"Monthly Services")</f>
        <v>Monthly Services</v>
      </c>
      <c r="D2009" s="316">
        <f>IFERROR(__xludf.DUMMYFUNCTION("""COMPUTED_VALUE"""),44834.0)</f>
        <v>44834</v>
      </c>
      <c r="E2009" s="298"/>
      <c r="F2009" s="298"/>
      <c r="G2009" s="298"/>
      <c r="H2009" s="223"/>
      <c r="I2009" s="298">
        <f>IFERROR(__xludf.DUMMYFUNCTION("""COMPUTED_VALUE"""),450.0)</f>
        <v>450</v>
      </c>
      <c r="J2009" s="223" t="str">
        <f>IFERROR(__xludf.DUMMYFUNCTION("""COMPUTED_VALUE"""),"Monthly")</f>
        <v>Monthly</v>
      </c>
      <c r="K2009" s="317">
        <f>IFERROR(__xludf.DUMMYFUNCTION("""COMPUTED_VALUE"""),2022.09)</f>
        <v>2022.09</v>
      </c>
      <c r="L2009" s="298"/>
      <c r="M2009" s="223"/>
      <c r="N2009" s="223"/>
      <c r="O2009" s="223"/>
      <c r="P2009" s="223"/>
      <c r="Q2009" s="223"/>
      <c r="R2009" s="223"/>
      <c r="S2009" s="223"/>
      <c r="T2009" s="223"/>
      <c r="U2009" s="223"/>
      <c r="V2009" s="223"/>
      <c r="W2009" s="223"/>
      <c r="X2009" s="223"/>
      <c r="Y2009" s="223"/>
      <c r="Z2009" s="223"/>
    </row>
    <row r="2010">
      <c r="A2010" s="223" t="str">
        <f>IFERROR(__xludf.DUMMYFUNCTION("""COMPUTED_VALUE"""),"Booginhead : Monthly Services")</f>
        <v>Booginhead : Monthly Services</v>
      </c>
      <c r="B2010" s="223" t="str">
        <f>IFERROR(__xludf.DUMMYFUNCTION("""COMPUTED_VALUE"""),"Booginhead")</f>
        <v>Booginhead</v>
      </c>
      <c r="C2010" s="223" t="str">
        <f>IFERROR(__xludf.DUMMYFUNCTION("""COMPUTED_VALUE"""),"Monthly Services")</f>
        <v>Monthly Services</v>
      </c>
      <c r="D2010" s="316">
        <f>IFERROR(__xludf.DUMMYFUNCTION("""COMPUTED_VALUE"""),44834.0)</f>
        <v>44834</v>
      </c>
      <c r="E2010" s="298"/>
      <c r="F2010" s="298"/>
      <c r="G2010" s="298"/>
      <c r="H2010" s="223"/>
      <c r="I2010" s="298">
        <f>IFERROR(__xludf.DUMMYFUNCTION("""COMPUTED_VALUE"""),337.5)</f>
        <v>337.5</v>
      </c>
      <c r="J2010" s="223" t="str">
        <f>IFERROR(__xludf.DUMMYFUNCTION("""COMPUTED_VALUE"""),"Monthly")</f>
        <v>Monthly</v>
      </c>
      <c r="K2010" s="317">
        <f>IFERROR(__xludf.DUMMYFUNCTION("""COMPUTED_VALUE"""),2022.09)</f>
        <v>2022.09</v>
      </c>
      <c r="L2010" s="298"/>
      <c r="M2010" s="223"/>
      <c r="N2010" s="223"/>
      <c r="O2010" s="223"/>
      <c r="P2010" s="223"/>
      <c r="Q2010" s="223"/>
      <c r="R2010" s="223"/>
      <c r="S2010" s="223"/>
      <c r="T2010" s="223"/>
      <c r="U2010" s="223"/>
      <c r="V2010" s="223"/>
      <c r="W2010" s="223"/>
      <c r="X2010" s="223"/>
      <c r="Y2010" s="223"/>
      <c r="Z2010" s="223"/>
    </row>
    <row r="2011">
      <c r="A2011" s="223" t="str">
        <f>IFERROR(__xludf.DUMMYFUNCTION("""COMPUTED_VALUE"""),"Bevridge : SEO Project")</f>
        <v>Bevridge : SEO Project</v>
      </c>
      <c r="B2011" s="223" t="str">
        <f>IFERROR(__xludf.DUMMYFUNCTION("""COMPUTED_VALUE"""),"Bevridge")</f>
        <v>Bevridge</v>
      </c>
      <c r="C2011" s="223" t="str">
        <f>IFERROR(__xludf.DUMMYFUNCTION("""COMPUTED_VALUE"""),"SEO Project")</f>
        <v>SEO Project</v>
      </c>
      <c r="D2011" s="316">
        <f>IFERROR(__xludf.DUMMYFUNCTION("""COMPUTED_VALUE"""),44834.0)</f>
        <v>44834</v>
      </c>
      <c r="E2011" s="298"/>
      <c r="F2011" s="298"/>
      <c r="G2011" s="298"/>
      <c r="H2011" s="223"/>
      <c r="I2011" s="298">
        <f>IFERROR(__xludf.DUMMYFUNCTION("""COMPUTED_VALUE"""),550.0)</f>
        <v>550</v>
      </c>
      <c r="J2011" s="223" t="str">
        <f>IFERROR(__xludf.DUMMYFUNCTION("""COMPUTED_VALUE"""),"Fixed Project")</f>
        <v>Fixed Project</v>
      </c>
      <c r="K2011" s="317">
        <f>IFERROR(__xludf.DUMMYFUNCTION("""COMPUTED_VALUE"""),2022.0)</f>
        <v>2022</v>
      </c>
      <c r="L2011" s="298"/>
      <c r="M2011" s="223"/>
      <c r="N2011" s="223"/>
      <c r="O2011" s="223"/>
      <c r="P2011" s="223"/>
      <c r="Q2011" s="223"/>
      <c r="R2011" s="223"/>
      <c r="S2011" s="223"/>
      <c r="T2011" s="223"/>
      <c r="U2011" s="223"/>
      <c r="V2011" s="223"/>
      <c r="W2011" s="223"/>
      <c r="X2011" s="223"/>
      <c r="Y2011" s="223"/>
      <c r="Z2011" s="223"/>
    </row>
    <row r="2012">
      <c r="A2012" s="223" t="str">
        <f>IFERROR(__xludf.DUMMYFUNCTION("""COMPUTED_VALUE"""),"Hastings House : Monthly Services")</f>
        <v>Hastings House : Monthly Services</v>
      </c>
      <c r="B2012" s="223" t="str">
        <f>IFERROR(__xludf.DUMMYFUNCTION("""COMPUTED_VALUE"""),"Hastings House")</f>
        <v>Hastings House</v>
      </c>
      <c r="C2012" s="223" t="str">
        <f>IFERROR(__xludf.DUMMYFUNCTION("""COMPUTED_VALUE"""),"Monthly Services")</f>
        <v>Monthly Services</v>
      </c>
      <c r="D2012" s="316">
        <f>IFERROR(__xludf.DUMMYFUNCTION("""COMPUTED_VALUE"""),44834.0)</f>
        <v>44834</v>
      </c>
      <c r="E2012" s="298"/>
      <c r="F2012" s="298"/>
      <c r="G2012" s="298"/>
      <c r="H2012" s="223"/>
      <c r="I2012" s="298">
        <f>IFERROR(__xludf.DUMMYFUNCTION("""COMPUTED_VALUE"""),212.5)</f>
        <v>212.5</v>
      </c>
      <c r="J2012" s="223" t="str">
        <f>IFERROR(__xludf.DUMMYFUNCTION("""COMPUTED_VALUE"""),"Monthly")</f>
        <v>Monthly</v>
      </c>
      <c r="K2012" s="317">
        <f>IFERROR(__xludf.DUMMYFUNCTION("""COMPUTED_VALUE"""),2022.09)</f>
        <v>2022.09</v>
      </c>
      <c r="L2012" s="298"/>
      <c r="M2012" s="223"/>
      <c r="N2012" s="223"/>
      <c r="O2012" s="223"/>
      <c r="P2012" s="223"/>
      <c r="Q2012" s="223"/>
      <c r="R2012" s="223"/>
      <c r="S2012" s="223"/>
      <c r="T2012" s="223"/>
      <c r="U2012" s="223"/>
      <c r="V2012" s="223"/>
      <c r="W2012" s="223"/>
      <c r="X2012" s="223"/>
      <c r="Y2012" s="223"/>
      <c r="Z2012" s="223"/>
    </row>
    <row r="2013">
      <c r="A2013" s="223" t="str">
        <f>IFERROR(__xludf.DUMMYFUNCTION("""COMPUTED_VALUE"""),"Howard Fine Jewellers : Ongoing PPC and SEO Support")</f>
        <v>Howard Fine Jewellers : Ongoing PPC and SEO Support</v>
      </c>
      <c r="B2013" s="223" t="str">
        <f>IFERROR(__xludf.DUMMYFUNCTION("""COMPUTED_VALUE"""),"Howard Fine Jewellers")</f>
        <v>Howard Fine Jewellers</v>
      </c>
      <c r="C2013" s="223" t="str">
        <f>IFERROR(__xludf.DUMMYFUNCTION("""COMPUTED_VALUE"""),"Ongoing PPC and SEO Support")</f>
        <v>Ongoing PPC and SEO Support</v>
      </c>
      <c r="D2013" s="316">
        <f>IFERROR(__xludf.DUMMYFUNCTION("""COMPUTED_VALUE"""),44834.0)</f>
        <v>44834</v>
      </c>
      <c r="E2013" s="298"/>
      <c r="F2013" s="298"/>
      <c r="G2013" s="298"/>
      <c r="H2013" s="223"/>
      <c r="I2013" s="298">
        <f>IFERROR(__xludf.DUMMYFUNCTION("""COMPUTED_VALUE"""),150.0)</f>
        <v>150</v>
      </c>
      <c r="J2013" s="223" t="str">
        <f>IFERROR(__xludf.DUMMYFUNCTION("""COMPUTED_VALUE"""),"Monthly")</f>
        <v>Monthly</v>
      </c>
      <c r="K2013" s="317">
        <f>IFERROR(__xludf.DUMMYFUNCTION("""COMPUTED_VALUE"""),2022.09)</f>
        <v>2022.09</v>
      </c>
      <c r="L2013" s="298"/>
      <c r="M2013" s="223"/>
      <c r="N2013" s="223"/>
      <c r="O2013" s="223"/>
      <c r="P2013" s="223"/>
      <c r="Q2013" s="223"/>
      <c r="R2013" s="223"/>
      <c r="S2013" s="223"/>
      <c r="T2013" s="223"/>
      <c r="U2013" s="223"/>
      <c r="V2013" s="223"/>
      <c r="W2013" s="223"/>
      <c r="X2013" s="223"/>
      <c r="Y2013" s="223"/>
      <c r="Z2013" s="223"/>
    </row>
    <row r="2014">
      <c r="A2014" s="223" t="str">
        <f>IFERROR(__xludf.DUMMYFUNCTION("""COMPUTED_VALUE"""),"Moloco : Monthly PPC")</f>
        <v>Moloco : Monthly PPC</v>
      </c>
      <c r="B2014" s="223" t="str">
        <f>IFERROR(__xludf.DUMMYFUNCTION("""COMPUTED_VALUE"""),"Moloco")</f>
        <v>Moloco</v>
      </c>
      <c r="C2014" s="223" t="str">
        <f>IFERROR(__xludf.DUMMYFUNCTION("""COMPUTED_VALUE"""),"Monthly PPC")</f>
        <v>Monthly PPC</v>
      </c>
      <c r="D2014" s="316">
        <f>IFERROR(__xludf.DUMMYFUNCTION("""COMPUTED_VALUE"""),44834.0)</f>
        <v>44834</v>
      </c>
      <c r="E2014" s="298"/>
      <c r="F2014" s="298"/>
      <c r="G2014" s="298"/>
      <c r="H2014" s="223"/>
      <c r="I2014" s="298">
        <f>IFERROR(__xludf.DUMMYFUNCTION("""COMPUTED_VALUE"""),175.0)</f>
        <v>175</v>
      </c>
      <c r="J2014" s="223" t="str">
        <f>IFERROR(__xludf.DUMMYFUNCTION("""COMPUTED_VALUE"""),"Monthly")</f>
        <v>Monthly</v>
      </c>
      <c r="K2014" s="317">
        <f>IFERROR(__xludf.DUMMYFUNCTION("""COMPUTED_VALUE"""),2022.09)</f>
        <v>2022.09</v>
      </c>
      <c r="L2014" s="298"/>
      <c r="M2014" s="223"/>
      <c r="N2014" s="223"/>
      <c r="O2014" s="223"/>
      <c r="P2014" s="223"/>
      <c r="Q2014" s="223"/>
      <c r="R2014" s="223"/>
      <c r="S2014" s="223"/>
      <c r="T2014" s="223"/>
      <c r="U2014" s="223"/>
      <c r="V2014" s="223"/>
      <c r="W2014" s="223"/>
      <c r="X2014" s="223"/>
      <c r="Y2014" s="223"/>
      <c r="Z2014" s="223"/>
    </row>
    <row r="2015">
      <c r="A2015" s="223" t="str">
        <f>IFERROR(__xludf.DUMMYFUNCTION("""COMPUTED_VALUE"""),"FIKSE Wheels : Monthly Services")</f>
        <v>FIKSE Wheels : Monthly Services</v>
      </c>
      <c r="B2015" s="223" t="str">
        <f>IFERROR(__xludf.DUMMYFUNCTION("""COMPUTED_VALUE"""),"FIKSE Wheels")</f>
        <v>FIKSE Wheels</v>
      </c>
      <c r="C2015" s="223" t="str">
        <f>IFERROR(__xludf.DUMMYFUNCTION("""COMPUTED_VALUE"""),"Monthly Services")</f>
        <v>Monthly Services</v>
      </c>
      <c r="D2015" s="316">
        <f>IFERROR(__xludf.DUMMYFUNCTION("""COMPUTED_VALUE"""),44834.0)</f>
        <v>44834</v>
      </c>
      <c r="E2015" s="298"/>
      <c r="F2015" s="298"/>
      <c r="G2015" s="298"/>
      <c r="H2015" s="223"/>
      <c r="I2015" s="298">
        <f>IFERROR(__xludf.DUMMYFUNCTION("""COMPUTED_VALUE"""),150.0)</f>
        <v>150</v>
      </c>
      <c r="J2015" s="223" t="str">
        <f>IFERROR(__xludf.DUMMYFUNCTION("""COMPUTED_VALUE"""),"Monthly")</f>
        <v>Monthly</v>
      </c>
      <c r="K2015" s="317">
        <f>IFERROR(__xludf.DUMMYFUNCTION("""COMPUTED_VALUE"""),2022.09)</f>
        <v>2022.09</v>
      </c>
      <c r="L2015" s="298"/>
      <c r="M2015" s="223"/>
      <c r="N2015" s="223"/>
      <c r="O2015" s="223"/>
      <c r="P2015" s="223"/>
      <c r="Q2015" s="223"/>
      <c r="R2015" s="223"/>
      <c r="S2015" s="223"/>
      <c r="T2015" s="223"/>
      <c r="U2015" s="223"/>
      <c r="V2015" s="223"/>
      <c r="W2015" s="223"/>
      <c r="X2015" s="223"/>
      <c r="Y2015" s="223"/>
      <c r="Z2015" s="223"/>
    </row>
    <row r="2016">
      <c r="A2016" s="223" t="str">
        <f>IFERROR(__xludf.DUMMYFUNCTION("""COMPUTED_VALUE"""),"Prime Engineering : Monthly Services")</f>
        <v>Prime Engineering : Monthly Services</v>
      </c>
      <c r="B2016" s="223" t="str">
        <f>IFERROR(__xludf.DUMMYFUNCTION("""COMPUTED_VALUE"""),"Prime Engineering")</f>
        <v>Prime Engineering</v>
      </c>
      <c r="C2016" s="223" t="str">
        <f>IFERROR(__xludf.DUMMYFUNCTION("""COMPUTED_VALUE"""),"Monthly Services")</f>
        <v>Monthly Services</v>
      </c>
      <c r="D2016" s="316">
        <f>IFERROR(__xludf.DUMMYFUNCTION("""COMPUTED_VALUE"""),44834.0)</f>
        <v>44834</v>
      </c>
      <c r="E2016" s="298"/>
      <c r="F2016" s="298"/>
      <c r="G2016" s="298"/>
      <c r="H2016" s="223"/>
      <c r="I2016" s="298">
        <f>IFERROR(__xludf.DUMMYFUNCTION("""COMPUTED_VALUE"""),187.5)</f>
        <v>187.5</v>
      </c>
      <c r="J2016" s="223" t="str">
        <f>IFERROR(__xludf.DUMMYFUNCTION("""COMPUTED_VALUE"""),"Monthly")</f>
        <v>Monthly</v>
      </c>
      <c r="K2016" s="317">
        <f>IFERROR(__xludf.DUMMYFUNCTION("""COMPUTED_VALUE"""),2022.09)</f>
        <v>2022.09</v>
      </c>
      <c r="L2016" s="298"/>
      <c r="M2016" s="223"/>
      <c r="N2016" s="223"/>
      <c r="O2016" s="223"/>
      <c r="P2016" s="223"/>
      <c r="Q2016" s="223"/>
      <c r="R2016" s="223"/>
      <c r="S2016" s="223"/>
      <c r="T2016" s="223"/>
      <c r="U2016" s="223"/>
      <c r="V2016" s="223"/>
      <c r="W2016" s="223"/>
      <c r="X2016" s="223"/>
      <c r="Y2016" s="223"/>
      <c r="Z2016" s="223"/>
    </row>
    <row r="2017">
      <c r="A2017" s="223" t="str">
        <f>IFERROR(__xludf.DUMMYFUNCTION("""COMPUTED_VALUE"""),"PlusROI : Overhead")</f>
        <v>PlusROI : Overhead</v>
      </c>
      <c r="B2017" s="223" t="str">
        <f>IFERROR(__xludf.DUMMYFUNCTION("""COMPUTED_VALUE"""),"PlusROI")</f>
        <v>PlusROI</v>
      </c>
      <c r="C2017" s="223" t="str">
        <f>IFERROR(__xludf.DUMMYFUNCTION("""COMPUTED_VALUE"""),"Overhead")</f>
        <v>Overhead</v>
      </c>
      <c r="D2017" s="316">
        <f>IFERROR(__xludf.DUMMYFUNCTION("""COMPUTED_VALUE"""),44848.0)</f>
        <v>44848</v>
      </c>
      <c r="E2017" s="298"/>
      <c r="F2017" s="298"/>
      <c r="G2017" s="298"/>
      <c r="H2017" s="223"/>
      <c r="I2017" s="298">
        <f>IFERROR(__xludf.DUMMYFUNCTION("""COMPUTED_VALUE"""),3.13)</f>
        <v>3.13</v>
      </c>
      <c r="J2017" s="223" t="str">
        <f>IFERROR(__xludf.DUMMYFUNCTION("""COMPUTED_VALUE"""),"Hourly")</f>
        <v>Hourly</v>
      </c>
      <c r="K2017" s="317">
        <f>IFERROR(__xludf.DUMMYFUNCTION("""COMPUTED_VALUE"""),2022.0)</f>
        <v>2022</v>
      </c>
      <c r="L2017" s="298"/>
      <c r="M2017" s="223"/>
      <c r="N2017" s="223"/>
      <c r="O2017" s="223"/>
      <c r="P2017" s="223"/>
      <c r="Q2017" s="223"/>
      <c r="R2017" s="223"/>
      <c r="S2017" s="223"/>
      <c r="T2017" s="223"/>
      <c r="U2017" s="223"/>
      <c r="V2017" s="223"/>
      <c r="W2017" s="223"/>
      <c r="X2017" s="223"/>
      <c r="Y2017" s="223"/>
      <c r="Z2017" s="223"/>
    </row>
    <row r="2018">
      <c r="A2018" s="223" t="str">
        <f>IFERROR(__xludf.DUMMYFUNCTION("""COMPUTED_VALUE"""),"PlusROI : Overhead")</f>
        <v>PlusROI : Overhead</v>
      </c>
      <c r="B2018" s="223" t="str">
        <f>IFERROR(__xludf.DUMMYFUNCTION("""COMPUTED_VALUE"""),"PlusROI")</f>
        <v>PlusROI</v>
      </c>
      <c r="C2018" s="223" t="str">
        <f>IFERROR(__xludf.DUMMYFUNCTION("""COMPUTED_VALUE"""),"Overhead")</f>
        <v>Overhead</v>
      </c>
      <c r="D2018" s="316">
        <f>IFERROR(__xludf.DUMMYFUNCTION("""COMPUTED_VALUE"""),44848.0)</f>
        <v>44848</v>
      </c>
      <c r="E2018" s="298"/>
      <c r="F2018" s="298"/>
      <c r="G2018" s="298"/>
      <c r="H2018" s="223"/>
      <c r="I2018" s="298">
        <f>IFERROR(__xludf.DUMMYFUNCTION("""COMPUTED_VALUE"""),133.75)</f>
        <v>133.75</v>
      </c>
      <c r="J2018" s="223" t="str">
        <f>IFERROR(__xludf.DUMMYFUNCTION("""COMPUTED_VALUE"""),"Hourly")</f>
        <v>Hourly</v>
      </c>
      <c r="K2018" s="317">
        <f>IFERROR(__xludf.DUMMYFUNCTION("""COMPUTED_VALUE"""),2022.0)</f>
        <v>2022</v>
      </c>
      <c r="L2018" s="298"/>
      <c r="M2018" s="223"/>
      <c r="N2018" s="223"/>
      <c r="O2018" s="223"/>
      <c r="P2018" s="223"/>
      <c r="Q2018" s="223"/>
      <c r="R2018" s="223"/>
      <c r="S2018" s="223"/>
      <c r="T2018" s="223"/>
      <c r="U2018" s="223"/>
      <c r="V2018" s="223"/>
      <c r="W2018" s="223"/>
      <c r="X2018" s="223"/>
      <c r="Y2018" s="223"/>
      <c r="Z2018" s="223"/>
    </row>
    <row r="2019">
      <c r="A2019" s="223" t="str">
        <f>IFERROR(__xludf.DUMMYFUNCTION("""COMPUTED_VALUE"""),"PlusROI : Overhead")</f>
        <v>PlusROI : Overhead</v>
      </c>
      <c r="B2019" s="223" t="str">
        <f>IFERROR(__xludf.DUMMYFUNCTION("""COMPUTED_VALUE"""),"PlusROI")</f>
        <v>PlusROI</v>
      </c>
      <c r="C2019" s="223" t="str">
        <f>IFERROR(__xludf.DUMMYFUNCTION("""COMPUTED_VALUE"""),"Overhead")</f>
        <v>Overhead</v>
      </c>
      <c r="D2019" s="316">
        <f>IFERROR(__xludf.DUMMYFUNCTION("""COMPUTED_VALUE"""),44848.0)</f>
        <v>44848</v>
      </c>
      <c r="E2019" s="298"/>
      <c r="F2019" s="298"/>
      <c r="G2019" s="298"/>
      <c r="H2019" s="223"/>
      <c r="I2019" s="298">
        <f>IFERROR(__xludf.DUMMYFUNCTION("""COMPUTED_VALUE"""),14.55)</f>
        <v>14.55</v>
      </c>
      <c r="J2019" s="223" t="str">
        <f>IFERROR(__xludf.DUMMYFUNCTION("""COMPUTED_VALUE"""),"Hourly")</f>
        <v>Hourly</v>
      </c>
      <c r="K2019" s="317">
        <f>IFERROR(__xludf.DUMMYFUNCTION("""COMPUTED_VALUE"""),2022.0)</f>
        <v>2022</v>
      </c>
      <c r="L2019" s="298"/>
      <c r="M2019" s="223"/>
      <c r="N2019" s="223"/>
      <c r="O2019" s="223"/>
      <c r="P2019" s="223"/>
      <c r="Q2019" s="223"/>
      <c r="R2019" s="223"/>
      <c r="S2019" s="223"/>
      <c r="T2019" s="223"/>
      <c r="U2019" s="223"/>
      <c r="V2019" s="223"/>
      <c r="W2019" s="223"/>
      <c r="X2019" s="223"/>
      <c r="Y2019" s="223"/>
      <c r="Z2019" s="223"/>
    </row>
    <row r="2020">
      <c r="A2020" s="223" t="str">
        <f>IFERROR(__xludf.DUMMYFUNCTION("""COMPUTED_VALUE"""),"PlusROI : Overhead")</f>
        <v>PlusROI : Overhead</v>
      </c>
      <c r="B2020" s="223" t="str">
        <f>IFERROR(__xludf.DUMMYFUNCTION("""COMPUTED_VALUE"""),"PlusROI")</f>
        <v>PlusROI</v>
      </c>
      <c r="C2020" s="223" t="str">
        <f>IFERROR(__xludf.DUMMYFUNCTION("""COMPUTED_VALUE"""),"Overhead")</f>
        <v>Overhead</v>
      </c>
      <c r="D2020" s="316">
        <f>IFERROR(__xludf.DUMMYFUNCTION("""COMPUTED_VALUE"""),44849.0)</f>
        <v>44849</v>
      </c>
      <c r="E2020" s="298"/>
      <c r="F2020" s="298"/>
      <c r="G2020" s="298"/>
      <c r="H2020" s="223"/>
      <c r="I2020" s="298">
        <f>IFERROR(__xludf.DUMMYFUNCTION("""COMPUTED_VALUE"""),19.66)</f>
        <v>19.66</v>
      </c>
      <c r="J2020" s="223" t="str">
        <f>IFERROR(__xludf.DUMMYFUNCTION("""COMPUTED_VALUE"""),"Hourly")</f>
        <v>Hourly</v>
      </c>
      <c r="K2020" s="317">
        <f>IFERROR(__xludf.DUMMYFUNCTION("""COMPUTED_VALUE"""),2022.0)</f>
        <v>2022</v>
      </c>
      <c r="L2020" s="298">
        <f>IFERROR(__xludf.DUMMYFUNCTION("""COMPUTED_VALUE"""),19.66)</f>
        <v>19.66</v>
      </c>
      <c r="M2020" s="223"/>
      <c r="N2020" s="223"/>
      <c r="O2020" s="223"/>
      <c r="P2020" s="223"/>
      <c r="Q2020" s="223"/>
      <c r="R2020" s="223"/>
      <c r="S2020" s="223"/>
      <c r="T2020" s="223"/>
      <c r="U2020" s="223"/>
      <c r="V2020" s="223"/>
      <c r="W2020" s="223"/>
      <c r="X2020" s="223"/>
      <c r="Y2020" s="223"/>
      <c r="Z2020" s="223"/>
    </row>
    <row r="2021">
      <c r="A2021" s="223" t="str">
        <f>IFERROR(__xludf.DUMMYFUNCTION("""COMPUTED_VALUE"""),"PlusROI : Overhead")</f>
        <v>PlusROI : Overhead</v>
      </c>
      <c r="B2021" s="223" t="str">
        <f>IFERROR(__xludf.DUMMYFUNCTION("""COMPUTED_VALUE"""),"PlusROI")</f>
        <v>PlusROI</v>
      </c>
      <c r="C2021" s="223" t="str">
        <f>IFERROR(__xludf.DUMMYFUNCTION("""COMPUTED_VALUE"""),"Overhead")</f>
        <v>Overhead</v>
      </c>
      <c r="D2021" s="316">
        <f>IFERROR(__xludf.DUMMYFUNCTION("""COMPUTED_VALUE"""),44850.0)</f>
        <v>44850</v>
      </c>
      <c r="E2021" s="298"/>
      <c r="F2021" s="298"/>
      <c r="G2021" s="298"/>
      <c r="H2021" s="223"/>
      <c r="I2021" s="298">
        <f>IFERROR(__xludf.DUMMYFUNCTION("""COMPUTED_VALUE"""),3.13)</f>
        <v>3.13</v>
      </c>
      <c r="J2021" s="223" t="str">
        <f>IFERROR(__xludf.DUMMYFUNCTION("""COMPUTED_VALUE"""),"Hourly")</f>
        <v>Hourly</v>
      </c>
      <c r="K2021" s="317">
        <f>IFERROR(__xludf.DUMMYFUNCTION("""COMPUTED_VALUE"""),2022.0)</f>
        <v>2022</v>
      </c>
      <c r="L2021" s="298">
        <f>IFERROR(__xludf.DUMMYFUNCTION("""COMPUTED_VALUE"""),3.13)</f>
        <v>3.13</v>
      </c>
      <c r="M2021" s="223"/>
      <c r="N2021" s="223"/>
      <c r="O2021" s="223"/>
      <c r="P2021" s="223"/>
      <c r="Q2021" s="223"/>
      <c r="R2021" s="223"/>
      <c r="S2021" s="223"/>
      <c r="T2021" s="223"/>
      <c r="U2021" s="223"/>
      <c r="V2021" s="223"/>
      <c r="W2021" s="223"/>
      <c r="X2021" s="223"/>
      <c r="Y2021" s="223"/>
      <c r="Z2021" s="223"/>
    </row>
    <row r="2022">
      <c r="A2022" s="223" t="str">
        <f>IFERROR(__xludf.DUMMYFUNCTION("""COMPUTED_VALUE"""),"PlusROI : Overhead")</f>
        <v>PlusROI : Overhead</v>
      </c>
      <c r="B2022" s="223" t="str">
        <f>IFERROR(__xludf.DUMMYFUNCTION("""COMPUTED_VALUE"""),"PlusROI")</f>
        <v>PlusROI</v>
      </c>
      <c r="C2022" s="223" t="str">
        <f>IFERROR(__xludf.DUMMYFUNCTION("""COMPUTED_VALUE"""),"Overhead")</f>
        <v>Overhead</v>
      </c>
      <c r="D2022" s="316">
        <f>IFERROR(__xludf.DUMMYFUNCTION("""COMPUTED_VALUE"""),44851.0)</f>
        <v>44851</v>
      </c>
      <c r="E2022" s="298"/>
      <c r="F2022" s="298"/>
      <c r="G2022" s="298"/>
      <c r="H2022" s="223"/>
      <c r="I2022" s="298">
        <f>IFERROR(__xludf.DUMMYFUNCTION("""COMPUTED_VALUE"""),139.64)</f>
        <v>139.64</v>
      </c>
      <c r="J2022" s="223" t="str">
        <f>IFERROR(__xludf.DUMMYFUNCTION("""COMPUTED_VALUE"""),"Hourly")</f>
        <v>Hourly</v>
      </c>
      <c r="K2022" s="317">
        <f>IFERROR(__xludf.DUMMYFUNCTION("""COMPUTED_VALUE"""),2022.0)</f>
        <v>2022</v>
      </c>
      <c r="L2022" s="298"/>
      <c r="M2022" s="223"/>
      <c r="N2022" s="223"/>
      <c r="O2022" s="223"/>
      <c r="P2022" s="223"/>
      <c r="Q2022" s="223"/>
      <c r="R2022" s="223"/>
      <c r="S2022" s="223"/>
      <c r="T2022" s="223"/>
      <c r="U2022" s="223"/>
      <c r="V2022" s="223"/>
      <c r="W2022" s="223"/>
      <c r="X2022" s="223"/>
      <c r="Y2022" s="223"/>
      <c r="Z2022" s="223"/>
    </row>
    <row r="2023">
      <c r="A2023" s="223" t="str">
        <f>IFERROR(__xludf.DUMMYFUNCTION("""COMPUTED_VALUE"""),"Spraggs : Monthly Services")</f>
        <v>Spraggs : Monthly Services</v>
      </c>
      <c r="B2023" s="223" t="str">
        <f>IFERROR(__xludf.DUMMYFUNCTION("""COMPUTED_VALUE"""),"Spraggs")</f>
        <v>Spraggs</v>
      </c>
      <c r="C2023" s="223" t="str">
        <f>IFERROR(__xludf.DUMMYFUNCTION("""COMPUTED_VALUE"""),"Monthly Services")</f>
        <v>Monthly Services</v>
      </c>
      <c r="D2023" s="316">
        <f>IFERROR(__xludf.DUMMYFUNCTION("""COMPUTED_VALUE"""),44820.0)</f>
        <v>44820</v>
      </c>
      <c r="E2023" s="298"/>
      <c r="F2023" s="298"/>
      <c r="G2023" s="298"/>
      <c r="H2023" s="223"/>
      <c r="I2023" s="298">
        <f>IFERROR(__xludf.DUMMYFUNCTION("""COMPUTED_VALUE"""),53.96)</f>
        <v>53.96</v>
      </c>
      <c r="J2023" s="223" t="str">
        <f>IFERROR(__xludf.DUMMYFUNCTION("""COMPUTED_VALUE"""),"Monthly")</f>
        <v>Monthly</v>
      </c>
      <c r="K2023" s="317">
        <f>IFERROR(__xludf.DUMMYFUNCTION("""COMPUTED_VALUE"""),2022.09)</f>
        <v>2022.09</v>
      </c>
      <c r="L2023" s="298">
        <f>IFERROR(__xludf.DUMMYFUNCTION("""COMPUTED_VALUE"""),53.96)</f>
        <v>53.96</v>
      </c>
      <c r="M2023" s="223"/>
      <c r="N2023" s="223"/>
      <c r="O2023" s="223"/>
      <c r="P2023" s="223"/>
      <c r="Q2023" s="223"/>
      <c r="R2023" s="223"/>
      <c r="S2023" s="223"/>
      <c r="T2023" s="223"/>
      <c r="U2023" s="223"/>
      <c r="V2023" s="223"/>
      <c r="W2023" s="223"/>
      <c r="X2023" s="223"/>
      <c r="Y2023" s="223"/>
      <c r="Z2023" s="223"/>
    </row>
    <row r="2024">
      <c r="A2024" s="223" t="str">
        <f>IFERROR(__xludf.DUMMYFUNCTION("""COMPUTED_VALUE"""),"Venetian : Monthly Services")</f>
        <v>Venetian : Monthly Services</v>
      </c>
      <c r="B2024" s="223" t="str">
        <f>IFERROR(__xludf.DUMMYFUNCTION("""COMPUTED_VALUE"""),"Venetian")</f>
        <v>Venetian</v>
      </c>
      <c r="C2024" s="223" t="str">
        <f>IFERROR(__xludf.DUMMYFUNCTION("""COMPUTED_VALUE"""),"Monthly Services")</f>
        <v>Monthly Services</v>
      </c>
      <c r="D2024" s="316">
        <f>IFERROR(__xludf.DUMMYFUNCTION("""COMPUTED_VALUE"""),44822.0)</f>
        <v>44822</v>
      </c>
      <c r="E2024" s="298"/>
      <c r="F2024" s="298"/>
      <c r="G2024" s="298"/>
      <c r="H2024" s="223"/>
      <c r="I2024" s="298">
        <f>IFERROR(__xludf.DUMMYFUNCTION("""COMPUTED_VALUE"""),750.0)</f>
        <v>750</v>
      </c>
      <c r="J2024" s="223" t="str">
        <f>IFERROR(__xludf.DUMMYFUNCTION("""COMPUTED_VALUE"""),"Monthly")</f>
        <v>Monthly</v>
      </c>
      <c r="K2024" s="317">
        <f>IFERROR(__xludf.DUMMYFUNCTION("""COMPUTED_VALUE"""),2022.09)</f>
        <v>2022.09</v>
      </c>
      <c r="L2024" s="298">
        <f>IFERROR(__xludf.DUMMYFUNCTION("""COMPUTED_VALUE"""),750.0)</f>
        <v>750</v>
      </c>
      <c r="M2024" s="223"/>
      <c r="N2024" s="223"/>
      <c r="O2024" s="223"/>
      <c r="P2024" s="223"/>
      <c r="Q2024" s="223"/>
      <c r="R2024" s="223"/>
      <c r="S2024" s="223"/>
      <c r="T2024" s="223"/>
      <c r="U2024" s="223"/>
      <c r="V2024" s="223"/>
      <c r="W2024" s="223"/>
      <c r="X2024" s="223"/>
      <c r="Y2024" s="223"/>
      <c r="Z2024" s="223"/>
    </row>
    <row r="2025">
      <c r="A2025" s="223" t="str">
        <f>IFERROR(__xludf.DUMMYFUNCTION("""COMPUTED_VALUE"""),"Tuscany : Monthly Services")</f>
        <v>Tuscany : Monthly Services</v>
      </c>
      <c r="B2025" s="223" t="str">
        <f>IFERROR(__xludf.DUMMYFUNCTION("""COMPUTED_VALUE"""),"Tuscany")</f>
        <v>Tuscany</v>
      </c>
      <c r="C2025" s="223" t="str">
        <f>IFERROR(__xludf.DUMMYFUNCTION("""COMPUTED_VALUE"""),"Monthly Services")</f>
        <v>Monthly Services</v>
      </c>
      <c r="D2025" s="316">
        <f>IFERROR(__xludf.DUMMYFUNCTION("""COMPUTED_VALUE"""),44828.0)</f>
        <v>44828</v>
      </c>
      <c r="E2025" s="298"/>
      <c r="F2025" s="298"/>
      <c r="G2025" s="298"/>
      <c r="H2025" s="223"/>
      <c r="I2025" s="298">
        <f>IFERROR(__xludf.DUMMYFUNCTION("""COMPUTED_VALUE"""),750.0)</f>
        <v>750</v>
      </c>
      <c r="J2025" s="223" t="str">
        <f>IFERROR(__xludf.DUMMYFUNCTION("""COMPUTED_VALUE"""),"Monthly")</f>
        <v>Monthly</v>
      </c>
      <c r="K2025" s="317">
        <f>IFERROR(__xludf.DUMMYFUNCTION("""COMPUTED_VALUE"""),2022.09)</f>
        <v>2022.09</v>
      </c>
      <c r="L2025" s="298">
        <f>IFERROR(__xludf.DUMMYFUNCTION("""COMPUTED_VALUE"""),750.0)</f>
        <v>750</v>
      </c>
      <c r="M2025" s="223"/>
      <c r="N2025" s="223"/>
      <c r="O2025" s="223"/>
      <c r="P2025" s="223"/>
      <c r="Q2025" s="223"/>
      <c r="R2025" s="223"/>
      <c r="S2025" s="223"/>
      <c r="T2025" s="223"/>
      <c r="U2025" s="223"/>
      <c r="V2025" s="223"/>
      <c r="W2025" s="223"/>
      <c r="X2025" s="223"/>
      <c r="Y2025" s="223"/>
      <c r="Z2025" s="223"/>
    </row>
    <row r="2026">
      <c r="A2026" s="223" t="str">
        <f>IFERROR(__xludf.DUMMYFUNCTION("""COMPUTED_VALUE"""),"Venetian : Monthly Services")</f>
        <v>Venetian : Monthly Services</v>
      </c>
      <c r="B2026" s="223" t="str">
        <f>IFERROR(__xludf.DUMMYFUNCTION("""COMPUTED_VALUE"""),"Venetian")</f>
        <v>Venetian</v>
      </c>
      <c r="C2026" s="223" t="str">
        <f>IFERROR(__xludf.DUMMYFUNCTION("""COMPUTED_VALUE"""),"Monthly Services")</f>
        <v>Monthly Services</v>
      </c>
      <c r="D2026" s="316">
        <f>IFERROR(__xludf.DUMMYFUNCTION("""COMPUTED_VALUE"""),44829.0)</f>
        <v>44829</v>
      </c>
      <c r="E2026" s="298"/>
      <c r="F2026" s="298"/>
      <c r="G2026" s="298"/>
      <c r="H2026" s="223"/>
      <c r="I2026" s="298">
        <f>IFERROR(__xludf.DUMMYFUNCTION("""COMPUTED_VALUE"""),50.4)</f>
        <v>50.4</v>
      </c>
      <c r="J2026" s="223" t="str">
        <f>IFERROR(__xludf.DUMMYFUNCTION("""COMPUTED_VALUE"""),"Monthly")</f>
        <v>Monthly</v>
      </c>
      <c r="K2026" s="317">
        <f>IFERROR(__xludf.DUMMYFUNCTION("""COMPUTED_VALUE"""),2022.09)</f>
        <v>2022.09</v>
      </c>
      <c r="L2026" s="298">
        <f>IFERROR(__xludf.DUMMYFUNCTION("""COMPUTED_VALUE"""),50.4)</f>
        <v>50.4</v>
      </c>
      <c r="M2026" s="223"/>
      <c r="N2026" s="223"/>
      <c r="O2026" s="223"/>
      <c r="P2026" s="223"/>
      <c r="Q2026" s="223"/>
      <c r="R2026" s="223"/>
      <c r="S2026" s="223"/>
      <c r="T2026" s="223"/>
      <c r="U2026" s="223"/>
      <c r="V2026" s="223"/>
      <c r="W2026" s="223"/>
      <c r="X2026" s="223"/>
      <c r="Y2026" s="223"/>
      <c r="Z2026" s="223"/>
    </row>
    <row r="2027">
      <c r="A2027" s="223" t="str">
        <f>IFERROR(__xludf.DUMMYFUNCTION("""COMPUTED_VALUE"""),"Tuscany : Monthly Services")</f>
        <v>Tuscany : Monthly Services</v>
      </c>
      <c r="B2027" s="223" t="str">
        <f>IFERROR(__xludf.DUMMYFUNCTION("""COMPUTED_VALUE"""),"Tuscany")</f>
        <v>Tuscany</v>
      </c>
      <c r="C2027" s="223" t="str">
        <f>IFERROR(__xludf.DUMMYFUNCTION("""COMPUTED_VALUE"""),"Monthly Services")</f>
        <v>Monthly Services</v>
      </c>
      <c r="D2027" s="316">
        <f>IFERROR(__xludf.DUMMYFUNCTION("""COMPUTED_VALUE"""),44834.0)</f>
        <v>44834</v>
      </c>
      <c r="E2027" s="298"/>
      <c r="F2027" s="298"/>
      <c r="G2027" s="298"/>
      <c r="H2027" s="223"/>
      <c r="I2027" s="298">
        <f>IFERROR(__xludf.DUMMYFUNCTION("""COMPUTED_VALUE"""),48.12)</f>
        <v>48.12</v>
      </c>
      <c r="J2027" s="223" t="str">
        <f>IFERROR(__xludf.DUMMYFUNCTION("""COMPUTED_VALUE"""),"Monthly")</f>
        <v>Monthly</v>
      </c>
      <c r="K2027" s="317">
        <f>IFERROR(__xludf.DUMMYFUNCTION("""COMPUTED_VALUE"""),2022.09)</f>
        <v>2022.09</v>
      </c>
      <c r="L2027" s="298">
        <f>IFERROR(__xludf.DUMMYFUNCTION("""COMPUTED_VALUE"""),48.12)</f>
        <v>48.12</v>
      </c>
      <c r="M2027" s="223"/>
      <c r="N2027" s="223"/>
      <c r="O2027" s="223"/>
      <c r="P2027" s="223"/>
      <c r="Q2027" s="223"/>
      <c r="R2027" s="223"/>
      <c r="S2027" s="223"/>
      <c r="T2027" s="223"/>
      <c r="U2027" s="223"/>
      <c r="V2027" s="223"/>
      <c r="W2027" s="223"/>
      <c r="X2027" s="223"/>
      <c r="Y2027" s="223"/>
      <c r="Z2027" s="223"/>
    </row>
    <row r="2028">
      <c r="A2028" s="223" t="str">
        <f>IFERROR(__xludf.DUMMYFUNCTION("""COMPUTED_VALUE"""),"Tuscany : Monthly Services")</f>
        <v>Tuscany : Monthly Services</v>
      </c>
      <c r="B2028" s="223" t="str">
        <f>IFERROR(__xludf.DUMMYFUNCTION("""COMPUTED_VALUE"""),"Tuscany")</f>
        <v>Tuscany</v>
      </c>
      <c r="C2028" s="223" t="str">
        <f>IFERROR(__xludf.DUMMYFUNCTION("""COMPUTED_VALUE"""),"Monthly Services")</f>
        <v>Monthly Services</v>
      </c>
      <c r="D2028" s="316">
        <f>IFERROR(__xludf.DUMMYFUNCTION("""COMPUTED_VALUE"""),44835.0)</f>
        <v>44835</v>
      </c>
      <c r="E2028" s="298"/>
      <c r="F2028" s="298"/>
      <c r="G2028" s="298"/>
      <c r="H2028" s="223"/>
      <c r="I2028" s="298">
        <f>IFERROR(__xludf.DUMMYFUNCTION("""COMPUTED_VALUE"""),214.34)</f>
        <v>214.34</v>
      </c>
      <c r="J2028" s="223" t="str">
        <f>IFERROR(__xludf.DUMMYFUNCTION("""COMPUTED_VALUE"""),"Monthly")</f>
        <v>Monthly</v>
      </c>
      <c r="K2028" s="317">
        <f>IFERROR(__xludf.DUMMYFUNCTION("""COMPUTED_VALUE"""),2022.1)</f>
        <v>2022.1</v>
      </c>
      <c r="L2028" s="298">
        <f>IFERROR(__xludf.DUMMYFUNCTION("""COMPUTED_VALUE"""),214.34)</f>
        <v>214.34</v>
      </c>
      <c r="M2028" s="223"/>
      <c r="N2028" s="223"/>
      <c r="O2028" s="223"/>
      <c r="P2028" s="223"/>
      <c r="Q2028" s="223"/>
      <c r="R2028" s="223"/>
      <c r="S2028" s="223"/>
      <c r="T2028" s="223"/>
      <c r="U2028" s="223"/>
      <c r="V2028" s="223"/>
      <c r="W2028" s="223"/>
      <c r="X2028" s="223"/>
      <c r="Y2028" s="223"/>
      <c r="Z2028" s="223"/>
    </row>
    <row r="2029">
      <c r="A2029" s="223" t="str">
        <f>IFERROR(__xludf.DUMMYFUNCTION("""COMPUTED_VALUE"""),"Venetian : Monthly Services")</f>
        <v>Venetian : Monthly Services</v>
      </c>
      <c r="B2029" s="223" t="str">
        <f>IFERROR(__xludf.DUMMYFUNCTION("""COMPUTED_VALUE"""),"Venetian")</f>
        <v>Venetian</v>
      </c>
      <c r="C2029" s="223" t="str">
        <f>IFERROR(__xludf.DUMMYFUNCTION("""COMPUTED_VALUE"""),"Monthly Services")</f>
        <v>Monthly Services</v>
      </c>
      <c r="D2029" s="316">
        <f>IFERROR(__xludf.DUMMYFUNCTION("""COMPUTED_VALUE"""),44835.0)</f>
        <v>44835</v>
      </c>
      <c r="E2029" s="298"/>
      <c r="F2029" s="298"/>
      <c r="G2029" s="298"/>
      <c r="H2029" s="223"/>
      <c r="I2029" s="298">
        <f>IFERROR(__xludf.DUMMYFUNCTION("""COMPUTED_VALUE"""),564.54)</f>
        <v>564.54</v>
      </c>
      <c r="J2029" s="223" t="str">
        <f>IFERROR(__xludf.DUMMYFUNCTION("""COMPUTED_VALUE"""),"Monthly")</f>
        <v>Monthly</v>
      </c>
      <c r="K2029" s="317">
        <f>IFERROR(__xludf.DUMMYFUNCTION("""COMPUTED_VALUE"""),2022.1)</f>
        <v>2022.1</v>
      </c>
      <c r="L2029" s="298">
        <f>IFERROR(__xludf.DUMMYFUNCTION("""COMPUTED_VALUE"""),564.54)</f>
        <v>564.54</v>
      </c>
      <c r="M2029" s="223"/>
      <c r="N2029" s="223"/>
      <c r="O2029" s="223"/>
      <c r="P2029" s="223"/>
      <c r="Q2029" s="223"/>
      <c r="R2029" s="223"/>
      <c r="S2029" s="223"/>
      <c r="T2029" s="223"/>
      <c r="U2029" s="223"/>
      <c r="V2029" s="223"/>
      <c r="W2029" s="223"/>
      <c r="X2029" s="223"/>
      <c r="Y2029" s="223"/>
      <c r="Z2029" s="223"/>
    </row>
    <row r="2030">
      <c r="A2030" s="223" t="str">
        <f>IFERROR(__xludf.DUMMYFUNCTION("""COMPUTED_VALUE"""),"PlusROI : Overhead")</f>
        <v>PlusROI : Overhead</v>
      </c>
      <c r="B2030" s="223" t="str">
        <f>IFERROR(__xludf.DUMMYFUNCTION("""COMPUTED_VALUE"""),"PlusROI")</f>
        <v>PlusROI</v>
      </c>
      <c r="C2030" s="223" t="str">
        <f>IFERROR(__xludf.DUMMYFUNCTION("""COMPUTED_VALUE"""),"Overhead")</f>
        <v>Overhead</v>
      </c>
      <c r="D2030" s="316">
        <f>IFERROR(__xludf.DUMMYFUNCTION("""COMPUTED_VALUE"""),44836.0)</f>
        <v>44836</v>
      </c>
      <c r="E2030" s="298"/>
      <c r="F2030" s="298"/>
      <c r="G2030" s="298"/>
      <c r="H2030" s="223"/>
      <c r="I2030" s="298">
        <f>IFERROR(__xludf.DUMMYFUNCTION("""COMPUTED_VALUE"""),57.21)</f>
        <v>57.21</v>
      </c>
      <c r="J2030" s="223" t="str">
        <f>IFERROR(__xludf.DUMMYFUNCTION("""COMPUTED_VALUE"""),"Hourly")</f>
        <v>Hourly</v>
      </c>
      <c r="K2030" s="317">
        <f>IFERROR(__xludf.DUMMYFUNCTION("""COMPUTED_VALUE"""),2022.0)</f>
        <v>2022</v>
      </c>
      <c r="L2030" s="298"/>
      <c r="M2030" s="223"/>
      <c r="N2030" s="223"/>
      <c r="O2030" s="223"/>
      <c r="P2030" s="223"/>
      <c r="Q2030" s="223"/>
      <c r="R2030" s="223"/>
      <c r="S2030" s="223"/>
      <c r="T2030" s="223"/>
      <c r="U2030" s="223"/>
      <c r="V2030" s="223"/>
      <c r="W2030" s="223"/>
      <c r="X2030" s="223"/>
      <c r="Y2030" s="223"/>
      <c r="Z2030" s="223"/>
    </row>
    <row r="2031">
      <c r="A2031" s="223" t="str">
        <f>IFERROR(__xludf.DUMMYFUNCTION("""COMPUTED_VALUE"""),"Anavara : Other Projects")</f>
        <v>Anavara : Other Projects</v>
      </c>
      <c r="B2031" s="223" t="str">
        <f>IFERROR(__xludf.DUMMYFUNCTION("""COMPUTED_VALUE"""),"Anavara")</f>
        <v>Anavara</v>
      </c>
      <c r="C2031" s="223" t="str">
        <f>IFERROR(__xludf.DUMMYFUNCTION("""COMPUTED_VALUE"""),"Other Projects")</f>
        <v>Other Projects</v>
      </c>
      <c r="D2031" s="316">
        <f>IFERROR(__xludf.DUMMYFUNCTION("""COMPUTED_VALUE"""),44834.0)</f>
        <v>44834</v>
      </c>
      <c r="E2031" s="298"/>
      <c r="F2031" s="298"/>
      <c r="G2031" s="298"/>
      <c r="H2031" s="223"/>
      <c r="I2031" s="298">
        <f>IFERROR(__xludf.DUMMYFUNCTION("""COMPUTED_VALUE"""),368.15)</f>
        <v>368.15</v>
      </c>
      <c r="J2031" s="223" t="str">
        <f>IFERROR(__xludf.DUMMYFUNCTION("""COMPUTED_VALUE"""),"Fixed Project")</f>
        <v>Fixed Project</v>
      </c>
      <c r="K2031" s="317">
        <f>IFERROR(__xludf.DUMMYFUNCTION("""COMPUTED_VALUE"""),2022.0)</f>
        <v>2022</v>
      </c>
      <c r="L2031" s="298"/>
      <c r="M2031" s="223"/>
      <c r="N2031" s="223"/>
      <c r="O2031" s="223"/>
      <c r="P2031" s="223"/>
      <c r="Q2031" s="223"/>
      <c r="R2031" s="223"/>
      <c r="S2031" s="223"/>
      <c r="T2031" s="223"/>
      <c r="U2031" s="223"/>
      <c r="V2031" s="223"/>
      <c r="W2031" s="223"/>
      <c r="X2031" s="223"/>
      <c r="Y2031" s="223"/>
      <c r="Z2031" s="223"/>
    </row>
    <row r="2032">
      <c r="A2032" s="223" t="str">
        <f>IFERROR(__xludf.DUMMYFUNCTION("""COMPUTED_VALUE"""),"Availed Technologies : Monthly Services")</f>
        <v>Availed Technologies : Monthly Services</v>
      </c>
      <c r="B2032" s="223" t="str">
        <f>IFERROR(__xludf.DUMMYFUNCTION("""COMPUTED_VALUE"""),"Availed Technologies")</f>
        <v>Availed Technologies</v>
      </c>
      <c r="C2032" s="223" t="str">
        <f>IFERROR(__xludf.DUMMYFUNCTION("""COMPUTED_VALUE"""),"Monthly Services")</f>
        <v>Monthly Services</v>
      </c>
      <c r="D2032" s="316">
        <f>IFERROR(__xludf.DUMMYFUNCTION("""COMPUTED_VALUE"""),44834.0)</f>
        <v>44834</v>
      </c>
      <c r="E2032" s="298"/>
      <c r="F2032" s="298"/>
      <c r="G2032" s="298"/>
      <c r="H2032" s="223"/>
      <c r="I2032" s="298">
        <f>IFERROR(__xludf.DUMMYFUNCTION("""COMPUTED_VALUE"""),5.98)</f>
        <v>5.98</v>
      </c>
      <c r="J2032" s="223" t="str">
        <f>IFERROR(__xludf.DUMMYFUNCTION("""COMPUTED_VALUE"""),"Monthly")</f>
        <v>Monthly</v>
      </c>
      <c r="K2032" s="317">
        <f>IFERROR(__xludf.DUMMYFUNCTION("""COMPUTED_VALUE"""),2022.09)</f>
        <v>2022.09</v>
      </c>
      <c r="L2032" s="298"/>
      <c r="M2032" s="223"/>
      <c r="N2032" s="223"/>
      <c r="O2032" s="223"/>
      <c r="P2032" s="223"/>
      <c r="Q2032" s="223"/>
      <c r="R2032" s="223"/>
      <c r="S2032" s="223"/>
      <c r="T2032" s="223"/>
      <c r="U2032" s="223"/>
      <c r="V2032" s="223"/>
      <c r="W2032" s="223"/>
      <c r="X2032" s="223"/>
      <c r="Y2032" s="223"/>
      <c r="Z2032" s="223"/>
    </row>
    <row r="2033">
      <c r="A2033" s="223" t="str">
        <f>IFERROR(__xludf.DUMMYFUNCTION("""COMPUTED_VALUE"""),"Continuity Programs Inc. : Website Rebuild")</f>
        <v>Continuity Programs Inc. : Website Rebuild</v>
      </c>
      <c r="B2033" s="223" t="str">
        <f>IFERROR(__xludf.DUMMYFUNCTION("""COMPUTED_VALUE"""),"Continuity Programs Inc.")</f>
        <v>Continuity Programs Inc.</v>
      </c>
      <c r="C2033" s="223" t="str">
        <f>IFERROR(__xludf.DUMMYFUNCTION("""COMPUTED_VALUE"""),"Website Rebuild")</f>
        <v>Website Rebuild</v>
      </c>
      <c r="D2033" s="316">
        <f>IFERROR(__xludf.DUMMYFUNCTION("""COMPUTED_VALUE"""),44834.0)</f>
        <v>44834</v>
      </c>
      <c r="E2033" s="298"/>
      <c r="F2033" s="298"/>
      <c r="G2033" s="298"/>
      <c r="H2033" s="223"/>
      <c r="I2033" s="298">
        <f>IFERROR(__xludf.DUMMYFUNCTION("""COMPUTED_VALUE"""),271.24)</f>
        <v>271.24</v>
      </c>
      <c r="J2033" s="223" t="str">
        <f>IFERROR(__xludf.DUMMYFUNCTION("""COMPUTED_VALUE"""),"Fixed Project")</f>
        <v>Fixed Project</v>
      </c>
      <c r="K2033" s="317">
        <f>IFERROR(__xludf.DUMMYFUNCTION("""COMPUTED_VALUE"""),2022.0)</f>
        <v>2022</v>
      </c>
      <c r="L2033" s="298"/>
      <c r="M2033" s="223"/>
      <c r="N2033" s="223"/>
      <c r="O2033" s="223"/>
      <c r="P2033" s="223"/>
      <c r="Q2033" s="223"/>
      <c r="R2033" s="223"/>
      <c r="S2033" s="223"/>
      <c r="T2033" s="223"/>
      <c r="U2033" s="223"/>
      <c r="V2033" s="223"/>
      <c r="W2033" s="223"/>
      <c r="X2033" s="223"/>
      <c r="Y2033" s="223"/>
      <c r="Z2033" s="223"/>
    </row>
    <row r="2034">
      <c r="A2034" s="223" t="str">
        <f>IFERROR(__xludf.DUMMYFUNCTION("""COMPUTED_VALUE"""),"The Sands : 10 Hour General Support Block")</f>
        <v>The Sands : 10 Hour General Support Block</v>
      </c>
      <c r="B2034" s="223" t="str">
        <f>IFERROR(__xludf.DUMMYFUNCTION("""COMPUTED_VALUE"""),"The Sands")</f>
        <v>The Sands</v>
      </c>
      <c r="C2034" s="223" t="str">
        <f>IFERROR(__xludf.DUMMYFUNCTION("""COMPUTED_VALUE"""),"10 Hour General Support Block")</f>
        <v>10 Hour General Support Block</v>
      </c>
      <c r="D2034" s="316">
        <f>IFERROR(__xludf.DUMMYFUNCTION("""COMPUTED_VALUE"""),44834.0)</f>
        <v>44834</v>
      </c>
      <c r="E2034" s="298"/>
      <c r="F2034" s="298"/>
      <c r="G2034" s="298"/>
      <c r="H2034" s="223"/>
      <c r="I2034" s="298">
        <f>IFERROR(__xludf.DUMMYFUNCTION("""COMPUTED_VALUE"""),228.12)</f>
        <v>228.12</v>
      </c>
      <c r="J2034" s="223" t="str">
        <f>IFERROR(__xludf.DUMMYFUNCTION("""COMPUTED_VALUE"""),"Fixed Project")</f>
        <v>Fixed Project</v>
      </c>
      <c r="K2034" s="317">
        <f>IFERROR(__xludf.DUMMYFUNCTION("""COMPUTED_VALUE"""),2022.0)</f>
        <v>2022</v>
      </c>
      <c r="L2034" s="298"/>
      <c r="M2034" s="223"/>
      <c r="N2034" s="223"/>
      <c r="O2034" s="223"/>
      <c r="P2034" s="223"/>
      <c r="Q2034" s="223"/>
      <c r="R2034" s="223"/>
      <c r="S2034" s="223"/>
      <c r="T2034" s="223"/>
      <c r="U2034" s="223"/>
      <c r="V2034" s="223"/>
      <c r="W2034" s="223"/>
      <c r="X2034" s="223"/>
      <c r="Y2034" s="223"/>
      <c r="Z2034" s="223"/>
    </row>
    <row r="2035">
      <c r="A2035" s="223" t="str">
        <f>IFERROR(__xludf.DUMMYFUNCTION("""COMPUTED_VALUE"""),"The Sands : Sands Owners Site Rebuild")</f>
        <v>The Sands : Sands Owners Site Rebuild</v>
      </c>
      <c r="B2035" s="223" t="str">
        <f>IFERROR(__xludf.DUMMYFUNCTION("""COMPUTED_VALUE"""),"The Sands")</f>
        <v>The Sands</v>
      </c>
      <c r="C2035" s="223" t="str">
        <f>IFERROR(__xludf.DUMMYFUNCTION("""COMPUTED_VALUE"""),"Sands Owners Site Rebuild")</f>
        <v>Sands Owners Site Rebuild</v>
      </c>
      <c r="D2035" s="316">
        <f>IFERROR(__xludf.DUMMYFUNCTION("""COMPUTED_VALUE"""),44834.0)</f>
        <v>44834</v>
      </c>
      <c r="E2035" s="298"/>
      <c r="F2035" s="298"/>
      <c r="G2035" s="298"/>
      <c r="H2035" s="223"/>
      <c r="I2035" s="298">
        <f>IFERROR(__xludf.DUMMYFUNCTION("""COMPUTED_VALUE"""),418.66)</f>
        <v>418.66</v>
      </c>
      <c r="J2035" s="223" t="str">
        <f>IFERROR(__xludf.DUMMYFUNCTION("""COMPUTED_VALUE"""),"Fixed Project")</f>
        <v>Fixed Project</v>
      </c>
      <c r="K2035" s="317">
        <f>IFERROR(__xludf.DUMMYFUNCTION("""COMPUTED_VALUE"""),2022.0)</f>
        <v>2022</v>
      </c>
      <c r="L2035" s="298"/>
      <c r="M2035" s="223"/>
      <c r="N2035" s="223"/>
      <c r="O2035" s="223"/>
      <c r="P2035" s="223"/>
      <c r="Q2035" s="223"/>
      <c r="R2035" s="223"/>
      <c r="S2035" s="223"/>
      <c r="T2035" s="223"/>
      <c r="U2035" s="223"/>
      <c r="V2035" s="223"/>
      <c r="W2035" s="223"/>
      <c r="X2035" s="223"/>
      <c r="Y2035" s="223"/>
      <c r="Z2035" s="223"/>
    </row>
    <row r="2036">
      <c r="A2036" s="223" t="str">
        <f>IFERROR(__xludf.DUMMYFUNCTION("""COMPUTED_VALUE"""),"The Sands : The Sands Quick Rebuild")</f>
        <v>The Sands : The Sands Quick Rebuild</v>
      </c>
      <c r="B2036" s="223" t="str">
        <f>IFERROR(__xludf.DUMMYFUNCTION("""COMPUTED_VALUE"""),"The Sands")</f>
        <v>The Sands</v>
      </c>
      <c r="C2036" s="223" t="str">
        <f>IFERROR(__xludf.DUMMYFUNCTION("""COMPUTED_VALUE"""),"The Sands Quick Rebuild")</f>
        <v>The Sands Quick Rebuild</v>
      </c>
      <c r="D2036" s="316">
        <f>IFERROR(__xludf.DUMMYFUNCTION("""COMPUTED_VALUE"""),44834.0)</f>
        <v>44834</v>
      </c>
      <c r="E2036" s="298"/>
      <c r="F2036" s="298"/>
      <c r="G2036" s="298"/>
      <c r="H2036" s="223"/>
      <c r="I2036" s="298">
        <f>IFERROR(__xludf.DUMMYFUNCTION("""COMPUTED_VALUE"""),316.33)</f>
        <v>316.33</v>
      </c>
      <c r="J2036" s="223" t="str">
        <f>IFERROR(__xludf.DUMMYFUNCTION("""COMPUTED_VALUE"""),"Fixed Project")</f>
        <v>Fixed Project</v>
      </c>
      <c r="K2036" s="317">
        <f>IFERROR(__xludf.DUMMYFUNCTION("""COMPUTED_VALUE"""),2022.0)</f>
        <v>2022</v>
      </c>
      <c r="L2036" s="298"/>
      <c r="M2036" s="223"/>
      <c r="N2036" s="223"/>
      <c r="O2036" s="223"/>
      <c r="P2036" s="223"/>
      <c r="Q2036" s="223"/>
      <c r="R2036" s="223"/>
      <c r="S2036" s="223"/>
      <c r="T2036" s="223"/>
      <c r="U2036" s="223"/>
      <c r="V2036" s="223"/>
      <c r="W2036" s="223"/>
      <c r="X2036" s="223"/>
      <c r="Y2036" s="223"/>
      <c r="Z2036" s="223"/>
    </row>
    <row r="2037">
      <c r="A2037" s="223" t="str">
        <f>IFERROR(__xludf.DUMMYFUNCTION("""COMPUTED_VALUE"""),"HSJ Lawyers : Monthly Services")</f>
        <v>HSJ Lawyers : Monthly Services</v>
      </c>
      <c r="B2037" s="223" t="str">
        <f>IFERROR(__xludf.DUMMYFUNCTION("""COMPUTED_VALUE"""),"HSJ Lawyers")</f>
        <v>HSJ Lawyers</v>
      </c>
      <c r="C2037" s="223" t="str">
        <f>IFERROR(__xludf.DUMMYFUNCTION("""COMPUTED_VALUE"""),"Monthly Services")</f>
        <v>Monthly Services</v>
      </c>
      <c r="D2037" s="316">
        <f>IFERROR(__xludf.DUMMYFUNCTION("""COMPUTED_VALUE"""),44834.0)</f>
        <v>44834</v>
      </c>
      <c r="E2037" s="298"/>
      <c r="F2037" s="298"/>
      <c r="G2037" s="298"/>
      <c r="H2037" s="223"/>
      <c r="I2037" s="298">
        <f>IFERROR(__xludf.DUMMYFUNCTION("""COMPUTED_VALUE"""),86.63)</f>
        <v>86.63</v>
      </c>
      <c r="J2037" s="223" t="str">
        <f>IFERROR(__xludf.DUMMYFUNCTION("""COMPUTED_VALUE"""),"Monthly")</f>
        <v>Monthly</v>
      </c>
      <c r="K2037" s="317">
        <f>IFERROR(__xludf.DUMMYFUNCTION("""COMPUTED_VALUE"""),2022.09)</f>
        <v>2022.09</v>
      </c>
      <c r="L2037" s="298"/>
      <c r="M2037" s="223"/>
      <c r="N2037" s="223"/>
      <c r="O2037" s="223"/>
      <c r="P2037" s="223"/>
      <c r="Q2037" s="223"/>
      <c r="R2037" s="223"/>
      <c r="S2037" s="223"/>
      <c r="T2037" s="223"/>
      <c r="U2037" s="223"/>
      <c r="V2037" s="223"/>
      <c r="W2037" s="223"/>
      <c r="X2037" s="223"/>
      <c r="Y2037" s="223"/>
      <c r="Z2037" s="223"/>
    </row>
    <row r="2038">
      <c r="A2038" s="223" t="str">
        <f>IFERROR(__xludf.DUMMYFUNCTION("""COMPUTED_VALUE"""),"InPlace Technology : 5 Hour Support Block")</f>
        <v>InPlace Technology : 5 Hour Support Block</v>
      </c>
      <c r="B2038" s="223" t="str">
        <f>IFERROR(__xludf.DUMMYFUNCTION("""COMPUTED_VALUE"""),"InPlace Technology")</f>
        <v>InPlace Technology</v>
      </c>
      <c r="C2038" s="223" t="str">
        <f>IFERROR(__xludf.DUMMYFUNCTION("""COMPUTED_VALUE"""),"5 Hour Support Block")</f>
        <v>5 Hour Support Block</v>
      </c>
      <c r="D2038" s="316">
        <f>IFERROR(__xludf.DUMMYFUNCTION("""COMPUTED_VALUE"""),44834.0)</f>
        <v>44834</v>
      </c>
      <c r="E2038" s="298"/>
      <c r="F2038" s="298"/>
      <c r="G2038" s="298"/>
      <c r="H2038" s="223"/>
      <c r="I2038" s="298">
        <f>IFERROR(__xludf.DUMMYFUNCTION("""COMPUTED_VALUE"""),44.22)</f>
        <v>44.22</v>
      </c>
      <c r="J2038" s="223" t="str">
        <f>IFERROR(__xludf.DUMMYFUNCTION("""COMPUTED_VALUE"""),"Hourly")</f>
        <v>Hourly</v>
      </c>
      <c r="K2038" s="317">
        <f>IFERROR(__xludf.DUMMYFUNCTION("""COMPUTED_VALUE"""),2022.0)</f>
        <v>2022</v>
      </c>
      <c r="L2038" s="298"/>
      <c r="M2038" s="223"/>
      <c r="N2038" s="223"/>
      <c r="O2038" s="223"/>
      <c r="P2038" s="223"/>
      <c r="Q2038" s="223"/>
      <c r="R2038" s="223"/>
      <c r="S2038" s="223"/>
      <c r="T2038" s="223"/>
      <c r="U2038" s="223"/>
      <c r="V2038" s="223"/>
      <c r="W2038" s="223"/>
      <c r="X2038" s="223"/>
      <c r="Y2038" s="223"/>
      <c r="Z2038" s="223"/>
    </row>
    <row r="2039">
      <c r="A2039" s="223" t="str">
        <f>IFERROR(__xludf.DUMMYFUNCTION("""COMPUTED_VALUE"""),"UnityWest Capital : Jericho Energy Ventures 6 month project")</f>
        <v>UnityWest Capital : Jericho Energy Ventures 6 month project</v>
      </c>
      <c r="B2039" s="223" t="str">
        <f>IFERROR(__xludf.DUMMYFUNCTION("""COMPUTED_VALUE"""),"UnityWest Capital")</f>
        <v>UnityWest Capital</v>
      </c>
      <c r="C2039" s="223" t="str">
        <f>IFERROR(__xludf.DUMMYFUNCTION("""COMPUTED_VALUE"""),"Jericho Energy Ventures 6 month project")</f>
        <v>Jericho Energy Ventures 6 month project</v>
      </c>
      <c r="D2039" s="316">
        <f>IFERROR(__xludf.DUMMYFUNCTION("""COMPUTED_VALUE"""),44834.0)</f>
        <v>44834</v>
      </c>
      <c r="E2039" s="298"/>
      <c r="F2039" s="298"/>
      <c r="G2039" s="298"/>
      <c r="H2039" s="223"/>
      <c r="I2039" s="298">
        <f>IFERROR(__xludf.DUMMYFUNCTION("""COMPUTED_VALUE"""),285.0)</f>
        <v>285</v>
      </c>
      <c r="J2039" s="223" t="str">
        <f>IFERROR(__xludf.DUMMYFUNCTION("""COMPUTED_VALUE"""),"Monthly")</f>
        <v>Monthly</v>
      </c>
      <c r="K2039" s="317">
        <f>IFERROR(__xludf.DUMMYFUNCTION("""COMPUTED_VALUE"""),2022.09)</f>
        <v>2022.09</v>
      </c>
      <c r="L2039" s="298"/>
      <c r="M2039" s="223"/>
      <c r="N2039" s="223"/>
      <c r="O2039" s="223"/>
      <c r="P2039" s="223"/>
      <c r="Q2039" s="223"/>
      <c r="R2039" s="223"/>
      <c r="S2039" s="223"/>
      <c r="T2039" s="223"/>
      <c r="U2039" s="223"/>
      <c r="V2039" s="223"/>
      <c r="W2039" s="223"/>
      <c r="X2039" s="223"/>
      <c r="Y2039" s="223"/>
      <c r="Z2039" s="223"/>
    </row>
    <row r="2040">
      <c r="A2040" s="223" t="str">
        <f>IFERROR(__xludf.DUMMYFUNCTION("""COMPUTED_VALUE"""),"Maka Health : Quick Site")</f>
        <v>Maka Health : Quick Site</v>
      </c>
      <c r="B2040" s="223" t="str">
        <f>IFERROR(__xludf.DUMMYFUNCTION("""COMPUTED_VALUE"""),"Maka Health")</f>
        <v>Maka Health</v>
      </c>
      <c r="C2040" s="223" t="str">
        <f>IFERROR(__xludf.DUMMYFUNCTION("""COMPUTED_VALUE"""),"Quick Site")</f>
        <v>Quick Site</v>
      </c>
      <c r="D2040" s="316">
        <f>IFERROR(__xludf.DUMMYFUNCTION("""COMPUTED_VALUE"""),44834.0)</f>
        <v>44834</v>
      </c>
      <c r="E2040" s="298"/>
      <c r="F2040" s="298"/>
      <c r="G2040" s="298"/>
      <c r="H2040" s="223"/>
      <c r="I2040" s="298">
        <f>IFERROR(__xludf.DUMMYFUNCTION("""COMPUTED_VALUE"""),137.6)</f>
        <v>137.6</v>
      </c>
      <c r="J2040" s="223" t="str">
        <f>IFERROR(__xludf.DUMMYFUNCTION("""COMPUTED_VALUE"""),"Fixed Project")</f>
        <v>Fixed Project</v>
      </c>
      <c r="K2040" s="317">
        <f>IFERROR(__xludf.DUMMYFUNCTION("""COMPUTED_VALUE"""),2022.0)</f>
        <v>2022</v>
      </c>
      <c r="L2040" s="298"/>
      <c r="M2040" s="223"/>
      <c r="N2040" s="223"/>
      <c r="O2040" s="223"/>
      <c r="P2040" s="223"/>
      <c r="Q2040" s="223"/>
      <c r="R2040" s="223"/>
      <c r="S2040" s="223"/>
      <c r="T2040" s="223"/>
      <c r="U2040" s="223"/>
      <c r="V2040" s="223"/>
      <c r="W2040" s="223"/>
      <c r="X2040" s="223"/>
      <c r="Y2040" s="223"/>
      <c r="Z2040" s="223"/>
    </row>
    <row r="2041">
      <c r="A2041" s="223" t="str">
        <f>IFERROR(__xludf.DUMMYFUNCTION("""COMPUTED_VALUE"""),"MortgagePal : Monthly Services")</f>
        <v>MortgagePal : Monthly Services</v>
      </c>
      <c r="B2041" s="223" t="str">
        <f>IFERROR(__xludf.DUMMYFUNCTION("""COMPUTED_VALUE"""),"MortgagePal")</f>
        <v>MortgagePal</v>
      </c>
      <c r="C2041" s="223" t="str">
        <f>IFERROR(__xludf.DUMMYFUNCTION("""COMPUTED_VALUE"""),"Monthly Services")</f>
        <v>Monthly Services</v>
      </c>
      <c r="D2041" s="316">
        <f>IFERROR(__xludf.DUMMYFUNCTION("""COMPUTED_VALUE"""),44834.0)</f>
        <v>44834</v>
      </c>
      <c r="E2041" s="298"/>
      <c r="F2041" s="298"/>
      <c r="G2041" s="298"/>
      <c r="H2041" s="223"/>
      <c r="I2041" s="298">
        <f>IFERROR(__xludf.DUMMYFUNCTION("""COMPUTED_VALUE"""),42.14)</f>
        <v>42.14</v>
      </c>
      <c r="J2041" s="223" t="str">
        <f>IFERROR(__xludf.DUMMYFUNCTION("""COMPUTED_VALUE"""),"Monthly")</f>
        <v>Monthly</v>
      </c>
      <c r="K2041" s="317">
        <f>IFERROR(__xludf.DUMMYFUNCTION("""COMPUTED_VALUE"""),2022.09)</f>
        <v>2022.09</v>
      </c>
      <c r="L2041" s="298"/>
      <c r="M2041" s="223"/>
      <c r="N2041" s="223"/>
      <c r="O2041" s="223"/>
      <c r="P2041" s="223"/>
      <c r="Q2041" s="223"/>
      <c r="R2041" s="223"/>
      <c r="S2041" s="223"/>
      <c r="T2041" s="223"/>
      <c r="U2041" s="223"/>
      <c r="V2041" s="223"/>
      <c r="W2041" s="223"/>
      <c r="X2041" s="223"/>
      <c r="Y2041" s="223"/>
      <c r="Z2041" s="223"/>
    </row>
    <row r="2042">
      <c r="A2042" s="223" t="str">
        <f>IFERROR(__xludf.DUMMYFUNCTION("""COMPUTED_VALUE"""),"PlusROI : Admin")</f>
        <v>PlusROI : Admin</v>
      </c>
      <c r="B2042" s="223" t="str">
        <f>IFERROR(__xludf.DUMMYFUNCTION("""COMPUTED_VALUE"""),"PlusROI")</f>
        <v>PlusROI</v>
      </c>
      <c r="C2042" s="223" t="str">
        <f>IFERROR(__xludf.DUMMYFUNCTION("""COMPUTED_VALUE"""),"Admin")</f>
        <v>Admin</v>
      </c>
      <c r="D2042" s="316">
        <f>IFERROR(__xludf.DUMMYFUNCTION("""COMPUTED_VALUE"""),44834.0)</f>
        <v>44834</v>
      </c>
      <c r="E2042" s="298"/>
      <c r="F2042" s="298"/>
      <c r="G2042" s="298"/>
      <c r="H2042" s="223"/>
      <c r="I2042" s="298">
        <f>IFERROR(__xludf.DUMMYFUNCTION("""COMPUTED_VALUE"""),288.39)</f>
        <v>288.39</v>
      </c>
      <c r="J2042" s="223" t="str">
        <f>IFERROR(__xludf.DUMMYFUNCTION("""COMPUTED_VALUE"""),"Hourly")</f>
        <v>Hourly</v>
      </c>
      <c r="K2042" s="317">
        <f>IFERROR(__xludf.DUMMYFUNCTION("""COMPUTED_VALUE"""),2022.0)</f>
        <v>2022</v>
      </c>
      <c r="L2042" s="298"/>
      <c r="M2042" s="223"/>
      <c r="N2042" s="223"/>
      <c r="O2042" s="223"/>
      <c r="P2042" s="223"/>
      <c r="Q2042" s="223"/>
      <c r="R2042" s="223"/>
      <c r="S2042" s="223"/>
      <c r="T2042" s="223"/>
      <c r="U2042" s="223"/>
      <c r="V2042" s="223"/>
      <c r="W2042" s="223"/>
      <c r="X2042" s="223"/>
      <c r="Y2042" s="223"/>
      <c r="Z2042" s="223"/>
    </row>
    <row r="2043">
      <c r="A2043" s="223" t="str">
        <f>IFERROR(__xludf.DUMMYFUNCTION("""COMPUTED_VALUE"""),"Red Seal : Monthly Services")</f>
        <v>Red Seal : Monthly Services</v>
      </c>
      <c r="B2043" s="223" t="str">
        <f>IFERROR(__xludf.DUMMYFUNCTION("""COMPUTED_VALUE"""),"Red Seal")</f>
        <v>Red Seal</v>
      </c>
      <c r="C2043" s="223" t="str">
        <f>IFERROR(__xludf.DUMMYFUNCTION("""COMPUTED_VALUE"""),"Monthly Services")</f>
        <v>Monthly Services</v>
      </c>
      <c r="D2043" s="316">
        <f>IFERROR(__xludf.DUMMYFUNCTION("""COMPUTED_VALUE"""),44834.0)</f>
        <v>44834</v>
      </c>
      <c r="E2043" s="298"/>
      <c r="F2043" s="298"/>
      <c r="G2043" s="298"/>
      <c r="H2043" s="223"/>
      <c r="I2043" s="298">
        <f>IFERROR(__xludf.DUMMYFUNCTION("""COMPUTED_VALUE"""),340.66)</f>
        <v>340.66</v>
      </c>
      <c r="J2043" s="223" t="str">
        <f>IFERROR(__xludf.DUMMYFUNCTION("""COMPUTED_VALUE"""),"Monthly")</f>
        <v>Monthly</v>
      </c>
      <c r="K2043" s="317">
        <f>IFERROR(__xludf.DUMMYFUNCTION("""COMPUTED_VALUE"""),2022.09)</f>
        <v>2022.09</v>
      </c>
      <c r="L2043" s="298"/>
      <c r="M2043" s="223"/>
      <c r="N2043" s="223"/>
      <c r="O2043" s="223"/>
      <c r="P2043" s="223"/>
      <c r="Q2043" s="223"/>
      <c r="R2043" s="223"/>
      <c r="S2043" s="223"/>
      <c r="T2043" s="223"/>
      <c r="U2043" s="223"/>
      <c r="V2043" s="223"/>
      <c r="W2043" s="223"/>
      <c r="X2043" s="223"/>
      <c r="Y2043" s="223"/>
      <c r="Z2043" s="223"/>
    </row>
    <row r="2044">
      <c r="A2044" s="223" t="str">
        <f>IFERROR(__xludf.DUMMYFUNCTION("""COMPUTED_VALUE"""),"TisBest : Monthly Services")</f>
        <v>TisBest : Monthly Services</v>
      </c>
      <c r="B2044" s="223" t="str">
        <f>IFERROR(__xludf.DUMMYFUNCTION("""COMPUTED_VALUE"""),"TisBest")</f>
        <v>TisBest</v>
      </c>
      <c r="C2044" s="223" t="str">
        <f>IFERROR(__xludf.DUMMYFUNCTION("""COMPUTED_VALUE"""),"Monthly Services")</f>
        <v>Monthly Services</v>
      </c>
      <c r="D2044" s="316">
        <f>IFERROR(__xludf.DUMMYFUNCTION("""COMPUTED_VALUE"""),44834.0)</f>
        <v>44834</v>
      </c>
      <c r="E2044" s="298"/>
      <c r="F2044" s="298"/>
      <c r="G2044" s="298"/>
      <c r="H2044" s="223"/>
      <c r="I2044" s="298">
        <f>IFERROR(__xludf.DUMMYFUNCTION("""COMPUTED_VALUE"""),87.37)</f>
        <v>87.37</v>
      </c>
      <c r="J2044" s="223" t="str">
        <f>IFERROR(__xludf.DUMMYFUNCTION("""COMPUTED_VALUE"""),"Monthly")</f>
        <v>Monthly</v>
      </c>
      <c r="K2044" s="317">
        <f>IFERROR(__xludf.DUMMYFUNCTION("""COMPUTED_VALUE"""),2022.09)</f>
        <v>2022.09</v>
      </c>
      <c r="L2044" s="298"/>
      <c r="M2044" s="223"/>
      <c r="N2044" s="223"/>
      <c r="O2044" s="223"/>
      <c r="P2044" s="223"/>
      <c r="Q2044" s="223"/>
      <c r="R2044" s="223"/>
      <c r="S2044" s="223"/>
      <c r="T2044" s="223"/>
      <c r="U2044" s="223"/>
      <c r="V2044" s="223"/>
      <c r="W2044" s="223"/>
      <c r="X2044" s="223"/>
      <c r="Y2044" s="223"/>
      <c r="Z2044" s="223"/>
    </row>
    <row r="2045">
      <c r="A2045" s="223" t="str">
        <f>IFERROR(__xludf.DUMMYFUNCTION("""COMPUTED_VALUE"""),"Villa del Mar : Website Rebuild")</f>
        <v>Villa del Mar : Website Rebuild</v>
      </c>
      <c r="B2045" s="223" t="str">
        <f>IFERROR(__xludf.DUMMYFUNCTION("""COMPUTED_VALUE"""),"Villa del Mar")</f>
        <v>Villa del Mar</v>
      </c>
      <c r="C2045" s="223" t="str">
        <f>IFERROR(__xludf.DUMMYFUNCTION("""COMPUTED_VALUE"""),"Website Rebuild")</f>
        <v>Website Rebuild</v>
      </c>
      <c r="D2045" s="316">
        <f>IFERROR(__xludf.DUMMYFUNCTION("""COMPUTED_VALUE"""),44834.0)</f>
        <v>44834</v>
      </c>
      <c r="E2045" s="298"/>
      <c r="F2045" s="298"/>
      <c r="G2045" s="298"/>
      <c r="H2045" s="223"/>
      <c r="I2045" s="298">
        <f>IFERROR(__xludf.DUMMYFUNCTION("""COMPUTED_VALUE"""),3061.38)</f>
        <v>3061.38</v>
      </c>
      <c r="J2045" s="223" t="str">
        <f>IFERROR(__xludf.DUMMYFUNCTION("""COMPUTED_VALUE"""),"Fixed Project")</f>
        <v>Fixed Project</v>
      </c>
      <c r="K2045" s="317">
        <f>IFERROR(__xludf.DUMMYFUNCTION("""COMPUTED_VALUE"""),2022.0)</f>
        <v>2022</v>
      </c>
      <c r="L2045" s="298"/>
      <c r="M2045" s="223"/>
      <c r="N2045" s="223"/>
      <c r="O2045" s="223"/>
      <c r="P2045" s="223"/>
      <c r="Q2045" s="223"/>
      <c r="R2045" s="223"/>
      <c r="S2045" s="223"/>
      <c r="T2045" s="223"/>
      <c r="U2045" s="223"/>
      <c r="V2045" s="223"/>
      <c r="W2045" s="223"/>
      <c r="X2045" s="223"/>
      <c r="Y2045" s="223"/>
      <c r="Z2045" s="223"/>
    </row>
    <row r="2046">
      <c r="A2046" s="223" t="str">
        <f>IFERROR(__xludf.DUMMYFUNCTION("""COMPUTED_VALUE"""),"Availed Technologies : Monthly Services")</f>
        <v>Availed Technologies : Monthly Services</v>
      </c>
      <c r="B2046" s="223" t="str">
        <f>IFERROR(__xludf.DUMMYFUNCTION("""COMPUTED_VALUE"""),"Availed Technologies")</f>
        <v>Availed Technologies</v>
      </c>
      <c r="C2046" s="223" t="str">
        <f>IFERROR(__xludf.DUMMYFUNCTION("""COMPUTED_VALUE"""),"Monthly Services")</f>
        <v>Monthly Services</v>
      </c>
      <c r="D2046" s="316">
        <f>IFERROR(__xludf.DUMMYFUNCTION("""COMPUTED_VALUE"""),44865.0)</f>
        <v>44865</v>
      </c>
      <c r="E2046" s="298"/>
      <c r="F2046" s="298"/>
      <c r="G2046" s="298"/>
      <c r="H2046" s="223"/>
      <c r="I2046" s="298">
        <f>IFERROR(__xludf.DUMMYFUNCTION("""COMPUTED_VALUE"""),162.5)</f>
        <v>162.5</v>
      </c>
      <c r="J2046" s="223" t="str">
        <f>IFERROR(__xludf.DUMMYFUNCTION("""COMPUTED_VALUE"""),"Monthly")</f>
        <v>Monthly</v>
      </c>
      <c r="K2046" s="317">
        <f>IFERROR(__xludf.DUMMYFUNCTION("""COMPUTED_VALUE"""),2022.1)</f>
        <v>2022.1</v>
      </c>
      <c r="L2046" s="298"/>
      <c r="M2046" s="223"/>
      <c r="N2046" s="223"/>
      <c r="O2046" s="223"/>
      <c r="P2046" s="223"/>
      <c r="Q2046" s="223"/>
      <c r="R2046" s="223"/>
      <c r="S2046" s="223"/>
      <c r="T2046" s="223"/>
      <c r="U2046" s="223"/>
      <c r="V2046" s="223"/>
      <c r="W2046" s="223"/>
      <c r="X2046" s="223"/>
      <c r="Y2046" s="223"/>
      <c r="Z2046" s="223"/>
    </row>
    <row r="2047">
      <c r="A2047" s="223" t="str">
        <f>IFERROR(__xludf.DUMMYFUNCTION("""COMPUTED_VALUE"""),"Bratopia : Monthly Services")</f>
        <v>Bratopia : Monthly Services</v>
      </c>
      <c r="B2047" s="223" t="str">
        <f>IFERROR(__xludf.DUMMYFUNCTION("""COMPUTED_VALUE"""),"Bratopia")</f>
        <v>Bratopia</v>
      </c>
      <c r="C2047" s="223" t="str">
        <f>IFERROR(__xludf.DUMMYFUNCTION("""COMPUTED_VALUE"""),"Monthly Services")</f>
        <v>Monthly Services</v>
      </c>
      <c r="D2047" s="316">
        <f>IFERROR(__xludf.DUMMYFUNCTION("""COMPUTED_VALUE"""),44865.0)</f>
        <v>44865</v>
      </c>
      <c r="E2047" s="298"/>
      <c r="F2047" s="298"/>
      <c r="G2047" s="298"/>
      <c r="H2047" s="223"/>
      <c r="I2047" s="298">
        <f>IFERROR(__xludf.DUMMYFUNCTION("""COMPUTED_VALUE"""),265.0)</f>
        <v>265</v>
      </c>
      <c r="J2047" s="223" t="str">
        <f>IFERROR(__xludf.DUMMYFUNCTION("""COMPUTED_VALUE"""),"Monthly")</f>
        <v>Monthly</v>
      </c>
      <c r="K2047" s="317">
        <f>IFERROR(__xludf.DUMMYFUNCTION("""COMPUTED_VALUE"""),2022.1)</f>
        <v>2022.1</v>
      </c>
      <c r="L2047" s="298"/>
      <c r="M2047" s="223"/>
      <c r="N2047" s="223"/>
      <c r="O2047" s="223"/>
      <c r="P2047" s="223"/>
      <c r="Q2047" s="223"/>
      <c r="R2047" s="223"/>
      <c r="S2047" s="223"/>
      <c r="T2047" s="223"/>
      <c r="U2047" s="223"/>
      <c r="V2047" s="223"/>
      <c r="W2047" s="223"/>
      <c r="X2047" s="223"/>
      <c r="Y2047" s="223"/>
      <c r="Z2047" s="223"/>
    </row>
    <row r="2048">
      <c r="A2048" s="223" t="str">
        <f>IFERROR(__xludf.DUMMYFUNCTION("""COMPUTED_VALUE"""),"Community Financials : Monthly Services")</f>
        <v>Community Financials : Monthly Services</v>
      </c>
      <c r="B2048" s="223" t="str">
        <f>IFERROR(__xludf.DUMMYFUNCTION("""COMPUTED_VALUE"""),"Community Financials")</f>
        <v>Community Financials</v>
      </c>
      <c r="C2048" s="223" t="str">
        <f>IFERROR(__xludf.DUMMYFUNCTION("""COMPUTED_VALUE"""),"Monthly Services")</f>
        <v>Monthly Services</v>
      </c>
      <c r="D2048" s="316">
        <f>IFERROR(__xludf.DUMMYFUNCTION("""COMPUTED_VALUE"""),44865.0)</f>
        <v>44865</v>
      </c>
      <c r="E2048" s="298"/>
      <c r="F2048" s="298"/>
      <c r="G2048" s="298"/>
      <c r="H2048" s="223"/>
      <c r="I2048" s="298">
        <f>IFERROR(__xludf.DUMMYFUNCTION("""COMPUTED_VALUE"""),575.0)</f>
        <v>575</v>
      </c>
      <c r="J2048" s="223" t="str">
        <f>IFERROR(__xludf.DUMMYFUNCTION("""COMPUTED_VALUE"""),"Monthly")</f>
        <v>Monthly</v>
      </c>
      <c r="K2048" s="317">
        <f>IFERROR(__xludf.DUMMYFUNCTION("""COMPUTED_VALUE"""),2022.1)</f>
        <v>2022.1</v>
      </c>
      <c r="L2048" s="298"/>
      <c r="M2048" s="223"/>
      <c r="N2048" s="223"/>
      <c r="O2048" s="223"/>
      <c r="P2048" s="223"/>
      <c r="Q2048" s="223"/>
      <c r="R2048" s="223"/>
      <c r="S2048" s="223"/>
      <c r="T2048" s="223"/>
      <c r="U2048" s="223"/>
      <c r="V2048" s="223"/>
      <c r="W2048" s="223"/>
      <c r="X2048" s="223"/>
      <c r="Y2048" s="223"/>
      <c r="Z2048" s="223"/>
    </row>
    <row r="2049">
      <c r="A2049" s="223" t="str">
        <f>IFERROR(__xludf.DUMMYFUNCTION("""COMPUTED_VALUE"""),"Red Seal : Monthly Services")</f>
        <v>Red Seal : Monthly Services</v>
      </c>
      <c r="B2049" s="223" t="str">
        <f>IFERROR(__xludf.DUMMYFUNCTION("""COMPUTED_VALUE"""),"Red Seal")</f>
        <v>Red Seal</v>
      </c>
      <c r="C2049" s="223" t="str">
        <f>IFERROR(__xludf.DUMMYFUNCTION("""COMPUTED_VALUE"""),"Monthly Services")</f>
        <v>Monthly Services</v>
      </c>
      <c r="D2049" s="316">
        <f>IFERROR(__xludf.DUMMYFUNCTION("""COMPUTED_VALUE"""),44865.0)</f>
        <v>44865</v>
      </c>
      <c r="E2049" s="298"/>
      <c r="F2049" s="298"/>
      <c r="G2049" s="298"/>
      <c r="H2049" s="223"/>
      <c r="I2049" s="298">
        <f>IFERROR(__xludf.DUMMYFUNCTION("""COMPUTED_VALUE"""),490.0)</f>
        <v>490</v>
      </c>
      <c r="J2049" s="223" t="str">
        <f>IFERROR(__xludf.DUMMYFUNCTION("""COMPUTED_VALUE"""),"Monthly")</f>
        <v>Monthly</v>
      </c>
      <c r="K2049" s="317">
        <f>IFERROR(__xludf.DUMMYFUNCTION("""COMPUTED_VALUE"""),2022.1)</f>
        <v>2022.1</v>
      </c>
      <c r="L2049" s="298"/>
      <c r="M2049" s="223"/>
      <c r="N2049" s="223"/>
      <c r="O2049" s="223"/>
      <c r="P2049" s="223"/>
      <c r="Q2049" s="223"/>
      <c r="R2049" s="223"/>
      <c r="S2049" s="223"/>
      <c r="T2049" s="223"/>
      <c r="U2049" s="223"/>
      <c r="V2049" s="223"/>
      <c r="W2049" s="223"/>
      <c r="X2049" s="223"/>
      <c r="Y2049" s="223"/>
      <c r="Z2049" s="223"/>
    </row>
    <row r="2050">
      <c r="A2050" s="223" t="str">
        <f>IFERROR(__xludf.DUMMYFUNCTION("""COMPUTED_VALUE"""),"HSJ Lawyers : Monthly Services")</f>
        <v>HSJ Lawyers : Monthly Services</v>
      </c>
      <c r="B2050" s="223" t="str">
        <f>IFERROR(__xludf.DUMMYFUNCTION("""COMPUTED_VALUE"""),"HSJ Lawyers")</f>
        <v>HSJ Lawyers</v>
      </c>
      <c r="C2050" s="223" t="str">
        <f>IFERROR(__xludf.DUMMYFUNCTION("""COMPUTED_VALUE"""),"Monthly Services")</f>
        <v>Monthly Services</v>
      </c>
      <c r="D2050" s="316">
        <f>IFERROR(__xludf.DUMMYFUNCTION("""COMPUTED_VALUE"""),44865.0)</f>
        <v>44865</v>
      </c>
      <c r="E2050" s="298"/>
      <c r="F2050" s="298"/>
      <c r="G2050" s="298"/>
      <c r="H2050" s="223"/>
      <c r="I2050" s="298">
        <f>IFERROR(__xludf.DUMMYFUNCTION("""COMPUTED_VALUE"""),227.5)</f>
        <v>227.5</v>
      </c>
      <c r="J2050" s="223" t="str">
        <f>IFERROR(__xludf.DUMMYFUNCTION("""COMPUTED_VALUE"""),"Monthly")</f>
        <v>Monthly</v>
      </c>
      <c r="K2050" s="317">
        <f>IFERROR(__xludf.DUMMYFUNCTION("""COMPUTED_VALUE"""),2022.1)</f>
        <v>2022.1</v>
      </c>
      <c r="L2050" s="298"/>
      <c r="M2050" s="223"/>
      <c r="N2050" s="223"/>
      <c r="O2050" s="223"/>
      <c r="P2050" s="223"/>
      <c r="Q2050" s="223"/>
      <c r="R2050" s="223"/>
      <c r="S2050" s="223"/>
      <c r="T2050" s="223"/>
      <c r="U2050" s="223"/>
      <c r="V2050" s="223"/>
      <c r="W2050" s="223"/>
      <c r="X2050" s="223"/>
      <c r="Y2050" s="223"/>
      <c r="Z2050" s="223"/>
    </row>
    <row r="2051">
      <c r="A2051" s="223" t="str">
        <f>IFERROR(__xludf.DUMMYFUNCTION("""COMPUTED_VALUE"""),"Bevridge : SEO Project")</f>
        <v>Bevridge : SEO Project</v>
      </c>
      <c r="B2051" s="223" t="str">
        <f>IFERROR(__xludf.DUMMYFUNCTION("""COMPUTED_VALUE"""),"Bevridge")</f>
        <v>Bevridge</v>
      </c>
      <c r="C2051" s="223" t="str">
        <f>IFERROR(__xludf.DUMMYFUNCTION("""COMPUTED_VALUE"""),"SEO Project")</f>
        <v>SEO Project</v>
      </c>
      <c r="D2051" s="316">
        <f>IFERROR(__xludf.DUMMYFUNCTION("""COMPUTED_VALUE"""),44865.0)</f>
        <v>44865</v>
      </c>
      <c r="E2051" s="298"/>
      <c r="F2051" s="298"/>
      <c r="G2051" s="298"/>
      <c r="H2051" s="223"/>
      <c r="I2051" s="298">
        <f>IFERROR(__xludf.DUMMYFUNCTION("""COMPUTED_VALUE"""),125.0)</f>
        <v>125</v>
      </c>
      <c r="J2051" s="223" t="str">
        <f>IFERROR(__xludf.DUMMYFUNCTION("""COMPUTED_VALUE"""),"Fixed Project")</f>
        <v>Fixed Project</v>
      </c>
      <c r="K2051" s="317">
        <f>IFERROR(__xludf.DUMMYFUNCTION("""COMPUTED_VALUE"""),2022.0)</f>
        <v>2022</v>
      </c>
      <c r="L2051" s="298"/>
      <c r="M2051" s="223"/>
      <c r="N2051" s="223"/>
      <c r="O2051" s="223"/>
      <c r="P2051" s="223"/>
      <c r="Q2051" s="223"/>
      <c r="R2051" s="223"/>
      <c r="S2051" s="223"/>
      <c r="T2051" s="223"/>
      <c r="U2051" s="223"/>
      <c r="V2051" s="223"/>
      <c r="W2051" s="223"/>
      <c r="X2051" s="223"/>
      <c r="Y2051" s="223"/>
      <c r="Z2051" s="223"/>
    </row>
    <row r="2052">
      <c r="A2052" s="223" t="str">
        <f>IFERROR(__xludf.DUMMYFUNCTION("""COMPUTED_VALUE"""),"Continuity Programs Inc. : Website Rebuild")</f>
        <v>Continuity Programs Inc. : Website Rebuild</v>
      </c>
      <c r="B2052" s="223" t="str">
        <f>IFERROR(__xludf.DUMMYFUNCTION("""COMPUTED_VALUE"""),"Continuity Programs Inc.")</f>
        <v>Continuity Programs Inc.</v>
      </c>
      <c r="C2052" s="223" t="str">
        <f>IFERROR(__xludf.DUMMYFUNCTION("""COMPUTED_VALUE"""),"Website Rebuild")</f>
        <v>Website Rebuild</v>
      </c>
      <c r="D2052" s="316">
        <f>IFERROR(__xludf.DUMMYFUNCTION("""COMPUTED_VALUE"""),44865.0)</f>
        <v>44865</v>
      </c>
      <c r="E2052" s="298"/>
      <c r="F2052" s="298"/>
      <c r="G2052" s="298"/>
      <c r="H2052" s="223"/>
      <c r="I2052" s="298">
        <f>IFERROR(__xludf.DUMMYFUNCTION("""COMPUTED_VALUE"""),500.0)</f>
        <v>500</v>
      </c>
      <c r="J2052" s="223" t="str">
        <f>IFERROR(__xludf.DUMMYFUNCTION("""COMPUTED_VALUE"""),"Fixed Project")</f>
        <v>Fixed Project</v>
      </c>
      <c r="K2052" s="317">
        <f>IFERROR(__xludf.DUMMYFUNCTION("""COMPUTED_VALUE"""),2022.0)</f>
        <v>2022</v>
      </c>
      <c r="L2052" s="298"/>
      <c r="M2052" s="223"/>
      <c r="N2052" s="223"/>
      <c r="O2052" s="223"/>
      <c r="P2052" s="223"/>
      <c r="Q2052" s="223"/>
      <c r="R2052" s="223"/>
      <c r="S2052" s="223"/>
      <c r="T2052" s="223"/>
      <c r="U2052" s="223"/>
      <c r="V2052" s="223"/>
      <c r="W2052" s="223"/>
      <c r="X2052" s="223"/>
      <c r="Y2052" s="223"/>
      <c r="Z2052" s="223"/>
    </row>
    <row r="2053">
      <c r="A2053" s="223" t="str">
        <f>IFERROR(__xludf.DUMMYFUNCTION("""COMPUTED_VALUE"""),"Viridian : Monthly Services")</f>
        <v>Viridian : Monthly Services</v>
      </c>
      <c r="B2053" s="223" t="str">
        <f>IFERROR(__xludf.DUMMYFUNCTION("""COMPUTED_VALUE"""),"Viridian")</f>
        <v>Viridian</v>
      </c>
      <c r="C2053" s="223" t="str">
        <f>IFERROR(__xludf.DUMMYFUNCTION("""COMPUTED_VALUE"""),"Monthly Services")</f>
        <v>Monthly Services</v>
      </c>
      <c r="D2053" s="316">
        <f>IFERROR(__xludf.DUMMYFUNCTION("""COMPUTED_VALUE"""),44865.0)</f>
        <v>44865</v>
      </c>
      <c r="E2053" s="298"/>
      <c r="F2053" s="298"/>
      <c r="G2053" s="298"/>
      <c r="H2053" s="223"/>
      <c r="I2053" s="298">
        <f>IFERROR(__xludf.DUMMYFUNCTION("""COMPUTED_VALUE"""),312.5)</f>
        <v>312.5</v>
      </c>
      <c r="J2053" s="223" t="str">
        <f>IFERROR(__xludf.DUMMYFUNCTION("""COMPUTED_VALUE"""),"Monthly")</f>
        <v>Monthly</v>
      </c>
      <c r="K2053" s="317">
        <f>IFERROR(__xludf.DUMMYFUNCTION("""COMPUTED_VALUE"""),2022.1)</f>
        <v>2022.1</v>
      </c>
      <c r="L2053" s="298"/>
      <c r="M2053" s="223"/>
      <c r="N2053" s="223"/>
      <c r="O2053" s="223"/>
      <c r="P2053" s="223"/>
      <c r="Q2053" s="223"/>
      <c r="R2053" s="223"/>
      <c r="S2053" s="223"/>
      <c r="T2053" s="223"/>
      <c r="U2053" s="223"/>
      <c r="V2053" s="223"/>
      <c r="W2053" s="223"/>
      <c r="X2053" s="223"/>
      <c r="Y2053" s="223"/>
      <c r="Z2053" s="223"/>
    </row>
    <row r="2054">
      <c r="A2054" s="223" t="str">
        <f>IFERROR(__xludf.DUMMYFUNCTION("""COMPUTED_VALUE"""),"Service First : Monthly Services")</f>
        <v>Service First : Monthly Services</v>
      </c>
      <c r="B2054" s="223" t="str">
        <f>IFERROR(__xludf.DUMMYFUNCTION("""COMPUTED_VALUE"""),"Service First")</f>
        <v>Service First</v>
      </c>
      <c r="C2054" s="223" t="str">
        <f>IFERROR(__xludf.DUMMYFUNCTION("""COMPUTED_VALUE"""),"Monthly Services")</f>
        <v>Monthly Services</v>
      </c>
      <c r="D2054" s="316">
        <f>IFERROR(__xludf.DUMMYFUNCTION("""COMPUTED_VALUE"""),44865.0)</f>
        <v>44865</v>
      </c>
      <c r="E2054" s="298"/>
      <c r="F2054" s="298"/>
      <c r="G2054" s="298"/>
      <c r="H2054" s="223"/>
      <c r="I2054" s="298">
        <f>IFERROR(__xludf.DUMMYFUNCTION("""COMPUTED_VALUE"""),125.0)</f>
        <v>125</v>
      </c>
      <c r="J2054" s="223" t="str">
        <f>IFERROR(__xludf.DUMMYFUNCTION("""COMPUTED_VALUE"""),"Monthly")</f>
        <v>Monthly</v>
      </c>
      <c r="K2054" s="317">
        <f>IFERROR(__xludf.DUMMYFUNCTION("""COMPUTED_VALUE"""),2022.1)</f>
        <v>2022.1</v>
      </c>
      <c r="L2054" s="298"/>
      <c r="M2054" s="223"/>
      <c r="N2054" s="223"/>
      <c r="O2054" s="223"/>
      <c r="P2054" s="223"/>
      <c r="Q2054" s="223"/>
      <c r="R2054" s="223"/>
      <c r="S2054" s="223"/>
      <c r="T2054" s="223"/>
      <c r="U2054" s="223"/>
      <c r="V2054" s="223"/>
      <c r="W2054" s="223"/>
      <c r="X2054" s="223"/>
      <c r="Y2054" s="223"/>
      <c r="Z2054" s="223"/>
    </row>
    <row r="2055">
      <c r="A2055" s="223" t="str">
        <f>IFERROR(__xludf.DUMMYFUNCTION("""COMPUTED_VALUE"""),"PMDI : Monthly Services")</f>
        <v>PMDI : Monthly Services</v>
      </c>
      <c r="B2055" s="223" t="str">
        <f>IFERROR(__xludf.DUMMYFUNCTION("""COMPUTED_VALUE"""),"PMDI")</f>
        <v>PMDI</v>
      </c>
      <c r="C2055" s="223" t="str">
        <f>IFERROR(__xludf.DUMMYFUNCTION("""COMPUTED_VALUE"""),"Monthly Services")</f>
        <v>Monthly Services</v>
      </c>
      <c r="D2055" s="316">
        <f>IFERROR(__xludf.DUMMYFUNCTION("""COMPUTED_VALUE"""),44865.0)</f>
        <v>44865</v>
      </c>
      <c r="E2055" s="298"/>
      <c r="F2055" s="298"/>
      <c r="G2055" s="298"/>
      <c r="H2055" s="223"/>
      <c r="I2055" s="298">
        <f>IFERROR(__xludf.DUMMYFUNCTION("""COMPUTED_VALUE"""),137.5)</f>
        <v>137.5</v>
      </c>
      <c r="J2055" s="223" t="str">
        <f>IFERROR(__xludf.DUMMYFUNCTION("""COMPUTED_VALUE"""),"Monthly")</f>
        <v>Monthly</v>
      </c>
      <c r="K2055" s="317">
        <f>IFERROR(__xludf.DUMMYFUNCTION("""COMPUTED_VALUE"""),2022.1)</f>
        <v>2022.1</v>
      </c>
      <c r="L2055" s="298"/>
      <c r="M2055" s="223"/>
      <c r="N2055" s="223"/>
      <c r="O2055" s="223"/>
      <c r="P2055" s="223"/>
      <c r="Q2055" s="223"/>
      <c r="R2055" s="223"/>
      <c r="S2055" s="223"/>
      <c r="T2055" s="223"/>
      <c r="U2055" s="223"/>
      <c r="V2055" s="223"/>
      <c r="W2055" s="223"/>
      <c r="X2055" s="223"/>
      <c r="Y2055" s="223"/>
      <c r="Z2055" s="223"/>
    </row>
    <row r="2056">
      <c r="A2056" s="223" t="str">
        <f>IFERROR(__xludf.DUMMYFUNCTION("""COMPUTED_VALUE"""),"Anook Athletics : Monthly Services")</f>
        <v>Anook Athletics : Monthly Services</v>
      </c>
      <c r="B2056" s="223" t="str">
        <f>IFERROR(__xludf.DUMMYFUNCTION("""COMPUTED_VALUE"""),"Anook Athletics")</f>
        <v>Anook Athletics</v>
      </c>
      <c r="C2056" s="223" t="str">
        <f>IFERROR(__xludf.DUMMYFUNCTION("""COMPUTED_VALUE"""),"Monthly Services")</f>
        <v>Monthly Services</v>
      </c>
      <c r="D2056" s="316">
        <f>IFERROR(__xludf.DUMMYFUNCTION("""COMPUTED_VALUE"""),44865.0)</f>
        <v>44865</v>
      </c>
      <c r="E2056" s="298"/>
      <c r="F2056" s="298"/>
      <c r="G2056" s="298"/>
      <c r="H2056" s="223"/>
      <c r="I2056" s="298">
        <f>IFERROR(__xludf.DUMMYFUNCTION("""COMPUTED_VALUE"""),500.0)</f>
        <v>500</v>
      </c>
      <c r="J2056" s="223" t="str">
        <f>IFERROR(__xludf.DUMMYFUNCTION("""COMPUTED_VALUE"""),"Monthly")</f>
        <v>Monthly</v>
      </c>
      <c r="K2056" s="317">
        <f>IFERROR(__xludf.DUMMYFUNCTION("""COMPUTED_VALUE"""),2022.1)</f>
        <v>2022.1</v>
      </c>
      <c r="L2056" s="298"/>
      <c r="M2056" s="223"/>
      <c r="N2056" s="223"/>
      <c r="O2056" s="223"/>
      <c r="P2056" s="223"/>
      <c r="Q2056" s="223"/>
      <c r="R2056" s="223"/>
      <c r="S2056" s="223"/>
      <c r="T2056" s="223"/>
      <c r="U2056" s="223"/>
      <c r="V2056" s="223"/>
      <c r="W2056" s="223"/>
      <c r="X2056" s="223"/>
      <c r="Y2056" s="223"/>
      <c r="Z2056" s="223"/>
    </row>
    <row r="2057">
      <c r="A2057" s="223" t="str">
        <f>IFERROR(__xludf.DUMMYFUNCTION("""COMPUTED_VALUE"""),"MortgagePal : Monthly Services")</f>
        <v>MortgagePal : Monthly Services</v>
      </c>
      <c r="B2057" s="223" t="str">
        <f>IFERROR(__xludf.DUMMYFUNCTION("""COMPUTED_VALUE"""),"MortgagePal")</f>
        <v>MortgagePal</v>
      </c>
      <c r="C2057" s="223" t="str">
        <f>IFERROR(__xludf.DUMMYFUNCTION("""COMPUTED_VALUE"""),"Monthly Services")</f>
        <v>Monthly Services</v>
      </c>
      <c r="D2057" s="316">
        <f>IFERROR(__xludf.DUMMYFUNCTION("""COMPUTED_VALUE"""),44865.0)</f>
        <v>44865</v>
      </c>
      <c r="E2057" s="298"/>
      <c r="F2057" s="298"/>
      <c r="G2057" s="298"/>
      <c r="H2057" s="223"/>
      <c r="I2057" s="298">
        <f>IFERROR(__xludf.DUMMYFUNCTION("""COMPUTED_VALUE"""),212.5)</f>
        <v>212.5</v>
      </c>
      <c r="J2057" s="223" t="str">
        <f>IFERROR(__xludf.DUMMYFUNCTION("""COMPUTED_VALUE"""),"Monthly")</f>
        <v>Monthly</v>
      </c>
      <c r="K2057" s="317">
        <f>IFERROR(__xludf.DUMMYFUNCTION("""COMPUTED_VALUE"""),2022.1)</f>
        <v>2022.1</v>
      </c>
      <c r="L2057" s="298"/>
      <c r="M2057" s="223"/>
      <c r="N2057" s="223"/>
      <c r="O2057" s="223"/>
      <c r="P2057" s="223"/>
      <c r="Q2057" s="223"/>
      <c r="R2057" s="223"/>
      <c r="S2057" s="223"/>
      <c r="T2057" s="223"/>
      <c r="U2057" s="223"/>
      <c r="V2057" s="223"/>
      <c r="W2057" s="223"/>
      <c r="X2057" s="223"/>
      <c r="Y2057" s="223"/>
      <c r="Z2057" s="223"/>
    </row>
    <row r="2058">
      <c r="A2058" s="223" t="str">
        <f>IFERROR(__xludf.DUMMYFUNCTION("""COMPUTED_VALUE"""),"Wallack's Art Supplies : Monthly Services")</f>
        <v>Wallack's Art Supplies : Monthly Services</v>
      </c>
      <c r="B2058" s="223" t="str">
        <f>IFERROR(__xludf.DUMMYFUNCTION("""COMPUTED_VALUE"""),"Wallack's Art Supplies")</f>
        <v>Wallack's Art Supplies</v>
      </c>
      <c r="C2058" s="223" t="str">
        <f>IFERROR(__xludf.DUMMYFUNCTION("""COMPUTED_VALUE"""),"Monthly Services")</f>
        <v>Monthly Services</v>
      </c>
      <c r="D2058" s="316">
        <f>IFERROR(__xludf.DUMMYFUNCTION("""COMPUTED_VALUE"""),44865.0)</f>
        <v>44865</v>
      </c>
      <c r="E2058" s="298"/>
      <c r="F2058" s="298"/>
      <c r="G2058" s="298"/>
      <c r="H2058" s="223"/>
      <c r="I2058" s="298">
        <f>IFERROR(__xludf.DUMMYFUNCTION("""COMPUTED_VALUE"""),262.5)</f>
        <v>262.5</v>
      </c>
      <c r="J2058" s="223" t="str">
        <f>IFERROR(__xludf.DUMMYFUNCTION("""COMPUTED_VALUE"""),"Monthly")</f>
        <v>Monthly</v>
      </c>
      <c r="K2058" s="317">
        <f>IFERROR(__xludf.DUMMYFUNCTION("""COMPUTED_VALUE"""),2022.1)</f>
        <v>2022.1</v>
      </c>
      <c r="L2058" s="298"/>
      <c r="M2058" s="223"/>
      <c r="N2058" s="223"/>
      <c r="O2058" s="223"/>
      <c r="P2058" s="223"/>
      <c r="Q2058" s="223"/>
      <c r="R2058" s="223"/>
      <c r="S2058" s="223"/>
      <c r="T2058" s="223"/>
      <c r="U2058" s="223"/>
      <c r="V2058" s="223"/>
      <c r="W2058" s="223"/>
      <c r="X2058" s="223"/>
      <c r="Y2058" s="223"/>
      <c r="Z2058" s="223"/>
    </row>
    <row r="2059">
      <c r="A2059" s="223" t="str">
        <f>IFERROR(__xludf.DUMMYFUNCTION("""COMPUTED_VALUE"""),"Big Hammer Wines : Google Search and Shopping Overhaul")</f>
        <v>Big Hammer Wines : Google Search and Shopping Overhaul</v>
      </c>
      <c r="B2059" s="223" t="str">
        <f>IFERROR(__xludf.DUMMYFUNCTION("""COMPUTED_VALUE"""),"Big Hammer Wines")</f>
        <v>Big Hammer Wines</v>
      </c>
      <c r="C2059" s="223" t="str">
        <f>IFERROR(__xludf.DUMMYFUNCTION("""COMPUTED_VALUE"""),"Google Search and Shopping Overhaul")</f>
        <v>Google Search and Shopping Overhaul</v>
      </c>
      <c r="D2059" s="316">
        <f>IFERROR(__xludf.DUMMYFUNCTION("""COMPUTED_VALUE"""),44865.0)</f>
        <v>44865</v>
      </c>
      <c r="E2059" s="298"/>
      <c r="F2059" s="298"/>
      <c r="G2059" s="298"/>
      <c r="H2059" s="223"/>
      <c r="I2059" s="298">
        <f>IFERROR(__xludf.DUMMYFUNCTION("""COMPUTED_VALUE"""),237.5)</f>
        <v>237.5</v>
      </c>
      <c r="J2059" s="223" t="str">
        <f>IFERROR(__xludf.DUMMYFUNCTION("""COMPUTED_VALUE"""),"Fixed Project")</f>
        <v>Fixed Project</v>
      </c>
      <c r="K2059" s="317">
        <f>IFERROR(__xludf.DUMMYFUNCTION("""COMPUTED_VALUE"""),2022.0)</f>
        <v>2022</v>
      </c>
      <c r="L2059" s="298"/>
      <c r="M2059" s="223"/>
      <c r="N2059" s="223"/>
      <c r="O2059" s="223"/>
      <c r="P2059" s="223"/>
      <c r="Q2059" s="223"/>
      <c r="R2059" s="223"/>
      <c r="S2059" s="223"/>
      <c r="T2059" s="223"/>
      <c r="U2059" s="223"/>
      <c r="V2059" s="223"/>
      <c r="W2059" s="223"/>
      <c r="X2059" s="223"/>
      <c r="Y2059" s="223"/>
      <c r="Z2059" s="223"/>
    </row>
    <row r="2060">
      <c r="A2060" s="223" t="str">
        <f>IFERROR(__xludf.DUMMYFUNCTION("""COMPUTED_VALUE"""),"Hastings House : Monthly Services")</f>
        <v>Hastings House : Monthly Services</v>
      </c>
      <c r="B2060" s="223" t="str">
        <f>IFERROR(__xludf.DUMMYFUNCTION("""COMPUTED_VALUE"""),"Hastings House")</f>
        <v>Hastings House</v>
      </c>
      <c r="C2060" s="223" t="str">
        <f>IFERROR(__xludf.DUMMYFUNCTION("""COMPUTED_VALUE"""),"Monthly Services")</f>
        <v>Monthly Services</v>
      </c>
      <c r="D2060" s="316">
        <f>IFERROR(__xludf.DUMMYFUNCTION("""COMPUTED_VALUE"""),44865.0)</f>
        <v>44865</v>
      </c>
      <c r="E2060" s="298"/>
      <c r="F2060" s="298"/>
      <c r="G2060" s="298"/>
      <c r="H2060" s="223"/>
      <c r="I2060" s="298">
        <f>IFERROR(__xludf.DUMMYFUNCTION("""COMPUTED_VALUE"""),350.0)</f>
        <v>350</v>
      </c>
      <c r="J2060" s="223" t="str">
        <f>IFERROR(__xludf.DUMMYFUNCTION("""COMPUTED_VALUE"""),"Monthly")</f>
        <v>Monthly</v>
      </c>
      <c r="K2060" s="317">
        <f>IFERROR(__xludf.DUMMYFUNCTION("""COMPUTED_VALUE"""),2022.1)</f>
        <v>2022.1</v>
      </c>
      <c r="L2060" s="298"/>
      <c r="M2060" s="223"/>
      <c r="N2060" s="223"/>
      <c r="O2060" s="223"/>
      <c r="P2060" s="223"/>
      <c r="Q2060" s="223"/>
      <c r="R2060" s="223"/>
      <c r="S2060" s="223"/>
      <c r="T2060" s="223"/>
      <c r="U2060" s="223"/>
      <c r="V2060" s="223"/>
      <c r="W2060" s="223"/>
      <c r="X2060" s="223"/>
      <c r="Y2060" s="223"/>
      <c r="Z2060" s="223"/>
    </row>
    <row r="2061">
      <c r="A2061" s="223" t="str">
        <f>IFERROR(__xludf.DUMMYFUNCTION("""COMPUTED_VALUE"""),"Spraggs : Monthly Services")</f>
        <v>Spraggs : Monthly Services</v>
      </c>
      <c r="B2061" s="223" t="str">
        <f>IFERROR(__xludf.DUMMYFUNCTION("""COMPUTED_VALUE"""),"Spraggs")</f>
        <v>Spraggs</v>
      </c>
      <c r="C2061" s="223" t="str">
        <f>IFERROR(__xludf.DUMMYFUNCTION("""COMPUTED_VALUE"""),"Monthly Services")</f>
        <v>Monthly Services</v>
      </c>
      <c r="D2061" s="316">
        <f>IFERROR(__xludf.DUMMYFUNCTION("""COMPUTED_VALUE"""),44865.0)</f>
        <v>44865</v>
      </c>
      <c r="E2061" s="298"/>
      <c r="F2061" s="298"/>
      <c r="G2061" s="298"/>
      <c r="H2061" s="223"/>
      <c r="I2061" s="298">
        <f>IFERROR(__xludf.DUMMYFUNCTION("""COMPUTED_VALUE"""),212.5)</f>
        <v>212.5</v>
      </c>
      <c r="J2061" s="223" t="str">
        <f>IFERROR(__xludf.DUMMYFUNCTION("""COMPUTED_VALUE"""),"Monthly")</f>
        <v>Monthly</v>
      </c>
      <c r="K2061" s="317">
        <f>IFERROR(__xludf.DUMMYFUNCTION("""COMPUTED_VALUE"""),2022.1)</f>
        <v>2022.1</v>
      </c>
      <c r="L2061" s="298"/>
      <c r="M2061" s="223"/>
      <c r="N2061" s="223"/>
      <c r="O2061" s="223"/>
      <c r="P2061" s="223"/>
      <c r="Q2061" s="223"/>
      <c r="R2061" s="223"/>
      <c r="S2061" s="223"/>
      <c r="T2061" s="223"/>
      <c r="U2061" s="223"/>
      <c r="V2061" s="223"/>
      <c r="W2061" s="223"/>
      <c r="X2061" s="223"/>
      <c r="Y2061" s="223"/>
      <c r="Z2061" s="223"/>
    </row>
    <row r="2062">
      <c r="A2062" s="223" t="str">
        <f>IFERROR(__xludf.DUMMYFUNCTION("""COMPUTED_VALUE"""),"Charli AI : PPC Work")</f>
        <v>Charli AI : PPC Work</v>
      </c>
      <c r="B2062" s="223" t="str">
        <f>IFERROR(__xludf.DUMMYFUNCTION("""COMPUTED_VALUE"""),"Charli AI")</f>
        <v>Charli AI</v>
      </c>
      <c r="C2062" s="223" t="str">
        <f>IFERROR(__xludf.DUMMYFUNCTION("""COMPUTED_VALUE"""),"PPC Work")</f>
        <v>PPC Work</v>
      </c>
      <c r="D2062" s="316">
        <f>IFERROR(__xludf.DUMMYFUNCTION("""COMPUTED_VALUE"""),44865.0)</f>
        <v>44865</v>
      </c>
      <c r="E2062" s="298"/>
      <c r="F2062" s="298"/>
      <c r="G2062" s="298"/>
      <c r="H2062" s="223"/>
      <c r="I2062" s="298">
        <f>IFERROR(__xludf.DUMMYFUNCTION("""COMPUTED_VALUE"""),21.0)</f>
        <v>21</v>
      </c>
      <c r="J2062" s="223" t="str">
        <f>IFERROR(__xludf.DUMMYFUNCTION("""COMPUTED_VALUE"""),"Fixed Project")</f>
        <v>Fixed Project</v>
      </c>
      <c r="K2062" s="317">
        <f>IFERROR(__xludf.DUMMYFUNCTION("""COMPUTED_VALUE"""),2022.0)</f>
        <v>2022</v>
      </c>
      <c r="L2062" s="298"/>
      <c r="M2062" s="223"/>
      <c r="N2062" s="223"/>
      <c r="O2062" s="223"/>
      <c r="P2062" s="223"/>
      <c r="Q2062" s="223"/>
      <c r="R2062" s="223"/>
      <c r="S2062" s="223"/>
      <c r="T2062" s="223"/>
      <c r="U2062" s="223"/>
      <c r="V2062" s="223"/>
      <c r="W2062" s="223"/>
      <c r="X2062" s="223"/>
      <c r="Y2062" s="223"/>
      <c r="Z2062" s="223"/>
    </row>
    <row r="2063">
      <c r="A2063" s="223" t="str">
        <f>IFERROR(__xludf.DUMMYFUNCTION("""COMPUTED_VALUE"""),"HSJ Lawyers : Monthly Services")</f>
        <v>HSJ Lawyers : Monthly Services</v>
      </c>
      <c r="B2063" s="223" t="str">
        <f>IFERROR(__xludf.DUMMYFUNCTION("""COMPUTED_VALUE"""),"HSJ Lawyers")</f>
        <v>HSJ Lawyers</v>
      </c>
      <c r="C2063" s="223" t="str">
        <f>IFERROR(__xludf.DUMMYFUNCTION("""COMPUTED_VALUE"""),"Monthly Services")</f>
        <v>Monthly Services</v>
      </c>
      <c r="D2063" s="316">
        <f>IFERROR(__xludf.DUMMYFUNCTION("""COMPUTED_VALUE"""),44865.0)</f>
        <v>44865</v>
      </c>
      <c r="E2063" s="298"/>
      <c r="F2063" s="298"/>
      <c r="G2063" s="298"/>
      <c r="H2063" s="223"/>
      <c r="I2063" s="298">
        <f>IFERROR(__xludf.DUMMYFUNCTION("""COMPUTED_VALUE"""),225.0)</f>
        <v>225</v>
      </c>
      <c r="J2063" s="223" t="str">
        <f>IFERROR(__xludf.DUMMYFUNCTION("""COMPUTED_VALUE"""),"Monthly")</f>
        <v>Monthly</v>
      </c>
      <c r="K2063" s="317">
        <f>IFERROR(__xludf.DUMMYFUNCTION("""COMPUTED_VALUE"""),2022.1)</f>
        <v>2022.1</v>
      </c>
      <c r="L2063" s="298"/>
      <c r="M2063" s="223"/>
      <c r="N2063" s="223"/>
      <c r="O2063" s="223"/>
      <c r="P2063" s="223"/>
      <c r="Q2063" s="223"/>
      <c r="R2063" s="223"/>
      <c r="S2063" s="223"/>
      <c r="T2063" s="223"/>
      <c r="U2063" s="223"/>
      <c r="V2063" s="223"/>
      <c r="W2063" s="223"/>
      <c r="X2063" s="223"/>
      <c r="Y2063" s="223"/>
      <c r="Z2063" s="223"/>
    </row>
    <row r="2064">
      <c r="A2064" s="223" t="str">
        <f>IFERROR(__xludf.DUMMYFUNCTION("""COMPUTED_VALUE"""),"Spraggs : Monthly Services")</f>
        <v>Spraggs : Monthly Services</v>
      </c>
      <c r="B2064" s="223" t="str">
        <f>IFERROR(__xludf.DUMMYFUNCTION("""COMPUTED_VALUE"""),"Spraggs")</f>
        <v>Spraggs</v>
      </c>
      <c r="C2064" s="223" t="str">
        <f>IFERROR(__xludf.DUMMYFUNCTION("""COMPUTED_VALUE"""),"Monthly Services")</f>
        <v>Monthly Services</v>
      </c>
      <c r="D2064" s="316">
        <f>IFERROR(__xludf.DUMMYFUNCTION("""COMPUTED_VALUE"""),44865.0)</f>
        <v>44865</v>
      </c>
      <c r="E2064" s="298"/>
      <c r="F2064" s="298"/>
      <c r="G2064" s="298"/>
      <c r="H2064" s="223"/>
      <c r="I2064" s="298">
        <f>IFERROR(__xludf.DUMMYFUNCTION("""COMPUTED_VALUE"""),300.0)</f>
        <v>300</v>
      </c>
      <c r="J2064" s="223" t="str">
        <f>IFERROR(__xludf.DUMMYFUNCTION("""COMPUTED_VALUE"""),"Monthly")</f>
        <v>Monthly</v>
      </c>
      <c r="K2064" s="317">
        <f>IFERROR(__xludf.DUMMYFUNCTION("""COMPUTED_VALUE"""),2022.1)</f>
        <v>2022.1</v>
      </c>
      <c r="L2064" s="298"/>
      <c r="M2064" s="223"/>
      <c r="N2064" s="223"/>
      <c r="O2064" s="223"/>
      <c r="P2064" s="223"/>
      <c r="Q2064" s="223"/>
      <c r="R2064" s="223"/>
      <c r="S2064" s="223"/>
      <c r="T2064" s="223"/>
      <c r="U2064" s="223"/>
      <c r="V2064" s="223"/>
      <c r="W2064" s="223"/>
      <c r="X2064" s="223"/>
      <c r="Y2064" s="223"/>
      <c r="Z2064" s="223"/>
    </row>
    <row r="2065">
      <c r="A2065" s="223" t="str">
        <f>IFERROR(__xludf.DUMMYFUNCTION("""COMPUTED_VALUE"""),"Crisp Media : Genus Capital Managment PPC")</f>
        <v>Crisp Media : Genus Capital Managment PPC</v>
      </c>
      <c r="B2065" s="223" t="str">
        <f>IFERROR(__xludf.DUMMYFUNCTION("""COMPUTED_VALUE"""),"Crisp Media")</f>
        <v>Crisp Media</v>
      </c>
      <c r="C2065" s="223" t="str">
        <f>IFERROR(__xludf.DUMMYFUNCTION("""COMPUTED_VALUE"""),"Genus Capital Managment PPC")</f>
        <v>Genus Capital Managment PPC</v>
      </c>
      <c r="D2065" s="316">
        <f>IFERROR(__xludf.DUMMYFUNCTION("""COMPUTED_VALUE"""),44865.0)</f>
        <v>44865</v>
      </c>
      <c r="E2065" s="298"/>
      <c r="F2065" s="298"/>
      <c r="G2065" s="298"/>
      <c r="H2065" s="223"/>
      <c r="I2065" s="298">
        <f>IFERROR(__xludf.DUMMYFUNCTION("""COMPUTED_VALUE"""),175.0)</f>
        <v>175</v>
      </c>
      <c r="J2065" s="223" t="str">
        <f>IFERROR(__xludf.DUMMYFUNCTION("""COMPUTED_VALUE"""),"Fixed Project")</f>
        <v>Fixed Project</v>
      </c>
      <c r="K2065" s="317">
        <f>IFERROR(__xludf.DUMMYFUNCTION("""COMPUTED_VALUE"""),2022.0)</f>
        <v>2022</v>
      </c>
      <c r="L2065" s="298"/>
      <c r="M2065" s="223"/>
      <c r="N2065" s="223"/>
      <c r="O2065" s="223"/>
      <c r="P2065" s="223"/>
      <c r="Q2065" s="223"/>
      <c r="R2065" s="223"/>
      <c r="S2065" s="223"/>
      <c r="T2065" s="223"/>
      <c r="U2065" s="223"/>
      <c r="V2065" s="223"/>
      <c r="W2065" s="223"/>
      <c r="X2065" s="223"/>
      <c r="Y2065" s="223"/>
      <c r="Z2065" s="223"/>
    </row>
    <row r="2066">
      <c r="A2066" s="223" t="str">
        <f>IFERROR(__xludf.DUMMYFUNCTION("""COMPUTED_VALUE"""),"Spraggs : Monthly Services")</f>
        <v>Spraggs : Monthly Services</v>
      </c>
      <c r="B2066" s="223" t="str">
        <f>IFERROR(__xludf.DUMMYFUNCTION("""COMPUTED_VALUE"""),"Spraggs")</f>
        <v>Spraggs</v>
      </c>
      <c r="C2066" s="223" t="str">
        <f>IFERROR(__xludf.DUMMYFUNCTION("""COMPUTED_VALUE"""),"Monthly Services")</f>
        <v>Monthly Services</v>
      </c>
      <c r="D2066" s="316">
        <f>IFERROR(__xludf.DUMMYFUNCTION("""COMPUTED_VALUE"""),44865.0)</f>
        <v>44865</v>
      </c>
      <c r="E2066" s="298"/>
      <c r="F2066" s="298"/>
      <c r="G2066" s="298"/>
      <c r="H2066" s="223"/>
      <c r="I2066" s="298">
        <f>IFERROR(__xludf.DUMMYFUNCTION("""COMPUTED_VALUE"""),275.0)</f>
        <v>275</v>
      </c>
      <c r="J2066" s="223" t="str">
        <f>IFERROR(__xludf.DUMMYFUNCTION("""COMPUTED_VALUE"""),"Monthly")</f>
        <v>Monthly</v>
      </c>
      <c r="K2066" s="317">
        <f>IFERROR(__xludf.DUMMYFUNCTION("""COMPUTED_VALUE"""),2022.1)</f>
        <v>2022.1</v>
      </c>
      <c r="L2066" s="298"/>
      <c r="M2066" s="223"/>
      <c r="N2066" s="223"/>
      <c r="O2066" s="223"/>
      <c r="P2066" s="223"/>
      <c r="Q2066" s="223"/>
      <c r="R2066" s="223"/>
      <c r="S2066" s="223"/>
      <c r="T2066" s="223"/>
      <c r="U2066" s="223"/>
      <c r="V2066" s="223"/>
      <c r="W2066" s="223"/>
      <c r="X2066" s="223"/>
      <c r="Y2066" s="223"/>
      <c r="Z2066" s="223"/>
    </row>
    <row r="2067">
      <c r="A2067" s="223" t="str">
        <f>IFERROR(__xludf.DUMMYFUNCTION("""COMPUTED_VALUE"""),"MortgagePal : Monthly Services")</f>
        <v>MortgagePal : Monthly Services</v>
      </c>
      <c r="B2067" s="223" t="str">
        <f>IFERROR(__xludf.DUMMYFUNCTION("""COMPUTED_VALUE"""),"MortgagePal")</f>
        <v>MortgagePal</v>
      </c>
      <c r="C2067" s="223" t="str">
        <f>IFERROR(__xludf.DUMMYFUNCTION("""COMPUTED_VALUE"""),"Monthly Services")</f>
        <v>Monthly Services</v>
      </c>
      <c r="D2067" s="316">
        <f>IFERROR(__xludf.DUMMYFUNCTION("""COMPUTED_VALUE"""),44865.0)</f>
        <v>44865</v>
      </c>
      <c r="E2067" s="298"/>
      <c r="F2067" s="298"/>
      <c r="G2067" s="298"/>
      <c r="H2067" s="223"/>
      <c r="I2067" s="298">
        <f>IFERROR(__xludf.DUMMYFUNCTION("""COMPUTED_VALUE"""),45.0)</f>
        <v>45</v>
      </c>
      <c r="J2067" s="223" t="str">
        <f>IFERROR(__xludf.DUMMYFUNCTION("""COMPUTED_VALUE"""),"Monthly")</f>
        <v>Monthly</v>
      </c>
      <c r="K2067" s="317">
        <f>IFERROR(__xludf.DUMMYFUNCTION("""COMPUTED_VALUE"""),2022.1)</f>
        <v>2022.1</v>
      </c>
      <c r="L2067" s="298"/>
      <c r="M2067" s="223"/>
      <c r="N2067" s="223"/>
      <c r="O2067" s="223"/>
      <c r="P2067" s="223"/>
      <c r="Q2067" s="223"/>
      <c r="R2067" s="223"/>
      <c r="S2067" s="223"/>
      <c r="T2067" s="223"/>
      <c r="U2067" s="223"/>
      <c r="V2067" s="223"/>
      <c r="W2067" s="223"/>
      <c r="X2067" s="223"/>
      <c r="Y2067" s="223"/>
      <c r="Z2067" s="223"/>
    </row>
    <row r="2068">
      <c r="A2068" s="223" t="str">
        <f>IFERROR(__xludf.DUMMYFUNCTION("""COMPUTED_VALUE"""),"Service First : Monthly Services")</f>
        <v>Service First : Monthly Services</v>
      </c>
      <c r="B2068" s="223" t="str">
        <f>IFERROR(__xludf.DUMMYFUNCTION("""COMPUTED_VALUE"""),"Service First")</f>
        <v>Service First</v>
      </c>
      <c r="C2068" s="223" t="str">
        <f>IFERROR(__xludf.DUMMYFUNCTION("""COMPUTED_VALUE"""),"Monthly Services")</f>
        <v>Monthly Services</v>
      </c>
      <c r="D2068" s="316">
        <f>IFERROR(__xludf.DUMMYFUNCTION("""COMPUTED_VALUE"""),44865.0)</f>
        <v>44865</v>
      </c>
      <c r="E2068" s="298"/>
      <c r="F2068" s="298"/>
      <c r="G2068" s="298"/>
      <c r="H2068" s="223"/>
      <c r="I2068" s="298">
        <f>IFERROR(__xludf.DUMMYFUNCTION("""COMPUTED_VALUE"""),30.0)</f>
        <v>30</v>
      </c>
      <c r="J2068" s="223" t="str">
        <f>IFERROR(__xludf.DUMMYFUNCTION("""COMPUTED_VALUE"""),"Monthly")</f>
        <v>Monthly</v>
      </c>
      <c r="K2068" s="317">
        <f>IFERROR(__xludf.DUMMYFUNCTION("""COMPUTED_VALUE"""),2022.1)</f>
        <v>2022.1</v>
      </c>
      <c r="L2068" s="298"/>
      <c r="M2068" s="223"/>
      <c r="N2068" s="223"/>
      <c r="O2068" s="223"/>
      <c r="P2068" s="223"/>
      <c r="Q2068" s="223"/>
      <c r="R2068" s="223"/>
      <c r="S2068" s="223"/>
      <c r="T2068" s="223"/>
      <c r="U2068" s="223"/>
      <c r="V2068" s="223"/>
      <c r="W2068" s="223"/>
      <c r="X2068" s="223"/>
      <c r="Y2068" s="223"/>
      <c r="Z2068" s="223"/>
    </row>
    <row r="2069">
      <c r="A2069" s="223" t="str">
        <f>IFERROR(__xludf.DUMMYFUNCTION("""COMPUTED_VALUE"""),"HSJ Lawyers : Monthly Services")</f>
        <v>HSJ Lawyers : Monthly Services</v>
      </c>
      <c r="B2069" s="223" t="str">
        <f>IFERROR(__xludf.DUMMYFUNCTION("""COMPUTED_VALUE"""),"HSJ Lawyers")</f>
        <v>HSJ Lawyers</v>
      </c>
      <c r="C2069" s="223" t="str">
        <f>IFERROR(__xludf.DUMMYFUNCTION("""COMPUTED_VALUE"""),"Monthly Services")</f>
        <v>Monthly Services</v>
      </c>
      <c r="D2069" s="316">
        <f>IFERROR(__xludf.DUMMYFUNCTION("""COMPUTED_VALUE"""),44865.0)</f>
        <v>44865</v>
      </c>
      <c r="E2069" s="298"/>
      <c r="F2069" s="298"/>
      <c r="G2069" s="298"/>
      <c r="H2069" s="223"/>
      <c r="I2069" s="298">
        <f>IFERROR(__xludf.DUMMYFUNCTION("""COMPUTED_VALUE"""),75.0)</f>
        <v>75</v>
      </c>
      <c r="J2069" s="223" t="str">
        <f>IFERROR(__xludf.DUMMYFUNCTION("""COMPUTED_VALUE"""),"Monthly")</f>
        <v>Monthly</v>
      </c>
      <c r="K2069" s="317">
        <f>IFERROR(__xludf.DUMMYFUNCTION("""COMPUTED_VALUE"""),2022.1)</f>
        <v>2022.1</v>
      </c>
      <c r="L2069" s="298"/>
      <c r="M2069" s="223"/>
      <c r="N2069" s="223"/>
      <c r="O2069" s="223"/>
      <c r="P2069" s="223"/>
      <c r="Q2069" s="223"/>
      <c r="R2069" s="223"/>
      <c r="S2069" s="223"/>
      <c r="T2069" s="223"/>
      <c r="U2069" s="223"/>
      <c r="V2069" s="223"/>
      <c r="W2069" s="223"/>
      <c r="X2069" s="223"/>
      <c r="Y2069" s="223"/>
      <c r="Z2069" s="223"/>
    </row>
    <row r="2070">
      <c r="A2070" s="223" t="str">
        <f>IFERROR(__xludf.DUMMYFUNCTION("""COMPUTED_VALUE"""),"Booginhead : Monthly Services")</f>
        <v>Booginhead : Monthly Services</v>
      </c>
      <c r="B2070" s="223" t="str">
        <f>IFERROR(__xludf.DUMMYFUNCTION("""COMPUTED_VALUE"""),"Booginhead")</f>
        <v>Booginhead</v>
      </c>
      <c r="C2070" s="223" t="str">
        <f>IFERROR(__xludf.DUMMYFUNCTION("""COMPUTED_VALUE"""),"Monthly Services")</f>
        <v>Monthly Services</v>
      </c>
      <c r="D2070" s="316">
        <f>IFERROR(__xludf.DUMMYFUNCTION("""COMPUTED_VALUE"""),44865.0)</f>
        <v>44865</v>
      </c>
      <c r="E2070" s="298"/>
      <c r="F2070" s="298"/>
      <c r="G2070" s="298"/>
      <c r="H2070" s="223"/>
      <c r="I2070" s="298">
        <f>IFERROR(__xludf.DUMMYFUNCTION("""COMPUTED_VALUE"""),270.0)</f>
        <v>270</v>
      </c>
      <c r="J2070" s="223" t="str">
        <f>IFERROR(__xludf.DUMMYFUNCTION("""COMPUTED_VALUE"""),"Monthly")</f>
        <v>Monthly</v>
      </c>
      <c r="K2070" s="317">
        <f>IFERROR(__xludf.DUMMYFUNCTION("""COMPUTED_VALUE"""),2022.1)</f>
        <v>2022.1</v>
      </c>
      <c r="L2070" s="298"/>
      <c r="M2070" s="223"/>
      <c r="N2070" s="223"/>
      <c r="O2070" s="223"/>
      <c r="P2070" s="223"/>
      <c r="Q2070" s="223"/>
      <c r="R2070" s="223"/>
      <c r="S2070" s="223"/>
      <c r="T2070" s="223"/>
      <c r="U2070" s="223"/>
      <c r="V2070" s="223"/>
      <c r="W2070" s="223"/>
      <c r="X2070" s="223"/>
      <c r="Y2070" s="223"/>
      <c r="Z2070" s="223"/>
    </row>
    <row r="2071">
      <c r="A2071" s="223" t="str">
        <f>IFERROR(__xludf.DUMMYFUNCTION("""COMPUTED_VALUE"""),"Hastings House : Monthly Services")</f>
        <v>Hastings House : Monthly Services</v>
      </c>
      <c r="B2071" s="223" t="str">
        <f>IFERROR(__xludf.DUMMYFUNCTION("""COMPUTED_VALUE"""),"Hastings House")</f>
        <v>Hastings House</v>
      </c>
      <c r="C2071" s="223" t="str">
        <f>IFERROR(__xludf.DUMMYFUNCTION("""COMPUTED_VALUE"""),"Monthly Services")</f>
        <v>Monthly Services</v>
      </c>
      <c r="D2071" s="316">
        <f>IFERROR(__xludf.DUMMYFUNCTION("""COMPUTED_VALUE"""),44865.0)</f>
        <v>44865</v>
      </c>
      <c r="E2071" s="298"/>
      <c r="F2071" s="298"/>
      <c r="G2071" s="298"/>
      <c r="H2071" s="223"/>
      <c r="I2071" s="298">
        <f>IFERROR(__xludf.DUMMYFUNCTION("""COMPUTED_VALUE"""),135.0)</f>
        <v>135</v>
      </c>
      <c r="J2071" s="223" t="str">
        <f>IFERROR(__xludf.DUMMYFUNCTION("""COMPUTED_VALUE"""),"Monthly")</f>
        <v>Monthly</v>
      </c>
      <c r="K2071" s="317">
        <f>IFERROR(__xludf.DUMMYFUNCTION("""COMPUTED_VALUE"""),2022.1)</f>
        <v>2022.1</v>
      </c>
      <c r="L2071" s="298"/>
      <c r="M2071" s="223"/>
      <c r="N2071" s="223"/>
      <c r="O2071" s="223"/>
      <c r="P2071" s="223"/>
      <c r="Q2071" s="223"/>
      <c r="R2071" s="223"/>
      <c r="S2071" s="223"/>
      <c r="T2071" s="223"/>
      <c r="U2071" s="223"/>
      <c r="V2071" s="223"/>
      <c r="W2071" s="223"/>
      <c r="X2071" s="223"/>
      <c r="Y2071" s="223"/>
      <c r="Z2071" s="223"/>
    </row>
    <row r="2072">
      <c r="A2072" s="223" t="str">
        <f>IFERROR(__xludf.DUMMYFUNCTION("""COMPUTED_VALUE"""),"Bratopia : Monthly Services")</f>
        <v>Bratopia : Monthly Services</v>
      </c>
      <c r="B2072" s="223" t="str">
        <f>IFERROR(__xludf.DUMMYFUNCTION("""COMPUTED_VALUE"""),"Bratopia")</f>
        <v>Bratopia</v>
      </c>
      <c r="C2072" s="223" t="str">
        <f>IFERROR(__xludf.DUMMYFUNCTION("""COMPUTED_VALUE"""),"Monthly Services")</f>
        <v>Monthly Services</v>
      </c>
      <c r="D2072" s="316">
        <f>IFERROR(__xludf.DUMMYFUNCTION("""COMPUTED_VALUE"""),44865.0)</f>
        <v>44865</v>
      </c>
      <c r="E2072" s="298"/>
      <c r="F2072" s="298"/>
      <c r="G2072" s="298"/>
      <c r="H2072" s="223"/>
      <c r="I2072" s="298">
        <f>IFERROR(__xludf.DUMMYFUNCTION("""COMPUTED_VALUE"""),400.0)</f>
        <v>400</v>
      </c>
      <c r="J2072" s="223" t="str">
        <f>IFERROR(__xludf.DUMMYFUNCTION("""COMPUTED_VALUE"""),"Monthly")</f>
        <v>Monthly</v>
      </c>
      <c r="K2072" s="317">
        <f>IFERROR(__xludf.DUMMYFUNCTION("""COMPUTED_VALUE"""),2022.1)</f>
        <v>2022.1</v>
      </c>
      <c r="L2072" s="298"/>
      <c r="M2072" s="223"/>
      <c r="N2072" s="223"/>
      <c r="O2072" s="223"/>
      <c r="P2072" s="223"/>
      <c r="Q2072" s="223"/>
      <c r="R2072" s="223"/>
      <c r="S2072" s="223"/>
      <c r="T2072" s="223"/>
      <c r="U2072" s="223"/>
      <c r="V2072" s="223"/>
      <c r="W2072" s="223"/>
      <c r="X2072" s="223"/>
      <c r="Y2072" s="223"/>
      <c r="Z2072" s="223"/>
    </row>
    <row r="2073">
      <c r="A2073" s="223" t="str">
        <f>IFERROR(__xludf.DUMMYFUNCTION("""COMPUTED_VALUE"""),"TisBest : Monthly Services")</f>
        <v>TisBest : Monthly Services</v>
      </c>
      <c r="B2073" s="223" t="str">
        <f>IFERROR(__xludf.DUMMYFUNCTION("""COMPUTED_VALUE"""),"TisBest")</f>
        <v>TisBest</v>
      </c>
      <c r="C2073" s="223" t="str">
        <f>IFERROR(__xludf.DUMMYFUNCTION("""COMPUTED_VALUE"""),"Monthly Services")</f>
        <v>Monthly Services</v>
      </c>
      <c r="D2073" s="316">
        <f>IFERROR(__xludf.DUMMYFUNCTION("""COMPUTED_VALUE"""),44865.0)</f>
        <v>44865</v>
      </c>
      <c r="E2073" s="298"/>
      <c r="F2073" s="298"/>
      <c r="G2073" s="298"/>
      <c r="H2073" s="223"/>
      <c r="I2073" s="298">
        <f>IFERROR(__xludf.DUMMYFUNCTION("""COMPUTED_VALUE"""),300.0)</f>
        <v>300</v>
      </c>
      <c r="J2073" s="223" t="str">
        <f>IFERROR(__xludf.DUMMYFUNCTION("""COMPUTED_VALUE"""),"Monthly")</f>
        <v>Monthly</v>
      </c>
      <c r="K2073" s="317">
        <f>IFERROR(__xludf.DUMMYFUNCTION("""COMPUTED_VALUE"""),2022.1)</f>
        <v>2022.1</v>
      </c>
      <c r="L2073" s="298"/>
      <c r="M2073" s="223"/>
      <c r="N2073" s="223"/>
      <c r="O2073" s="223"/>
      <c r="P2073" s="223"/>
      <c r="Q2073" s="223"/>
      <c r="R2073" s="223"/>
      <c r="S2073" s="223"/>
      <c r="T2073" s="223"/>
      <c r="U2073" s="223"/>
      <c r="V2073" s="223"/>
      <c r="W2073" s="223"/>
      <c r="X2073" s="223"/>
      <c r="Y2073" s="223"/>
      <c r="Z2073" s="223"/>
    </row>
    <row r="2074">
      <c r="A2074" s="223" t="str">
        <f>IFERROR(__xludf.DUMMYFUNCTION("""COMPUTED_VALUE"""),"Wallack's Art Supplies : Monthly Services")</f>
        <v>Wallack's Art Supplies : Monthly Services</v>
      </c>
      <c r="B2074" s="223" t="str">
        <f>IFERROR(__xludf.DUMMYFUNCTION("""COMPUTED_VALUE"""),"Wallack's Art Supplies")</f>
        <v>Wallack's Art Supplies</v>
      </c>
      <c r="C2074" s="223" t="str">
        <f>IFERROR(__xludf.DUMMYFUNCTION("""COMPUTED_VALUE"""),"Monthly Services")</f>
        <v>Monthly Services</v>
      </c>
      <c r="D2074" s="316">
        <f>IFERROR(__xludf.DUMMYFUNCTION("""COMPUTED_VALUE"""),44865.0)</f>
        <v>44865</v>
      </c>
      <c r="E2074" s="298"/>
      <c r="F2074" s="298"/>
      <c r="G2074" s="298"/>
      <c r="H2074" s="223"/>
      <c r="I2074" s="298">
        <f>IFERROR(__xludf.DUMMYFUNCTION("""COMPUTED_VALUE"""),60.0)</f>
        <v>60</v>
      </c>
      <c r="J2074" s="223" t="str">
        <f>IFERROR(__xludf.DUMMYFUNCTION("""COMPUTED_VALUE"""),"Monthly")</f>
        <v>Monthly</v>
      </c>
      <c r="K2074" s="317">
        <f>IFERROR(__xludf.DUMMYFUNCTION("""COMPUTED_VALUE"""),2022.1)</f>
        <v>2022.1</v>
      </c>
      <c r="L2074" s="298"/>
      <c r="M2074" s="223"/>
      <c r="N2074" s="223"/>
      <c r="O2074" s="223"/>
      <c r="P2074" s="223"/>
      <c r="Q2074" s="223"/>
      <c r="R2074" s="223"/>
      <c r="S2074" s="223"/>
      <c r="T2074" s="223"/>
      <c r="U2074" s="223"/>
      <c r="V2074" s="223"/>
      <c r="W2074" s="223"/>
      <c r="X2074" s="223"/>
      <c r="Y2074" s="223"/>
      <c r="Z2074" s="223"/>
    </row>
    <row r="2075">
      <c r="A2075" s="223" t="str">
        <f>IFERROR(__xludf.DUMMYFUNCTION("""COMPUTED_VALUE"""),"PMDI : Monthly Services")</f>
        <v>PMDI : Monthly Services</v>
      </c>
      <c r="B2075" s="223" t="str">
        <f>IFERROR(__xludf.DUMMYFUNCTION("""COMPUTED_VALUE"""),"PMDI")</f>
        <v>PMDI</v>
      </c>
      <c r="C2075" s="223" t="str">
        <f>IFERROR(__xludf.DUMMYFUNCTION("""COMPUTED_VALUE"""),"Monthly Services")</f>
        <v>Monthly Services</v>
      </c>
      <c r="D2075" s="316">
        <f>IFERROR(__xludf.DUMMYFUNCTION("""COMPUTED_VALUE"""),44865.0)</f>
        <v>44865</v>
      </c>
      <c r="E2075" s="298"/>
      <c r="F2075" s="298"/>
      <c r="G2075" s="298"/>
      <c r="H2075" s="223"/>
      <c r="I2075" s="298">
        <f>IFERROR(__xludf.DUMMYFUNCTION("""COMPUTED_VALUE"""),30.0)</f>
        <v>30</v>
      </c>
      <c r="J2075" s="223" t="str">
        <f>IFERROR(__xludf.DUMMYFUNCTION("""COMPUTED_VALUE"""),"Monthly")</f>
        <v>Monthly</v>
      </c>
      <c r="K2075" s="317">
        <f>IFERROR(__xludf.DUMMYFUNCTION("""COMPUTED_VALUE"""),2022.1)</f>
        <v>2022.1</v>
      </c>
      <c r="L2075" s="298"/>
      <c r="M2075" s="223"/>
      <c r="N2075" s="223"/>
      <c r="O2075" s="223"/>
      <c r="P2075" s="223"/>
      <c r="Q2075" s="223"/>
      <c r="R2075" s="223"/>
      <c r="S2075" s="223"/>
      <c r="T2075" s="223"/>
      <c r="U2075" s="223"/>
      <c r="V2075" s="223"/>
      <c r="W2075" s="223"/>
      <c r="X2075" s="223"/>
      <c r="Y2075" s="223"/>
      <c r="Z2075" s="223"/>
    </row>
    <row r="2076">
      <c r="A2076" s="223" t="str">
        <f>IFERROR(__xludf.DUMMYFUNCTION("""COMPUTED_VALUE"""),"Tofino Resort + Marina : Monthly Services")</f>
        <v>Tofino Resort + Marina : Monthly Services</v>
      </c>
      <c r="B2076" s="223" t="str">
        <f>IFERROR(__xludf.DUMMYFUNCTION("""COMPUTED_VALUE"""),"Tofino Resort + Marina")</f>
        <v>Tofino Resort + Marina</v>
      </c>
      <c r="C2076" s="223" t="str">
        <f>IFERROR(__xludf.DUMMYFUNCTION("""COMPUTED_VALUE"""),"Monthly Services")</f>
        <v>Monthly Services</v>
      </c>
      <c r="D2076" s="316">
        <f>IFERROR(__xludf.DUMMYFUNCTION("""COMPUTED_VALUE"""),44865.0)</f>
        <v>44865</v>
      </c>
      <c r="E2076" s="298"/>
      <c r="F2076" s="298"/>
      <c r="G2076" s="298"/>
      <c r="H2076" s="223"/>
      <c r="I2076" s="298">
        <f>IFERROR(__xludf.DUMMYFUNCTION("""COMPUTED_VALUE"""),300.0)</f>
        <v>300</v>
      </c>
      <c r="J2076" s="223" t="str">
        <f>IFERROR(__xludf.DUMMYFUNCTION("""COMPUTED_VALUE"""),"Monthly")</f>
        <v>Monthly</v>
      </c>
      <c r="K2076" s="317">
        <f>IFERROR(__xludf.DUMMYFUNCTION("""COMPUTED_VALUE"""),2022.1)</f>
        <v>2022.1</v>
      </c>
      <c r="L2076" s="298"/>
      <c r="M2076" s="223"/>
      <c r="N2076" s="223"/>
      <c r="O2076" s="223"/>
      <c r="P2076" s="223"/>
      <c r="Q2076" s="223"/>
      <c r="R2076" s="223"/>
      <c r="S2076" s="223"/>
      <c r="T2076" s="223"/>
      <c r="U2076" s="223"/>
      <c r="V2076" s="223"/>
      <c r="W2076" s="223"/>
      <c r="X2076" s="223"/>
      <c r="Y2076" s="223"/>
      <c r="Z2076" s="223"/>
    </row>
    <row r="2077">
      <c r="A2077" s="223" t="str">
        <f>IFERROR(__xludf.DUMMYFUNCTION("""COMPUTED_VALUE"""),"Anook Athletics : Monthly Services")</f>
        <v>Anook Athletics : Monthly Services</v>
      </c>
      <c r="B2077" s="223" t="str">
        <f>IFERROR(__xludf.DUMMYFUNCTION("""COMPUTED_VALUE"""),"Anook Athletics")</f>
        <v>Anook Athletics</v>
      </c>
      <c r="C2077" s="223" t="str">
        <f>IFERROR(__xludf.DUMMYFUNCTION("""COMPUTED_VALUE"""),"Monthly Services")</f>
        <v>Monthly Services</v>
      </c>
      <c r="D2077" s="316">
        <f>IFERROR(__xludf.DUMMYFUNCTION("""COMPUTED_VALUE"""),44865.0)</f>
        <v>44865</v>
      </c>
      <c r="E2077" s="298"/>
      <c r="F2077" s="298"/>
      <c r="G2077" s="298"/>
      <c r="H2077" s="223"/>
      <c r="I2077" s="298">
        <f>IFERROR(__xludf.DUMMYFUNCTION("""COMPUTED_VALUE"""),75.0)</f>
        <v>75</v>
      </c>
      <c r="J2077" s="223" t="str">
        <f>IFERROR(__xludf.DUMMYFUNCTION("""COMPUTED_VALUE"""),"Monthly")</f>
        <v>Monthly</v>
      </c>
      <c r="K2077" s="317">
        <f>IFERROR(__xludf.DUMMYFUNCTION("""COMPUTED_VALUE"""),2022.1)</f>
        <v>2022.1</v>
      </c>
      <c r="L2077" s="298"/>
      <c r="M2077" s="223"/>
      <c r="N2077" s="223"/>
      <c r="O2077" s="223"/>
      <c r="P2077" s="223"/>
      <c r="Q2077" s="223"/>
      <c r="R2077" s="223"/>
      <c r="S2077" s="223"/>
      <c r="T2077" s="223"/>
      <c r="U2077" s="223"/>
      <c r="V2077" s="223"/>
      <c r="W2077" s="223"/>
      <c r="X2077" s="223"/>
      <c r="Y2077" s="223"/>
      <c r="Z2077" s="223"/>
    </row>
    <row r="2078">
      <c r="A2078" s="223" t="str">
        <f>IFERROR(__xludf.DUMMYFUNCTION("""COMPUTED_VALUE"""),"New Growth Ecommerce Inc : Monthly Services")</f>
        <v>New Growth Ecommerce Inc : Monthly Services</v>
      </c>
      <c r="B2078" s="223" t="str">
        <f>IFERROR(__xludf.DUMMYFUNCTION("""COMPUTED_VALUE"""),"New Growth Ecommerce Inc")</f>
        <v>New Growth Ecommerce Inc</v>
      </c>
      <c r="C2078" s="223" t="str">
        <f>IFERROR(__xludf.DUMMYFUNCTION("""COMPUTED_VALUE"""),"Monthly Services")</f>
        <v>Monthly Services</v>
      </c>
      <c r="D2078" s="316">
        <f>IFERROR(__xludf.DUMMYFUNCTION("""COMPUTED_VALUE"""),44865.0)</f>
        <v>44865</v>
      </c>
      <c r="E2078" s="298"/>
      <c r="F2078" s="298"/>
      <c r="G2078" s="298"/>
      <c r="H2078" s="223"/>
      <c r="I2078" s="298">
        <f>IFERROR(__xludf.DUMMYFUNCTION("""COMPUTED_VALUE"""),1860.0)</f>
        <v>1860</v>
      </c>
      <c r="J2078" s="223" t="str">
        <f>IFERROR(__xludf.DUMMYFUNCTION("""COMPUTED_VALUE"""),"Monthly")</f>
        <v>Monthly</v>
      </c>
      <c r="K2078" s="317">
        <f>IFERROR(__xludf.DUMMYFUNCTION("""COMPUTED_VALUE"""),2022.1)</f>
        <v>2022.1</v>
      </c>
      <c r="L2078" s="298"/>
      <c r="M2078" s="223"/>
      <c r="N2078" s="223"/>
      <c r="O2078" s="223"/>
      <c r="P2078" s="223"/>
      <c r="Q2078" s="223"/>
      <c r="R2078" s="223"/>
      <c r="S2078" s="223"/>
      <c r="T2078" s="223"/>
      <c r="U2078" s="223"/>
      <c r="V2078" s="223"/>
      <c r="W2078" s="223"/>
      <c r="X2078" s="223"/>
      <c r="Y2078" s="223"/>
      <c r="Z2078" s="223"/>
    </row>
    <row r="2079">
      <c r="A2079" s="223" t="str">
        <f>IFERROR(__xludf.DUMMYFUNCTION("""COMPUTED_VALUE"""),"Viridian : Monthly Services")</f>
        <v>Viridian : Monthly Services</v>
      </c>
      <c r="B2079" s="223" t="str">
        <f>IFERROR(__xludf.DUMMYFUNCTION("""COMPUTED_VALUE"""),"Viridian")</f>
        <v>Viridian</v>
      </c>
      <c r="C2079" s="223" t="str">
        <f>IFERROR(__xludf.DUMMYFUNCTION("""COMPUTED_VALUE"""),"Monthly Services")</f>
        <v>Monthly Services</v>
      </c>
      <c r="D2079" s="316">
        <f>IFERROR(__xludf.DUMMYFUNCTION("""COMPUTED_VALUE"""),44865.0)</f>
        <v>44865</v>
      </c>
      <c r="E2079" s="298"/>
      <c r="F2079" s="298"/>
      <c r="G2079" s="298"/>
      <c r="H2079" s="223"/>
      <c r="I2079" s="298">
        <f>IFERROR(__xludf.DUMMYFUNCTION("""COMPUTED_VALUE"""),60.0)</f>
        <v>60</v>
      </c>
      <c r="J2079" s="223" t="str">
        <f>IFERROR(__xludf.DUMMYFUNCTION("""COMPUTED_VALUE"""),"Monthly")</f>
        <v>Monthly</v>
      </c>
      <c r="K2079" s="317">
        <f>IFERROR(__xludf.DUMMYFUNCTION("""COMPUTED_VALUE"""),2022.1)</f>
        <v>2022.1</v>
      </c>
      <c r="L2079" s="298"/>
      <c r="M2079" s="223"/>
      <c r="N2079" s="223"/>
      <c r="O2079" s="223"/>
      <c r="P2079" s="223"/>
      <c r="Q2079" s="223"/>
      <c r="R2079" s="223"/>
      <c r="S2079" s="223"/>
      <c r="T2079" s="223"/>
      <c r="U2079" s="223"/>
      <c r="V2079" s="223"/>
      <c r="W2079" s="223"/>
      <c r="X2079" s="223"/>
      <c r="Y2079" s="223"/>
      <c r="Z2079" s="223"/>
    </row>
    <row r="2080">
      <c r="A2080" s="223" t="str">
        <f>IFERROR(__xludf.DUMMYFUNCTION("""COMPUTED_VALUE"""),"Crisp Media : Genus Capital Managment PPC")</f>
        <v>Crisp Media : Genus Capital Managment PPC</v>
      </c>
      <c r="B2080" s="223" t="str">
        <f>IFERROR(__xludf.DUMMYFUNCTION("""COMPUTED_VALUE"""),"Crisp Media")</f>
        <v>Crisp Media</v>
      </c>
      <c r="C2080" s="223" t="str">
        <f>IFERROR(__xludf.DUMMYFUNCTION("""COMPUTED_VALUE"""),"Genus Capital Managment PPC")</f>
        <v>Genus Capital Managment PPC</v>
      </c>
      <c r="D2080" s="316">
        <f>IFERROR(__xludf.DUMMYFUNCTION("""COMPUTED_VALUE"""),44865.0)</f>
        <v>44865</v>
      </c>
      <c r="E2080" s="298"/>
      <c r="F2080" s="298"/>
      <c r="G2080" s="298"/>
      <c r="H2080" s="223"/>
      <c r="I2080" s="298">
        <f>IFERROR(__xludf.DUMMYFUNCTION("""COMPUTED_VALUE"""),45.0)</f>
        <v>45</v>
      </c>
      <c r="J2080" s="223" t="str">
        <f>IFERROR(__xludf.DUMMYFUNCTION("""COMPUTED_VALUE"""),"Fixed Project")</f>
        <v>Fixed Project</v>
      </c>
      <c r="K2080" s="317">
        <f>IFERROR(__xludf.DUMMYFUNCTION("""COMPUTED_VALUE"""),2022.0)</f>
        <v>2022</v>
      </c>
      <c r="L2080" s="298"/>
      <c r="M2080" s="223"/>
      <c r="N2080" s="223"/>
      <c r="O2080" s="223"/>
      <c r="P2080" s="223"/>
      <c r="Q2080" s="223"/>
      <c r="R2080" s="223"/>
      <c r="S2080" s="223"/>
      <c r="T2080" s="223"/>
      <c r="U2080" s="223"/>
      <c r="V2080" s="223"/>
      <c r="W2080" s="223"/>
      <c r="X2080" s="223"/>
      <c r="Y2080" s="223"/>
      <c r="Z2080" s="223"/>
    </row>
    <row r="2081">
      <c r="A2081" s="223" t="str">
        <f>IFERROR(__xludf.DUMMYFUNCTION("""COMPUTED_VALUE"""),"Howard Fine Jewellers : Ongoing PPC and SEO Support")</f>
        <v>Howard Fine Jewellers : Ongoing PPC and SEO Support</v>
      </c>
      <c r="B2081" s="223" t="str">
        <f>IFERROR(__xludf.DUMMYFUNCTION("""COMPUTED_VALUE"""),"Howard Fine Jewellers")</f>
        <v>Howard Fine Jewellers</v>
      </c>
      <c r="C2081" s="223" t="str">
        <f>IFERROR(__xludf.DUMMYFUNCTION("""COMPUTED_VALUE"""),"Ongoing PPC and SEO Support")</f>
        <v>Ongoing PPC and SEO Support</v>
      </c>
      <c r="D2081" s="316">
        <f>IFERROR(__xludf.DUMMYFUNCTION("""COMPUTED_VALUE"""),44865.0)</f>
        <v>44865</v>
      </c>
      <c r="E2081" s="298"/>
      <c r="F2081" s="298"/>
      <c r="G2081" s="298"/>
      <c r="H2081" s="223"/>
      <c r="I2081" s="298">
        <f>IFERROR(__xludf.DUMMYFUNCTION("""COMPUTED_VALUE"""),150.0)</f>
        <v>150</v>
      </c>
      <c r="J2081" s="223" t="str">
        <f>IFERROR(__xludf.DUMMYFUNCTION("""COMPUTED_VALUE"""),"Monthly")</f>
        <v>Monthly</v>
      </c>
      <c r="K2081" s="317">
        <f>IFERROR(__xludf.DUMMYFUNCTION("""COMPUTED_VALUE"""),2022.1)</f>
        <v>2022.1</v>
      </c>
      <c r="L2081" s="298"/>
      <c r="M2081" s="223"/>
      <c r="N2081" s="223"/>
      <c r="O2081" s="223"/>
      <c r="P2081" s="223"/>
      <c r="Q2081" s="223"/>
      <c r="R2081" s="223"/>
      <c r="S2081" s="223"/>
      <c r="T2081" s="223"/>
      <c r="U2081" s="223"/>
      <c r="V2081" s="223"/>
      <c r="W2081" s="223"/>
      <c r="X2081" s="223"/>
      <c r="Y2081" s="223"/>
      <c r="Z2081" s="223"/>
    </row>
    <row r="2082">
      <c r="A2082" s="223" t="str">
        <f>IFERROR(__xludf.DUMMYFUNCTION("""COMPUTED_VALUE"""),"Bevridge : Click. Sip. Learn. Campaign")</f>
        <v>Bevridge : Click. Sip. Learn. Campaign</v>
      </c>
      <c r="B2082" s="223" t="str">
        <f>IFERROR(__xludf.DUMMYFUNCTION("""COMPUTED_VALUE"""),"Bevridge")</f>
        <v>Bevridge</v>
      </c>
      <c r="C2082" s="223" t="str">
        <f>IFERROR(__xludf.DUMMYFUNCTION("""COMPUTED_VALUE"""),"Click. Sip. Learn. Campaign")</f>
        <v>Click. Sip. Learn. Campaign</v>
      </c>
      <c r="D2082" s="316">
        <f>IFERROR(__xludf.DUMMYFUNCTION("""COMPUTED_VALUE"""),44865.0)</f>
        <v>44865</v>
      </c>
      <c r="E2082" s="298"/>
      <c r="F2082" s="298"/>
      <c r="G2082" s="298"/>
      <c r="H2082" s="223"/>
      <c r="I2082" s="298">
        <f>IFERROR(__xludf.DUMMYFUNCTION("""COMPUTED_VALUE"""),180.0)</f>
        <v>180</v>
      </c>
      <c r="J2082" s="223" t="str">
        <f>IFERROR(__xludf.DUMMYFUNCTION("""COMPUTED_VALUE"""),"Fixed Project")</f>
        <v>Fixed Project</v>
      </c>
      <c r="K2082" s="317">
        <f>IFERROR(__xludf.DUMMYFUNCTION("""COMPUTED_VALUE"""),2022.0)</f>
        <v>2022</v>
      </c>
      <c r="L2082" s="298"/>
      <c r="M2082" s="223"/>
      <c r="N2082" s="223"/>
      <c r="O2082" s="223"/>
      <c r="P2082" s="223"/>
      <c r="Q2082" s="223"/>
      <c r="R2082" s="223"/>
      <c r="S2082" s="223"/>
      <c r="T2082" s="223"/>
      <c r="U2082" s="223"/>
      <c r="V2082" s="223"/>
      <c r="W2082" s="223"/>
      <c r="X2082" s="223"/>
      <c r="Y2082" s="223"/>
      <c r="Z2082" s="223"/>
    </row>
    <row r="2083">
      <c r="A2083" s="223" t="str">
        <f>IFERROR(__xludf.DUMMYFUNCTION("""COMPUTED_VALUE"""),"Big Hammer Wines : Google Search and Shopping Overhaul")</f>
        <v>Big Hammer Wines : Google Search and Shopping Overhaul</v>
      </c>
      <c r="B2083" s="223" t="str">
        <f>IFERROR(__xludf.DUMMYFUNCTION("""COMPUTED_VALUE"""),"Big Hammer Wines")</f>
        <v>Big Hammer Wines</v>
      </c>
      <c r="C2083" s="223" t="str">
        <f>IFERROR(__xludf.DUMMYFUNCTION("""COMPUTED_VALUE"""),"Google Search and Shopping Overhaul")</f>
        <v>Google Search and Shopping Overhaul</v>
      </c>
      <c r="D2083" s="316">
        <f>IFERROR(__xludf.DUMMYFUNCTION("""COMPUTED_VALUE"""),44865.0)</f>
        <v>44865</v>
      </c>
      <c r="E2083" s="298"/>
      <c r="F2083" s="298"/>
      <c r="G2083" s="298"/>
      <c r="H2083" s="223"/>
      <c r="I2083" s="298">
        <f>IFERROR(__xludf.DUMMYFUNCTION("""COMPUTED_VALUE"""),60.0)</f>
        <v>60</v>
      </c>
      <c r="J2083" s="223" t="str">
        <f>IFERROR(__xludf.DUMMYFUNCTION("""COMPUTED_VALUE"""),"Fixed Project")</f>
        <v>Fixed Project</v>
      </c>
      <c r="K2083" s="317">
        <f>IFERROR(__xludf.DUMMYFUNCTION("""COMPUTED_VALUE"""),2022.0)</f>
        <v>2022</v>
      </c>
      <c r="L2083" s="298"/>
      <c r="M2083" s="223"/>
      <c r="N2083" s="223"/>
      <c r="O2083" s="223"/>
      <c r="P2083" s="223"/>
      <c r="Q2083" s="223"/>
      <c r="R2083" s="223"/>
      <c r="S2083" s="223"/>
      <c r="T2083" s="223"/>
      <c r="U2083" s="223"/>
      <c r="V2083" s="223"/>
      <c r="W2083" s="223"/>
      <c r="X2083" s="223"/>
      <c r="Y2083" s="223"/>
      <c r="Z2083" s="223"/>
    </row>
    <row r="2084">
      <c r="A2084" s="223" t="str">
        <f>IFERROR(__xludf.DUMMYFUNCTION("""COMPUTED_VALUE"""),"Moloco : Monthly PPC")</f>
        <v>Moloco : Monthly PPC</v>
      </c>
      <c r="B2084" s="223" t="str">
        <f>IFERROR(__xludf.DUMMYFUNCTION("""COMPUTED_VALUE"""),"Moloco")</f>
        <v>Moloco</v>
      </c>
      <c r="C2084" s="223" t="str">
        <f>IFERROR(__xludf.DUMMYFUNCTION("""COMPUTED_VALUE"""),"Monthly PPC")</f>
        <v>Monthly PPC</v>
      </c>
      <c r="D2084" s="316">
        <f>IFERROR(__xludf.DUMMYFUNCTION("""COMPUTED_VALUE"""),44865.0)</f>
        <v>44865</v>
      </c>
      <c r="E2084" s="298"/>
      <c r="F2084" s="298"/>
      <c r="G2084" s="298"/>
      <c r="H2084" s="223"/>
      <c r="I2084" s="298">
        <f>IFERROR(__xludf.DUMMYFUNCTION("""COMPUTED_VALUE"""),45.0)</f>
        <v>45</v>
      </c>
      <c r="J2084" s="223" t="str">
        <f>IFERROR(__xludf.DUMMYFUNCTION("""COMPUTED_VALUE"""),"Monthly")</f>
        <v>Monthly</v>
      </c>
      <c r="K2084" s="317">
        <f>IFERROR(__xludf.DUMMYFUNCTION("""COMPUTED_VALUE"""),2022.1)</f>
        <v>2022.1</v>
      </c>
      <c r="L2084" s="298"/>
      <c r="M2084" s="223"/>
      <c r="N2084" s="223"/>
      <c r="O2084" s="223"/>
      <c r="P2084" s="223"/>
      <c r="Q2084" s="223"/>
      <c r="R2084" s="223"/>
      <c r="S2084" s="223"/>
      <c r="T2084" s="223"/>
      <c r="U2084" s="223"/>
      <c r="V2084" s="223"/>
      <c r="W2084" s="223"/>
      <c r="X2084" s="223"/>
      <c r="Y2084" s="223"/>
      <c r="Z2084" s="223"/>
    </row>
    <row r="2085">
      <c r="A2085" s="223" t="str">
        <f>IFERROR(__xludf.DUMMYFUNCTION("""COMPUTED_VALUE"""),"C360 : Johns Hopkins University PPC Management")</f>
        <v>C360 : Johns Hopkins University PPC Management</v>
      </c>
      <c r="B2085" s="223" t="str">
        <f>IFERROR(__xludf.DUMMYFUNCTION("""COMPUTED_VALUE"""),"C360")</f>
        <v>C360</v>
      </c>
      <c r="C2085" s="223" t="str">
        <f>IFERROR(__xludf.DUMMYFUNCTION("""COMPUTED_VALUE"""),"Johns Hopkins University PPC Management")</f>
        <v>Johns Hopkins University PPC Management</v>
      </c>
      <c r="D2085" s="316">
        <f>IFERROR(__xludf.DUMMYFUNCTION("""COMPUTED_VALUE"""),44865.0)</f>
        <v>44865</v>
      </c>
      <c r="E2085" s="298"/>
      <c r="F2085" s="298"/>
      <c r="G2085" s="298"/>
      <c r="H2085" s="223"/>
      <c r="I2085" s="298">
        <f>IFERROR(__xludf.DUMMYFUNCTION("""COMPUTED_VALUE"""),257.5)</f>
        <v>257.5</v>
      </c>
      <c r="J2085" s="223" t="str">
        <f>IFERROR(__xludf.DUMMYFUNCTION("""COMPUTED_VALUE"""),"Fixed Project")</f>
        <v>Fixed Project</v>
      </c>
      <c r="K2085" s="317">
        <f>IFERROR(__xludf.DUMMYFUNCTION("""COMPUTED_VALUE"""),2022.0)</f>
        <v>2022</v>
      </c>
      <c r="L2085" s="298"/>
      <c r="M2085" s="223"/>
      <c r="N2085" s="223"/>
      <c r="O2085" s="223"/>
      <c r="P2085" s="223"/>
      <c r="Q2085" s="223"/>
      <c r="R2085" s="223"/>
      <c r="S2085" s="223"/>
      <c r="T2085" s="223"/>
      <c r="U2085" s="223"/>
      <c r="V2085" s="223"/>
      <c r="W2085" s="223"/>
      <c r="X2085" s="223"/>
      <c r="Y2085" s="223"/>
      <c r="Z2085" s="223"/>
    </row>
    <row r="2086">
      <c r="A2086" s="223" t="str">
        <f>IFERROR(__xludf.DUMMYFUNCTION("""COMPUTED_VALUE"""),"OA Region 6 : Monthly Services")</f>
        <v>OA Region 6 : Monthly Services</v>
      </c>
      <c r="B2086" s="223" t="str">
        <f>IFERROR(__xludf.DUMMYFUNCTION("""COMPUTED_VALUE"""),"OA Region 6")</f>
        <v>OA Region 6</v>
      </c>
      <c r="C2086" s="223" t="str">
        <f>IFERROR(__xludf.DUMMYFUNCTION("""COMPUTED_VALUE"""),"Monthly Services")</f>
        <v>Monthly Services</v>
      </c>
      <c r="D2086" s="316">
        <f>IFERROR(__xludf.DUMMYFUNCTION("""COMPUTED_VALUE"""),44865.0)</f>
        <v>44865</v>
      </c>
      <c r="E2086" s="298"/>
      <c r="F2086" s="298"/>
      <c r="G2086" s="298"/>
      <c r="H2086" s="223"/>
      <c r="I2086" s="298">
        <f>IFERROR(__xludf.DUMMYFUNCTION("""COMPUTED_VALUE"""),150.0)</f>
        <v>150</v>
      </c>
      <c r="J2086" s="223" t="str">
        <f>IFERROR(__xludf.DUMMYFUNCTION("""COMPUTED_VALUE"""),"Monthly")</f>
        <v>Monthly</v>
      </c>
      <c r="K2086" s="317">
        <f>IFERROR(__xludf.DUMMYFUNCTION("""COMPUTED_VALUE"""),2022.1)</f>
        <v>2022.1</v>
      </c>
      <c r="L2086" s="298"/>
      <c r="M2086" s="223"/>
      <c r="N2086" s="223"/>
      <c r="O2086" s="223"/>
      <c r="P2086" s="223"/>
      <c r="Q2086" s="223"/>
      <c r="R2086" s="223"/>
      <c r="S2086" s="223"/>
      <c r="T2086" s="223"/>
      <c r="U2086" s="223"/>
      <c r="V2086" s="223"/>
      <c r="W2086" s="223"/>
      <c r="X2086" s="223"/>
      <c r="Y2086" s="223"/>
      <c r="Z2086" s="223"/>
    </row>
    <row r="2087">
      <c r="A2087" s="223" t="str">
        <f>IFERROR(__xludf.DUMMYFUNCTION("""COMPUTED_VALUE"""),"Tuscany : Monthly Services")</f>
        <v>Tuscany : Monthly Services</v>
      </c>
      <c r="B2087" s="223" t="str">
        <f>IFERROR(__xludf.DUMMYFUNCTION("""COMPUTED_VALUE"""),"Tuscany")</f>
        <v>Tuscany</v>
      </c>
      <c r="C2087" s="223" t="str">
        <f>IFERROR(__xludf.DUMMYFUNCTION("""COMPUTED_VALUE"""),"Monthly Services")</f>
        <v>Monthly Services</v>
      </c>
      <c r="D2087" s="316">
        <f>IFERROR(__xludf.DUMMYFUNCTION("""COMPUTED_VALUE"""),44865.0)</f>
        <v>44865</v>
      </c>
      <c r="E2087" s="298"/>
      <c r="F2087" s="298"/>
      <c r="G2087" s="298"/>
      <c r="H2087" s="223"/>
      <c r="I2087" s="298">
        <f>IFERROR(__xludf.DUMMYFUNCTION("""COMPUTED_VALUE"""),662.5)</f>
        <v>662.5</v>
      </c>
      <c r="J2087" s="223" t="str">
        <f>IFERROR(__xludf.DUMMYFUNCTION("""COMPUTED_VALUE"""),"Monthly")</f>
        <v>Monthly</v>
      </c>
      <c r="K2087" s="317">
        <f>IFERROR(__xludf.DUMMYFUNCTION("""COMPUTED_VALUE"""),2022.1)</f>
        <v>2022.1</v>
      </c>
      <c r="L2087" s="298"/>
      <c r="M2087" s="223"/>
      <c r="N2087" s="223"/>
      <c r="O2087" s="223"/>
      <c r="P2087" s="223"/>
      <c r="Q2087" s="223"/>
      <c r="R2087" s="223"/>
      <c r="S2087" s="223"/>
      <c r="T2087" s="223"/>
      <c r="U2087" s="223"/>
      <c r="V2087" s="223"/>
      <c r="W2087" s="223"/>
      <c r="X2087" s="223"/>
      <c r="Y2087" s="223"/>
      <c r="Z2087" s="223"/>
    </row>
    <row r="2088">
      <c r="A2088" s="223" t="str">
        <f>IFERROR(__xludf.DUMMYFUNCTION("""COMPUTED_VALUE"""),"Venetian : Monthly Services")</f>
        <v>Venetian : Monthly Services</v>
      </c>
      <c r="B2088" s="223" t="str">
        <f>IFERROR(__xludf.DUMMYFUNCTION("""COMPUTED_VALUE"""),"Venetian")</f>
        <v>Venetian</v>
      </c>
      <c r="C2088" s="223" t="str">
        <f>IFERROR(__xludf.DUMMYFUNCTION("""COMPUTED_VALUE"""),"Monthly Services")</f>
        <v>Monthly Services</v>
      </c>
      <c r="D2088" s="316">
        <f>IFERROR(__xludf.DUMMYFUNCTION("""COMPUTED_VALUE"""),44865.0)</f>
        <v>44865</v>
      </c>
      <c r="E2088" s="298"/>
      <c r="F2088" s="298"/>
      <c r="G2088" s="298"/>
      <c r="H2088" s="223"/>
      <c r="I2088" s="298">
        <f>IFERROR(__xludf.DUMMYFUNCTION("""COMPUTED_VALUE"""),662.5)</f>
        <v>662.5</v>
      </c>
      <c r="J2088" s="223" t="str">
        <f>IFERROR(__xludf.DUMMYFUNCTION("""COMPUTED_VALUE"""),"Monthly")</f>
        <v>Monthly</v>
      </c>
      <c r="K2088" s="317">
        <f>IFERROR(__xludf.DUMMYFUNCTION("""COMPUTED_VALUE"""),2022.1)</f>
        <v>2022.1</v>
      </c>
      <c r="L2088" s="298"/>
      <c r="M2088" s="223"/>
      <c r="N2088" s="223"/>
      <c r="O2088" s="223"/>
      <c r="P2088" s="223"/>
      <c r="Q2088" s="223"/>
      <c r="R2088" s="223"/>
      <c r="S2088" s="223"/>
      <c r="T2088" s="223"/>
      <c r="U2088" s="223"/>
      <c r="V2088" s="223"/>
      <c r="W2088" s="223"/>
      <c r="X2088" s="223"/>
      <c r="Y2088" s="223"/>
      <c r="Z2088" s="223"/>
    </row>
    <row r="2089">
      <c r="A2089" s="223" t="str">
        <f>IFERROR(__xludf.DUMMYFUNCTION("""COMPUTED_VALUE"""),"Spraggs : Monthly Services")</f>
        <v>Spraggs : Monthly Services</v>
      </c>
      <c r="B2089" s="223" t="str">
        <f>IFERROR(__xludf.DUMMYFUNCTION("""COMPUTED_VALUE"""),"Spraggs")</f>
        <v>Spraggs</v>
      </c>
      <c r="C2089" s="223" t="str">
        <f>IFERROR(__xludf.DUMMYFUNCTION("""COMPUTED_VALUE"""),"Monthly Services")</f>
        <v>Monthly Services</v>
      </c>
      <c r="D2089" s="316">
        <f>IFERROR(__xludf.DUMMYFUNCTION("""COMPUTED_VALUE"""),44865.0)</f>
        <v>44865</v>
      </c>
      <c r="E2089" s="298"/>
      <c r="F2089" s="298"/>
      <c r="G2089" s="298"/>
      <c r="H2089" s="223"/>
      <c r="I2089" s="298">
        <f>IFERROR(__xludf.DUMMYFUNCTION("""COMPUTED_VALUE"""),350.0)</f>
        <v>350</v>
      </c>
      <c r="J2089" s="223" t="str">
        <f>IFERROR(__xludf.DUMMYFUNCTION("""COMPUTED_VALUE"""),"Monthly")</f>
        <v>Monthly</v>
      </c>
      <c r="K2089" s="317">
        <f>IFERROR(__xludf.DUMMYFUNCTION("""COMPUTED_VALUE"""),2022.1)</f>
        <v>2022.1</v>
      </c>
      <c r="L2089" s="298"/>
      <c r="M2089" s="223"/>
      <c r="N2089" s="223"/>
      <c r="O2089" s="223"/>
      <c r="P2089" s="223"/>
      <c r="Q2089" s="223"/>
      <c r="R2089" s="223"/>
      <c r="S2089" s="223"/>
      <c r="T2089" s="223"/>
      <c r="U2089" s="223"/>
      <c r="V2089" s="223"/>
      <c r="W2089" s="223"/>
      <c r="X2089" s="223"/>
      <c r="Y2089" s="223"/>
      <c r="Z2089" s="223"/>
    </row>
    <row r="2090">
      <c r="A2090" s="223" t="str">
        <f>IFERROR(__xludf.DUMMYFUNCTION("""COMPUTED_VALUE"""),"Diversified Health : Monthly Services")</f>
        <v>Diversified Health : Monthly Services</v>
      </c>
      <c r="B2090" s="223" t="str">
        <f>IFERROR(__xludf.DUMMYFUNCTION("""COMPUTED_VALUE"""),"Diversified Health")</f>
        <v>Diversified Health</v>
      </c>
      <c r="C2090" s="223" t="str">
        <f>IFERROR(__xludf.DUMMYFUNCTION("""COMPUTED_VALUE"""),"Monthly Services")</f>
        <v>Monthly Services</v>
      </c>
      <c r="D2090" s="316">
        <f>IFERROR(__xludf.DUMMYFUNCTION("""COMPUTED_VALUE"""),44865.0)</f>
        <v>44865</v>
      </c>
      <c r="E2090" s="298"/>
      <c r="F2090" s="298"/>
      <c r="G2090" s="298"/>
      <c r="H2090" s="223"/>
      <c r="I2090" s="298">
        <f>IFERROR(__xludf.DUMMYFUNCTION("""COMPUTED_VALUE"""),475.0)</f>
        <v>475</v>
      </c>
      <c r="J2090" s="223" t="str">
        <f>IFERROR(__xludf.DUMMYFUNCTION("""COMPUTED_VALUE"""),"Monthly")</f>
        <v>Monthly</v>
      </c>
      <c r="K2090" s="317">
        <f>IFERROR(__xludf.DUMMYFUNCTION("""COMPUTED_VALUE"""),2022.1)</f>
        <v>2022.1</v>
      </c>
      <c r="L2090" s="298"/>
      <c r="M2090" s="223"/>
      <c r="N2090" s="223"/>
      <c r="O2090" s="223"/>
      <c r="P2090" s="223"/>
      <c r="Q2090" s="223"/>
      <c r="R2090" s="223"/>
      <c r="S2090" s="223"/>
      <c r="T2090" s="223"/>
      <c r="U2090" s="223"/>
      <c r="V2090" s="223"/>
      <c r="W2090" s="223"/>
      <c r="X2090" s="223"/>
      <c r="Y2090" s="223"/>
      <c r="Z2090" s="223"/>
    </row>
    <row r="2091">
      <c r="A2091" s="223" t="str">
        <f>IFERROR(__xludf.DUMMYFUNCTION("""COMPUTED_VALUE"""),"TisBest : Monthly Services")</f>
        <v>TisBest : Monthly Services</v>
      </c>
      <c r="B2091" s="223" t="str">
        <f>IFERROR(__xludf.DUMMYFUNCTION("""COMPUTED_VALUE"""),"TisBest")</f>
        <v>TisBest</v>
      </c>
      <c r="C2091" s="223" t="str">
        <f>IFERROR(__xludf.DUMMYFUNCTION("""COMPUTED_VALUE"""),"Monthly Services")</f>
        <v>Monthly Services</v>
      </c>
      <c r="D2091" s="316">
        <f>IFERROR(__xludf.DUMMYFUNCTION("""COMPUTED_VALUE"""),44865.0)</f>
        <v>44865</v>
      </c>
      <c r="E2091" s="298"/>
      <c r="F2091" s="298"/>
      <c r="G2091" s="298"/>
      <c r="H2091" s="223"/>
      <c r="I2091" s="298">
        <f>IFERROR(__xludf.DUMMYFUNCTION("""COMPUTED_VALUE"""),1087.5)</f>
        <v>1087.5</v>
      </c>
      <c r="J2091" s="223" t="str">
        <f>IFERROR(__xludf.DUMMYFUNCTION("""COMPUTED_VALUE"""),"Monthly")</f>
        <v>Monthly</v>
      </c>
      <c r="K2091" s="317">
        <f>IFERROR(__xludf.DUMMYFUNCTION("""COMPUTED_VALUE"""),2022.1)</f>
        <v>2022.1</v>
      </c>
      <c r="L2091" s="298"/>
      <c r="M2091" s="223"/>
      <c r="N2091" s="223"/>
      <c r="O2091" s="223"/>
      <c r="P2091" s="223"/>
      <c r="Q2091" s="223"/>
      <c r="R2091" s="223"/>
      <c r="S2091" s="223"/>
      <c r="T2091" s="223"/>
      <c r="U2091" s="223"/>
      <c r="V2091" s="223"/>
      <c r="W2091" s="223"/>
      <c r="X2091" s="223"/>
      <c r="Y2091" s="223"/>
      <c r="Z2091" s="223"/>
    </row>
    <row r="2092">
      <c r="A2092" s="223" t="str">
        <f>IFERROR(__xludf.DUMMYFUNCTION("""COMPUTED_VALUE"""),"Tofino Resort + Marina : Monthly Services")</f>
        <v>Tofino Resort + Marina : Monthly Services</v>
      </c>
      <c r="B2092" s="223" t="str">
        <f>IFERROR(__xludf.DUMMYFUNCTION("""COMPUTED_VALUE"""),"Tofino Resort + Marina")</f>
        <v>Tofino Resort + Marina</v>
      </c>
      <c r="C2092" s="223" t="str">
        <f>IFERROR(__xludf.DUMMYFUNCTION("""COMPUTED_VALUE"""),"Monthly Services")</f>
        <v>Monthly Services</v>
      </c>
      <c r="D2092" s="316">
        <f>IFERROR(__xludf.DUMMYFUNCTION("""COMPUTED_VALUE"""),44865.0)</f>
        <v>44865</v>
      </c>
      <c r="E2092" s="298"/>
      <c r="F2092" s="298"/>
      <c r="G2092" s="298"/>
      <c r="H2092" s="223"/>
      <c r="I2092" s="298">
        <f>IFERROR(__xludf.DUMMYFUNCTION("""COMPUTED_VALUE"""),450.0)</f>
        <v>450</v>
      </c>
      <c r="J2092" s="223" t="str">
        <f>IFERROR(__xludf.DUMMYFUNCTION("""COMPUTED_VALUE"""),"Monthly")</f>
        <v>Monthly</v>
      </c>
      <c r="K2092" s="317">
        <f>IFERROR(__xludf.DUMMYFUNCTION("""COMPUTED_VALUE"""),2022.1)</f>
        <v>2022.1</v>
      </c>
      <c r="L2092" s="298"/>
      <c r="M2092" s="223"/>
      <c r="N2092" s="223"/>
      <c r="O2092" s="223"/>
      <c r="P2092" s="223"/>
      <c r="Q2092" s="223"/>
      <c r="R2092" s="223"/>
      <c r="S2092" s="223"/>
      <c r="T2092" s="223"/>
      <c r="U2092" s="223"/>
      <c r="V2092" s="223"/>
      <c r="W2092" s="223"/>
      <c r="X2092" s="223"/>
      <c r="Y2092" s="223"/>
      <c r="Z2092" s="223"/>
    </row>
    <row r="2093">
      <c r="A2093" s="223" t="str">
        <f>IFERROR(__xludf.DUMMYFUNCTION("""COMPUTED_VALUE"""),"Booginhead : Monthly Services")</f>
        <v>Booginhead : Monthly Services</v>
      </c>
      <c r="B2093" s="223" t="str">
        <f>IFERROR(__xludf.DUMMYFUNCTION("""COMPUTED_VALUE"""),"Booginhead")</f>
        <v>Booginhead</v>
      </c>
      <c r="C2093" s="223" t="str">
        <f>IFERROR(__xludf.DUMMYFUNCTION("""COMPUTED_VALUE"""),"Monthly Services")</f>
        <v>Monthly Services</v>
      </c>
      <c r="D2093" s="316">
        <f>IFERROR(__xludf.DUMMYFUNCTION("""COMPUTED_VALUE"""),44865.0)</f>
        <v>44865</v>
      </c>
      <c r="E2093" s="298"/>
      <c r="F2093" s="298"/>
      <c r="G2093" s="298"/>
      <c r="H2093" s="223"/>
      <c r="I2093" s="298">
        <f>IFERROR(__xludf.DUMMYFUNCTION("""COMPUTED_VALUE"""),337.5)</f>
        <v>337.5</v>
      </c>
      <c r="J2093" s="223" t="str">
        <f>IFERROR(__xludf.DUMMYFUNCTION("""COMPUTED_VALUE"""),"Monthly")</f>
        <v>Monthly</v>
      </c>
      <c r="K2093" s="317">
        <f>IFERROR(__xludf.DUMMYFUNCTION("""COMPUTED_VALUE"""),2022.1)</f>
        <v>2022.1</v>
      </c>
      <c r="L2093" s="298"/>
      <c r="M2093" s="223"/>
      <c r="N2093" s="223"/>
      <c r="O2093" s="223"/>
      <c r="P2093" s="223"/>
      <c r="Q2093" s="223"/>
      <c r="R2093" s="223"/>
      <c r="S2093" s="223"/>
      <c r="T2093" s="223"/>
      <c r="U2093" s="223"/>
      <c r="V2093" s="223"/>
      <c r="W2093" s="223"/>
      <c r="X2093" s="223"/>
      <c r="Y2093" s="223"/>
      <c r="Z2093" s="223"/>
    </row>
    <row r="2094">
      <c r="A2094" s="223" t="str">
        <f>IFERROR(__xludf.DUMMYFUNCTION("""COMPUTED_VALUE"""),"Bevridge : Click. Sip. Learn. Campaign")</f>
        <v>Bevridge : Click. Sip. Learn. Campaign</v>
      </c>
      <c r="B2094" s="223" t="str">
        <f>IFERROR(__xludf.DUMMYFUNCTION("""COMPUTED_VALUE"""),"Bevridge")</f>
        <v>Bevridge</v>
      </c>
      <c r="C2094" s="223" t="str">
        <f>IFERROR(__xludf.DUMMYFUNCTION("""COMPUTED_VALUE"""),"Click. Sip. Learn. Campaign")</f>
        <v>Click. Sip. Learn. Campaign</v>
      </c>
      <c r="D2094" s="316">
        <f>IFERROR(__xludf.DUMMYFUNCTION("""COMPUTED_VALUE"""),44865.0)</f>
        <v>44865</v>
      </c>
      <c r="E2094" s="298"/>
      <c r="F2094" s="298"/>
      <c r="G2094" s="298"/>
      <c r="H2094" s="223"/>
      <c r="I2094" s="298">
        <f>IFERROR(__xludf.DUMMYFUNCTION("""COMPUTED_VALUE"""),450.0)</f>
        <v>450</v>
      </c>
      <c r="J2094" s="223" t="str">
        <f>IFERROR(__xludf.DUMMYFUNCTION("""COMPUTED_VALUE"""),"Fixed Project")</f>
        <v>Fixed Project</v>
      </c>
      <c r="K2094" s="317">
        <f>IFERROR(__xludf.DUMMYFUNCTION("""COMPUTED_VALUE"""),2022.0)</f>
        <v>2022</v>
      </c>
      <c r="L2094" s="298"/>
      <c r="M2094" s="223"/>
      <c r="N2094" s="223"/>
      <c r="O2094" s="223"/>
      <c r="P2094" s="223"/>
      <c r="Q2094" s="223"/>
      <c r="R2094" s="223"/>
      <c r="S2094" s="223"/>
      <c r="T2094" s="223"/>
      <c r="U2094" s="223"/>
      <c r="V2094" s="223"/>
      <c r="W2094" s="223"/>
      <c r="X2094" s="223"/>
      <c r="Y2094" s="223"/>
      <c r="Z2094" s="223"/>
    </row>
    <row r="2095">
      <c r="A2095" s="223" t="str">
        <f>IFERROR(__xludf.DUMMYFUNCTION("""COMPUTED_VALUE"""),"Hastings House : Monthly Services")</f>
        <v>Hastings House : Monthly Services</v>
      </c>
      <c r="B2095" s="223" t="str">
        <f>IFERROR(__xludf.DUMMYFUNCTION("""COMPUTED_VALUE"""),"Hastings House")</f>
        <v>Hastings House</v>
      </c>
      <c r="C2095" s="223" t="str">
        <f>IFERROR(__xludf.DUMMYFUNCTION("""COMPUTED_VALUE"""),"Monthly Services")</f>
        <v>Monthly Services</v>
      </c>
      <c r="D2095" s="316">
        <f>IFERROR(__xludf.DUMMYFUNCTION("""COMPUTED_VALUE"""),44865.0)</f>
        <v>44865</v>
      </c>
      <c r="E2095" s="298"/>
      <c r="F2095" s="298"/>
      <c r="G2095" s="298"/>
      <c r="H2095" s="223"/>
      <c r="I2095" s="298">
        <f>IFERROR(__xludf.DUMMYFUNCTION("""COMPUTED_VALUE"""),212.5)</f>
        <v>212.5</v>
      </c>
      <c r="J2095" s="223" t="str">
        <f>IFERROR(__xludf.DUMMYFUNCTION("""COMPUTED_VALUE"""),"Monthly")</f>
        <v>Monthly</v>
      </c>
      <c r="K2095" s="317">
        <f>IFERROR(__xludf.DUMMYFUNCTION("""COMPUTED_VALUE"""),2022.1)</f>
        <v>2022.1</v>
      </c>
      <c r="L2095" s="298"/>
      <c r="M2095" s="223"/>
      <c r="N2095" s="223"/>
      <c r="O2095" s="223"/>
      <c r="P2095" s="223"/>
      <c r="Q2095" s="223"/>
      <c r="R2095" s="223"/>
      <c r="S2095" s="223"/>
      <c r="T2095" s="223"/>
      <c r="U2095" s="223"/>
      <c r="V2095" s="223"/>
      <c r="W2095" s="223"/>
      <c r="X2095" s="223"/>
      <c r="Y2095" s="223"/>
      <c r="Z2095" s="223"/>
    </row>
    <row r="2096">
      <c r="A2096" s="223" t="str">
        <f>IFERROR(__xludf.DUMMYFUNCTION("""COMPUTED_VALUE"""),"Howard Fine Jewellers : Ongoing PPC and SEO Support")</f>
        <v>Howard Fine Jewellers : Ongoing PPC and SEO Support</v>
      </c>
      <c r="B2096" s="223" t="str">
        <f>IFERROR(__xludf.DUMMYFUNCTION("""COMPUTED_VALUE"""),"Howard Fine Jewellers")</f>
        <v>Howard Fine Jewellers</v>
      </c>
      <c r="C2096" s="223" t="str">
        <f>IFERROR(__xludf.DUMMYFUNCTION("""COMPUTED_VALUE"""),"Ongoing PPC and SEO Support")</f>
        <v>Ongoing PPC and SEO Support</v>
      </c>
      <c r="D2096" s="316">
        <f>IFERROR(__xludf.DUMMYFUNCTION("""COMPUTED_VALUE"""),44865.0)</f>
        <v>44865</v>
      </c>
      <c r="E2096" s="298"/>
      <c r="F2096" s="298"/>
      <c r="G2096" s="298"/>
      <c r="H2096" s="223"/>
      <c r="I2096" s="298">
        <f>IFERROR(__xludf.DUMMYFUNCTION("""COMPUTED_VALUE"""),150.0)</f>
        <v>150</v>
      </c>
      <c r="J2096" s="223" t="str">
        <f>IFERROR(__xludf.DUMMYFUNCTION("""COMPUTED_VALUE"""),"Monthly")</f>
        <v>Monthly</v>
      </c>
      <c r="K2096" s="317">
        <f>IFERROR(__xludf.DUMMYFUNCTION("""COMPUTED_VALUE"""),2022.1)</f>
        <v>2022.1</v>
      </c>
      <c r="L2096" s="298"/>
      <c r="M2096" s="223"/>
      <c r="N2096" s="223"/>
      <c r="O2096" s="223"/>
      <c r="P2096" s="223"/>
      <c r="Q2096" s="223"/>
      <c r="R2096" s="223"/>
      <c r="S2096" s="223"/>
      <c r="T2096" s="223"/>
      <c r="U2096" s="223"/>
      <c r="V2096" s="223"/>
      <c r="W2096" s="223"/>
      <c r="X2096" s="223"/>
      <c r="Y2096" s="223"/>
      <c r="Z2096" s="223"/>
    </row>
    <row r="2097">
      <c r="A2097" s="223" t="str">
        <f>IFERROR(__xludf.DUMMYFUNCTION("""COMPUTED_VALUE"""),"Moloco : Monthly PPC")</f>
        <v>Moloco : Monthly PPC</v>
      </c>
      <c r="B2097" s="223" t="str">
        <f>IFERROR(__xludf.DUMMYFUNCTION("""COMPUTED_VALUE"""),"Moloco")</f>
        <v>Moloco</v>
      </c>
      <c r="C2097" s="223" t="str">
        <f>IFERROR(__xludf.DUMMYFUNCTION("""COMPUTED_VALUE"""),"Monthly PPC")</f>
        <v>Monthly PPC</v>
      </c>
      <c r="D2097" s="316">
        <f>IFERROR(__xludf.DUMMYFUNCTION("""COMPUTED_VALUE"""),44865.0)</f>
        <v>44865</v>
      </c>
      <c r="E2097" s="298"/>
      <c r="F2097" s="298"/>
      <c r="G2097" s="298"/>
      <c r="H2097" s="223"/>
      <c r="I2097" s="298">
        <f>IFERROR(__xludf.DUMMYFUNCTION("""COMPUTED_VALUE"""),175.0)</f>
        <v>175</v>
      </c>
      <c r="J2097" s="223" t="str">
        <f>IFERROR(__xludf.DUMMYFUNCTION("""COMPUTED_VALUE"""),"Monthly")</f>
        <v>Monthly</v>
      </c>
      <c r="K2097" s="317">
        <f>IFERROR(__xludf.DUMMYFUNCTION("""COMPUTED_VALUE"""),2022.1)</f>
        <v>2022.1</v>
      </c>
      <c r="L2097" s="298"/>
      <c r="M2097" s="223"/>
      <c r="N2097" s="223"/>
      <c r="O2097" s="223"/>
      <c r="P2097" s="223"/>
      <c r="Q2097" s="223"/>
      <c r="R2097" s="223"/>
      <c r="S2097" s="223"/>
      <c r="T2097" s="223"/>
      <c r="U2097" s="223"/>
      <c r="V2097" s="223"/>
      <c r="W2097" s="223"/>
      <c r="X2097" s="223"/>
      <c r="Y2097" s="223"/>
      <c r="Z2097" s="223"/>
    </row>
    <row r="2098">
      <c r="A2098" s="223" t="str">
        <f>IFERROR(__xludf.DUMMYFUNCTION("""COMPUTED_VALUE"""),"FIKSE Wheels : Monthly Services")</f>
        <v>FIKSE Wheels : Monthly Services</v>
      </c>
      <c r="B2098" s="223" t="str">
        <f>IFERROR(__xludf.DUMMYFUNCTION("""COMPUTED_VALUE"""),"FIKSE Wheels")</f>
        <v>FIKSE Wheels</v>
      </c>
      <c r="C2098" s="223" t="str">
        <f>IFERROR(__xludf.DUMMYFUNCTION("""COMPUTED_VALUE"""),"Monthly Services")</f>
        <v>Monthly Services</v>
      </c>
      <c r="D2098" s="316">
        <f>IFERROR(__xludf.DUMMYFUNCTION("""COMPUTED_VALUE"""),44865.0)</f>
        <v>44865</v>
      </c>
      <c r="E2098" s="298"/>
      <c r="F2098" s="298"/>
      <c r="G2098" s="298"/>
      <c r="H2098" s="223"/>
      <c r="I2098" s="298">
        <f>IFERROR(__xludf.DUMMYFUNCTION("""COMPUTED_VALUE"""),150.0)</f>
        <v>150</v>
      </c>
      <c r="J2098" s="223" t="str">
        <f>IFERROR(__xludf.DUMMYFUNCTION("""COMPUTED_VALUE"""),"Monthly")</f>
        <v>Monthly</v>
      </c>
      <c r="K2098" s="317">
        <f>IFERROR(__xludf.DUMMYFUNCTION("""COMPUTED_VALUE"""),2022.1)</f>
        <v>2022.1</v>
      </c>
      <c r="L2098" s="298"/>
      <c r="M2098" s="223"/>
      <c r="N2098" s="223"/>
      <c r="O2098" s="223"/>
      <c r="P2098" s="223"/>
      <c r="Q2098" s="223"/>
      <c r="R2098" s="223"/>
      <c r="S2098" s="223"/>
      <c r="T2098" s="223"/>
      <c r="U2098" s="223"/>
      <c r="V2098" s="223"/>
      <c r="W2098" s="223"/>
      <c r="X2098" s="223"/>
      <c r="Y2098" s="223"/>
      <c r="Z2098" s="223"/>
    </row>
    <row r="2099">
      <c r="A2099" s="223" t="str">
        <f>IFERROR(__xludf.DUMMYFUNCTION("""COMPUTED_VALUE"""),"PlusROI : Overhead")</f>
        <v>PlusROI : Overhead</v>
      </c>
      <c r="B2099" s="223" t="str">
        <f>IFERROR(__xludf.DUMMYFUNCTION("""COMPUTED_VALUE"""),"PlusROI")</f>
        <v>PlusROI</v>
      </c>
      <c r="C2099" s="223" t="str">
        <f>IFERROR(__xludf.DUMMYFUNCTION("""COMPUTED_VALUE"""),"Overhead")</f>
        <v>Overhead</v>
      </c>
      <c r="D2099" s="316">
        <f>IFERROR(__xludf.DUMMYFUNCTION("""COMPUTED_VALUE"""),44877.0)</f>
        <v>44877</v>
      </c>
      <c r="E2099" s="298"/>
      <c r="F2099" s="298"/>
      <c r="G2099" s="298"/>
      <c r="H2099" s="223"/>
      <c r="I2099" s="298">
        <f>IFERROR(__xludf.DUMMYFUNCTION("""COMPUTED_VALUE"""),15.3)</f>
        <v>15.3</v>
      </c>
      <c r="J2099" s="223" t="str">
        <f>IFERROR(__xludf.DUMMYFUNCTION("""COMPUTED_VALUE"""),"Hourly")</f>
        <v>Hourly</v>
      </c>
      <c r="K2099" s="317">
        <f>IFERROR(__xludf.DUMMYFUNCTION("""COMPUTED_VALUE"""),2022.0)</f>
        <v>2022</v>
      </c>
      <c r="L2099" s="298"/>
      <c r="M2099" s="223"/>
      <c r="N2099" s="223"/>
      <c r="O2099" s="223"/>
      <c r="P2099" s="223"/>
      <c r="Q2099" s="223"/>
      <c r="R2099" s="223"/>
      <c r="S2099" s="223"/>
      <c r="T2099" s="223"/>
      <c r="U2099" s="223"/>
      <c r="V2099" s="223"/>
      <c r="W2099" s="223"/>
      <c r="X2099" s="223"/>
      <c r="Y2099" s="223"/>
      <c r="Z2099" s="223"/>
    </row>
    <row r="2100">
      <c r="A2100" s="223" t="str">
        <f>IFERROR(__xludf.DUMMYFUNCTION("""COMPUTED_VALUE"""),"PlusROI : Overhead")</f>
        <v>PlusROI : Overhead</v>
      </c>
      <c r="B2100" s="223" t="str">
        <f>IFERROR(__xludf.DUMMYFUNCTION("""COMPUTED_VALUE"""),"PlusROI")</f>
        <v>PlusROI</v>
      </c>
      <c r="C2100" s="223" t="str">
        <f>IFERROR(__xludf.DUMMYFUNCTION("""COMPUTED_VALUE"""),"Overhead")</f>
        <v>Overhead</v>
      </c>
      <c r="D2100" s="316">
        <f>IFERROR(__xludf.DUMMYFUNCTION("""COMPUTED_VALUE"""),44878.0)</f>
        <v>44878</v>
      </c>
      <c r="E2100" s="298"/>
      <c r="F2100" s="298"/>
      <c r="G2100" s="298"/>
      <c r="H2100" s="223"/>
      <c r="I2100" s="298">
        <f>IFERROR(__xludf.DUMMYFUNCTION("""COMPUTED_VALUE"""),239.04)</f>
        <v>239.04</v>
      </c>
      <c r="J2100" s="223" t="str">
        <f>IFERROR(__xludf.DUMMYFUNCTION("""COMPUTED_VALUE"""),"Hourly")</f>
        <v>Hourly</v>
      </c>
      <c r="K2100" s="317">
        <f>IFERROR(__xludf.DUMMYFUNCTION("""COMPUTED_VALUE"""),2022.0)</f>
        <v>2022</v>
      </c>
      <c r="L2100" s="298"/>
      <c r="M2100" s="223"/>
      <c r="N2100" s="223"/>
      <c r="O2100" s="223"/>
      <c r="P2100" s="223"/>
      <c r="Q2100" s="223"/>
      <c r="R2100" s="223"/>
      <c r="S2100" s="223"/>
      <c r="T2100" s="223"/>
      <c r="U2100" s="223"/>
      <c r="V2100" s="223"/>
      <c r="W2100" s="223"/>
      <c r="X2100" s="223"/>
      <c r="Y2100" s="223"/>
      <c r="Z2100" s="223"/>
    </row>
    <row r="2101">
      <c r="A2101" s="223" t="str">
        <f>IFERROR(__xludf.DUMMYFUNCTION("""COMPUTED_VALUE"""),"PlusROI : Overhead")</f>
        <v>PlusROI : Overhead</v>
      </c>
      <c r="B2101" s="223" t="str">
        <f>IFERROR(__xludf.DUMMYFUNCTION("""COMPUTED_VALUE"""),"PlusROI")</f>
        <v>PlusROI</v>
      </c>
      <c r="C2101" s="223" t="str">
        <f>IFERROR(__xludf.DUMMYFUNCTION("""COMPUTED_VALUE"""),"Overhead")</f>
        <v>Overhead</v>
      </c>
      <c r="D2101" s="316">
        <f>IFERROR(__xludf.DUMMYFUNCTION("""COMPUTED_VALUE"""),44879.0)</f>
        <v>44879</v>
      </c>
      <c r="E2101" s="298"/>
      <c r="F2101" s="298"/>
      <c r="G2101" s="298"/>
      <c r="H2101" s="223"/>
      <c r="I2101" s="298">
        <f>IFERROR(__xludf.DUMMYFUNCTION("""COMPUTED_VALUE"""),65.53)</f>
        <v>65.53</v>
      </c>
      <c r="J2101" s="223" t="str">
        <f>IFERROR(__xludf.DUMMYFUNCTION("""COMPUTED_VALUE"""),"Hourly")</f>
        <v>Hourly</v>
      </c>
      <c r="K2101" s="317">
        <f>IFERROR(__xludf.DUMMYFUNCTION("""COMPUTED_VALUE"""),2022.0)</f>
        <v>2022</v>
      </c>
      <c r="L2101" s="298"/>
      <c r="M2101" s="223"/>
      <c r="N2101" s="223"/>
      <c r="O2101" s="223"/>
      <c r="P2101" s="223"/>
      <c r="Q2101" s="223"/>
      <c r="R2101" s="223"/>
      <c r="S2101" s="223"/>
      <c r="T2101" s="223"/>
      <c r="U2101" s="223"/>
      <c r="V2101" s="223"/>
      <c r="W2101" s="223"/>
      <c r="X2101" s="223"/>
      <c r="Y2101" s="223"/>
      <c r="Z2101" s="223"/>
    </row>
    <row r="2102">
      <c r="A2102" s="223" t="str">
        <f>IFERROR(__xludf.DUMMYFUNCTION("""COMPUTED_VALUE"""),"PlusROI : Overhead")</f>
        <v>PlusROI : Overhead</v>
      </c>
      <c r="B2102" s="223" t="str">
        <f>IFERROR(__xludf.DUMMYFUNCTION("""COMPUTED_VALUE"""),"PlusROI")</f>
        <v>PlusROI</v>
      </c>
      <c r="C2102" s="223" t="str">
        <f>IFERROR(__xludf.DUMMYFUNCTION("""COMPUTED_VALUE"""),"Overhead")</f>
        <v>Overhead</v>
      </c>
      <c r="D2102" s="316">
        <f>IFERROR(__xludf.DUMMYFUNCTION("""COMPUTED_VALUE"""),44880.0)</f>
        <v>44880</v>
      </c>
      <c r="E2102" s="298"/>
      <c r="F2102" s="298"/>
      <c r="G2102" s="298"/>
      <c r="H2102" s="223"/>
      <c r="I2102" s="298">
        <f>IFERROR(__xludf.DUMMYFUNCTION("""COMPUTED_VALUE"""),78.73)</f>
        <v>78.73</v>
      </c>
      <c r="J2102" s="223" t="str">
        <f>IFERROR(__xludf.DUMMYFUNCTION("""COMPUTED_VALUE"""),"Hourly")</f>
        <v>Hourly</v>
      </c>
      <c r="K2102" s="317">
        <f>IFERROR(__xludf.DUMMYFUNCTION("""COMPUTED_VALUE"""),2022.0)</f>
        <v>2022</v>
      </c>
      <c r="L2102" s="298"/>
      <c r="M2102" s="223"/>
      <c r="N2102" s="223"/>
      <c r="O2102" s="223"/>
      <c r="P2102" s="223"/>
      <c r="Q2102" s="223"/>
      <c r="R2102" s="223"/>
      <c r="S2102" s="223"/>
      <c r="T2102" s="223"/>
      <c r="U2102" s="223"/>
      <c r="V2102" s="223"/>
      <c r="W2102" s="223"/>
      <c r="X2102" s="223"/>
      <c r="Y2102" s="223"/>
      <c r="Z2102" s="223"/>
    </row>
    <row r="2103">
      <c r="A2103" s="223" t="str">
        <f>IFERROR(__xludf.DUMMYFUNCTION("""COMPUTED_VALUE"""),"Advisicon : Case Study Project")</f>
        <v>Advisicon : Case Study Project</v>
      </c>
      <c r="B2103" s="223" t="str">
        <f>IFERROR(__xludf.DUMMYFUNCTION("""COMPUTED_VALUE"""),"Advisicon")</f>
        <v>Advisicon</v>
      </c>
      <c r="C2103" s="223" t="str">
        <f>IFERROR(__xludf.DUMMYFUNCTION("""COMPUTED_VALUE"""),"Case Study Project")</f>
        <v>Case Study Project</v>
      </c>
      <c r="D2103" s="316">
        <f>IFERROR(__xludf.DUMMYFUNCTION("""COMPUTED_VALUE"""),44865.0)</f>
        <v>44865</v>
      </c>
      <c r="E2103" s="298"/>
      <c r="F2103" s="298"/>
      <c r="G2103" s="298"/>
      <c r="H2103" s="223"/>
      <c r="I2103" s="298">
        <f>IFERROR(__xludf.DUMMYFUNCTION("""COMPUTED_VALUE"""),61.74)</f>
        <v>61.74</v>
      </c>
      <c r="J2103" s="223" t="str">
        <f>IFERROR(__xludf.DUMMYFUNCTION("""COMPUTED_VALUE"""),"Fixed Project")</f>
        <v>Fixed Project</v>
      </c>
      <c r="K2103" s="317">
        <f>IFERROR(__xludf.DUMMYFUNCTION("""COMPUTED_VALUE"""),2022.0)</f>
        <v>2022</v>
      </c>
      <c r="L2103" s="298"/>
      <c r="M2103" s="223"/>
      <c r="N2103" s="223"/>
      <c r="O2103" s="223"/>
      <c r="P2103" s="223"/>
      <c r="Q2103" s="223"/>
      <c r="R2103" s="223"/>
      <c r="S2103" s="223"/>
      <c r="T2103" s="223"/>
      <c r="U2103" s="223"/>
      <c r="V2103" s="223"/>
      <c r="W2103" s="223"/>
      <c r="X2103" s="223"/>
      <c r="Y2103" s="223"/>
      <c r="Z2103" s="223"/>
    </row>
    <row r="2104">
      <c r="A2104" s="223" t="str">
        <f>IFERROR(__xludf.DUMMYFUNCTION("""COMPUTED_VALUE"""),"Anavara : Enhanced Hosting &amp; WordPress Support")</f>
        <v>Anavara : Enhanced Hosting &amp; WordPress Support</v>
      </c>
      <c r="B2104" s="223" t="str">
        <f>IFERROR(__xludf.DUMMYFUNCTION("""COMPUTED_VALUE"""),"Anavara")</f>
        <v>Anavara</v>
      </c>
      <c r="C2104" s="223" t="str">
        <f>IFERROR(__xludf.DUMMYFUNCTION("""COMPUTED_VALUE"""),"Enhanced Hosting &amp; WordPress Support")</f>
        <v>Enhanced Hosting &amp; WordPress Support</v>
      </c>
      <c r="D2104" s="316">
        <f>IFERROR(__xludf.DUMMYFUNCTION("""COMPUTED_VALUE"""),44865.0)</f>
        <v>44865</v>
      </c>
      <c r="E2104" s="298"/>
      <c r="F2104" s="298"/>
      <c r="G2104" s="298"/>
      <c r="H2104" s="223"/>
      <c r="I2104" s="298">
        <f>IFERROR(__xludf.DUMMYFUNCTION("""COMPUTED_VALUE"""),53.49)</f>
        <v>53.49</v>
      </c>
      <c r="J2104" s="223" t="str">
        <f>IFERROR(__xludf.DUMMYFUNCTION("""COMPUTED_VALUE"""),"Monthly")</f>
        <v>Monthly</v>
      </c>
      <c r="K2104" s="317">
        <f>IFERROR(__xludf.DUMMYFUNCTION("""COMPUTED_VALUE"""),2022.1)</f>
        <v>2022.1</v>
      </c>
      <c r="L2104" s="298"/>
      <c r="M2104" s="223"/>
      <c r="N2104" s="223"/>
      <c r="O2104" s="223"/>
      <c r="P2104" s="223"/>
      <c r="Q2104" s="223"/>
      <c r="R2104" s="223"/>
      <c r="S2104" s="223"/>
      <c r="T2104" s="223"/>
      <c r="U2104" s="223"/>
      <c r="V2104" s="223"/>
      <c r="W2104" s="223"/>
      <c r="X2104" s="223"/>
      <c r="Y2104" s="223"/>
      <c r="Z2104" s="223"/>
    </row>
    <row r="2105">
      <c r="A2105" s="223" t="str">
        <f>IFERROR(__xludf.DUMMYFUNCTION("""COMPUTED_VALUE"""),"Community Financials : Monthly Services")</f>
        <v>Community Financials : Monthly Services</v>
      </c>
      <c r="B2105" s="223" t="str">
        <f>IFERROR(__xludf.DUMMYFUNCTION("""COMPUTED_VALUE"""),"Community Financials")</f>
        <v>Community Financials</v>
      </c>
      <c r="C2105" s="223" t="str">
        <f>IFERROR(__xludf.DUMMYFUNCTION("""COMPUTED_VALUE"""),"Monthly Services")</f>
        <v>Monthly Services</v>
      </c>
      <c r="D2105" s="316">
        <f>IFERROR(__xludf.DUMMYFUNCTION("""COMPUTED_VALUE"""),44865.0)</f>
        <v>44865</v>
      </c>
      <c r="E2105" s="298"/>
      <c r="F2105" s="298"/>
      <c r="G2105" s="298"/>
      <c r="H2105" s="223"/>
      <c r="I2105" s="298">
        <f>IFERROR(__xludf.DUMMYFUNCTION("""COMPUTED_VALUE"""),19.74)</f>
        <v>19.74</v>
      </c>
      <c r="J2105" s="223" t="str">
        <f>IFERROR(__xludf.DUMMYFUNCTION("""COMPUTED_VALUE"""),"Monthly")</f>
        <v>Monthly</v>
      </c>
      <c r="K2105" s="317">
        <f>IFERROR(__xludf.DUMMYFUNCTION("""COMPUTED_VALUE"""),2022.1)</f>
        <v>2022.1</v>
      </c>
      <c r="L2105" s="298"/>
      <c r="M2105" s="223"/>
      <c r="N2105" s="223"/>
      <c r="O2105" s="223"/>
      <c r="P2105" s="223"/>
      <c r="Q2105" s="223"/>
      <c r="R2105" s="223"/>
      <c r="S2105" s="223"/>
      <c r="T2105" s="223"/>
      <c r="U2105" s="223"/>
      <c r="V2105" s="223"/>
      <c r="W2105" s="223"/>
      <c r="X2105" s="223"/>
      <c r="Y2105" s="223"/>
      <c r="Z2105" s="223"/>
    </row>
    <row r="2106">
      <c r="A2106" s="223" t="str">
        <f>IFERROR(__xludf.DUMMYFUNCTION("""COMPUTED_VALUE"""),"Continuity Programs Inc. : Website Rebuild")</f>
        <v>Continuity Programs Inc. : Website Rebuild</v>
      </c>
      <c r="B2106" s="223" t="str">
        <f>IFERROR(__xludf.DUMMYFUNCTION("""COMPUTED_VALUE"""),"Continuity Programs Inc.")</f>
        <v>Continuity Programs Inc.</v>
      </c>
      <c r="C2106" s="223" t="str">
        <f>IFERROR(__xludf.DUMMYFUNCTION("""COMPUTED_VALUE"""),"Website Rebuild")</f>
        <v>Website Rebuild</v>
      </c>
      <c r="D2106" s="316">
        <f>IFERROR(__xludf.DUMMYFUNCTION("""COMPUTED_VALUE"""),44865.0)</f>
        <v>44865</v>
      </c>
      <c r="E2106" s="298"/>
      <c r="F2106" s="298"/>
      <c r="G2106" s="298"/>
      <c r="H2106" s="223"/>
      <c r="I2106" s="298">
        <f>IFERROR(__xludf.DUMMYFUNCTION("""COMPUTED_VALUE"""),1741.31)</f>
        <v>1741.31</v>
      </c>
      <c r="J2106" s="223" t="str">
        <f>IFERROR(__xludf.DUMMYFUNCTION("""COMPUTED_VALUE"""),"Fixed Project")</f>
        <v>Fixed Project</v>
      </c>
      <c r="K2106" s="317">
        <f>IFERROR(__xludf.DUMMYFUNCTION("""COMPUTED_VALUE"""),2022.0)</f>
        <v>2022</v>
      </c>
      <c r="L2106" s="298"/>
      <c r="M2106" s="223"/>
      <c r="N2106" s="223"/>
      <c r="O2106" s="223"/>
      <c r="P2106" s="223"/>
      <c r="Q2106" s="223"/>
      <c r="R2106" s="223"/>
      <c r="S2106" s="223"/>
      <c r="T2106" s="223"/>
      <c r="U2106" s="223"/>
      <c r="V2106" s="223"/>
      <c r="W2106" s="223"/>
      <c r="X2106" s="223"/>
      <c r="Y2106" s="223"/>
      <c r="Z2106" s="223"/>
    </row>
    <row r="2107">
      <c r="A2107" s="223" t="str">
        <f>IFERROR(__xludf.DUMMYFUNCTION("""COMPUTED_VALUE"""),"The Sands : 10 Hour General Support Block")</f>
        <v>The Sands : 10 Hour General Support Block</v>
      </c>
      <c r="B2107" s="223" t="str">
        <f>IFERROR(__xludf.DUMMYFUNCTION("""COMPUTED_VALUE"""),"The Sands")</f>
        <v>The Sands</v>
      </c>
      <c r="C2107" s="223" t="str">
        <f>IFERROR(__xludf.DUMMYFUNCTION("""COMPUTED_VALUE"""),"10 Hour General Support Block")</f>
        <v>10 Hour General Support Block</v>
      </c>
      <c r="D2107" s="316">
        <f>IFERROR(__xludf.DUMMYFUNCTION("""COMPUTED_VALUE"""),44865.0)</f>
        <v>44865</v>
      </c>
      <c r="E2107" s="298"/>
      <c r="F2107" s="298"/>
      <c r="G2107" s="298"/>
      <c r="H2107" s="223"/>
      <c r="I2107" s="298">
        <f>IFERROR(__xludf.DUMMYFUNCTION("""COMPUTED_VALUE"""),37.85)</f>
        <v>37.85</v>
      </c>
      <c r="J2107" s="223" t="str">
        <f>IFERROR(__xludf.DUMMYFUNCTION("""COMPUTED_VALUE"""),"Fixed Project")</f>
        <v>Fixed Project</v>
      </c>
      <c r="K2107" s="317">
        <f>IFERROR(__xludf.DUMMYFUNCTION("""COMPUTED_VALUE"""),2022.0)</f>
        <v>2022</v>
      </c>
      <c r="L2107" s="298"/>
      <c r="M2107" s="223"/>
      <c r="N2107" s="223"/>
      <c r="O2107" s="223"/>
      <c r="P2107" s="223"/>
      <c r="Q2107" s="223"/>
      <c r="R2107" s="223"/>
      <c r="S2107" s="223"/>
      <c r="T2107" s="223"/>
      <c r="U2107" s="223"/>
      <c r="V2107" s="223"/>
      <c r="W2107" s="223"/>
      <c r="X2107" s="223"/>
      <c r="Y2107" s="223"/>
      <c r="Z2107" s="223"/>
    </row>
    <row r="2108">
      <c r="A2108" s="223" t="str">
        <f>IFERROR(__xludf.DUMMYFUNCTION("""COMPUTED_VALUE"""),"HSJ Lawyers : Monthly Services")</f>
        <v>HSJ Lawyers : Monthly Services</v>
      </c>
      <c r="B2108" s="223" t="str">
        <f>IFERROR(__xludf.DUMMYFUNCTION("""COMPUTED_VALUE"""),"HSJ Lawyers")</f>
        <v>HSJ Lawyers</v>
      </c>
      <c r="C2108" s="223" t="str">
        <f>IFERROR(__xludf.DUMMYFUNCTION("""COMPUTED_VALUE"""),"Monthly Services")</f>
        <v>Monthly Services</v>
      </c>
      <c r="D2108" s="316">
        <f>IFERROR(__xludf.DUMMYFUNCTION("""COMPUTED_VALUE"""),44865.0)</f>
        <v>44865</v>
      </c>
      <c r="E2108" s="298"/>
      <c r="F2108" s="298"/>
      <c r="G2108" s="298"/>
      <c r="H2108" s="223"/>
      <c r="I2108" s="298">
        <f>IFERROR(__xludf.DUMMYFUNCTION("""COMPUTED_VALUE"""),24.78)</f>
        <v>24.78</v>
      </c>
      <c r="J2108" s="223" t="str">
        <f>IFERROR(__xludf.DUMMYFUNCTION("""COMPUTED_VALUE"""),"Monthly")</f>
        <v>Monthly</v>
      </c>
      <c r="K2108" s="317">
        <f>IFERROR(__xludf.DUMMYFUNCTION("""COMPUTED_VALUE"""),2022.1)</f>
        <v>2022.1</v>
      </c>
      <c r="L2108" s="298"/>
      <c r="M2108" s="223"/>
      <c r="N2108" s="223"/>
      <c r="O2108" s="223"/>
      <c r="P2108" s="223"/>
      <c r="Q2108" s="223"/>
      <c r="R2108" s="223"/>
      <c r="S2108" s="223"/>
      <c r="T2108" s="223"/>
      <c r="U2108" s="223"/>
      <c r="V2108" s="223"/>
      <c r="W2108" s="223"/>
      <c r="X2108" s="223"/>
      <c r="Y2108" s="223"/>
      <c r="Z2108" s="223"/>
    </row>
    <row r="2109">
      <c r="A2109" s="223" t="str">
        <f>IFERROR(__xludf.DUMMYFUNCTION("""COMPUTED_VALUE"""),"MortgagePal : 5 Hour Support Block")</f>
        <v>MortgagePal : 5 Hour Support Block</v>
      </c>
      <c r="B2109" s="223" t="str">
        <f>IFERROR(__xludf.DUMMYFUNCTION("""COMPUTED_VALUE"""),"MortgagePal")</f>
        <v>MortgagePal</v>
      </c>
      <c r="C2109" s="223" t="str">
        <f>IFERROR(__xludf.DUMMYFUNCTION("""COMPUTED_VALUE"""),"5 Hour Support Block")</f>
        <v>5 Hour Support Block</v>
      </c>
      <c r="D2109" s="316">
        <f>IFERROR(__xludf.DUMMYFUNCTION("""COMPUTED_VALUE"""),44865.0)</f>
        <v>44865</v>
      </c>
      <c r="E2109" s="298"/>
      <c r="F2109" s="298"/>
      <c r="G2109" s="298"/>
      <c r="H2109" s="223"/>
      <c r="I2109" s="298">
        <f>IFERROR(__xludf.DUMMYFUNCTION("""COMPUTED_VALUE"""),16.42)</f>
        <v>16.42</v>
      </c>
      <c r="J2109" s="223" t="str">
        <f>IFERROR(__xludf.DUMMYFUNCTION("""COMPUTED_VALUE"""),"Fixed Project")</f>
        <v>Fixed Project</v>
      </c>
      <c r="K2109" s="317">
        <f>IFERROR(__xludf.DUMMYFUNCTION("""COMPUTED_VALUE"""),2022.0)</f>
        <v>2022</v>
      </c>
      <c r="L2109" s="298"/>
      <c r="M2109" s="223"/>
      <c r="N2109" s="223"/>
      <c r="O2109" s="223"/>
      <c r="P2109" s="223"/>
      <c r="Q2109" s="223"/>
      <c r="R2109" s="223"/>
      <c r="S2109" s="223"/>
      <c r="T2109" s="223"/>
      <c r="U2109" s="223"/>
      <c r="V2109" s="223"/>
      <c r="W2109" s="223"/>
      <c r="X2109" s="223"/>
      <c r="Y2109" s="223"/>
      <c r="Z2109" s="223"/>
    </row>
    <row r="2110">
      <c r="A2110" s="223" t="str">
        <f>IFERROR(__xludf.DUMMYFUNCTION("""COMPUTED_VALUE"""),"PlusROI : Admin")</f>
        <v>PlusROI : Admin</v>
      </c>
      <c r="B2110" s="223" t="str">
        <f>IFERROR(__xludf.DUMMYFUNCTION("""COMPUTED_VALUE"""),"PlusROI")</f>
        <v>PlusROI</v>
      </c>
      <c r="C2110" s="223" t="str">
        <f>IFERROR(__xludf.DUMMYFUNCTION("""COMPUTED_VALUE"""),"Admin")</f>
        <v>Admin</v>
      </c>
      <c r="D2110" s="316">
        <f>IFERROR(__xludf.DUMMYFUNCTION("""COMPUTED_VALUE"""),44865.0)</f>
        <v>44865</v>
      </c>
      <c r="E2110" s="298"/>
      <c r="F2110" s="298"/>
      <c r="G2110" s="298"/>
      <c r="H2110" s="223"/>
      <c r="I2110" s="298">
        <f>IFERROR(__xludf.DUMMYFUNCTION("""COMPUTED_VALUE"""),325.32)</f>
        <v>325.32</v>
      </c>
      <c r="J2110" s="223" t="str">
        <f>IFERROR(__xludf.DUMMYFUNCTION("""COMPUTED_VALUE"""),"Hourly")</f>
        <v>Hourly</v>
      </c>
      <c r="K2110" s="317">
        <f>IFERROR(__xludf.DUMMYFUNCTION("""COMPUTED_VALUE"""),2022.0)</f>
        <v>2022</v>
      </c>
      <c r="L2110" s="298"/>
      <c r="M2110" s="223"/>
      <c r="N2110" s="223"/>
      <c r="O2110" s="223"/>
      <c r="P2110" s="223"/>
      <c r="Q2110" s="223"/>
      <c r="R2110" s="223"/>
      <c r="S2110" s="223"/>
      <c r="T2110" s="223"/>
      <c r="U2110" s="223"/>
      <c r="V2110" s="223"/>
      <c r="W2110" s="223"/>
      <c r="X2110" s="223"/>
      <c r="Y2110" s="223"/>
      <c r="Z2110" s="223"/>
    </row>
    <row r="2111">
      <c r="A2111" s="223" t="str">
        <f>IFERROR(__xludf.DUMMYFUNCTION("""COMPUTED_VALUE"""),"Red Seal : Monthly Services")</f>
        <v>Red Seal : Monthly Services</v>
      </c>
      <c r="B2111" s="223" t="str">
        <f>IFERROR(__xludf.DUMMYFUNCTION("""COMPUTED_VALUE"""),"Red Seal")</f>
        <v>Red Seal</v>
      </c>
      <c r="C2111" s="223" t="str">
        <f>IFERROR(__xludf.DUMMYFUNCTION("""COMPUTED_VALUE"""),"Monthly Services")</f>
        <v>Monthly Services</v>
      </c>
      <c r="D2111" s="316">
        <f>IFERROR(__xludf.DUMMYFUNCTION("""COMPUTED_VALUE"""),44865.0)</f>
        <v>44865</v>
      </c>
      <c r="E2111" s="298"/>
      <c r="F2111" s="298"/>
      <c r="G2111" s="298"/>
      <c r="H2111" s="223"/>
      <c r="I2111" s="298">
        <f>IFERROR(__xludf.DUMMYFUNCTION("""COMPUTED_VALUE"""),23.46)</f>
        <v>23.46</v>
      </c>
      <c r="J2111" s="223" t="str">
        <f>IFERROR(__xludf.DUMMYFUNCTION("""COMPUTED_VALUE"""),"Monthly")</f>
        <v>Monthly</v>
      </c>
      <c r="K2111" s="317">
        <f>IFERROR(__xludf.DUMMYFUNCTION("""COMPUTED_VALUE"""),2022.1)</f>
        <v>2022.1</v>
      </c>
      <c r="L2111" s="298"/>
      <c r="M2111" s="223"/>
      <c r="N2111" s="223"/>
      <c r="O2111" s="223"/>
      <c r="P2111" s="223"/>
      <c r="Q2111" s="223"/>
      <c r="R2111" s="223"/>
      <c r="S2111" s="223"/>
      <c r="T2111" s="223"/>
      <c r="U2111" s="223"/>
      <c r="V2111" s="223"/>
      <c r="W2111" s="223"/>
      <c r="X2111" s="223"/>
      <c r="Y2111" s="223"/>
      <c r="Z2111" s="223"/>
    </row>
    <row r="2112">
      <c r="A2112" s="223" t="str">
        <f>IFERROR(__xludf.DUMMYFUNCTION("""COMPUTED_VALUE"""),"Sacred Deathcare : Website Rebuild")</f>
        <v>Sacred Deathcare : Website Rebuild</v>
      </c>
      <c r="B2112" s="223" t="str">
        <f>IFERROR(__xludf.DUMMYFUNCTION("""COMPUTED_VALUE"""),"Sacred Deathcare")</f>
        <v>Sacred Deathcare</v>
      </c>
      <c r="C2112" s="223" t="str">
        <f>IFERROR(__xludf.DUMMYFUNCTION("""COMPUTED_VALUE"""),"Website Rebuild")</f>
        <v>Website Rebuild</v>
      </c>
      <c r="D2112" s="316">
        <f>IFERROR(__xludf.DUMMYFUNCTION("""COMPUTED_VALUE"""),44865.0)</f>
        <v>44865</v>
      </c>
      <c r="E2112" s="298"/>
      <c r="F2112" s="298"/>
      <c r="G2112" s="298"/>
      <c r="H2112" s="223"/>
      <c r="I2112" s="298">
        <f>IFERROR(__xludf.DUMMYFUNCTION("""COMPUTED_VALUE"""),2255.64)</f>
        <v>2255.64</v>
      </c>
      <c r="J2112" s="223" t="str">
        <f>IFERROR(__xludf.DUMMYFUNCTION("""COMPUTED_VALUE"""),"Fixed Project")</f>
        <v>Fixed Project</v>
      </c>
      <c r="K2112" s="317">
        <f>IFERROR(__xludf.DUMMYFUNCTION("""COMPUTED_VALUE"""),2022.0)</f>
        <v>2022</v>
      </c>
      <c r="L2112" s="298"/>
      <c r="M2112" s="223"/>
      <c r="N2112" s="223"/>
      <c r="O2112" s="223"/>
      <c r="P2112" s="223"/>
      <c r="Q2112" s="223"/>
      <c r="R2112" s="223"/>
      <c r="S2112" s="223"/>
      <c r="T2112" s="223"/>
      <c r="U2112" s="223"/>
      <c r="V2112" s="223"/>
      <c r="W2112" s="223"/>
      <c r="X2112" s="223"/>
      <c r="Y2112" s="223"/>
      <c r="Z2112" s="223"/>
    </row>
    <row r="2113">
      <c r="A2113" s="223" t="str">
        <f>IFERROR(__xludf.DUMMYFUNCTION("""COMPUTED_VALUE"""),"Spraggs : Monthly Services")</f>
        <v>Spraggs : Monthly Services</v>
      </c>
      <c r="B2113" s="223" t="str">
        <f>IFERROR(__xludf.DUMMYFUNCTION("""COMPUTED_VALUE"""),"Spraggs")</f>
        <v>Spraggs</v>
      </c>
      <c r="C2113" s="223" t="str">
        <f>IFERROR(__xludf.DUMMYFUNCTION("""COMPUTED_VALUE"""),"Monthly Services")</f>
        <v>Monthly Services</v>
      </c>
      <c r="D2113" s="316">
        <f>IFERROR(__xludf.DUMMYFUNCTION("""COMPUTED_VALUE"""),44865.0)</f>
        <v>44865</v>
      </c>
      <c r="E2113" s="298"/>
      <c r="F2113" s="298"/>
      <c r="G2113" s="298"/>
      <c r="H2113" s="223"/>
      <c r="I2113" s="298">
        <f>IFERROR(__xludf.DUMMYFUNCTION("""COMPUTED_VALUE"""),64.62)</f>
        <v>64.62</v>
      </c>
      <c r="J2113" s="223" t="str">
        <f>IFERROR(__xludf.DUMMYFUNCTION("""COMPUTED_VALUE"""),"Monthly")</f>
        <v>Monthly</v>
      </c>
      <c r="K2113" s="317">
        <f>IFERROR(__xludf.DUMMYFUNCTION("""COMPUTED_VALUE"""),2022.1)</f>
        <v>2022.1</v>
      </c>
      <c r="L2113" s="298"/>
      <c r="M2113" s="223"/>
      <c r="N2113" s="223"/>
      <c r="O2113" s="223"/>
      <c r="P2113" s="223"/>
      <c r="Q2113" s="223"/>
      <c r="R2113" s="223"/>
      <c r="S2113" s="223"/>
      <c r="T2113" s="223"/>
      <c r="U2113" s="223"/>
      <c r="V2113" s="223"/>
      <c r="W2113" s="223"/>
      <c r="X2113" s="223"/>
      <c r="Y2113" s="223"/>
      <c r="Z2113" s="223"/>
    </row>
    <row r="2114">
      <c r="A2114" s="223" t="str">
        <f>IFERROR(__xludf.DUMMYFUNCTION("""COMPUTED_VALUE"""),"Spring Activator : Ads and Analytics kickoff plus site support ")</f>
        <v>Spring Activator : Ads and Analytics kickoff plus site support </v>
      </c>
      <c r="B2114" s="223" t="str">
        <f>IFERROR(__xludf.DUMMYFUNCTION("""COMPUTED_VALUE"""),"Spring Activator")</f>
        <v>Spring Activator</v>
      </c>
      <c r="C2114" s="223" t="str">
        <f>IFERROR(__xludf.DUMMYFUNCTION("""COMPUTED_VALUE"""),"Ads and Analytics kickoff plus site support")</f>
        <v>Ads and Analytics kickoff plus site support</v>
      </c>
      <c r="D2114" s="316">
        <f>IFERROR(__xludf.DUMMYFUNCTION("""COMPUTED_VALUE"""),44865.0)</f>
        <v>44865</v>
      </c>
      <c r="E2114" s="298"/>
      <c r="F2114" s="298"/>
      <c r="G2114" s="298"/>
      <c r="H2114" s="223"/>
      <c r="I2114" s="298">
        <f>IFERROR(__xludf.DUMMYFUNCTION("""COMPUTED_VALUE"""),186.88)</f>
        <v>186.88</v>
      </c>
      <c r="J2114" s="223" t="str">
        <f>IFERROR(__xludf.DUMMYFUNCTION("""COMPUTED_VALUE"""),"Fixed Project")</f>
        <v>Fixed Project</v>
      </c>
      <c r="K2114" s="317">
        <f>IFERROR(__xludf.DUMMYFUNCTION("""COMPUTED_VALUE"""),2022.0)</f>
        <v>2022</v>
      </c>
      <c r="L2114" s="298"/>
      <c r="M2114" s="223"/>
      <c r="N2114" s="223"/>
      <c r="O2114" s="223"/>
      <c r="P2114" s="223"/>
      <c r="Q2114" s="223"/>
      <c r="R2114" s="223"/>
      <c r="S2114" s="223"/>
      <c r="T2114" s="223"/>
      <c r="U2114" s="223"/>
      <c r="V2114" s="223"/>
      <c r="W2114" s="223"/>
      <c r="X2114" s="223"/>
      <c r="Y2114" s="223"/>
      <c r="Z2114" s="223"/>
    </row>
    <row r="2115">
      <c r="A2115" s="223" t="str">
        <f>IFERROR(__xludf.DUMMYFUNCTION("""COMPUTED_VALUE"""),"The Shore Club : 10 Hour General Support Block")</f>
        <v>The Shore Club : 10 Hour General Support Block</v>
      </c>
      <c r="B2115" s="223" t="str">
        <f>IFERROR(__xludf.DUMMYFUNCTION("""COMPUTED_VALUE"""),"The Shore Club")</f>
        <v>The Shore Club</v>
      </c>
      <c r="C2115" s="223" t="str">
        <f>IFERROR(__xludf.DUMMYFUNCTION("""COMPUTED_VALUE"""),"10 Hour General Support Block")</f>
        <v>10 Hour General Support Block</v>
      </c>
      <c r="D2115" s="316">
        <f>IFERROR(__xludf.DUMMYFUNCTION("""COMPUTED_VALUE"""),44865.0)</f>
        <v>44865</v>
      </c>
      <c r="E2115" s="298"/>
      <c r="F2115" s="298"/>
      <c r="G2115" s="298"/>
      <c r="H2115" s="223"/>
      <c r="I2115" s="298">
        <f>IFERROR(__xludf.DUMMYFUNCTION("""COMPUTED_VALUE"""),0.0)</f>
        <v>0</v>
      </c>
      <c r="J2115" s="223" t="str">
        <f>IFERROR(__xludf.DUMMYFUNCTION("""COMPUTED_VALUE"""),"Fixed Project")</f>
        <v>Fixed Project</v>
      </c>
      <c r="K2115" s="317">
        <f>IFERROR(__xludf.DUMMYFUNCTION("""COMPUTED_VALUE"""),2022.0)</f>
        <v>2022</v>
      </c>
      <c r="L2115" s="298"/>
      <c r="M2115" s="223"/>
      <c r="N2115" s="223"/>
      <c r="O2115" s="223"/>
      <c r="P2115" s="223"/>
      <c r="Q2115" s="223"/>
      <c r="R2115" s="223"/>
      <c r="S2115" s="223"/>
      <c r="T2115" s="223"/>
      <c r="U2115" s="223"/>
      <c r="V2115" s="223"/>
      <c r="W2115" s="223"/>
      <c r="X2115" s="223"/>
      <c r="Y2115" s="223"/>
      <c r="Z2115" s="223"/>
    </row>
    <row r="2116">
      <c r="A2116" s="223" t="str">
        <f>IFERROR(__xludf.DUMMYFUNCTION("""COMPUTED_VALUE"""),"TisBest : Monthly Services")</f>
        <v>TisBest : Monthly Services</v>
      </c>
      <c r="B2116" s="223" t="str">
        <f>IFERROR(__xludf.DUMMYFUNCTION("""COMPUTED_VALUE"""),"TisBest")</f>
        <v>TisBest</v>
      </c>
      <c r="C2116" s="223" t="str">
        <f>IFERROR(__xludf.DUMMYFUNCTION("""COMPUTED_VALUE"""),"Monthly Services")</f>
        <v>Monthly Services</v>
      </c>
      <c r="D2116" s="316">
        <f>IFERROR(__xludf.DUMMYFUNCTION("""COMPUTED_VALUE"""),44865.0)</f>
        <v>44865</v>
      </c>
      <c r="E2116" s="298"/>
      <c r="F2116" s="298"/>
      <c r="G2116" s="298"/>
      <c r="H2116" s="223"/>
      <c r="I2116" s="298">
        <f>IFERROR(__xludf.DUMMYFUNCTION("""COMPUTED_VALUE"""),39.13)</f>
        <v>39.13</v>
      </c>
      <c r="J2116" s="223" t="str">
        <f>IFERROR(__xludf.DUMMYFUNCTION("""COMPUTED_VALUE"""),"Monthly")</f>
        <v>Monthly</v>
      </c>
      <c r="K2116" s="317">
        <f>IFERROR(__xludf.DUMMYFUNCTION("""COMPUTED_VALUE"""),2022.1)</f>
        <v>2022.1</v>
      </c>
      <c r="L2116" s="298"/>
      <c r="M2116" s="223"/>
      <c r="N2116" s="223"/>
      <c r="O2116" s="223"/>
      <c r="P2116" s="223"/>
      <c r="Q2116" s="223"/>
      <c r="R2116" s="223"/>
      <c r="S2116" s="223"/>
      <c r="T2116" s="223"/>
      <c r="U2116" s="223"/>
      <c r="V2116" s="223"/>
      <c r="W2116" s="223"/>
      <c r="X2116" s="223"/>
      <c r="Y2116" s="223"/>
      <c r="Z2116" s="223"/>
    </row>
    <row r="2117">
      <c r="A2117" s="223" t="str">
        <f>IFERROR(__xludf.DUMMYFUNCTION("""COMPUTED_VALUE"""),"Villa del Mar : Enhanced Hosting &amp; WordPress Support")</f>
        <v>Villa del Mar : Enhanced Hosting &amp; WordPress Support</v>
      </c>
      <c r="B2117" s="223" t="str">
        <f>IFERROR(__xludf.DUMMYFUNCTION("""COMPUTED_VALUE"""),"Villa del Mar")</f>
        <v>Villa del Mar</v>
      </c>
      <c r="C2117" s="223" t="str">
        <f>IFERROR(__xludf.DUMMYFUNCTION("""COMPUTED_VALUE"""),"Enhanced Hosting &amp; WordPress Support")</f>
        <v>Enhanced Hosting &amp; WordPress Support</v>
      </c>
      <c r="D2117" s="316">
        <f>IFERROR(__xludf.DUMMYFUNCTION("""COMPUTED_VALUE"""),44865.0)</f>
        <v>44865</v>
      </c>
      <c r="E2117" s="298"/>
      <c r="F2117" s="298"/>
      <c r="G2117" s="298"/>
      <c r="H2117" s="223"/>
      <c r="I2117" s="298">
        <f>IFERROR(__xludf.DUMMYFUNCTION("""COMPUTED_VALUE"""),122.3)</f>
        <v>122.3</v>
      </c>
      <c r="J2117" s="223" t="str">
        <f>IFERROR(__xludf.DUMMYFUNCTION("""COMPUTED_VALUE"""),"Monthly")</f>
        <v>Monthly</v>
      </c>
      <c r="K2117" s="317">
        <f>IFERROR(__xludf.DUMMYFUNCTION("""COMPUTED_VALUE"""),2022.1)</f>
        <v>2022.1</v>
      </c>
      <c r="L2117" s="298"/>
      <c r="M2117" s="223"/>
      <c r="N2117" s="223"/>
      <c r="O2117" s="223"/>
      <c r="P2117" s="223"/>
      <c r="Q2117" s="223"/>
      <c r="R2117" s="223"/>
      <c r="S2117" s="223"/>
      <c r="T2117" s="223"/>
      <c r="U2117" s="223"/>
      <c r="V2117" s="223"/>
      <c r="W2117" s="223"/>
      <c r="X2117" s="223"/>
      <c r="Y2117" s="223"/>
      <c r="Z2117" s="223"/>
    </row>
    <row r="2118">
      <c r="A2118" s="223" t="str">
        <f>IFERROR(__xludf.DUMMYFUNCTION("""COMPUTED_VALUE"""),"Spraggs : Monthly Services")</f>
        <v>Spraggs : Monthly Services</v>
      </c>
      <c r="B2118" s="223" t="str">
        <f>IFERROR(__xludf.DUMMYFUNCTION("""COMPUTED_VALUE"""),"Spraggs")</f>
        <v>Spraggs</v>
      </c>
      <c r="C2118" s="223" t="str">
        <f>IFERROR(__xludf.DUMMYFUNCTION("""COMPUTED_VALUE"""),"Monthly Services")</f>
        <v>Monthly Services</v>
      </c>
      <c r="D2118" s="316">
        <f>IFERROR(__xludf.DUMMYFUNCTION("""COMPUTED_VALUE"""),44852.0)</f>
        <v>44852</v>
      </c>
      <c r="E2118" s="298"/>
      <c r="F2118" s="298"/>
      <c r="G2118" s="298"/>
      <c r="H2118" s="223"/>
      <c r="I2118" s="298">
        <f>IFERROR(__xludf.DUMMYFUNCTION("""COMPUTED_VALUE"""),46.04)</f>
        <v>46.04</v>
      </c>
      <c r="J2118" s="223" t="str">
        <f>IFERROR(__xludf.DUMMYFUNCTION("""COMPUTED_VALUE"""),"Monthly")</f>
        <v>Monthly</v>
      </c>
      <c r="K2118" s="317">
        <f>IFERROR(__xludf.DUMMYFUNCTION("""COMPUTED_VALUE"""),2022.1)</f>
        <v>2022.1</v>
      </c>
      <c r="L2118" s="298">
        <f>IFERROR(__xludf.DUMMYFUNCTION("""COMPUTED_VALUE"""),46.04)</f>
        <v>46.04</v>
      </c>
      <c r="M2118" s="223"/>
      <c r="N2118" s="223"/>
      <c r="O2118" s="223"/>
      <c r="P2118" s="223"/>
      <c r="Q2118" s="223"/>
      <c r="R2118" s="223"/>
      <c r="S2118" s="223"/>
      <c r="T2118" s="223"/>
      <c r="U2118" s="223"/>
      <c r="V2118" s="223"/>
      <c r="W2118" s="223"/>
      <c r="X2118" s="223"/>
      <c r="Y2118" s="223"/>
      <c r="Z2118" s="223"/>
    </row>
    <row r="2119">
      <c r="A2119" s="223" t="str">
        <f>IFERROR(__xludf.DUMMYFUNCTION("""COMPUTED_VALUE"""),"Venetian : Monthly Services")</f>
        <v>Venetian : Monthly Services</v>
      </c>
      <c r="B2119" s="223" t="str">
        <f>IFERROR(__xludf.DUMMYFUNCTION("""COMPUTED_VALUE"""),"Venetian")</f>
        <v>Venetian</v>
      </c>
      <c r="C2119" s="223" t="str">
        <f>IFERROR(__xludf.DUMMYFUNCTION("""COMPUTED_VALUE"""),"Monthly Services")</f>
        <v>Monthly Services</v>
      </c>
      <c r="D2119" s="316">
        <f>IFERROR(__xludf.DUMMYFUNCTION("""COMPUTED_VALUE"""),44858.0)</f>
        <v>44858</v>
      </c>
      <c r="E2119" s="298"/>
      <c r="F2119" s="298"/>
      <c r="G2119" s="298"/>
      <c r="H2119" s="223"/>
      <c r="I2119" s="298">
        <f>IFERROR(__xludf.DUMMYFUNCTION("""COMPUTED_VALUE"""),750.0)</f>
        <v>750</v>
      </c>
      <c r="J2119" s="223" t="str">
        <f>IFERROR(__xludf.DUMMYFUNCTION("""COMPUTED_VALUE"""),"Monthly")</f>
        <v>Monthly</v>
      </c>
      <c r="K2119" s="317">
        <f>IFERROR(__xludf.DUMMYFUNCTION("""COMPUTED_VALUE"""),2022.1)</f>
        <v>2022.1</v>
      </c>
      <c r="L2119" s="298">
        <f>IFERROR(__xludf.DUMMYFUNCTION("""COMPUTED_VALUE"""),750.0)</f>
        <v>750</v>
      </c>
      <c r="M2119" s="223"/>
      <c r="N2119" s="223"/>
      <c r="O2119" s="223"/>
      <c r="P2119" s="223"/>
      <c r="Q2119" s="223"/>
      <c r="R2119" s="223"/>
      <c r="S2119" s="223"/>
      <c r="T2119" s="223"/>
      <c r="U2119" s="223"/>
      <c r="V2119" s="223"/>
      <c r="W2119" s="223"/>
      <c r="X2119" s="223"/>
      <c r="Y2119" s="223"/>
      <c r="Z2119" s="223"/>
    </row>
    <row r="2120">
      <c r="A2120" s="223" t="str">
        <f>IFERROR(__xludf.DUMMYFUNCTION("""COMPUTED_VALUE"""),"PlusROI : Overhead")</f>
        <v>PlusROI : Overhead</v>
      </c>
      <c r="B2120" s="223" t="str">
        <f>IFERROR(__xludf.DUMMYFUNCTION("""COMPUTED_VALUE"""),"PlusROI")</f>
        <v>PlusROI</v>
      </c>
      <c r="C2120" s="223" t="str">
        <f>IFERROR(__xludf.DUMMYFUNCTION("""COMPUTED_VALUE"""),"Overhead")</f>
        <v>Overhead</v>
      </c>
      <c r="D2120" s="316">
        <f>IFERROR(__xludf.DUMMYFUNCTION("""COMPUTED_VALUE"""),44866.0)</f>
        <v>44866</v>
      </c>
      <c r="E2120" s="298"/>
      <c r="F2120" s="298"/>
      <c r="G2120" s="298"/>
      <c r="H2120" s="223"/>
      <c r="I2120" s="298">
        <f>IFERROR(__xludf.DUMMYFUNCTION("""COMPUTED_VALUE"""),500.04)</f>
        <v>500.04</v>
      </c>
      <c r="J2120" s="223" t="str">
        <f>IFERROR(__xludf.DUMMYFUNCTION("""COMPUTED_VALUE"""),"Hourly")</f>
        <v>Hourly</v>
      </c>
      <c r="K2120" s="317">
        <f>IFERROR(__xludf.DUMMYFUNCTION("""COMPUTED_VALUE"""),2022.0)</f>
        <v>2022</v>
      </c>
      <c r="L2120" s="298"/>
      <c r="M2120" s="223"/>
      <c r="N2120" s="223"/>
      <c r="O2120" s="223"/>
      <c r="P2120" s="223"/>
      <c r="Q2120" s="223"/>
      <c r="R2120" s="223"/>
      <c r="S2120" s="223"/>
      <c r="T2120" s="223"/>
      <c r="U2120" s="223"/>
      <c r="V2120" s="223"/>
      <c r="W2120" s="223"/>
      <c r="X2120" s="223"/>
      <c r="Y2120" s="223"/>
      <c r="Z2120" s="223"/>
    </row>
    <row r="2121">
      <c r="A2121" s="223" t="str">
        <f>IFERROR(__xludf.DUMMYFUNCTION("""COMPUTED_VALUE"""),"Tuscany : Monthly Services")</f>
        <v>Tuscany : Monthly Services</v>
      </c>
      <c r="B2121" s="223" t="str">
        <f>IFERROR(__xludf.DUMMYFUNCTION("""COMPUTED_VALUE"""),"Tuscany")</f>
        <v>Tuscany</v>
      </c>
      <c r="C2121" s="223" t="str">
        <f>IFERROR(__xludf.DUMMYFUNCTION("""COMPUTED_VALUE"""),"Monthly Services")</f>
        <v>Monthly Services</v>
      </c>
      <c r="D2121" s="316">
        <f>IFERROR(__xludf.DUMMYFUNCTION("""COMPUTED_VALUE"""),44866.0)</f>
        <v>44866</v>
      </c>
      <c r="E2121" s="298"/>
      <c r="F2121" s="298"/>
      <c r="G2121" s="298"/>
      <c r="H2121" s="223"/>
      <c r="I2121" s="298">
        <f>IFERROR(__xludf.DUMMYFUNCTION("""COMPUTED_VALUE"""),750.0)</f>
        <v>750</v>
      </c>
      <c r="J2121" s="223" t="str">
        <f>IFERROR(__xludf.DUMMYFUNCTION("""COMPUTED_VALUE"""),"Monthly")</f>
        <v>Monthly</v>
      </c>
      <c r="K2121" s="317">
        <f>IFERROR(__xludf.DUMMYFUNCTION("""COMPUTED_VALUE"""),2022.11)</f>
        <v>2022.11</v>
      </c>
      <c r="L2121" s="298">
        <f>IFERROR(__xludf.DUMMYFUNCTION("""COMPUTED_VALUE"""),750.0)</f>
        <v>750</v>
      </c>
      <c r="M2121" s="223"/>
      <c r="N2121" s="223"/>
      <c r="O2121" s="223"/>
      <c r="P2121" s="223"/>
      <c r="Q2121" s="223"/>
      <c r="R2121" s="223"/>
      <c r="S2121" s="223"/>
      <c r="T2121" s="223"/>
      <c r="U2121" s="223"/>
      <c r="V2121" s="223"/>
      <c r="W2121" s="223"/>
      <c r="X2121" s="223"/>
      <c r="Y2121" s="223"/>
      <c r="Z2121" s="223"/>
    </row>
    <row r="2122">
      <c r="A2122" s="223" t="str">
        <f>IFERROR(__xludf.DUMMYFUNCTION("""COMPUTED_VALUE"""),"Venetian : Monthly Services")</f>
        <v>Venetian : Monthly Services</v>
      </c>
      <c r="B2122" s="223" t="str">
        <f>IFERROR(__xludf.DUMMYFUNCTION("""COMPUTED_VALUE"""),"Venetian")</f>
        <v>Venetian</v>
      </c>
      <c r="C2122" s="223" t="str">
        <f>IFERROR(__xludf.DUMMYFUNCTION("""COMPUTED_VALUE"""),"Monthly Services")</f>
        <v>Monthly Services</v>
      </c>
      <c r="D2122" s="316">
        <f>IFERROR(__xludf.DUMMYFUNCTION("""COMPUTED_VALUE"""),44866.0)</f>
        <v>44866</v>
      </c>
      <c r="E2122" s="298"/>
      <c r="F2122" s="298"/>
      <c r="G2122" s="298"/>
      <c r="H2122" s="223"/>
      <c r="I2122" s="298">
        <f>IFERROR(__xludf.DUMMYFUNCTION("""COMPUTED_VALUE"""),549.82)</f>
        <v>549.82</v>
      </c>
      <c r="J2122" s="223" t="str">
        <f>IFERROR(__xludf.DUMMYFUNCTION("""COMPUTED_VALUE"""),"Monthly")</f>
        <v>Monthly</v>
      </c>
      <c r="K2122" s="317">
        <f>IFERROR(__xludf.DUMMYFUNCTION("""COMPUTED_VALUE"""),2022.11)</f>
        <v>2022.11</v>
      </c>
      <c r="L2122" s="298">
        <f>IFERROR(__xludf.DUMMYFUNCTION("""COMPUTED_VALUE"""),549.82)</f>
        <v>549.82</v>
      </c>
      <c r="M2122" s="223"/>
      <c r="N2122" s="223"/>
      <c r="O2122" s="223"/>
      <c r="P2122" s="223"/>
      <c r="Q2122" s="223"/>
      <c r="R2122" s="223"/>
      <c r="S2122" s="223"/>
      <c r="T2122" s="223"/>
      <c r="U2122" s="223"/>
      <c r="V2122" s="223"/>
      <c r="W2122" s="223"/>
      <c r="X2122" s="223"/>
      <c r="Y2122" s="223"/>
      <c r="Z2122" s="223"/>
    </row>
    <row r="2123">
      <c r="A2123" s="223" t="str">
        <f>IFERROR(__xludf.DUMMYFUNCTION("""COMPUTED_VALUE"""),"Spraggs : Monthly Services")</f>
        <v>Spraggs : Monthly Services</v>
      </c>
      <c r="B2123" s="223" t="str">
        <f>IFERROR(__xludf.DUMMYFUNCTION("""COMPUTED_VALUE"""),"Spraggs")</f>
        <v>Spraggs</v>
      </c>
      <c r="C2123" s="223" t="str">
        <f>IFERROR(__xludf.DUMMYFUNCTION("""COMPUTED_VALUE"""),"Monthly Services")</f>
        <v>Monthly Services</v>
      </c>
      <c r="D2123" s="316">
        <f>IFERROR(__xludf.DUMMYFUNCTION("""COMPUTED_VALUE"""),44866.0)</f>
        <v>44866</v>
      </c>
      <c r="E2123" s="298"/>
      <c r="F2123" s="298"/>
      <c r="G2123" s="298"/>
      <c r="H2123" s="223"/>
      <c r="I2123" s="298">
        <f>IFERROR(__xludf.DUMMYFUNCTION("""COMPUTED_VALUE"""),70.0)</f>
        <v>70</v>
      </c>
      <c r="J2123" s="223" t="str">
        <f>IFERROR(__xludf.DUMMYFUNCTION("""COMPUTED_VALUE"""),"Monthly")</f>
        <v>Monthly</v>
      </c>
      <c r="K2123" s="317">
        <f>IFERROR(__xludf.DUMMYFUNCTION("""COMPUTED_VALUE"""),2022.11)</f>
        <v>2022.11</v>
      </c>
      <c r="L2123" s="298">
        <f>IFERROR(__xludf.DUMMYFUNCTION("""COMPUTED_VALUE"""),70.0)</f>
        <v>70</v>
      </c>
      <c r="M2123" s="223"/>
      <c r="N2123" s="223"/>
      <c r="O2123" s="223"/>
      <c r="P2123" s="223"/>
      <c r="Q2123" s="223"/>
      <c r="R2123" s="223"/>
      <c r="S2123" s="223"/>
      <c r="T2123" s="223"/>
      <c r="U2123" s="223"/>
      <c r="V2123" s="223"/>
      <c r="W2123" s="223"/>
      <c r="X2123" s="223"/>
      <c r="Y2123" s="223"/>
      <c r="Z2123" s="223"/>
    </row>
    <row r="2124">
      <c r="A2124" s="223" t="str">
        <f>IFERROR(__xludf.DUMMYFUNCTION("""COMPUTED_VALUE"""),"Tuscany : Monthly Services")</f>
        <v>Tuscany : Monthly Services</v>
      </c>
      <c r="B2124" s="223" t="str">
        <f>IFERROR(__xludf.DUMMYFUNCTION("""COMPUTED_VALUE"""),"Tuscany")</f>
        <v>Tuscany</v>
      </c>
      <c r="C2124" s="223" t="str">
        <f>IFERROR(__xludf.DUMMYFUNCTION("""COMPUTED_VALUE"""),"Monthly Services")</f>
        <v>Monthly Services</v>
      </c>
      <c r="D2124" s="316">
        <f>IFERROR(__xludf.DUMMYFUNCTION("""COMPUTED_VALUE"""),44866.0)</f>
        <v>44866</v>
      </c>
      <c r="E2124" s="298"/>
      <c r="F2124" s="298"/>
      <c r="G2124" s="298"/>
      <c r="H2124" s="223"/>
      <c r="I2124" s="298">
        <f>IFERROR(__xludf.DUMMYFUNCTION("""COMPUTED_VALUE"""),219.87)</f>
        <v>219.87</v>
      </c>
      <c r="J2124" s="223" t="str">
        <f>IFERROR(__xludf.DUMMYFUNCTION("""COMPUTED_VALUE"""),"Monthly")</f>
        <v>Monthly</v>
      </c>
      <c r="K2124" s="317">
        <f>IFERROR(__xludf.DUMMYFUNCTION("""COMPUTED_VALUE"""),2022.11)</f>
        <v>2022.11</v>
      </c>
      <c r="L2124" s="298">
        <f>IFERROR(__xludf.DUMMYFUNCTION("""COMPUTED_VALUE"""),219.87)</f>
        <v>219.87</v>
      </c>
      <c r="M2124" s="223"/>
      <c r="N2124" s="223"/>
      <c r="O2124" s="223"/>
      <c r="P2124" s="223"/>
      <c r="Q2124" s="223"/>
      <c r="R2124" s="223"/>
      <c r="S2124" s="223"/>
      <c r="T2124" s="223"/>
      <c r="U2124" s="223"/>
      <c r="V2124" s="223"/>
      <c r="W2124" s="223"/>
      <c r="X2124" s="223"/>
      <c r="Y2124" s="223"/>
      <c r="Z2124" s="223"/>
    </row>
    <row r="2125">
      <c r="A2125" s="223" t="str">
        <f>IFERROR(__xludf.DUMMYFUNCTION("""COMPUTED_VALUE"""),"Tugwell : Quarterly PPC Mgmt")</f>
        <v>Tugwell : Quarterly PPC Mgmt</v>
      </c>
      <c r="B2125" s="223" t="str">
        <f>IFERROR(__xludf.DUMMYFUNCTION("""COMPUTED_VALUE"""),"Tugwell")</f>
        <v>Tugwell</v>
      </c>
      <c r="C2125" s="223" t="str">
        <f>IFERROR(__xludf.DUMMYFUNCTION("""COMPUTED_VALUE"""),"Quarterly PPC Mgmt")</f>
        <v>Quarterly PPC Mgmt</v>
      </c>
      <c r="D2125" s="316">
        <f>IFERROR(__xludf.DUMMYFUNCTION("""COMPUTED_VALUE"""),44895.0)</f>
        <v>44895</v>
      </c>
      <c r="E2125" s="298"/>
      <c r="F2125" s="298"/>
      <c r="G2125" s="298"/>
      <c r="H2125" s="223"/>
      <c r="I2125" s="298">
        <f>IFERROR(__xludf.DUMMYFUNCTION("""COMPUTED_VALUE"""),44.0)</f>
        <v>44</v>
      </c>
      <c r="J2125" s="223" t="str">
        <f>IFERROR(__xludf.DUMMYFUNCTION("""COMPUTED_VALUE"""),"Not Set")</f>
        <v>Not Set</v>
      </c>
      <c r="K2125" s="317">
        <f>IFERROR(__xludf.DUMMYFUNCTION("""COMPUTED_VALUE"""),2022.0)</f>
        <v>2022</v>
      </c>
      <c r="L2125" s="298"/>
      <c r="M2125" s="223"/>
      <c r="N2125" s="223"/>
      <c r="O2125" s="223"/>
      <c r="P2125" s="223"/>
      <c r="Q2125" s="223"/>
      <c r="R2125" s="223"/>
      <c r="S2125" s="223"/>
      <c r="T2125" s="223"/>
      <c r="U2125" s="223"/>
      <c r="V2125" s="223"/>
      <c r="W2125" s="223"/>
      <c r="X2125" s="223"/>
      <c r="Y2125" s="223"/>
      <c r="Z2125" s="223"/>
    </row>
    <row r="2126">
      <c r="A2126" s="223" t="str">
        <f>IFERROR(__xludf.DUMMYFUNCTION("""COMPUTED_VALUE"""),"HSJ Lawyers : Monthly Services")</f>
        <v>HSJ Lawyers : Monthly Services</v>
      </c>
      <c r="B2126" s="223" t="str">
        <f>IFERROR(__xludf.DUMMYFUNCTION("""COMPUTED_VALUE"""),"HSJ Lawyers")</f>
        <v>HSJ Lawyers</v>
      </c>
      <c r="C2126" s="223" t="str">
        <f>IFERROR(__xludf.DUMMYFUNCTION("""COMPUTED_VALUE"""),"Monthly Services")</f>
        <v>Monthly Services</v>
      </c>
      <c r="D2126" s="316">
        <f>IFERROR(__xludf.DUMMYFUNCTION("""COMPUTED_VALUE"""),44895.0)</f>
        <v>44895</v>
      </c>
      <c r="E2126" s="298"/>
      <c r="F2126" s="298"/>
      <c r="G2126" s="298"/>
      <c r="H2126" s="223"/>
      <c r="I2126" s="298">
        <f>IFERROR(__xludf.DUMMYFUNCTION("""COMPUTED_VALUE"""),225.0)</f>
        <v>225</v>
      </c>
      <c r="J2126" s="223" t="str">
        <f>IFERROR(__xludf.DUMMYFUNCTION("""COMPUTED_VALUE"""),"Monthly")</f>
        <v>Monthly</v>
      </c>
      <c r="K2126" s="317">
        <f>IFERROR(__xludf.DUMMYFUNCTION("""COMPUTED_VALUE"""),2022.11)</f>
        <v>2022.11</v>
      </c>
      <c r="L2126" s="298"/>
      <c r="M2126" s="223"/>
      <c r="N2126" s="223"/>
      <c r="O2126" s="223"/>
      <c r="P2126" s="223"/>
      <c r="Q2126" s="223"/>
      <c r="R2126" s="223"/>
      <c r="S2126" s="223"/>
      <c r="T2126" s="223"/>
      <c r="U2126" s="223"/>
      <c r="V2126" s="223"/>
      <c r="W2126" s="223"/>
      <c r="X2126" s="223"/>
      <c r="Y2126" s="223"/>
      <c r="Z2126" s="223"/>
    </row>
    <row r="2127">
      <c r="A2127" s="223" t="str">
        <f>IFERROR(__xludf.DUMMYFUNCTION("""COMPUTED_VALUE"""),"Spraggs : Monthly Services")</f>
        <v>Spraggs : Monthly Services</v>
      </c>
      <c r="B2127" s="223" t="str">
        <f>IFERROR(__xludf.DUMMYFUNCTION("""COMPUTED_VALUE"""),"Spraggs")</f>
        <v>Spraggs</v>
      </c>
      <c r="C2127" s="223" t="str">
        <f>IFERROR(__xludf.DUMMYFUNCTION("""COMPUTED_VALUE"""),"Monthly Services")</f>
        <v>Monthly Services</v>
      </c>
      <c r="D2127" s="316">
        <f>IFERROR(__xludf.DUMMYFUNCTION("""COMPUTED_VALUE"""),44895.0)</f>
        <v>44895</v>
      </c>
      <c r="E2127" s="298"/>
      <c r="F2127" s="298"/>
      <c r="G2127" s="298"/>
      <c r="H2127" s="223"/>
      <c r="I2127" s="298">
        <f>IFERROR(__xludf.DUMMYFUNCTION("""COMPUTED_VALUE"""),300.0)</f>
        <v>300</v>
      </c>
      <c r="J2127" s="223" t="str">
        <f>IFERROR(__xludf.DUMMYFUNCTION("""COMPUTED_VALUE"""),"Monthly")</f>
        <v>Monthly</v>
      </c>
      <c r="K2127" s="317">
        <f>IFERROR(__xludf.DUMMYFUNCTION("""COMPUTED_VALUE"""),2022.11)</f>
        <v>2022.11</v>
      </c>
      <c r="L2127" s="298"/>
      <c r="M2127" s="223"/>
      <c r="N2127" s="223"/>
      <c r="O2127" s="223"/>
      <c r="P2127" s="223"/>
      <c r="Q2127" s="223"/>
      <c r="R2127" s="223"/>
      <c r="S2127" s="223"/>
      <c r="T2127" s="223"/>
      <c r="U2127" s="223"/>
      <c r="V2127" s="223"/>
      <c r="W2127" s="223"/>
      <c r="X2127" s="223"/>
      <c r="Y2127" s="223"/>
      <c r="Z2127" s="223"/>
    </row>
    <row r="2128">
      <c r="A2128" s="223" t="str">
        <f>IFERROR(__xludf.DUMMYFUNCTION("""COMPUTED_VALUE"""),"Crisp Media : Monthly Genus Google PPC Mgmt")</f>
        <v>Crisp Media : Monthly Genus Google PPC Mgmt</v>
      </c>
      <c r="B2128" s="223" t="str">
        <f>IFERROR(__xludf.DUMMYFUNCTION("""COMPUTED_VALUE"""),"Crisp Media")</f>
        <v>Crisp Media</v>
      </c>
      <c r="C2128" s="223" t="str">
        <f>IFERROR(__xludf.DUMMYFUNCTION("""COMPUTED_VALUE"""),"Monthly Genus Google PPC Mgmt")</f>
        <v>Monthly Genus Google PPC Mgmt</v>
      </c>
      <c r="D2128" s="316">
        <f>IFERROR(__xludf.DUMMYFUNCTION("""COMPUTED_VALUE"""),44895.0)</f>
        <v>44895</v>
      </c>
      <c r="E2128" s="298"/>
      <c r="F2128" s="298"/>
      <c r="G2128" s="298"/>
      <c r="H2128" s="223"/>
      <c r="I2128" s="298">
        <f>IFERROR(__xludf.DUMMYFUNCTION("""COMPUTED_VALUE"""),175.0)</f>
        <v>175</v>
      </c>
      <c r="J2128" s="223" t="str">
        <f>IFERROR(__xludf.DUMMYFUNCTION("""COMPUTED_VALUE"""),"Monthly")</f>
        <v>Monthly</v>
      </c>
      <c r="K2128" s="317">
        <f>IFERROR(__xludf.DUMMYFUNCTION("""COMPUTED_VALUE"""),2022.11)</f>
        <v>2022.11</v>
      </c>
      <c r="L2128" s="298"/>
      <c r="M2128" s="223"/>
      <c r="N2128" s="223"/>
      <c r="O2128" s="223"/>
      <c r="P2128" s="223"/>
      <c r="Q2128" s="223"/>
      <c r="R2128" s="223"/>
      <c r="S2128" s="223"/>
      <c r="T2128" s="223"/>
      <c r="U2128" s="223"/>
      <c r="V2128" s="223"/>
      <c r="W2128" s="223"/>
      <c r="X2128" s="223"/>
      <c r="Y2128" s="223"/>
      <c r="Z2128" s="223"/>
    </row>
    <row r="2129">
      <c r="A2129" s="223" t="str">
        <f>IFERROR(__xludf.DUMMYFUNCTION("""COMPUTED_VALUE"""),"Viridian : Monthly Services")</f>
        <v>Viridian : Monthly Services</v>
      </c>
      <c r="B2129" s="223" t="str">
        <f>IFERROR(__xludf.DUMMYFUNCTION("""COMPUTED_VALUE"""),"Viridian")</f>
        <v>Viridian</v>
      </c>
      <c r="C2129" s="223" t="str">
        <f>IFERROR(__xludf.DUMMYFUNCTION("""COMPUTED_VALUE"""),"Monthly Services")</f>
        <v>Monthly Services</v>
      </c>
      <c r="D2129" s="316">
        <f>IFERROR(__xludf.DUMMYFUNCTION("""COMPUTED_VALUE"""),44895.0)</f>
        <v>44895</v>
      </c>
      <c r="E2129" s="298"/>
      <c r="F2129" s="298"/>
      <c r="G2129" s="298"/>
      <c r="H2129" s="223"/>
      <c r="I2129" s="298">
        <f>IFERROR(__xludf.DUMMYFUNCTION("""COMPUTED_VALUE"""),312.5)</f>
        <v>312.5</v>
      </c>
      <c r="J2129" s="223" t="str">
        <f>IFERROR(__xludf.DUMMYFUNCTION("""COMPUTED_VALUE"""),"Monthly")</f>
        <v>Monthly</v>
      </c>
      <c r="K2129" s="317">
        <f>IFERROR(__xludf.DUMMYFUNCTION("""COMPUTED_VALUE"""),2022.11)</f>
        <v>2022.11</v>
      </c>
      <c r="L2129" s="298"/>
      <c r="M2129" s="223"/>
      <c r="N2129" s="223"/>
      <c r="O2129" s="223"/>
      <c r="P2129" s="223"/>
      <c r="Q2129" s="223"/>
      <c r="R2129" s="223"/>
      <c r="S2129" s="223"/>
      <c r="T2129" s="223"/>
      <c r="U2129" s="223"/>
      <c r="V2129" s="223"/>
      <c r="W2129" s="223"/>
      <c r="X2129" s="223"/>
      <c r="Y2129" s="223"/>
      <c r="Z2129" s="223"/>
    </row>
    <row r="2130">
      <c r="A2130" s="223" t="str">
        <f>IFERROR(__xludf.DUMMYFUNCTION("""COMPUTED_VALUE"""),"Service First : Monthly Services")</f>
        <v>Service First : Monthly Services</v>
      </c>
      <c r="B2130" s="223" t="str">
        <f>IFERROR(__xludf.DUMMYFUNCTION("""COMPUTED_VALUE"""),"Service First")</f>
        <v>Service First</v>
      </c>
      <c r="C2130" s="223" t="str">
        <f>IFERROR(__xludf.DUMMYFUNCTION("""COMPUTED_VALUE"""),"Monthly Services")</f>
        <v>Monthly Services</v>
      </c>
      <c r="D2130" s="316">
        <f>IFERROR(__xludf.DUMMYFUNCTION("""COMPUTED_VALUE"""),44895.0)</f>
        <v>44895</v>
      </c>
      <c r="E2130" s="298"/>
      <c r="F2130" s="298"/>
      <c r="G2130" s="298"/>
      <c r="H2130" s="223"/>
      <c r="I2130" s="298">
        <f>IFERROR(__xludf.DUMMYFUNCTION("""COMPUTED_VALUE"""),125.0)</f>
        <v>125</v>
      </c>
      <c r="J2130" s="223" t="str">
        <f>IFERROR(__xludf.DUMMYFUNCTION("""COMPUTED_VALUE"""),"Monthly")</f>
        <v>Monthly</v>
      </c>
      <c r="K2130" s="317">
        <f>IFERROR(__xludf.DUMMYFUNCTION("""COMPUTED_VALUE"""),2022.11)</f>
        <v>2022.11</v>
      </c>
      <c r="L2130" s="298"/>
      <c r="M2130" s="223"/>
      <c r="N2130" s="223"/>
      <c r="O2130" s="223"/>
      <c r="P2130" s="223"/>
      <c r="Q2130" s="223"/>
      <c r="R2130" s="223"/>
      <c r="S2130" s="223"/>
      <c r="T2130" s="223"/>
      <c r="U2130" s="223"/>
      <c r="V2130" s="223"/>
      <c r="W2130" s="223"/>
      <c r="X2130" s="223"/>
      <c r="Y2130" s="223"/>
      <c r="Z2130" s="223"/>
    </row>
    <row r="2131">
      <c r="A2131" s="223" t="str">
        <f>IFERROR(__xludf.DUMMYFUNCTION("""COMPUTED_VALUE"""),"MortgagePal : Monthly Services")</f>
        <v>MortgagePal : Monthly Services</v>
      </c>
      <c r="B2131" s="223" t="str">
        <f>IFERROR(__xludf.DUMMYFUNCTION("""COMPUTED_VALUE"""),"MortgagePal")</f>
        <v>MortgagePal</v>
      </c>
      <c r="C2131" s="223" t="str">
        <f>IFERROR(__xludf.DUMMYFUNCTION("""COMPUTED_VALUE"""),"Monthly Services")</f>
        <v>Monthly Services</v>
      </c>
      <c r="D2131" s="316">
        <f>IFERROR(__xludf.DUMMYFUNCTION("""COMPUTED_VALUE"""),44895.0)</f>
        <v>44895</v>
      </c>
      <c r="E2131" s="298"/>
      <c r="F2131" s="298"/>
      <c r="G2131" s="298"/>
      <c r="H2131" s="223"/>
      <c r="I2131" s="298">
        <f>IFERROR(__xludf.DUMMYFUNCTION("""COMPUTED_VALUE"""),312.5)</f>
        <v>312.5</v>
      </c>
      <c r="J2131" s="223" t="str">
        <f>IFERROR(__xludf.DUMMYFUNCTION("""COMPUTED_VALUE"""),"Monthly")</f>
        <v>Monthly</v>
      </c>
      <c r="K2131" s="317">
        <f>IFERROR(__xludf.DUMMYFUNCTION("""COMPUTED_VALUE"""),2022.11)</f>
        <v>2022.11</v>
      </c>
      <c r="L2131" s="298"/>
      <c r="M2131" s="223"/>
      <c r="N2131" s="223"/>
      <c r="O2131" s="223"/>
      <c r="P2131" s="223"/>
      <c r="Q2131" s="223"/>
      <c r="R2131" s="223"/>
      <c r="S2131" s="223"/>
      <c r="T2131" s="223"/>
      <c r="U2131" s="223"/>
      <c r="V2131" s="223"/>
      <c r="W2131" s="223"/>
      <c r="X2131" s="223"/>
      <c r="Y2131" s="223"/>
      <c r="Z2131" s="223"/>
    </row>
    <row r="2132">
      <c r="A2132" s="223" t="str">
        <f>IFERROR(__xludf.DUMMYFUNCTION("""COMPUTED_VALUE"""),"Wallack's Art Supplies : Monthly Services")</f>
        <v>Wallack's Art Supplies : Monthly Services</v>
      </c>
      <c r="B2132" s="223" t="str">
        <f>IFERROR(__xludf.DUMMYFUNCTION("""COMPUTED_VALUE"""),"Wallack's Art Supplies")</f>
        <v>Wallack's Art Supplies</v>
      </c>
      <c r="C2132" s="223" t="str">
        <f>IFERROR(__xludf.DUMMYFUNCTION("""COMPUTED_VALUE"""),"Monthly Services")</f>
        <v>Monthly Services</v>
      </c>
      <c r="D2132" s="316">
        <f>IFERROR(__xludf.DUMMYFUNCTION("""COMPUTED_VALUE"""),44895.0)</f>
        <v>44895</v>
      </c>
      <c r="E2132" s="298"/>
      <c r="F2132" s="298"/>
      <c r="G2132" s="298"/>
      <c r="H2132" s="223"/>
      <c r="I2132" s="298">
        <f>IFERROR(__xludf.DUMMYFUNCTION("""COMPUTED_VALUE"""),262.5)</f>
        <v>262.5</v>
      </c>
      <c r="J2132" s="223" t="str">
        <f>IFERROR(__xludf.DUMMYFUNCTION("""COMPUTED_VALUE"""),"Monthly")</f>
        <v>Monthly</v>
      </c>
      <c r="K2132" s="317">
        <f>IFERROR(__xludf.DUMMYFUNCTION("""COMPUTED_VALUE"""),2022.11)</f>
        <v>2022.11</v>
      </c>
      <c r="L2132" s="298"/>
      <c r="M2132" s="223"/>
      <c r="N2132" s="223"/>
      <c r="O2132" s="223"/>
      <c r="P2132" s="223"/>
      <c r="Q2132" s="223"/>
      <c r="R2132" s="223"/>
      <c r="S2132" s="223"/>
      <c r="T2132" s="223"/>
      <c r="U2132" s="223"/>
      <c r="V2132" s="223"/>
      <c r="W2132" s="223"/>
      <c r="X2132" s="223"/>
      <c r="Y2132" s="223"/>
      <c r="Z2132" s="223"/>
    </row>
    <row r="2133">
      <c r="A2133" s="223" t="str">
        <f>IFERROR(__xludf.DUMMYFUNCTION("""COMPUTED_VALUE"""),"Anook Athletics : Monthly Services")</f>
        <v>Anook Athletics : Monthly Services</v>
      </c>
      <c r="B2133" s="223" t="str">
        <f>IFERROR(__xludf.DUMMYFUNCTION("""COMPUTED_VALUE"""),"Anook Athletics")</f>
        <v>Anook Athletics</v>
      </c>
      <c r="C2133" s="223" t="str">
        <f>IFERROR(__xludf.DUMMYFUNCTION("""COMPUTED_VALUE"""),"Monthly Services")</f>
        <v>Monthly Services</v>
      </c>
      <c r="D2133" s="316">
        <f>IFERROR(__xludf.DUMMYFUNCTION("""COMPUTED_VALUE"""),44895.0)</f>
        <v>44895</v>
      </c>
      <c r="E2133" s="298"/>
      <c r="F2133" s="298"/>
      <c r="G2133" s="298"/>
      <c r="H2133" s="223"/>
      <c r="I2133" s="298">
        <f>IFERROR(__xludf.DUMMYFUNCTION("""COMPUTED_VALUE"""),500.0)</f>
        <v>500</v>
      </c>
      <c r="J2133" s="223" t="str">
        <f>IFERROR(__xludf.DUMMYFUNCTION("""COMPUTED_VALUE"""),"Monthly")</f>
        <v>Monthly</v>
      </c>
      <c r="K2133" s="317">
        <f>IFERROR(__xludf.DUMMYFUNCTION("""COMPUTED_VALUE"""),2022.11)</f>
        <v>2022.11</v>
      </c>
      <c r="L2133" s="298"/>
      <c r="M2133" s="223"/>
      <c r="N2133" s="223"/>
      <c r="O2133" s="223"/>
      <c r="P2133" s="223"/>
      <c r="Q2133" s="223"/>
      <c r="R2133" s="223"/>
      <c r="S2133" s="223"/>
      <c r="T2133" s="223"/>
      <c r="U2133" s="223"/>
      <c r="V2133" s="223"/>
      <c r="W2133" s="223"/>
      <c r="X2133" s="223"/>
      <c r="Y2133" s="223"/>
      <c r="Z2133" s="223"/>
    </row>
    <row r="2134">
      <c r="A2134" s="223" t="str">
        <f>IFERROR(__xludf.DUMMYFUNCTION("""COMPUTED_VALUE"""),"PMDI : Monthly Services")</f>
        <v>PMDI : Monthly Services</v>
      </c>
      <c r="B2134" s="223" t="str">
        <f>IFERROR(__xludf.DUMMYFUNCTION("""COMPUTED_VALUE"""),"PMDI")</f>
        <v>PMDI</v>
      </c>
      <c r="C2134" s="223" t="str">
        <f>IFERROR(__xludf.DUMMYFUNCTION("""COMPUTED_VALUE"""),"Monthly Services")</f>
        <v>Monthly Services</v>
      </c>
      <c r="D2134" s="316">
        <f>IFERROR(__xludf.DUMMYFUNCTION("""COMPUTED_VALUE"""),44895.0)</f>
        <v>44895</v>
      </c>
      <c r="E2134" s="298"/>
      <c r="F2134" s="298"/>
      <c r="G2134" s="298"/>
      <c r="H2134" s="223"/>
      <c r="I2134" s="298">
        <f>IFERROR(__xludf.DUMMYFUNCTION("""COMPUTED_VALUE"""),137.5)</f>
        <v>137.5</v>
      </c>
      <c r="J2134" s="223" t="str">
        <f>IFERROR(__xludf.DUMMYFUNCTION("""COMPUTED_VALUE"""),"Monthly")</f>
        <v>Monthly</v>
      </c>
      <c r="K2134" s="317">
        <f>IFERROR(__xludf.DUMMYFUNCTION("""COMPUTED_VALUE"""),2022.11)</f>
        <v>2022.11</v>
      </c>
      <c r="L2134" s="298"/>
      <c r="M2134" s="223"/>
      <c r="N2134" s="223"/>
      <c r="O2134" s="223"/>
      <c r="P2134" s="223"/>
      <c r="Q2134" s="223"/>
      <c r="R2134" s="223"/>
      <c r="S2134" s="223"/>
      <c r="T2134" s="223"/>
      <c r="U2134" s="223"/>
      <c r="V2134" s="223"/>
      <c r="W2134" s="223"/>
      <c r="X2134" s="223"/>
      <c r="Y2134" s="223"/>
      <c r="Z2134" s="223"/>
    </row>
    <row r="2135">
      <c r="A2135" s="223" t="str">
        <f>IFERROR(__xludf.DUMMYFUNCTION("""COMPUTED_VALUE"""),"Big Hammer Wines : Google Search and Shopping Overhaul")</f>
        <v>Big Hammer Wines : Google Search and Shopping Overhaul</v>
      </c>
      <c r="B2135" s="223" t="str">
        <f>IFERROR(__xludf.DUMMYFUNCTION("""COMPUTED_VALUE"""),"Big Hammer Wines")</f>
        <v>Big Hammer Wines</v>
      </c>
      <c r="C2135" s="223" t="str">
        <f>IFERROR(__xludf.DUMMYFUNCTION("""COMPUTED_VALUE"""),"Google Search and Shopping Overhaul")</f>
        <v>Google Search and Shopping Overhaul</v>
      </c>
      <c r="D2135" s="316">
        <f>IFERROR(__xludf.DUMMYFUNCTION("""COMPUTED_VALUE"""),44895.0)</f>
        <v>44895</v>
      </c>
      <c r="E2135" s="298"/>
      <c r="F2135" s="298"/>
      <c r="G2135" s="298"/>
      <c r="H2135" s="223"/>
      <c r="I2135" s="298">
        <f>IFERROR(__xludf.DUMMYFUNCTION("""COMPUTED_VALUE"""),237.5)</f>
        <v>237.5</v>
      </c>
      <c r="J2135" s="223" t="str">
        <f>IFERROR(__xludf.DUMMYFUNCTION("""COMPUTED_VALUE"""),"Fixed Project")</f>
        <v>Fixed Project</v>
      </c>
      <c r="K2135" s="317">
        <f>IFERROR(__xludf.DUMMYFUNCTION("""COMPUTED_VALUE"""),2022.0)</f>
        <v>2022</v>
      </c>
      <c r="L2135" s="298"/>
      <c r="M2135" s="223"/>
      <c r="N2135" s="223"/>
      <c r="O2135" s="223"/>
      <c r="P2135" s="223"/>
      <c r="Q2135" s="223"/>
      <c r="R2135" s="223"/>
      <c r="S2135" s="223"/>
      <c r="T2135" s="223"/>
      <c r="U2135" s="223"/>
      <c r="V2135" s="223"/>
      <c r="W2135" s="223"/>
      <c r="X2135" s="223"/>
      <c r="Y2135" s="223"/>
      <c r="Z2135" s="223"/>
    </row>
    <row r="2136">
      <c r="A2136" s="223" t="str">
        <f>IFERROR(__xludf.DUMMYFUNCTION("""COMPUTED_VALUE"""),"PlusROI : Marketing")</f>
        <v>PlusROI : Marketing</v>
      </c>
      <c r="B2136" s="223" t="str">
        <f>IFERROR(__xludf.DUMMYFUNCTION("""COMPUTED_VALUE"""),"PlusROI")</f>
        <v>PlusROI</v>
      </c>
      <c r="C2136" s="223" t="str">
        <f>IFERROR(__xludf.DUMMYFUNCTION("""COMPUTED_VALUE"""),"Marketing")</f>
        <v>Marketing</v>
      </c>
      <c r="D2136" s="316">
        <f>IFERROR(__xludf.DUMMYFUNCTION("""COMPUTED_VALUE"""),44895.0)</f>
        <v>44895</v>
      </c>
      <c r="E2136" s="298"/>
      <c r="F2136" s="298"/>
      <c r="G2136" s="298"/>
      <c r="H2136" s="223"/>
      <c r="I2136" s="298">
        <f>IFERROR(__xludf.DUMMYFUNCTION("""COMPUTED_VALUE"""),150.0)</f>
        <v>150</v>
      </c>
      <c r="J2136" s="223" t="str">
        <f>IFERROR(__xludf.DUMMYFUNCTION("""COMPUTED_VALUE"""),"Hourly")</f>
        <v>Hourly</v>
      </c>
      <c r="K2136" s="317">
        <f>IFERROR(__xludf.DUMMYFUNCTION("""COMPUTED_VALUE"""),2022.0)</f>
        <v>2022</v>
      </c>
      <c r="L2136" s="298"/>
      <c r="M2136" s="223"/>
      <c r="N2136" s="223"/>
      <c r="O2136" s="223"/>
      <c r="P2136" s="223"/>
      <c r="Q2136" s="223"/>
      <c r="R2136" s="223"/>
      <c r="S2136" s="223"/>
      <c r="T2136" s="223"/>
      <c r="U2136" s="223"/>
      <c r="V2136" s="223"/>
      <c r="W2136" s="223"/>
      <c r="X2136" s="223"/>
      <c r="Y2136" s="223"/>
      <c r="Z2136" s="223"/>
    </row>
    <row r="2137">
      <c r="A2137" s="223" t="str">
        <f>IFERROR(__xludf.DUMMYFUNCTION("""COMPUTED_VALUE"""),"OA Region 6 : Monthly Services")</f>
        <v>OA Region 6 : Monthly Services</v>
      </c>
      <c r="B2137" s="223" t="str">
        <f>IFERROR(__xludf.DUMMYFUNCTION("""COMPUTED_VALUE"""),"OA Region 6")</f>
        <v>OA Region 6</v>
      </c>
      <c r="C2137" s="223" t="str">
        <f>IFERROR(__xludf.DUMMYFUNCTION("""COMPUTED_VALUE"""),"Monthly Services")</f>
        <v>Monthly Services</v>
      </c>
      <c r="D2137" s="316">
        <f>IFERROR(__xludf.DUMMYFUNCTION("""COMPUTED_VALUE"""),44895.0)</f>
        <v>44895</v>
      </c>
      <c r="E2137" s="298"/>
      <c r="F2137" s="298"/>
      <c r="G2137" s="298"/>
      <c r="H2137" s="223"/>
      <c r="I2137" s="298">
        <f>IFERROR(__xludf.DUMMYFUNCTION("""COMPUTED_VALUE"""),150.0)</f>
        <v>150</v>
      </c>
      <c r="J2137" s="223" t="str">
        <f>IFERROR(__xludf.DUMMYFUNCTION("""COMPUTED_VALUE"""),"Monthly")</f>
        <v>Monthly</v>
      </c>
      <c r="K2137" s="317">
        <f>IFERROR(__xludf.DUMMYFUNCTION("""COMPUTED_VALUE"""),2022.11)</f>
        <v>2022.11</v>
      </c>
      <c r="L2137" s="298"/>
      <c r="M2137" s="223"/>
      <c r="N2137" s="223"/>
      <c r="O2137" s="223"/>
      <c r="P2137" s="223"/>
      <c r="Q2137" s="223"/>
      <c r="R2137" s="223"/>
      <c r="S2137" s="223"/>
      <c r="T2137" s="223"/>
      <c r="U2137" s="223"/>
      <c r="V2137" s="223"/>
      <c r="W2137" s="223"/>
      <c r="X2137" s="223"/>
      <c r="Y2137" s="223"/>
      <c r="Z2137" s="223"/>
    </row>
    <row r="2138">
      <c r="A2138" s="223" t="str">
        <f>IFERROR(__xludf.DUMMYFUNCTION("""COMPUTED_VALUE"""),"Spraggs : Monthly Services")</f>
        <v>Spraggs : Monthly Services</v>
      </c>
      <c r="B2138" s="223" t="str">
        <f>IFERROR(__xludf.DUMMYFUNCTION("""COMPUTED_VALUE"""),"Spraggs")</f>
        <v>Spraggs</v>
      </c>
      <c r="C2138" s="223" t="str">
        <f>IFERROR(__xludf.DUMMYFUNCTION("""COMPUTED_VALUE"""),"Monthly Services")</f>
        <v>Monthly Services</v>
      </c>
      <c r="D2138" s="316">
        <f>IFERROR(__xludf.DUMMYFUNCTION("""COMPUTED_VALUE"""),44895.0)</f>
        <v>44895</v>
      </c>
      <c r="E2138" s="298"/>
      <c r="F2138" s="298"/>
      <c r="G2138" s="298"/>
      <c r="H2138" s="223"/>
      <c r="I2138" s="298">
        <f>IFERROR(__xludf.DUMMYFUNCTION("""COMPUTED_VALUE"""),212.5)</f>
        <v>212.5</v>
      </c>
      <c r="J2138" s="223" t="str">
        <f>IFERROR(__xludf.DUMMYFUNCTION("""COMPUTED_VALUE"""),"Monthly")</f>
        <v>Monthly</v>
      </c>
      <c r="K2138" s="317">
        <f>IFERROR(__xludf.DUMMYFUNCTION("""COMPUTED_VALUE"""),2022.11)</f>
        <v>2022.11</v>
      </c>
      <c r="L2138" s="298"/>
      <c r="M2138" s="223"/>
      <c r="N2138" s="223"/>
      <c r="O2138" s="223"/>
      <c r="P2138" s="223"/>
      <c r="Q2138" s="223"/>
      <c r="R2138" s="223"/>
      <c r="S2138" s="223"/>
      <c r="T2138" s="223"/>
      <c r="U2138" s="223"/>
      <c r="V2138" s="223"/>
      <c r="W2138" s="223"/>
      <c r="X2138" s="223"/>
      <c r="Y2138" s="223"/>
      <c r="Z2138" s="223"/>
    </row>
    <row r="2139">
      <c r="A2139" s="223" t="str">
        <f>IFERROR(__xludf.DUMMYFUNCTION("""COMPUTED_VALUE"""),"Hastings House : Monthly Services")</f>
        <v>Hastings House : Monthly Services</v>
      </c>
      <c r="B2139" s="223" t="str">
        <f>IFERROR(__xludf.DUMMYFUNCTION("""COMPUTED_VALUE"""),"Hastings House")</f>
        <v>Hastings House</v>
      </c>
      <c r="C2139" s="223" t="str">
        <f>IFERROR(__xludf.DUMMYFUNCTION("""COMPUTED_VALUE"""),"Monthly Services")</f>
        <v>Monthly Services</v>
      </c>
      <c r="D2139" s="316">
        <f>IFERROR(__xludf.DUMMYFUNCTION("""COMPUTED_VALUE"""),44895.0)</f>
        <v>44895</v>
      </c>
      <c r="E2139" s="298"/>
      <c r="F2139" s="298"/>
      <c r="G2139" s="298"/>
      <c r="H2139" s="223"/>
      <c r="I2139" s="298">
        <f>IFERROR(__xludf.DUMMYFUNCTION("""COMPUTED_VALUE"""),175.0)</f>
        <v>175</v>
      </c>
      <c r="J2139" s="223" t="str">
        <f>IFERROR(__xludf.DUMMYFUNCTION("""COMPUTED_VALUE"""),"Monthly")</f>
        <v>Monthly</v>
      </c>
      <c r="K2139" s="317">
        <f>IFERROR(__xludf.DUMMYFUNCTION("""COMPUTED_VALUE"""),2022.11)</f>
        <v>2022.11</v>
      </c>
      <c r="L2139" s="298"/>
      <c r="M2139" s="223"/>
      <c r="N2139" s="223"/>
      <c r="O2139" s="223"/>
      <c r="P2139" s="223"/>
      <c r="Q2139" s="223"/>
      <c r="R2139" s="223"/>
      <c r="S2139" s="223"/>
      <c r="T2139" s="223"/>
      <c r="U2139" s="223"/>
      <c r="V2139" s="223"/>
      <c r="W2139" s="223"/>
      <c r="X2139" s="223"/>
      <c r="Y2139" s="223"/>
      <c r="Z2139" s="223"/>
    </row>
    <row r="2140">
      <c r="A2140" s="223" t="str">
        <f>IFERROR(__xludf.DUMMYFUNCTION("""COMPUTED_VALUE"""),"Availed Technologies : Monthly Services")</f>
        <v>Availed Technologies : Monthly Services</v>
      </c>
      <c r="B2140" s="223" t="str">
        <f>IFERROR(__xludf.DUMMYFUNCTION("""COMPUTED_VALUE"""),"Availed Technologies")</f>
        <v>Availed Technologies</v>
      </c>
      <c r="C2140" s="223" t="str">
        <f>IFERROR(__xludf.DUMMYFUNCTION("""COMPUTED_VALUE"""),"Monthly Services")</f>
        <v>Monthly Services</v>
      </c>
      <c r="D2140" s="316">
        <f>IFERROR(__xludf.DUMMYFUNCTION("""COMPUTED_VALUE"""),44895.0)</f>
        <v>44895</v>
      </c>
      <c r="E2140" s="298"/>
      <c r="F2140" s="298"/>
      <c r="G2140" s="298"/>
      <c r="H2140" s="223"/>
      <c r="I2140" s="298">
        <f>IFERROR(__xludf.DUMMYFUNCTION("""COMPUTED_VALUE"""),50.0)</f>
        <v>50</v>
      </c>
      <c r="J2140" s="223" t="str">
        <f>IFERROR(__xludf.DUMMYFUNCTION("""COMPUTED_VALUE"""),"Monthly")</f>
        <v>Monthly</v>
      </c>
      <c r="K2140" s="317">
        <f>IFERROR(__xludf.DUMMYFUNCTION("""COMPUTED_VALUE"""),2022.11)</f>
        <v>2022.11</v>
      </c>
      <c r="L2140" s="298"/>
      <c r="M2140" s="223"/>
      <c r="N2140" s="223"/>
      <c r="O2140" s="223"/>
      <c r="P2140" s="223"/>
      <c r="Q2140" s="223"/>
      <c r="R2140" s="223"/>
      <c r="S2140" s="223"/>
      <c r="T2140" s="223"/>
      <c r="U2140" s="223"/>
      <c r="V2140" s="223"/>
      <c r="W2140" s="223"/>
      <c r="X2140" s="223"/>
      <c r="Y2140" s="223"/>
      <c r="Z2140" s="223"/>
    </row>
    <row r="2141">
      <c r="A2141" s="223" t="str">
        <f>IFERROR(__xludf.DUMMYFUNCTION("""COMPUTED_VALUE"""),"Spraggs : Monthly Services")</f>
        <v>Spraggs : Monthly Services</v>
      </c>
      <c r="B2141" s="223" t="str">
        <f>IFERROR(__xludf.DUMMYFUNCTION("""COMPUTED_VALUE"""),"Spraggs")</f>
        <v>Spraggs</v>
      </c>
      <c r="C2141" s="223" t="str">
        <f>IFERROR(__xludf.DUMMYFUNCTION("""COMPUTED_VALUE"""),"Monthly Services")</f>
        <v>Monthly Services</v>
      </c>
      <c r="D2141" s="316">
        <f>IFERROR(__xludf.DUMMYFUNCTION("""COMPUTED_VALUE"""),44895.0)</f>
        <v>44895</v>
      </c>
      <c r="E2141" s="298"/>
      <c r="F2141" s="298"/>
      <c r="G2141" s="298"/>
      <c r="H2141" s="223"/>
      <c r="I2141" s="298">
        <f>IFERROR(__xludf.DUMMYFUNCTION("""COMPUTED_VALUE"""),375.0)</f>
        <v>375</v>
      </c>
      <c r="J2141" s="223" t="str">
        <f>IFERROR(__xludf.DUMMYFUNCTION("""COMPUTED_VALUE"""),"Monthly")</f>
        <v>Monthly</v>
      </c>
      <c r="K2141" s="317">
        <f>IFERROR(__xludf.DUMMYFUNCTION("""COMPUTED_VALUE"""),2022.11)</f>
        <v>2022.11</v>
      </c>
      <c r="L2141" s="298"/>
      <c r="M2141" s="223"/>
      <c r="N2141" s="223"/>
      <c r="O2141" s="223"/>
      <c r="P2141" s="223"/>
      <c r="Q2141" s="223"/>
      <c r="R2141" s="223"/>
      <c r="S2141" s="223"/>
      <c r="T2141" s="223"/>
      <c r="U2141" s="223"/>
      <c r="V2141" s="223"/>
      <c r="W2141" s="223"/>
      <c r="X2141" s="223"/>
      <c r="Y2141" s="223"/>
      <c r="Z2141" s="223"/>
    </row>
    <row r="2142">
      <c r="A2142" s="223" t="str">
        <f>IFERROR(__xludf.DUMMYFUNCTION("""COMPUTED_VALUE"""),"MortgagePal : Monthly Services")</f>
        <v>MortgagePal : Monthly Services</v>
      </c>
      <c r="B2142" s="223" t="str">
        <f>IFERROR(__xludf.DUMMYFUNCTION("""COMPUTED_VALUE"""),"MortgagePal")</f>
        <v>MortgagePal</v>
      </c>
      <c r="C2142" s="223" t="str">
        <f>IFERROR(__xludf.DUMMYFUNCTION("""COMPUTED_VALUE"""),"Monthly Services")</f>
        <v>Monthly Services</v>
      </c>
      <c r="D2142" s="316">
        <f>IFERROR(__xludf.DUMMYFUNCTION("""COMPUTED_VALUE"""),44895.0)</f>
        <v>44895</v>
      </c>
      <c r="E2142" s="298"/>
      <c r="F2142" s="298"/>
      <c r="G2142" s="298"/>
      <c r="H2142" s="223"/>
      <c r="I2142" s="298">
        <f>IFERROR(__xludf.DUMMYFUNCTION("""COMPUTED_VALUE"""),45.0)</f>
        <v>45</v>
      </c>
      <c r="J2142" s="223" t="str">
        <f>IFERROR(__xludf.DUMMYFUNCTION("""COMPUTED_VALUE"""),"Monthly")</f>
        <v>Monthly</v>
      </c>
      <c r="K2142" s="317">
        <f>IFERROR(__xludf.DUMMYFUNCTION("""COMPUTED_VALUE"""),2022.11)</f>
        <v>2022.11</v>
      </c>
      <c r="L2142" s="298"/>
      <c r="M2142" s="223"/>
      <c r="N2142" s="223"/>
      <c r="O2142" s="223"/>
      <c r="P2142" s="223"/>
      <c r="Q2142" s="223"/>
      <c r="R2142" s="223"/>
      <c r="S2142" s="223"/>
      <c r="T2142" s="223"/>
      <c r="U2142" s="223"/>
      <c r="V2142" s="223"/>
      <c r="W2142" s="223"/>
      <c r="X2142" s="223"/>
      <c r="Y2142" s="223"/>
      <c r="Z2142" s="223"/>
    </row>
    <row r="2143">
      <c r="A2143" s="223" t="str">
        <f>IFERROR(__xludf.DUMMYFUNCTION("""COMPUTED_VALUE"""),"Service First : Monthly Services")</f>
        <v>Service First : Monthly Services</v>
      </c>
      <c r="B2143" s="223" t="str">
        <f>IFERROR(__xludf.DUMMYFUNCTION("""COMPUTED_VALUE"""),"Service First")</f>
        <v>Service First</v>
      </c>
      <c r="C2143" s="223" t="str">
        <f>IFERROR(__xludf.DUMMYFUNCTION("""COMPUTED_VALUE"""),"Monthly Services")</f>
        <v>Monthly Services</v>
      </c>
      <c r="D2143" s="316">
        <f>IFERROR(__xludf.DUMMYFUNCTION("""COMPUTED_VALUE"""),44895.0)</f>
        <v>44895</v>
      </c>
      <c r="E2143" s="298"/>
      <c r="F2143" s="298"/>
      <c r="G2143" s="298"/>
      <c r="H2143" s="223"/>
      <c r="I2143" s="298">
        <f>IFERROR(__xludf.DUMMYFUNCTION("""COMPUTED_VALUE"""),30.0)</f>
        <v>30</v>
      </c>
      <c r="J2143" s="223" t="str">
        <f>IFERROR(__xludf.DUMMYFUNCTION("""COMPUTED_VALUE"""),"Monthly")</f>
        <v>Monthly</v>
      </c>
      <c r="K2143" s="317">
        <f>IFERROR(__xludf.DUMMYFUNCTION("""COMPUTED_VALUE"""),2022.11)</f>
        <v>2022.11</v>
      </c>
      <c r="L2143" s="298"/>
      <c r="M2143" s="223"/>
      <c r="N2143" s="223"/>
      <c r="O2143" s="223"/>
      <c r="P2143" s="223"/>
      <c r="Q2143" s="223"/>
      <c r="R2143" s="223"/>
      <c r="S2143" s="223"/>
      <c r="T2143" s="223"/>
      <c r="U2143" s="223"/>
      <c r="V2143" s="223"/>
      <c r="W2143" s="223"/>
      <c r="X2143" s="223"/>
      <c r="Y2143" s="223"/>
      <c r="Z2143" s="223"/>
    </row>
    <row r="2144">
      <c r="A2144" s="223" t="str">
        <f>IFERROR(__xludf.DUMMYFUNCTION("""COMPUTED_VALUE"""),"HSJ Lawyers : Monthly Services")</f>
        <v>HSJ Lawyers : Monthly Services</v>
      </c>
      <c r="B2144" s="223" t="str">
        <f>IFERROR(__xludf.DUMMYFUNCTION("""COMPUTED_VALUE"""),"HSJ Lawyers")</f>
        <v>HSJ Lawyers</v>
      </c>
      <c r="C2144" s="223" t="str">
        <f>IFERROR(__xludf.DUMMYFUNCTION("""COMPUTED_VALUE"""),"Monthly Services")</f>
        <v>Monthly Services</v>
      </c>
      <c r="D2144" s="316">
        <f>IFERROR(__xludf.DUMMYFUNCTION("""COMPUTED_VALUE"""),44895.0)</f>
        <v>44895</v>
      </c>
      <c r="E2144" s="298"/>
      <c r="F2144" s="298"/>
      <c r="G2144" s="298"/>
      <c r="H2144" s="223"/>
      <c r="I2144" s="298">
        <f>IFERROR(__xludf.DUMMYFUNCTION("""COMPUTED_VALUE"""),175.0)</f>
        <v>175</v>
      </c>
      <c r="J2144" s="223" t="str">
        <f>IFERROR(__xludf.DUMMYFUNCTION("""COMPUTED_VALUE"""),"Monthly")</f>
        <v>Monthly</v>
      </c>
      <c r="K2144" s="317">
        <f>IFERROR(__xludf.DUMMYFUNCTION("""COMPUTED_VALUE"""),2022.11)</f>
        <v>2022.11</v>
      </c>
      <c r="L2144" s="298"/>
      <c r="M2144" s="223"/>
      <c r="N2144" s="223"/>
      <c r="O2144" s="223"/>
      <c r="P2144" s="223"/>
      <c r="Q2144" s="223"/>
      <c r="R2144" s="223"/>
      <c r="S2144" s="223"/>
      <c r="T2144" s="223"/>
      <c r="U2144" s="223"/>
      <c r="V2144" s="223"/>
      <c r="W2144" s="223"/>
      <c r="X2144" s="223"/>
      <c r="Y2144" s="223"/>
      <c r="Z2144" s="223"/>
    </row>
    <row r="2145">
      <c r="A2145" s="223" t="str">
        <f>IFERROR(__xludf.DUMMYFUNCTION("""COMPUTED_VALUE"""),"Booginhead : Monthly Services")</f>
        <v>Booginhead : Monthly Services</v>
      </c>
      <c r="B2145" s="223" t="str">
        <f>IFERROR(__xludf.DUMMYFUNCTION("""COMPUTED_VALUE"""),"Booginhead")</f>
        <v>Booginhead</v>
      </c>
      <c r="C2145" s="223" t="str">
        <f>IFERROR(__xludf.DUMMYFUNCTION("""COMPUTED_VALUE"""),"Monthly Services")</f>
        <v>Monthly Services</v>
      </c>
      <c r="D2145" s="316">
        <f>IFERROR(__xludf.DUMMYFUNCTION("""COMPUTED_VALUE"""),44895.0)</f>
        <v>44895</v>
      </c>
      <c r="E2145" s="298"/>
      <c r="F2145" s="298"/>
      <c r="G2145" s="298"/>
      <c r="H2145" s="223"/>
      <c r="I2145" s="298">
        <f>IFERROR(__xludf.DUMMYFUNCTION("""COMPUTED_VALUE"""),270.0)</f>
        <v>270</v>
      </c>
      <c r="J2145" s="223" t="str">
        <f>IFERROR(__xludf.DUMMYFUNCTION("""COMPUTED_VALUE"""),"Monthly")</f>
        <v>Monthly</v>
      </c>
      <c r="K2145" s="317">
        <f>IFERROR(__xludf.DUMMYFUNCTION("""COMPUTED_VALUE"""),2022.11)</f>
        <v>2022.11</v>
      </c>
      <c r="L2145" s="298"/>
      <c r="M2145" s="223"/>
      <c r="N2145" s="223"/>
      <c r="O2145" s="223"/>
      <c r="P2145" s="223"/>
      <c r="Q2145" s="223"/>
      <c r="R2145" s="223"/>
      <c r="S2145" s="223"/>
      <c r="T2145" s="223"/>
      <c r="U2145" s="223"/>
      <c r="V2145" s="223"/>
      <c r="W2145" s="223"/>
      <c r="X2145" s="223"/>
      <c r="Y2145" s="223"/>
      <c r="Z2145" s="223"/>
    </row>
    <row r="2146">
      <c r="A2146" s="223" t="str">
        <f>IFERROR(__xludf.DUMMYFUNCTION("""COMPUTED_VALUE"""),"Hastings House : Monthly Services")</f>
        <v>Hastings House : Monthly Services</v>
      </c>
      <c r="B2146" s="223" t="str">
        <f>IFERROR(__xludf.DUMMYFUNCTION("""COMPUTED_VALUE"""),"Hastings House")</f>
        <v>Hastings House</v>
      </c>
      <c r="C2146" s="223" t="str">
        <f>IFERROR(__xludf.DUMMYFUNCTION("""COMPUTED_VALUE"""),"Monthly Services")</f>
        <v>Monthly Services</v>
      </c>
      <c r="D2146" s="316">
        <f>IFERROR(__xludf.DUMMYFUNCTION("""COMPUTED_VALUE"""),44895.0)</f>
        <v>44895</v>
      </c>
      <c r="E2146" s="298"/>
      <c r="F2146" s="298"/>
      <c r="G2146" s="298"/>
      <c r="H2146" s="223"/>
      <c r="I2146" s="298">
        <f>IFERROR(__xludf.DUMMYFUNCTION("""COMPUTED_VALUE"""),135.0)</f>
        <v>135</v>
      </c>
      <c r="J2146" s="223" t="str">
        <f>IFERROR(__xludf.DUMMYFUNCTION("""COMPUTED_VALUE"""),"Monthly")</f>
        <v>Monthly</v>
      </c>
      <c r="K2146" s="317">
        <f>IFERROR(__xludf.DUMMYFUNCTION("""COMPUTED_VALUE"""),2022.11)</f>
        <v>2022.11</v>
      </c>
      <c r="L2146" s="298"/>
      <c r="M2146" s="223"/>
      <c r="N2146" s="223"/>
      <c r="O2146" s="223"/>
      <c r="P2146" s="223"/>
      <c r="Q2146" s="223"/>
      <c r="R2146" s="223"/>
      <c r="S2146" s="223"/>
      <c r="T2146" s="223"/>
      <c r="U2146" s="223"/>
      <c r="V2146" s="223"/>
      <c r="W2146" s="223"/>
      <c r="X2146" s="223"/>
      <c r="Y2146" s="223"/>
      <c r="Z2146" s="223"/>
    </row>
    <row r="2147">
      <c r="A2147" s="223" t="str">
        <f>IFERROR(__xludf.DUMMYFUNCTION("""COMPUTED_VALUE"""),"Bratopia : Monthly Services")</f>
        <v>Bratopia : Monthly Services</v>
      </c>
      <c r="B2147" s="223" t="str">
        <f>IFERROR(__xludf.DUMMYFUNCTION("""COMPUTED_VALUE"""),"Bratopia")</f>
        <v>Bratopia</v>
      </c>
      <c r="C2147" s="223" t="str">
        <f>IFERROR(__xludf.DUMMYFUNCTION("""COMPUTED_VALUE"""),"Monthly Services")</f>
        <v>Monthly Services</v>
      </c>
      <c r="D2147" s="316">
        <f>IFERROR(__xludf.DUMMYFUNCTION("""COMPUTED_VALUE"""),44895.0)</f>
        <v>44895</v>
      </c>
      <c r="E2147" s="298"/>
      <c r="F2147" s="298"/>
      <c r="G2147" s="298"/>
      <c r="H2147" s="223"/>
      <c r="I2147" s="298">
        <f>IFERROR(__xludf.DUMMYFUNCTION("""COMPUTED_VALUE"""),200.0)</f>
        <v>200</v>
      </c>
      <c r="J2147" s="223" t="str">
        <f>IFERROR(__xludf.DUMMYFUNCTION("""COMPUTED_VALUE"""),"Monthly")</f>
        <v>Monthly</v>
      </c>
      <c r="K2147" s="317">
        <f>IFERROR(__xludf.DUMMYFUNCTION("""COMPUTED_VALUE"""),2022.11)</f>
        <v>2022.11</v>
      </c>
      <c r="L2147" s="298"/>
      <c r="M2147" s="223"/>
      <c r="N2147" s="223"/>
      <c r="O2147" s="223"/>
      <c r="P2147" s="223"/>
      <c r="Q2147" s="223"/>
      <c r="R2147" s="223"/>
      <c r="S2147" s="223"/>
      <c r="T2147" s="223"/>
      <c r="U2147" s="223"/>
      <c r="V2147" s="223"/>
      <c r="W2147" s="223"/>
      <c r="X2147" s="223"/>
      <c r="Y2147" s="223"/>
      <c r="Z2147" s="223"/>
    </row>
    <row r="2148">
      <c r="A2148" s="223" t="str">
        <f>IFERROR(__xludf.DUMMYFUNCTION("""COMPUTED_VALUE"""),"TisBest : Monthly Services")</f>
        <v>TisBest : Monthly Services</v>
      </c>
      <c r="B2148" s="223" t="str">
        <f>IFERROR(__xludf.DUMMYFUNCTION("""COMPUTED_VALUE"""),"TisBest")</f>
        <v>TisBest</v>
      </c>
      <c r="C2148" s="223" t="str">
        <f>IFERROR(__xludf.DUMMYFUNCTION("""COMPUTED_VALUE"""),"Monthly Services")</f>
        <v>Monthly Services</v>
      </c>
      <c r="D2148" s="316">
        <f>IFERROR(__xludf.DUMMYFUNCTION("""COMPUTED_VALUE"""),44895.0)</f>
        <v>44895</v>
      </c>
      <c r="E2148" s="298"/>
      <c r="F2148" s="298"/>
      <c r="G2148" s="298"/>
      <c r="H2148" s="223"/>
      <c r="I2148" s="298">
        <f>IFERROR(__xludf.DUMMYFUNCTION("""COMPUTED_VALUE"""),450.0)</f>
        <v>450</v>
      </c>
      <c r="J2148" s="223" t="str">
        <f>IFERROR(__xludf.DUMMYFUNCTION("""COMPUTED_VALUE"""),"Monthly")</f>
        <v>Monthly</v>
      </c>
      <c r="K2148" s="317">
        <f>IFERROR(__xludf.DUMMYFUNCTION("""COMPUTED_VALUE"""),2022.11)</f>
        <v>2022.11</v>
      </c>
      <c r="L2148" s="298"/>
      <c r="M2148" s="223"/>
      <c r="N2148" s="223"/>
      <c r="O2148" s="223"/>
      <c r="P2148" s="223"/>
      <c r="Q2148" s="223"/>
      <c r="R2148" s="223"/>
      <c r="S2148" s="223"/>
      <c r="T2148" s="223"/>
      <c r="U2148" s="223"/>
      <c r="V2148" s="223"/>
      <c r="W2148" s="223"/>
      <c r="X2148" s="223"/>
      <c r="Y2148" s="223"/>
      <c r="Z2148" s="223"/>
    </row>
    <row r="2149">
      <c r="A2149" s="223" t="str">
        <f>IFERROR(__xludf.DUMMYFUNCTION("""COMPUTED_VALUE"""),"Wallack's Art Supplies : Monthly Services")</f>
        <v>Wallack's Art Supplies : Monthly Services</v>
      </c>
      <c r="B2149" s="223" t="str">
        <f>IFERROR(__xludf.DUMMYFUNCTION("""COMPUTED_VALUE"""),"Wallack's Art Supplies")</f>
        <v>Wallack's Art Supplies</v>
      </c>
      <c r="C2149" s="223" t="str">
        <f>IFERROR(__xludf.DUMMYFUNCTION("""COMPUTED_VALUE"""),"Monthly Services")</f>
        <v>Monthly Services</v>
      </c>
      <c r="D2149" s="316">
        <f>IFERROR(__xludf.DUMMYFUNCTION("""COMPUTED_VALUE"""),44895.0)</f>
        <v>44895</v>
      </c>
      <c r="E2149" s="298"/>
      <c r="F2149" s="298"/>
      <c r="G2149" s="298"/>
      <c r="H2149" s="223"/>
      <c r="I2149" s="298">
        <f>IFERROR(__xludf.DUMMYFUNCTION("""COMPUTED_VALUE"""),60.0)</f>
        <v>60</v>
      </c>
      <c r="J2149" s="223" t="str">
        <f>IFERROR(__xludf.DUMMYFUNCTION("""COMPUTED_VALUE"""),"Monthly")</f>
        <v>Monthly</v>
      </c>
      <c r="K2149" s="317">
        <f>IFERROR(__xludf.DUMMYFUNCTION("""COMPUTED_VALUE"""),2022.11)</f>
        <v>2022.11</v>
      </c>
      <c r="L2149" s="298"/>
      <c r="M2149" s="223"/>
      <c r="N2149" s="223"/>
      <c r="O2149" s="223"/>
      <c r="P2149" s="223"/>
      <c r="Q2149" s="223"/>
      <c r="R2149" s="223"/>
      <c r="S2149" s="223"/>
      <c r="T2149" s="223"/>
      <c r="U2149" s="223"/>
      <c r="V2149" s="223"/>
      <c r="W2149" s="223"/>
      <c r="X2149" s="223"/>
      <c r="Y2149" s="223"/>
      <c r="Z2149" s="223"/>
    </row>
    <row r="2150">
      <c r="A2150" s="223" t="str">
        <f>IFERROR(__xludf.DUMMYFUNCTION("""COMPUTED_VALUE"""),"PMDI : Monthly Services")</f>
        <v>PMDI : Monthly Services</v>
      </c>
      <c r="B2150" s="223" t="str">
        <f>IFERROR(__xludf.DUMMYFUNCTION("""COMPUTED_VALUE"""),"PMDI")</f>
        <v>PMDI</v>
      </c>
      <c r="C2150" s="223" t="str">
        <f>IFERROR(__xludf.DUMMYFUNCTION("""COMPUTED_VALUE"""),"Monthly Services")</f>
        <v>Monthly Services</v>
      </c>
      <c r="D2150" s="316">
        <f>IFERROR(__xludf.DUMMYFUNCTION("""COMPUTED_VALUE"""),44895.0)</f>
        <v>44895</v>
      </c>
      <c r="E2150" s="298"/>
      <c r="F2150" s="298"/>
      <c r="G2150" s="298"/>
      <c r="H2150" s="223"/>
      <c r="I2150" s="298">
        <f>IFERROR(__xludf.DUMMYFUNCTION("""COMPUTED_VALUE"""),30.0)</f>
        <v>30</v>
      </c>
      <c r="J2150" s="223" t="str">
        <f>IFERROR(__xludf.DUMMYFUNCTION("""COMPUTED_VALUE"""),"Monthly")</f>
        <v>Monthly</v>
      </c>
      <c r="K2150" s="317">
        <f>IFERROR(__xludf.DUMMYFUNCTION("""COMPUTED_VALUE"""),2022.11)</f>
        <v>2022.11</v>
      </c>
      <c r="L2150" s="298"/>
      <c r="M2150" s="223"/>
      <c r="N2150" s="223"/>
      <c r="O2150" s="223"/>
      <c r="P2150" s="223"/>
      <c r="Q2150" s="223"/>
      <c r="R2150" s="223"/>
      <c r="S2150" s="223"/>
      <c r="T2150" s="223"/>
      <c r="U2150" s="223"/>
      <c r="V2150" s="223"/>
      <c r="W2150" s="223"/>
      <c r="X2150" s="223"/>
      <c r="Y2150" s="223"/>
      <c r="Z2150" s="223"/>
    </row>
    <row r="2151">
      <c r="A2151" s="223" t="str">
        <f>IFERROR(__xludf.DUMMYFUNCTION("""COMPUTED_VALUE"""),"Tofino Resort + Marina : Monthly Services")</f>
        <v>Tofino Resort + Marina : Monthly Services</v>
      </c>
      <c r="B2151" s="223" t="str">
        <f>IFERROR(__xludf.DUMMYFUNCTION("""COMPUTED_VALUE"""),"Tofino Resort + Marina")</f>
        <v>Tofino Resort + Marina</v>
      </c>
      <c r="C2151" s="223" t="str">
        <f>IFERROR(__xludf.DUMMYFUNCTION("""COMPUTED_VALUE"""),"Monthly Services")</f>
        <v>Monthly Services</v>
      </c>
      <c r="D2151" s="316">
        <f>IFERROR(__xludf.DUMMYFUNCTION("""COMPUTED_VALUE"""),44895.0)</f>
        <v>44895</v>
      </c>
      <c r="E2151" s="298"/>
      <c r="F2151" s="298"/>
      <c r="G2151" s="298"/>
      <c r="H2151" s="223"/>
      <c r="I2151" s="298">
        <f>IFERROR(__xludf.DUMMYFUNCTION("""COMPUTED_VALUE"""),300.0)</f>
        <v>300</v>
      </c>
      <c r="J2151" s="223" t="str">
        <f>IFERROR(__xludf.DUMMYFUNCTION("""COMPUTED_VALUE"""),"Monthly")</f>
        <v>Monthly</v>
      </c>
      <c r="K2151" s="317">
        <f>IFERROR(__xludf.DUMMYFUNCTION("""COMPUTED_VALUE"""),2022.11)</f>
        <v>2022.11</v>
      </c>
      <c r="L2151" s="298"/>
      <c r="M2151" s="223"/>
      <c r="N2151" s="223"/>
      <c r="O2151" s="223"/>
      <c r="P2151" s="223"/>
      <c r="Q2151" s="223"/>
      <c r="R2151" s="223"/>
      <c r="S2151" s="223"/>
      <c r="T2151" s="223"/>
      <c r="U2151" s="223"/>
      <c r="V2151" s="223"/>
      <c r="W2151" s="223"/>
      <c r="X2151" s="223"/>
      <c r="Y2151" s="223"/>
      <c r="Z2151" s="223"/>
    </row>
    <row r="2152">
      <c r="A2152" s="223" t="str">
        <f>IFERROR(__xludf.DUMMYFUNCTION("""COMPUTED_VALUE"""),"Anook Athletics : Monthly Services")</f>
        <v>Anook Athletics : Monthly Services</v>
      </c>
      <c r="B2152" s="223" t="str">
        <f>IFERROR(__xludf.DUMMYFUNCTION("""COMPUTED_VALUE"""),"Anook Athletics")</f>
        <v>Anook Athletics</v>
      </c>
      <c r="C2152" s="223" t="str">
        <f>IFERROR(__xludf.DUMMYFUNCTION("""COMPUTED_VALUE"""),"Monthly Services")</f>
        <v>Monthly Services</v>
      </c>
      <c r="D2152" s="316">
        <f>IFERROR(__xludf.DUMMYFUNCTION("""COMPUTED_VALUE"""),44895.0)</f>
        <v>44895</v>
      </c>
      <c r="E2152" s="298"/>
      <c r="F2152" s="298"/>
      <c r="G2152" s="298"/>
      <c r="H2152" s="223"/>
      <c r="I2152" s="298">
        <f>IFERROR(__xludf.DUMMYFUNCTION("""COMPUTED_VALUE"""),75.0)</f>
        <v>75</v>
      </c>
      <c r="J2152" s="223" t="str">
        <f>IFERROR(__xludf.DUMMYFUNCTION("""COMPUTED_VALUE"""),"Monthly")</f>
        <v>Monthly</v>
      </c>
      <c r="K2152" s="317">
        <f>IFERROR(__xludf.DUMMYFUNCTION("""COMPUTED_VALUE"""),2022.11)</f>
        <v>2022.11</v>
      </c>
      <c r="L2152" s="298"/>
      <c r="M2152" s="223"/>
      <c r="N2152" s="223"/>
      <c r="O2152" s="223"/>
      <c r="P2152" s="223"/>
      <c r="Q2152" s="223"/>
      <c r="R2152" s="223"/>
      <c r="S2152" s="223"/>
      <c r="T2152" s="223"/>
      <c r="U2152" s="223"/>
      <c r="V2152" s="223"/>
      <c r="W2152" s="223"/>
      <c r="X2152" s="223"/>
      <c r="Y2152" s="223"/>
      <c r="Z2152" s="223"/>
    </row>
    <row r="2153">
      <c r="A2153" s="223" t="str">
        <f>IFERROR(__xludf.DUMMYFUNCTION("""COMPUTED_VALUE"""),"New Growth Ecommerce Inc : Monthly Services")</f>
        <v>New Growth Ecommerce Inc : Monthly Services</v>
      </c>
      <c r="B2153" s="223" t="str">
        <f>IFERROR(__xludf.DUMMYFUNCTION("""COMPUTED_VALUE"""),"New Growth Ecommerce Inc")</f>
        <v>New Growth Ecommerce Inc</v>
      </c>
      <c r="C2153" s="223" t="str">
        <f>IFERROR(__xludf.DUMMYFUNCTION("""COMPUTED_VALUE"""),"Monthly Services")</f>
        <v>Monthly Services</v>
      </c>
      <c r="D2153" s="316">
        <f>IFERROR(__xludf.DUMMYFUNCTION("""COMPUTED_VALUE"""),44895.0)</f>
        <v>44895</v>
      </c>
      <c r="E2153" s="298"/>
      <c r="F2153" s="298"/>
      <c r="G2153" s="298"/>
      <c r="H2153" s="223"/>
      <c r="I2153" s="298">
        <f>IFERROR(__xludf.DUMMYFUNCTION("""COMPUTED_VALUE"""),1860.0)</f>
        <v>1860</v>
      </c>
      <c r="J2153" s="223" t="str">
        <f>IFERROR(__xludf.DUMMYFUNCTION("""COMPUTED_VALUE"""),"Monthly")</f>
        <v>Monthly</v>
      </c>
      <c r="K2153" s="317">
        <f>IFERROR(__xludf.DUMMYFUNCTION("""COMPUTED_VALUE"""),2022.11)</f>
        <v>2022.11</v>
      </c>
      <c r="L2153" s="298"/>
      <c r="M2153" s="223"/>
      <c r="N2153" s="223"/>
      <c r="O2153" s="223"/>
      <c r="P2153" s="223"/>
      <c r="Q2153" s="223"/>
      <c r="R2153" s="223"/>
      <c r="S2153" s="223"/>
      <c r="T2153" s="223"/>
      <c r="U2153" s="223"/>
      <c r="V2153" s="223"/>
      <c r="W2153" s="223"/>
      <c r="X2153" s="223"/>
      <c r="Y2153" s="223"/>
      <c r="Z2153" s="223"/>
    </row>
    <row r="2154">
      <c r="A2154" s="223" t="str">
        <f>IFERROR(__xludf.DUMMYFUNCTION("""COMPUTED_VALUE"""),"Viridian : Monthly Services")</f>
        <v>Viridian : Monthly Services</v>
      </c>
      <c r="B2154" s="223" t="str">
        <f>IFERROR(__xludf.DUMMYFUNCTION("""COMPUTED_VALUE"""),"Viridian")</f>
        <v>Viridian</v>
      </c>
      <c r="C2154" s="223" t="str">
        <f>IFERROR(__xludf.DUMMYFUNCTION("""COMPUTED_VALUE"""),"Monthly Services")</f>
        <v>Monthly Services</v>
      </c>
      <c r="D2154" s="316">
        <f>IFERROR(__xludf.DUMMYFUNCTION("""COMPUTED_VALUE"""),44895.0)</f>
        <v>44895</v>
      </c>
      <c r="E2154" s="298"/>
      <c r="F2154" s="298"/>
      <c r="G2154" s="298"/>
      <c r="H2154" s="223"/>
      <c r="I2154" s="298">
        <f>IFERROR(__xludf.DUMMYFUNCTION("""COMPUTED_VALUE"""),60.0)</f>
        <v>60</v>
      </c>
      <c r="J2154" s="223" t="str">
        <f>IFERROR(__xludf.DUMMYFUNCTION("""COMPUTED_VALUE"""),"Monthly")</f>
        <v>Monthly</v>
      </c>
      <c r="K2154" s="317">
        <f>IFERROR(__xludf.DUMMYFUNCTION("""COMPUTED_VALUE"""),2022.11)</f>
        <v>2022.11</v>
      </c>
      <c r="L2154" s="298"/>
      <c r="M2154" s="223"/>
      <c r="N2154" s="223"/>
      <c r="O2154" s="223"/>
      <c r="P2154" s="223"/>
      <c r="Q2154" s="223"/>
      <c r="R2154" s="223"/>
      <c r="S2154" s="223"/>
      <c r="T2154" s="223"/>
      <c r="U2154" s="223"/>
      <c r="V2154" s="223"/>
      <c r="W2154" s="223"/>
      <c r="X2154" s="223"/>
      <c r="Y2154" s="223"/>
      <c r="Z2154" s="223"/>
    </row>
    <row r="2155">
      <c r="A2155" s="223" t="str">
        <f>IFERROR(__xludf.DUMMYFUNCTION("""COMPUTED_VALUE"""),"Crisp Media : Monthly Genus Google PPC Mgmt")</f>
        <v>Crisp Media : Monthly Genus Google PPC Mgmt</v>
      </c>
      <c r="B2155" s="223" t="str">
        <f>IFERROR(__xludf.DUMMYFUNCTION("""COMPUTED_VALUE"""),"Crisp Media")</f>
        <v>Crisp Media</v>
      </c>
      <c r="C2155" s="223" t="str">
        <f>IFERROR(__xludf.DUMMYFUNCTION("""COMPUTED_VALUE"""),"Monthly Genus Google PPC Mgmt")</f>
        <v>Monthly Genus Google PPC Mgmt</v>
      </c>
      <c r="D2155" s="316">
        <f>IFERROR(__xludf.DUMMYFUNCTION("""COMPUTED_VALUE"""),44895.0)</f>
        <v>44895</v>
      </c>
      <c r="E2155" s="298"/>
      <c r="F2155" s="298"/>
      <c r="G2155" s="298"/>
      <c r="H2155" s="223"/>
      <c r="I2155" s="298">
        <f>IFERROR(__xludf.DUMMYFUNCTION("""COMPUTED_VALUE"""),45.0)</f>
        <v>45</v>
      </c>
      <c r="J2155" s="223" t="str">
        <f>IFERROR(__xludf.DUMMYFUNCTION("""COMPUTED_VALUE"""),"Monthly")</f>
        <v>Monthly</v>
      </c>
      <c r="K2155" s="317">
        <f>IFERROR(__xludf.DUMMYFUNCTION("""COMPUTED_VALUE"""),2022.11)</f>
        <v>2022.11</v>
      </c>
      <c r="L2155" s="298"/>
      <c r="M2155" s="223"/>
      <c r="N2155" s="223"/>
      <c r="O2155" s="223"/>
      <c r="P2155" s="223"/>
      <c r="Q2155" s="223"/>
      <c r="R2155" s="223"/>
      <c r="S2155" s="223"/>
      <c r="T2155" s="223"/>
      <c r="U2155" s="223"/>
      <c r="V2155" s="223"/>
      <c r="W2155" s="223"/>
      <c r="X2155" s="223"/>
      <c r="Y2155" s="223"/>
      <c r="Z2155" s="223"/>
    </row>
    <row r="2156">
      <c r="A2156" s="223" t="str">
        <f>IFERROR(__xludf.DUMMYFUNCTION("""COMPUTED_VALUE"""),"Howard Fine Jewellers : Ongoing PPC and SEO Support")</f>
        <v>Howard Fine Jewellers : Ongoing PPC and SEO Support</v>
      </c>
      <c r="B2156" s="223" t="str">
        <f>IFERROR(__xludf.DUMMYFUNCTION("""COMPUTED_VALUE"""),"Howard Fine Jewellers")</f>
        <v>Howard Fine Jewellers</v>
      </c>
      <c r="C2156" s="223" t="str">
        <f>IFERROR(__xludf.DUMMYFUNCTION("""COMPUTED_VALUE"""),"Ongoing PPC and SEO Support")</f>
        <v>Ongoing PPC and SEO Support</v>
      </c>
      <c r="D2156" s="316">
        <f>IFERROR(__xludf.DUMMYFUNCTION("""COMPUTED_VALUE"""),44895.0)</f>
        <v>44895</v>
      </c>
      <c r="E2156" s="298"/>
      <c r="F2156" s="298"/>
      <c r="G2156" s="298"/>
      <c r="H2156" s="223"/>
      <c r="I2156" s="298">
        <f>IFERROR(__xludf.DUMMYFUNCTION("""COMPUTED_VALUE"""),150.0)</f>
        <v>150</v>
      </c>
      <c r="J2156" s="223" t="str">
        <f>IFERROR(__xludf.DUMMYFUNCTION("""COMPUTED_VALUE"""),"Monthly")</f>
        <v>Monthly</v>
      </c>
      <c r="K2156" s="317">
        <f>IFERROR(__xludf.DUMMYFUNCTION("""COMPUTED_VALUE"""),2022.11)</f>
        <v>2022.11</v>
      </c>
      <c r="L2156" s="298"/>
      <c r="M2156" s="223"/>
      <c r="N2156" s="223"/>
      <c r="O2156" s="223"/>
      <c r="P2156" s="223"/>
      <c r="Q2156" s="223"/>
      <c r="R2156" s="223"/>
      <c r="S2156" s="223"/>
      <c r="T2156" s="223"/>
      <c r="U2156" s="223"/>
      <c r="V2156" s="223"/>
      <c r="W2156" s="223"/>
      <c r="X2156" s="223"/>
      <c r="Y2156" s="223"/>
      <c r="Z2156" s="223"/>
    </row>
    <row r="2157">
      <c r="A2157" s="223" t="str">
        <f>IFERROR(__xludf.DUMMYFUNCTION("""COMPUTED_VALUE"""),"Big Hammer Wines : Google Search and Shopping Overhaul")</f>
        <v>Big Hammer Wines : Google Search and Shopping Overhaul</v>
      </c>
      <c r="B2157" s="223" t="str">
        <f>IFERROR(__xludf.DUMMYFUNCTION("""COMPUTED_VALUE"""),"Big Hammer Wines")</f>
        <v>Big Hammer Wines</v>
      </c>
      <c r="C2157" s="223" t="str">
        <f>IFERROR(__xludf.DUMMYFUNCTION("""COMPUTED_VALUE"""),"Google Search and Shopping Overhaul")</f>
        <v>Google Search and Shopping Overhaul</v>
      </c>
      <c r="D2157" s="316">
        <f>IFERROR(__xludf.DUMMYFUNCTION("""COMPUTED_VALUE"""),44895.0)</f>
        <v>44895</v>
      </c>
      <c r="E2157" s="298"/>
      <c r="F2157" s="298"/>
      <c r="G2157" s="298"/>
      <c r="H2157" s="223"/>
      <c r="I2157" s="298">
        <f>IFERROR(__xludf.DUMMYFUNCTION("""COMPUTED_VALUE"""),60.0)</f>
        <v>60</v>
      </c>
      <c r="J2157" s="223" t="str">
        <f>IFERROR(__xludf.DUMMYFUNCTION("""COMPUTED_VALUE"""),"Fixed Project")</f>
        <v>Fixed Project</v>
      </c>
      <c r="K2157" s="317">
        <f>IFERROR(__xludf.DUMMYFUNCTION("""COMPUTED_VALUE"""),2022.0)</f>
        <v>2022</v>
      </c>
      <c r="L2157" s="298"/>
      <c r="M2157" s="223"/>
      <c r="N2157" s="223"/>
      <c r="O2157" s="223"/>
      <c r="P2157" s="223"/>
      <c r="Q2157" s="223"/>
      <c r="R2157" s="223"/>
      <c r="S2157" s="223"/>
      <c r="T2157" s="223"/>
      <c r="U2157" s="223"/>
      <c r="V2157" s="223"/>
      <c r="W2157" s="223"/>
      <c r="X2157" s="223"/>
      <c r="Y2157" s="223"/>
      <c r="Z2157" s="223"/>
    </row>
    <row r="2158">
      <c r="A2158" s="223" t="str">
        <f>IFERROR(__xludf.DUMMYFUNCTION("""COMPUTED_VALUE"""),"Moloco : Monthly PPC")</f>
        <v>Moloco : Monthly PPC</v>
      </c>
      <c r="B2158" s="223" t="str">
        <f>IFERROR(__xludf.DUMMYFUNCTION("""COMPUTED_VALUE"""),"Moloco")</f>
        <v>Moloco</v>
      </c>
      <c r="C2158" s="223" t="str">
        <f>IFERROR(__xludf.DUMMYFUNCTION("""COMPUTED_VALUE"""),"Monthly PPC")</f>
        <v>Monthly PPC</v>
      </c>
      <c r="D2158" s="316">
        <f>IFERROR(__xludf.DUMMYFUNCTION("""COMPUTED_VALUE"""),44895.0)</f>
        <v>44895</v>
      </c>
      <c r="E2158" s="298"/>
      <c r="F2158" s="298"/>
      <c r="G2158" s="298"/>
      <c r="H2158" s="223"/>
      <c r="I2158" s="298">
        <f>IFERROR(__xludf.DUMMYFUNCTION("""COMPUTED_VALUE"""),45.0)</f>
        <v>45</v>
      </c>
      <c r="J2158" s="223" t="str">
        <f>IFERROR(__xludf.DUMMYFUNCTION("""COMPUTED_VALUE"""),"Monthly")</f>
        <v>Monthly</v>
      </c>
      <c r="K2158" s="317">
        <f>IFERROR(__xludf.DUMMYFUNCTION("""COMPUTED_VALUE"""),2022.11)</f>
        <v>2022.11</v>
      </c>
      <c r="L2158" s="298"/>
      <c r="M2158" s="223"/>
      <c r="N2158" s="223"/>
      <c r="O2158" s="223"/>
      <c r="P2158" s="223"/>
      <c r="Q2158" s="223"/>
      <c r="R2158" s="223"/>
      <c r="S2158" s="223"/>
      <c r="T2158" s="223"/>
      <c r="U2158" s="223"/>
      <c r="V2158" s="223"/>
      <c r="W2158" s="223"/>
      <c r="X2158" s="223"/>
      <c r="Y2158" s="223"/>
      <c r="Z2158" s="223"/>
    </row>
    <row r="2159">
      <c r="A2159" s="223" t="str">
        <f>IFERROR(__xludf.DUMMYFUNCTION("""COMPUTED_VALUE"""),"C360 : Johns Hopkins University PPC Setup")</f>
        <v>C360 : Johns Hopkins University PPC Setup</v>
      </c>
      <c r="B2159" s="223" t="str">
        <f>IFERROR(__xludf.DUMMYFUNCTION("""COMPUTED_VALUE"""),"C360")</f>
        <v>C360</v>
      </c>
      <c r="C2159" s="223" t="str">
        <f>IFERROR(__xludf.DUMMYFUNCTION("""COMPUTED_VALUE"""),"Johns Hopkins University PPC Setup")</f>
        <v>Johns Hopkins University PPC Setup</v>
      </c>
      <c r="D2159" s="316">
        <f>IFERROR(__xludf.DUMMYFUNCTION("""COMPUTED_VALUE"""),44895.0)</f>
        <v>44895</v>
      </c>
      <c r="E2159" s="298"/>
      <c r="F2159" s="298"/>
      <c r="G2159" s="298"/>
      <c r="H2159" s="223"/>
      <c r="I2159" s="298">
        <f>IFERROR(__xludf.DUMMYFUNCTION("""COMPUTED_VALUE"""),257.5)</f>
        <v>257.5</v>
      </c>
      <c r="J2159" s="223" t="str">
        <f>IFERROR(__xludf.DUMMYFUNCTION("""COMPUTED_VALUE"""),"Fixed Project")</f>
        <v>Fixed Project</v>
      </c>
      <c r="K2159" s="317">
        <f>IFERROR(__xludf.DUMMYFUNCTION("""COMPUTED_VALUE"""),2022.0)</f>
        <v>2022</v>
      </c>
      <c r="L2159" s="298"/>
      <c r="M2159" s="223"/>
      <c r="N2159" s="223"/>
      <c r="O2159" s="223"/>
      <c r="P2159" s="223"/>
      <c r="Q2159" s="223"/>
      <c r="R2159" s="223"/>
      <c r="S2159" s="223"/>
      <c r="T2159" s="223"/>
      <c r="U2159" s="223"/>
      <c r="V2159" s="223"/>
      <c r="W2159" s="223"/>
      <c r="X2159" s="223"/>
      <c r="Y2159" s="223"/>
      <c r="Z2159" s="223"/>
    </row>
    <row r="2160">
      <c r="A2160" s="223" t="str">
        <f>IFERROR(__xludf.DUMMYFUNCTION("""COMPUTED_VALUE"""),"Spring Activator : Ads and Analytics kickoff plus site support ")</f>
        <v>Spring Activator : Ads and Analytics kickoff plus site support </v>
      </c>
      <c r="B2160" s="223" t="str">
        <f>IFERROR(__xludf.DUMMYFUNCTION("""COMPUTED_VALUE"""),"Spring Activator")</f>
        <v>Spring Activator</v>
      </c>
      <c r="C2160" s="223" t="str">
        <f>IFERROR(__xludf.DUMMYFUNCTION("""COMPUTED_VALUE"""),"Ads and Analytics kickoff plus site support")</f>
        <v>Ads and Analytics kickoff plus site support</v>
      </c>
      <c r="D2160" s="316">
        <f>IFERROR(__xludf.DUMMYFUNCTION("""COMPUTED_VALUE"""),44895.0)</f>
        <v>44895</v>
      </c>
      <c r="E2160" s="298"/>
      <c r="F2160" s="298"/>
      <c r="G2160" s="298"/>
      <c r="H2160" s="223"/>
      <c r="I2160" s="298">
        <f>IFERROR(__xludf.DUMMYFUNCTION("""COMPUTED_VALUE"""),485.0)</f>
        <v>485</v>
      </c>
      <c r="J2160" s="223" t="str">
        <f>IFERROR(__xludf.DUMMYFUNCTION("""COMPUTED_VALUE"""),"Fixed Project")</f>
        <v>Fixed Project</v>
      </c>
      <c r="K2160" s="317">
        <f>IFERROR(__xludf.DUMMYFUNCTION("""COMPUTED_VALUE"""),2022.0)</f>
        <v>2022</v>
      </c>
      <c r="L2160" s="298"/>
      <c r="M2160" s="223"/>
      <c r="N2160" s="223"/>
      <c r="O2160" s="223"/>
      <c r="P2160" s="223"/>
      <c r="Q2160" s="223"/>
      <c r="R2160" s="223"/>
      <c r="S2160" s="223"/>
      <c r="T2160" s="223"/>
      <c r="U2160" s="223"/>
      <c r="V2160" s="223"/>
      <c r="W2160" s="223"/>
      <c r="X2160" s="223"/>
      <c r="Y2160" s="223"/>
      <c r="Z2160" s="223"/>
    </row>
    <row r="2161">
      <c r="A2161" s="223" t="str">
        <f>IFERROR(__xludf.DUMMYFUNCTION("""COMPUTED_VALUE"""),"YogiTunes : 3 Month Ads Engagement")</f>
        <v>YogiTunes : 3 Month Ads Engagement</v>
      </c>
      <c r="B2161" s="223" t="str">
        <f>IFERROR(__xludf.DUMMYFUNCTION("""COMPUTED_VALUE"""),"YogiTunes")</f>
        <v>YogiTunes</v>
      </c>
      <c r="C2161" s="223" t="str">
        <f>IFERROR(__xludf.DUMMYFUNCTION("""COMPUTED_VALUE"""),"3 Month Ads Engagement")</f>
        <v>3 Month Ads Engagement</v>
      </c>
      <c r="D2161" s="316">
        <f>IFERROR(__xludf.DUMMYFUNCTION("""COMPUTED_VALUE"""),44895.0)</f>
        <v>44895</v>
      </c>
      <c r="E2161" s="298"/>
      <c r="F2161" s="298"/>
      <c r="G2161" s="298"/>
      <c r="H2161" s="223"/>
      <c r="I2161" s="298">
        <f>IFERROR(__xludf.DUMMYFUNCTION("""COMPUTED_VALUE"""),970.0)</f>
        <v>970</v>
      </c>
      <c r="J2161" s="223" t="str">
        <f>IFERROR(__xludf.DUMMYFUNCTION("""COMPUTED_VALUE"""),"Fixed Project")</f>
        <v>Fixed Project</v>
      </c>
      <c r="K2161" s="317">
        <f>IFERROR(__xludf.DUMMYFUNCTION("""COMPUTED_VALUE"""),2022.0)</f>
        <v>2022</v>
      </c>
      <c r="L2161" s="298"/>
      <c r="M2161" s="223"/>
      <c r="N2161" s="223"/>
      <c r="O2161" s="223"/>
      <c r="P2161" s="223"/>
      <c r="Q2161" s="223"/>
      <c r="R2161" s="223"/>
      <c r="S2161" s="223"/>
      <c r="T2161" s="223"/>
      <c r="U2161" s="223"/>
      <c r="V2161" s="223"/>
      <c r="W2161" s="223"/>
      <c r="X2161" s="223"/>
      <c r="Y2161" s="223"/>
      <c r="Z2161" s="223"/>
    </row>
    <row r="2162">
      <c r="A2162" s="223" t="str">
        <f>IFERROR(__xludf.DUMMYFUNCTION("""COMPUTED_VALUE"""),"Classic LifeCare : Monthly Google Ads (PPC) Management")</f>
        <v>Classic LifeCare : Monthly Google Ads (PPC) Management</v>
      </c>
      <c r="B2162" s="223" t="str">
        <f>IFERROR(__xludf.DUMMYFUNCTION("""COMPUTED_VALUE"""),"Classic LifeCare")</f>
        <v>Classic LifeCare</v>
      </c>
      <c r="C2162" s="223" t="str">
        <f>IFERROR(__xludf.DUMMYFUNCTION("""COMPUTED_VALUE"""),"Monthly Google Ads (PPC) Management")</f>
        <v>Monthly Google Ads (PPC) Management</v>
      </c>
      <c r="D2162" s="316">
        <f>IFERROR(__xludf.DUMMYFUNCTION("""COMPUTED_VALUE"""),44895.0)</f>
        <v>44895</v>
      </c>
      <c r="E2162" s="298"/>
      <c r="F2162" s="298"/>
      <c r="G2162" s="298"/>
      <c r="H2162" s="223"/>
      <c r="I2162" s="298">
        <f>IFERROR(__xludf.DUMMYFUNCTION("""COMPUTED_VALUE"""),415.0)</f>
        <v>415</v>
      </c>
      <c r="J2162" s="223" t="str">
        <f>IFERROR(__xludf.DUMMYFUNCTION("""COMPUTED_VALUE"""),"Monthly")</f>
        <v>Monthly</v>
      </c>
      <c r="K2162" s="317">
        <f>IFERROR(__xludf.DUMMYFUNCTION("""COMPUTED_VALUE"""),2022.11)</f>
        <v>2022.11</v>
      </c>
      <c r="L2162" s="298"/>
      <c r="M2162" s="223"/>
      <c r="N2162" s="223"/>
      <c r="O2162" s="223"/>
      <c r="P2162" s="223"/>
      <c r="Q2162" s="223"/>
      <c r="R2162" s="223"/>
      <c r="S2162" s="223"/>
      <c r="T2162" s="223"/>
      <c r="U2162" s="223"/>
      <c r="V2162" s="223"/>
      <c r="W2162" s="223"/>
      <c r="X2162" s="223"/>
      <c r="Y2162" s="223"/>
      <c r="Z2162" s="223"/>
    </row>
    <row r="2163">
      <c r="A2163" s="223" t="str">
        <f>IFERROR(__xludf.DUMMYFUNCTION("""COMPUTED_VALUE"""),"Crescent Spur Heli-Skiing : Google Search Campaigns")</f>
        <v>Crescent Spur Heli-Skiing : Google Search Campaigns</v>
      </c>
      <c r="B2163" s="223" t="str">
        <f>IFERROR(__xludf.DUMMYFUNCTION("""COMPUTED_VALUE"""),"Crescent Spur Heli-Skiing")</f>
        <v>Crescent Spur Heli-Skiing</v>
      </c>
      <c r="C2163" s="223" t="str">
        <f>IFERROR(__xludf.DUMMYFUNCTION("""COMPUTED_VALUE"""),"Google Search Campaigns")</f>
        <v>Google Search Campaigns</v>
      </c>
      <c r="D2163" s="316">
        <f>IFERROR(__xludf.DUMMYFUNCTION("""COMPUTED_VALUE"""),44895.0)</f>
        <v>44895</v>
      </c>
      <c r="E2163" s="298"/>
      <c r="F2163" s="298"/>
      <c r="G2163" s="298"/>
      <c r="H2163" s="223"/>
      <c r="I2163" s="298">
        <f>IFERROR(__xludf.DUMMYFUNCTION("""COMPUTED_VALUE"""),100.0)</f>
        <v>100</v>
      </c>
      <c r="J2163" s="223" t="str">
        <f>IFERROR(__xludf.DUMMYFUNCTION("""COMPUTED_VALUE"""),"Fixed Project")</f>
        <v>Fixed Project</v>
      </c>
      <c r="K2163" s="317">
        <f>IFERROR(__xludf.DUMMYFUNCTION("""COMPUTED_VALUE"""),2022.0)</f>
        <v>2022</v>
      </c>
      <c r="L2163" s="298"/>
      <c r="M2163" s="223"/>
      <c r="N2163" s="223"/>
      <c r="O2163" s="223"/>
      <c r="P2163" s="223"/>
      <c r="Q2163" s="223"/>
      <c r="R2163" s="223"/>
      <c r="S2163" s="223"/>
      <c r="T2163" s="223"/>
      <c r="U2163" s="223"/>
      <c r="V2163" s="223"/>
      <c r="W2163" s="223"/>
      <c r="X2163" s="223"/>
      <c r="Y2163" s="223"/>
      <c r="Z2163" s="223"/>
    </row>
    <row r="2164">
      <c r="A2164" s="223" t="str">
        <f>IFERROR(__xludf.DUMMYFUNCTION("""COMPUTED_VALUE"""),"PlusROI : Admin")</f>
        <v>PlusROI : Admin</v>
      </c>
      <c r="B2164" s="223" t="str">
        <f>IFERROR(__xludf.DUMMYFUNCTION("""COMPUTED_VALUE"""),"PlusROI")</f>
        <v>PlusROI</v>
      </c>
      <c r="C2164" s="223" t="str">
        <f>IFERROR(__xludf.DUMMYFUNCTION("""COMPUTED_VALUE"""),"Admin")</f>
        <v>Admin</v>
      </c>
      <c r="D2164" s="316">
        <f>IFERROR(__xludf.DUMMYFUNCTION("""COMPUTED_VALUE"""),44895.0)</f>
        <v>44895</v>
      </c>
      <c r="E2164" s="298"/>
      <c r="F2164" s="298"/>
      <c r="G2164" s="298"/>
      <c r="H2164" s="223"/>
      <c r="I2164" s="298">
        <f>IFERROR(__xludf.DUMMYFUNCTION("""COMPUTED_VALUE"""),300.0)</f>
        <v>300</v>
      </c>
      <c r="J2164" s="223" t="str">
        <f>IFERROR(__xludf.DUMMYFUNCTION("""COMPUTED_VALUE"""),"Hourly")</f>
        <v>Hourly</v>
      </c>
      <c r="K2164" s="317">
        <f>IFERROR(__xludf.DUMMYFUNCTION("""COMPUTED_VALUE"""),2022.0)</f>
        <v>2022</v>
      </c>
      <c r="L2164" s="298"/>
      <c r="M2164" s="223"/>
      <c r="N2164" s="223"/>
      <c r="O2164" s="223"/>
      <c r="P2164" s="223"/>
      <c r="Q2164" s="223"/>
      <c r="R2164" s="223"/>
      <c r="S2164" s="223"/>
      <c r="T2164" s="223"/>
      <c r="U2164" s="223"/>
      <c r="V2164" s="223"/>
      <c r="W2164" s="223"/>
      <c r="X2164" s="223"/>
      <c r="Y2164" s="223"/>
      <c r="Z2164" s="223"/>
    </row>
    <row r="2165">
      <c r="A2165" s="223" t="str">
        <f>IFERROR(__xludf.DUMMYFUNCTION("""COMPUTED_VALUE"""),"Tuscany : Monthly Services")</f>
        <v>Tuscany : Monthly Services</v>
      </c>
      <c r="B2165" s="223" t="str">
        <f>IFERROR(__xludf.DUMMYFUNCTION("""COMPUTED_VALUE"""),"Tuscany")</f>
        <v>Tuscany</v>
      </c>
      <c r="C2165" s="223" t="str">
        <f>IFERROR(__xludf.DUMMYFUNCTION("""COMPUTED_VALUE"""),"Monthly Services")</f>
        <v>Monthly Services</v>
      </c>
      <c r="D2165" s="316">
        <f>IFERROR(__xludf.DUMMYFUNCTION("""COMPUTED_VALUE"""),44895.0)</f>
        <v>44895</v>
      </c>
      <c r="E2165" s="298"/>
      <c r="F2165" s="298"/>
      <c r="G2165" s="298"/>
      <c r="H2165" s="223"/>
      <c r="I2165" s="298">
        <f>IFERROR(__xludf.DUMMYFUNCTION("""COMPUTED_VALUE"""),662.5)</f>
        <v>662.5</v>
      </c>
      <c r="J2165" s="223" t="str">
        <f>IFERROR(__xludf.DUMMYFUNCTION("""COMPUTED_VALUE"""),"Monthly")</f>
        <v>Monthly</v>
      </c>
      <c r="K2165" s="317">
        <f>IFERROR(__xludf.DUMMYFUNCTION("""COMPUTED_VALUE"""),2022.11)</f>
        <v>2022.11</v>
      </c>
      <c r="L2165" s="298"/>
      <c r="M2165" s="223"/>
      <c r="N2165" s="223"/>
      <c r="O2165" s="223"/>
      <c r="P2165" s="223"/>
      <c r="Q2165" s="223"/>
      <c r="R2165" s="223"/>
      <c r="S2165" s="223"/>
      <c r="T2165" s="223"/>
      <c r="U2165" s="223"/>
      <c r="V2165" s="223"/>
      <c r="W2165" s="223"/>
      <c r="X2165" s="223"/>
      <c r="Y2165" s="223"/>
      <c r="Z2165" s="223"/>
    </row>
    <row r="2166">
      <c r="A2166" s="223" t="str">
        <f>IFERROR(__xludf.DUMMYFUNCTION("""COMPUTED_VALUE"""),"Venetian : Monthly Services")</f>
        <v>Venetian : Monthly Services</v>
      </c>
      <c r="B2166" s="223" t="str">
        <f>IFERROR(__xludf.DUMMYFUNCTION("""COMPUTED_VALUE"""),"Venetian")</f>
        <v>Venetian</v>
      </c>
      <c r="C2166" s="223" t="str">
        <f>IFERROR(__xludf.DUMMYFUNCTION("""COMPUTED_VALUE"""),"Monthly Services")</f>
        <v>Monthly Services</v>
      </c>
      <c r="D2166" s="316">
        <f>IFERROR(__xludf.DUMMYFUNCTION("""COMPUTED_VALUE"""),44895.0)</f>
        <v>44895</v>
      </c>
      <c r="E2166" s="298"/>
      <c r="F2166" s="298"/>
      <c r="G2166" s="298"/>
      <c r="H2166" s="223"/>
      <c r="I2166" s="298">
        <f>IFERROR(__xludf.DUMMYFUNCTION("""COMPUTED_VALUE"""),662.5)</f>
        <v>662.5</v>
      </c>
      <c r="J2166" s="223" t="str">
        <f>IFERROR(__xludf.DUMMYFUNCTION("""COMPUTED_VALUE"""),"Monthly")</f>
        <v>Monthly</v>
      </c>
      <c r="K2166" s="317">
        <f>IFERROR(__xludf.DUMMYFUNCTION("""COMPUTED_VALUE"""),2022.11)</f>
        <v>2022.11</v>
      </c>
      <c r="L2166" s="298"/>
      <c r="M2166" s="223"/>
      <c r="N2166" s="223"/>
      <c r="O2166" s="223"/>
      <c r="P2166" s="223"/>
      <c r="Q2166" s="223"/>
      <c r="R2166" s="223"/>
      <c r="S2166" s="223"/>
      <c r="T2166" s="223"/>
      <c r="U2166" s="223"/>
      <c r="V2166" s="223"/>
      <c r="W2166" s="223"/>
      <c r="X2166" s="223"/>
      <c r="Y2166" s="223"/>
      <c r="Z2166" s="223"/>
    </row>
    <row r="2167">
      <c r="A2167" s="223" t="str">
        <f>IFERROR(__xludf.DUMMYFUNCTION("""COMPUTED_VALUE"""),"Spraggs : Monthly Services")</f>
        <v>Spraggs : Monthly Services</v>
      </c>
      <c r="B2167" s="223" t="str">
        <f>IFERROR(__xludf.DUMMYFUNCTION("""COMPUTED_VALUE"""),"Spraggs")</f>
        <v>Spraggs</v>
      </c>
      <c r="C2167" s="223" t="str">
        <f>IFERROR(__xludf.DUMMYFUNCTION("""COMPUTED_VALUE"""),"Monthly Services")</f>
        <v>Monthly Services</v>
      </c>
      <c r="D2167" s="316">
        <f>IFERROR(__xludf.DUMMYFUNCTION("""COMPUTED_VALUE"""),44895.0)</f>
        <v>44895</v>
      </c>
      <c r="E2167" s="298"/>
      <c r="F2167" s="298"/>
      <c r="G2167" s="298"/>
      <c r="H2167" s="223"/>
      <c r="I2167" s="298">
        <f>IFERROR(__xludf.DUMMYFUNCTION("""COMPUTED_VALUE"""),475.0)</f>
        <v>475</v>
      </c>
      <c r="J2167" s="223" t="str">
        <f>IFERROR(__xludf.DUMMYFUNCTION("""COMPUTED_VALUE"""),"Monthly")</f>
        <v>Monthly</v>
      </c>
      <c r="K2167" s="317">
        <f>IFERROR(__xludf.DUMMYFUNCTION("""COMPUTED_VALUE"""),2022.11)</f>
        <v>2022.11</v>
      </c>
      <c r="L2167" s="298"/>
      <c r="M2167" s="223"/>
      <c r="N2167" s="223"/>
      <c r="O2167" s="223"/>
      <c r="P2167" s="223"/>
      <c r="Q2167" s="223"/>
      <c r="R2167" s="223"/>
      <c r="S2167" s="223"/>
      <c r="T2167" s="223"/>
      <c r="U2167" s="223"/>
      <c r="V2167" s="223"/>
      <c r="W2167" s="223"/>
      <c r="X2167" s="223"/>
      <c r="Y2167" s="223"/>
      <c r="Z2167" s="223"/>
    </row>
    <row r="2168">
      <c r="A2168" s="223" t="str">
        <f>IFERROR(__xludf.DUMMYFUNCTION("""COMPUTED_VALUE"""),"Diversified Health : Monthly Services")</f>
        <v>Diversified Health : Monthly Services</v>
      </c>
      <c r="B2168" s="223" t="str">
        <f>IFERROR(__xludf.DUMMYFUNCTION("""COMPUTED_VALUE"""),"Diversified Health")</f>
        <v>Diversified Health</v>
      </c>
      <c r="C2168" s="223" t="str">
        <f>IFERROR(__xludf.DUMMYFUNCTION("""COMPUTED_VALUE"""),"Monthly Services")</f>
        <v>Monthly Services</v>
      </c>
      <c r="D2168" s="316">
        <f>IFERROR(__xludf.DUMMYFUNCTION("""COMPUTED_VALUE"""),44895.0)</f>
        <v>44895</v>
      </c>
      <c r="E2168" s="298"/>
      <c r="F2168" s="298"/>
      <c r="G2168" s="298"/>
      <c r="H2168" s="223"/>
      <c r="I2168" s="298">
        <f>IFERROR(__xludf.DUMMYFUNCTION("""COMPUTED_VALUE"""),475.0)</f>
        <v>475</v>
      </c>
      <c r="J2168" s="223" t="str">
        <f>IFERROR(__xludf.DUMMYFUNCTION("""COMPUTED_VALUE"""),"Monthly")</f>
        <v>Monthly</v>
      </c>
      <c r="K2168" s="317">
        <f>IFERROR(__xludf.DUMMYFUNCTION("""COMPUTED_VALUE"""),2022.11)</f>
        <v>2022.11</v>
      </c>
      <c r="L2168" s="298"/>
      <c r="M2168" s="223"/>
      <c r="N2168" s="223"/>
      <c r="O2168" s="223"/>
      <c r="P2168" s="223"/>
      <c r="Q2168" s="223"/>
      <c r="R2168" s="223"/>
      <c r="S2168" s="223"/>
      <c r="T2168" s="223"/>
      <c r="U2168" s="223"/>
      <c r="V2168" s="223"/>
      <c r="W2168" s="223"/>
      <c r="X2168" s="223"/>
      <c r="Y2168" s="223"/>
      <c r="Z2168" s="223"/>
    </row>
    <row r="2169">
      <c r="A2169" s="223" t="str">
        <f>IFERROR(__xludf.DUMMYFUNCTION("""COMPUTED_VALUE"""),"TisBest : Monthly Services")</f>
        <v>TisBest : Monthly Services</v>
      </c>
      <c r="B2169" s="223" t="str">
        <f>IFERROR(__xludf.DUMMYFUNCTION("""COMPUTED_VALUE"""),"TisBest")</f>
        <v>TisBest</v>
      </c>
      <c r="C2169" s="223" t="str">
        <f>IFERROR(__xludf.DUMMYFUNCTION("""COMPUTED_VALUE"""),"Monthly Services")</f>
        <v>Monthly Services</v>
      </c>
      <c r="D2169" s="316">
        <f>IFERROR(__xludf.DUMMYFUNCTION("""COMPUTED_VALUE"""),44895.0)</f>
        <v>44895</v>
      </c>
      <c r="E2169" s="298"/>
      <c r="F2169" s="298"/>
      <c r="G2169" s="298"/>
      <c r="H2169" s="223"/>
      <c r="I2169" s="298">
        <f>IFERROR(__xludf.DUMMYFUNCTION("""COMPUTED_VALUE"""),937.5)</f>
        <v>937.5</v>
      </c>
      <c r="J2169" s="223" t="str">
        <f>IFERROR(__xludf.DUMMYFUNCTION("""COMPUTED_VALUE"""),"Monthly")</f>
        <v>Monthly</v>
      </c>
      <c r="K2169" s="317">
        <f>IFERROR(__xludf.DUMMYFUNCTION("""COMPUTED_VALUE"""),2022.11)</f>
        <v>2022.11</v>
      </c>
      <c r="L2169" s="298"/>
      <c r="M2169" s="223"/>
      <c r="N2169" s="223"/>
      <c r="O2169" s="223"/>
      <c r="P2169" s="223"/>
      <c r="Q2169" s="223"/>
      <c r="R2169" s="223"/>
      <c r="S2169" s="223"/>
      <c r="T2169" s="223"/>
      <c r="U2169" s="223"/>
      <c r="V2169" s="223"/>
      <c r="W2169" s="223"/>
      <c r="X2169" s="223"/>
      <c r="Y2169" s="223"/>
      <c r="Z2169" s="223"/>
    </row>
    <row r="2170">
      <c r="A2170" s="223" t="str">
        <f>IFERROR(__xludf.DUMMYFUNCTION("""COMPUTED_VALUE"""),"Tofino Resort + Marina : Monthly Services")</f>
        <v>Tofino Resort + Marina : Monthly Services</v>
      </c>
      <c r="B2170" s="223" t="str">
        <f>IFERROR(__xludf.DUMMYFUNCTION("""COMPUTED_VALUE"""),"Tofino Resort + Marina")</f>
        <v>Tofino Resort + Marina</v>
      </c>
      <c r="C2170" s="223" t="str">
        <f>IFERROR(__xludf.DUMMYFUNCTION("""COMPUTED_VALUE"""),"Monthly Services")</f>
        <v>Monthly Services</v>
      </c>
      <c r="D2170" s="316">
        <f>IFERROR(__xludf.DUMMYFUNCTION("""COMPUTED_VALUE"""),44895.0)</f>
        <v>44895</v>
      </c>
      <c r="E2170" s="298"/>
      <c r="F2170" s="298"/>
      <c r="G2170" s="298"/>
      <c r="H2170" s="223"/>
      <c r="I2170" s="298">
        <f>IFERROR(__xludf.DUMMYFUNCTION("""COMPUTED_VALUE"""),450.0)</f>
        <v>450</v>
      </c>
      <c r="J2170" s="223" t="str">
        <f>IFERROR(__xludf.DUMMYFUNCTION("""COMPUTED_VALUE"""),"Monthly")</f>
        <v>Monthly</v>
      </c>
      <c r="K2170" s="317">
        <f>IFERROR(__xludf.DUMMYFUNCTION("""COMPUTED_VALUE"""),2022.11)</f>
        <v>2022.11</v>
      </c>
      <c r="L2170" s="298"/>
      <c r="M2170" s="223"/>
      <c r="N2170" s="223"/>
      <c r="O2170" s="223"/>
      <c r="P2170" s="223"/>
      <c r="Q2170" s="223"/>
      <c r="R2170" s="223"/>
      <c r="S2170" s="223"/>
      <c r="T2170" s="223"/>
      <c r="U2170" s="223"/>
      <c r="V2170" s="223"/>
      <c r="W2170" s="223"/>
      <c r="X2170" s="223"/>
      <c r="Y2170" s="223"/>
      <c r="Z2170" s="223"/>
    </row>
    <row r="2171">
      <c r="A2171" s="223" t="str">
        <f>IFERROR(__xludf.DUMMYFUNCTION("""COMPUTED_VALUE"""),"Booginhead : Monthly Services")</f>
        <v>Booginhead : Monthly Services</v>
      </c>
      <c r="B2171" s="223" t="str">
        <f>IFERROR(__xludf.DUMMYFUNCTION("""COMPUTED_VALUE"""),"Booginhead")</f>
        <v>Booginhead</v>
      </c>
      <c r="C2171" s="223" t="str">
        <f>IFERROR(__xludf.DUMMYFUNCTION("""COMPUTED_VALUE"""),"Monthly Services")</f>
        <v>Monthly Services</v>
      </c>
      <c r="D2171" s="316">
        <f>IFERROR(__xludf.DUMMYFUNCTION("""COMPUTED_VALUE"""),44895.0)</f>
        <v>44895</v>
      </c>
      <c r="E2171" s="298"/>
      <c r="F2171" s="298"/>
      <c r="G2171" s="298"/>
      <c r="H2171" s="223"/>
      <c r="I2171" s="298">
        <f>IFERROR(__xludf.DUMMYFUNCTION("""COMPUTED_VALUE"""),437.5)</f>
        <v>437.5</v>
      </c>
      <c r="J2171" s="223" t="str">
        <f>IFERROR(__xludf.DUMMYFUNCTION("""COMPUTED_VALUE"""),"Monthly")</f>
        <v>Monthly</v>
      </c>
      <c r="K2171" s="317">
        <f>IFERROR(__xludf.DUMMYFUNCTION("""COMPUTED_VALUE"""),2022.11)</f>
        <v>2022.11</v>
      </c>
      <c r="L2171" s="298"/>
      <c r="M2171" s="223"/>
      <c r="N2171" s="223"/>
      <c r="O2171" s="223"/>
      <c r="P2171" s="223"/>
      <c r="Q2171" s="223"/>
      <c r="R2171" s="223"/>
      <c r="S2171" s="223"/>
      <c r="T2171" s="223"/>
      <c r="U2171" s="223"/>
      <c r="V2171" s="223"/>
      <c r="W2171" s="223"/>
      <c r="X2171" s="223"/>
      <c r="Y2171" s="223"/>
      <c r="Z2171" s="223"/>
    </row>
    <row r="2172">
      <c r="A2172" s="223" t="str">
        <f>IFERROR(__xludf.DUMMYFUNCTION("""COMPUTED_VALUE"""),"Bevridge : Click. Sip. Learn. Campaign")</f>
        <v>Bevridge : Click. Sip. Learn. Campaign</v>
      </c>
      <c r="B2172" s="223" t="str">
        <f>IFERROR(__xludf.DUMMYFUNCTION("""COMPUTED_VALUE"""),"Bevridge")</f>
        <v>Bevridge</v>
      </c>
      <c r="C2172" s="223" t="str">
        <f>IFERROR(__xludf.DUMMYFUNCTION("""COMPUTED_VALUE"""),"Click. Sip. Learn. Campaign")</f>
        <v>Click. Sip. Learn. Campaign</v>
      </c>
      <c r="D2172" s="316">
        <f>IFERROR(__xludf.DUMMYFUNCTION("""COMPUTED_VALUE"""),44895.0)</f>
        <v>44895</v>
      </c>
      <c r="E2172" s="298"/>
      <c r="F2172" s="298"/>
      <c r="G2172" s="298"/>
      <c r="H2172" s="223"/>
      <c r="I2172" s="298">
        <f>IFERROR(__xludf.DUMMYFUNCTION("""COMPUTED_VALUE"""),450.0)</f>
        <v>450</v>
      </c>
      <c r="J2172" s="223" t="str">
        <f>IFERROR(__xludf.DUMMYFUNCTION("""COMPUTED_VALUE"""),"Fixed Project")</f>
        <v>Fixed Project</v>
      </c>
      <c r="K2172" s="317">
        <f>IFERROR(__xludf.DUMMYFUNCTION("""COMPUTED_VALUE"""),2022.0)</f>
        <v>2022</v>
      </c>
      <c r="L2172" s="298"/>
      <c r="M2172" s="223"/>
      <c r="N2172" s="223"/>
      <c r="O2172" s="223"/>
      <c r="P2172" s="223"/>
      <c r="Q2172" s="223"/>
      <c r="R2172" s="223"/>
      <c r="S2172" s="223"/>
      <c r="T2172" s="223"/>
      <c r="U2172" s="223"/>
      <c r="V2172" s="223"/>
      <c r="W2172" s="223"/>
      <c r="X2172" s="223"/>
      <c r="Y2172" s="223"/>
      <c r="Z2172" s="223"/>
    </row>
    <row r="2173">
      <c r="A2173" s="223" t="str">
        <f>IFERROR(__xludf.DUMMYFUNCTION("""COMPUTED_VALUE"""),"Hastings House : Monthly Services")</f>
        <v>Hastings House : Monthly Services</v>
      </c>
      <c r="B2173" s="223" t="str">
        <f>IFERROR(__xludf.DUMMYFUNCTION("""COMPUTED_VALUE"""),"Hastings House")</f>
        <v>Hastings House</v>
      </c>
      <c r="C2173" s="223" t="str">
        <f>IFERROR(__xludf.DUMMYFUNCTION("""COMPUTED_VALUE"""),"Monthly Services")</f>
        <v>Monthly Services</v>
      </c>
      <c r="D2173" s="316">
        <f>IFERROR(__xludf.DUMMYFUNCTION("""COMPUTED_VALUE"""),44895.0)</f>
        <v>44895</v>
      </c>
      <c r="E2173" s="298"/>
      <c r="F2173" s="298"/>
      <c r="G2173" s="298"/>
      <c r="H2173" s="223"/>
      <c r="I2173" s="298">
        <f>IFERROR(__xludf.DUMMYFUNCTION("""COMPUTED_VALUE"""),212.5)</f>
        <v>212.5</v>
      </c>
      <c r="J2173" s="223" t="str">
        <f>IFERROR(__xludf.DUMMYFUNCTION("""COMPUTED_VALUE"""),"Monthly")</f>
        <v>Monthly</v>
      </c>
      <c r="K2173" s="317">
        <f>IFERROR(__xludf.DUMMYFUNCTION("""COMPUTED_VALUE"""),2022.11)</f>
        <v>2022.11</v>
      </c>
      <c r="L2173" s="298"/>
      <c r="M2173" s="223"/>
      <c r="N2173" s="223"/>
      <c r="O2173" s="223"/>
      <c r="P2173" s="223"/>
      <c r="Q2173" s="223"/>
      <c r="R2173" s="223"/>
      <c r="S2173" s="223"/>
      <c r="T2173" s="223"/>
      <c r="U2173" s="223"/>
      <c r="V2173" s="223"/>
      <c r="W2173" s="223"/>
      <c r="X2173" s="223"/>
      <c r="Y2173" s="223"/>
      <c r="Z2173" s="223"/>
    </row>
    <row r="2174">
      <c r="A2174" s="223" t="str">
        <f>IFERROR(__xludf.DUMMYFUNCTION("""COMPUTED_VALUE"""),"Howard Fine Jewellers : Ongoing PPC and SEO Support")</f>
        <v>Howard Fine Jewellers : Ongoing PPC and SEO Support</v>
      </c>
      <c r="B2174" s="223" t="str">
        <f>IFERROR(__xludf.DUMMYFUNCTION("""COMPUTED_VALUE"""),"Howard Fine Jewellers")</f>
        <v>Howard Fine Jewellers</v>
      </c>
      <c r="C2174" s="223" t="str">
        <f>IFERROR(__xludf.DUMMYFUNCTION("""COMPUTED_VALUE"""),"Ongoing PPC and SEO Support")</f>
        <v>Ongoing PPC and SEO Support</v>
      </c>
      <c r="D2174" s="316">
        <f>IFERROR(__xludf.DUMMYFUNCTION("""COMPUTED_VALUE"""),44895.0)</f>
        <v>44895</v>
      </c>
      <c r="E2174" s="298"/>
      <c r="F2174" s="298"/>
      <c r="G2174" s="298"/>
      <c r="H2174" s="223"/>
      <c r="I2174" s="298">
        <f>IFERROR(__xludf.DUMMYFUNCTION("""COMPUTED_VALUE"""),100.0)</f>
        <v>100</v>
      </c>
      <c r="J2174" s="223" t="str">
        <f>IFERROR(__xludf.DUMMYFUNCTION("""COMPUTED_VALUE"""),"Monthly")</f>
        <v>Monthly</v>
      </c>
      <c r="K2174" s="317">
        <f>IFERROR(__xludf.DUMMYFUNCTION("""COMPUTED_VALUE"""),2022.11)</f>
        <v>2022.11</v>
      </c>
      <c r="L2174" s="298"/>
      <c r="M2174" s="223"/>
      <c r="N2174" s="223"/>
      <c r="O2174" s="223"/>
      <c r="P2174" s="223"/>
      <c r="Q2174" s="223"/>
      <c r="R2174" s="223"/>
      <c r="S2174" s="223"/>
      <c r="T2174" s="223"/>
      <c r="U2174" s="223"/>
      <c r="V2174" s="223"/>
      <c r="W2174" s="223"/>
      <c r="X2174" s="223"/>
      <c r="Y2174" s="223"/>
      <c r="Z2174" s="223"/>
    </row>
    <row r="2175">
      <c r="A2175" s="223" t="str">
        <f>IFERROR(__xludf.DUMMYFUNCTION("""COMPUTED_VALUE"""),"Ultimate Tools : Monthly SEO &amp; PPC Management")</f>
        <v>Ultimate Tools : Monthly SEO &amp; PPC Management</v>
      </c>
      <c r="B2175" s="223" t="str">
        <f>IFERROR(__xludf.DUMMYFUNCTION("""COMPUTED_VALUE"""),"Ultimate Tools")</f>
        <v>Ultimate Tools</v>
      </c>
      <c r="C2175" s="223" t="str">
        <f>IFERROR(__xludf.DUMMYFUNCTION("""COMPUTED_VALUE"""),"Monthly SEO &amp; PPC Management")</f>
        <v>Monthly SEO &amp; PPC Management</v>
      </c>
      <c r="D2175" s="316">
        <f>IFERROR(__xludf.DUMMYFUNCTION("""COMPUTED_VALUE"""),44895.0)</f>
        <v>44895</v>
      </c>
      <c r="E2175" s="298"/>
      <c r="F2175" s="298"/>
      <c r="G2175" s="298"/>
      <c r="H2175" s="223"/>
      <c r="I2175" s="298">
        <f>IFERROR(__xludf.DUMMYFUNCTION("""COMPUTED_VALUE"""),500.0)</f>
        <v>500</v>
      </c>
      <c r="J2175" s="223" t="str">
        <f>IFERROR(__xludf.DUMMYFUNCTION("""COMPUTED_VALUE"""),"Monthly")</f>
        <v>Monthly</v>
      </c>
      <c r="K2175" s="317">
        <f>IFERROR(__xludf.DUMMYFUNCTION("""COMPUTED_VALUE"""),2022.11)</f>
        <v>2022.11</v>
      </c>
      <c r="L2175" s="298"/>
      <c r="M2175" s="223"/>
      <c r="N2175" s="223"/>
      <c r="O2175" s="223"/>
      <c r="P2175" s="223"/>
      <c r="Q2175" s="223"/>
      <c r="R2175" s="223"/>
      <c r="S2175" s="223"/>
      <c r="T2175" s="223"/>
      <c r="U2175" s="223"/>
      <c r="V2175" s="223"/>
      <c r="W2175" s="223"/>
      <c r="X2175" s="223"/>
      <c r="Y2175" s="223"/>
      <c r="Z2175" s="223"/>
    </row>
    <row r="2176">
      <c r="A2176" s="223" t="str">
        <f>IFERROR(__xludf.DUMMYFUNCTION("""COMPUTED_VALUE"""),"Service First : Annual Hosting")</f>
        <v>Service First : Annual Hosting</v>
      </c>
      <c r="B2176" s="223" t="str">
        <f>IFERROR(__xludf.DUMMYFUNCTION("""COMPUTED_VALUE"""),"Service First")</f>
        <v>Service First</v>
      </c>
      <c r="C2176" s="223" t="str">
        <f>IFERROR(__xludf.DUMMYFUNCTION("""COMPUTED_VALUE"""),"Annual Hosting")</f>
        <v>Annual Hosting</v>
      </c>
      <c r="D2176" s="316">
        <f>IFERROR(__xludf.DUMMYFUNCTION("""COMPUTED_VALUE"""),44904.0)</f>
        <v>44904</v>
      </c>
      <c r="E2176" s="298"/>
      <c r="F2176" s="298"/>
      <c r="G2176" s="298"/>
      <c r="H2176" s="223"/>
      <c r="I2176" s="298">
        <f>IFERROR(__xludf.DUMMYFUNCTION("""COMPUTED_VALUE"""),72.0)</f>
        <v>72</v>
      </c>
      <c r="J2176" s="223" t="str">
        <f>IFERROR(__xludf.DUMMYFUNCTION("""COMPUTED_VALUE"""),"Yearly")</f>
        <v>Yearly</v>
      </c>
      <c r="K2176" s="317">
        <f>IFERROR(__xludf.DUMMYFUNCTION("""COMPUTED_VALUE"""),2022.0)</f>
        <v>2022</v>
      </c>
      <c r="L2176" s="298"/>
      <c r="M2176" s="223"/>
      <c r="N2176" s="223"/>
      <c r="O2176" s="223"/>
      <c r="P2176" s="223"/>
      <c r="Q2176" s="223"/>
      <c r="R2176" s="223"/>
      <c r="S2176" s="223"/>
      <c r="T2176" s="223"/>
      <c r="U2176" s="223"/>
      <c r="V2176" s="223"/>
      <c r="W2176" s="223"/>
      <c r="X2176" s="223"/>
      <c r="Y2176" s="223"/>
      <c r="Z2176" s="223"/>
    </row>
    <row r="2177">
      <c r="A2177" s="223" t="str">
        <f>IFERROR(__xludf.DUMMYFUNCTION("""COMPUTED_VALUE"""),"Advisicon : Premium Hosting")</f>
        <v>Advisicon : Premium Hosting</v>
      </c>
      <c r="B2177" s="223" t="str">
        <f>IFERROR(__xludf.DUMMYFUNCTION("""COMPUTED_VALUE"""),"Advisicon")</f>
        <v>Advisicon</v>
      </c>
      <c r="C2177" s="223" t="str">
        <f>IFERROR(__xludf.DUMMYFUNCTION("""COMPUTED_VALUE"""),"Premium Hosting")</f>
        <v>Premium Hosting</v>
      </c>
      <c r="D2177" s="316">
        <f>IFERROR(__xludf.DUMMYFUNCTION("""COMPUTED_VALUE"""),44904.0)</f>
        <v>44904</v>
      </c>
      <c r="E2177" s="298"/>
      <c r="F2177" s="298"/>
      <c r="G2177" s="298"/>
      <c r="H2177" s="223"/>
      <c r="I2177" s="298">
        <f>IFERROR(__xludf.DUMMYFUNCTION("""COMPUTED_VALUE"""),114.0)</f>
        <v>114</v>
      </c>
      <c r="J2177" s="223" t="str">
        <f>IFERROR(__xludf.DUMMYFUNCTION("""COMPUTED_VALUE"""),"Yearly")</f>
        <v>Yearly</v>
      </c>
      <c r="K2177" s="317">
        <f>IFERROR(__xludf.DUMMYFUNCTION("""COMPUTED_VALUE"""),2022.0)</f>
        <v>2022</v>
      </c>
      <c r="L2177" s="298"/>
      <c r="M2177" s="223"/>
      <c r="N2177" s="223"/>
      <c r="O2177" s="223"/>
      <c r="P2177" s="223"/>
      <c r="Q2177" s="223"/>
      <c r="R2177" s="223"/>
      <c r="S2177" s="223"/>
      <c r="T2177" s="223"/>
      <c r="U2177" s="223"/>
      <c r="V2177" s="223"/>
      <c r="W2177" s="223"/>
      <c r="X2177" s="223"/>
      <c r="Y2177" s="223"/>
      <c r="Z2177" s="223"/>
    </row>
    <row r="2178">
      <c r="A2178" s="223" t="str">
        <f>IFERROR(__xludf.DUMMYFUNCTION("""COMPUTED_VALUE"""),"Advisicon : Premium Hosting")</f>
        <v>Advisicon : Premium Hosting</v>
      </c>
      <c r="B2178" s="223" t="str">
        <f>IFERROR(__xludf.DUMMYFUNCTION("""COMPUTED_VALUE"""),"Advisicon")</f>
        <v>Advisicon</v>
      </c>
      <c r="C2178" s="223" t="str">
        <f>IFERROR(__xludf.DUMMYFUNCTION("""COMPUTED_VALUE"""),"Premium Hosting")</f>
        <v>Premium Hosting</v>
      </c>
      <c r="D2178" s="316">
        <f>IFERROR(__xludf.DUMMYFUNCTION("""COMPUTED_VALUE"""),44904.0)</f>
        <v>44904</v>
      </c>
      <c r="E2178" s="298"/>
      <c r="F2178" s="298"/>
      <c r="G2178" s="298"/>
      <c r="H2178" s="223"/>
      <c r="I2178" s="298">
        <f>IFERROR(__xludf.DUMMYFUNCTION("""COMPUTED_VALUE"""),144.0)</f>
        <v>144</v>
      </c>
      <c r="J2178" s="223" t="str">
        <f>IFERROR(__xludf.DUMMYFUNCTION("""COMPUTED_VALUE"""),"Yearly")</f>
        <v>Yearly</v>
      </c>
      <c r="K2178" s="317">
        <f>IFERROR(__xludf.DUMMYFUNCTION("""COMPUTED_VALUE"""),2022.0)</f>
        <v>2022</v>
      </c>
      <c r="L2178" s="298"/>
      <c r="M2178" s="223"/>
      <c r="N2178" s="223"/>
      <c r="O2178" s="223"/>
      <c r="P2178" s="223"/>
      <c r="Q2178" s="223"/>
      <c r="R2178" s="223"/>
      <c r="S2178" s="223"/>
      <c r="T2178" s="223"/>
      <c r="U2178" s="223"/>
      <c r="V2178" s="223"/>
      <c r="W2178" s="223"/>
      <c r="X2178" s="223"/>
      <c r="Y2178" s="223"/>
      <c r="Z2178" s="223"/>
    </row>
    <row r="2179">
      <c r="A2179" s="223" t="str">
        <f>IFERROR(__xludf.DUMMYFUNCTION("""COMPUTED_VALUE"""),"Canyon's Construction : Enhanced Hosting &amp; WordPress Support")</f>
        <v>Canyon's Construction : Enhanced Hosting &amp; WordPress Support</v>
      </c>
      <c r="B2179" s="223" t="str">
        <f>IFERROR(__xludf.DUMMYFUNCTION("""COMPUTED_VALUE"""),"Canyon's Construction")</f>
        <v>Canyon's Construction</v>
      </c>
      <c r="C2179" s="223" t="str">
        <f>IFERROR(__xludf.DUMMYFUNCTION("""COMPUTED_VALUE"""),"Enhanced Hosting &amp; WordPress Support")</f>
        <v>Enhanced Hosting &amp; WordPress Support</v>
      </c>
      <c r="D2179" s="316">
        <f>IFERROR(__xludf.DUMMYFUNCTION("""COMPUTED_VALUE"""),44904.0)</f>
        <v>44904</v>
      </c>
      <c r="E2179" s="298"/>
      <c r="F2179" s="298"/>
      <c r="G2179" s="298"/>
      <c r="H2179" s="223"/>
      <c r="I2179" s="298">
        <f>IFERROR(__xludf.DUMMYFUNCTION("""COMPUTED_VALUE"""),72.0)</f>
        <v>72</v>
      </c>
      <c r="J2179" s="223" t="str">
        <f>IFERROR(__xludf.DUMMYFUNCTION("""COMPUTED_VALUE"""),"Monthly")</f>
        <v>Monthly</v>
      </c>
      <c r="K2179" s="317">
        <f>IFERROR(__xludf.DUMMYFUNCTION("""COMPUTED_VALUE"""),2022.12)</f>
        <v>2022.12</v>
      </c>
      <c r="L2179" s="298"/>
      <c r="M2179" s="223"/>
      <c r="N2179" s="223"/>
      <c r="O2179" s="223"/>
      <c r="P2179" s="223"/>
      <c r="Q2179" s="223"/>
      <c r="R2179" s="223"/>
      <c r="S2179" s="223"/>
      <c r="T2179" s="223"/>
      <c r="U2179" s="223"/>
      <c r="V2179" s="223"/>
      <c r="W2179" s="223"/>
      <c r="X2179" s="223"/>
      <c r="Y2179" s="223"/>
      <c r="Z2179" s="223"/>
    </row>
    <row r="2180">
      <c r="A2180" s="223" t="str">
        <f>IFERROR(__xludf.DUMMYFUNCTION("""COMPUTED_VALUE"""),"Canyon's Construction : Enhanced Hosting &amp; WordPress Support")</f>
        <v>Canyon's Construction : Enhanced Hosting &amp; WordPress Support</v>
      </c>
      <c r="B2180" s="223" t="str">
        <f>IFERROR(__xludf.DUMMYFUNCTION("""COMPUTED_VALUE"""),"Canyon's Construction")</f>
        <v>Canyon's Construction</v>
      </c>
      <c r="C2180" s="223" t="str">
        <f>IFERROR(__xludf.DUMMYFUNCTION("""COMPUTED_VALUE"""),"Enhanced Hosting &amp; WordPress Support")</f>
        <v>Enhanced Hosting &amp; WordPress Support</v>
      </c>
      <c r="D2180" s="316">
        <f>IFERROR(__xludf.DUMMYFUNCTION("""COMPUTED_VALUE"""),44904.0)</f>
        <v>44904</v>
      </c>
      <c r="E2180" s="298"/>
      <c r="F2180" s="298"/>
      <c r="G2180" s="298"/>
      <c r="H2180" s="223"/>
      <c r="I2180" s="298">
        <f>IFERROR(__xludf.DUMMYFUNCTION("""COMPUTED_VALUE"""),114.0)</f>
        <v>114</v>
      </c>
      <c r="J2180" s="223" t="str">
        <f>IFERROR(__xludf.DUMMYFUNCTION("""COMPUTED_VALUE"""),"Monthly")</f>
        <v>Monthly</v>
      </c>
      <c r="K2180" s="317">
        <f>IFERROR(__xludf.DUMMYFUNCTION("""COMPUTED_VALUE"""),2022.12)</f>
        <v>2022.12</v>
      </c>
      <c r="L2180" s="298"/>
      <c r="M2180" s="223"/>
      <c r="N2180" s="223"/>
      <c r="O2180" s="223"/>
      <c r="P2180" s="223"/>
      <c r="Q2180" s="223"/>
      <c r="R2180" s="223"/>
      <c r="S2180" s="223"/>
      <c r="T2180" s="223"/>
      <c r="U2180" s="223"/>
      <c r="V2180" s="223"/>
      <c r="W2180" s="223"/>
      <c r="X2180" s="223"/>
      <c r="Y2180" s="223"/>
      <c r="Z2180" s="223"/>
    </row>
    <row r="2181">
      <c r="A2181" s="223" t="str">
        <f>IFERROR(__xludf.DUMMYFUNCTION("""COMPUTED_VALUE"""),"Rama Meditation Society : Premium Hosting + Support")</f>
        <v>Rama Meditation Society : Premium Hosting + Support</v>
      </c>
      <c r="B2181" s="223" t="str">
        <f>IFERROR(__xludf.DUMMYFUNCTION("""COMPUTED_VALUE"""),"Rama Meditation Society")</f>
        <v>Rama Meditation Society</v>
      </c>
      <c r="C2181" s="223" t="str">
        <f>IFERROR(__xludf.DUMMYFUNCTION("""COMPUTED_VALUE"""),"Premium Hosting + Support")</f>
        <v>Premium Hosting + Support</v>
      </c>
      <c r="D2181" s="316">
        <f>IFERROR(__xludf.DUMMYFUNCTION("""COMPUTED_VALUE"""),44904.0)</f>
        <v>44904</v>
      </c>
      <c r="E2181" s="298"/>
      <c r="F2181" s="298"/>
      <c r="G2181" s="298"/>
      <c r="H2181" s="223"/>
      <c r="I2181" s="298">
        <f>IFERROR(__xludf.DUMMYFUNCTION("""COMPUTED_VALUE"""),144.0)</f>
        <v>144</v>
      </c>
      <c r="J2181" s="223" t="str">
        <f>IFERROR(__xludf.DUMMYFUNCTION("""COMPUTED_VALUE"""),"Not Set")</f>
        <v>Not Set</v>
      </c>
      <c r="K2181" s="317">
        <f>IFERROR(__xludf.DUMMYFUNCTION("""COMPUTED_VALUE"""),2022.0)</f>
        <v>2022</v>
      </c>
      <c r="L2181" s="298"/>
      <c r="M2181" s="223"/>
      <c r="N2181" s="223"/>
      <c r="O2181" s="223"/>
      <c r="P2181" s="223"/>
      <c r="Q2181" s="223"/>
      <c r="R2181" s="223"/>
      <c r="S2181" s="223"/>
      <c r="T2181" s="223"/>
      <c r="U2181" s="223"/>
      <c r="V2181" s="223"/>
      <c r="W2181" s="223"/>
      <c r="X2181" s="223"/>
      <c r="Y2181" s="223"/>
      <c r="Z2181" s="223"/>
    </row>
    <row r="2182">
      <c r="A2182" s="223" t="str">
        <f>IFERROR(__xludf.DUMMYFUNCTION("""COMPUTED_VALUE"""),"Rama Meditation Society : Premium Hosting + Support")</f>
        <v>Rama Meditation Society : Premium Hosting + Support</v>
      </c>
      <c r="B2182" s="223" t="str">
        <f>IFERROR(__xludf.DUMMYFUNCTION("""COMPUTED_VALUE"""),"Rama Meditation Society")</f>
        <v>Rama Meditation Society</v>
      </c>
      <c r="C2182" s="223" t="str">
        <f>IFERROR(__xludf.DUMMYFUNCTION("""COMPUTED_VALUE"""),"Premium Hosting + Support")</f>
        <v>Premium Hosting + Support</v>
      </c>
      <c r="D2182" s="316">
        <f>IFERROR(__xludf.DUMMYFUNCTION("""COMPUTED_VALUE"""),44904.0)</f>
        <v>44904</v>
      </c>
      <c r="E2182" s="298"/>
      <c r="F2182" s="298"/>
      <c r="G2182" s="298"/>
      <c r="H2182" s="223"/>
      <c r="I2182" s="298">
        <f>IFERROR(__xludf.DUMMYFUNCTION("""COMPUTED_VALUE"""),114.0)</f>
        <v>114</v>
      </c>
      <c r="J2182" s="223" t="str">
        <f>IFERROR(__xludf.DUMMYFUNCTION("""COMPUTED_VALUE"""),"Not Set")</f>
        <v>Not Set</v>
      </c>
      <c r="K2182" s="317">
        <f>IFERROR(__xludf.DUMMYFUNCTION("""COMPUTED_VALUE"""),2022.0)</f>
        <v>2022</v>
      </c>
      <c r="L2182" s="298"/>
      <c r="M2182" s="223"/>
      <c r="N2182" s="223"/>
      <c r="O2182" s="223"/>
      <c r="P2182" s="223"/>
      <c r="Q2182" s="223"/>
      <c r="R2182" s="223"/>
      <c r="S2182" s="223"/>
      <c r="T2182" s="223"/>
      <c r="U2182" s="223"/>
      <c r="V2182" s="223"/>
      <c r="W2182" s="223"/>
      <c r="X2182" s="223"/>
      <c r="Y2182" s="223"/>
      <c r="Z2182" s="223"/>
    </row>
    <row r="2183">
      <c r="A2183" s="223" t="str">
        <f>IFERROR(__xludf.DUMMYFUNCTION("""COMPUTED_VALUE"""),"Community Financials : Hosting")</f>
        <v>Community Financials : Hosting</v>
      </c>
      <c r="B2183" s="223" t="str">
        <f>IFERROR(__xludf.DUMMYFUNCTION("""COMPUTED_VALUE"""),"Community Financials")</f>
        <v>Community Financials</v>
      </c>
      <c r="C2183" s="223" t="str">
        <f>IFERROR(__xludf.DUMMYFUNCTION("""COMPUTED_VALUE"""),"Hosting")</f>
        <v>Hosting</v>
      </c>
      <c r="D2183" s="316">
        <f>IFERROR(__xludf.DUMMYFUNCTION("""COMPUTED_VALUE"""),44904.0)</f>
        <v>44904</v>
      </c>
      <c r="E2183" s="298"/>
      <c r="F2183" s="298"/>
      <c r="G2183" s="298"/>
      <c r="H2183" s="223"/>
      <c r="I2183" s="298">
        <f>IFERROR(__xludf.DUMMYFUNCTION("""COMPUTED_VALUE"""),72.0)</f>
        <v>72</v>
      </c>
      <c r="J2183" s="223" t="str">
        <f>IFERROR(__xludf.DUMMYFUNCTION("""COMPUTED_VALUE"""),"Yearly")</f>
        <v>Yearly</v>
      </c>
      <c r="K2183" s="317">
        <f>IFERROR(__xludf.DUMMYFUNCTION("""COMPUTED_VALUE"""),2022.0)</f>
        <v>2022</v>
      </c>
      <c r="L2183" s="298"/>
      <c r="M2183" s="223"/>
      <c r="N2183" s="223"/>
      <c r="O2183" s="223"/>
      <c r="P2183" s="223"/>
      <c r="Q2183" s="223"/>
      <c r="R2183" s="223"/>
      <c r="S2183" s="223"/>
      <c r="T2183" s="223"/>
      <c r="U2183" s="223"/>
      <c r="V2183" s="223"/>
      <c r="W2183" s="223"/>
      <c r="X2183" s="223"/>
      <c r="Y2183" s="223"/>
      <c r="Z2183" s="223"/>
    </row>
    <row r="2184">
      <c r="A2184" s="223" t="str">
        <f>IFERROR(__xludf.DUMMYFUNCTION("""COMPUTED_VALUE"""),"OA Region 6 : Hosting")</f>
        <v>OA Region 6 : Hosting</v>
      </c>
      <c r="B2184" s="223" t="str">
        <f>IFERROR(__xludf.DUMMYFUNCTION("""COMPUTED_VALUE"""),"OA Region 6")</f>
        <v>OA Region 6</v>
      </c>
      <c r="C2184" s="223" t="str">
        <f>IFERROR(__xludf.DUMMYFUNCTION("""COMPUTED_VALUE"""),"Hosting")</f>
        <v>Hosting</v>
      </c>
      <c r="D2184" s="316">
        <f>IFERROR(__xludf.DUMMYFUNCTION("""COMPUTED_VALUE"""),44904.0)</f>
        <v>44904</v>
      </c>
      <c r="E2184" s="298"/>
      <c r="F2184" s="298"/>
      <c r="G2184" s="298"/>
      <c r="H2184" s="223"/>
      <c r="I2184" s="298">
        <f>IFERROR(__xludf.DUMMYFUNCTION("""COMPUTED_VALUE"""),72.0)</f>
        <v>72</v>
      </c>
      <c r="J2184" s="223" t="str">
        <f>IFERROR(__xludf.DUMMYFUNCTION("""COMPUTED_VALUE"""),"Yearly")</f>
        <v>Yearly</v>
      </c>
      <c r="K2184" s="317">
        <f>IFERROR(__xludf.DUMMYFUNCTION("""COMPUTED_VALUE"""),2022.0)</f>
        <v>2022</v>
      </c>
      <c r="L2184" s="298"/>
      <c r="M2184" s="223"/>
      <c r="N2184" s="223"/>
      <c r="O2184" s="223"/>
      <c r="P2184" s="223"/>
      <c r="Q2184" s="223"/>
      <c r="R2184" s="223"/>
      <c r="S2184" s="223"/>
      <c r="T2184" s="223"/>
      <c r="U2184" s="223"/>
      <c r="V2184" s="223"/>
      <c r="W2184" s="223"/>
      <c r="X2184" s="223"/>
      <c r="Y2184" s="223"/>
      <c r="Z2184" s="223"/>
    </row>
    <row r="2185">
      <c r="A2185" s="223" t="str">
        <f>IFERROR(__xludf.DUMMYFUNCTION("""COMPUTED_VALUE"""),"Sacred Deathcare : Hosting")</f>
        <v>Sacred Deathcare : Hosting</v>
      </c>
      <c r="B2185" s="223" t="str">
        <f>IFERROR(__xludf.DUMMYFUNCTION("""COMPUTED_VALUE"""),"Sacred Deathcare")</f>
        <v>Sacred Deathcare</v>
      </c>
      <c r="C2185" s="223" t="str">
        <f>IFERROR(__xludf.DUMMYFUNCTION("""COMPUTED_VALUE"""),"Hosting")</f>
        <v>Hosting</v>
      </c>
      <c r="D2185" s="316">
        <f>IFERROR(__xludf.DUMMYFUNCTION("""COMPUTED_VALUE"""),44904.0)</f>
        <v>44904</v>
      </c>
      <c r="E2185" s="298"/>
      <c r="F2185" s="298"/>
      <c r="G2185" s="298"/>
      <c r="H2185" s="223"/>
      <c r="I2185" s="298">
        <f>IFERROR(__xludf.DUMMYFUNCTION("""COMPUTED_VALUE"""),72.0)</f>
        <v>72</v>
      </c>
      <c r="J2185" s="223" t="str">
        <f>IFERROR(__xludf.DUMMYFUNCTION("""COMPUTED_VALUE"""),"Yearly")</f>
        <v>Yearly</v>
      </c>
      <c r="K2185" s="317">
        <f>IFERROR(__xludf.DUMMYFUNCTION("""COMPUTED_VALUE"""),2022.0)</f>
        <v>2022</v>
      </c>
      <c r="L2185" s="298"/>
      <c r="M2185" s="223"/>
      <c r="N2185" s="223"/>
      <c r="O2185" s="223"/>
      <c r="P2185" s="223"/>
      <c r="Q2185" s="223"/>
      <c r="R2185" s="223"/>
      <c r="S2185" s="223"/>
      <c r="T2185" s="223"/>
      <c r="U2185" s="223"/>
      <c r="V2185" s="223"/>
      <c r="W2185" s="223"/>
      <c r="X2185" s="223"/>
      <c r="Y2185" s="223"/>
      <c r="Z2185" s="223"/>
    </row>
    <row r="2186">
      <c r="A2186" s="223" t="str">
        <f>IFERROR(__xludf.DUMMYFUNCTION("""COMPUTED_VALUE"""),"Service First : Annual Hosting")</f>
        <v>Service First : Annual Hosting</v>
      </c>
      <c r="B2186" s="223" t="str">
        <f>IFERROR(__xludf.DUMMYFUNCTION("""COMPUTED_VALUE"""),"Service First")</f>
        <v>Service First</v>
      </c>
      <c r="C2186" s="223" t="str">
        <f>IFERROR(__xludf.DUMMYFUNCTION("""COMPUTED_VALUE"""),"Annual Hosting")</f>
        <v>Annual Hosting</v>
      </c>
      <c r="D2186" s="316">
        <f>IFERROR(__xludf.DUMMYFUNCTION("""COMPUTED_VALUE"""),44904.0)</f>
        <v>44904</v>
      </c>
      <c r="E2186" s="298"/>
      <c r="F2186" s="298"/>
      <c r="G2186" s="298"/>
      <c r="H2186" s="223"/>
      <c r="I2186" s="298">
        <f>IFERROR(__xludf.DUMMYFUNCTION("""COMPUTED_VALUE"""),72.0)</f>
        <v>72</v>
      </c>
      <c r="J2186" s="223" t="str">
        <f>IFERROR(__xludf.DUMMYFUNCTION("""COMPUTED_VALUE"""),"Yearly")</f>
        <v>Yearly</v>
      </c>
      <c r="K2186" s="317">
        <f>IFERROR(__xludf.DUMMYFUNCTION("""COMPUTED_VALUE"""),2022.0)</f>
        <v>2022</v>
      </c>
      <c r="L2186" s="298"/>
      <c r="M2186" s="223"/>
      <c r="N2186" s="223"/>
      <c r="O2186" s="223"/>
      <c r="P2186" s="223"/>
      <c r="Q2186" s="223"/>
      <c r="R2186" s="223"/>
      <c r="S2186" s="223"/>
      <c r="T2186" s="223"/>
      <c r="U2186" s="223"/>
      <c r="V2186" s="223"/>
      <c r="W2186" s="223"/>
      <c r="X2186" s="223"/>
      <c r="Y2186" s="223"/>
      <c r="Z2186" s="223"/>
    </row>
    <row r="2187">
      <c r="A2187" s="223" t="str">
        <f>IFERROR(__xludf.DUMMYFUNCTION("""COMPUTED_VALUE"""),"Spraggs : Monthly Services")</f>
        <v>Spraggs : Monthly Services</v>
      </c>
      <c r="B2187" s="223" t="str">
        <f>IFERROR(__xludf.DUMMYFUNCTION("""COMPUTED_VALUE"""),"Spraggs")</f>
        <v>Spraggs</v>
      </c>
      <c r="C2187" s="223" t="str">
        <f>IFERROR(__xludf.DUMMYFUNCTION("""COMPUTED_VALUE"""),"Monthly Services")</f>
        <v>Monthly Services</v>
      </c>
      <c r="D2187" s="316">
        <f>IFERROR(__xludf.DUMMYFUNCTION("""COMPUTED_VALUE"""),44904.0)</f>
        <v>44904</v>
      </c>
      <c r="E2187" s="298"/>
      <c r="F2187" s="298"/>
      <c r="G2187" s="298"/>
      <c r="H2187" s="223"/>
      <c r="I2187" s="298">
        <f>IFERROR(__xludf.DUMMYFUNCTION("""COMPUTED_VALUE"""),72.0)</f>
        <v>72</v>
      </c>
      <c r="J2187" s="223" t="str">
        <f>IFERROR(__xludf.DUMMYFUNCTION("""COMPUTED_VALUE"""),"Monthly")</f>
        <v>Monthly</v>
      </c>
      <c r="K2187" s="317">
        <f>IFERROR(__xludf.DUMMYFUNCTION("""COMPUTED_VALUE"""),2022.12)</f>
        <v>2022.12</v>
      </c>
      <c r="L2187" s="298"/>
      <c r="M2187" s="223"/>
      <c r="N2187" s="223"/>
      <c r="O2187" s="223"/>
      <c r="P2187" s="223"/>
      <c r="Q2187" s="223"/>
      <c r="R2187" s="223"/>
      <c r="S2187" s="223"/>
      <c r="T2187" s="223"/>
      <c r="U2187" s="223"/>
      <c r="V2187" s="223"/>
      <c r="W2187" s="223"/>
      <c r="X2187" s="223"/>
      <c r="Y2187" s="223"/>
      <c r="Z2187" s="223"/>
    </row>
    <row r="2188">
      <c r="A2188" s="223" t="str">
        <f>IFERROR(__xludf.DUMMYFUNCTION("""COMPUTED_VALUE"""),"TisBest : Hosting")</f>
        <v>TisBest : Hosting</v>
      </c>
      <c r="B2188" s="223" t="str">
        <f>IFERROR(__xludf.DUMMYFUNCTION("""COMPUTED_VALUE"""),"TisBest")</f>
        <v>TisBest</v>
      </c>
      <c r="C2188" s="223" t="str">
        <f>IFERROR(__xludf.DUMMYFUNCTION("""COMPUTED_VALUE"""),"Hosting")</f>
        <v>Hosting</v>
      </c>
      <c r="D2188" s="316">
        <f>IFERROR(__xludf.DUMMYFUNCTION("""COMPUTED_VALUE"""),44904.0)</f>
        <v>44904</v>
      </c>
      <c r="E2188" s="298"/>
      <c r="F2188" s="298"/>
      <c r="G2188" s="298"/>
      <c r="H2188" s="223"/>
      <c r="I2188" s="298">
        <f>IFERROR(__xludf.DUMMYFUNCTION("""COMPUTED_VALUE"""),72.0)</f>
        <v>72</v>
      </c>
      <c r="J2188" s="223" t="str">
        <f>IFERROR(__xludf.DUMMYFUNCTION("""COMPUTED_VALUE"""),"Yearly")</f>
        <v>Yearly</v>
      </c>
      <c r="K2188" s="317">
        <f>IFERROR(__xludf.DUMMYFUNCTION("""COMPUTED_VALUE"""),2022.0)</f>
        <v>2022</v>
      </c>
      <c r="L2188" s="298"/>
      <c r="M2188" s="223"/>
      <c r="N2188" s="223"/>
      <c r="O2188" s="223"/>
      <c r="P2188" s="223"/>
      <c r="Q2188" s="223"/>
      <c r="R2188" s="223"/>
      <c r="S2188" s="223"/>
      <c r="T2188" s="223"/>
      <c r="U2188" s="223"/>
      <c r="V2188" s="223"/>
      <c r="W2188" s="223"/>
      <c r="X2188" s="223"/>
      <c r="Y2188" s="223"/>
      <c r="Z2188" s="223"/>
    </row>
    <row r="2189">
      <c r="A2189" s="223" t="str">
        <f>IFERROR(__xludf.DUMMYFUNCTION("""COMPUTED_VALUE"""),"Advisicon : Premium Hosting")</f>
        <v>Advisicon : Premium Hosting</v>
      </c>
      <c r="B2189" s="223" t="str">
        <f>IFERROR(__xludf.DUMMYFUNCTION("""COMPUTED_VALUE"""),"Advisicon")</f>
        <v>Advisicon</v>
      </c>
      <c r="C2189" s="223" t="str">
        <f>IFERROR(__xludf.DUMMYFUNCTION("""COMPUTED_VALUE"""),"Premium Hosting")</f>
        <v>Premium Hosting</v>
      </c>
      <c r="D2189" s="316">
        <f>IFERROR(__xludf.DUMMYFUNCTION("""COMPUTED_VALUE"""),44904.0)</f>
        <v>44904</v>
      </c>
      <c r="E2189" s="298"/>
      <c r="F2189" s="298"/>
      <c r="G2189" s="298"/>
      <c r="H2189" s="223"/>
      <c r="I2189" s="298">
        <f>IFERROR(__xludf.DUMMYFUNCTION("""COMPUTED_VALUE"""),72.0)</f>
        <v>72</v>
      </c>
      <c r="J2189" s="223" t="str">
        <f>IFERROR(__xludf.DUMMYFUNCTION("""COMPUTED_VALUE"""),"Yearly")</f>
        <v>Yearly</v>
      </c>
      <c r="K2189" s="317">
        <f>IFERROR(__xludf.DUMMYFUNCTION("""COMPUTED_VALUE"""),2022.0)</f>
        <v>2022</v>
      </c>
      <c r="L2189" s="298"/>
      <c r="M2189" s="223"/>
      <c r="N2189" s="223"/>
      <c r="O2189" s="223"/>
      <c r="P2189" s="223"/>
      <c r="Q2189" s="223"/>
      <c r="R2189" s="223"/>
      <c r="S2189" s="223"/>
      <c r="T2189" s="223"/>
      <c r="U2189" s="223"/>
      <c r="V2189" s="223"/>
      <c r="W2189" s="223"/>
      <c r="X2189" s="223"/>
      <c r="Y2189" s="223"/>
      <c r="Z2189" s="223"/>
    </row>
    <row r="2190">
      <c r="A2190" s="223" t="str">
        <f>IFERROR(__xludf.DUMMYFUNCTION("""COMPUTED_VALUE"""),"Canyon's Construction : Enhanced Hosting &amp; WordPress Support")</f>
        <v>Canyon's Construction : Enhanced Hosting &amp; WordPress Support</v>
      </c>
      <c r="B2190" s="223" t="str">
        <f>IFERROR(__xludf.DUMMYFUNCTION("""COMPUTED_VALUE"""),"Canyon's Construction")</f>
        <v>Canyon's Construction</v>
      </c>
      <c r="C2190" s="223" t="str">
        <f>IFERROR(__xludf.DUMMYFUNCTION("""COMPUTED_VALUE"""),"Enhanced Hosting &amp; WordPress Support")</f>
        <v>Enhanced Hosting &amp; WordPress Support</v>
      </c>
      <c r="D2190" s="316">
        <f>IFERROR(__xludf.DUMMYFUNCTION("""COMPUTED_VALUE"""),44904.0)</f>
        <v>44904</v>
      </c>
      <c r="E2190" s="298"/>
      <c r="F2190" s="298"/>
      <c r="G2190" s="298"/>
      <c r="H2190" s="223"/>
      <c r="I2190" s="298">
        <f>IFERROR(__xludf.DUMMYFUNCTION("""COMPUTED_VALUE"""),72.0)</f>
        <v>72</v>
      </c>
      <c r="J2190" s="223" t="str">
        <f>IFERROR(__xludf.DUMMYFUNCTION("""COMPUTED_VALUE"""),"Monthly")</f>
        <v>Monthly</v>
      </c>
      <c r="K2190" s="317">
        <f>IFERROR(__xludf.DUMMYFUNCTION("""COMPUTED_VALUE"""),2022.12)</f>
        <v>2022.12</v>
      </c>
      <c r="L2190" s="298"/>
      <c r="M2190" s="223"/>
      <c r="N2190" s="223"/>
      <c r="O2190" s="223"/>
      <c r="P2190" s="223"/>
      <c r="Q2190" s="223"/>
      <c r="R2190" s="223"/>
      <c r="S2190" s="223"/>
      <c r="T2190" s="223"/>
      <c r="U2190" s="223"/>
      <c r="V2190" s="223"/>
      <c r="W2190" s="223"/>
      <c r="X2190" s="223"/>
      <c r="Y2190" s="223"/>
      <c r="Z2190" s="223"/>
    </row>
    <row r="2191">
      <c r="A2191" s="223" t="str">
        <f>IFERROR(__xludf.DUMMYFUNCTION("""COMPUTED_VALUE"""),"Rama Meditation Society : Premium Hosting + Support")</f>
        <v>Rama Meditation Society : Premium Hosting + Support</v>
      </c>
      <c r="B2191" s="223" t="str">
        <f>IFERROR(__xludf.DUMMYFUNCTION("""COMPUTED_VALUE"""),"Rama Meditation Society")</f>
        <v>Rama Meditation Society</v>
      </c>
      <c r="C2191" s="223" t="str">
        <f>IFERROR(__xludf.DUMMYFUNCTION("""COMPUTED_VALUE"""),"Premium Hosting + Support")</f>
        <v>Premium Hosting + Support</v>
      </c>
      <c r="D2191" s="316">
        <f>IFERROR(__xludf.DUMMYFUNCTION("""COMPUTED_VALUE"""),44904.0)</f>
        <v>44904</v>
      </c>
      <c r="E2191" s="298"/>
      <c r="F2191" s="298"/>
      <c r="G2191" s="298"/>
      <c r="H2191" s="223"/>
      <c r="I2191" s="298">
        <f>IFERROR(__xludf.DUMMYFUNCTION("""COMPUTED_VALUE"""),72.0)</f>
        <v>72</v>
      </c>
      <c r="J2191" s="223" t="str">
        <f>IFERROR(__xludf.DUMMYFUNCTION("""COMPUTED_VALUE"""),"Not Set")</f>
        <v>Not Set</v>
      </c>
      <c r="K2191" s="317">
        <f>IFERROR(__xludf.DUMMYFUNCTION("""COMPUTED_VALUE"""),2022.0)</f>
        <v>2022</v>
      </c>
      <c r="L2191" s="298"/>
      <c r="M2191" s="223"/>
      <c r="N2191" s="223"/>
      <c r="O2191" s="223"/>
      <c r="P2191" s="223"/>
      <c r="Q2191" s="223"/>
      <c r="R2191" s="223"/>
      <c r="S2191" s="223"/>
      <c r="T2191" s="223"/>
      <c r="U2191" s="223"/>
      <c r="V2191" s="223"/>
      <c r="W2191" s="223"/>
      <c r="X2191" s="223"/>
      <c r="Y2191" s="223"/>
      <c r="Z2191" s="223"/>
    </row>
    <row r="2192">
      <c r="A2192" s="223" t="str">
        <f>IFERROR(__xludf.DUMMYFUNCTION("""COMPUTED_VALUE"""),"Availed Technologies : Monthly Services")</f>
        <v>Availed Technologies : Monthly Services</v>
      </c>
      <c r="B2192" s="223" t="str">
        <f>IFERROR(__xludf.DUMMYFUNCTION("""COMPUTED_VALUE"""),"Availed Technologies")</f>
        <v>Availed Technologies</v>
      </c>
      <c r="C2192" s="223" t="str">
        <f>IFERROR(__xludf.DUMMYFUNCTION("""COMPUTED_VALUE"""),"Monthly Services")</f>
        <v>Monthly Services</v>
      </c>
      <c r="D2192" s="316">
        <f>IFERROR(__xludf.DUMMYFUNCTION("""COMPUTED_VALUE"""),44895.0)</f>
        <v>44895</v>
      </c>
      <c r="E2192" s="298"/>
      <c r="F2192" s="298"/>
      <c r="G2192" s="298"/>
      <c r="H2192" s="223"/>
      <c r="I2192" s="298">
        <f>IFERROR(__xludf.DUMMYFUNCTION("""COMPUTED_VALUE"""),287.5)</f>
        <v>287.5</v>
      </c>
      <c r="J2192" s="223" t="str">
        <f>IFERROR(__xludf.DUMMYFUNCTION("""COMPUTED_VALUE"""),"Monthly")</f>
        <v>Monthly</v>
      </c>
      <c r="K2192" s="317">
        <f>IFERROR(__xludf.DUMMYFUNCTION("""COMPUTED_VALUE"""),2022.11)</f>
        <v>2022.11</v>
      </c>
      <c r="L2192" s="298"/>
      <c r="M2192" s="223"/>
      <c r="N2192" s="223"/>
      <c r="O2192" s="223"/>
      <c r="P2192" s="223"/>
      <c r="Q2192" s="223"/>
      <c r="R2192" s="223"/>
      <c r="S2192" s="223"/>
      <c r="T2192" s="223"/>
      <c r="U2192" s="223"/>
      <c r="V2192" s="223"/>
      <c r="W2192" s="223"/>
      <c r="X2192" s="223"/>
      <c r="Y2192" s="223"/>
      <c r="Z2192" s="223"/>
    </row>
    <row r="2193">
      <c r="A2193" s="223" t="str">
        <f>IFERROR(__xludf.DUMMYFUNCTION("""COMPUTED_VALUE"""),"Bratopia : Monthly Services")</f>
        <v>Bratopia : Monthly Services</v>
      </c>
      <c r="B2193" s="223" t="str">
        <f>IFERROR(__xludf.DUMMYFUNCTION("""COMPUTED_VALUE"""),"Bratopia")</f>
        <v>Bratopia</v>
      </c>
      <c r="C2193" s="223" t="str">
        <f>IFERROR(__xludf.DUMMYFUNCTION("""COMPUTED_VALUE"""),"Monthly Services")</f>
        <v>Monthly Services</v>
      </c>
      <c r="D2193" s="316">
        <f>IFERROR(__xludf.DUMMYFUNCTION("""COMPUTED_VALUE"""),44895.0)</f>
        <v>44895</v>
      </c>
      <c r="E2193" s="298"/>
      <c r="F2193" s="298"/>
      <c r="G2193" s="298"/>
      <c r="H2193" s="223"/>
      <c r="I2193" s="298">
        <f>IFERROR(__xludf.DUMMYFUNCTION("""COMPUTED_VALUE"""),112.5)</f>
        <v>112.5</v>
      </c>
      <c r="J2193" s="223" t="str">
        <f>IFERROR(__xludf.DUMMYFUNCTION("""COMPUTED_VALUE"""),"Monthly")</f>
        <v>Monthly</v>
      </c>
      <c r="K2193" s="317">
        <f>IFERROR(__xludf.DUMMYFUNCTION("""COMPUTED_VALUE"""),2022.11)</f>
        <v>2022.11</v>
      </c>
      <c r="L2193" s="298"/>
      <c r="M2193" s="223"/>
      <c r="N2193" s="223"/>
      <c r="O2193" s="223"/>
      <c r="P2193" s="223"/>
      <c r="Q2193" s="223"/>
      <c r="R2193" s="223"/>
      <c r="S2193" s="223"/>
      <c r="T2193" s="223"/>
      <c r="U2193" s="223"/>
      <c r="V2193" s="223"/>
      <c r="W2193" s="223"/>
      <c r="X2193" s="223"/>
      <c r="Y2193" s="223"/>
      <c r="Z2193" s="223"/>
    </row>
    <row r="2194">
      <c r="A2194" s="223" t="str">
        <f>IFERROR(__xludf.DUMMYFUNCTION("""COMPUTED_VALUE"""),"Community Financials : Monthly Services")</f>
        <v>Community Financials : Monthly Services</v>
      </c>
      <c r="B2194" s="223" t="str">
        <f>IFERROR(__xludf.DUMMYFUNCTION("""COMPUTED_VALUE"""),"Community Financials")</f>
        <v>Community Financials</v>
      </c>
      <c r="C2194" s="223" t="str">
        <f>IFERROR(__xludf.DUMMYFUNCTION("""COMPUTED_VALUE"""),"Monthly Services")</f>
        <v>Monthly Services</v>
      </c>
      <c r="D2194" s="316">
        <f>IFERROR(__xludf.DUMMYFUNCTION("""COMPUTED_VALUE"""),44895.0)</f>
        <v>44895</v>
      </c>
      <c r="E2194" s="298"/>
      <c r="F2194" s="298"/>
      <c r="G2194" s="298"/>
      <c r="H2194" s="223"/>
      <c r="I2194" s="298">
        <f>IFERROR(__xludf.DUMMYFUNCTION("""COMPUTED_VALUE"""),575.0)</f>
        <v>575</v>
      </c>
      <c r="J2194" s="223" t="str">
        <f>IFERROR(__xludf.DUMMYFUNCTION("""COMPUTED_VALUE"""),"Monthly")</f>
        <v>Monthly</v>
      </c>
      <c r="K2194" s="317">
        <f>IFERROR(__xludf.DUMMYFUNCTION("""COMPUTED_VALUE"""),2022.11)</f>
        <v>2022.11</v>
      </c>
      <c r="L2194" s="298"/>
      <c r="M2194" s="223"/>
      <c r="N2194" s="223"/>
      <c r="O2194" s="223"/>
      <c r="P2194" s="223"/>
      <c r="Q2194" s="223"/>
      <c r="R2194" s="223"/>
      <c r="S2194" s="223"/>
      <c r="T2194" s="223"/>
      <c r="U2194" s="223"/>
      <c r="V2194" s="223"/>
      <c r="W2194" s="223"/>
      <c r="X2194" s="223"/>
      <c r="Y2194" s="223"/>
      <c r="Z2194" s="223"/>
    </row>
    <row r="2195">
      <c r="A2195" s="223" t="str">
        <f>IFERROR(__xludf.DUMMYFUNCTION("""COMPUTED_VALUE"""),"Continuity Programs Inc. : Website Rebuild")</f>
        <v>Continuity Programs Inc. : Website Rebuild</v>
      </c>
      <c r="B2195" s="223" t="str">
        <f>IFERROR(__xludf.DUMMYFUNCTION("""COMPUTED_VALUE"""),"Continuity Programs Inc.")</f>
        <v>Continuity Programs Inc.</v>
      </c>
      <c r="C2195" s="223" t="str">
        <f>IFERROR(__xludf.DUMMYFUNCTION("""COMPUTED_VALUE"""),"Website Rebuild")</f>
        <v>Website Rebuild</v>
      </c>
      <c r="D2195" s="316">
        <f>IFERROR(__xludf.DUMMYFUNCTION("""COMPUTED_VALUE"""),44895.0)</f>
        <v>44895</v>
      </c>
      <c r="E2195" s="298"/>
      <c r="F2195" s="298"/>
      <c r="G2195" s="298"/>
      <c r="H2195" s="223"/>
      <c r="I2195" s="298">
        <f>IFERROR(__xludf.DUMMYFUNCTION("""COMPUTED_VALUE"""),515.0)</f>
        <v>515</v>
      </c>
      <c r="J2195" s="223" t="str">
        <f>IFERROR(__xludf.DUMMYFUNCTION("""COMPUTED_VALUE"""),"Fixed Project")</f>
        <v>Fixed Project</v>
      </c>
      <c r="K2195" s="317">
        <f>IFERROR(__xludf.DUMMYFUNCTION("""COMPUTED_VALUE"""),2022.0)</f>
        <v>2022</v>
      </c>
      <c r="L2195" s="298"/>
      <c r="M2195" s="223"/>
      <c r="N2195" s="223"/>
      <c r="O2195" s="223"/>
      <c r="P2195" s="223"/>
      <c r="Q2195" s="223"/>
      <c r="R2195" s="223"/>
      <c r="S2195" s="223"/>
      <c r="T2195" s="223"/>
      <c r="U2195" s="223"/>
      <c r="V2195" s="223"/>
      <c r="W2195" s="223"/>
      <c r="X2195" s="223"/>
      <c r="Y2195" s="223"/>
      <c r="Z2195" s="223"/>
    </row>
    <row r="2196">
      <c r="A2196" s="223" t="str">
        <f>IFERROR(__xludf.DUMMYFUNCTION("""COMPUTED_VALUE"""),"HSJ Lawyers : Monthly Services")</f>
        <v>HSJ Lawyers : Monthly Services</v>
      </c>
      <c r="B2196" s="223" t="str">
        <f>IFERROR(__xludf.DUMMYFUNCTION("""COMPUTED_VALUE"""),"HSJ Lawyers")</f>
        <v>HSJ Lawyers</v>
      </c>
      <c r="C2196" s="223" t="str">
        <f>IFERROR(__xludf.DUMMYFUNCTION("""COMPUTED_VALUE"""),"Monthly Services")</f>
        <v>Monthly Services</v>
      </c>
      <c r="D2196" s="316">
        <f>IFERROR(__xludf.DUMMYFUNCTION("""COMPUTED_VALUE"""),44895.0)</f>
        <v>44895</v>
      </c>
      <c r="E2196" s="298"/>
      <c r="F2196" s="298"/>
      <c r="G2196" s="298"/>
      <c r="H2196" s="223"/>
      <c r="I2196" s="298">
        <f>IFERROR(__xludf.DUMMYFUNCTION("""COMPUTED_VALUE"""),327.5)</f>
        <v>327.5</v>
      </c>
      <c r="J2196" s="223" t="str">
        <f>IFERROR(__xludf.DUMMYFUNCTION("""COMPUTED_VALUE"""),"Monthly")</f>
        <v>Monthly</v>
      </c>
      <c r="K2196" s="317">
        <f>IFERROR(__xludf.DUMMYFUNCTION("""COMPUTED_VALUE"""),2022.11)</f>
        <v>2022.11</v>
      </c>
      <c r="L2196" s="298"/>
      <c r="M2196" s="223"/>
      <c r="N2196" s="223"/>
      <c r="O2196" s="223"/>
      <c r="P2196" s="223"/>
      <c r="Q2196" s="223"/>
      <c r="R2196" s="223"/>
      <c r="S2196" s="223"/>
      <c r="T2196" s="223"/>
      <c r="U2196" s="223"/>
      <c r="V2196" s="223"/>
      <c r="W2196" s="223"/>
      <c r="X2196" s="223"/>
      <c r="Y2196" s="223"/>
      <c r="Z2196" s="223"/>
    </row>
    <row r="2197">
      <c r="A2197" s="223" t="str">
        <f>IFERROR(__xludf.DUMMYFUNCTION("""COMPUTED_VALUE"""),"Red Seal : Monthly Services")</f>
        <v>Red Seal : Monthly Services</v>
      </c>
      <c r="B2197" s="223" t="str">
        <f>IFERROR(__xludf.DUMMYFUNCTION("""COMPUTED_VALUE"""),"Red Seal")</f>
        <v>Red Seal</v>
      </c>
      <c r="C2197" s="223" t="str">
        <f>IFERROR(__xludf.DUMMYFUNCTION("""COMPUTED_VALUE"""),"Monthly Services")</f>
        <v>Monthly Services</v>
      </c>
      <c r="D2197" s="316">
        <f>IFERROR(__xludf.DUMMYFUNCTION("""COMPUTED_VALUE"""),44895.0)</f>
        <v>44895</v>
      </c>
      <c r="E2197" s="298"/>
      <c r="F2197" s="298"/>
      <c r="G2197" s="298"/>
      <c r="H2197" s="223"/>
      <c r="I2197" s="298">
        <f>IFERROR(__xludf.DUMMYFUNCTION("""COMPUTED_VALUE"""),540.0)</f>
        <v>540</v>
      </c>
      <c r="J2197" s="223" t="str">
        <f>IFERROR(__xludf.DUMMYFUNCTION("""COMPUTED_VALUE"""),"Monthly")</f>
        <v>Monthly</v>
      </c>
      <c r="K2197" s="317">
        <f>IFERROR(__xludf.DUMMYFUNCTION("""COMPUTED_VALUE"""),2022.11)</f>
        <v>2022.11</v>
      </c>
      <c r="L2197" s="298"/>
      <c r="M2197" s="223"/>
      <c r="N2197" s="223"/>
      <c r="O2197" s="223"/>
      <c r="P2197" s="223"/>
      <c r="Q2197" s="223"/>
      <c r="R2197" s="223"/>
      <c r="S2197" s="223"/>
      <c r="T2197" s="223"/>
      <c r="U2197" s="223"/>
      <c r="V2197" s="223"/>
      <c r="W2197" s="223"/>
      <c r="X2197" s="223"/>
      <c r="Y2197" s="223"/>
      <c r="Z2197" s="223"/>
    </row>
    <row r="2198">
      <c r="A2198" s="223" t="str">
        <f>IFERROR(__xludf.DUMMYFUNCTION("""COMPUTED_VALUE"""),"Customer First Design : Markey Machinery")</f>
        <v>Customer First Design : Markey Machinery</v>
      </c>
      <c r="B2198" s="223" t="str">
        <f>IFERROR(__xludf.DUMMYFUNCTION("""COMPUTED_VALUE"""),"Customer First Design")</f>
        <v>Customer First Design</v>
      </c>
      <c r="C2198" s="223" t="str">
        <f>IFERROR(__xludf.DUMMYFUNCTION("""COMPUTED_VALUE"""),"Markey Machinery")</f>
        <v>Markey Machinery</v>
      </c>
      <c r="D2198" s="316">
        <f>IFERROR(__xludf.DUMMYFUNCTION("""COMPUTED_VALUE"""),44895.0)</f>
        <v>44895</v>
      </c>
      <c r="E2198" s="298"/>
      <c r="F2198" s="298"/>
      <c r="G2198" s="298"/>
      <c r="H2198" s="223"/>
      <c r="I2198" s="298">
        <f>IFERROR(__xludf.DUMMYFUNCTION("""COMPUTED_VALUE"""),1000.0)</f>
        <v>1000</v>
      </c>
      <c r="J2198" s="223" t="str">
        <f>IFERROR(__xludf.DUMMYFUNCTION("""COMPUTED_VALUE"""),"Fixed Project")</f>
        <v>Fixed Project</v>
      </c>
      <c r="K2198" s="317">
        <f>IFERROR(__xludf.DUMMYFUNCTION("""COMPUTED_VALUE"""),2022.0)</f>
        <v>2022</v>
      </c>
      <c r="L2198" s="298"/>
      <c r="M2198" s="223"/>
      <c r="N2198" s="223"/>
      <c r="O2198" s="223"/>
      <c r="P2198" s="223"/>
      <c r="Q2198" s="223"/>
      <c r="R2198" s="223"/>
      <c r="S2198" s="223"/>
      <c r="T2198" s="223"/>
      <c r="U2198" s="223"/>
      <c r="V2198" s="223"/>
      <c r="W2198" s="223"/>
      <c r="X2198" s="223"/>
      <c r="Y2198" s="223"/>
      <c r="Z2198" s="223"/>
    </row>
    <row r="2199">
      <c r="A2199" s="223" t="str">
        <f>IFERROR(__xludf.DUMMYFUNCTION("""COMPUTED_VALUE"""),"Salty Waffle : Other Projects")</f>
        <v>Salty Waffle : Other Projects</v>
      </c>
      <c r="B2199" s="223" t="str">
        <f>IFERROR(__xludf.DUMMYFUNCTION("""COMPUTED_VALUE"""),"Salty Waffle")</f>
        <v>Salty Waffle</v>
      </c>
      <c r="C2199" s="223" t="str">
        <f>IFERROR(__xludf.DUMMYFUNCTION("""COMPUTED_VALUE"""),"Other Projects")</f>
        <v>Other Projects</v>
      </c>
      <c r="D2199" s="316">
        <f>IFERROR(__xludf.DUMMYFUNCTION("""COMPUTED_VALUE"""),44895.0)</f>
        <v>44895</v>
      </c>
      <c r="E2199" s="298"/>
      <c r="F2199" s="298"/>
      <c r="G2199" s="298"/>
      <c r="H2199" s="223"/>
      <c r="I2199" s="298">
        <f>IFERROR(__xludf.DUMMYFUNCTION("""COMPUTED_VALUE"""),125.0)</f>
        <v>125</v>
      </c>
      <c r="J2199" s="223" t="str">
        <f>IFERROR(__xludf.DUMMYFUNCTION("""COMPUTED_VALUE"""),"Fixed Project")</f>
        <v>Fixed Project</v>
      </c>
      <c r="K2199" s="317">
        <f>IFERROR(__xludf.DUMMYFUNCTION("""COMPUTED_VALUE"""),2022.0)</f>
        <v>2022</v>
      </c>
      <c r="L2199" s="298"/>
      <c r="M2199" s="223"/>
      <c r="N2199" s="223"/>
      <c r="O2199" s="223"/>
      <c r="P2199" s="223"/>
      <c r="Q2199" s="223"/>
      <c r="R2199" s="223"/>
      <c r="S2199" s="223"/>
      <c r="T2199" s="223"/>
      <c r="U2199" s="223"/>
      <c r="V2199" s="223"/>
      <c r="W2199" s="223"/>
      <c r="X2199" s="223"/>
      <c r="Y2199" s="223"/>
      <c r="Z2199" s="223"/>
    </row>
    <row r="2200">
      <c r="A2200" s="223" t="str">
        <f>IFERROR(__xludf.DUMMYFUNCTION("""COMPUTED_VALUE"""),"Sacred Deathcare : Ongoing SEO Projects")</f>
        <v>Sacred Deathcare : Ongoing SEO Projects</v>
      </c>
      <c r="B2200" s="223" t="str">
        <f>IFERROR(__xludf.DUMMYFUNCTION("""COMPUTED_VALUE"""),"Sacred Deathcare")</f>
        <v>Sacred Deathcare</v>
      </c>
      <c r="C2200" s="223" t="str">
        <f>IFERROR(__xludf.DUMMYFUNCTION("""COMPUTED_VALUE"""),"Ongoing SEO Projects")</f>
        <v>Ongoing SEO Projects</v>
      </c>
      <c r="D2200" s="316">
        <f>IFERROR(__xludf.DUMMYFUNCTION("""COMPUTED_VALUE"""),44895.0)</f>
        <v>44895</v>
      </c>
      <c r="E2200" s="298"/>
      <c r="F2200" s="298"/>
      <c r="G2200" s="298"/>
      <c r="H2200" s="223"/>
      <c r="I2200" s="298">
        <f>IFERROR(__xludf.DUMMYFUNCTION("""COMPUTED_VALUE"""),250.0)</f>
        <v>250</v>
      </c>
      <c r="J2200" s="223" t="str">
        <f>IFERROR(__xludf.DUMMYFUNCTION("""COMPUTED_VALUE"""),"Fixed Project")</f>
        <v>Fixed Project</v>
      </c>
      <c r="K2200" s="317">
        <f>IFERROR(__xludf.DUMMYFUNCTION("""COMPUTED_VALUE"""),2022.0)</f>
        <v>2022</v>
      </c>
      <c r="L2200" s="298"/>
      <c r="M2200" s="223"/>
      <c r="N2200" s="223"/>
      <c r="O2200" s="223"/>
      <c r="P2200" s="223"/>
      <c r="Q2200" s="223"/>
      <c r="R2200" s="223"/>
      <c r="S2200" s="223"/>
      <c r="T2200" s="223"/>
      <c r="U2200" s="223"/>
      <c r="V2200" s="223"/>
      <c r="W2200" s="223"/>
      <c r="X2200" s="223"/>
      <c r="Y2200" s="223"/>
      <c r="Z2200" s="223"/>
    </row>
    <row r="2201">
      <c r="A2201" s="223" t="str">
        <f>IFERROR(__xludf.DUMMYFUNCTION("""COMPUTED_VALUE"""),"Canyon's Construction : PPC, LP &amp; Listings")</f>
        <v>Canyon's Construction : PPC, LP &amp; Listings</v>
      </c>
      <c r="B2201" s="223" t="str">
        <f>IFERROR(__xludf.DUMMYFUNCTION("""COMPUTED_VALUE"""),"Canyon's Construction")</f>
        <v>Canyon's Construction</v>
      </c>
      <c r="C2201" s="223" t="str">
        <f>IFERROR(__xludf.DUMMYFUNCTION("""COMPUTED_VALUE"""),"PPC, LP &amp; Listings")</f>
        <v>PPC, LP &amp; Listings</v>
      </c>
      <c r="D2201" s="316">
        <f>IFERROR(__xludf.DUMMYFUNCTION("""COMPUTED_VALUE"""),44895.0)</f>
        <v>44895</v>
      </c>
      <c r="E2201" s="298"/>
      <c r="F2201" s="298"/>
      <c r="G2201" s="298"/>
      <c r="H2201" s="223"/>
      <c r="I2201" s="298">
        <f>IFERROR(__xludf.DUMMYFUNCTION("""COMPUTED_VALUE"""),30.0)</f>
        <v>30</v>
      </c>
      <c r="J2201" s="223" t="str">
        <f>IFERROR(__xludf.DUMMYFUNCTION("""COMPUTED_VALUE"""),"Fixed Project")</f>
        <v>Fixed Project</v>
      </c>
      <c r="K2201" s="317">
        <f>IFERROR(__xludf.DUMMYFUNCTION("""COMPUTED_VALUE"""),2022.0)</f>
        <v>2022</v>
      </c>
      <c r="L2201" s="298"/>
      <c r="M2201" s="223"/>
      <c r="N2201" s="223"/>
      <c r="O2201" s="223"/>
      <c r="P2201" s="223"/>
      <c r="Q2201" s="223"/>
      <c r="R2201" s="223"/>
      <c r="S2201" s="223"/>
      <c r="T2201" s="223"/>
      <c r="U2201" s="223"/>
      <c r="V2201" s="223"/>
      <c r="W2201" s="223"/>
      <c r="X2201" s="223"/>
      <c r="Y2201" s="223"/>
      <c r="Z2201" s="223"/>
    </row>
    <row r="2202">
      <c r="A2202" s="223" t="str">
        <f>IFERROR(__xludf.DUMMYFUNCTION("""COMPUTED_VALUE"""),"Crescent Spur Heli-Skiing : Google Search Campaigns")</f>
        <v>Crescent Spur Heli-Skiing : Google Search Campaigns</v>
      </c>
      <c r="B2202" s="223" t="str">
        <f>IFERROR(__xludf.DUMMYFUNCTION("""COMPUTED_VALUE"""),"Crescent Spur Heli-Skiing")</f>
        <v>Crescent Spur Heli-Skiing</v>
      </c>
      <c r="C2202" s="223" t="str">
        <f>IFERROR(__xludf.DUMMYFUNCTION("""COMPUTED_VALUE"""),"Google Search Campaigns")</f>
        <v>Google Search Campaigns</v>
      </c>
      <c r="D2202" s="316">
        <f>IFERROR(__xludf.DUMMYFUNCTION("""COMPUTED_VALUE"""),44895.0)</f>
        <v>44895</v>
      </c>
      <c r="E2202" s="298"/>
      <c r="F2202" s="298"/>
      <c r="G2202" s="298"/>
      <c r="H2202" s="223"/>
      <c r="I2202" s="298">
        <f>IFERROR(__xludf.DUMMYFUNCTION("""COMPUTED_VALUE"""),250.0)</f>
        <v>250</v>
      </c>
      <c r="J2202" s="223" t="str">
        <f>IFERROR(__xludf.DUMMYFUNCTION("""COMPUTED_VALUE"""),"Fixed Project")</f>
        <v>Fixed Project</v>
      </c>
      <c r="K2202" s="317">
        <f>IFERROR(__xludf.DUMMYFUNCTION("""COMPUTED_VALUE"""),2022.0)</f>
        <v>2022</v>
      </c>
      <c r="L2202" s="298"/>
      <c r="M2202" s="223"/>
      <c r="N2202" s="223"/>
      <c r="O2202" s="223"/>
      <c r="P2202" s="223"/>
      <c r="Q2202" s="223"/>
      <c r="R2202" s="223"/>
      <c r="S2202" s="223"/>
      <c r="T2202" s="223"/>
      <c r="U2202" s="223"/>
      <c r="V2202" s="223"/>
      <c r="W2202" s="223"/>
      <c r="X2202" s="223"/>
      <c r="Y2202" s="223"/>
      <c r="Z2202" s="223"/>
    </row>
    <row r="2203">
      <c r="A2203" s="223" t="str">
        <f>IFERROR(__xludf.DUMMYFUNCTION("""COMPUTED_VALUE"""),"Anavara : Hosting")</f>
        <v>Anavara : Hosting</v>
      </c>
      <c r="B2203" s="223" t="str">
        <f>IFERROR(__xludf.DUMMYFUNCTION("""COMPUTED_VALUE"""),"Anavara")</f>
        <v>Anavara</v>
      </c>
      <c r="C2203" s="223" t="str">
        <f>IFERROR(__xludf.DUMMYFUNCTION("""COMPUTED_VALUE"""),"Hosting")</f>
        <v>Hosting</v>
      </c>
      <c r="D2203" s="316">
        <f>IFERROR(__xludf.DUMMYFUNCTION("""COMPUTED_VALUE"""),44904.0)</f>
        <v>44904</v>
      </c>
      <c r="E2203" s="298"/>
      <c r="F2203" s="298"/>
      <c r="G2203" s="298"/>
      <c r="H2203" s="223"/>
      <c r="I2203" s="298">
        <f>IFERROR(__xludf.DUMMYFUNCTION("""COMPUTED_VALUE"""),72.0)</f>
        <v>72</v>
      </c>
      <c r="J2203" s="223" t="str">
        <f>IFERROR(__xludf.DUMMYFUNCTION("""COMPUTED_VALUE"""),"Yearly")</f>
        <v>Yearly</v>
      </c>
      <c r="K2203" s="317">
        <f>IFERROR(__xludf.DUMMYFUNCTION("""COMPUTED_VALUE"""),2022.0)</f>
        <v>2022</v>
      </c>
      <c r="L2203" s="298"/>
      <c r="M2203" s="223"/>
      <c r="N2203" s="223"/>
      <c r="O2203" s="223"/>
      <c r="P2203" s="223"/>
      <c r="Q2203" s="223"/>
      <c r="R2203" s="223"/>
      <c r="S2203" s="223"/>
      <c r="T2203" s="223"/>
      <c r="U2203" s="223"/>
      <c r="V2203" s="223"/>
      <c r="W2203" s="223"/>
      <c r="X2203" s="223"/>
      <c r="Y2203" s="223"/>
      <c r="Z2203" s="223"/>
    </row>
    <row r="2204">
      <c r="A2204" s="223" t="str">
        <f>IFERROR(__xludf.DUMMYFUNCTION("""COMPUTED_VALUE"""),"Villa del Mar : Enhanced Hosting &amp; WordPress Support")</f>
        <v>Villa del Mar : Enhanced Hosting &amp; WordPress Support</v>
      </c>
      <c r="B2204" s="223" t="str">
        <f>IFERROR(__xludf.DUMMYFUNCTION("""COMPUTED_VALUE"""),"Villa del Mar")</f>
        <v>Villa del Mar</v>
      </c>
      <c r="C2204" s="223" t="str">
        <f>IFERROR(__xludf.DUMMYFUNCTION("""COMPUTED_VALUE"""),"Enhanced Hosting &amp; WordPress Support")</f>
        <v>Enhanced Hosting &amp; WordPress Support</v>
      </c>
      <c r="D2204" s="316">
        <f>IFERROR(__xludf.DUMMYFUNCTION("""COMPUTED_VALUE"""),44904.0)</f>
        <v>44904</v>
      </c>
      <c r="E2204" s="298"/>
      <c r="F2204" s="298"/>
      <c r="G2204" s="298"/>
      <c r="H2204" s="223"/>
      <c r="I2204" s="298">
        <f>IFERROR(__xludf.DUMMYFUNCTION("""COMPUTED_VALUE"""),24.0)</f>
        <v>24</v>
      </c>
      <c r="J2204" s="223" t="str">
        <f>IFERROR(__xludf.DUMMYFUNCTION("""COMPUTED_VALUE"""),"Monthly")</f>
        <v>Monthly</v>
      </c>
      <c r="K2204" s="317">
        <f>IFERROR(__xludf.DUMMYFUNCTION("""COMPUTED_VALUE"""),2022.12)</f>
        <v>2022.12</v>
      </c>
      <c r="L2204" s="298"/>
      <c r="M2204" s="223"/>
      <c r="N2204" s="223"/>
      <c r="O2204" s="223"/>
      <c r="P2204" s="223"/>
      <c r="Q2204" s="223"/>
      <c r="R2204" s="223"/>
      <c r="S2204" s="223"/>
      <c r="T2204" s="223"/>
      <c r="U2204" s="223"/>
      <c r="V2204" s="223"/>
      <c r="W2204" s="223"/>
      <c r="X2204" s="223"/>
      <c r="Y2204" s="223"/>
      <c r="Z2204" s="223"/>
    </row>
    <row r="2205">
      <c r="A2205" s="223" t="str">
        <f>IFERROR(__xludf.DUMMYFUNCTION("""COMPUTED_VALUE"""),"Villa del Mar : Enhanced Hosting &amp; WordPress Support")</f>
        <v>Villa del Mar : Enhanced Hosting &amp; WordPress Support</v>
      </c>
      <c r="B2205" s="223" t="str">
        <f>IFERROR(__xludf.DUMMYFUNCTION("""COMPUTED_VALUE"""),"Villa del Mar")</f>
        <v>Villa del Mar</v>
      </c>
      <c r="C2205" s="223" t="str">
        <f>IFERROR(__xludf.DUMMYFUNCTION("""COMPUTED_VALUE"""),"Enhanced Hosting &amp; WordPress Support")</f>
        <v>Enhanced Hosting &amp; WordPress Support</v>
      </c>
      <c r="D2205" s="316">
        <f>IFERROR(__xludf.DUMMYFUNCTION("""COMPUTED_VALUE"""),44905.0)</f>
        <v>44905</v>
      </c>
      <c r="E2205" s="298"/>
      <c r="F2205" s="298"/>
      <c r="G2205" s="298"/>
      <c r="H2205" s="223"/>
      <c r="I2205" s="298">
        <f>IFERROR(__xludf.DUMMYFUNCTION("""COMPUTED_VALUE"""),72.0)</f>
        <v>72</v>
      </c>
      <c r="J2205" s="223" t="str">
        <f>IFERROR(__xludf.DUMMYFUNCTION("""COMPUTED_VALUE"""),"Monthly")</f>
        <v>Monthly</v>
      </c>
      <c r="K2205" s="317">
        <f>IFERROR(__xludf.DUMMYFUNCTION("""COMPUTED_VALUE"""),2022.12)</f>
        <v>2022.12</v>
      </c>
      <c r="L2205" s="298"/>
      <c r="M2205" s="223"/>
      <c r="N2205" s="223"/>
      <c r="O2205" s="223"/>
      <c r="P2205" s="223"/>
      <c r="Q2205" s="223"/>
      <c r="R2205" s="223"/>
      <c r="S2205" s="223"/>
      <c r="T2205" s="223"/>
      <c r="U2205" s="223"/>
      <c r="V2205" s="223"/>
      <c r="W2205" s="223"/>
      <c r="X2205" s="223"/>
      <c r="Y2205" s="223"/>
      <c r="Z2205" s="223"/>
    </row>
    <row r="2206">
      <c r="A2206" s="223" t="str">
        <f>IFERROR(__xludf.DUMMYFUNCTION("""COMPUTED_VALUE"""),"The Academy : Premium Hosting")</f>
        <v>The Academy : Premium Hosting</v>
      </c>
      <c r="B2206" s="223" t="str">
        <f>IFERROR(__xludf.DUMMYFUNCTION("""COMPUTED_VALUE"""),"The Academy")</f>
        <v>The Academy</v>
      </c>
      <c r="C2206" s="223" t="str">
        <f>IFERROR(__xludf.DUMMYFUNCTION("""COMPUTED_VALUE"""),"Premium Hosting")</f>
        <v>Premium Hosting</v>
      </c>
      <c r="D2206" s="316">
        <f>IFERROR(__xludf.DUMMYFUNCTION("""COMPUTED_VALUE"""),44909.0)</f>
        <v>44909</v>
      </c>
      <c r="E2206" s="298"/>
      <c r="F2206" s="298"/>
      <c r="G2206" s="298"/>
      <c r="H2206" s="223"/>
      <c r="I2206" s="298">
        <f>IFERROR(__xludf.DUMMYFUNCTION("""COMPUTED_VALUE"""),144.0)</f>
        <v>144</v>
      </c>
      <c r="J2206" s="223" t="str">
        <f>IFERROR(__xludf.DUMMYFUNCTION("""COMPUTED_VALUE"""),"Yearly")</f>
        <v>Yearly</v>
      </c>
      <c r="K2206" s="317">
        <f>IFERROR(__xludf.DUMMYFUNCTION("""COMPUTED_VALUE"""),2022.0)</f>
        <v>2022</v>
      </c>
      <c r="L2206" s="298"/>
      <c r="M2206" s="223"/>
      <c r="N2206" s="223"/>
      <c r="O2206" s="223"/>
      <c r="P2206" s="223"/>
      <c r="Q2206" s="223"/>
      <c r="R2206" s="223"/>
      <c r="S2206" s="223"/>
      <c r="T2206" s="223"/>
      <c r="U2206" s="223"/>
      <c r="V2206" s="223"/>
      <c r="W2206" s="223"/>
      <c r="X2206" s="223"/>
      <c r="Y2206" s="223"/>
      <c r="Z2206" s="223"/>
    </row>
    <row r="2207">
      <c r="A2207" s="223" t="str">
        <f>IFERROR(__xludf.DUMMYFUNCTION("""COMPUTED_VALUE"""),"The Academy : Premium Hosting")</f>
        <v>The Academy : Premium Hosting</v>
      </c>
      <c r="B2207" s="223" t="str">
        <f>IFERROR(__xludf.DUMMYFUNCTION("""COMPUTED_VALUE"""),"The Academy")</f>
        <v>The Academy</v>
      </c>
      <c r="C2207" s="223" t="str">
        <f>IFERROR(__xludf.DUMMYFUNCTION("""COMPUTED_VALUE"""),"Premium Hosting")</f>
        <v>Premium Hosting</v>
      </c>
      <c r="D2207" s="316">
        <f>IFERROR(__xludf.DUMMYFUNCTION("""COMPUTED_VALUE"""),44909.0)</f>
        <v>44909</v>
      </c>
      <c r="E2207" s="298"/>
      <c r="F2207" s="298"/>
      <c r="G2207" s="298"/>
      <c r="H2207" s="223"/>
      <c r="I2207" s="298">
        <f>IFERROR(__xludf.DUMMYFUNCTION("""COMPUTED_VALUE"""),72.0)</f>
        <v>72</v>
      </c>
      <c r="J2207" s="223" t="str">
        <f>IFERROR(__xludf.DUMMYFUNCTION("""COMPUTED_VALUE"""),"Yearly")</f>
        <v>Yearly</v>
      </c>
      <c r="K2207" s="317">
        <f>IFERROR(__xludf.DUMMYFUNCTION("""COMPUTED_VALUE"""),2022.0)</f>
        <v>2022</v>
      </c>
      <c r="L2207" s="298"/>
      <c r="M2207" s="223"/>
      <c r="N2207" s="223"/>
      <c r="O2207" s="223"/>
      <c r="P2207" s="223"/>
      <c r="Q2207" s="223"/>
      <c r="R2207" s="223"/>
      <c r="S2207" s="223"/>
      <c r="T2207" s="223"/>
      <c r="U2207" s="223"/>
      <c r="V2207" s="223"/>
      <c r="W2207" s="223"/>
      <c r="X2207" s="223"/>
      <c r="Y2207" s="223"/>
      <c r="Z2207" s="223"/>
    </row>
    <row r="2208">
      <c r="A2208" s="223" t="str">
        <f>IFERROR(__xludf.DUMMYFUNCTION("""COMPUTED_VALUE"""),"The Palms : Website Hosting")</f>
        <v>The Palms : Website Hosting</v>
      </c>
      <c r="B2208" s="223" t="str">
        <f>IFERROR(__xludf.DUMMYFUNCTION("""COMPUTED_VALUE"""),"The Palms")</f>
        <v>The Palms</v>
      </c>
      <c r="C2208" s="223" t="str">
        <f>IFERROR(__xludf.DUMMYFUNCTION("""COMPUTED_VALUE"""),"Website Hosting")</f>
        <v>Website Hosting</v>
      </c>
      <c r="D2208" s="316">
        <f>IFERROR(__xludf.DUMMYFUNCTION("""COMPUTED_VALUE"""),44909.0)</f>
        <v>44909</v>
      </c>
      <c r="E2208" s="298"/>
      <c r="F2208" s="298"/>
      <c r="G2208" s="298"/>
      <c r="H2208" s="223"/>
      <c r="I2208" s="298">
        <f>IFERROR(__xludf.DUMMYFUNCTION("""COMPUTED_VALUE"""),72.0)</f>
        <v>72</v>
      </c>
      <c r="J2208" s="223"/>
      <c r="K2208" s="317">
        <f>IFERROR(__xludf.DUMMYFUNCTION("""COMPUTED_VALUE"""),2022.0)</f>
        <v>2022</v>
      </c>
      <c r="L2208" s="298"/>
      <c r="M2208" s="223"/>
      <c r="N2208" s="223"/>
      <c r="O2208" s="223"/>
      <c r="P2208" s="223"/>
      <c r="Q2208" s="223"/>
      <c r="R2208" s="223"/>
      <c r="S2208" s="223"/>
      <c r="T2208" s="223"/>
      <c r="U2208" s="223"/>
      <c r="V2208" s="223"/>
      <c r="W2208" s="223"/>
      <c r="X2208" s="223"/>
      <c r="Y2208" s="223"/>
      <c r="Z2208" s="223"/>
    </row>
    <row r="2209">
      <c r="A2209" s="223" t="str">
        <f>IFERROR(__xludf.DUMMYFUNCTION("""COMPUTED_VALUE"""),"The Shore Club : Website Hosting")</f>
        <v>The Shore Club : Website Hosting</v>
      </c>
      <c r="B2209" s="223" t="str">
        <f>IFERROR(__xludf.DUMMYFUNCTION("""COMPUTED_VALUE"""),"The Shore Club")</f>
        <v>The Shore Club</v>
      </c>
      <c r="C2209" s="223" t="str">
        <f>IFERROR(__xludf.DUMMYFUNCTION("""COMPUTED_VALUE"""),"Website Hosting")</f>
        <v>Website Hosting</v>
      </c>
      <c r="D2209" s="316">
        <f>IFERROR(__xludf.DUMMYFUNCTION("""COMPUTED_VALUE"""),44909.0)</f>
        <v>44909</v>
      </c>
      <c r="E2209" s="298"/>
      <c r="F2209" s="298"/>
      <c r="G2209" s="298"/>
      <c r="H2209" s="223"/>
      <c r="I2209" s="298">
        <f>IFERROR(__xludf.DUMMYFUNCTION("""COMPUTED_VALUE"""),144.0)</f>
        <v>144</v>
      </c>
      <c r="J2209" s="223"/>
      <c r="K2209" s="317">
        <f>IFERROR(__xludf.DUMMYFUNCTION("""COMPUTED_VALUE"""),2022.0)</f>
        <v>2022</v>
      </c>
      <c r="L2209" s="298"/>
      <c r="M2209" s="223"/>
      <c r="N2209" s="223"/>
      <c r="O2209" s="223"/>
      <c r="P2209" s="223"/>
      <c r="Q2209" s="223"/>
      <c r="R2209" s="223"/>
      <c r="S2209" s="223"/>
      <c r="T2209" s="223"/>
      <c r="U2209" s="223"/>
      <c r="V2209" s="223"/>
      <c r="W2209" s="223"/>
      <c r="X2209" s="223"/>
      <c r="Y2209" s="223"/>
      <c r="Z2209" s="223"/>
    </row>
    <row r="2210">
      <c r="A2210" s="223" t="str">
        <f>IFERROR(__xludf.DUMMYFUNCTION("""COMPUTED_VALUE"""),"The Sands : Website Hosting")</f>
        <v>The Sands : Website Hosting</v>
      </c>
      <c r="B2210" s="223" t="str">
        <f>IFERROR(__xludf.DUMMYFUNCTION("""COMPUTED_VALUE"""),"The Sands")</f>
        <v>The Sands</v>
      </c>
      <c r="C2210" s="223" t="str">
        <f>IFERROR(__xludf.DUMMYFUNCTION("""COMPUTED_VALUE"""),"Website Hosting")</f>
        <v>Website Hosting</v>
      </c>
      <c r="D2210" s="316">
        <f>IFERROR(__xludf.DUMMYFUNCTION("""COMPUTED_VALUE"""),44909.0)</f>
        <v>44909</v>
      </c>
      <c r="E2210" s="298"/>
      <c r="F2210" s="298"/>
      <c r="G2210" s="298"/>
      <c r="H2210" s="223"/>
      <c r="I2210" s="298">
        <f>IFERROR(__xludf.DUMMYFUNCTION("""COMPUTED_VALUE"""),144.0)</f>
        <v>144</v>
      </c>
      <c r="J2210" s="223"/>
      <c r="K2210" s="317">
        <f>IFERROR(__xludf.DUMMYFUNCTION("""COMPUTED_VALUE"""),2022.0)</f>
        <v>2022</v>
      </c>
      <c r="L2210" s="298"/>
      <c r="M2210" s="223"/>
      <c r="N2210" s="223"/>
      <c r="O2210" s="223"/>
      <c r="P2210" s="223"/>
      <c r="Q2210" s="223"/>
      <c r="R2210" s="223"/>
      <c r="S2210" s="223"/>
      <c r="T2210" s="223"/>
      <c r="U2210" s="223"/>
      <c r="V2210" s="223"/>
      <c r="W2210" s="223"/>
      <c r="X2210" s="223"/>
      <c r="Y2210" s="223"/>
      <c r="Z2210" s="223"/>
    </row>
    <row r="2211">
      <c r="A2211" s="223" t="str">
        <f>IFERROR(__xludf.DUMMYFUNCTION("""COMPUTED_VALUE"""),"PlusROI : Overhead")</f>
        <v>PlusROI : Overhead</v>
      </c>
      <c r="B2211" s="223" t="str">
        <f>IFERROR(__xludf.DUMMYFUNCTION("""COMPUTED_VALUE"""),"PlusROI")</f>
        <v>PlusROI</v>
      </c>
      <c r="C2211" s="223" t="str">
        <f>IFERROR(__xludf.DUMMYFUNCTION("""COMPUTED_VALUE"""),"Overhead")</f>
        <v>Overhead</v>
      </c>
      <c r="D2211" s="316">
        <f>IFERROR(__xludf.DUMMYFUNCTION("""COMPUTED_VALUE"""),44909.0)</f>
        <v>44909</v>
      </c>
      <c r="E2211" s="298"/>
      <c r="F2211" s="298"/>
      <c r="G2211" s="298"/>
      <c r="H2211" s="223"/>
      <c r="I2211" s="298">
        <f>IFERROR(__xludf.DUMMYFUNCTION("""COMPUTED_VALUE"""),137.27)</f>
        <v>137.27</v>
      </c>
      <c r="J2211" s="223" t="str">
        <f>IFERROR(__xludf.DUMMYFUNCTION("""COMPUTED_VALUE"""),"Hourly")</f>
        <v>Hourly</v>
      </c>
      <c r="K2211" s="317">
        <f>IFERROR(__xludf.DUMMYFUNCTION("""COMPUTED_VALUE"""),2022.0)</f>
        <v>2022</v>
      </c>
      <c r="L2211" s="298"/>
      <c r="M2211" s="223"/>
      <c r="N2211" s="223"/>
      <c r="O2211" s="223"/>
      <c r="P2211" s="223"/>
      <c r="Q2211" s="223"/>
      <c r="R2211" s="223"/>
      <c r="S2211" s="223"/>
      <c r="T2211" s="223"/>
      <c r="U2211" s="223"/>
      <c r="V2211" s="223"/>
      <c r="W2211" s="223"/>
      <c r="X2211" s="223"/>
      <c r="Y2211" s="223"/>
      <c r="Z2211" s="223"/>
    </row>
    <row r="2212">
      <c r="A2212" s="223" t="str">
        <f>IFERROR(__xludf.DUMMYFUNCTION("""COMPUTED_VALUE"""),"PlusROI : Overhead")</f>
        <v>PlusROI : Overhead</v>
      </c>
      <c r="B2212" s="223" t="str">
        <f>IFERROR(__xludf.DUMMYFUNCTION("""COMPUTED_VALUE"""),"PlusROI")</f>
        <v>PlusROI</v>
      </c>
      <c r="C2212" s="223" t="str">
        <f>IFERROR(__xludf.DUMMYFUNCTION("""COMPUTED_VALUE"""),"Overhead")</f>
        <v>Overhead</v>
      </c>
      <c r="D2212" s="316">
        <f>IFERROR(__xludf.DUMMYFUNCTION("""COMPUTED_VALUE"""),44909.0)</f>
        <v>44909</v>
      </c>
      <c r="E2212" s="298"/>
      <c r="F2212" s="298"/>
      <c r="G2212" s="298"/>
      <c r="H2212" s="223"/>
      <c r="I2212" s="298">
        <f>IFERROR(__xludf.DUMMYFUNCTION("""COMPUTED_VALUE"""),3.13)</f>
        <v>3.13</v>
      </c>
      <c r="J2212" s="223" t="str">
        <f>IFERROR(__xludf.DUMMYFUNCTION("""COMPUTED_VALUE"""),"Hourly")</f>
        <v>Hourly</v>
      </c>
      <c r="K2212" s="317">
        <f>IFERROR(__xludf.DUMMYFUNCTION("""COMPUTED_VALUE"""),2022.0)</f>
        <v>2022</v>
      </c>
      <c r="L2212" s="298"/>
      <c r="M2212" s="223"/>
      <c r="N2212" s="223"/>
      <c r="O2212" s="223"/>
      <c r="P2212" s="223"/>
      <c r="Q2212" s="223"/>
      <c r="R2212" s="223"/>
      <c r="S2212" s="223"/>
      <c r="T2212" s="223"/>
      <c r="U2212" s="223"/>
      <c r="V2212" s="223"/>
      <c r="W2212" s="223"/>
      <c r="X2212" s="223"/>
      <c r="Y2212" s="223"/>
      <c r="Z2212" s="223"/>
    </row>
    <row r="2213">
      <c r="A2213" s="223" t="str">
        <f>IFERROR(__xludf.DUMMYFUNCTION("""COMPUTED_VALUE"""),"PlusROI : Overhead")</f>
        <v>PlusROI : Overhead</v>
      </c>
      <c r="B2213" s="223" t="str">
        <f>IFERROR(__xludf.DUMMYFUNCTION("""COMPUTED_VALUE"""),"PlusROI")</f>
        <v>PlusROI</v>
      </c>
      <c r="C2213" s="223" t="str">
        <f>IFERROR(__xludf.DUMMYFUNCTION("""COMPUTED_VALUE"""),"Overhead")</f>
        <v>Overhead</v>
      </c>
      <c r="D2213" s="316">
        <f>IFERROR(__xludf.DUMMYFUNCTION("""COMPUTED_VALUE"""),44909.0)</f>
        <v>44909</v>
      </c>
      <c r="E2213" s="298"/>
      <c r="F2213" s="298"/>
      <c r="G2213" s="298"/>
      <c r="H2213" s="223"/>
      <c r="I2213" s="298">
        <f>IFERROR(__xludf.DUMMYFUNCTION("""COMPUTED_VALUE"""),65.53)</f>
        <v>65.53</v>
      </c>
      <c r="J2213" s="223" t="str">
        <f>IFERROR(__xludf.DUMMYFUNCTION("""COMPUTED_VALUE"""),"Hourly")</f>
        <v>Hourly</v>
      </c>
      <c r="K2213" s="317">
        <f>IFERROR(__xludf.DUMMYFUNCTION("""COMPUTED_VALUE"""),2022.0)</f>
        <v>2022</v>
      </c>
      <c r="L2213" s="298"/>
      <c r="M2213" s="223"/>
      <c r="N2213" s="223"/>
      <c r="O2213" s="223"/>
      <c r="P2213" s="223"/>
      <c r="Q2213" s="223"/>
      <c r="R2213" s="223"/>
      <c r="S2213" s="223"/>
      <c r="T2213" s="223"/>
      <c r="U2213" s="223"/>
      <c r="V2213" s="223"/>
      <c r="W2213" s="223"/>
      <c r="X2213" s="223"/>
      <c r="Y2213" s="223"/>
      <c r="Z2213" s="223"/>
    </row>
    <row r="2214">
      <c r="A2214" s="223" t="str">
        <f>IFERROR(__xludf.DUMMYFUNCTION("""COMPUTED_VALUE"""),"Advisicon : Case Study Project")</f>
        <v>Advisicon : Case Study Project</v>
      </c>
      <c r="B2214" s="223" t="str">
        <f>IFERROR(__xludf.DUMMYFUNCTION("""COMPUTED_VALUE"""),"Advisicon")</f>
        <v>Advisicon</v>
      </c>
      <c r="C2214" s="223" t="str">
        <f>IFERROR(__xludf.DUMMYFUNCTION("""COMPUTED_VALUE"""),"Case Study Project")</f>
        <v>Case Study Project</v>
      </c>
      <c r="D2214" s="316">
        <f>IFERROR(__xludf.DUMMYFUNCTION("""COMPUTED_VALUE"""),44895.0)</f>
        <v>44895</v>
      </c>
      <c r="E2214" s="298"/>
      <c r="F2214" s="298"/>
      <c r="G2214" s="298"/>
      <c r="H2214" s="223"/>
      <c r="I2214" s="298">
        <f>IFERROR(__xludf.DUMMYFUNCTION("""COMPUTED_VALUE"""),155.91)</f>
        <v>155.91</v>
      </c>
      <c r="J2214" s="223" t="str">
        <f>IFERROR(__xludf.DUMMYFUNCTION("""COMPUTED_VALUE"""),"Fixed Project")</f>
        <v>Fixed Project</v>
      </c>
      <c r="K2214" s="317">
        <f>IFERROR(__xludf.DUMMYFUNCTION("""COMPUTED_VALUE"""),2022.0)</f>
        <v>2022</v>
      </c>
      <c r="L2214" s="298"/>
      <c r="M2214" s="223"/>
      <c r="N2214" s="223"/>
      <c r="O2214" s="223"/>
      <c r="P2214" s="223"/>
      <c r="Q2214" s="223"/>
      <c r="R2214" s="223"/>
      <c r="S2214" s="223"/>
      <c r="T2214" s="223"/>
      <c r="U2214" s="223"/>
      <c r="V2214" s="223"/>
      <c r="W2214" s="223"/>
      <c r="X2214" s="223"/>
      <c r="Y2214" s="223"/>
      <c r="Z2214" s="223"/>
    </row>
    <row r="2215">
      <c r="A2215" s="223" t="str">
        <f>IFERROR(__xludf.DUMMYFUNCTION("""COMPUTED_VALUE"""),"Anavara : Enhanced Hosting &amp; WordPress Support")</f>
        <v>Anavara : Enhanced Hosting &amp; WordPress Support</v>
      </c>
      <c r="B2215" s="223" t="str">
        <f>IFERROR(__xludf.DUMMYFUNCTION("""COMPUTED_VALUE"""),"Anavara")</f>
        <v>Anavara</v>
      </c>
      <c r="C2215" s="223" t="str">
        <f>IFERROR(__xludf.DUMMYFUNCTION("""COMPUTED_VALUE"""),"Enhanced Hosting &amp; WordPress Support")</f>
        <v>Enhanced Hosting &amp; WordPress Support</v>
      </c>
      <c r="D2215" s="316">
        <f>IFERROR(__xludf.DUMMYFUNCTION("""COMPUTED_VALUE"""),44896.0)</f>
        <v>44896</v>
      </c>
      <c r="E2215" s="298"/>
      <c r="F2215" s="298"/>
      <c r="G2215" s="298"/>
      <c r="H2215" s="223"/>
      <c r="I2215" s="298">
        <f>IFERROR(__xludf.DUMMYFUNCTION("""COMPUTED_VALUE"""),84.42)</f>
        <v>84.42</v>
      </c>
      <c r="J2215" s="223" t="str">
        <f>IFERROR(__xludf.DUMMYFUNCTION("""COMPUTED_VALUE"""),"Monthly")</f>
        <v>Monthly</v>
      </c>
      <c r="K2215" s="317">
        <f>IFERROR(__xludf.DUMMYFUNCTION("""COMPUTED_VALUE"""),2022.12)</f>
        <v>2022.12</v>
      </c>
      <c r="L2215" s="298"/>
      <c r="M2215" s="223"/>
      <c r="N2215" s="223"/>
      <c r="O2215" s="223"/>
      <c r="P2215" s="223"/>
      <c r="Q2215" s="223"/>
      <c r="R2215" s="223"/>
      <c r="S2215" s="223"/>
      <c r="T2215" s="223"/>
      <c r="U2215" s="223"/>
      <c r="V2215" s="223"/>
      <c r="W2215" s="223"/>
      <c r="X2215" s="223"/>
      <c r="Y2215" s="223"/>
      <c r="Z2215" s="223"/>
    </row>
    <row r="2216">
      <c r="A2216" s="223" t="str">
        <f>IFERROR(__xludf.DUMMYFUNCTION("""COMPUTED_VALUE"""),"Beacon Law : 5 Hour Support Block")</f>
        <v>Beacon Law : 5 Hour Support Block</v>
      </c>
      <c r="B2216" s="223" t="str">
        <f>IFERROR(__xludf.DUMMYFUNCTION("""COMPUTED_VALUE"""),"Beacon Law")</f>
        <v>Beacon Law</v>
      </c>
      <c r="C2216" s="223" t="str">
        <f>IFERROR(__xludf.DUMMYFUNCTION("""COMPUTED_VALUE"""),"5 Hour Support Block")</f>
        <v>5 Hour Support Block</v>
      </c>
      <c r="D2216" s="316">
        <f>IFERROR(__xludf.DUMMYFUNCTION("""COMPUTED_VALUE"""),44896.0)</f>
        <v>44896</v>
      </c>
      <c r="E2216" s="298"/>
      <c r="F2216" s="298"/>
      <c r="G2216" s="298"/>
      <c r="H2216" s="223"/>
      <c r="I2216" s="298">
        <f>IFERROR(__xludf.DUMMYFUNCTION("""COMPUTED_VALUE"""),4.45)</f>
        <v>4.45</v>
      </c>
      <c r="J2216" s="223" t="str">
        <f>IFERROR(__xludf.DUMMYFUNCTION("""COMPUTED_VALUE"""),"Hourly")</f>
        <v>Hourly</v>
      </c>
      <c r="K2216" s="317">
        <f>IFERROR(__xludf.DUMMYFUNCTION("""COMPUTED_VALUE"""),2022.0)</f>
        <v>2022</v>
      </c>
      <c r="L2216" s="298"/>
      <c r="M2216" s="223"/>
      <c r="N2216" s="223"/>
      <c r="O2216" s="223"/>
      <c r="P2216" s="223"/>
      <c r="Q2216" s="223"/>
      <c r="R2216" s="223"/>
      <c r="S2216" s="223"/>
      <c r="T2216" s="223"/>
      <c r="U2216" s="223"/>
      <c r="V2216" s="223"/>
      <c r="W2216" s="223"/>
      <c r="X2216" s="223"/>
      <c r="Y2216" s="223"/>
      <c r="Z2216" s="223"/>
    </row>
    <row r="2217">
      <c r="A2217" s="223" t="str">
        <f>IFERROR(__xludf.DUMMYFUNCTION("""COMPUTED_VALUE"""),"Dinning Hunter : 5 Hour Support Block")</f>
        <v>Dinning Hunter : 5 Hour Support Block</v>
      </c>
      <c r="B2217" s="223" t="str">
        <f>IFERROR(__xludf.DUMMYFUNCTION("""COMPUTED_VALUE"""),"Dinning Hunter")</f>
        <v>Dinning Hunter</v>
      </c>
      <c r="C2217" s="223" t="str">
        <f>IFERROR(__xludf.DUMMYFUNCTION("""COMPUTED_VALUE"""),"5 Hour Support Block")</f>
        <v>5 Hour Support Block</v>
      </c>
      <c r="D2217" s="316">
        <f>IFERROR(__xludf.DUMMYFUNCTION("""COMPUTED_VALUE"""),44896.0)</f>
        <v>44896</v>
      </c>
      <c r="E2217" s="298"/>
      <c r="F2217" s="298"/>
      <c r="G2217" s="298"/>
      <c r="H2217" s="223"/>
      <c r="I2217" s="298">
        <f>IFERROR(__xludf.DUMMYFUNCTION("""COMPUTED_VALUE"""),107.57)</f>
        <v>107.57</v>
      </c>
      <c r="J2217" s="223" t="str">
        <f>IFERROR(__xludf.DUMMYFUNCTION("""COMPUTED_VALUE"""),"Fixed Project")</f>
        <v>Fixed Project</v>
      </c>
      <c r="K2217" s="317">
        <f>IFERROR(__xludf.DUMMYFUNCTION("""COMPUTED_VALUE"""),2022.0)</f>
        <v>2022</v>
      </c>
      <c r="L2217" s="298"/>
      <c r="M2217" s="223"/>
      <c r="N2217" s="223"/>
      <c r="O2217" s="223"/>
      <c r="P2217" s="223"/>
      <c r="Q2217" s="223"/>
      <c r="R2217" s="223"/>
      <c r="S2217" s="223"/>
      <c r="T2217" s="223"/>
      <c r="U2217" s="223"/>
      <c r="V2217" s="223"/>
      <c r="W2217" s="223"/>
      <c r="X2217" s="223"/>
      <c r="Y2217" s="223"/>
      <c r="Z2217" s="223"/>
    </row>
    <row r="2218">
      <c r="A2218" s="223" t="str">
        <f>IFERROR(__xludf.DUMMYFUNCTION("""COMPUTED_VALUE"""),"Continuity Programs Inc. : Website Relaunch and SEO Review")</f>
        <v>Continuity Programs Inc. : Website Relaunch and SEO Review</v>
      </c>
      <c r="B2218" s="223" t="str">
        <f>IFERROR(__xludf.DUMMYFUNCTION("""COMPUTED_VALUE"""),"Continuity Programs Inc.")</f>
        <v>Continuity Programs Inc.</v>
      </c>
      <c r="C2218" s="223" t="str">
        <f>IFERROR(__xludf.DUMMYFUNCTION("""COMPUTED_VALUE"""),"Website Relaunch and SEO Review")</f>
        <v>Website Relaunch and SEO Review</v>
      </c>
      <c r="D2218" s="316">
        <f>IFERROR(__xludf.DUMMYFUNCTION("""COMPUTED_VALUE"""),44896.0)</f>
        <v>44896</v>
      </c>
      <c r="E2218" s="298"/>
      <c r="F2218" s="298"/>
      <c r="G2218" s="298"/>
      <c r="H2218" s="223"/>
      <c r="I2218" s="298">
        <f>IFERROR(__xludf.DUMMYFUNCTION("""COMPUTED_VALUE"""),1869.37)</f>
        <v>1869.37</v>
      </c>
      <c r="J2218" s="223" t="str">
        <f>IFERROR(__xludf.DUMMYFUNCTION("""COMPUTED_VALUE"""),"Fixed Project")</f>
        <v>Fixed Project</v>
      </c>
      <c r="K2218" s="317">
        <f>IFERROR(__xludf.DUMMYFUNCTION("""COMPUTED_VALUE"""),2022.0)</f>
        <v>2022</v>
      </c>
      <c r="L2218" s="298"/>
      <c r="M2218" s="223"/>
      <c r="N2218" s="223"/>
      <c r="O2218" s="223"/>
      <c r="P2218" s="223"/>
      <c r="Q2218" s="223"/>
      <c r="R2218" s="223"/>
      <c r="S2218" s="223"/>
      <c r="T2218" s="223"/>
      <c r="U2218" s="223"/>
      <c r="V2218" s="223"/>
      <c r="W2218" s="223"/>
      <c r="X2218" s="223"/>
      <c r="Y2218" s="223"/>
      <c r="Z2218" s="223"/>
    </row>
    <row r="2219">
      <c r="A2219" s="223" t="str">
        <f>IFERROR(__xludf.DUMMYFUNCTION("""COMPUTED_VALUE"""),"Customer First Design : Markey Machinery")</f>
        <v>Customer First Design : Markey Machinery</v>
      </c>
      <c r="B2219" s="223" t="str">
        <f>IFERROR(__xludf.DUMMYFUNCTION("""COMPUTED_VALUE"""),"Customer First Design")</f>
        <v>Customer First Design</v>
      </c>
      <c r="C2219" s="223" t="str">
        <f>IFERROR(__xludf.DUMMYFUNCTION("""COMPUTED_VALUE"""),"Markey Machinery")</f>
        <v>Markey Machinery</v>
      </c>
      <c r="D2219" s="316">
        <f>IFERROR(__xludf.DUMMYFUNCTION("""COMPUTED_VALUE"""),44896.0)</f>
        <v>44896</v>
      </c>
      <c r="E2219" s="298"/>
      <c r="F2219" s="298"/>
      <c r="G2219" s="298"/>
      <c r="H2219" s="223"/>
      <c r="I2219" s="298">
        <f>IFERROR(__xludf.DUMMYFUNCTION("""COMPUTED_VALUE"""),683.2)</f>
        <v>683.2</v>
      </c>
      <c r="J2219" s="223" t="str">
        <f>IFERROR(__xludf.DUMMYFUNCTION("""COMPUTED_VALUE"""),"Fixed Project")</f>
        <v>Fixed Project</v>
      </c>
      <c r="K2219" s="317">
        <f>IFERROR(__xludf.DUMMYFUNCTION("""COMPUTED_VALUE"""),2022.0)</f>
        <v>2022</v>
      </c>
      <c r="L2219" s="298"/>
      <c r="M2219" s="223"/>
      <c r="N2219" s="223"/>
      <c r="O2219" s="223"/>
      <c r="P2219" s="223"/>
      <c r="Q2219" s="223"/>
      <c r="R2219" s="223"/>
      <c r="S2219" s="223"/>
      <c r="T2219" s="223"/>
      <c r="U2219" s="223"/>
      <c r="V2219" s="223"/>
      <c r="W2219" s="223"/>
      <c r="X2219" s="223"/>
      <c r="Y2219" s="223"/>
      <c r="Z2219" s="223"/>
    </row>
    <row r="2220">
      <c r="A2220" s="223" t="str">
        <f>IFERROR(__xludf.DUMMYFUNCTION("""COMPUTED_VALUE"""),"PlusROI : Admin")</f>
        <v>PlusROI : Admin</v>
      </c>
      <c r="B2220" s="223" t="str">
        <f>IFERROR(__xludf.DUMMYFUNCTION("""COMPUTED_VALUE"""),"PlusROI")</f>
        <v>PlusROI</v>
      </c>
      <c r="C2220" s="223" t="str">
        <f>IFERROR(__xludf.DUMMYFUNCTION("""COMPUTED_VALUE"""),"Admin")</f>
        <v>Admin</v>
      </c>
      <c r="D2220" s="316">
        <f>IFERROR(__xludf.DUMMYFUNCTION("""COMPUTED_VALUE"""),44896.0)</f>
        <v>44896</v>
      </c>
      <c r="E2220" s="298"/>
      <c r="F2220" s="298"/>
      <c r="G2220" s="298"/>
      <c r="H2220" s="223"/>
      <c r="I2220" s="298">
        <f>IFERROR(__xludf.DUMMYFUNCTION("""COMPUTED_VALUE"""),877.58)</f>
        <v>877.58</v>
      </c>
      <c r="J2220" s="223" t="str">
        <f>IFERROR(__xludf.DUMMYFUNCTION("""COMPUTED_VALUE"""),"Hourly")</f>
        <v>Hourly</v>
      </c>
      <c r="K2220" s="317">
        <f>IFERROR(__xludf.DUMMYFUNCTION("""COMPUTED_VALUE"""),2022.0)</f>
        <v>2022</v>
      </c>
      <c r="L2220" s="298"/>
      <c r="M2220" s="223"/>
      <c r="N2220" s="223"/>
      <c r="O2220" s="223"/>
      <c r="P2220" s="223"/>
      <c r="Q2220" s="223"/>
      <c r="R2220" s="223"/>
      <c r="S2220" s="223"/>
      <c r="T2220" s="223"/>
      <c r="U2220" s="223"/>
      <c r="V2220" s="223"/>
      <c r="W2220" s="223"/>
      <c r="X2220" s="223"/>
      <c r="Y2220" s="223"/>
      <c r="Z2220" s="223"/>
    </row>
    <row r="2221">
      <c r="A2221" s="223" t="str">
        <f>IFERROR(__xludf.DUMMYFUNCTION("""COMPUTED_VALUE"""),"PMDI : Monthly Services")</f>
        <v>PMDI : Monthly Services</v>
      </c>
      <c r="B2221" s="223" t="str">
        <f>IFERROR(__xludf.DUMMYFUNCTION("""COMPUTED_VALUE"""),"PMDI")</f>
        <v>PMDI</v>
      </c>
      <c r="C2221" s="223" t="str">
        <f>IFERROR(__xludf.DUMMYFUNCTION("""COMPUTED_VALUE"""),"Monthly Services")</f>
        <v>Monthly Services</v>
      </c>
      <c r="D2221" s="316">
        <f>IFERROR(__xludf.DUMMYFUNCTION("""COMPUTED_VALUE"""),44896.0)</f>
        <v>44896</v>
      </c>
      <c r="E2221" s="298"/>
      <c r="F2221" s="298"/>
      <c r="G2221" s="298"/>
      <c r="H2221" s="223"/>
      <c r="I2221" s="298">
        <f>IFERROR(__xludf.DUMMYFUNCTION("""COMPUTED_VALUE"""),25.31)</f>
        <v>25.31</v>
      </c>
      <c r="J2221" s="223" t="str">
        <f>IFERROR(__xludf.DUMMYFUNCTION("""COMPUTED_VALUE"""),"Monthly")</f>
        <v>Monthly</v>
      </c>
      <c r="K2221" s="317">
        <f>IFERROR(__xludf.DUMMYFUNCTION("""COMPUTED_VALUE"""),2022.12)</f>
        <v>2022.12</v>
      </c>
      <c r="L2221" s="298"/>
      <c r="M2221" s="223"/>
      <c r="N2221" s="223"/>
      <c r="O2221" s="223"/>
      <c r="P2221" s="223"/>
      <c r="Q2221" s="223"/>
      <c r="R2221" s="223"/>
      <c r="S2221" s="223"/>
      <c r="T2221" s="223"/>
      <c r="U2221" s="223"/>
      <c r="V2221" s="223"/>
      <c r="W2221" s="223"/>
      <c r="X2221" s="223"/>
      <c r="Y2221" s="223"/>
      <c r="Z2221" s="223"/>
    </row>
    <row r="2222">
      <c r="A2222" s="223" t="str">
        <f>IFERROR(__xludf.DUMMYFUNCTION("""COMPUTED_VALUE"""),"Red Seal : Monthly Services")</f>
        <v>Red Seal : Monthly Services</v>
      </c>
      <c r="B2222" s="223" t="str">
        <f>IFERROR(__xludf.DUMMYFUNCTION("""COMPUTED_VALUE"""),"Red Seal")</f>
        <v>Red Seal</v>
      </c>
      <c r="C2222" s="223" t="str">
        <f>IFERROR(__xludf.DUMMYFUNCTION("""COMPUTED_VALUE"""),"Monthly Services")</f>
        <v>Monthly Services</v>
      </c>
      <c r="D2222" s="316">
        <f>IFERROR(__xludf.DUMMYFUNCTION("""COMPUTED_VALUE"""),44896.0)</f>
        <v>44896</v>
      </c>
      <c r="E2222" s="298"/>
      <c r="F2222" s="298"/>
      <c r="G2222" s="298"/>
      <c r="H2222" s="223"/>
      <c r="I2222" s="298">
        <f>IFERROR(__xludf.DUMMYFUNCTION("""COMPUTED_VALUE"""),201.19)</f>
        <v>201.19</v>
      </c>
      <c r="J2222" s="223" t="str">
        <f>IFERROR(__xludf.DUMMYFUNCTION("""COMPUTED_VALUE"""),"Monthly")</f>
        <v>Monthly</v>
      </c>
      <c r="K2222" s="317">
        <f>IFERROR(__xludf.DUMMYFUNCTION("""COMPUTED_VALUE"""),2022.12)</f>
        <v>2022.12</v>
      </c>
      <c r="L2222" s="298"/>
      <c r="M2222" s="223"/>
      <c r="N2222" s="223"/>
      <c r="O2222" s="223"/>
      <c r="P2222" s="223"/>
      <c r="Q2222" s="223"/>
      <c r="R2222" s="223"/>
      <c r="S2222" s="223"/>
      <c r="T2222" s="223"/>
      <c r="U2222" s="223"/>
      <c r="V2222" s="223"/>
      <c r="W2222" s="223"/>
      <c r="X2222" s="223"/>
      <c r="Y2222" s="223"/>
      <c r="Z2222" s="223"/>
    </row>
    <row r="2223">
      <c r="A2223" s="223" t="str">
        <f>IFERROR(__xludf.DUMMYFUNCTION("""COMPUTED_VALUE"""),"Sacred Deathcare : Website Rebuild")</f>
        <v>Sacred Deathcare : Website Rebuild</v>
      </c>
      <c r="B2223" s="223" t="str">
        <f>IFERROR(__xludf.DUMMYFUNCTION("""COMPUTED_VALUE"""),"Sacred Deathcare")</f>
        <v>Sacred Deathcare</v>
      </c>
      <c r="C2223" s="223" t="str">
        <f>IFERROR(__xludf.DUMMYFUNCTION("""COMPUTED_VALUE"""),"Website Rebuild")</f>
        <v>Website Rebuild</v>
      </c>
      <c r="D2223" s="316">
        <f>IFERROR(__xludf.DUMMYFUNCTION("""COMPUTED_VALUE"""),44896.0)</f>
        <v>44896</v>
      </c>
      <c r="E2223" s="298"/>
      <c r="F2223" s="298"/>
      <c r="G2223" s="298"/>
      <c r="H2223" s="223"/>
      <c r="I2223" s="298">
        <f>IFERROR(__xludf.DUMMYFUNCTION("""COMPUTED_VALUE"""),744.263603655236)</f>
        <v>744.2636037</v>
      </c>
      <c r="J2223" s="223" t="str">
        <f>IFERROR(__xludf.DUMMYFUNCTION("""COMPUTED_VALUE"""),"Fixed Project")</f>
        <v>Fixed Project</v>
      </c>
      <c r="K2223" s="317">
        <f>IFERROR(__xludf.DUMMYFUNCTION("""COMPUTED_VALUE"""),2022.0)</f>
        <v>2022</v>
      </c>
      <c r="L2223" s="298"/>
      <c r="M2223" s="223"/>
      <c r="N2223" s="223"/>
      <c r="O2223" s="223"/>
      <c r="P2223" s="223"/>
      <c r="Q2223" s="223"/>
      <c r="R2223" s="223"/>
      <c r="S2223" s="223"/>
      <c r="T2223" s="223"/>
      <c r="U2223" s="223"/>
      <c r="V2223" s="223"/>
      <c r="W2223" s="223"/>
      <c r="X2223" s="223"/>
      <c r="Y2223" s="223"/>
      <c r="Z2223" s="223"/>
    </row>
    <row r="2224">
      <c r="A2224" s="223" t="str">
        <f>IFERROR(__xludf.DUMMYFUNCTION("""COMPUTED_VALUE"""),"Sacred Deathcare : 5 Hour Support Block")</f>
        <v>Sacred Deathcare : 5 Hour Support Block</v>
      </c>
      <c r="B2224" s="223" t="str">
        <f>IFERROR(__xludf.DUMMYFUNCTION("""COMPUTED_VALUE"""),"Sacred Deathcare")</f>
        <v>Sacred Deathcare</v>
      </c>
      <c r="C2224" s="223" t="str">
        <f>IFERROR(__xludf.DUMMYFUNCTION("""COMPUTED_VALUE"""),"5 Hour Support Block")</f>
        <v>5 Hour Support Block</v>
      </c>
      <c r="D2224" s="316">
        <f>IFERROR(__xludf.DUMMYFUNCTION("""COMPUTED_VALUE"""),44896.0)</f>
        <v>44896</v>
      </c>
      <c r="E2224" s="298"/>
      <c r="F2224" s="298"/>
      <c r="G2224" s="298"/>
      <c r="H2224" s="223"/>
      <c r="I2224" s="298">
        <f>IFERROR(__xludf.DUMMYFUNCTION("""COMPUTED_VALUE"""),40.53)</f>
        <v>40.53</v>
      </c>
      <c r="J2224" s="223" t="str">
        <f>IFERROR(__xludf.DUMMYFUNCTION("""COMPUTED_VALUE"""),"Fixed Project")</f>
        <v>Fixed Project</v>
      </c>
      <c r="K2224" s="317">
        <f>IFERROR(__xludf.DUMMYFUNCTION("""COMPUTED_VALUE"""),2022.0)</f>
        <v>2022</v>
      </c>
      <c r="L2224" s="298"/>
      <c r="M2224" s="223"/>
      <c r="N2224" s="223"/>
      <c r="O2224" s="223"/>
      <c r="P2224" s="223"/>
      <c r="Q2224" s="223"/>
      <c r="R2224" s="223"/>
      <c r="S2224" s="223"/>
      <c r="T2224" s="223"/>
      <c r="U2224" s="223"/>
      <c r="V2224" s="223"/>
      <c r="W2224" s="223"/>
      <c r="X2224" s="223"/>
      <c r="Y2224" s="223"/>
      <c r="Z2224" s="223"/>
    </row>
    <row r="2225">
      <c r="A2225" s="223" t="str">
        <f>IFERROR(__xludf.DUMMYFUNCTION("""COMPUTED_VALUE"""),"Salty Waffle : Other Projects")</f>
        <v>Salty Waffle : Other Projects</v>
      </c>
      <c r="B2225" s="223" t="str">
        <f>IFERROR(__xludf.DUMMYFUNCTION("""COMPUTED_VALUE"""),"Salty Waffle")</f>
        <v>Salty Waffle</v>
      </c>
      <c r="C2225" s="223" t="str">
        <f>IFERROR(__xludf.DUMMYFUNCTION("""COMPUTED_VALUE"""),"Other Projects")</f>
        <v>Other Projects</v>
      </c>
      <c r="D2225" s="316">
        <f>IFERROR(__xludf.DUMMYFUNCTION("""COMPUTED_VALUE"""),44896.0)</f>
        <v>44896</v>
      </c>
      <c r="E2225" s="298"/>
      <c r="F2225" s="298"/>
      <c r="G2225" s="298"/>
      <c r="H2225" s="223"/>
      <c r="I2225" s="298">
        <f>IFERROR(__xludf.DUMMYFUNCTION("""COMPUTED_VALUE"""),298.97)</f>
        <v>298.97</v>
      </c>
      <c r="J2225" s="223" t="str">
        <f>IFERROR(__xludf.DUMMYFUNCTION("""COMPUTED_VALUE"""),"Fixed Project")</f>
        <v>Fixed Project</v>
      </c>
      <c r="K2225" s="317">
        <f>IFERROR(__xludf.DUMMYFUNCTION("""COMPUTED_VALUE"""),2022.0)</f>
        <v>2022</v>
      </c>
      <c r="L2225" s="298"/>
      <c r="M2225" s="223"/>
      <c r="N2225" s="223"/>
      <c r="O2225" s="223"/>
      <c r="P2225" s="223"/>
      <c r="Q2225" s="223"/>
      <c r="R2225" s="223"/>
      <c r="S2225" s="223"/>
      <c r="T2225" s="223"/>
      <c r="U2225" s="223"/>
      <c r="V2225" s="223"/>
      <c r="W2225" s="223"/>
      <c r="X2225" s="223"/>
      <c r="Y2225" s="223"/>
      <c r="Z2225" s="223"/>
    </row>
    <row r="2226">
      <c r="A2226" s="223" t="str">
        <f>IFERROR(__xludf.DUMMYFUNCTION("""COMPUTED_VALUE"""),"Villa del Mar : Enhanced Hosting &amp; WordPress Support")</f>
        <v>Villa del Mar : Enhanced Hosting &amp; WordPress Support</v>
      </c>
      <c r="B2226" s="223" t="str">
        <f>IFERROR(__xludf.DUMMYFUNCTION("""COMPUTED_VALUE"""),"Villa del Mar")</f>
        <v>Villa del Mar</v>
      </c>
      <c r="C2226" s="223" t="str">
        <f>IFERROR(__xludf.DUMMYFUNCTION("""COMPUTED_VALUE"""),"Enhanced Hosting &amp; WordPress Support")</f>
        <v>Enhanced Hosting &amp; WordPress Support</v>
      </c>
      <c r="D2226" s="316">
        <f>IFERROR(__xludf.DUMMYFUNCTION("""COMPUTED_VALUE"""),44896.0)</f>
        <v>44896</v>
      </c>
      <c r="E2226" s="298"/>
      <c r="F2226" s="298"/>
      <c r="G2226" s="298"/>
      <c r="H2226" s="223"/>
      <c r="I2226" s="298">
        <f>IFERROR(__xludf.DUMMYFUNCTION("""COMPUTED_VALUE"""),22.49)</f>
        <v>22.49</v>
      </c>
      <c r="J2226" s="223" t="str">
        <f>IFERROR(__xludf.DUMMYFUNCTION("""COMPUTED_VALUE"""),"Monthly")</f>
        <v>Monthly</v>
      </c>
      <c r="K2226" s="317">
        <f>IFERROR(__xludf.DUMMYFUNCTION("""COMPUTED_VALUE"""),2022.12)</f>
        <v>2022.12</v>
      </c>
      <c r="L2226" s="298"/>
      <c r="M2226" s="223"/>
      <c r="N2226" s="223"/>
      <c r="O2226" s="223"/>
      <c r="P2226" s="223"/>
      <c r="Q2226" s="223"/>
      <c r="R2226" s="223"/>
      <c r="S2226" s="223"/>
      <c r="T2226" s="223"/>
      <c r="U2226" s="223"/>
      <c r="V2226" s="223"/>
      <c r="W2226" s="223"/>
      <c r="X2226" s="223"/>
      <c r="Y2226" s="223"/>
      <c r="Z2226" s="223"/>
    </row>
    <row r="2227">
      <c r="A2227" s="223" t="str">
        <f>IFERROR(__xludf.DUMMYFUNCTION("""COMPUTED_VALUE"""),"Spraggs : Monthly Services")</f>
        <v>Spraggs : Monthly Services</v>
      </c>
      <c r="B2227" s="223" t="str">
        <f>IFERROR(__xludf.DUMMYFUNCTION("""COMPUTED_VALUE"""),"Spraggs")</f>
        <v>Spraggs</v>
      </c>
      <c r="C2227" s="223" t="str">
        <f>IFERROR(__xludf.DUMMYFUNCTION("""COMPUTED_VALUE"""),"Monthly Services")</f>
        <v>Monthly Services</v>
      </c>
      <c r="D2227" s="316">
        <f>IFERROR(__xludf.DUMMYFUNCTION("""COMPUTED_VALUE"""),44881.0)</f>
        <v>44881</v>
      </c>
      <c r="E2227" s="298"/>
      <c r="F2227" s="298"/>
      <c r="G2227" s="298"/>
      <c r="H2227" s="223"/>
      <c r="I2227" s="298">
        <f>IFERROR(__xludf.DUMMYFUNCTION("""COMPUTED_VALUE"""),50.0)</f>
        <v>50</v>
      </c>
      <c r="J2227" s="223" t="str">
        <f>IFERROR(__xludf.DUMMYFUNCTION("""COMPUTED_VALUE"""),"Monthly")</f>
        <v>Monthly</v>
      </c>
      <c r="K2227" s="317">
        <f>IFERROR(__xludf.DUMMYFUNCTION("""COMPUTED_VALUE"""),2022.11)</f>
        <v>2022.11</v>
      </c>
      <c r="L2227" s="298">
        <f>IFERROR(__xludf.DUMMYFUNCTION("""COMPUTED_VALUE"""),50.0)</f>
        <v>50</v>
      </c>
      <c r="M2227" s="223"/>
      <c r="N2227" s="223"/>
      <c r="O2227" s="223"/>
      <c r="P2227" s="223"/>
      <c r="Q2227" s="223"/>
      <c r="R2227" s="223"/>
      <c r="S2227" s="223"/>
      <c r="T2227" s="223"/>
      <c r="U2227" s="223"/>
      <c r="V2227" s="223"/>
      <c r="W2227" s="223"/>
      <c r="X2227" s="223"/>
      <c r="Y2227" s="223"/>
      <c r="Z2227" s="223"/>
    </row>
    <row r="2228">
      <c r="A2228" s="223" t="str">
        <f>IFERROR(__xludf.DUMMYFUNCTION("""COMPUTED_VALUE"""),"Venetian : Monthly Services")</f>
        <v>Venetian : Monthly Services</v>
      </c>
      <c r="B2228" s="223" t="str">
        <f>IFERROR(__xludf.DUMMYFUNCTION("""COMPUTED_VALUE"""),"Venetian")</f>
        <v>Venetian</v>
      </c>
      <c r="C2228" s="223" t="str">
        <f>IFERROR(__xludf.DUMMYFUNCTION("""COMPUTED_VALUE"""),"Monthly Services")</f>
        <v>Monthly Services</v>
      </c>
      <c r="D2228" s="316">
        <f>IFERROR(__xludf.DUMMYFUNCTION("""COMPUTED_VALUE"""),44885.0)</f>
        <v>44885</v>
      </c>
      <c r="E2228" s="298"/>
      <c r="F2228" s="298"/>
      <c r="G2228" s="298"/>
      <c r="H2228" s="223"/>
      <c r="I2228" s="298">
        <f>IFERROR(__xludf.DUMMYFUNCTION("""COMPUTED_VALUE"""),750.0)</f>
        <v>750</v>
      </c>
      <c r="J2228" s="223" t="str">
        <f>IFERROR(__xludf.DUMMYFUNCTION("""COMPUTED_VALUE"""),"Monthly")</f>
        <v>Monthly</v>
      </c>
      <c r="K2228" s="317">
        <f>IFERROR(__xludf.DUMMYFUNCTION("""COMPUTED_VALUE"""),2022.11)</f>
        <v>2022.11</v>
      </c>
      <c r="L2228" s="298">
        <f>IFERROR(__xludf.DUMMYFUNCTION("""COMPUTED_VALUE"""),750.0)</f>
        <v>750</v>
      </c>
      <c r="M2228" s="223"/>
      <c r="N2228" s="223"/>
      <c r="O2228" s="223"/>
      <c r="P2228" s="223"/>
      <c r="Q2228" s="223"/>
      <c r="R2228" s="223"/>
      <c r="S2228" s="223"/>
      <c r="T2228" s="223"/>
      <c r="U2228" s="223"/>
      <c r="V2228" s="223"/>
      <c r="W2228" s="223"/>
      <c r="X2228" s="223"/>
      <c r="Y2228" s="223"/>
      <c r="Z2228" s="223"/>
    </row>
    <row r="2229">
      <c r="A2229" s="223" t="str">
        <f>IFERROR(__xludf.DUMMYFUNCTION("""COMPUTED_VALUE"""),"Tuscany : Monthly Services")</f>
        <v>Tuscany : Monthly Services</v>
      </c>
      <c r="B2229" s="223" t="str">
        <f>IFERROR(__xludf.DUMMYFUNCTION("""COMPUTED_VALUE"""),"Tuscany")</f>
        <v>Tuscany</v>
      </c>
      <c r="C2229" s="223" t="str">
        <f>IFERROR(__xludf.DUMMYFUNCTION("""COMPUTED_VALUE"""),"Monthly Services")</f>
        <v>Monthly Services</v>
      </c>
      <c r="D2229" s="316">
        <f>IFERROR(__xludf.DUMMYFUNCTION("""COMPUTED_VALUE"""),44889.0)</f>
        <v>44889</v>
      </c>
      <c r="E2229" s="298"/>
      <c r="F2229" s="298"/>
      <c r="G2229" s="298"/>
      <c r="H2229" s="223"/>
      <c r="I2229" s="298">
        <f>IFERROR(__xludf.DUMMYFUNCTION("""COMPUTED_VALUE"""),750.0)</f>
        <v>750</v>
      </c>
      <c r="J2229" s="223" t="str">
        <f>IFERROR(__xludf.DUMMYFUNCTION("""COMPUTED_VALUE"""),"Monthly")</f>
        <v>Monthly</v>
      </c>
      <c r="K2229" s="317">
        <f>IFERROR(__xludf.DUMMYFUNCTION("""COMPUTED_VALUE"""),2022.11)</f>
        <v>2022.11</v>
      </c>
      <c r="L2229" s="298">
        <f>IFERROR(__xludf.DUMMYFUNCTION("""COMPUTED_VALUE"""),750.0)</f>
        <v>750</v>
      </c>
      <c r="M2229" s="223"/>
      <c r="N2229" s="223"/>
      <c r="O2229" s="223"/>
      <c r="P2229" s="223"/>
      <c r="Q2229" s="223"/>
      <c r="R2229" s="223"/>
      <c r="S2229" s="223"/>
      <c r="T2229" s="223"/>
      <c r="U2229" s="223"/>
      <c r="V2229" s="223"/>
      <c r="W2229" s="223"/>
      <c r="X2229" s="223"/>
      <c r="Y2229" s="223"/>
      <c r="Z2229" s="223"/>
    </row>
    <row r="2230">
      <c r="A2230" s="223" t="str">
        <f>IFERROR(__xludf.DUMMYFUNCTION("""COMPUTED_VALUE"""),"Venetian : Monthly Services")</f>
        <v>Venetian : Monthly Services</v>
      </c>
      <c r="B2230" s="223" t="str">
        <f>IFERROR(__xludf.DUMMYFUNCTION("""COMPUTED_VALUE"""),"Venetian")</f>
        <v>Venetian</v>
      </c>
      <c r="C2230" s="223" t="str">
        <f>IFERROR(__xludf.DUMMYFUNCTION("""COMPUTED_VALUE"""),"Monthly Services")</f>
        <v>Monthly Services</v>
      </c>
      <c r="D2230" s="316">
        <f>IFERROR(__xludf.DUMMYFUNCTION("""COMPUTED_VALUE"""),44896.0)</f>
        <v>44896</v>
      </c>
      <c r="E2230" s="298"/>
      <c r="F2230" s="298"/>
      <c r="G2230" s="298"/>
      <c r="H2230" s="223"/>
      <c r="I2230" s="298">
        <f>IFERROR(__xludf.DUMMYFUNCTION("""COMPUTED_VALUE"""),412.95)</f>
        <v>412.95</v>
      </c>
      <c r="J2230" s="223" t="str">
        <f>IFERROR(__xludf.DUMMYFUNCTION("""COMPUTED_VALUE"""),"Monthly")</f>
        <v>Monthly</v>
      </c>
      <c r="K2230" s="317">
        <f>IFERROR(__xludf.DUMMYFUNCTION("""COMPUTED_VALUE"""),2022.12)</f>
        <v>2022.12</v>
      </c>
      <c r="L2230" s="298">
        <f>IFERROR(__xludf.DUMMYFUNCTION("""COMPUTED_VALUE"""),412.95)</f>
        <v>412.95</v>
      </c>
      <c r="M2230" s="223"/>
      <c r="N2230" s="223"/>
      <c r="O2230" s="223"/>
      <c r="P2230" s="223"/>
      <c r="Q2230" s="223"/>
      <c r="R2230" s="223"/>
      <c r="S2230" s="223"/>
      <c r="T2230" s="223"/>
      <c r="U2230" s="223"/>
      <c r="V2230" s="223"/>
      <c r="W2230" s="223"/>
      <c r="X2230" s="223"/>
      <c r="Y2230" s="223"/>
      <c r="Z2230" s="223"/>
    </row>
    <row r="2231">
      <c r="A2231" s="223" t="str">
        <f>IFERROR(__xludf.DUMMYFUNCTION("""COMPUTED_VALUE"""),"Tuscany : Monthly Services")</f>
        <v>Tuscany : Monthly Services</v>
      </c>
      <c r="B2231" s="223" t="str">
        <f>IFERROR(__xludf.DUMMYFUNCTION("""COMPUTED_VALUE"""),"Tuscany")</f>
        <v>Tuscany</v>
      </c>
      <c r="C2231" s="223" t="str">
        <f>IFERROR(__xludf.DUMMYFUNCTION("""COMPUTED_VALUE"""),"Monthly Services")</f>
        <v>Monthly Services</v>
      </c>
      <c r="D2231" s="316">
        <f>IFERROR(__xludf.DUMMYFUNCTION("""COMPUTED_VALUE"""),44896.0)</f>
        <v>44896</v>
      </c>
      <c r="E2231" s="298"/>
      <c r="F2231" s="298"/>
      <c r="G2231" s="298"/>
      <c r="H2231" s="223"/>
      <c r="I2231" s="298">
        <f>IFERROR(__xludf.DUMMYFUNCTION("""COMPUTED_VALUE"""),220.33)</f>
        <v>220.33</v>
      </c>
      <c r="J2231" s="223" t="str">
        <f>IFERROR(__xludf.DUMMYFUNCTION("""COMPUTED_VALUE"""),"Monthly")</f>
        <v>Monthly</v>
      </c>
      <c r="K2231" s="317">
        <f>IFERROR(__xludf.DUMMYFUNCTION("""COMPUTED_VALUE"""),2022.12)</f>
        <v>2022.12</v>
      </c>
      <c r="L2231" s="298">
        <f>IFERROR(__xludf.DUMMYFUNCTION("""COMPUTED_VALUE"""),220.33)</f>
        <v>220.33</v>
      </c>
      <c r="M2231" s="223"/>
      <c r="N2231" s="223"/>
      <c r="O2231" s="223"/>
      <c r="P2231" s="223"/>
      <c r="Q2231" s="223"/>
      <c r="R2231" s="223"/>
      <c r="S2231" s="223"/>
      <c r="T2231" s="223"/>
      <c r="U2231" s="223"/>
      <c r="V2231" s="223"/>
      <c r="W2231" s="223"/>
      <c r="X2231" s="223"/>
      <c r="Y2231" s="223"/>
      <c r="Z2231" s="223"/>
    </row>
    <row r="2232">
      <c r="A2232" s="223" t="str">
        <f>IFERROR(__xludf.DUMMYFUNCTION("""COMPUTED_VALUE"""),"PlusROI : Overhead")</f>
        <v>PlusROI : Overhead</v>
      </c>
      <c r="B2232" s="223" t="str">
        <f>IFERROR(__xludf.DUMMYFUNCTION("""COMPUTED_VALUE"""),"PlusROI")</f>
        <v>PlusROI</v>
      </c>
      <c r="C2232" s="223" t="str">
        <f>IFERROR(__xludf.DUMMYFUNCTION("""COMPUTED_VALUE"""),"Overhead")</f>
        <v>Overhead</v>
      </c>
      <c r="D2232" s="316">
        <f>IFERROR(__xludf.DUMMYFUNCTION("""COMPUTED_VALUE"""),44904.0)</f>
        <v>44904</v>
      </c>
      <c r="E2232" s="298"/>
      <c r="F2232" s="298"/>
      <c r="G2232" s="298"/>
      <c r="H2232" s="223"/>
      <c r="I2232" s="298">
        <f>IFERROR(__xludf.DUMMYFUNCTION("""COMPUTED_VALUE"""),363.52)</f>
        <v>363.52</v>
      </c>
      <c r="J2232" s="223" t="str">
        <f>IFERROR(__xludf.DUMMYFUNCTION("""COMPUTED_VALUE"""),"Hourly")</f>
        <v>Hourly</v>
      </c>
      <c r="K2232" s="317">
        <f>IFERROR(__xludf.DUMMYFUNCTION("""COMPUTED_VALUE"""),2022.0)</f>
        <v>2022</v>
      </c>
      <c r="L2232" s="298"/>
      <c r="M2232" s="223"/>
      <c r="N2232" s="223"/>
      <c r="O2232" s="223"/>
      <c r="P2232" s="223"/>
      <c r="Q2232" s="223"/>
      <c r="R2232" s="223"/>
      <c r="S2232" s="223"/>
      <c r="T2232" s="223"/>
      <c r="U2232" s="223"/>
      <c r="V2232" s="223"/>
      <c r="W2232" s="223"/>
      <c r="X2232" s="223"/>
      <c r="Y2232" s="223"/>
      <c r="Z2232" s="223"/>
    </row>
    <row r="2233">
      <c r="A2233" s="223" t="str">
        <f>IFERROR(__xludf.DUMMYFUNCTION("""COMPUTED_VALUE"""),"OA Region 6 : Monthly Services")</f>
        <v>OA Region 6 : Monthly Services</v>
      </c>
      <c r="B2233" s="223" t="str">
        <f>IFERROR(__xludf.DUMMYFUNCTION("""COMPUTED_VALUE"""),"OA Region 6")</f>
        <v>OA Region 6</v>
      </c>
      <c r="C2233" s="223" t="str">
        <f>IFERROR(__xludf.DUMMYFUNCTION("""COMPUTED_VALUE"""),"Monthly Services")</f>
        <v>Monthly Services</v>
      </c>
      <c r="D2233" s="316">
        <f>IFERROR(__xludf.DUMMYFUNCTION("""COMPUTED_VALUE"""),44926.0)</f>
        <v>44926</v>
      </c>
      <c r="E2233" s="298"/>
      <c r="F2233" s="298"/>
      <c r="G2233" s="298"/>
      <c r="H2233" s="223"/>
      <c r="I2233" s="298">
        <f>IFERROR(__xludf.DUMMYFUNCTION("""COMPUTED_VALUE"""),150.0)</f>
        <v>150</v>
      </c>
      <c r="J2233" s="223" t="str">
        <f>IFERROR(__xludf.DUMMYFUNCTION("""COMPUTED_VALUE"""),"Monthly")</f>
        <v>Monthly</v>
      </c>
      <c r="K2233" s="317">
        <f>IFERROR(__xludf.DUMMYFUNCTION("""COMPUTED_VALUE"""),2022.12)</f>
        <v>2022.12</v>
      </c>
      <c r="L2233" s="298"/>
      <c r="M2233" s="223"/>
      <c r="N2233" s="223"/>
      <c r="O2233" s="223"/>
      <c r="P2233" s="223"/>
      <c r="Q2233" s="223"/>
      <c r="R2233" s="223"/>
      <c r="S2233" s="223"/>
      <c r="T2233" s="223"/>
      <c r="U2233" s="223"/>
      <c r="V2233" s="223"/>
      <c r="W2233" s="223"/>
      <c r="X2233" s="223"/>
      <c r="Y2233" s="223"/>
      <c r="Z2233" s="223"/>
    </row>
    <row r="2234">
      <c r="A2234" s="223" t="str">
        <f>IFERROR(__xludf.DUMMYFUNCTION("""COMPUTED_VALUE"""),"Viridian : Monthly Services")</f>
        <v>Viridian : Monthly Services</v>
      </c>
      <c r="B2234" s="223" t="str">
        <f>IFERROR(__xludf.DUMMYFUNCTION("""COMPUTED_VALUE"""),"Viridian")</f>
        <v>Viridian</v>
      </c>
      <c r="C2234" s="223" t="str">
        <f>IFERROR(__xludf.DUMMYFUNCTION("""COMPUTED_VALUE"""),"Monthly Services")</f>
        <v>Monthly Services</v>
      </c>
      <c r="D2234" s="316">
        <f>IFERROR(__xludf.DUMMYFUNCTION("""COMPUTED_VALUE"""),44926.0)</f>
        <v>44926</v>
      </c>
      <c r="E2234" s="298"/>
      <c r="F2234" s="298"/>
      <c r="G2234" s="298"/>
      <c r="H2234" s="223"/>
      <c r="I2234" s="298">
        <f>IFERROR(__xludf.DUMMYFUNCTION("""COMPUTED_VALUE"""),312.5)</f>
        <v>312.5</v>
      </c>
      <c r="J2234" s="223" t="str">
        <f>IFERROR(__xludf.DUMMYFUNCTION("""COMPUTED_VALUE"""),"Monthly")</f>
        <v>Monthly</v>
      </c>
      <c r="K2234" s="317">
        <f>IFERROR(__xludf.DUMMYFUNCTION("""COMPUTED_VALUE"""),2022.12)</f>
        <v>2022.12</v>
      </c>
      <c r="L2234" s="298"/>
      <c r="M2234" s="223"/>
      <c r="N2234" s="223"/>
      <c r="O2234" s="223"/>
      <c r="P2234" s="223"/>
      <c r="Q2234" s="223"/>
      <c r="R2234" s="223"/>
      <c r="S2234" s="223"/>
      <c r="T2234" s="223"/>
      <c r="U2234" s="223"/>
      <c r="V2234" s="223"/>
      <c r="W2234" s="223"/>
      <c r="X2234" s="223"/>
      <c r="Y2234" s="223"/>
      <c r="Z2234" s="223"/>
    </row>
    <row r="2235">
      <c r="A2235" s="223" t="str">
        <f>IFERROR(__xludf.DUMMYFUNCTION("""COMPUTED_VALUE"""),"Service First : Monthly Services")</f>
        <v>Service First : Monthly Services</v>
      </c>
      <c r="B2235" s="223" t="str">
        <f>IFERROR(__xludf.DUMMYFUNCTION("""COMPUTED_VALUE"""),"Service First")</f>
        <v>Service First</v>
      </c>
      <c r="C2235" s="223" t="str">
        <f>IFERROR(__xludf.DUMMYFUNCTION("""COMPUTED_VALUE"""),"Monthly Services")</f>
        <v>Monthly Services</v>
      </c>
      <c r="D2235" s="316">
        <f>IFERROR(__xludf.DUMMYFUNCTION("""COMPUTED_VALUE"""),44926.0)</f>
        <v>44926</v>
      </c>
      <c r="E2235" s="298"/>
      <c r="F2235" s="298"/>
      <c r="G2235" s="298"/>
      <c r="H2235" s="223"/>
      <c r="I2235" s="298">
        <f>IFERROR(__xludf.DUMMYFUNCTION("""COMPUTED_VALUE"""),125.0)</f>
        <v>125</v>
      </c>
      <c r="J2235" s="223" t="str">
        <f>IFERROR(__xludf.DUMMYFUNCTION("""COMPUTED_VALUE"""),"Monthly")</f>
        <v>Monthly</v>
      </c>
      <c r="K2235" s="317">
        <f>IFERROR(__xludf.DUMMYFUNCTION("""COMPUTED_VALUE"""),2022.12)</f>
        <v>2022.12</v>
      </c>
      <c r="L2235" s="298"/>
      <c r="M2235" s="223"/>
      <c r="N2235" s="223"/>
      <c r="O2235" s="223"/>
      <c r="P2235" s="223"/>
      <c r="Q2235" s="223"/>
      <c r="R2235" s="223"/>
      <c r="S2235" s="223"/>
      <c r="T2235" s="223"/>
      <c r="U2235" s="223"/>
      <c r="V2235" s="223"/>
      <c r="W2235" s="223"/>
      <c r="X2235" s="223"/>
      <c r="Y2235" s="223"/>
      <c r="Z2235" s="223"/>
    </row>
    <row r="2236">
      <c r="A2236" s="223" t="str">
        <f>IFERROR(__xludf.DUMMYFUNCTION("""COMPUTED_VALUE"""),"MortgagePal : Monthly Services")</f>
        <v>MortgagePal : Monthly Services</v>
      </c>
      <c r="B2236" s="223" t="str">
        <f>IFERROR(__xludf.DUMMYFUNCTION("""COMPUTED_VALUE"""),"MortgagePal")</f>
        <v>MortgagePal</v>
      </c>
      <c r="C2236" s="223" t="str">
        <f>IFERROR(__xludf.DUMMYFUNCTION("""COMPUTED_VALUE"""),"Monthly Services")</f>
        <v>Monthly Services</v>
      </c>
      <c r="D2236" s="316">
        <f>IFERROR(__xludf.DUMMYFUNCTION("""COMPUTED_VALUE"""),44926.0)</f>
        <v>44926</v>
      </c>
      <c r="E2236" s="298"/>
      <c r="F2236" s="298"/>
      <c r="G2236" s="298"/>
      <c r="H2236" s="223"/>
      <c r="I2236" s="298">
        <f>IFERROR(__xludf.DUMMYFUNCTION("""COMPUTED_VALUE"""),212.5)</f>
        <v>212.5</v>
      </c>
      <c r="J2236" s="223" t="str">
        <f>IFERROR(__xludf.DUMMYFUNCTION("""COMPUTED_VALUE"""),"Monthly")</f>
        <v>Monthly</v>
      </c>
      <c r="K2236" s="317">
        <f>IFERROR(__xludf.DUMMYFUNCTION("""COMPUTED_VALUE"""),2022.12)</f>
        <v>2022.12</v>
      </c>
      <c r="L2236" s="298"/>
      <c r="M2236" s="223"/>
      <c r="N2236" s="223"/>
      <c r="O2236" s="223"/>
      <c r="P2236" s="223"/>
      <c r="Q2236" s="223"/>
      <c r="R2236" s="223"/>
      <c r="S2236" s="223"/>
      <c r="T2236" s="223"/>
      <c r="U2236" s="223"/>
      <c r="V2236" s="223"/>
      <c r="W2236" s="223"/>
      <c r="X2236" s="223"/>
      <c r="Y2236" s="223"/>
      <c r="Z2236" s="223"/>
    </row>
    <row r="2237">
      <c r="A2237" s="223" t="str">
        <f>IFERROR(__xludf.DUMMYFUNCTION("""COMPUTED_VALUE"""),"Wallack's Art Supplies : Monthly Services")</f>
        <v>Wallack's Art Supplies : Monthly Services</v>
      </c>
      <c r="B2237" s="223" t="str">
        <f>IFERROR(__xludf.DUMMYFUNCTION("""COMPUTED_VALUE"""),"Wallack's Art Supplies")</f>
        <v>Wallack's Art Supplies</v>
      </c>
      <c r="C2237" s="223" t="str">
        <f>IFERROR(__xludf.DUMMYFUNCTION("""COMPUTED_VALUE"""),"Monthly Services")</f>
        <v>Monthly Services</v>
      </c>
      <c r="D2237" s="316">
        <f>IFERROR(__xludf.DUMMYFUNCTION("""COMPUTED_VALUE"""),44926.0)</f>
        <v>44926</v>
      </c>
      <c r="E2237" s="298"/>
      <c r="F2237" s="298"/>
      <c r="G2237" s="298"/>
      <c r="H2237" s="223"/>
      <c r="I2237" s="298">
        <f>IFERROR(__xludf.DUMMYFUNCTION("""COMPUTED_VALUE"""),262.5)</f>
        <v>262.5</v>
      </c>
      <c r="J2237" s="223" t="str">
        <f>IFERROR(__xludf.DUMMYFUNCTION("""COMPUTED_VALUE"""),"Monthly")</f>
        <v>Monthly</v>
      </c>
      <c r="K2237" s="317">
        <f>IFERROR(__xludf.DUMMYFUNCTION("""COMPUTED_VALUE"""),2022.12)</f>
        <v>2022.12</v>
      </c>
      <c r="L2237" s="298"/>
      <c r="M2237" s="223"/>
      <c r="N2237" s="223"/>
      <c r="O2237" s="223"/>
      <c r="P2237" s="223"/>
      <c r="Q2237" s="223"/>
      <c r="R2237" s="223"/>
      <c r="S2237" s="223"/>
      <c r="T2237" s="223"/>
      <c r="U2237" s="223"/>
      <c r="V2237" s="223"/>
      <c r="W2237" s="223"/>
      <c r="X2237" s="223"/>
      <c r="Y2237" s="223"/>
      <c r="Z2237" s="223"/>
    </row>
    <row r="2238">
      <c r="A2238" s="223" t="str">
        <f>IFERROR(__xludf.DUMMYFUNCTION("""COMPUTED_VALUE"""),"Anook Athletics : Monthly Services")</f>
        <v>Anook Athletics : Monthly Services</v>
      </c>
      <c r="B2238" s="223" t="str">
        <f>IFERROR(__xludf.DUMMYFUNCTION("""COMPUTED_VALUE"""),"Anook Athletics")</f>
        <v>Anook Athletics</v>
      </c>
      <c r="C2238" s="223" t="str">
        <f>IFERROR(__xludf.DUMMYFUNCTION("""COMPUTED_VALUE"""),"Monthly Services")</f>
        <v>Monthly Services</v>
      </c>
      <c r="D2238" s="316">
        <f>IFERROR(__xludf.DUMMYFUNCTION("""COMPUTED_VALUE"""),44926.0)</f>
        <v>44926</v>
      </c>
      <c r="E2238" s="298"/>
      <c r="F2238" s="298"/>
      <c r="G2238" s="298"/>
      <c r="H2238" s="223"/>
      <c r="I2238" s="298">
        <f>IFERROR(__xludf.DUMMYFUNCTION("""COMPUTED_VALUE"""),500.0)</f>
        <v>500</v>
      </c>
      <c r="J2238" s="223" t="str">
        <f>IFERROR(__xludf.DUMMYFUNCTION("""COMPUTED_VALUE"""),"Monthly")</f>
        <v>Monthly</v>
      </c>
      <c r="K2238" s="317">
        <f>IFERROR(__xludf.DUMMYFUNCTION("""COMPUTED_VALUE"""),2022.12)</f>
        <v>2022.12</v>
      </c>
      <c r="L2238" s="298"/>
      <c r="M2238" s="223"/>
      <c r="N2238" s="223"/>
      <c r="O2238" s="223"/>
      <c r="P2238" s="223"/>
      <c r="Q2238" s="223"/>
      <c r="R2238" s="223"/>
      <c r="S2238" s="223"/>
      <c r="T2238" s="223"/>
      <c r="U2238" s="223"/>
      <c r="V2238" s="223"/>
      <c r="W2238" s="223"/>
      <c r="X2238" s="223"/>
      <c r="Y2238" s="223"/>
      <c r="Z2238" s="223"/>
    </row>
    <row r="2239">
      <c r="A2239" s="223" t="str">
        <f>IFERROR(__xludf.DUMMYFUNCTION("""COMPUTED_VALUE"""),"PMDI : Monthly Services")</f>
        <v>PMDI : Monthly Services</v>
      </c>
      <c r="B2239" s="223" t="str">
        <f>IFERROR(__xludf.DUMMYFUNCTION("""COMPUTED_VALUE"""),"PMDI")</f>
        <v>PMDI</v>
      </c>
      <c r="C2239" s="223" t="str">
        <f>IFERROR(__xludf.DUMMYFUNCTION("""COMPUTED_VALUE"""),"Monthly Services")</f>
        <v>Monthly Services</v>
      </c>
      <c r="D2239" s="316">
        <f>IFERROR(__xludf.DUMMYFUNCTION("""COMPUTED_VALUE"""),44926.0)</f>
        <v>44926</v>
      </c>
      <c r="E2239" s="298"/>
      <c r="F2239" s="298"/>
      <c r="G2239" s="298"/>
      <c r="H2239" s="223"/>
      <c r="I2239" s="298">
        <f>IFERROR(__xludf.DUMMYFUNCTION("""COMPUTED_VALUE"""),137.5)</f>
        <v>137.5</v>
      </c>
      <c r="J2239" s="223" t="str">
        <f>IFERROR(__xludf.DUMMYFUNCTION("""COMPUTED_VALUE"""),"Monthly")</f>
        <v>Monthly</v>
      </c>
      <c r="K2239" s="317">
        <f>IFERROR(__xludf.DUMMYFUNCTION("""COMPUTED_VALUE"""),2022.12)</f>
        <v>2022.12</v>
      </c>
      <c r="L2239" s="298"/>
      <c r="M2239" s="223"/>
      <c r="N2239" s="223"/>
      <c r="O2239" s="223"/>
      <c r="P2239" s="223"/>
      <c r="Q2239" s="223"/>
      <c r="R2239" s="223"/>
      <c r="S2239" s="223"/>
      <c r="T2239" s="223"/>
      <c r="U2239" s="223"/>
      <c r="V2239" s="223"/>
      <c r="W2239" s="223"/>
      <c r="X2239" s="223"/>
      <c r="Y2239" s="223"/>
      <c r="Z2239" s="223"/>
    </row>
    <row r="2240">
      <c r="A2240" s="223" t="str">
        <f>IFERROR(__xludf.DUMMYFUNCTION("""COMPUTED_VALUE"""),"Big Hammer Wines : Google Search and Shopping Overhaul")</f>
        <v>Big Hammer Wines : Google Search and Shopping Overhaul</v>
      </c>
      <c r="B2240" s="223" t="str">
        <f>IFERROR(__xludf.DUMMYFUNCTION("""COMPUTED_VALUE"""),"Big Hammer Wines")</f>
        <v>Big Hammer Wines</v>
      </c>
      <c r="C2240" s="223" t="str">
        <f>IFERROR(__xludf.DUMMYFUNCTION("""COMPUTED_VALUE"""),"Google Search and Shopping Overhaul")</f>
        <v>Google Search and Shopping Overhaul</v>
      </c>
      <c r="D2240" s="316">
        <f>IFERROR(__xludf.DUMMYFUNCTION("""COMPUTED_VALUE"""),44926.0)</f>
        <v>44926</v>
      </c>
      <c r="E2240" s="298"/>
      <c r="F2240" s="298"/>
      <c r="G2240" s="298"/>
      <c r="H2240" s="223"/>
      <c r="I2240" s="298">
        <f>IFERROR(__xludf.DUMMYFUNCTION("""COMPUTED_VALUE"""),237.5)</f>
        <v>237.5</v>
      </c>
      <c r="J2240" s="223" t="str">
        <f>IFERROR(__xludf.DUMMYFUNCTION("""COMPUTED_VALUE"""),"Fixed Project")</f>
        <v>Fixed Project</v>
      </c>
      <c r="K2240" s="317">
        <f>IFERROR(__xludf.DUMMYFUNCTION("""COMPUTED_VALUE"""),2022.0)</f>
        <v>2022</v>
      </c>
      <c r="L2240" s="298"/>
      <c r="M2240" s="223"/>
      <c r="N2240" s="223"/>
      <c r="O2240" s="223"/>
      <c r="P2240" s="223"/>
      <c r="Q2240" s="223"/>
      <c r="R2240" s="223"/>
      <c r="S2240" s="223"/>
      <c r="T2240" s="223"/>
      <c r="U2240" s="223"/>
      <c r="V2240" s="223"/>
      <c r="W2240" s="223"/>
      <c r="X2240" s="223"/>
      <c r="Y2240" s="223"/>
      <c r="Z2240" s="223"/>
    </row>
    <row r="2241">
      <c r="A2241" s="223" t="str">
        <f>IFERROR(__xludf.DUMMYFUNCTION("""COMPUTED_VALUE"""),"Tugwell : Quarterly PPC Mgmt")</f>
        <v>Tugwell : Quarterly PPC Mgmt</v>
      </c>
      <c r="B2241" s="223" t="str">
        <f>IFERROR(__xludf.DUMMYFUNCTION("""COMPUTED_VALUE"""),"Tugwell")</f>
        <v>Tugwell</v>
      </c>
      <c r="C2241" s="223" t="str">
        <f>IFERROR(__xludf.DUMMYFUNCTION("""COMPUTED_VALUE"""),"Quarterly PPC Mgmt")</f>
        <v>Quarterly PPC Mgmt</v>
      </c>
      <c r="D2241" s="316">
        <f>IFERROR(__xludf.DUMMYFUNCTION("""COMPUTED_VALUE"""),44926.0)</f>
        <v>44926</v>
      </c>
      <c r="E2241" s="298"/>
      <c r="F2241" s="298"/>
      <c r="G2241" s="298"/>
      <c r="H2241" s="223"/>
      <c r="I2241" s="298">
        <f>IFERROR(__xludf.DUMMYFUNCTION("""COMPUTED_VALUE"""),44.0)</f>
        <v>44</v>
      </c>
      <c r="J2241" s="223" t="str">
        <f>IFERROR(__xludf.DUMMYFUNCTION("""COMPUTED_VALUE"""),"Not Set")</f>
        <v>Not Set</v>
      </c>
      <c r="K2241" s="317">
        <f>IFERROR(__xludf.DUMMYFUNCTION("""COMPUTED_VALUE"""),2022.0)</f>
        <v>2022</v>
      </c>
      <c r="L2241" s="298"/>
      <c r="M2241" s="223"/>
      <c r="N2241" s="223"/>
      <c r="O2241" s="223"/>
      <c r="P2241" s="223"/>
      <c r="Q2241" s="223"/>
      <c r="R2241" s="223"/>
      <c r="S2241" s="223"/>
      <c r="T2241" s="223"/>
      <c r="U2241" s="223"/>
      <c r="V2241" s="223"/>
      <c r="W2241" s="223"/>
      <c r="X2241" s="223"/>
      <c r="Y2241" s="223"/>
      <c r="Z2241" s="223"/>
    </row>
    <row r="2242">
      <c r="A2242" s="223" t="str">
        <f>IFERROR(__xludf.DUMMYFUNCTION("""COMPUTED_VALUE"""),"HSJ Lawyers : Monthly Services")</f>
        <v>HSJ Lawyers : Monthly Services</v>
      </c>
      <c r="B2242" s="223" t="str">
        <f>IFERROR(__xludf.DUMMYFUNCTION("""COMPUTED_VALUE"""),"HSJ Lawyers")</f>
        <v>HSJ Lawyers</v>
      </c>
      <c r="C2242" s="223" t="str">
        <f>IFERROR(__xludf.DUMMYFUNCTION("""COMPUTED_VALUE"""),"Monthly Services")</f>
        <v>Monthly Services</v>
      </c>
      <c r="D2242" s="316">
        <f>IFERROR(__xludf.DUMMYFUNCTION("""COMPUTED_VALUE"""),44926.0)</f>
        <v>44926</v>
      </c>
      <c r="E2242" s="298"/>
      <c r="F2242" s="298"/>
      <c r="G2242" s="298"/>
      <c r="H2242" s="223"/>
      <c r="I2242" s="298">
        <f>IFERROR(__xludf.DUMMYFUNCTION("""COMPUTED_VALUE"""),225.0)</f>
        <v>225</v>
      </c>
      <c r="J2242" s="223" t="str">
        <f>IFERROR(__xludf.DUMMYFUNCTION("""COMPUTED_VALUE"""),"Monthly")</f>
        <v>Monthly</v>
      </c>
      <c r="K2242" s="317">
        <f>IFERROR(__xludf.DUMMYFUNCTION("""COMPUTED_VALUE"""),2022.12)</f>
        <v>2022.12</v>
      </c>
      <c r="L2242" s="298"/>
      <c r="M2242" s="223"/>
      <c r="N2242" s="223"/>
      <c r="O2242" s="223"/>
      <c r="P2242" s="223"/>
      <c r="Q2242" s="223"/>
      <c r="R2242" s="223"/>
      <c r="S2242" s="223"/>
      <c r="T2242" s="223"/>
      <c r="U2242" s="223"/>
      <c r="V2242" s="223"/>
      <c r="W2242" s="223"/>
      <c r="X2242" s="223"/>
      <c r="Y2242" s="223"/>
      <c r="Z2242" s="223"/>
    </row>
    <row r="2243">
      <c r="A2243" s="223" t="str">
        <f>IFERROR(__xludf.DUMMYFUNCTION("""COMPUTED_VALUE"""),"Spraggs : Monthly Services")</f>
        <v>Spraggs : Monthly Services</v>
      </c>
      <c r="B2243" s="223" t="str">
        <f>IFERROR(__xludf.DUMMYFUNCTION("""COMPUTED_VALUE"""),"Spraggs")</f>
        <v>Spraggs</v>
      </c>
      <c r="C2243" s="223" t="str">
        <f>IFERROR(__xludf.DUMMYFUNCTION("""COMPUTED_VALUE"""),"Monthly Services")</f>
        <v>Monthly Services</v>
      </c>
      <c r="D2243" s="316">
        <f>IFERROR(__xludf.DUMMYFUNCTION("""COMPUTED_VALUE"""),44926.0)</f>
        <v>44926</v>
      </c>
      <c r="E2243" s="298"/>
      <c r="F2243" s="298"/>
      <c r="G2243" s="298"/>
      <c r="H2243" s="223"/>
      <c r="I2243" s="298">
        <f>IFERROR(__xludf.DUMMYFUNCTION("""COMPUTED_VALUE"""),300.0)</f>
        <v>300</v>
      </c>
      <c r="J2243" s="223" t="str">
        <f>IFERROR(__xludf.DUMMYFUNCTION("""COMPUTED_VALUE"""),"Monthly")</f>
        <v>Monthly</v>
      </c>
      <c r="K2243" s="317">
        <f>IFERROR(__xludf.DUMMYFUNCTION("""COMPUTED_VALUE"""),2022.12)</f>
        <v>2022.12</v>
      </c>
      <c r="L2243" s="298"/>
      <c r="M2243" s="223"/>
      <c r="N2243" s="223"/>
      <c r="O2243" s="223"/>
      <c r="P2243" s="223"/>
      <c r="Q2243" s="223"/>
      <c r="R2243" s="223"/>
      <c r="S2243" s="223"/>
      <c r="T2243" s="223"/>
      <c r="U2243" s="223"/>
      <c r="V2243" s="223"/>
      <c r="W2243" s="223"/>
      <c r="X2243" s="223"/>
      <c r="Y2243" s="223"/>
      <c r="Z2243" s="223"/>
    </row>
    <row r="2244">
      <c r="A2244" s="223" t="str">
        <f>IFERROR(__xludf.DUMMYFUNCTION("""COMPUTED_VALUE"""),"Crisp Media : Monthly Genus Google PPC Mgmt")</f>
        <v>Crisp Media : Monthly Genus Google PPC Mgmt</v>
      </c>
      <c r="B2244" s="223" t="str">
        <f>IFERROR(__xludf.DUMMYFUNCTION("""COMPUTED_VALUE"""),"Crisp Media")</f>
        <v>Crisp Media</v>
      </c>
      <c r="C2244" s="223" t="str">
        <f>IFERROR(__xludf.DUMMYFUNCTION("""COMPUTED_VALUE"""),"Monthly Genus Google PPC Mgmt")</f>
        <v>Monthly Genus Google PPC Mgmt</v>
      </c>
      <c r="D2244" s="316">
        <f>IFERROR(__xludf.DUMMYFUNCTION("""COMPUTED_VALUE"""),44926.0)</f>
        <v>44926</v>
      </c>
      <c r="E2244" s="298"/>
      <c r="F2244" s="298"/>
      <c r="G2244" s="298"/>
      <c r="H2244" s="223"/>
      <c r="I2244" s="298">
        <f>IFERROR(__xludf.DUMMYFUNCTION("""COMPUTED_VALUE"""),175.0)</f>
        <v>175</v>
      </c>
      <c r="J2244" s="223" t="str">
        <f>IFERROR(__xludf.DUMMYFUNCTION("""COMPUTED_VALUE"""),"Monthly")</f>
        <v>Monthly</v>
      </c>
      <c r="K2244" s="317">
        <f>IFERROR(__xludf.DUMMYFUNCTION("""COMPUTED_VALUE"""),2022.12)</f>
        <v>2022.12</v>
      </c>
      <c r="L2244" s="298"/>
      <c r="M2244" s="223"/>
      <c r="N2244" s="223"/>
      <c r="O2244" s="223"/>
      <c r="P2244" s="223"/>
      <c r="Q2244" s="223"/>
      <c r="R2244" s="223"/>
      <c r="S2244" s="223"/>
      <c r="T2244" s="223"/>
      <c r="U2244" s="223"/>
      <c r="V2244" s="223"/>
      <c r="W2244" s="223"/>
      <c r="X2244" s="223"/>
      <c r="Y2244" s="223"/>
      <c r="Z2244" s="223"/>
    </row>
    <row r="2245">
      <c r="A2245" s="223" t="str">
        <f>IFERROR(__xludf.DUMMYFUNCTION("""COMPUTED_VALUE"""),"PlusROI : Marketing")</f>
        <v>PlusROI : Marketing</v>
      </c>
      <c r="B2245" s="223" t="str">
        <f>IFERROR(__xludf.DUMMYFUNCTION("""COMPUTED_VALUE"""),"PlusROI")</f>
        <v>PlusROI</v>
      </c>
      <c r="C2245" s="223" t="str">
        <f>IFERROR(__xludf.DUMMYFUNCTION("""COMPUTED_VALUE"""),"Marketing")</f>
        <v>Marketing</v>
      </c>
      <c r="D2245" s="316">
        <f>IFERROR(__xludf.DUMMYFUNCTION("""COMPUTED_VALUE"""),44926.0)</f>
        <v>44926</v>
      </c>
      <c r="E2245" s="298"/>
      <c r="F2245" s="298"/>
      <c r="G2245" s="298"/>
      <c r="H2245" s="223"/>
      <c r="I2245" s="298">
        <f>IFERROR(__xludf.DUMMYFUNCTION("""COMPUTED_VALUE"""),400.0)</f>
        <v>400</v>
      </c>
      <c r="J2245" s="223" t="str">
        <f>IFERROR(__xludf.DUMMYFUNCTION("""COMPUTED_VALUE"""),"Hourly")</f>
        <v>Hourly</v>
      </c>
      <c r="K2245" s="317">
        <f>IFERROR(__xludf.DUMMYFUNCTION("""COMPUTED_VALUE"""),2022.0)</f>
        <v>2022</v>
      </c>
      <c r="L2245" s="298"/>
      <c r="M2245" s="223"/>
      <c r="N2245" s="223"/>
      <c r="O2245" s="223"/>
      <c r="P2245" s="223"/>
      <c r="Q2245" s="223"/>
      <c r="R2245" s="223"/>
      <c r="S2245" s="223"/>
      <c r="T2245" s="223"/>
      <c r="U2245" s="223"/>
      <c r="V2245" s="223"/>
      <c r="W2245" s="223"/>
      <c r="X2245" s="223"/>
      <c r="Y2245" s="223"/>
      <c r="Z2245" s="223"/>
    </row>
    <row r="2246">
      <c r="A2246" s="223" t="str">
        <f>IFERROR(__xludf.DUMMYFUNCTION("""COMPUTED_VALUE"""),"Spraggs : Monthly Services")</f>
        <v>Spraggs : Monthly Services</v>
      </c>
      <c r="B2246" s="223" t="str">
        <f>IFERROR(__xludf.DUMMYFUNCTION("""COMPUTED_VALUE"""),"Spraggs")</f>
        <v>Spraggs</v>
      </c>
      <c r="C2246" s="223" t="str">
        <f>IFERROR(__xludf.DUMMYFUNCTION("""COMPUTED_VALUE"""),"Monthly Services")</f>
        <v>Monthly Services</v>
      </c>
      <c r="D2246" s="316">
        <f>IFERROR(__xludf.DUMMYFUNCTION("""COMPUTED_VALUE"""),44926.0)</f>
        <v>44926</v>
      </c>
      <c r="E2246" s="298"/>
      <c r="F2246" s="298"/>
      <c r="G2246" s="298"/>
      <c r="H2246" s="223"/>
      <c r="I2246" s="298">
        <f>IFERROR(__xludf.DUMMYFUNCTION("""COMPUTED_VALUE"""),275.0)</f>
        <v>275</v>
      </c>
      <c r="J2246" s="223" t="str">
        <f>IFERROR(__xludf.DUMMYFUNCTION("""COMPUTED_VALUE"""),"Monthly")</f>
        <v>Monthly</v>
      </c>
      <c r="K2246" s="317">
        <f>IFERROR(__xludf.DUMMYFUNCTION("""COMPUTED_VALUE"""),2022.12)</f>
        <v>2022.12</v>
      </c>
      <c r="L2246" s="298"/>
      <c r="M2246" s="223"/>
      <c r="N2246" s="223"/>
      <c r="O2246" s="223"/>
      <c r="P2246" s="223"/>
      <c r="Q2246" s="223"/>
      <c r="R2246" s="223"/>
      <c r="S2246" s="223"/>
      <c r="T2246" s="223"/>
      <c r="U2246" s="223"/>
      <c r="V2246" s="223"/>
      <c r="W2246" s="223"/>
      <c r="X2246" s="223"/>
      <c r="Y2246" s="223"/>
      <c r="Z2246" s="223"/>
    </row>
    <row r="2247">
      <c r="A2247" s="223" t="str">
        <f>IFERROR(__xludf.DUMMYFUNCTION("""COMPUTED_VALUE"""),"MortgagePal : Monthly Services")</f>
        <v>MortgagePal : Monthly Services</v>
      </c>
      <c r="B2247" s="223" t="str">
        <f>IFERROR(__xludf.DUMMYFUNCTION("""COMPUTED_VALUE"""),"MortgagePal")</f>
        <v>MortgagePal</v>
      </c>
      <c r="C2247" s="223" t="str">
        <f>IFERROR(__xludf.DUMMYFUNCTION("""COMPUTED_VALUE"""),"Monthly Services")</f>
        <v>Monthly Services</v>
      </c>
      <c r="D2247" s="316">
        <f>IFERROR(__xludf.DUMMYFUNCTION("""COMPUTED_VALUE"""),44926.0)</f>
        <v>44926</v>
      </c>
      <c r="E2247" s="298"/>
      <c r="F2247" s="298"/>
      <c r="G2247" s="298"/>
      <c r="H2247" s="223"/>
      <c r="I2247" s="298">
        <f>IFERROR(__xludf.DUMMYFUNCTION("""COMPUTED_VALUE"""),45.0)</f>
        <v>45</v>
      </c>
      <c r="J2247" s="223" t="str">
        <f>IFERROR(__xludf.DUMMYFUNCTION("""COMPUTED_VALUE"""),"Monthly")</f>
        <v>Monthly</v>
      </c>
      <c r="K2247" s="317">
        <f>IFERROR(__xludf.DUMMYFUNCTION("""COMPUTED_VALUE"""),2022.12)</f>
        <v>2022.12</v>
      </c>
      <c r="L2247" s="298"/>
      <c r="M2247" s="223"/>
      <c r="N2247" s="223"/>
      <c r="O2247" s="223"/>
      <c r="P2247" s="223"/>
      <c r="Q2247" s="223"/>
      <c r="R2247" s="223"/>
      <c r="S2247" s="223"/>
      <c r="T2247" s="223"/>
      <c r="U2247" s="223"/>
      <c r="V2247" s="223"/>
      <c r="W2247" s="223"/>
      <c r="X2247" s="223"/>
      <c r="Y2247" s="223"/>
      <c r="Z2247" s="223"/>
    </row>
    <row r="2248">
      <c r="A2248" s="223" t="str">
        <f>IFERROR(__xludf.DUMMYFUNCTION("""COMPUTED_VALUE"""),"Service First : Monthly Services")</f>
        <v>Service First : Monthly Services</v>
      </c>
      <c r="B2248" s="223" t="str">
        <f>IFERROR(__xludf.DUMMYFUNCTION("""COMPUTED_VALUE"""),"Service First")</f>
        <v>Service First</v>
      </c>
      <c r="C2248" s="223" t="str">
        <f>IFERROR(__xludf.DUMMYFUNCTION("""COMPUTED_VALUE"""),"Monthly Services")</f>
        <v>Monthly Services</v>
      </c>
      <c r="D2248" s="316">
        <f>IFERROR(__xludf.DUMMYFUNCTION("""COMPUTED_VALUE"""),44926.0)</f>
        <v>44926</v>
      </c>
      <c r="E2248" s="298"/>
      <c r="F2248" s="298"/>
      <c r="G2248" s="298"/>
      <c r="H2248" s="223"/>
      <c r="I2248" s="298">
        <f>IFERROR(__xludf.DUMMYFUNCTION("""COMPUTED_VALUE"""),30.0)</f>
        <v>30</v>
      </c>
      <c r="J2248" s="223" t="str">
        <f>IFERROR(__xludf.DUMMYFUNCTION("""COMPUTED_VALUE"""),"Monthly")</f>
        <v>Monthly</v>
      </c>
      <c r="K2248" s="317">
        <f>IFERROR(__xludf.DUMMYFUNCTION("""COMPUTED_VALUE"""),2022.12)</f>
        <v>2022.12</v>
      </c>
      <c r="L2248" s="298"/>
      <c r="M2248" s="223"/>
      <c r="N2248" s="223"/>
      <c r="O2248" s="223"/>
      <c r="P2248" s="223"/>
      <c r="Q2248" s="223"/>
      <c r="R2248" s="223"/>
      <c r="S2248" s="223"/>
      <c r="T2248" s="223"/>
      <c r="U2248" s="223"/>
      <c r="V2248" s="223"/>
      <c r="W2248" s="223"/>
      <c r="X2248" s="223"/>
      <c r="Y2248" s="223"/>
      <c r="Z2248" s="223"/>
    </row>
    <row r="2249">
      <c r="A2249" s="223" t="str">
        <f>IFERROR(__xludf.DUMMYFUNCTION("""COMPUTED_VALUE"""),"HSJ Lawyers : Monthly Services")</f>
        <v>HSJ Lawyers : Monthly Services</v>
      </c>
      <c r="B2249" s="223" t="str">
        <f>IFERROR(__xludf.DUMMYFUNCTION("""COMPUTED_VALUE"""),"HSJ Lawyers")</f>
        <v>HSJ Lawyers</v>
      </c>
      <c r="C2249" s="223" t="str">
        <f>IFERROR(__xludf.DUMMYFUNCTION("""COMPUTED_VALUE"""),"Monthly Services")</f>
        <v>Monthly Services</v>
      </c>
      <c r="D2249" s="316">
        <f>IFERROR(__xludf.DUMMYFUNCTION("""COMPUTED_VALUE"""),44926.0)</f>
        <v>44926</v>
      </c>
      <c r="E2249" s="298"/>
      <c r="F2249" s="298"/>
      <c r="G2249" s="298"/>
      <c r="H2249" s="223"/>
      <c r="I2249" s="298">
        <f>IFERROR(__xludf.DUMMYFUNCTION("""COMPUTED_VALUE"""),75.0)</f>
        <v>75</v>
      </c>
      <c r="J2249" s="223" t="str">
        <f>IFERROR(__xludf.DUMMYFUNCTION("""COMPUTED_VALUE"""),"Monthly")</f>
        <v>Monthly</v>
      </c>
      <c r="K2249" s="317">
        <f>IFERROR(__xludf.DUMMYFUNCTION("""COMPUTED_VALUE"""),2022.12)</f>
        <v>2022.12</v>
      </c>
      <c r="L2249" s="298"/>
      <c r="M2249" s="223"/>
      <c r="N2249" s="223"/>
      <c r="O2249" s="223"/>
      <c r="P2249" s="223"/>
      <c r="Q2249" s="223"/>
      <c r="R2249" s="223"/>
      <c r="S2249" s="223"/>
      <c r="T2249" s="223"/>
      <c r="U2249" s="223"/>
      <c r="V2249" s="223"/>
      <c r="W2249" s="223"/>
      <c r="X2249" s="223"/>
      <c r="Y2249" s="223"/>
      <c r="Z2249" s="223"/>
    </row>
    <row r="2250">
      <c r="A2250" s="223" t="str">
        <f>IFERROR(__xludf.DUMMYFUNCTION("""COMPUTED_VALUE"""),"Booginhead : Monthly Services")</f>
        <v>Booginhead : Monthly Services</v>
      </c>
      <c r="B2250" s="223" t="str">
        <f>IFERROR(__xludf.DUMMYFUNCTION("""COMPUTED_VALUE"""),"Booginhead")</f>
        <v>Booginhead</v>
      </c>
      <c r="C2250" s="223" t="str">
        <f>IFERROR(__xludf.DUMMYFUNCTION("""COMPUTED_VALUE"""),"Monthly Services")</f>
        <v>Monthly Services</v>
      </c>
      <c r="D2250" s="316">
        <f>IFERROR(__xludf.DUMMYFUNCTION("""COMPUTED_VALUE"""),44926.0)</f>
        <v>44926</v>
      </c>
      <c r="E2250" s="298"/>
      <c r="F2250" s="298"/>
      <c r="G2250" s="298"/>
      <c r="H2250" s="223"/>
      <c r="I2250" s="298">
        <f>IFERROR(__xludf.DUMMYFUNCTION("""COMPUTED_VALUE"""),170.0)</f>
        <v>170</v>
      </c>
      <c r="J2250" s="223" t="str">
        <f>IFERROR(__xludf.DUMMYFUNCTION("""COMPUTED_VALUE"""),"Monthly")</f>
        <v>Monthly</v>
      </c>
      <c r="K2250" s="317">
        <f>IFERROR(__xludf.DUMMYFUNCTION("""COMPUTED_VALUE"""),2022.12)</f>
        <v>2022.12</v>
      </c>
      <c r="L2250" s="298"/>
      <c r="M2250" s="223"/>
      <c r="N2250" s="223"/>
      <c r="O2250" s="223"/>
      <c r="P2250" s="223"/>
      <c r="Q2250" s="223"/>
      <c r="R2250" s="223"/>
      <c r="S2250" s="223"/>
      <c r="T2250" s="223"/>
      <c r="U2250" s="223"/>
      <c r="V2250" s="223"/>
      <c r="W2250" s="223"/>
      <c r="X2250" s="223"/>
      <c r="Y2250" s="223"/>
      <c r="Z2250" s="223"/>
    </row>
    <row r="2251">
      <c r="A2251" s="223" t="str">
        <f>IFERROR(__xludf.DUMMYFUNCTION("""COMPUTED_VALUE"""),"Hastings House : Monthly Services")</f>
        <v>Hastings House : Monthly Services</v>
      </c>
      <c r="B2251" s="223" t="str">
        <f>IFERROR(__xludf.DUMMYFUNCTION("""COMPUTED_VALUE"""),"Hastings House")</f>
        <v>Hastings House</v>
      </c>
      <c r="C2251" s="223" t="str">
        <f>IFERROR(__xludf.DUMMYFUNCTION("""COMPUTED_VALUE"""),"Monthly Services")</f>
        <v>Monthly Services</v>
      </c>
      <c r="D2251" s="316">
        <f>IFERROR(__xludf.DUMMYFUNCTION("""COMPUTED_VALUE"""),44926.0)</f>
        <v>44926</v>
      </c>
      <c r="E2251" s="298"/>
      <c r="F2251" s="298"/>
      <c r="G2251" s="298"/>
      <c r="H2251" s="223"/>
      <c r="I2251" s="298">
        <f>IFERROR(__xludf.DUMMYFUNCTION("""COMPUTED_VALUE"""),235.0)</f>
        <v>235</v>
      </c>
      <c r="J2251" s="223" t="str">
        <f>IFERROR(__xludf.DUMMYFUNCTION("""COMPUTED_VALUE"""),"Monthly")</f>
        <v>Monthly</v>
      </c>
      <c r="K2251" s="317">
        <f>IFERROR(__xludf.DUMMYFUNCTION("""COMPUTED_VALUE"""),2022.12)</f>
        <v>2022.12</v>
      </c>
      <c r="L2251" s="298"/>
      <c r="M2251" s="223"/>
      <c r="N2251" s="223"/>
      <c r="O2251" s="223"/>
      <c r="P2251" s="223"/>
      <c r="Q2251" s="223"/>
      <c r="R2251" s="223"/>
      <c r="S2251" s="223"/>
      <c r="T2251" s="223"/>
      <c r="U2251" s="223"/>
      <c r="V2251" s="223"/>
      <c r="W2251" s="223"/>
      <c r="X2251" s="223"/>
      <c r="Y2251" s="223"/>
      <c r="Z2251" s="223"/>
    </row>
    <row r="2252">
      <c r="A2252" s="223" t="str">
        <f>IFERROR(__xludf.DUMMYFUNCTION("""COMPUTED_VALUE"""),"TisBest : Monthly Services")</f>
        <v>TisBest : Monthly Services</v>
      </c>
      <c r="B2252" s="223" t="str">
        <f>IFERROR(__xludf.DUMMYFUNCTION("""COMPUTED_VALUE"""),"TisBest")</f>
        <v>TisBest</v>
      </c>
      <c r="C2252" s="223" t="str">
        <f>IFERROR(__xludf.DUMMYFUNCTION("""COMPUTED_VALUE"""),"Monthly Services")</f>
        <v>Monthly Services</v>
      </c>
      <c r="D2252" s="316">
        <f>IFERROR(__xludf.DUMMYFUNCTION("""COMPUTED_VALUE"""),44926.0)</f>
        <v>44926</v>
      </c>
      <c r="E2252" s="298"/>
      <c r="F2252" s="298"/>
      <c r="G2252" s="298"/>
      <c r="H2252" s="223"/>
      <c r="I2252" s="298">
        <f>IFERROR(__xludf.DUMMYFUNCTION("""COMPUTED_VALUE"""),600.0)</f>
        <v>600</v>
      </c>
      <c r="J2252" s="223" t="str">
        <f>IFERROR(__xludf.DUMMYFUNCTION("""COMPUTED_VALUE"""),"Monthly")</f>
        <v>Monthly</v>
      </c>
      <c r="K2252" s="317">
        <f>IFERROR(__xludf.DUMMYFUNCTION("""COMPUTED_VALUE"""),2022.12)</f>
        <v>2022.12</v>
      </c>
      <c r="L2252" s="298"/>
      <c r="M2252" s="223"/>
      <c r="N2252" s="223"/>
      <c r="O2252" s="223"/>
      <c r="P2252" s="223"/>
      <c r="Q2252" s="223"/>
      <c r="R2252" s="223"/>
      <c r="S2252" s="223"/>
      <c r="T2252" s="223"/>
      <c r="U2252" s="223"/>
      <c r="V2252" s="223"/>
      <c r="W2252" s="223"/>
      <c r="X2252" s="223"/>
      <c r="Y2252" s="223"/>
      <c r="Z2252" s="223"/>
    </row>
    <row r="2253">
      <c r="A2253" s="223" t="str">
        <f>IFERROR(__xludf.DUMMYFUNCTION("""COMPUTED_VALUE"""),"Wallack's Art Supplies : Monthly Services")</f>
        <v>Wallack's Art Supplies : Monthly Services</v>
      </c>
      <c r="B2253" s="223" t="str">
        <f>IFERROR(__xludf.DUMMYFUNCTION("""COMPUTED_VALUE"""),"Wallack's Art Supplies")</f>
        <v>Wallack's Art Supplies</v>
      </c>
      <c r="C2253" s="223" t="str">
        <f>IFERROR(__xludf.DUMMYFUNCTION("""COMPUTED_VALUE"""),"Monthly Services")</f>
        <v>Monthly Services</v>
      </c>
      <c r="D2253" s="316">
        <f>IFERROR(__xludf.DUMMYFUNCTION("""COMPUTED_VALUE"""),44926.0)</f>
        <v>44926</v>
      </c>
      <c r="E2253" s="298"/>
      <c r="F2253" s="298"/>
      <c r="G2253" s="298"/>
      <c r="H2253" s="223"/>
      <c r="I2253" s="298">
        <f>IFERROR(__xludf.DUMMYFUNCTION("""COMPUTED_VALUE"""),60.0)</f>
        <v>60</v>
      </c>
      <c r="J2253" s="223" t="str">
        <f>IFERROR(__xludf.DUMMYFUNCTION("""COMPUTED_VALUE"""),"Monthly")</f>
        <v>Monthly</v>
      </c>
      <c r="K2253" s="317">
        <f>IFERROR(__xludf.DUMMYFUNCTION("""COMPUTED_VALUE"""),2022.12)</f>
        <v>2022.12</v>
      </c>
      <c r="L2253" s="298"/>
      <c r="M2253" s="223"/>
      <c r="N2253" s="223"/>
      <c r="O2253" s="223"/>
      <c r="P2253" s="223"/>
      <c r="Q2253" s="223"/>
      <c r="R2253" s="223"/>
      <c r="S2253" s="223"/>
      <c r="T2253" s="223"/>
      <c r="U2253" s="223"/>
      <c r="V2253" s="223"/>
      <c r="W2253" s="223"/>
      <c r="X2253" s="223"/>
      <c r="Y2253" s="223"/>
      <c r="Z2253" s="223"/>
    </row>
    <row r="2254">
      <c r="A2254" s="223" t="str">
        <f>IFERROR(__xludf.DUMMYFUNCTION("""COMPUTED_VALUE"""),"PMDI : Monthly Services")</f>
        <v>PMDI : Monthly Services</v>
      </c>
      <c r="B2254" s="223" t="str">
        <f>IFERROR(__xludf.DUMMYFUNCTION("""COMPUTED_VALUE"""),"PMDI")</f>
        <v>PMDI</v>
      </c>
      <c r="C2254" s="223" t="str">
        <f>IFERROR(__xludf.DUMMYFUNCTION("""COMPUTED_VALUE"""),"Monthly Services")</f>
        <v>Monthly Services</v>
      </c>
      <c r="D2254" s="316">
        <f>IFERROR(__xludf.DUMMYFUNCTION("""COMPUTED_VALUE"""),44926.0)</f>
        <v>44926</v>
      </c>
      <c r="E2254" s="298"/>
      <c r="F2254" s="298"/>
      <c r="G2254" s="298"/>
      <c r="H2254" s="223"/>
      <c r="I2254" s="298">
        <f>IFERROR(__xludf.DUMMYFUNCTION("""COMPUTED_VALUE"""),30.0)</f>
        <v>30</v>
      </c>
      <c r="J2254" s="223" t="str">
        <f>IFERROR(__xludf.DUMMYFUNCTION("""COMPUTED_VALUE"""),"Monthly")</f>
        <v>Monthly</v>
      </c>
      <c r="K2254" s="317">
        <f>IFERROR(__xludf.DUMMYFUNCTION("""COMPUTED_VALUE"""),2022.12)</f>
        <v>2022.12</v>
      </c>
      <c r="L2254" s="298"/>
      <c r="M2254" s="223"/>
      <c r="N2254" s="223"/>
      <c r="O2254" s="223"/>
      <c r="P2254" s="223"/>
      <c r="Q2254" s="223"/>
      <c r="R2254" s="223"/>
      <c r="S2254" s="223"/>
      <c r="T2254" s="223"/>
      <c r="U2254" s="223"/>
      <c r="V2254" s="223"/>
      <c r="W2254" s="223"/>
      <c r="X2254" s="223"/>
      <c r="Y2254" s="223"/>
      <c r="Z2254" s="223"/>
    </row>
    <row r="2255">
      <c r="A2255" s="223" t="str">
        <f>IFERROR(__xludf.DUMMYFUNCTION("""COMPUTED_VALUE"""),"Tofino Resort + Marina : Monthly Services")</f>
        <v>Tofino Resort + Marina : Monthly Services</v>
      </c>
      <c r="B2255" s="223" t="str">
        <f>IFERROR(__xludf.DUMMYFUNCTION("""COMPUTED_VALUE"""),"Tofino Resort + Marina")</f>
        <v>Tofino Resort + Marina</v>
      </c>
      <c r="C2255" s="223" t="str">
        <f>IFERROR(__xludf.DUMMYFUNCTION("""COMPUTED_VALUE"""),"Monthly Services")</f>
        <v>Monthly Services</v>
      </c>
      <c r="D2255" s="316">
        <f>IFERROR(__xludf.DUMMYFUNCTION("""COMPUTED_VALUE"""),44926.0)</f>
        <v>44926</v>
      </c>
      <c r="E2255" s="298"/>
      <c r="F2255" s="298"/>
      <c r="G2255" s="298"/>
      <c r="H2255" s="223"/>
      <c r="I2255" s="298">
        <f>IFERROR(__xludf.DUMMYFUNCTION("""COMPUTED_VALUE"""),300.0)</f>
        <v>300</v>
      </c>
      <c r="J2255" s="223" t="str">
        <f>IFERROR(__xludf.DUMMYFUNCTION("""COMPUTED_VALUE"""),"Monthly")</f>
        <v>Monthly</v>
      </c>
      <c r="K2255" s="317">
        <f>IFERROR(__xludf.DUMMYFUNCTION("""COMPUTED_VALUE"""),2022.12)</f>
        <v>2022.12</v>
      </c>
      <c r="L2255" s="298"/>
      <c r="M2255" s="223"/>
      <c r="N2255" s="223"/>
      <c r="O2255" s="223"/>
      <c r="P2255" s="223"/>
      <c r="Q2255" s="223"/>
      <c r="R2255" s="223"/>
      <c r="S2255" s="223"/>
      <c r="T2255" s="223"/>
      <c r="U2255" s="223"/>
      <c r="V2255" s="223"/>
      <c r="W2255" s="223"/>
      <c r="X2255" s="223"/>
      <c r="Y2255" s="223"/>
      <c r="Z2255" s="223"/>
    </row>
    <row r="2256">
      <c r="A2256" s="223" t="str">
        <f>IFERROR(__xludf.DUMMYFUNCTION("""COMPUTED_VALUE"""),"Anook Athletics : Monthly Services")</f>
        <v>Anook Athletics : Monthly Services</v>
      </c>
      <c r="B2256" s="223" t="str">
        <f>IFERROR(__xludf.DUMMYFUNCTION("""COMPUTED_VALUE"""),"Anook Athletics")</f>
        <v>Anook Athletics</v>
      </c>
      <c r="C2256" s="223" t="str">
        <f>IFERROR(__xludf.DUMMYFUNCTION("""COMPUTED_VALUE"""),"Monthly Services")</f>
        <v>Monthly Services</v>
      </c>
      <c r="D2256" s="316">
        <f>IFERROR(__xludf.DUMMYFUNCTION("""COMPUTED_VALUE"""),44926.0)</f>
        <v>44926</v>
      </c>
      <c r="E2256" s="298"/>
      <c r="F2256" s="298"/>
      <c r="G2256" s="298"/>
      <c r="H2256" s="223"/>
      <c r="I2256" s="298">
        <f>IFERROR(__xludf.DUMMYFUNCTION("""COMPUTED_VALUE"""),75.0)</f>
        <v>75</v>
      </c>
      <c r="J2256" s="223" t="str">
        <f>IFERROR(__xludf.DUMMYFUNCTION("""COMPUTED_VALUE"""),"Monthly")</f>
        <v>Monthly</v>
      </c>
      <c r="K2256" s="317">
        <f>IFERROR(__xludf.DUMMYFUNCTION("""COMPUTED_VALUE"""),2022.12)</f>
        <v>2022.12</v>
      </c>
      <c r="L2256" s="298"/>
      <c r="M2256" s="223"/>
      <c r="N2256" s="223"/>
      <c r="O2256" s="223"/>
      <c r="P2256" s="223"/>
      <c r="Q2256" s="223"/>
      <c r="R2256" s="223"/>
      <c r="S2256" s="223"/>
      <c r="T2256" s="223"/>
      <c r="U2256" s="223"/>
      <c r="V2256" s="223"/>
      <c r="W2256" s="223"/>
      <c r="X2256" s="223"/>
      <c r="Y2256" s="223"/>
      <c r="Z2256" s="223"/>
    </row>
    <row r="2257">
      <c r="A2257" s="223" t="str">
        <f>IFERROR(__xludf.DUMMYFUNCTION("""COMPUTED_VALUE"""),"New Growth Ecommerce Inc : Monthly Services")</f>
        <v>New Growth Ecommerce Inc : Monthly Services</v>
      </c>
      <c r="B2257" s="223" t="str">
        <f>IFERROR(__xludf.DUMMYFUNCTION("""COMPUTED_VALUE"""),"New Growth Ecommerce Inc")</f>
        <v>New Growth Ecommerce Inc</v>
      </c>
      <c r="C2257" s="223" t="str">
        <f>IFERROR(__xludf.DUMMYFUNCTION("""COMPUTED_VALUE"""),"Monthly Services")</f>
        <v>Monthly Services</v>
      </c>
      <c r="D2257" s="316">
        <f>IFERROR(__xludf.DUMMYFUNCTION("""COMPUTED_VALUE"""),44926.0)</f>
        <v>44926</v>
      </c>
      <c r="E2257" s="298"/>
      <c r="F2257" s="298"/>
      <c r="G2257" s="298"/>
      <c r="H2257" s="223"/>
      <c r="I2257" s="298">
        <f>IFERROR(__xludf.DUMMYFUNCTION("""COMPUTED_VALUE"""),1860.0)</f>
        <v>1860</v>
      </c>
      <c r="J2257" s="223" t="str">
        <f>IFERROR(__xludf.DUMMYFUNCTION("""COMPUTED_VALUE"""),"Monthly")</f>
        <v>Monthly</v>
      </c>
      <c r="K2257" s="317">
        <f>IFERROR(__xludf.DUMMYFUNCTION("""COMPUTED_VALUE"""),2022.12)</f>
        <v>2022.12</v>
      </c>
      <c r="L2257" s="298"/>
      <c r="M2257" s="223"/>
      <c r="N2257" s="223"/>
      <c r="O2257" s="223"/>
      <c r="P2257" s="223"/>
      <c r="Q2257" s="223"/>
      <c r="R2257" s="223"/>
      <c r="S2257" s="223"/>
      <c r="T2257" s="223"/>
      <c r="U2257" s="223"/>
      <c r="V2257" s="223"/>
      <c r="W2257" s="223"/>
      <c r="X2257" s="223"/>
      <c r="Y2257" s="223"/>
      <c r="Z2257" s="223"/>
    </row>
    <row r="2258">
      <c r="A2258" s="223" t="str">
        <f>IFERROR(__xludf.DUMMYFUNCTION("""COMPUTED_VALUE"""),"Viridian : Monthly Services")</f>
        <v>Viridian : Monthly Services</v>
      </c>
      <c r="B2258" s="223" t="str">
        <f>IFERROR(__xludf.DUMMYFUNCTION("""COMPUTED_VALUE"""),"Viridian")</f>
        <v>Viridian</v>
      </c>
      <c r="C2258" s="223" t="str">
        <f>IFERROR(__xludf.DUMMYFUNCTION("""COMPUTED_VALUE"""),"Monthly Services")</f>
        <v>Monthly Services</v>
      </c>
      <c r="D2258" s="316">
        <f>IFERROR(__xludf.DUMMYFUNCTION("""COMPUTED_VALUE"""),44926.0)</f>
        <v>44926</v>
      </c>
      <c r="E2258" s="298"/>
      <c r="F2258" s="298"/>
      <c r="G2258" s="298"/>
      <c r="H2258" s="223"/>
      <c r="I2258" s="298">
        <f>IFERROR(__xludf.DUMMYFUNCTION("""COMPUTED_VALUE"""),60.0)</f>
        <v>60</v>
      </c>
      <c r="J2258" s="223" t="str">
        <f>IFERROR(__xludf.DUMMYFUNCTION("""COMPUTED_VALUE"""),"Monthly")</f>
        <v>Monthly</v>
      </c>
      <c r="K2258" s="317">
        <f>IFERROR(__xludf.DUMMYFUNCTION("""COMPUTED_VALUE"""),2022.12)</f>
        <v>2022.12</v>
      </c>
      <c r="L2258" s="298"/>
      <c r="M2258" s="223"/>
      <c r="N2258" s="223"/>
      <c r="O2258" s="223"/>
      <c r="P2258" s="223"/>
      <c r="Q2258" s="223"/>
      <c r="R2258" s="223"/>
      <c r="S2258" s="223"/>
      <c r="T2258" s="223"/>
      <c r="U2258" s="223"/>
      <c r="V2258" s="223"/>
      <c r="W2258" s="223"/>
      <c r="X2258" s="223"/>
      <c r="Y2258" s="223"/>
      <c r="Z2258" s="223"/>
    </row>
    <row r="2259">
      <c r="A2259" s="223" t="str">
        <f>IFERROR(__xludf.DUMMYFUNCTION("""COMPUTED_VALUE"""),"Crisp Media : Monthly Genus Google PPC Mgmt")</f>
        <v>Crisp Media : Monthly Genus Google PPC Mgmt</v>
      </c>
      <c r="B2259" s="223" t="str">
        <f>IFERROR(__xludf.DUMMYFUNCTION("""COMPUTED_VALUE"""),"Crisp Media")</f>
        <v>Crisp Media</v>
      </c>
      <c r="C2259" s="223" t="str">
        <f>IFERROR(__xludf.DUMMYFUNCTION("""COMPUTED_VALUE"""),"Monthly Genus Google PPC Mgmt")</f>
        <v>Monthly Genus Google PPC Mgmt</v>
      </c>
      <c r="D2259" s="316">
        <f>IFERROR(__xludf.DUMMYFUNCTION("""COMPUTED_VALUE"""),44926.0)</f>
        <v>44926</v>
      </c>
      <c r="E2259" s="298"/>
      <c r="F2259" s="298"/>
      <c r="G2259" s="298"/>
      <c r="H2259" s="223"/>
      <c r="I2259" s="298">
        <f>IFERROR(__xludf.DUMMYFUNCTION("""COMPUTED_VALUE"""),45.0)</f>
        <v>45</v>
      </c>
      <c r="J2259" s="223" t="str">
        <f>IFERROR(__xludf.DUMMYFUNCTION("""COMPUTED_VALUE"""),"Monthly")</f>
        <v>Monthly</v>
      </c>
      <c r="K2259" s="317">
        <f>IFERROR(__xludf.DUMMYFUNCTION("""COMPUTED_VALUE"""),2022.12)</f>
        <v>2022.12</v>
      </c>
      <c r="L2259" s="298"/>
      <c r="M2259" s="223"/>
      <c r="N2259" s="223"/>
      <c r="O2259" s="223"/>
      <c r="P2259" s="223"/>
      <c r="Q2259" s="223"/>
      <c r="R2259" s="223"/>
      <c r="S2259" s="223"/>
      <c r="T2259" s="223"/>
      <c r="U2259" s="223"/>
      <c r="V2259" s="223"/>
      <c r="W2259" s="223"/>
      <c r="X2259" s="223"/>
      <c r="Y2259" s="223"/>
      <c r="Z2259" s="223"/>
    </row>
    <row r="2260">
      <c r="A2260" s="223" t="str">
        <f>IFERROR(__xludf.DUMMYFUNCTION("""COMPUTED_VALUE"""),"Howard Fine Jewellers : Ongoing PPC and SEO Support")</f>
        <v>Howard Fine Jewellers : Ongoing PPC and SEO Support</v>
      </c>
      <c r="B2260" s="223" t="str">
        <f>IFERROR(__xludf.DUMMYFUNCTION("""COMPUTED_VALUE"""),"Howard Fine Jewellers")</f>
        <v>Howard Fine Jewellers</v>
      </c>
      <c r="C2260" s="223" t="str">
        <f>IFERROR(__xludf.DUMMYFUNCTION("""COMPUTED_VALUE"""),"Ongoing PPC and SEO Support")</f>
        <v>Ongoing PPC and SEO Support</v>
      </c>
      <c r="D2260" s="316">
        <f>IFERROR(__xludf.DUMMYFUNCTION("""COMPUTED_VALUE"""),44926.0)</f>
        <v>44926</v>
      </c>
      <c r="E2260" s="298"/>
      <c r="F2260" s="298"/>
      <c r="G2260" s="298"/>
      <c r="H2260" s="223"/>
      <c r="I2260" s="298">
        <f>IFERROR(__xludf.DUMMYFUNCTION("""COMPUTED_VALUE"""),100.0)</f>
        <v>100</v>
      </c>
      <c r="J2260" s="223" t="str">
        <f>IFERROR(__xludf.DUMMYFUNCTION("""COMPUTED_VALUE"""),"Monthly")</f>
        <v>Monthly</v>
      </c>
      <c r="K2260" s="317">
        <f>IFERROR(__xludf.DUMMYFUNCTION("""COMPUTED_VALUE"""),2022.12)</f>
        <v>2022.12</v>
      </c>
      <c r="L2260" s="298"/>
      <c r="M2260" s="223"/>
      <c r="N2260" s="223"/>
      <c r="O2260" s="223"/>
      <c r="P2260" s="223"/>
      <c r="Q2260" s="223"/>
      <c r="R2260" s="223"/>
      <c r="S2260" s="223"/>
      <c r="T2260" s="223"/>
      <c r="U2260" s="223"/>
      <c r="V2260" s="223"/>
      <c r="W2260" s="223"/>
      <c r="X2260" s="223"/>
      <c r="Y2260" s="223"/>
      <c r="Z2260" s="223"/>
    </row>
    <row r="2261">
      <c r="A2261" s="223" t="str">
        <f>IFERROR(__xludf.DUMMYFUNCTION("""COMPUTED_VALUE"""),"Big Hammer Wines : Google Search and Shopping Overhaul")</f>
        <v>Big Hammer Wines : Google Search and Shopping Overhaul</v>
      </c>
      <c r="B2261" s="223" t="str">
        <f>IFERROR(__xludf.DUMMYFUNCTION("""COMPUTED_VALUE"""),"Big Hammer Wines")</f>
        <v>Big Hammer Wines</v>
      </c>
      <c r="C2261" s="223" t="str">
        <f>IFERROR(__xludf.DUMMYFUNCTION("""COMPUTED_VALUE"""),"Google Search and Shopping Overhaul")</f>
        <v>Google Search and Shopping Overhaul</v>
      </c>
      <c r="D2261" s="316">
        <f>IFERROR(__xludf.DUMMYFUNCTION("""COMPUTED_VALUE"""),44926.0)</f>
        <v>44926</v>
      </c>
      <c r="E2261" s="298"/>
      <c r="F2261" s="298"/>
      <c r="G2261" s="298"/>
      <c r="H2261" s="223"/>
      <c r="I2261" s="298">
        <f>IFERROR(__xludf.DUMMYFUNCTION("""COMPUTED_VALUE"""),60.0)</f>
        <v>60</v>
      </c>
      <c r="J2261" s="223" t="str">
        <f>IFERROR(__xludf.DUMMYFUNCTION("""COMPUTED_VALUE"""),"Fixed Project")</f>
        <v>Fixed Project</v>
      </c>
      <c r="K2261" s="317">
        <f>IFERROR(__xludf.DUMMYFUNCTION("""COMPUTED_VALUE"""),2022.0)</f>
        <v>2022</v>
      </c>
      <c r="L2261" s="298"/>
      <c r="M2261" s="223"/>
      <c r="N2261" s="223"/>
      <c r="O2261" s="223"/>
      <c r="P2261" s="223"/>
      <c r="Q2261" s="223"/>
      <c r="R2261" s="223"/>
      <c r="S2261" s="223"/>
      <c r="T2261" s="223"/>
      <c r="U2261" s="223"/>
      <c r="V2261" s="223"/>
      <c r="W2261" s="223"/>
      <c r="X2261" s="223"/>
      <c r="Y2261" s="223"/>
      <c r="Z2261" s="223"/>
    </row>
    <row r="2262">
      <c r="A2262" s="223" t="str">
        <f>IFERROR(__xludf.DUMMYFUNCTION("""COMPUTED_VALUE"""),"C360 : Johns Hopkins University PPC Management")</f>
        <v>C360 : Johns Hopkins University PPC Management</v>
      </c>
      <c r="B2262" s="223" t="str">
        <f>IFERROR(__xludf.DUMMYFUNCTION("""COMPUTED_VALUE"""),"C360")</f>
        <v>C360</v>
      </c>
      <c r="C2262" s="223" t="str">
        <f>IFERROR(__xludf.DUMMYFUNCTION("""COMPUTED_VALUE"""),"Johns Hopkins University PPC Management")</f>
        <v>Johns Hopkins University PPC Management</v>
      </c>
      <c r="D2262" s="316">
        <f>IFERROR(__xludf.DUMMYFUNCTION("""COMPUTED_VALUE"""),44926.0)</f>
        <v>44926</v>
      </c>
      <c r="E2262" s="298"/>
      <c r="F2262" s="298"/>
      <c r="G2262" s="298"/>
      <c r="H2262" s="223"/>
      <c r="I2262" s="298">
        <f>IFERROR(__xludf.DUMMYFUNCTION("""COMPUTED_VALUE"""),257.5)</f>
        <v>257.5</v>
      </c>
      <c r="J2262" s="223" t="str">
        <f>IFERROR(__xludf.DUMMYFUNCTION("""COMPUTED_VALUE"""),"Fixed Project")</f>
        <v>Fixed Project</v>
      </c>
      <c r="K2262" s="317">
        <f>IFERROR(__xludf.DUMMYFUNCTION("""COMPUTED_VALUE"""),2022.0)</f>
        <v>2022</v>
      </c>
      <c r="L2262" s="298"/>
      <c r="M2262" s="223"/>
      <c r="N2262" s="223"/>
      <c r="O2262" s="223"/>
      <c r="P2262" s="223"/>
      <c r="Q2262" s="223"/>
      <c r="R2262" s="223"/>
      <c r="S2262" s="223"/>
      <c r="T2262" s="223"/>
      <c r="U2262" s="223"/>
      <c r="V2262" s="223"/>
      <c r="W2262" s="223"/>
      <c r="X2262" s="223"/>
      <c r="Y2262" s="223"/>
      <c r="Z2262" s="223"/>
    </row>
    <row r="2263">
      <c r="A2263" s="223" t="str">
        <f>IFERROR(__xludf.DUMMYFUNCTION("""COMPUTED_VALUE"""),"Spring Activator : Ads and Analytics kickoff plus site support ")</f>
        <v>Spring Activator : Ads and Analytics kickoff plus site support </v>
      </c>
      <c r="B2263" s="223" t="str">
        <f>IFERROR(__xludf.DUMMYFUNCTION("""COMPUTED_VALUE"""),"Spring Activator")</f>
        <v>Spring Activator</v>
      </c>
      <c r="C2263" s="223" t="str">
        <f>IFERROR(__xludf.DUMMYFUNCTION("""COMPUTED_VALUE"""),"Ads and Analytics kickoff plus site support")</f>
        <v>Ads and Analytics kickoff plus site support</v>
      </c>
      <c r="D2263" s="316">
        <f>IFERROR(__xludf.DUMMYFUNCTION("""COMPUTED_VALUE"""),44926.0)</f>
        <v>44926</v>
      </c>
      <c r="E2263" s="298"/>
      <c r="F2263" s="298"/>
      <c r="G2263" s="298"/>
      <c r="H2263" s="223"/>
      <c r="I2263" s="298">
        <f>IFERROR(__xludf.DUMMYFUNCTION("""COMPUTED_VALUE"""),180.0)</f>
        <v>180</v>
      </c>
      <c r="J2263" s="223" t="str">
        <f>IFERROR(__xludf.DUMMYFUNCTION("""COMPUTED_VALUE"""),"Fixed Project")</f>
        <v>Fixed Project</v>
      </c>
      <c r="K2263" s="317">
        <f>IFERROR(__xludf.DUMMYFUNCTION("""COMPUTED_VALUE"""),2022.0)</f>
        <v>2022</v>
      </c>
      <c r="L2263" s="298"/>
      <c r="M2263" s="223"/>
      <c r="N2263" s="223"/>
      <c r="O2263" s="223"/>
      <c r="P2263" s="223"/>
      <c r="Q2263" s="223"/>
      <c r="R2263" s="223"/>
      <c r="S2263" s="223"/>
      <c r="T2263" s="223"/>
      <c r="U2263" s="223"/>
      <c r="V2263" s="223"/>
      <c r="W2263" s="223"/>
      <c r="X2263" s="223"/>
      <c r="Y2263" s="223"/>
      <c r="Z2263" s="223"/>
    </row>
    <row r="2264">
      <c r="A2264" s="223" t="str">
        <f>IFERROR(__xludf.DUMMYFUNCTION("""COMPUTED_VALUE"""),"Classic LifeCare : Monthly Google Ads (PPC) Management")</f>
        <v>Classic LifeCare : Monthly Google Ads (PPC) Management</v>
      </c>
      <c r="B2264" s="223" t="str">
        <f>IFERROR(__xludf.DUMMYFUNCTION("""COMPUTED_VALUE"""),"Classic LifeCare")</f>
        <v>Classic LifeCare</v>
      </c>
      <c r="C2264" s="223" t="str">
        <f>IFERROR(__xludf.DUMMYFUNCTION("""COMPUTED_VALUE"""),"Monthly Google Ads (PPC) Management")</f>
        <v>Monthly Google Ads (PPC) Management</v>
      </c>
      <c r="D2264" s="316">
        <f>IFERROR(__xludf.DUMMYFUNCTION("""COMPUTED_VALUE"""),44926.0)</f>
        <v>44926</v>
      </c>
      <c r="E2264" s="298"/>
      <c r="F2264" s="298"/>
      <c r="G2264" s="298"/>
      <c r="H2264" s="223"/>
      <c r="I2264" s="298">
        <f>IFERROR(__xludf.DUMMYFUNCTION("""COMPUTED_VALUE"""),322.5)</f>
        <v>322.5</v>
      </c>
      <c r="J2264" s="223" t="str">
        <f>IFERROR(__xludf.DUMMYFUNCTION("""COMPUTED_VALUE"""),"Monthly")</f>
        <v>Monthly</v>
      </c>
      <c r="K2264" s="317">
        <f>IFERROR(__xludf.DUMMYFUNCTION("""COMPUTED_VALUE"""),2022.12)</f>
        <v>2022.12</v>
      </c>
      <c r="L2264" s="298"/>
      <c r="M2264" s="223"/>
      <c r="N2264" s="223"/>
      <c r="O2264" s="223"/>
      <c r="P2264" s="223"/>
      <c r="Q2264" s="223"/>
      <c r="R2264" s="223"/>
      <c r="S2264" s="223"/>
      <c r="T2264" s="223"/>
      <c r="U2264" s="223"/>
      <c r="V2264" s="223"/>
      <c r="W2264" s="223"/>
      <c r="X2264" s="223"/>
      <c r="Y2264" s="223"/>
      <c r="Z2264" s="223"/>
    </row>
    <row r="2265">
      <c r="A2265" s="223" t="str">
        <f>IFERROR(__xludf.DUMMYFUNCTION("""COMPUTED_VALUE"""),"Canyon's Construction : PPC, LP &amp; Listings")</f>
        <v>Canyon's Construction : PPC, LP &amp; Listings</v>
      </c>
      <c r="B2265" s="223" t="str">
        <f>IFERROR(__xludf.DUMMYFUNCTION("""COMPUTED_VALUE"""),"Canyon's Construction")</f>
        <v>Canyon's Construction</v>
      </c>
      <c r="C2265" s="223" t="str">
        <f>IFERROR(__xludf.DUMMYFUNCTION("""COMPUTED_VALUE"""),"PPC, LP &amp; Listings")</f>
        <v>PPC, LP &amp; Listings</v>
      </c>
      <c r="D2265" s="316">
        <f>IFERROR(__xludf.DUMMYFUNCTION("""COMPUTED_VALUE"""),44926.0)</f>
        <v>44926</v>
      </c>
      <c r="E2265" s="298"/>
      <c r="F2265" s="298"/>
      <c r="G2265" s="298"/>
      <c r="H2265" s="223"/>
      <c r="I2265" s="298">
        <f>IFERROR(__xludf.DUMMYFUNCTION("""COMPUTED_VALUE"""),425.0)</f>
        <v>425</v>
      </c>
      <c r="J2265" s="223" t="str">
        <f>IFERROR(__xludf.DUMMYFUNCTION("""COMPUTED_VALUE"""),"Fixed Project")</f>
        <v>Fixed Project</v>
      </c>
      <c r="K2265" s="317">
        <f>IFERROR(__xludf.DUMMYFUNCTION("""COMPUTED_VALUE"""),2022.0)</f>
        <v>2022</v>
      </c>
      <c r="L2265" s="298"/>
      <c r="M2265" s="223"/>
      <c r="N2265" s="223"/>
      <c r="O2265" s="223"/>
      <c r="P2265" s="223"/>
      <c r="Q2265" s="223"/>
      <c r="R2265" s="223"/>
      <c r="S2265" s="223"/>
      <c r="T2265" s="223"/>
      <c r="U2265" s="223"/>
      <c r="V2265" s="223"/>
      <c r="W2265" s="223"/>
      <c r="X2265" s="223"/>
      <c r="Y2265" s="223"/>
      <c r="Z2265" s="223"/>
    </row>
    <row r="2266">
      <c r="A2266" s="223" t="str">
        <f>IFERROR(__xludf.DUMMYFUNCTION("""COMPUTED_VALUE"""),"Booginhead : Monthly Services")</f>
        <v>Booginhead : Monthly Services</v>
      </c>
      <c r="B2266" s="223" t="str">
        <f>IFERROR(__xludf.DUMMYFUNCTION("""COMPUTED_VALUE"""),"Booginhead")</f>
        <v>Booginhead</v>
      </c>
      <c r="C2266" s="223" t="str">
        <f>IFERROR(__xludf.DUMMYFUNCTION("""COMPUTED_VALUE"""),"Monthly Services")</f>
        <v>Monthly Services</v>
      </c>
      <c r="D2266" s="316">
        <f>IFERROR(__xludf.DUMMYFUNCTION("""COMPUTED_VALUE"""),44926.0)</f>
        <v>44926</v>
      </c>
      <c r="E2266" s="298"/>
      <c r="F2266" s="298"/>
      <c r="G2266" s="298"/>
      <c r="H2266" s="223"/>
      <c r="I2266" s="298">
        <f>IFERROR(__xludf.DUMMYFUNCTION("""COMPUTED_VALUE"""),337.5)</f>
        <v>337.5</v>
      </c>
      <c r="J2266" s="223" t="str">
        <f>IFERROR(__xludf.DUMMYFUNCTION("""COMPUTED_VALUE"""),"Monthly")</f>
        <v>Monthly</v>
      </c>
      <c r="K2266" s="317">
        <f>IFERROR(__xludf.DUMMYFUNCTION("""COMPUTED_VALUE"""),2022.12)</f>
        <v>2022.12</v>
      </c>
      <c r="L2266" s="298"/>
      <c r="M2266" s="223"/>
      <c r="N2266" s="223"/>
      <c r="O2266" s="223"/>
      <c r="P2266" s="223"/>
      <c r="Q2266" s="223"/>
      <c r="R2266" s="223"/>
      <c r="S2266" s="223"/>
      <c r="T2266" s="223"/>
      <c r="U2266" s="223"/>
      <c r="V2266" s="223"/>
      <c r="W2266" s="223"/>
      <c r="X2266" s="223"/>
      <c r="Y2266" s="223"/>
      <c r="Z2266" s="223"/>
    </row>
    <row r="2267">
      <c r="A2267" s="223" t="str">
        <f>IFERROR(__xludf.DUMMYFUNCTION("""COMPUTED_VALUE"""),"Hastings House : Monthly Services")</f>
        <v>Hastings House : Monthly Services</v>
      </c>
      <c r="B2267" s="223" t="str">
        <f>IFERROR(__xludf.DUMMYFUNCTION("""COMPUTED_VALUE"""),"Hastings House")</f>
        <v>Hastings House</v>
      </c>
      <c r="C2267" s="223" t="str">
        <f>IFERROR(__xludf.DUMMYFUNCTION("""COMPUTED_VALUE"""),"Monthly Services")</f>
        <v>Monthly Services</v>
      </c>
      <c r="D2267" s="316">
        <f>IFERROR(__xludf.DUMMYFUNCTION("""COMPUTED_VALUE"""),44926.0)</f>
        <v>44926</v>
      </c>
      <c r="E2267" s="298"/>
      <c r="F2267" s="298"/>
      <c r="G2267" s="298"/>
      <c r="H2267" s="223"/>
      <c r="I2267" s="298">
        <f>IFERROR(__xludf.DUMMYFUNCTION("""COMPUTED_VALUE"""),212.5)</f>
        <v>212.5</v>
      </c>
      <c r="J2267" s="223" t="str">
        <f>IFERROR(__xludf.DUMMYFUNCTION("""COMPUTED_VALUE"""),"Monthly")</f>
        <v>Monthly</v>
      </c>
      <c r="K2267" s="317">
        <f>IFERROR(__xludf.DUMMYFUNCTION("""COMPUTED_VALUE"""),2022.12)</f>
        <v>2022.12</v>
      </c>
      <c r="L2267" s="298"/>
      <c r="M2267" s="223"/>
      <c r="N2267" s="223"/>
      <c r="O2267" s="223"/>
      <c r="P2267" s="223"/>
      <c r="Q2267" s="223"/>
      <c r="R2267" s="223"/>
      <c r="S2267" s="223"/>
      <c r="T2267" s="223"/>
      <c r="U2267" s="223"/>
      <c r="V2267" s="223"/>
      <c r="W2267" s="223"/>
      <c r="X2267" s="223"/>
      <c r="Y2267" s="223"/>
      <c r="Z2267" s="223"/>
    </row>
    <row r="2268">
      <c r="A2268" s="223" t="str">
        <f>IFERROR(__xludf.DUMMYFUNCTION("""COMPUTED_VALUE"""),"Howard Fine Jewellers : Ongoing PPC and SEO Support")</f>
        <v>Howard Fine Jewellers : Ongoing PPC and SEO Support</v>
      </c>
      <c r="B2268" s="223" t="str">
        <f>IFERROR(__xludf.DUMMYFUNCTION("""COMPUTED_VALUE"""),"Howard Fine Jewellers")</f>
        <v>Howard Fine Jewellers</v>
      </c>
      <c r="C2268" s="223" t="str">
        <f>IFERROR(__xludf.DUMMYFUNCTION("""COMPUTED_VALUE"""),"Ongoing PPC and SEO Support")</f>
        <v>Ongoing PPC and SEO Support</v>
      </c>
      <c r="D2268" s="316">
        <f>IFERROR(__xludf.DUMMYFUNCTION("""COMPUTED_VALUE"""),44926.0)</f>
        <v>44926</v>
      </c>
      <c r="E2268" s="298"/>
      <c r="F2268" s="298"/>
      <c r="G2268" s="298"/>
      <c r="H2268" s="223"/>
      <c r="I2268" s="298">
        <f>IFERROR(__xludf.DUMMYFUNCTION("""COMPUTED_VALUE"""),150.0)</f>
        <v>150</v>
      </c>
      <c r="J2268" s="223" t="str">
        <f>IFERROR(__xludf.DUMMYFUNCTION("""COMPUTED_VALUE"""),"Monthly")</f>
        <v>Monthly</v>
      </c>
      <c r="K2268" s="317">
        <f>IFERROR(__xludf.DUMMYFUNCTION("""COMPUTED_VALUE"""),2022.12)</f>
        <v>2022.12</v>
      </c>
      <c r="L2268" s="298"/>
      <c r="M2268" s="223"/>
      <c r="N2268" s="223"/>
      <c r="O2268" s="223"/>
      <c r="P2268" s="223"/>
      <c r="Q2268" s="223"/>
      <c r="R2268" s="223"/>
      <c r="S2268" s="223"/>
      <c r="T2268" s="223"/>
      <c r="U2268" s="223"/>
      <c r="V2268" s="223"/>
      <c r="W2268" s="223"/>
      <c r="X2268" s="223"/>
      <c r="Y2268" s="223"/>
      <c r="Z2268" s="223"/>
    </row>
    <row r="2269">
      <c r="A2269" s="223" t="str">
        <f>IFERROR(__xludf.DUMMYFUNCTION("""COMPUTED_VALUE"""),"Ultimate Tools : Monthly SEO &amp; PPC Management")</f>
        <v>Ultimate Tools : Monthly SEO &amp; PPC Management</v>
      </c>
      <c r="B2269" s="223" t="str">
        <f>IFERROR(__xludf.DUMMYFUNCTION("""COMPUTED_VALUE"""),"Ultimate Tools")</f>
        <v>Ultimate Tools</v>
      </c>
      <c r="C2269" s="223" t="str">
        <f>IFERROR(__xludf.DUMMYFUNCTION("""COMPUTED_VALUE"""),"Monthly SEO &amp; PPC Management")</f>
        <v>Monthly SEO &amp; PPC Management</v>
      </c>
      <c r="D2269" s="316">
        <f>IFERROR(__xludf.DUMMYFUNCTION("""COMPUTED_VALUE"""),44926.0)</f>
        <v>44926</v>
      </c>
      <c r="E2269" s="298"/>
      <c r="F2269" s="298"/>
      <c r="G2269" s="298"/>
      <c r="H2269" s="223"/>
      <c r="I2269" s="298">
        <f>IFERROR(__xludf.DUMMYFUNCTION("""COMPUTED_VALUE"""),750.0)</f>
        <v>750</v>
      </c>
      <c r="J2269" s="223" t="str">
        <f>IFERROR(__xludf.DUMMYFUNCTION("""COMPUTED_VALUE"""),"Monthly")</f>
        <v>Monthly</v>
      </c>
      <c r="K2269" s="317">
        <f>IFERROR(__xludf.DUMMYFUNCTION("""COMPUTED_VALUE"""),2022.12)</f>
        <v>2022.12</v>
      </c>
      <c r="L2269" s="298"/>
      <c r="M2269" s="223"/>
      <c r="N2269" s="223"/>
      <c r="O2269" s="223"/>
      <c r="P2269" s="223"/>
      <c r="Q2269" s="223"/>
      <c r="R2269" s="223"/>
      <c r="S2269" s="223"/>
      <c r="T2269" s="223"/>
      <c r="U2269" s="223"/>
      <c r="V2269" s="223"/>
      <c r="W2269" s="223"/>
      <c r="X2269" s="223"/>
      <c r="Y2269" s="223"/>
      <c r="Z2269" s="223"/>
    </row>
    <row r="2270">
      <c r="A2270" s="223" t="str">
        <f>IFERROR(__xludf.DUMMYFUNCTION("""COMPUTED_VALUE"""),"Tuscany : Monthly Services")</f>
        <v>Tuscany : Monthly Services</v>
      </c>
      <c r="B2270" s="223" t="str">
        <f>IFERROR(__xludf.DUMMYFUNCTION("""COMPUTED_VALUE"""),"Tuscany")</f>
        <v>Tuscany</v>
      </c>
      <c r="C2270" s="223" t="str">
        <f>IFERROR(__xludf.DUMMYFUNCTION("""COMPUTED_VALUE"""),"Monthly Services")</f>
        <v>Monthly Services</v>
      </c>
      <c r="D2270" s="316">
        <f>IFERROR(__xludf.DUMMYFUNCTION("""COMPUTED_VALUE"""),44926.0)</f>
        <v>44926</v>
      </c>
      <c r="E2270" s="298"/>
      <c r="F2270" s="298"/>
      <c r="G2270" s="298"/>
      <c r="H2270" s="223"/>
      <c r="I2270" s="298">
        <f>IFERROR(__xludf.DUMMYFUNCTION("""COMPUTED_VALUE"""),662.5)</f>
        <v>662.5</v>
      </c>
      <c r="J2270" s="223" t="str">
        <f>IFERROR(__xludf.DUMMYFUNCTION("""COMPUTED_VALUE"""),"Monthly")</f>
        <v>Monthly</v>
      </c>
      <c r="K2270" s="317">
        <f>IFERROR(__xludf.DUMMYFUNCTION("""COMPUTED_VALUE"""),2022.12)</f>
        <v>2022.12</v>
      </c>
      <c r="L2270" s="298"/>
      <c r="M2270" s="223"/>
      <c r="N2270" s="223"/>
      <c r="O2270" s="223"/>
      <c r="P2270" s="223"/>
      <c r="Q2270" s="223"/>
      <c r="R2270" s="223"/>
      <c r="S2270" s="223"/>
      <c r="T2270" s="223"/>
      <c r="U2270" s="223"/>
      <c r="V2270" s="223"/>
      <c r="W2270" s="223"/>
      <c r="X2270" s="223"/>
      <c r="Y2270" s="223"/>
      <c r="Z2270" s="223"/>
    </row>
    <row r="2271">
      <c r="A2271" s="223" t="str">
        <f>IFERROR(__xludf.DUMMYFUNCTION("""COMPUTED_VALUE"""),"Venetian : Monthly Services")</f>
        <v>Venetian : Monthly Services</v>
      </c>
      <c r="B2271" s="223" t="str">
        <f>IFERROR(__xludf.DUMMYFUNCTION("""COMPUTED_VALUE"""),"Venetian")</f>
        <v>Venetian</v>
      </c>
      <c r="C2271" s="223" t="str">
        <f>IFERROR(__xludf.DUMMYFUNCTION("""COMPUTED_VALUE"""),"Monthly Services")</f>
        <v>Monthly Services</v>
      </c>
      <c r="D2271" s="316">
        <f>IFERROR(__xludf.DUMMYFUNCTION("""COMPUTED_VALUE"""),44926.0)</f>
        <v>44926</v>
      </c>
      <c r="E2271" s="298"/>
      <c r="F2271" s="298"/>
      <c r="G2271" s="298"/>
      <c r="H2271" s="223"/>
      <c r="I2271" s="298">
        <f>IFERROR(__xludf.DUMMYFUNCTION("""COMPUTED_VALUE"""),662.5)</f>
        <v>662.5</v>
      </c>
      <c r="J2271" s="223" t="str">
        <f>IFERROR(__xludf.DUMMYFUNCTION("""COMPUTED_VALUE"""),"Monthly")</f>
        <v>Monthly</v>
      </c>
      <c r="K2271" s="317">
        <f>IFERROR(__xludf.DUMMYFUNCTION("""COMPUTED_VALUE"""),2022.12)</f>
        <v>2022.12</v>
      </c>
      <c r="L2271" s="298"/>
      <c r="M2271" s="223"/>
      <c r="N2271" s="223"/>
      <c r="O2271" s="223"/>
      <c r="P2271" s="223"/>
      <c r="Q2271" s="223"/>
      <c r="R2271" s="223"/>
      <c r="S2271" s="223"/>
      <c r="T2271" s="223"/>
      <c r="U2271" s="223"/>
      <c r="V2271" s="223"/>
      <c r="W2271" s="223"/>
      <c r="X2271" s="223"/>
      <c r="Y2271" s="223"/>
      <c r="Z2271" s="223"/>
    </row>
    <row r="2272">
      <c r="A2272" s="223" t="str">
        <f>IFERROR(__xludf.DUMMYFUNCTION("""COMPUTED_VALUE"""),"Spraggs : Monthly Services")</f>
        <v>Spraggs : Monthly Services</v>
      </c>
      <c r="B2272" s="223" t="str">
        <f>IFERROR(__xludf.DUMMYFUNCTION("""COMPUTED_VALUE"""),"Spraggs")</f>
        <v>Spraggs</v>
      </c>
      <c r="C2272" s="223" t="str">
        <f>IFERROR(__xludf.DUMMYFUNCTION("""COMPUTED_VALUE"""),"Monthly Services")</f>
        <v>Monthly Services</v>
      </c>
      <c r="D2272" s="316">
        <f>IFERROR(__xludf.DUMMYFUNCTION("""COMPUTED_VALUE"""),44926.0)</f>
        <v>44926</v>
      </c>
      <c r="E2272" s="298"/>
      <c r="F2272" s="298"/>
      <c r="G2272" s="298"/>
      <c r="H2272" s="223"/>
      <c r="I2272" s="298">
        <f>IFERROR(__xludf.DUMMYFUNCTION("""COMPUTED_VALUE"""),562.5)</f>
        <v>562.5</v>
      </c>
      <c r="J2272" s="223" t="str">
        <f>IFERROR(__xludf.DUMMYFUNCTION("""COMPUTED_VALUE"""),"Monthly")</f>
        <v>Monthly</v>
      </c>
      <c r="K2272" s="317">
        <f>IFERROR(__xludf.DUMMYFUNCTION("""COMPUTED_VALUE"""),2022.12)</f>
        <v>2022.12</v>
      </c>
      <c r="L2272" s="298"/>
      <c r="M2272" s="223"/>
      <c r="N2272" s="223"/>
      <c r="O2272" s="223"/>
      <c r="P2272" s="223"/>
      <c r="Q2272" s="223"/>
      <c r="R2272" s="223"/>
      <c r="S2272" s="223"/>
      <c r="T2272" s="223"/>
      <c r="U2272" s="223"/>
      <c r="V2272" s="223"/>
      <c r="W2272" s="223"/>
      <c r="X2272" s="223"/>
      <c r="Y2272" s="223"/>
      <c r="Z2272" s="223"/>
    </row>
    <row r="2273">
      <c r="A2273" s="223" t="str">
        <f>IFERROR(__xludf.DUMMYFUNCTION("""COMPUTED_VALUE"""),"Diversified Health : Monthly Services")</f>
        <v>Diversified Health : Monthly Services</v>
      </c>
      <c r="B2273" s="223" t="str">
        <f>IFERROR(__xludf.DUMMYFUNCTION("""COMPUTED_VALUE"""),"Diversified Health")</f>
        <v>Diversified Health</v>
      </c>
      <c r="C2273" s="223" t="str">
        <f>IFERROR(__xludf.DUMMYFUNCTION("""COMPUTED_VALUE"""),"Monthly Services")</f>
        <v>Monthly Services</v>
      </c>
      <c r="D2273" s="316">
        <f>IFERROR(__xludf.DUMMYFUNCTION("""COMPUTED_VALUE"""),44926.0)</f>
        <v>44926</v>
      </c>
      <c r="E2273" s="298"/>
      <c r="F2273" s="298"/>
      <c r="G2273" s="298"/>
      <c r="H2273" s="223"/>
      <c r="I2273" s="298">
        <f>IFERROR(__xludf.DUMMYFUNCTION("""COMPUTED_VALUE"""),475.0)</f>
        <v>475</v>
      </c>
      <c r="J2273" s="223" t="str">
        <f>IFERROR(__xludf.DUMMYFUNCTION("""COMPUTED_VALUE"""),"Monthly")</f>
        <v>Monthly</v>
      </c>
      <c r="K2273" s="317">
        <f>IFERROR(__xludf.DUMMYFUNCTION("""COMPUTED_VALUE"""),2022.12)</f>
        <v>2022.12</v>
      </c>
      <c r="L2273" s="298"/>
      <c r="M2273" s="223"/>
      <c r="N2273" s="223"/>
      <c r="O2273" s="223"/>
      <c r="P2273" s="223"/>
      <c r="Q2273" s="223"/>
      <c r="R2273" s="223"/>
      <c r="S2273" s="223"/>
      <c r="T2273" s="223"/>
      <c r="U2273" s="223"/>
      <c r="V2273" s="223"/>
      <c r="W2273" s="223"/>
      <c r="X2273" s="223"/>
      <c r="Y2273" s="223"/>
      <c r="Z2273" s="223"/>
    </row>
    <row r="2274">
      <c r="A2274" s="223" t="str">
        <f>IFERROR(__xludf.DUMMYFUNCTION("""COMPUTED_VALUE"""),"TisBest : Monthly Services")</f>
        <v>TisBest : Monthly Services</v>
      </c>
      <c r="B2274" s="223" t="str">
        <f>IFERROR(__xludf.DUMMYFUNCTION("""COMPUTED_VALUE"""),"TisBest")</f>
        <v>TisBest</v>
      </c>
      <c r="C2274" s="223" t="str">
        <f>IFERROR(__xludf.DUMMYFUNCTION("""COMPUTED_VALUE"""),"Monthly Services")</f>
        <v>Monthly Services</v>
      </c>
      <c r="D2274" s="316">
        <f>IFERROR(__xludf.DUMMYFUNCTION("""COMPUTED_VALUE"""),44926.0)</f>
        <v>44926</v>
      </c>
      <c r="E2274" s="298"/>
      <c r="F2274" s="298"/>
      <c r="G2274" s="298"/>
      <c r="H2274" s="223"/>
      <c r="I2274" s="298">
        <f>IFERROR(__xludf.DUMMYFUNCTION("""COMPUTED_VALUE"""),787.5)</f>
        <v>787.5</v>
      </c>
      <c r="J2274" s="223" t="str">
        <f>IFERROR(__xludf.DUMMYFUNCTION("""COMPUTED_VALUE"""),"Monthly")</f>
        <v>Monthly</v>
      </c>
      <c r="K2274" s="317">
        <f>IFERROR(__xludf.DUMMYFUNCTION("""COMPUTED_VALUE"""),2022.12)</f>
        <v>2022.12</v>
      </c>
      <c r="L2274" s="298"/>
      <c r="M2274" s="223"/>
      <c r="N2274" s="223"/>
      <c r="O2274" s="223"/>
      <c r="P2274" s="223"/>
      <c r="Q2274" s="223"/>
      <c r="R2274" s="223"/>
      <c r="S2274" s="223"/>
      <c r="T2274" s="223"/>
      <c r="U2274" s="223"/>
      <c r="V2274" s="223"/>
      <c r="W2274" s="223"/>
      <c r="X2274" s="223"/>
      <c r="Y2274" s="223"/>
      <c r="Z2274" s="223"/>
    </row>
    <row r="2275">
      <c r="A2275" s="223" t="str">
        <f>IFERROR(__xludf.DUMMYFUNCTION("""COMPUTED_VALUE"""),"Tofino Resort + Marina : Monthly Services")</f>
        <v>Tofino Resort + Marina : Monthly Services</v>
      </c>
      <c r="B2275" s="223" t="str">
        <f>IFERROR(__xludf.DUMMYFUNCTION("""COMPUTED_VALUE"""),"Tofino Resort + Marina")</f>
        <v>Tofino Resort + Marina</v>
      </c>
      <c r="C2275" s="223" t="str">
        <f>IFERROR(__xludf.DUMMYFUNCTION("""COMPUTED_VALUE"""),"Monthly Services")</f>
        <v>Monthly Services</v>
      </c>
      <c r="D2275" s="316">
        <f>IFERROR(__xludf.DUMMYFUNCTION("""COMPUTED_VALUE"""),44926.0)</f>
        <v>44926</v>
      </c>
      <c r="E2275" s="298"/>
      <c r="F2275" s="298"/>
      <c r="G2275" s="298"/>
      <c r="H2275" s="223"/>
      <c r="I2275" s="298">
        <f>IFERROR(__xludf.DUMMYFUNCTION("""COMPUTED_VALUE"""),450.0)</f>
        <v>450</v>
      </c>
      <c r="J2275" s="223" t="str">
        <f>IFERROR(__xludf.DUMMYFUNCTION("""COMPUTED_VALUE"""),"Monthly")</f>
        <v>Monthly</v>
      </c>
      <c r="K2275" s="317">
        <f>IFERROR(__xludf.DUMMYFUNCTION("""COMPUTED_VALUE"""),2022.12)</f>
        <v>2022.12</v>
      </c>
      <c r="L2275" s="298"/>
      <c r="M2275" s="223"/>
      <c r="N2275" s="223"/>
      <c r="O2275" s="223"/>
      <c r="P2275" s="223"/>
      <c r="Q2275" s="223"/>
      <c r="R2275" s="223"/>
      <c r="S2275" s="223"/>
      <c r="T2275" s="223"/>
      <c r="U2275" s="223"/>
      <c r="V2275" s="223"/>
      <c r="W2275" s="223"/>
      <c r="X2275" s="223"/>
      <c r="Y2275" s="223"/>
      <c r="Z2275" s="223"/>
    </row>
    <row r="2276">
      <c r="A2276" s="223" t="str">
        <f>IFERROR(__xludf.DUMMYFUNCTION("""COMPUTED_VALUE"""),"Availed Technologies : Monthly Services")</f>
        <v>Availed Technologies : Monthly Services</v>
      </c>
      <c r="B2276" s="223" t="str">
        <f>IFERROR(__xludf.DUMMYFUNCTION("""COMPUTED_VALUE"""),"Availed Technologies")</f>
        <v>Availed Technologies</v>
      </c>
      <c r="C2276" s="223" t="str">
        <f>IFERROR(__xludf.DUMMYFUNCTION("""COMPUTED_VALUE"""),"Monthly Services")</f>
        <v>Monthly Services</v>
      </c>
      <c r="D2276" s="316">
        <f>IFERROR(__xludf.DUMMYFUNCTION("""COMPUTED_VALUE"""),44926.0)</f>
        <v>44926</v>
      </c>
      <c r="E2276" s="298"/>
      <c r="F2276" s="298"/>
      <c r="G2276" s="298"/>
      <c r="H2276" s="223"/>
      <c r="I2276" s="298">
        <f>IFERROR(__xludf.DUMMYFUNCTION("""COMPUTED_VALUE"""),337.5)</f>
        <v>337.5</v>
      </c>
      <c r="J2276" s="223" t="str">
        <f>IFERROR(__xludf.DUMMYFUNCTION("""COMPUTED_VALUE"""),"Monthly")</f>
        <v>Monthly</v>
      </c>
      <c r="K2276" s="317">
        <f>IFERROR(__xludf.DUMMYFUNCTION("""COMPUTED_VALUE"""),2022.12)</f>
        <v>2022.12</v>
      </c>
      <c r="L2276" s="298"/>
      <c r="M2276" s="223"/>
      <c r="N2276" s="223"/>
      <c r="O2276" s="223"/>
      <c r="P2276" s="223"/>
      <c r="Q2276" s="223"/>
      <c r="R2276" s="223"/>
      <c r="S2276" s="223"/>
      <c r="T2276" s="223"/>
      <c r="U2276" s="223"/>
      <c r="V2276" s="223"/>
      <c r="W2276" s="223"/>
      <c r="X2276" s="223"/>
      <c r="Y2276" s="223"/>
      <c r="Z2276" s="223"/>
    </row>
    <row r="2277">
      <c r="A2277" s="223" t="str">
        <f>IFERROR(__xludf.DUMMYFUNCTION("""COMPUTED_VALUE"""),"Community Financials : Monthly Services")</f>
        <v>Community Financials : Monthly Services</v>
      </c>
      <c r="B2277" s="223" t="str">
        <f>IFERROR(__xludf.DUMMYFUNCTION("""COMPUTED_VALUE"""),"Community Financials")</f>
        <v>Community Financials</v>
      </c>
      <c r="C2277" s="223" t="str">
        <f>IFERROR(__xludf.DUMMYFUNCTION("""COMPUTED_VALUE"""),"Monthly Services")</f>
        <v>Monthly Services</v>
      </c>
      <c r="D2277" s="316">
        <f>IFERROR(__xludf.DUMMYFUNCTION("""COMPUTED_VALUE"""),44926.0)</f>
        <v>44926</v>
      </c>
      <c r="E2277" s="298"/>
      <c r="F2277" s="298"/>
      <c r="G2277" s="298"/>
      <c r="H2277" s="223"/>
      <c r="I2277" s="298">
        <f>IFERROR(__xludf.DUMMYFUNCTION("""COMPUTED_VALUE"""),590.0)</f>
        <v>590</v>
      </c>
      <c r="J2277" s="223" t="str">
        <f>IFERROR(__xludf.DUMMYFUNCTION("""COMPUTED_VALUE"""),"Monthly")</f>
        <v>Monthly</v>
      </c>
      <c r="K2277" s="317">
        <f>IFERROR(__xludf.DUMMYFUNCTION("""COMPUTED_VALUE"""),2022.12)</f>
        <v>2022.12</v>
      </c>
      <c r="L2277" s="298"/>
      <c r="M2277" s="223"/>
      <c r="N2277" s="223"/>
      <c r="O2277" s="223"/>
      <c r="P2277" s="223"/>
      <c r="Q2277" s="223"/>
      <c r="R2277" s="223"/>
      <c r="S2277" s="223"/>
      <c r="T2277" s="223"/>
      <c r="U2277" s="223"/>
      <c r="V2277" s="223"/>
      <c r="W2277" s="223"/>
      <c r="X2277" s="223"/>
      <c r="Y2277" s="223"/>
      <c r="Z2277" s="223"/>
    </row>
    <row r="2278">
      <c r="A2278" s="223" t="str">
        <f>IFERROR(__xludf.DUMMYFUNCTION("""COMPUTED_VALUE"""),"Howard Fine Jewellers : Ongoing PPC and SEO Support")</f>
        <v>Howard Fine Jewellers : Ongoing PPC and SEO Support</v>
      </c>
      <c r="B2278" s="223" t="str">
        <f>IFERROR(__xludf.DUMMYFUNCTION("""COMPUTED_VALUE"""),"Howard Fine Jewellers")</f>
        <v>Howard Fine Jewellers</v>
      </c>
      <c r="C2278" s="223" t="str">
        <f>IFERROR(__xludf.DUMMYFUNCTION("""COMPUTED_VALUE"""),"Ongoing PPC and SEO Support")</f>
        <v>Ongoing PPC and SEO Support</v>
      </c>
      <c r="D2278" s="316">
        <f>IFERROR(__xludf.DUMMYFUNCTION("""COMPUTED_VALUE"""),44926.0)</f>
        <v>44926</v>
      </c>
      <c r="E2278" s="298"/>
      <c r="F2278" s="298"/>
      <c r="G2278" s="298"/>
      <c r="H2278" s="223"/>
      <c r="I2278" s="298">
        <f>IFERROR(__xludf.DUMMYFUNCTION("""COMPUTED_VALUE"""),262.5)</f>
        <v>262.5</v>
      </c>
      <c r="J2278" s="223" t="str">
        <f>IFERROR(__xludf.DUMMYFUNCTION("""COMPUTED_VALUE"""),"Monthly")</f>
        <v>Monthly</v>
      </c>
      <c r="K2278" s="317">
        <f>IFERROR(__xludf.DUMMYFUNCTION("""COMPUTED_VALUE"""),2022.12)</f>
        <v>2022.12</v>
      </c>
      <c r="L2278" s="298"/>
      <c r="M2278" s="223"/>
      <c r="N2278" s="223"/>
      <c r="O2278" s="223"/>
      <c r="P2278" s="223"/>
      <c r="Q2278" s="223"/>
      <c r="R2278" s="223"/>
      <c r="S2278" s="223"/>
      <c r="T2278" s="223"/>
      <c r="U2278" s="223"/>
      <c r="V2278" s="223"/>
      <c r="W2278" s="223"/>
      <c r="X2278" s="223"/>
      <c r="Y2278" s="223"/>
      <c r="Z2278" s="223"/>
    </row>
    <row r="2279">
      <c r="A2279" s="223" t="str">
        <f>IFERROR(__xludf.DUMMYFUNCTION("""COMPUTED_VALUE"""),"Red Seal : Monthly Services")</f>
        <v>Red Seal : Monthly Services</v>
      </c>
      <c r="B2279" s="223" t="str">
        <f>IFERROR(__xludf.DUMMYFUNCTION("""COMPUTED_VALUE"""),"Red Seal")</f>
        <v>Red Seal</v>
      </c>
      <c r="C2279" s="223" t="str">
        <f>IFERROR(__xludf.DUMMYFUNCTION("""COMPUTED_VALUE"""),"Monthly Services")</f>
        <v>Monthly Services</v>
      </c>
      <c r="D2279" s="316">
        <f>IFERROR(__xludf.DUMMYFUNCTION("""COMPUTED_VALUE"""),44926.0)</f>
        <v>44926</v>
      </c>
      <c r="E2279" s="298"/>
      <c r="F2279" s="298"/>
      <c r="G2279" s="298"/>
      <c r="H2279" s="223"/>
      <c r="I2279" s="298">
        <f>IFERROR(__xludf.DUMMYFUNCTION("""COMPUTED_VALUE"""),540.0)</f>
        <v>540</v>
      </c>
      <c r="J2279" s="223" t="str">
        <f>IFERROR(__xludf.DUMMYFUNCTION("""COMPUTED_VALUE"""),"Monthly")</f>
        <v>Monthly</v>
      </c>
      <c r="K2279" s="317">
        <f>IFERROR(__xludf.DUMMYFUNCTION("""COMPUTED_VALUE"""),2022.12)</f>
        <v>2022.12</v>
      </c>
      <c r="L2279" s="298"/>
      <c r="M2279" s="223"/>
      <c r="N2279" s="223"/>
      <c r="O2279" s="223"/>
      <c r="P2279" s="223"/>
      <c r="Q2279" s="223"/>
      <c r="R2279" s="223"/>
      <c r="S2279" s="223"/>
      <c r="T2279" s="223"/>
      <c r="U2279" s="223"/>
      <c r="V2279" s="223"/>
      <c r="W2279" s="223"/>
      <c r="X2279" s="223"/>
      <c r="Y2279" s="223"/>
      <c r="Z2279" s="223"/>
    </row>
    <row r="2280">
      <c r="A2280" s="223" t="str">
        <f>IFERROR(__xludf.DUMMYFUNCTION("""COMPUTED_VALUE"""),"Arcwell : Arcwell Initial Reveiw")</f>
        <v>Arcwell : Arcwell Initial Reveiw</v>
      </c>
      <c r="B2280" s="223" t="str">
        <f>IFERROR(__xludf.DUMMYFUNCTION("""COMPUTED_VALUE"""),"Arcwell")</f>
        <v>Arcwell</v>
      </c>
      <c r="C2280" s="223" t="str">
        <f>IFERROR(__xludf.DUMMYFUNCTION("""COMPUTED_VALUE"""),"Arcwell Initial Reveiw")</f>
        <v>Arcwell Initial Reveiw</v>
      </c>
      <c r="D2280" s="316">
        <f>IFERROR(__xludf.DUMMYFUNCTION("""COMPUTED_VALUE"""),44926.0)</f>
        <v>44926</v>
      </c>
      <c r="E2280" s="298"/>
      <c r="F2280" s="298"/>
      <c r="G2280" s="298"/>
      <c r="H2280" s="223"/>
      <c r="I2280" s="298">
        <f>IFERROR(__xludf.DUMMYFUNCTION("""COMPUTED_VALUE"""),415.0)</f>
        <v>415</v>
      </c>
      <c r="J2280" s="223" t="str">
        <f>IFERROR(__xludf.DUMMYFUNCTION("""COMPUTED_VALUE"""),"Fixed Project")</f>
        <v>Fixed Project</v>
      </c>
      <c r="K2280" s="317">
        <f>IFERROR(__xludf.DUMMYFUNCTION("""COMPUTED_VALUE"""),2022.0)</f>
        <v>2022</v>
      </c>
      <c r="L2280" s="298"/>
      <c r="M2280" s="223"/>
      <c r="N2280" s="223"/>
      <c r="O2280" s="223"/>
      <c r="P2280" s="223"/>
      <c r="Q2280" s="223"/>
      <c r="R2280" s="223"/>
      <c r="S2280" s="223"/>
      <c r="T2280" s="223"/>
      <c r="U2280" s="223"/>
      <c r="V2280" s="223"/>
      <c r="W2280" s="223"/>
      <c r="X2280" s="223"/>
      <c r="Y2280" s="223"/>
      <c r="Z2280" s="223"/>
    </row>
    <row r="2281">
      <c r="A2281" s="223" t="str">
        <f>IFERROR(__xludf.DUMMYFUNCTION("""COMPUTED_VALUE"""),"STNVideo : SEO Audit")</f>
        <v>STNVideo : SEO Audit</v>
      </c>
      <c r="B2281" s="223" t="str">
        <f>IFERROR(__xludf.DUMMYFUNCTION("""COMPUTED_VALUE"""),"STNVideo")</f>
        <v>STNVideo</v>
      </c>
      <c r="C2281" s="223" t="str">
        <f>IFERROR(__xludf.DUMMYFUNCTION("""COMPUTED_VALUE"""),"SEO Audit")</f>
        <v>SEO Audit</v>
      </c>
      <c r="D2281" s="316">
        <f>IFERROR(__xludf.DUMMYFUNCTION("""COMPUTED_VALUE"""),44926.0)</f>
        <v>44926</v>
      </c>
      <c r="E2281" s="298"/>
      <c r="F2281" s="298"/>
      <c r="G2281" s="298"/>
      <c r="H2281" s="223"/>
      <c r="I2281" s="298">
        <f>IFERROR(__xludf.DUMMYFUNCTION("""COMPUTED_VALUE"""),450.0)</f>
        <v>450</v>
      </c>
      <c r="J2281" s="223" t="str">
        <f>IFERROR(__xludf.DUMMYFUNCTION("""COMPUTED_VALUE"""),"Fixed Project")</f>
        <v>Fixed Project</v>
      </c>
      <c r="K2281" s="317">
        <f>IFERROR(__xludf.DUMMYFUNCTION("""COMPUTED_VALUE"""),2022.0)</f>
        <v>2022</v>
      </c>
      <c r="L2281" s="298"/>
      <c r="M2281" s="223"/>
      <c r="N2281" s="223"/>
      <c r="O2281" s="223"/>
      <c r="P2281" s="223"/>
      <c r="Q2281" s="223"/>
      <c r="R2281" s="223"/>
      <c r="S2281" s="223"/>
      <c r="T2281" s="223"/>
      <c r="U2281" s="223"/>
      <c r="V2281" s="223"/>
      <c r="W2281" s="223"/>
      <c r="X2281" s="223"/>
      <c r="Y2281" s="223"/>
      <c r="Z2281" s="223"/>
    </row>
    <row r="2282">
      <c r="A2282" s="223" t="str">
        <f>IFERROR(__xludf.DUMMYFUNCTION("""COMPUTED_VALUE"""),"Canyon's Construction : PPC, LP &amp; Listings")</f>
        <v>Canyon's Construction : PPC, LP &amp; Listings</v>
      </c>
      <c r="B2282" s="223" t="str">
        <f>IFERROR(__xludf.DUMMYFUNCTION("""COMPUTED_VALUE"""),"Canyon's Construction")</f>
        <v>Canyon's Construction</v>
      </c>
      <c r="C2282" s="223" t="str">
        <f>IFERROR(__xludf.DUMMYFUNCTION("""COMPUTED_VALUE"""),"PPC, LP &amp; Listings")</f>
        <v>PPC, LP &amp; Listings</v>
      </c>
      <c r="D2282" s="316">
        <f>IFERROR(__xludf.DUMMYFUNCTION("""COMPUTED_VALUE"""),44926.0)</f>
        <v>44926</v>
      </c>
      <c r="E2282" s="298"/>
      <c r="F2282" s="298"/>
      <c r="G2282" s="298"/>
      <c r="H2282" s="223"/>
      <c r="I2282" s="298">
        <f>IFERROR(__xludf.DUMMYFUNCTION("""COMPUTED_VALUE"""),500.0)</f>
        <v>500</v>
      </c>
      <c r="J2282" s="223" t="str">
        <f>IFERROR(__xludf.DUMMYFUNCTION("""COMPUTED_VALUE"""),"Fixed Project")</f>
        <v>Fixed Project</v>
      </c>
      <c r="K2282" s="317">
        <f>IFERROR(__xludf.DUMMYFUNCTION("""COMPUTED_VALUE"""),2022.0)</f>
        <v>2022</v>
      </c>
      <c r="L2282" s="298"/>
      <c r="M2282" s="223"/>
      <c r="N2282" s="223"/>
      <c r="O2282" s="223"/>
      <c r="P2282" s="223"/>
      <c r="Q2282" s="223"/>
      <c r="R2282" s="223"/>
      <c r="S2282" s="223"/>
      <c r="T2282" s="223"/>
      <c r="U2282" s="223"/>
      <c r="V2282" s="223"/>
      <c r="W2282" s="223"/>
      <c r="X2282" s="223"/>
      <c r="Y2282" s="223"/>
      <c r="Z2282" s="223"/>
    </row>
    <row r="2283">
      <c r="A2283" s="223" t="str">
        <f>IFERROR(__xludf.DUMMYFUNCTION("""COMPUTED_VALUE"""),"Continuity Programs Inc. : Other Projects")</f>
        <v>Continuity Programs Inc. : Other Projects</v>
      </c>
      <c r="B2283" s="223" t="str">
        <f>IFERROR(__xludf.DUMMYFUNCTION("""COMPUTED_VALUE"""),"Continuity Programs Inc.")</f>
        <v>Continuity Programs Inc.</v>
      </c>
      <c r="C2283" s="223" t="str">
        <f>IFERROR(__xludf.DUMMYFUNCTION("""COMPUTED_VALUE"""),"Other Projects")</f>
        <v>Other Projects</v>
      </c>
      <c r="D2283" s="316">
        <f>IFERROR(__xludf.DUMMYFUNCTION("""COMPUTED_VALUE"""),44926.0)</f>
        <v>44926</v>
      </c>
      <c r="E2283" s="298"/>
      <c r="F2283" s="298"/>
      <c r="G2283" s="298"/>
      <c r="H2283" s="223"/>
      <c r="I2283" s="298">
        <f>IFERROR(__xludf.DUMMYFUNCTION("""COMPUTED_VALUE"""),30.0)</f>
        <v>30</v>
      </c>
      <c r="J2283" s="223" t="str">
        <f>IFERROR(__xludf.DUMMYFUNCTION("""COMPUTED_VALUE"""),"Fixed Project")</f>
        <v>Fixed Project</v>
      </c>
      <c r="K2283" s="317">
        <f>IFERROR(__xludf.DUMMYFUNCTION("""COMPUTED_VALUE"""),2022.0)</f>
        <v>2022</v>
      </c>
      <c r="L2283" s="298"/>
      <c r="M2283" s="223"/>
      <c r="N2283" s="223"/>
      <c r="O2283" s="223"/>
      <c r="P2283" s="223"/>
      <c r="Q2283" s="223"/>
      <c r="R2283" s="223"/>
      <c r="S2283" s="223"/>
      <c r="T2283" s="223"/>
      <c r="U2283" s="223"/>
      <c r="V2283" s="223"/>
      <c r="W2283" s="223"/>
      <c r="X2283" s="223"/>
      <c r="Y2283" s="223"/>
      <c r="Z2283" s="223"/>
    </row>
    <row r="2284">
      <c r="A2284" s="223" t="str">
        <f>IFERROR(__xludf.DUMMYFUNCTION("""COMPUTED_VALUE"""),"PlusROI : Overhead")</f>
        <v>PlusROI : Overhead</v>
      </c>
      <c r="B2284" s="223" t="str">
        <f>IFERROR(__xludf.DUMMYFUNCTION("""COMPUTED_VALUE"""),"PlusROI")</f>
        <v>PlusROI</v>
      </c>
      <c r="C2284" s="223" t="str">
        <f>IFERROR(__xludf.DUMMYFUNCTION("""COMPUTED_VALUE"""),"Overhead")</f>
        <v>Overhead</v>
      </c>
      <c r="D2284" s="316">
        <f>IFERROR(__xludf.DUMMYFUNCTION("""COMPUTED_VALUE"""),44940.0)</f>
        <v>44940</v>
      </c>
      <c r="E2284" s="298"/>
      <c r="F2284" s="298"/>
      <c r="G2284" s="298"/>
      <c r="H2284" s="223"/>
      <c r="I2284" s="298">
        <f>IFERROR(__xludf.DUMMYFUNCTION("""COMPUTED_VALUE"""),3.13)</f>
        <v>3.13</v>
      </c>
      <c r="J2284" s="223" t="str">
        <f>IFERROR(__xludf.DUMMYFUNCTION("""COMPUTED_VALUE"""),"Hourly")</f>
        <v>Hourly</v>
      </c>
      <c r="K2284" s="317">
        <f>IFERROR(__xludf.DUMMYFUNCTION("""COMPUTED_VALUE"""),2023.0)</f>
        <v>2023</v>
      </c>
      <c r="L2284" s="298"/>
      <c r="M2284" s="223"/>
      <c r="N2284" s="223"/>
      <c r="O2284" s="223"/>
      <c r="P2284" s="223"/>
      <c r="Q2284" s="223"/>
      <c r="R2284" s="223"/>
      <c r="S2284" s="223"/>
      <c r="T2284" s="223"/>
      <c r="U2284" s="223"/>
      <c r="V2284" s="223"/>
      <c r="W2284" s="223"/>
      <c r="X2284" s="223"/>
      <c r="Y2284" s="223"/>
      <c r="Z2284" s="223"/>
    </row>
    <row r="2285">
      <c r="A2285" s="223" t="str">
        <f>IFERROR(__xludf.DUMMYFUNCTION("""COMPUTED_VALUE"""),"PlusROI : Overhead")</f>
        <v>PlusROI : Overhead</v>
      </c>
      <c r="B2285" s="223" t="str">
        <f>IFERROR(__xludf.DUMMYFUNCTION("""COMPUTED_VALUE"""),"PlusROI")</f>
        <v>PlusROI</v>
      </c>
      <c r="C2285" s="223" t="str">
        <f>IFERROR(__xludf.DUMMYFUNCTION("""COMPUTED_VALUE"""),"Overhead")</f>
        <v>Overhead</v>
      </c>
      <c r="D2285" s="316">
        <f>IFERROR(__xludf.DUMMYFUNCTION("""COMPUTED_VALUE"""),44940.0)</f>
        <v>44940</v>
      </c>
      <c r="E2285" s="298"/>
      <c r="F2285" s="298"/>
      <c r="G2285" s="298"/>
      <c r="H2285" s="223"/>
      <c r="I2285" s="298">
        <f>IFERROR(__xludf.DUMMYFUNCTION("""COMPUTED_VALUE"""),138.91)</f>
        <v>138.91</v>
      </c>
      <c r="J2285" s="223" t="str">
        <f>IFERROR(__xludf.DUMMYFUNCTION("""COMPUTED_VALUE"""),"Hourly")</f>
        <v>Hourly</v>
      </c>
      <c r="K2285" s="317">
        <f>IFERROR(__xludf.DUMMYFUNCTION("""COMPUTED_VALUE"""),2023.0)</f>
        <v>2023</v>
      </c>
      <c r="L2285" s="298"/>
      <c r="M2285" s="223"/>
      <c r="N2285" s="223"/>
      <c r="O2285" s="223"/>
      <c r="P2285" s="223"/>
      <c r="Q2285" s="223"/>
      <c r="R2285" s="223"/>
      <c r="S2285" s="223"/>
      <c r="T2285" s="223"/>
      <c r="U2285" s="223"/>
      <c r="V2285" s="223"/>
      <c r="W2285" s="223"/>
      <c r="X2285" s="223"/>
      <c r="Y2285" s="223"/>
      <c r="Z2285" s="223"/>
    </row>
    <row r="2286">
      <c r="A2286" s="223" t="str">
        <f>IFERROR(__xludf.DUMMYFUNCTION("""COMPUTED_VALUE"""),"PlusROI : Marketing")</f>
        <v>PlusROI : Marketing</v>
      </c>
      <c r="B2286" s="223" t="str">
        <f>IFERROR(__xludf.DUMMYFUNCTION("""COMPUTED_VALUE"""),"PlusROI")</f>
        <v>PlusROI</v>
      </c>
      <c r="C2286" s="223" t="str">
        <f>IFERROR(__xludf.DUMMYFUNCTION("""COMPUTED_VALUE"""),"Marketing")</f>
        <v>Marketing</v>
      </c>
      <c r="D2286" s="316">
        <f>IFERROR(__xludf.DUMMYFUNCTION("""COMPUTED_VALUE"""),44940.0)</f>
        <v>44940</v>
      </c>
      <c r="E2286" s="298"/>
      <c r="F2286" s="298"/>
      <c r="G2286" s="298"/>
      <c r="H2286" s="223"/>
      <c r="I2286" s="298">
        <f>IFERROR(__xludf.DUMMYFUNCTION("""COMPUTED_VALUE"""),420.0)</f>
        <v>420</v>
      </c>
      <c r="J2286" s="223" t="str">
        <f>IFERROR(__xludf.DUMMYFUNCTION("""COMPUTED_VALUE"""),"Hourly")</f>
        <v>Hourly</v>
      </c>
      <c r="K2286" s="317">
        <f>IFERROR(__xludf.DUMMYFUNCTION("""COMPUTED_VALUE"""),2023.0)</f>
        <v>2023</v>
      </c>
      <c r="L2286" s="298"/>
      <c r="M2286" s="223"/>
      <c r="N2286" s="223"/>
      <c r="O2286" s="223"/>
      <c r="P2286" s="223"/>
      <c r="Q2286" s="223"/>
      <c r="R2286" s="223"/>
      <c r="S2286" s="223"/>
      <c r="T2286" s="223"/>
      <c r="U2286" s="223"/>
      <c r="V2286" s="223"/>
      <c r="W2286" s="223"/>
      <c r="X2286" s="223"/>
      <c r="Y2286" s="223"/>
      <c r="Z2286" s="223"/>
    </row>
    <row r="2287">
      <c r="A2287" s="223" t="str">
        <f>IFERROR(__xludf.DUMMYFUNCTION("""COMPUTED_VALUE"""),"PlusROI : Overhead")</f>
        <v>PlusROI : Overhead</v>
      </c>
      <c r="B2287" s="223" t="str">
        <f>IFERROR(__xludf.DUMMYFUNCTION("""COMPUTED_VALUE"""),"PlusROI")</f>
        <v>PlusROI</v>
      </c>
      <c r="C2287" s="223" t="str">
        <f>IFERROR(__xludf.DUMMYFUNCTION("""COMPUTED_VALUE"""),"Overhead")</f>
        <v>Overhead</v>
      </c>
      <c r="D2287" s="316">
        <f>IFERROR(__xludf.DUMMYFUNCTION("""COMPUTED_VALUE"""),44940.0)</f>
        <v>44940</v>
      </c>
      <c r="E2287" s="298"/>
      <c r="F2287" s="298"/>
      <c r="G2287" s="298"/>
      <c r="H2287" s="223"/>
      <c r="I2287" s="298">
        <f>IFERROR(__xludf.DUMMYFUNCTION("""COMPUTED_VALUE"""),14.97)</f>
        <v>14.97</v>
      </c>
      <c r="J2287" s="223" t="str">
        <f>IFERROR(__xludf.DUMMYFUNCTION("""COMPUTED_VALUE"""),"Hourly")</f>
        <v>Hourly</v>
      </c>
      <c r="K2287" s="317">
        <f>IFERROR(__xludf.DUMMYFUNCTION("""COMPUTED_VALUE"""),2023.0)</f>
        <v>2023</v>
      </c>
      <c r="L2287" s="298"/>
      <c r="M2287" s="223"/>
      <c r="N2287" s="223"/>
      <c r="O2287" s="223"/>
      <c r="P2287" s="223"/>
      <c r="Q2287" s="223"/>
      <c r="R2287" s="223"/>
      <c r="S2287" s="223"/>
      <c r="T2287" s="223"/>
      <c r="U2287" s="223"/>
      <c r="V2287" s="223"/>
      <c r="W2287" s="223"/>
      <c r="X2287" s="223"/>
      <c r="Y2287" s="223"/>
      <c r="Z2287" s="223"/>
    </row>
    <row r="2288">
      <c r="A2288" s="223" t="str">
        <f>IFERROR(__xludf.DUMMYFUNCTION("""COMPUTED_VALUE"""),"Venetian : Monthly Services")</f>
        <v>Venetian : Monthly Services</v>
      </c>
      <c r="B2288" s="223" t="str">
        <f>IFERROR(__xludf.DUMMYFUNCTION("""COMPUTED_VALUE"""),"Venetian")</f>
        <v>Venetian</v>
      </c>
      <c r="C2288" s="223" t="str">
        <f>IFERROR(__xludf.DUMMYFUNCTION("""COMPUTED_VALUE"""),"Monthly Services")</f>
        <v>Monthly Services</v>
      </c>
      <c r="D2288" s="316">
        <f>IFERROR(__xludf.DUMMYFUNCTION("""COMPUTED_VALUE"""),44916.0)</f>
        <v>44916</v>
      </c>
      <c r="E2288" s="298"/>
      <c r="F2288" s="298"/>
      <c r="G2288" s="298"/>
      <c r="H2288" s="223"/>
      <c r="I2288" s="298">
        <f>IFERROR(__xludf.DUMMYFUNCTION("""COMPUTED_VALUE"""),750.0)</f>
        <v>750</v>
      </c>
      <c r="J2288" s="223" t="str">
        <f>IFERROR(__xludf.DUMMYFUNCTION("""COMPUTED_VALUE"""),"Monthly")</f>
        <v>Monthly</v>
      </c>
      <c r="K2288" s="317">
        <f>IFERROR(__xludf.DUMMYFUNCTION("""COMPUTED_VALUE"""),2022.12)</f>
        <v>2022.12</v>
      </c>
      <c r="L2288" s="298">
        <f>IFERROR(__xludf.DUMMYFUNCTION("""COMPUTED_VALUE"""),750.0)</f>
        <v>750</v>
      </c>
      <c r="M2288" s="223"/>
      <c r="N2288" s="223"/>
      <c r="O2288" s="223"/>
      <c r="P2288" s="223"/>
      <c r="Q2288" s="223"/>
      <c r="R2288" s="223"/>
      <c r="S2288" s="223"/>
      <c r="T2288" s="223"/>
      <c r="U2288" s="223"/>
      <c r="V2288" s="223"/>
      <c r="W2288" s="223"/>
      <c r="X2288" s="223"/>
      <c r="Y2288" s="223"/>
      <c r="Z2288" s="223"/>
    </row>
    <row r="2289">
      <c r="A2289" s="223" t="str">
        <f>IFERROR(__xludf.DUMMYFUNCTION("""COMPUTED_VALUE"""),"Tuscany : Monthly Services")</f>
        <v>Tuscany : Monthly Services</v>
      </c>
      <c r="B2289" s="223" t="str">
        <f>IFERROR(__xludf.DUMMYFUNCTION("""COMPUTED_VALUE"""),"Tuscany")</f>
        <v>Tuscany</v>
      </c>
      <c r="C2289" s="223" t="str">
        <f>IFERROR(__xludf.DUMMYFUNCTION("""COMPUTED_VALUE"""),"Monthly Services")</f>
        <v>Monthly Services</v>
      </c>
      <c r="D2289" s="316">
        <f>IFERROR(__xludf.DUMMYFUNCTION("""COMPUTED_VALUE"""),44920.0)</f>
        <v>44920</v>
      </c>
      <c r="E2289" s="298"/>
      <c r="F2289" s="298"/>
      <c r="G2289" s="298"/>
      <c r="H2289" s="223"/>
      <c r="I2289" s="298">
        <f>IFERROR(__xludf.DUMMYFUNCTION("""COMPUTED_VALUE"""),750.0)</f>
        <v>750</v>
      </c>
      <c r="J2289" s="223" t="str">
        <f>IFERROR(__xludf.DUMMYFUNCTION("""COMPUTED_VALUE"""),"Monthly")</f>
        <v>Monthly</v>
      </c>
      <c r="K2289" s="317">
        <f>IFERROR(__xludf.DUMMYFUNCTION("""COMPUTED_VALUE"""),2022.12)</f>
        <v>2022.12</v>
      </c>
      <c r="L2289" s="298">
        <f>IFERROR(__xludf.DUMMYFUNCTION("""COMPUTED_VALUE"""),750.0)</f>
        <v>750</v>
      </c>
      <c r="M2289" s="223"/>
      <c r="N2289" s="223"/>
      <c r="O2289" s="223"/>
      <c r="P2289" s="223"/>
      <c r="Q2289" s="223"/>
      <c r="R2289" s="223"/>
      <c r="S2289" s="223"/>
      <c r="T2289" s="223"/>
      <c r="U2289" s="223"/>
      <c r="V2289" s="223"/>
      <c r="W2289" s="223"/>
      <c r="X2289" s="223"/>
      <c r="Y2289" s="223"/>
      <c r="Z2289" s="223"/>
    </row>
    <row r="2290">
      <c r="A2290" s="223" t="str">
        <f>IFERROR(__xludf.DUMMYFUNCTION("""COMPUTED_VALUE"""),"Spraggs : Monthly Services")</f>
        <v>Spraggs : Monthly Services</v>
      </c>
      <c r="B2290" s="223" t="str">
        <f>IFERROR(__xludf.DUMMYFUNCTION("""COMPUTED_VALUE"""),"Spraggs")</f>
        <v>Spraggs</v>
      </c>
      <c r="C2290" s="223" t="str">
        <f>IFERROR(__xludf.DUMMYFUNCTION("""COMPUTED_VALUE"""),"Monthly Services")</f>
        <v>Monthly Services</v>
      </c>
      <c r="D2290" s="316">
        <f>IFERROR(__xludf.DUMMYFUNCTION("""COMPUTED_VALUE"""),44920.0)</f>
        <v>44920</v>
      </c>
      <c r="E2290" s="298"/>
      <c r="F2290" s="298"/>
      <c r="G2290" s="298"/>
      <c r="H2290" s="223"/>
      <c r="I2290" s="298">
        <f>IFERROR(__xludf.DUMMYFUNCTION("""COMPUTED_VALUE"""),81.73)</f>
        <v>81.73</v>
      </c>
      <c r="J2290" s="223" t="str">
        <f>IFERROR(__xludf.DUMMYFUNCTION("""COMPUTED_VALUE"""),"Monthly")</f>
        <v>Monthly</v>
      </c>
      <c r="K2290" s="317">
        <f>IFERROR(__xludf.DUMMYFUNCTION("""COMPUTED_VALUE"""),2022.12)</f>
        <v>2022.12</v>
      </c>
      <c r="L2290" s="298">
        <f>IFERROR(__xludf.DUMMYFUNCTION("""COMPUTED_VALUE"""),81.73)</f>
        <v>81.73</v>
      </c>
      <c r="M2290" s="223"/>
      <c r="N2290" s="223"/>
      <c r="O2290" s="223"/>
      <c r="P2290" s="223"/>
      <c r="Q2290" s="223"/>
      <c r="R2290" s="223"/>
      <c r="S2290" s="223"/>
      <c r="T2290" s="223"/>
      <c r="U2290" s="223"/>
      <c r="V2290" s="223"/>
      <c r="W2290" s="223"/>
      <c r="X2290" s="223"/>
      <c r="Y2290" s="223"/>
      <c r="Z2290" s="223"/>
    </row>
    <row r="2291">
      <c r="A2291" s="223" t="str">
        <f>IFERROR(__xludf.DUMMYFUNCTION("""COMPUTED_VALUE"""),"The Palms : 10 Hour General Support Block")</f>
        <v>The Palms : 10 Hour General Support Block</v>
      </c>
      <c r="B2291" s="223" t="str">
        <f>IFERROR(__xludf.DUMMYFUNCTION("""COMPUTED_VALUE"""),"The Palms")</f>
        <v>The Palms</v>
      </c>
      <c r="C2291" s="223" t="str">
        <f>IFERROR(__xludf.DUMMYFUNCTION("""COMPUTED_VALUE"""),"10 Hour General Support Block")</f>
        <v>10 Hour General Support Block</v>
      </c>
      <c r="D2291" s="316">
        <f>IFERROR(__xludf.DUMMYFUNCTION("""COMPUTED_VALUE"""),44925.0)</f>
        <v>44925</v>
      </c>
      <c r="E2291" s="298"/>
      <c r="F2291" s="298"/>
      <c r="G2291" s="298"/>
      <c r="H2291" s="223"/>
      <c r="I2291" s="298">
        <f>IFERROR(__xludf.DUMMYFUNCTION("""COMPUTED_VALUE"""),98.22)</f>
        <v>98.22</v>
      </c>
      <c r="J2291" s="223" t="str">
        <f>IFERROR(__xludf.DUMMYFUNCTION("""COMPUTED_VALUE"""),"Fixed Project")</f>
        <v>Fixed Project</v>
      </c>
      <c r="K2291" s="317">
        <f>IFERROR(__xludf.DUMMYFUNCTION("""COMPUTED_VALUE"""),2022.0)</f>
        <v>2022</v>
      </c>
      <c r="L2291" s="298"/>
      <c r="M2291" s="223"/>
      <c r="N2291" s="223"/>
      <c r="O2291" s="223"/>
      <c r="P2291" s="223"/>
      <c r="Q2291" s="223"/>
      <c r="R2291" s="223"/>
      <c r="S2291" s="223"/>
      <c r="T2291" s="223"/>
      <c r="U2291" s="223"/>
      <c r="V2291" s="223"/>
      <c r="W2291" s="223"/>
      <c r="X2291" s="223"/>
      <c r="Y2291" s="223"/>
      <c r="Z2291" s="223"/>
    </row>
    <row r="2292">
      <c r="A2292" s="223" t="str">
        <f>IFERROR(__xludf.DUMMYFUNCTION("""COMPUTED_VALUE"""),"The Sands : 10 Hour General Support Block")</f>
        <v>The Sands : 10 Hour General Support Block</v>
      </c>
      <c r="B2292" s="223" t="str">
        <f>IFERROR(__xludf.DUMMYFUNCTION("""COMPUTED_VALUE"""),"The Sands")</f>
        <v>The Sands</v>
      </c>
      <c r="C2292" s="223" t="str">
        <f>IFERROR(__xludf.DUMMYFUNCTION("""COMPUTED_VALUE"""),"10 Hour General Support Block")</f>
        <v>10 Hour General Support Block</v>
      </c>
      <c r="D2292" s="316">
        <f>IFERROR(__xludf.DUMMYFUNCTION("""COMPUTED_VALUE"""),44925.0)</f>
        <v>44925</v>
      </c>
      <c r="E2292" s="298"/>
      <c r="F2292" s="298"/>
      <c r="G2292" s="298"/>
      <c r="H2292" s="223"/>
      <c r="I2292" s="298">
        <f>IFERROR(__xludf.DUMMYFUNCTION("""COMPUTED_VALUE"""),267.54)</f>
        <v>267.54</v>
      </c>
      <c r="J2292" s="223" t="str">
        <f>IFERROR(__xludf.DUMMYFUNCTION("""COMPUTED_VALUE"""),"Fixed Project")</f>
        <v>Fixed Project</v>
      </c>
      <c r="K2292" s="317">
        <f>IFERROR(__xludf.DUMMYFUNCTION("""COMPUTED_VALUE"""),2022.0)</f>
        <v>2022</v>
      </c>
      <c r="L2292" s="298"/>
      <c r="M2292" s="223"/>
      <c r="N2292" s="223"/>
      <c r="O2292" s="223"/>
      <c r="P2292" s="223"/>
      <c r="Q2292" s="223"/>
      <c r="R2292" s="223"/>
      <c r="S2292" s="223"/>
      <c r="T2292" s="223"/>
      <c r="U2292" s="223"/>
      <c r="V2292" s="223"/>
      <c r="W2292" s="223"/>
      <c r="X2292" s="223"/>
      <c r="Y2292" s="223"/>
      <c r="Z2292" s="223"/>
    </row>
    <row r="2293">
      <c r="A2293" s="223" t="str">
        <f>IFERROR(__xludf.DUMMYFUNCTION("""COMPUTED_VALUE"""),"Venetian : Monthly Services")</f>
        <v>Venetian : Monthly Services</v>
      </c>
      <c r="B2293" s="223" t="str">
        <f>IFERROR(__xludf.DUMMYFUNCTION("""COMPUTED_VALUE"""),"Venetian")</f>
        <v>Venetian</v>
      </c>
      <c r="C2293" s="223" t="str">
        <f>IFERROR(__xludf.DUMMYFUNCTION("""COMPUTED_VALUE"""),"Monthly Services")</f>
        <v>Monthly Services</v>
      </c>
      <c r="D2293" s="316">
        <f>IFERROR(__xludf.DUMMYFUNCTION("""COMPUTED_VALUE"""),44927.0)</f>
        <v>44927</v>
      </c>
      <c r="E2293" s="298"/>
      <c r="F2293" s="298"/>
      <c r="G2293" s="298"/>
      <c r="H2293" s="223"/>
      <c r="I2293" s="298">
        <f>IFERROR(__xludf.DUMMYFUNCTION("""COMPUTED_VALUE"""),415.5)</f>
        <v>415.5</v>
      </c>
      <c r="J2293" s="223" t="str">
        <f>IFERROR(__xludf.DUMMYFUNCTION("""COMPUTED_VALUE"""),"Monthly")</f>
        <v>Monthly</v>
      </c>
      <c r="K2293" s="317">
        <f>IFERROR(__xludf.DUMMYFUNCTION("""COMPUTED_VALUE"""),2023.01)</f>
        <v>2023.01</v>
      </c>
      <c r="L2293" s="298">
        <f>IFERROR(__xludf.DUMMYFUNCTION("""COMPUTED_VALUE"""),415.5)</f>
        <v>415.5</v>
      </c>
      <c r="M2293" s="223"/>
      <c r="N2293" s="223"/>
      <c r="O2293" s="223"/>
      <c r="P2293" s="223"/>
      <c r="Q2293" s="223"/>
      <c r="R2293" s="223"/>
      <c r="S2293" s="223"/>
      <c r="T2293" s="223"/>
      <c r="U2293" s="223"/>
      <c r="V2293" s="223"/>
      <c r="W2293" s="223"/>
      <c r="X2293" s="223"/>
      <c r="Y2293" s="223"/>
      <c r="Z2293" s="223"/>
    </row>
    <row r="2294">
      <c r="A2294" s="223" t="str">
        <f>IFERROR(__xludf.DUMMYFUNCTION("""COMPUTED_VALUE"""),"Tuscany : Monthly Services")</f>
        <v>Tuscany : Monthly Services</v>
      </c>
      <c r="B2294" s="223" t="str">
        <f>IFERROR(__xludf.DUMMYFUNCTION("""COMPUTED_VALUE"""),"Tuscany")</f>
        <v>Tuscany</v>
      </c>
      <c r="C2294" s="223" t="str">
        <f>IFERROR(__xludf.DUMMYFUNCTION("""COMPUTED_VALUE"""),"Monthly Services")</f>
        <v>Monthly Services</v>
      </c>
      <c r="D2294" s="316">
        <f>IFERROR(__xludf.DUMMYFUNCTION("""COMPUTED_VALUE"""),44927.0)</f>
        <v>44927</v>
      </c>
      <c r="E2294" s="298"/>
      <c r="F2294" s="298"/>
      <c r="G2294" s="298"/>
      <c r="H2294" s="223"/>
      <c r="I2294" s="298">
        <f>IFERROR(__xludf.DUMMYFUNCTION("""COMPUTED_VALUE"""),953.98)</f>
        <v>953.98</v>
      </c>
      <c r="J2294" s="223" t="str">
        <f>IFERROR(__xludf.DUMMYFUNCTION("""COMPUTED_VALUE"""),"Monthly")</f>
        <v>Monthly</v>
      </c>
      <c r="K2294" s="317">
        <f>IFERROR(__xludf.DUMMYFUNCTION("""COMPUTED_VALUE"""),2023.01)</f>
        <v>2023.01</v>
      </c>
      <c r="L2294" s="298">
        <f>IFERROR(__xludf.DUMMYFUNCTION("""COMPUTED_VALUE"""),953.98)</f>
        <v>953.98</v>
      </c>
      <c r="M2294" s="223"/>
      <c r="N2294" s="223"/>
      <c r="O2294" s="223"/>
      <c r="P2294" s="223"/>
      <c r="Q2294" s="223"/>
      <c r="R2294" s="223"/>
      <c r="S2294" s="223"/>
      <c r="T2294" s="223"/>
      <c r="U2294" s="223"/>
      <c r="V2294" s="223"/>
      <c r="W2294" s="223"/>
      <c r="X2294" s="223"/>
      <c r="Y2294" s="223"/>
      <c r="Z2294" s="223"/>
    </row>
    <row r="2295">
      <c r="A2295" s="223" t="str">
        <f>IFERROR(__xludf.DUMMYFUNCTION("""COMPUTED_VALUE"""),"PlusROI : Admin")</f>
        <v>PlusROI : Admin</v>
      </c>
      <c r="B2295" s="223" t="str">
        <f>IFERROR(__xludf.DUMMYFUNCTION("""COMPUTED_VALUE"""),"PlusROI")</f>
        <v>PlusROI</v>
      </c>
      <c r="C2295" s="223" t="str">
        <f>IFERROR(__xludf.DUMMYFUNCTION("""COMPUTED_VALUE"""),"Admin")</f>
        <v>Admin</v>
      </c>
      <c r="D2295" s="316">
        <f>IFERROR(__xludf.DUMMYFUNCTION("""COMPUTED_VALUE"""),44930.0)</f>
        <v>44930</v>
      </c>
      <c r="E2295" s="298"/>
      <c r="F2295" s="298"/>
      <c r="G2295" s="298"/>
      <c r="H2295" s="223"/>
      <c r="I2295" s="298">
        <f>IFERROR(__xludf.DUMMYFUNCTION("""COMPUTED_VALUE"""),121.2)</f>
        <v>121.2</v>
      </c>
      <c r="J2295" s="223" t="str">
        <f>IFERROR(__xludf.DUMMYFUNCTION("""COMPUTED_VALUE"""),"Hourly")</f>
        <v>Hourly</v>
      </c>
      <c r="K2295" s="317">
        <f>IFERROR(__xludf.DUMMYFUNCTION("""COMPUTED_VALUE"""),2023.0)</f>
        <v>2023</v>
      </c>
      <c r="L2295" s="298"/>
      <c r="M2295" s="223"/>
      <c r="N2295" s="223"/>
      <c r="O2295" s="223"/>
      <c r="P2295" s="223"/>
      <c r="Q2295" s="223"/>
      <c r="R2295" s="223"/>
      <c r="S2295" s="223"/>
      <c r="T2295" s="223"/>
      <c r="U2295" s="223"/>
      <c r="V2295" s="223"/>
      <c r="W2295" s="223"/>
      <c r="X2295" s="223"/>
      <c r="Y2295" s="223"/>
      <c r="Z2295" s="223"/>
    </row>
    <row r="2296">
      <c r="A2296" s="223" t="str">
        <f>IFERROR(__xludf.DUMMYFUNCTION("""COMPUTED_VALUE"""),"Canyon's Construction : Web Presence &amp; SEO Project")</f>
        <v>Canyon's Construction : Web Presence &amp; SEO Project</v>
      </c>
      <c r="B2296" s="223" t="str">
        <f>IFERROR(__xludf.DUMMYFUNCTION("""COMPUTED_VALUE"""),"Canyon's Construction")</f>
        <v>Canyon's Construction</v>
      </c>
      <c r="C2296" s="223" t="str">
        <f>IFERROR(__xludf.DUMMYFUNCTION("""COMPUTED_VALUE"""),"Web Presence &amp; SEO Project")</f>
        <v>Web Presence &amp; SEO Project</v>
      </c>
      <c r="D2296" s="316">
        <f>IFERROR(__xludf.DUMMYFUNCTION("""COMPUTED_VALUE"""),44935.0)</f>
        <v>44935</v>
      </c>
      <c r="E2296" s="298"/>
      <c r="F2296" s="298"/>
      <c r="G2296" s="298"/>
      <c r="H2296" s="223"/>
      <c r="I2296" s="298">
        <f>IFERROR(__xludf.DUMMYFUNCTION("""COMPUTED_VALUE"""),69.03)</f>
        <v>69.03</v>
      </c>
      <c r="J2296" s="223" t="str">
        <f>IFERROR(__xludf.DUMMYFUNCTION("""COMPUTED_VALUE"""),"Fixed Project")</f>
        <v>Fixed Project</v>
      </c>
      <c r="K2296" s="317">
        <f>IFERROR(__xludf.DUMMYFUNCTION("""COMPUTED_VALUE"""),2023.0)</f>
        <v>2023</v>
      </c>
      <c r="L2296" s="298">
        <f>IFERROR(__xludf.DUMMYFUNCTION("""COMPUTED_VALUE"""),69.03)</f>
        <v>69.03</v>
      </c>
      <c r="M2296" s="223"/>
      <c r="N2296" s="223"/>
      <c r="O2296" s="223"/>
      <c r="P2296" s="223"/>
      <c r="Q2296" s="223"/>
      <c r="R2296" s="223"/>
      <c r="S2296" s="223"/>
      <c r="T2296" s="223"/>
      <c r="U2296" s="223"/>
      <c r="V2296" s="223"/>
      <c r="W2296" s="223"/>
      <c r="X2296" s="223"/>
      <c r="Y2296" s="223"/>
      <c r="Z2296" s="223"/>
    </row>
    <row r="2297">
      <c r="A2297" s="223" t="str">
        <f>IFERROR(__xludf.DUMMYFUNCTION("""COMPUTED_VALUE"""),"Arcwell : Arcwell Initial Reveiw")</f>
        <v>Arcwell : Arcwell Initial Reveiw</v>
      </c>
      <c r="B2297" s="223" t="str">
        <f>IFERROR(__xludf.DUMMYFUNCTION("""COMPUTED_VALUE"""),"Arcwell")</f>
        <v>Arcwell</v>
      </c>
      <c r="C2297" s="223" t="str">
        <f>IFERROR(__xludf.DUMMYFUNCTION("""COMPUTED_VALUE"""),"Arcwell Initial Reveiw")</f>
        <v>Arcwell Initial Reveiw</v>
      </c>
      <c r="D2297" s="316">
        <f>IFERROR(__xludf.DUMMYFUNCTION("""COMPUTED_VALUE"""),44926.0)</f>
        <v>44926</v>
      </c>
      <c r="E2297" s="298"/>
      <c r="F2297" s="298"/>
      <c r="G2297" s="298"/>
      <c r="H2297" s="223"/>
      <c r="I2297" s="298">
        <f>IFERROR(__xludf.DUMMYFUNCTION("""COMPUTED_VALUE"""),52.13)</f>
        <v>52.13</v>
      </c>
      <c r="J2297" s="223" t="str">
        <f>IFERROR(__xludf.DUMMYFUNCTION("""COMPUTED_VALUE"""),"Fixed Project")</f>
        <v>Fixed Project</v>
      </c>
      <c r="K2297" s="317">
        <f>IFERROR(__xludf.DUMMYFUNCTION("""COMPUTED_VALUE"""),2022.0)</f>
        <v>2022</v>
      </c>
      <c r="L2297" s="298"/>
      <c r="M2297" s="223"/>
      <c r="N2297" s="223"/>
      <c r="O2297" s="223"/>
      <c r="P2297" s="223"/>
      <c r="Q2297" s="223"/>
      <c r="R2297" s="223"/>
      <c r="S2297" s="223"/>
      <c r="T2297" s="223"/>
      <c r="U2297" s="223"/>
      <c r="V2297" s="223"/>
      <c r="W2297" s="223"/>
      <c r="X2297" s="223"/>
      <c r="Y2297" s="223"/>
      <c r="Z2297" s="223"/>
    </row>
    <row r="2298">
      <c r="A2298" s="223" t="str">
        <f>IFERROR(__xludf.DUMMYFUNCTION("""COMPUTED_VALUE"""),"Availed Technologies : Monthly Services")</f>
        <v>Availed Technologies : Monthly Services</v>
      </c>
      <c r="B2298" s="223" t="str">
        <f>IFERROR(__xludf.DUMMYFUNCTION("""COMPUTED_VALUE"""),"Availed Technologies")</f>
        <v>Availed Technologies</v>
      </c>
      <c r="C2298" s="223" t="str">
        <f>IFERROR(__xludf.DUMMYFUNCTION("""COMPUTED_VALUE"""),"Monthly Services")</f>
        <v>Monthly Services</v>
      </c>
      <c r="D2298" s="316">
        <f>IFERROR(__xludf.DUMMYFUNCTION("""COMPUTED_VALUE"""),44926.0)</f>
        <v>44926</v>
      </c>
      <c r="E2298" s="298"/>
      <c r="F2298" s="298"/>
      <c r="G2298" s="298"/>
      <c r="H2298" s="223"/>
      <c r="I2298" s="298">
        <f>IFERROR(__xludf.DUMMYFUNCTION("""COMPUTED_VALUE"""),4.97)</f>
        <v>4.97</v>
      </c>
      <c r="J2298" s="223" t="str">
        <f>IFERROR(__xludf.DUMMYFUNCTION("""COMPUTED_VALUE"""),"Monthly")</f>
        <v>Monthly</v>
      </c>
      <c r="K2298" s="317">
        <f>IFERROR(__xludf.DUMMYFUNCTION("""COMPUTED_VALUE"""),2022.12)</f>
        <v>2022.12</v>
      </c>
      <c r="L2298" s="298"/>
      <c r="M2298" s="223"/>
      <c r="N2298" s="223"/>
      <c r="O2298" s="223"/>
      <c r="P2298" s="223"/>
      <c r="Q2298" s="223"/>
      <c r="R2298" s="223"/>
      <c r="S2298" s="223"/>
      <c r="T2298" s="223"/>
      <c r="U2298" s="223"/>
      <c r="V2298" s="223"/>
      <c r="W2298" s="223"/>
      <c r="X2298" s="223"/>
      <c r="Y2298" s="223"/>
      <c r="Z2298" s="223"/>
    </row>
    <row r="2299">
      <c r="A2299" s="223" t="str">
        <f>IFERROR(__xludf.DUMMYFUNCTION("""COMPUTED_VALUE"""),"Canyon's Construction : PPC, LP &amp; Listings")</f>
        <v>Canyon's Construction : PPC, LP &amp; Listings</v>
      </c>
      <c r="B2299" s="223" t="str">
        <f>IFERROR(__xludf.DUMMYFUNCTION("""COMPUTED_VALUE"""),"Canyon's Construction")</f>
        <v>Canyon's Construction</v>
      </c>
      <c r="C2299" s="223" t="str">
        <f>IFERROR(__xludf.DUMMYFUNCTION("""COMPUTED_VALUE"""),"PPC, LP &amp; Listings")</f>
        <v>PPC, LP &amp; Listings</v>
      </c>
      <c r="D2299" s="316">
        <f>IFERROR(__xludf.DUMMYFUNCTION("""COMPUTED_VALUE"""),44926.0)</f>
        <v>44926</v>
      </c>
      <c r="E2299" s="298"/>
      <c r="F2299" s="298"/>
      <c r="G2299" s="298"/>
      <c r="H2299" s="223"/>
      <c r="I2299" s="298">
        <f>IFERROR(__xludf.DUMMYFUNCTION("""COMPUTED_VALUE"""),110.07)</f>
        <v>110.07</v>
      </c>
      <c r="J2299" s="223" t="str">
        <f>IFERROR(__xludf.DUMMYFUNCTION("""COMPUTED_VALUE"""),"Fixed Project")</f>
        <v>Fixed Project</v>
      </c>
      <c r="K2299" s="317">
        <f>IFERROR(__xludf.DUMMYFUNCTION("""COMPUTED_VALUE"""),2022.0)</f>
        <v>2022</v>
      </c>
      <c r="L2299" s="298"/>
      <c r="M2299" s="223"/>
      <c r="N2299" s="223"/>
      <c r="O2299" s="223"/>
      <c r="P2299" s="223"/>
      <c r="Q2299" s="223"/>
      <c r="R2299" s="223"/>
      <c r="S2299" s="223"/>
      <c r="T2299" s="223"/>
      <c r="U2299" s="223"/>
      <c r="V2299" s="223"/>
      <c r="W2299" s="223"/>
      <c r="X2299" s="223"/>
      <c r="Y2299" s="223"/>
      <c r="Z2299" s="223"/>
    </row>
    <row r="2300">
      <c r="A2300" s="223" t="str">
        <f>IFERROR(__xludf.DUMMYFUNCTION("""COMPUTED_VALUE"""),"Community Financials : Monthly Services")</f>
        <v>Community Financials : Monthly Services</v>
      </c>
      <c r="B2300" s="223" t="str">
        <f>IFERROR(__xludf.DUMMYFUNCTION("""COMPUTED_VALUE"""),"Community Financials")</f>
        <v>Community Financials</v>
      </c>
      <c r="C2300" s="223" t="str">
        <f>IFERROR(__xludf.DUMMYFUNCTION("""COMPUTED_VALUE"""),"Monthly Services")</f>
        <v>Monthly Services</v>
      </c>
      <c r="D2300" s="316">
        <f>IFERROR(__xludf.DUMMYFUNCTION("""COMPUTED_VALUE"""),44926.0)</f>
        <v>44926</v>
      </c>
      <c r="E2300" s="298"/>
      <c r="F2300" s="298"/>
      <c r="G2300" s="298"/>
      <c r="H2300" s="223"/>
      <c r="I2300" s="298">
        <f>IFERROR(__xludf.DUMMYFUNCTION("""COMPUTED_VALUE"""),128.88)</f>
        <v>128.88</v>
      </c>
      <c r="J2300" s="223" t="str">
        <f>IFERROR(__xludf.DUMMYFUNCTION("""COMPUTED_VALUE"""),"Monthly")</f>
        <v>Monthly</v>
      </c>
      <c r="K2300" s="317">
        <f>IFERROR(__xludf.DUMMYFUNCTION("""COMPUTED_VALUE"""),2022.12)</f>
        <v>2022.12</v>
      </c>
      <c r="L2300" s="298"/>
      <c r="M2300" s="223"/>
      <c r="N2300" s="223"/>
      <c r="O2300" s="223"/>
      <c r="P2300" s="223"/>
      <c r="Q2300" s="223"/>
      <c r="R2300" s="223"/>
      <c r="S2300" s="223"/>
      <c r="T2300" s="223"/>
      <c r="U2300" s="223"/>
      <c r="V2300" s="223"/>
      <c r="W2300" s="223"/>
      <c r="X2300" s="223"/>
      <c r="Y2300" s="223"/>
      <c r="Z2300" s="223"/>
    </row>
    <row r="2301">
      <c r="A2301" s="223" t="str">
        <f>IFERROR(__xludf.DUMMYFUNCTION("""COMPUTED_VALUE"""),"Continuity Programs Inc. : Other Projects")</f>
        <v>Continuity Programs Inc. : Other Projects</v>
      </c>
      <c r="B2301" s="223" t="str">
        <f>IFERROR(__xludf.DUMMYFUNCTION("""COMPUTED_VALUE"""),"Continuity Programs Inc.")</f>
        <v>Continuity Programs Inc.</v>
      </c>
      <c r="C2301" s="223" t="str">
        <f>IFERROR(__xludf.DUMMYFUNCTION("""COMPUTED_VALUE"""),"Other Projects")</f>
        <v>Other Projects</v>
      </c>
      <c r="D2301" s="316">
        <f>IFERROR(__xludf.DUMMYFUNCTION("""COMPUTED_VALUE"""),44926.0)</f>
        <v>44926</v>
      </c>
      <c r="E2301" s="298"/>
      <c r="F2301" s="298"/>
      <c r="G2301" s="298"/>
      <c r="H2301" s="223"/>
      <c r="I2301" s="298">
        <f>IFERROR(__xludf.DUMMYFUNCTION("""COMPUTED_VALUE"""),196.67)</f>
        <v>196.67</v>
      </c>
      <c r="J2301" s="223" t="str">
        <f>IFERROR(__xludf.DUMMYFUNCTION("""COMPUTED_VALUE"""),"Fixed Project")</f>
        <v>Fixed Project</v>
      </c>
      <c r="K2301" s="317">
        <f>IFERROR(__xludf.DUMMYFUNCTION("""COMPUTED_VALUE"""),2022.0)</f>
        <v>2022</v>
      </c>
      <c r="L2301" s="298"/>
      <c r="M2301" s="223"/>
      <c r="N2301" s="223"/>
      <c r="O2301" s="223"/>
      <c r="P2301" s="223"/>
      <c r="Q2301" s="223"/>
      <c r="R2301" s="223"/>
      <c r="S2301" s="223"/>
      <c r="T2301" s="223"/>
      <c r="U2301" s="223"/>
      <c r="V2301" s="223"/>
      <c r="W2301" s="223"/>
      <c r="X2301" s="223"/>
      <c r="Y2301" s="223"/>
      <c r="Z2301" s="223"/>
    </row>
    <row r="2302">
      <c r="A2302" s="223" t="str">
        <f>IFERROR(__xludf.DUMMYFUNCTION("""COMPUTED_VALUE"""),"Hastings House : Monthly Services")</f>
        <v>Hastings House : Monthly Services</v>
      </c>
      <c r="B2302" s="223" t="str">
        <f>IFERROR(__xludf.DUMMYFUNCTION("""COMPUTED_VALUE"""),"Hastings House")</f>
        <v>Hastings House</v>
      </c>
      <c r="C2302" s="223" t="str">
        <f>IFERROR(__xludf.DUMMYFUNCTION("""COMPUTED_VALUE"""),"Monthly Services")</f>
        <v>Monthly Services</v>
      </c>
      <c r="D2302" s="316">
        <f>IFERROR(__xludf.DUMMYFUNCTION("""COMPUTED_VALUE"""),44926.0)</f>
        <v>44926</v>
      </c>
      <c r="E2302" s="298"/>
      <c r="F2302" s="298"/>
      <c r="G2302" s="298"/>
      <c r="H2302" s="223"/>
      <c r="I2302" s="298">
        <f>IFERROR(__xludf.DUMMYFUNCTION("""COMPUTED_VALUE"""),147.06)</f>
        <v>147.06</v>
      </c>
      <c r="J2302" s="223" t="str">
        <f>IFERROR(__xludf.DUMMYFUNCTION("""COMPUTED_VALUE"""),"Monthly")</f>
        <v>Monthly</v>
      </c>
      <c r="K2302" s="317">
        <f>IFERROR(__xludf.DUMMYFUNCTION("""COMPUTED_VALUE"""),2022.12)</f>
        <v>2022.12</v>
      </c>
      <c r="L2302" s="298"/>
      <c r="M2302" s="223"/>
      <c r="N2302" s="223"/>
      <c r="O2302" s="223"/>
      <c r="P2302" s="223"/>
      <c r="Q2302" s="223"/>
      <c r="R2302" s="223"/>
      <c r="S2302" s="223"/>
      <c r="T2302" s="223"/>
      <c r="U2302" s="223"/>
      <c r="V2302" s="223"/>
      <c r="W2302" s="223"/>
      <c r="X2302" s="223"/>
      <c r="Y2302" s="223"/>
      <c r="Z2302" s="223"/>
    </row>
    <row r="2303">
      <c r="A2303" s="223" t="str">
        <f>IFERROR(__xludf.DUMMYFUNCTION("""COMPUTED_VALUE"""),"HSJ Lawyers : Monthly Services")</f>
        <v>HSJ Lawyers : Monthly Services</v>
      </c>
      <c r="B2303" s="223" t="str">
        <f>IFERROR(__xludf.DUMMYFUNCTION("""COMPUTED_VALUE"""),"HSJ Lawyers")</f>
        <v>HSJ Lawyers</v>
      </c>
      <c r="C2303" s="223" t="str">
        <f>IFERROR(__xludf.DUMMYFUNCTION("""COMPUTED_VALUE"""),"Monthly Services")</f>
        <v>Monthly Services</v>
      </c>
      <c r="D2303" s="316">
        <f>IFERROR(__xludf.DUMMYFUNCTION("""COMPUTED_VALUE"""),44926.0)</f>
        <v>44926</v>
      </c>
      <c r="E2303" s="298"/>
      <c r="F2303" s="298"/>
      <c r="G2303" s="298"/>
      <c r="H2303" s="223"/>
      <c r="I2303" s="298">
        <f>IFERROR(__xludf.DUMMYFUNCTION("""COMPUTED_VALUE"""),85.28)</f>
        <v>85.28</v>
      </c>
      <c r="J2303" s="223" t="str">
        <f>IFERROR(__xludf.DUMMYFUNCTION("""COMPUTED_VALUE"""),"Monthly")</f>
        <v>Monthly</v>
      </c>
      <c r="K2303" s="317">
        <f>IFERROR(__xludf.DUMMYFUNCTION("""COMPUTED_VALUE"""),2022.12)</f>
        <v>2022.12</v>
      </c>
      <c r="L2303" s="298"/>
      <c r="M2303" s="223"/>
      <c r="N2303" s="223"/>
      <c r="O2303" s="223"/>
      <c r="P2303" s="223"/>
      <c r="Q2303" s="223"/>
      <c r="R2303" s="223"/>
      <c r="S2303" s="223"/>
      <c r="T2303" s="223"/>
      <c r="U2303" s="223"/>
      <c r="V2303" s="223"/>
      <c r="W2303" s="223"/>
      <c r="X2303" s="223"/>
      <c r="Y2303" s="223"/>
      <c r="Z2303" s="223"/>
    </row>
    <row r="2304">
      <c r="A2304" s="223" t="str">
        <f>IFERROR(__xludf.DUMMYFUNCTION("""COMPUTED_VALUE"""),"PlusROI : Admin")</f>
        <v>PlusROI : Admin</v>
      </c>
      <c r="B2304" s="223" t="str">
        <f>IFERROR(__xludf.DUMMYFUNCTION("""COMPUTED_VALUE"""),"PlusROI")</f>
        <v>PlusROI</v>
      </c>
      <c r="C2304" s="223" t="str">
        <f>IFERROR(__xludf.DUMMYFUNCTION("""COMPUTED_VALUE"""),"Admin")</f>
        <v>Admin</v>
      </c>
      <c r="D2304" s="316">
        <f>IFERROR(__xludf.DUMMYFUNCTION("""COMPUTED_VALUE"""),44926.0)</f>
        <v>44926</v>
      </c>
      <c r="E2304" s="298"/>
      <c r="F2304" s="298"/>
      <c r="G2304" s="298"/>
      <c r="H2304" s="223"/>
      <c r="I2304" s="298">
        <f>IFERROR(__xludf.DUMMYFUNCTION("""COMPUTED_VALUE"""),1040.1)</f>
        <v>1040.1</v>
      </c>
      <c r="J2304" s="223" t="str">
        <f>IFERROR(__xludf.DUMMYFUNCTION("""COMPUTED_VALUE"""),"Hourly")</f>
        <v>Hourly</v>
      </c>
      <c r="K2304" s="317">
        <f>IFERROR(__xludf.DUMMYFUNCTION("""COMPUTED_VALUE"""),2022.0)</f>
        <v>2022</v>
      </c>
      <c r="L2304" s="298"/>
      <c r="M2304" s="223"/>
      <c r="N2304" s="223"/>
      <c r="O2304" s="223"/>
      <c r="P2304" s="223"/>
      <c r="Q2304" s="223"/>
      <c r="R2304" s="223"/>
      <c r="S2304" s="223"/>
      <c r="T2304" s="223"/>
      <c r="U2304" s="223"/>
      <c r="V2304" s="223"/>
      <c r="W2304" s="223"/>
      <c r="X2304" s="223"/>
      <c r="Y2304" s="223"/>
      <c r="Z2304" s="223"/>
    </row>
    <row r="2305">
      <c r="A2305" s="223" t="str">
        <f>IFERROR(__xludf.DUMMYFUNCTION("""COMPUTED_VALUE"""),"Red Seal : Monthly Services")</f>
        <v>Red Seal : Monthly Services</v>
      </c>
      <c r="B2305" s="223" t="str">
        <f>IFERROR(__xludf.DUMMYFUNCTION("""COMPUTED_VALUE"""),"Red Seal")</f>
        <v>Red Seal</v>
      </c>
      <c r="C2305" s="223" t="str">
        <f>IFERROR(__xludf.DUMMYFUNCTION("""COMPUTED_VALUE"""),"Monthly Services")</f>
        <v>Monthly Services</v>
      </c>
      <c r="D2305" s="316">
        <f>IFERROR(__xludf.DUMMYFUNCTION("""COMPUTED_VALUE"""),44926.0)</f>
        <v>44926</v>
      </c>
      <c r="E2305" s="298"/>
      <c r="F2305" s="298"/>
      <c r="G2305" s="298"/>
      <c r="H2305" s="223"/>
      <c r="I2305" s="298">
        <f>IFERROR(__xludf.DUMMYFUNCTION("""COMPUTED_VALUE"""),34.79)</f>
        <v>34.79</v>
      </c>
      <c r="J2305" s="223" t="str">
        <f>IFERROR(__xludf.DUMMYFUNCTION("""COMPUTED_VALUE"""),"Monthly")</f>
        <v>Monthly</v>
      </c>
      <c r="K2305" s="317">
        <f>IFERROR(__xludf.DUMMYFUNCTION("""COMPUTED_VALUE"""),2022.12)</f>
        <v>2022.12</v>
      </c>
      <c r="L2305" s="298"/>
      <c r="M2305" s="223"/>
      <c r="N2305" s="223"/>
      <c r="O2305" s="223"/>
      <c r="P2305" s="223"/>
      <c r="Q2305" s="223"/>
      <c r="R2305" s="223"/>
      <c r="S2305" s="223"/>
      <c r="T2305" s="223"/>
      <c r="U2305" s="223"/>
      <c r="V2305" s="223"/>
      <c r="W2305" s="223"/>
      <c r="X2305" s="223"/>
      <c r="Y2305" s="223"/>
      <c r="Z2305" s="223"/>
    </row>
    <row r="2306">
      <c r="A2306" s="223" t="str">
        <f>IFERROR(__xludf.DUMMYFUNCTION("""COMPUTED_VALUE"""),"Sacred Deathcare : 5 Hour Support Block")</f>
        <v>Sacred Deathcare : 5 Hour Support Block</v>
      </c>
      <c r="B2306" s="223" t="str">
        <f>IFERROR(__xludf.DUMMYFUNCTION("""COMPUTED_VALUE"""),"Sacred Deathcare")</f>
        <v>Sacred Deathcare</v>
      </c>
      <c r="C2306" s="223" t="str">
        <f>IFERROR(__xludf.DUMMYFUNCTION("""COMPUTED_VALUE"""),"5 Hour Support Block")</f>
        <v>5 Hour Support Block</v>
      </c>
      <c r="D2306" s="316">
        <f>IFERROR(__xludf.DUMMYFUNCTION("""COMPUTED_VALUE"""),44926.0)</f>
        <v>44926</v>
      </c>
      <c r="E2306" s="298"/>
      <c r="F2306" s="298"/>
      <c r="G2306" s="298"/>
      <c r="H2306" s="223"/>
      <c r="I2306" s="298">
        <f>IFERROR(__xludf.DUMMYFUNCTION("""COMPUTED_VALUE"""),25.23)</f>
        <v>25.23</v>
      </c>
      <c r="J2306" s="223" t="str">
        <f>IFERROR(__xludf.DUMMYFUNCTION("""COMPUTED_VALUE"""),"Fixed Project")</f>
        <v>Fixed Project</v>
      </c>
      <c r="K2306" s="317">
        <f>IFERROR(__xludf.DUMMYFUNCTION("""COMPUTED_VALUE"""),2022.0)</f>
        <v>2022</v>
      </c>
      <c r="L2306" s="298"/>
      <c r="M2306" s="223"/>
      <c r="N2306" s="223"/>
      <c r="O2306" s="223"/>
      <c r="P2306" s="223"/>
      <c r="Q2306" s="223"/>
      <c r="R2306" s="223"/>
      <c r="S2306" s="223"/>
      <c r="T2306" s="223"/>
      <c r="U2306" s="223"/>
      <c r="V2306" s="223"/>
      <c r="W2306" s="223"/>
      <c r="X2306" s="223"/>
      <c r="Y2306" s="223"/>
      <c r="Z2306" s="223"/>
    </row>
    <row r="2307">
      <c r="A2307" s="223" t="str">
        <f>IFERROR(__xludf.DUMMYFUNCTION("""COMPUTED_VALUE"""),"Sacred Deathcare : Other Projects")</f>
        <v>Sacred Deathcare : Other Projects</v>
      </c>
      <c r="B2307" s="223" t="str">
        <f>IFERROR(__xludf.DUMMYFUNCTION("""COMPUTED_VALUE"""),"Sacred Deathcare")</f>
        <v>Sacred Deathcare</v>
      </c>
      <c r="C2307" s="223" t="str">
        <f>IFERROR(__xludf.DUMMYFUNCTION("""COMPUTED_VALUE"""),"Other Projects")</f>
        <v>Other Projects</v>
      </c>
      <c r="D2307" s="316">
        <f>IFERROR(__xludf.DUMMYFUNCTION("""COMPUTED_VALUE"""),44926.0)</f>
        <v>44926</v>
      </c>
      <c r="E2307" s="298"/>
      <c r="F2307" s="298"/>
      <c r="G2307" s="298"/>
      <c r="H2307" s="223"/>
      <c r="I2307" s="298">
        <f>IFERROR(__xludf.DUMMYFUNCTION("""COMPUTED_VALUE"""),142.26)</f>
        <v>142.26</v>
      </c>
      <c r="J2307" s="223" t="str">
        <f>IFERROR(__xludf.DUMMYFUNCTION("""COMPUTED_VALUE"""),"Fixed Project")</f>
        <v>Fixed Project</v>
      </c>
      <c r="K2307" s="317">
        <f>IFERROR(__xludf.DUMMYFUNCTION("""COMPUTED_VALUE"""),2022.0)</f>
        <v>2022</v>
      </c>
      <c r="L2307" s="298"/>
      <c r="M2307" s="223"/>
      <c r="N2307" s="223"/>
      <c r="O2307" s="223"/>
      <c r="P2307" s="223"/>
      <c r="Q2307" s="223"/>
      <c r="R2307" s="223"/>
      <c r="S2307" s="223"/>
      <c r="T2307" s="223"/>
      <c r="U2307" s="223"/>
      <c r="V2307" s="223"/>
      <c r="W2307" s="223"/>
      <c r="X2307" s="223"/>
      <c r="Y2307" s="223"/>
      <c r="Z2307" s="223"/>
    </row>
    <row r="2308">
      <c r="A2308" s="223" t="str">
        <f>IFERROR(__xludf.DUMMYFUNCTION("""COMPUTED_VALUE"""),"Salty Waffle : Other Projects")</f>
        <v>Salty Waffle : Other Projects</v>
      </c>
      <c r="B2308" s="223" t="str">
        <f>IFERROR(__xludf.DUMMYFUNCTION("""COMPUTED_VALUE"""),"Salty Waffle")</f>
        <v>Salty Waffle</v>
      </c>
      <c r="C2308" s="223" t="str">
        <f>IFERROR(__xludf.DUMMYFUNCTION("""COMPUTED_VALUE"""),"Other Projects")</f>
        <v>Other Projects</v>
      </c>
      <c r="D2308" s="316">
        <f>IFERROR(__xludf.DUMMYFUNCTION("""COMPUTED_VALUE"""),44926.0)</f>
        <v>44926</v>
      </c>
      <c r="E2308" s="298"/>
      <c r="F2308" s="298"/>
      <c r="G2308" s="298"/>
      <c r="H2308" s="223"/>
      <c r="I2308" s="298">
        <f>IFERROR(__xludf.DUMMYFUNCTION("""COMPUTED_VALUE"""),100.91)</f>
        <v>100.91</v>
      </c>
      <c r="J2308" s="223" t="str">
        <f>IFERROR(__xludf.DUMMYFUNCTION("""COMPUTED_VALUE"""),"Fixed Project")</f>
        <v>Fixed Project</v>
      </c>
      <c r="K2308" s="317">
        <f>IFERROR(__xludf.DUMMYFUNCTION("""COMPUTED_VALUE"""),2022.0)</f>
        <v>2022</v>
      </c>
      <c r="L2308" s="298"/>
      <c r="M2308" s="223"/>
      <c r="N2308" s="223"/>
      <c r="O2308" s="223"/>
      <c r="P2308" s="223"/>
      <c r="Q2308" s="223"/>
      <c r="R2308" s="223"/>
      <c r="S2308" s="223"/>
      <c r="T2308" s="223"/>
      <c r="U2308" s="223"/>
      <c r="V2308" s="223"/>
      <c r="W2308" s="223"/>
      <c r="X2308" s="223"/>
      <c r="Y2308" s="223"/>
      <c r="Z2308" s="223"/>
    </row>
    <row r="2309">
      <c r="A2309" s="223" t="str">
        <f>IFERROR(__xludf.DUMMYFUNCTION("""COMPUTED_VALUE"""),"Spraggs : Monthly Services")</f>
        <v>Spraggs : Monthly Services</v>
      </c>
      <c r="B2309" s="223" t="str">
        <f>IFERROR(__xludf.DUMMYFUNCTION("""COMPUTED_VALUE"""),"Spraggs")</f>
        <v>Spraggs</v>
      </c>
      <c r="C2309" s="223" t="str">
        <f>IFERROR(__xludf.DUMMYFUNCTION("""COMPUTED_VALUE"""),"Monthly Services")</f>
        <v>Monthly Services</v>
      </c>
      <c r="D2309" s="316">
        <f>IFERROR(__xludf.DUMMYFUNCTION("""COMPUTED_VALUE"""),44926.0)</f>
        <v>44926</v>
      </c>
      <c r="E2309" s="298"/>
      <c r="F2309" s="298"/>
      <c r="G2309" s="298"/>
      <c r="H2309" s="223"/>
      <c r="I2309" s="298">
        <f>IFERROR(__xludf.DUMMYFUNCTION("""COMPUTED_VALUE"""),57.66)</f>
        <v>57.66</v>
      </c>
      <c r="J2309" s="223" t="str">
        <f>IFERROR(__xludf.DUMMYFUNCTION("""COMPUTED_VALUE"""),"Monthly")</f>
        <v>Monthly</v>
      </c>
      <c r="K2309" s="317">
        <f>IFERROR(__xludf.DUMMYFUNCTION("""COMPUTED_VALUE"""),2022.12)</f>
        <v>2022.12</v>
      </c>
      <c r="L2309" s="298"/>
      <c r="M2309" s="223"/>
      <c r="N2309" s="223"/>
      <c r="O2309" s="223"/>
      <c r="P2309" s="223"/>
      <c r="Q2309" s="223"/>
      <c r="R2309" s="223"/>
      <c r="S2309" s="223"/>
      <c r="T2309" s="223"/>
      <c r="U2309" s="223"/>
      <c r="V2309" s="223"/>
      <c r="W2309" s="223"/>
      <c r="X2309" s="223"/>
      <c r="Y2309" s="223"/>
      <c r="Z2309" s="223"/>
    </row>
    <row r="2310">
      <c r="A2310" s="223" t="str">
        <f>IFERROR(__xludf.DUMMYFUNCTION("""COMPUTED_VALUE"""),"Tofino Resort + Marina : Monthly Services")</f>
        <v>Tofino Resort + Marina : Monthly Services</v>
      </c>
      <c r="B2310" s="223" t="str">
        <f>IFERROR(__xludf.DUMMYFUNCTION("""COMPUTED_VALUE"""),"Tofino Resort + Marina")</f>
        <v>Tofino Resort + Marina</v>
      </c>
      <c r="C2310" s="223" t="str">
        <f>IFERROR(__xludf.DUMMYFUNCTION("""COMPUTED_VALUE"""),"Monthly Services")</f>
        <v>Monthly Services</v>
      </c>
      <c r="D2310" s="316">
        <f>IFERROR(__xludf.DUMMYFUNCTION("""COMPUTED_VALUE"""),44926.0)</f>
        <v>44926</v>
      </c>
      <c r="E2310" s="298"/>
      <c r="F2310" s="298"/>
      <c r="G2310" s="298"/>
      <c r="H2310" s="223"/>
      <c r="I2310" s="298">
        <f>IFERROR(__xludf.DUMMYFUNCTION("""COMPUTED_VALUE"""),0.0)</f>
        <v>0</v>
      </c>
      <c r="J2310" s="223" t="str">
        <f>IFERROR(__xludf.DUMMYFUNCTION("""COMPUTED_VALUE"""),"Monthly")</f>
        <v>Monthly</v>
      </c>
      <c r="K2310" s="317">
        <f>IFERROR(__xludf.DUMMYFUNCTION("""COMPUTED_VALUE"""),2022.12)</f>
        <v>2022.12</v>
      </c>
      <c r="L2310" s="298"/>
      <c r="M2310" s="223"/>
      <c r="N2310" s="223"/>
      <c r="O2310" s="223"/>
      <c r="P2310" s="223"/>
      <c r="Q2310" s="223"/>
      <c r="R2310" s="223"/>
      <c r="S2310" s="223"/>
      <c r="T2310" s="223"/>
      <c r="U2310" s="223"/>
      <c r="V2310" s="223"/>
      <c r="W2310" s="223"/>
      <c r="X2310" s="223"/>
      <c r="Y2310" s="223"/>
      <c r="Z2310" s="223"/>
    </row>
    <row r="2311">
      <c r="A2311" s="223" t="str">
        <f>IFERROR(__xludf.DUMMYFUNCTION("""COMPUTED_VALUE"""),"Tuscany : Monthly Services")</f>
        <v>Tuscany : Monthly Services</v>
      </c>
      <c r="B2311" s="223" t="str">
        <f>IFERROR(__xludf.DUMMYFUNCTION("""COMPUTED_VALUE"""),"Tuscany")</f>
        <v>Tuscany</v>
      </c>
      <c r="C2311" s="223" t="str">
        <f>IFERROR(__xludf.DUMMYFUNCTION("""COMPUTED_VALUE"""),"Monthly Services")</f>
        <v>Monthly Services</v>
      </c>
      <c r="D2311" s="316">
        <f>IFERROR(__xludf.DUMMYFUNCTION("""COMPUTED_VALUE"""),44926.0)</f>
        <v>44926</v>
      </c>
      <c r="E2311" s="298"/>
      <c r="F2311" s="298"/>
      <c r="G2311" s="298"/>
      <c r="H2311" s="223"/>
      <c r="I2311" s="298">
        <f>IFERROR(__xludf.DUMMYFUNCTION("""COMPUTED_VALUE"""),7.51)</f>
        <v>7.51</v>
      </c>
      <c r="J2311" s="223" t="str">
        <f>IFERROR(__xludf.DUMMYFUNCTION("""COMPUTED_VALUE"""),"Monthly")</f>
        <v>Monthly</v>
      </c>
      <c r="K2311" s="317">
        <f>IFERROR(__xludf.DUMMYFUNCTION("""COMPUTED_VALUE"""),2022.12)</f>
        <v>2022.12</v>
      </c>
      <c r="L2311" s="298"/>
      <c r="M2311" s="223"/>
      <c r="N2311" s="223"/>
      <c r="O2311" s="223"/>
      <c r="P2311" s="223"/>
      <c r="Q2311" s="223"/>
      <c r="R2311" s="223"/>
      <c r="S2311" s="223"/>
      <c r="T2311" s="223"/>
      <c r="U2311" s="223"/>
      <c r="V2311" s="223"/>
      <c r="W2311" s="223"/>
      <c r="X2311" s="223"/>
      <c r="Y2311" s="223"/>
      <c r="Z2311" s="223"/>
    </row>
    <row r="2312">
      <c r="A2312" s="223" t="str">
        <f>IFERROR(__xludf.DUMMYFUNCTION("""COMPUTED_VALUE"""),"Venetian : Monthly Services")</f>
        <v>Venetian : Monthly Services</v>
      </c>
      <c r="B2312" s="223" t="str">
        <f>IFERROR(__xludf.DUMMYFUNCTION("""COMPUTED_VALUE"""),"Venetian")</f>
        <v>Venetian</v>
      </c>
      <c r="C2312" s="223" t="str">
        <f>IFERROR(__xludf.DUMMYFUNCTION("""COMPUTED_VALUE"""),"Monthly Services")</f>
        <v>Monthly Services</v>
      </c>
      <c r="D2312" s="316">
        <f>IFERROR(__xludf.DUMMYFUNCTION("""COMPUTED_VALUE"""),44926.0)</f>
        <v>44926</v>
      </c>
      <c r="E2312" s="298"/>
      <c r="F2312" s="298"/>
      <c r="G2312" s="298"/>
      <c r="H2312" s="223"/>
      <c r="I2312" s="298">
        <f>IFERROR(__xludf.DUMMYFUNCTION("""COMPUTED_VALUE"""),6.02)</f>
        <v>6.02</v>
      </c>
      <c r="J2312" s="223" t="str">
        <f>IFERROR(__xludf.DUMMYFUNCTION("""COMPUTED_VALUE"""),"Monthly")</f>
        <v>Monthly</v>
      </c>
      <c r="K2312" s="317">
        <f>IFERROR(__xludf.DUMMYFUNCTION("""COMPUTED_VALUE"""),2022.12)</f>
        <v>2022.12</v>
      </c>
      <c r="L2312" s="298"/>
      <c r="M2312" s="223"/>
      <c r="N2312" s="223"/>
      <c r="O2312" s="223"/>
      <c r="P2312" s="223"/>
      <c r="Q2312" s="223"/>
      <c r="R2312" s="223"/>
      <c r="S2312" s="223"/>
      <c r="T2312" s="223"/>
      <c r="U2312" s="223"/>
      <c r="V2312" s="223"/>
      <c r="W2312" s="223"/>
      <c r="X2312" s="223"/>
      <c r="Y2312" s="223"/>
      <c r="Z2312" s="223"/>
    </row>
    <row r="2313">
      <c r="A2313" s="223" t="str">
        <f>IFERROR(__xludf.DUMMYFUNCTION("""COMPUTED_VALUE"""),"Villa del Mar : Website Rebuild")</f>
        <v>Villa del Mar : Website Rebuild</v>
      </c>
      <c r="B2313" s="223" t="str">
        <f>IFERROR(__xludf.DUMMYFUNCTION("""COMPUTED_VALUE"""),"Villa del Mar")</f>
        <v>Villa del Mar</v>
      </c>
      <c r="C2313" s="223" t="str">
        <f>IFERROR(__xludf.DUMMYFUNCTION("""COMPUTED_VALUE"""),"Website Rebuild")</f>
        <v>Website Rebuild</v>
      </c>
      <c r="D2313" s="316">
        <f>IFERROR(__xludf.DUMMYFUNCTION("""COMPUTED_VALUE"""),44926.0)</f>
        <v>44926</v>
      </c>
      <c r="E2313" s="298"/>
      <c r="F2313" s="298"/>
      <c r="G2313" s="298"/>
      <c r="H2313" s="223"/>
      <c r="I2313" s="298">
        <f>IFERROR(__xludf.DUMMYFUNCTION("""COMPUTED_VALUE"""),362.92)</f>
        <v>362.92</v>
      </c>
      <c r="J2313" s="223" t="str">
        <f>IFERROR(__xludf.DUMMYFUNCTION("""COMPUTED_VALUE"""),"Fixed Project")</f>
        <v>Fixed Project</v>
      </c>
      <c r="K2313" s="317">
        <f>IFERROR(__xludf.DUMMYFUNCTION("""COMPUTED_VALUE"""),2022.0)</f>
        <v>2022</v>
      </c>
      <c r="L2313" s="298"/>
      <c r="M2313" s="223"/>
      <c r="N2313" s="223"/>
      <c r="O2313" s="223"/>
      <c r="P2313" s="223"/>
      <c r="Q2313" s="223"/>
      <c r="R2313" s="223"/>
      <c r="S2313" s="223"/>
      <c r="T2313" s="223"/>
      <c r="U2313" s="223"/>
      <c r="V2313" s="223"/>
      <c r="W2313" s="223"/>
      <c r="X2313" s="223"/>
      <c r="Y2313" s="223"/>
      <c r="Z2313" s="223"/>
    </row>
    <row r="2314">
      <c r="A2314" s="223" t="str">
        <f>IFERROR(__xludf.DUMMYFUNCTION("""COMPUTED_VALUE"""),"Zinc Strategies : 5 Hour Support Block")</f>
        <v>Zinc Strategies : 5 Hour Support Block</v>
      </c>
      <c r="B2314" s="223" t="str">
        <f>IFERROR(__xludf.DUMMYFUNCTION("""COMPUTED_VALUE"""),"Zinc Strategies")</f>
        <v>Zinc Strategies</v>
      </c>
      <c r="C2314" s="223" t="str">
        <f>IFERROR(__xludf.DUMMYFUNCTION("""COMPUTED_VALUE"""),"5 Hour Support Block")</f>
        <v>5 Hour Support Block</v>
      </c>
      <c r="D2314" s="316">
        <f>IFERROR(__xludf.DUMMYFUNCTION("""COMPUTED_VALUE"""),44926.0)</f>
        <v>44926</v>
      </c>
      <c r="E2314" s="298"/>
      <c r="F2314" s="298"/>
      <c r="G2314" s="298"/>
      <c r="H2314" s="223"/>
      <c r="I2314" s="298">
        <f>IFERROR(__xludf.DUMMYFUNCTION("""COMPUTED_VALUE"""),11.9)</f>
        <v>11.9</v>
      </c>
      <c r="J2314" s="223" t="str">
        <f>IFERROR(__xludf.DUMMYFUNCTION("""COMPUTED_VALUE"""),"Hourly")</f>
        <v>Hourly</v>
      </c>
      <c r="K2314" s="317">
        <f>IFERROR(__xludf.DUMMYFUNCTION("""COMPUTED_VALUE"""),2022.0)</f>
        <v>2022</v>
      </c>
      <c r="L2314" s="298"/>
      <c r="M2314" s="223"/>
      <c r="N2314" s="223"/>
      <c r="O2314" s="223"/>
      <c r="P2314" s="223"/>
      <c r="Q2314" s="223"/>
      <c r="R2314" s="223"/>
      <c r="S2314" s="223"/>
      <c r="T2314" s="223"/>
      <c r="U2314" s="223"/>
      <c r="V2314" s="223"/>
      <c r="W2314" s="223"/>
      <c r="X2314" s="223"/>
      <c r="Y2314" s="223"/>
      <c r="Z2314" s="223"/>
    </row>
    <row r="2315">
      <c r="A2315" s="223" t="str">
        <f>IFERROR(__xludf.DUMMYFUNCTION("""COMPUTED_VALUE"""),"Viridian : Monthly Services")</f>
        <v>Viridian : Monthly Services</v>
      </c>
      <c r="B2315" s="223" t="str">
        <f>IFERROR(__xludf.DUMMYFUNCTION("""COMPUTED_VALUE"""),"Viridian")</f>
        <v>Viridian</v>
      </c>
      <c r="C2315" s="223" t="str">
        <f>IFERROR(__xludf.DUMMYFUNCTION("""COMPUTED_VALUE"""),"Monthly Services")</f>
        <v>Monthly Services</v>
      </c>
      <c r="D2315" s="316">
        <f>IFERROR(__xludf.DUMMYFUNCTION("""COMPUTED_VALUE"""),44957.0)</f>
        <v>44957</v>
      </c>
      <c r="E2315" s="298"/>
      <c r="F2315" s="298"/>
      <c r="G2315" s="298"/>
      <c r="H2315" s="223"/>
      <c r="I2315" s="298">
        <f>IFERROR(__xludf.DUMMYFUNCTION("""COMPUTED_VALUE"""),312.5)</f>
        <v>312.5</v>
      </c>
      <c r="J2315" s="223" t="str">
        <f>IFERROR(__xludf.DUMMYFUNCTION("""COMPUTED_VALUE"""),"Monthly")</f>
        <v>Monthly</v>
      </c>
      <c r="K2315" s="317">
        <f>IFERROR(__xludf.DUMMYFUNCTION("""COMPUTED_VALUE"""),2023.01)</f>
        <v>2023.01</v>
      </c>
      <c r="L2315" s="298"/>
      <c r="M2315" s="223"/>
      <c r="N2315" s="223"/>
      <c r="O2315" s="223"/>
      <c r="P2315" s="223"/>
      <c r="Q2315" s="223"/>
      <c r="R2315" s="223"/>
      <c r="S2315" s="223"/>
      <c r="T2315" s="223"/>
      <c r="U2315" s="223"/>
      <c r="V2315" s="223"/>
      <c r="W2315" s="223"/>
      <c r="X2315" s="223"/>
      <c r="Y2315" s="223"/>
      <c r="Z2315" s="223"/>
    </row>
    <row r="2316">
      <c r="A2316" s="223" t="str">
        <f>IFERROR(__xludf.DUMMYFUNCTION("""COMPUTED_VALUE"""),"Service First : Monthly Services")</f>
        <v>Service First : Monthly Services</v>
      </c>
      <c r="B2316" s="223" t="str">
        <f>IFERROR(__xludf.DUMMYFUNCTION("""COMPUTED_VALUE"""),"Service First")</f>
        <v>Service First</v>
      </c>
      <c r="C2316" s="223" t="str">
        <f>IFERROR(__xludf.DUMMYFUNCTION("""COMPUTED_VALUE"""),"Monthly Services")</f>
        <v>Monthly Services</v>
      </c>
      <c r="D2316" s="316">
        <f>IFERROR(__xludf.DUMMYFUNCTION("""COMPUTED_VALUE"""),44957.0)</f>
        <v>44957</v>
      </c>
      <c r="E2316" s="298"/>
      <c r="F2316" s="298"/>
      <c r="G2316" s="298"/>
      <c r="H2316" s="223"/>
      <c r="I2316" s="298">
        <f>IFERROR(__xludf.DUMMYFUNCTION("""COMPUTED_VALUE"""),125.0)</f>
        <v>125</v>
      </c>
      <c r="J2316" s="223" t="str">
        <f>IFERROR(__xludf.DUMMYFUNCTION("""COMPUTED_VALUE"""),"Monthly")</f>
        <v>Monthly</v>
      </c>
      <c r="K2316" s="317">
        <f>IFERROR(__xludf.DUMMYFUNCTION("""COMPUTED_VALUE"""),2023.01)</f>
        <v>2023.01</v>
      </c>
      <c r="L2316" s="298"/>
      <c r="M2316" s="223"/>
      <c r="N2316" s="223"/>
      <c r="O2316" s="223"/>
      <c r="P2316" s="223"/>
      <c r="Q2316" s="223"/>
      <c r="R2316" s="223"/>
      <c r="S2316" s="223"/>
      <c r="T2316" s="223"/>
      <c r="U2316" s="223"/>
      <c r="V2316" s="223"/>
      <c r="W2316" s="223"/>
      <c r="X2316" s="223"/>
      <c r="Y2316" s="223"/>
      <c r="Z2316" s="223"/>
    </row>
    <row r="2317">
      <c r="A2317" s="223" t="str">
        <f>IFERROR(__xludf.DUMMYFUNCTION("""COMPUTED_VALUE"""),"MortgagePal : Monthly Services")</f>
        <v>MortgagePal : Monthly Services</v>
      </c>
      <c r="B2317" s="223" t="str">
        <f>IFERROR(__xludf.DUMMYFUNCTION("""COMPUTED_VALUE"""),"MortgagePal")</f>
        <v>MortgagePal</v>
      </c>
      <c r="C2317" s="223" t="str">
        <f>IFERROR(__xludf.DUMMYFUNCTION("""COMPUTED_VALUE"""),"Monthly Services")</f>
        <v>Monthly Services</v>
      </c>
      <c r="D2317" s="316">
        <f>IFERROR(__xludf.DUMMYFUNCTION("""COMPUTED_VALUE"""),44957.0)</f>
        <v>44957</v>
      </c>
      <c r="E2317" s="298"/>
      <c r="F2317" s="298"/>
      <c r="G2317" s="298"/>
      <c r="H2317" s="223"/>
      <c r="I2317" s="298">
        <f>IFERROR(__xludf.DUMMYFUNCTION("""COMPUTED_VALUE"""),212.5)</f>
        <v>212.5</v>
      </c>
      <c r="J2317" s="223" t="str">
        <f>IFERROR(__xludf.DUMMYFUNCTION("""COMPUTED_VALUE"""),"Monthly")</f>
        <v>Monthly</v>
      </c>
      <c r="K2317" s="317">
        <f>IFERROR(__xludf.DUMMYFUNCTION("""COMPUTED_VALUE"""),2023.01)</f>
        <v>2023.01</v>
      </c>
      <c r="L2317" s="298"/>
      <c r="M2317" s="223"/>
      <c r="N2317" s="223"/>
      <c r="O2317" s="223"/>
      <c r="P2317" s="223"/>
      <c r="Q2317" s="223"/>
      <c r="R2317" s="223"/>
      <c r="S2317" s="223"/>
      <c r="T2317" s="223"/>
      <c r="U2317" s="223"/>
      <c r="V2317" s="223"/>
      <c r="W2317" s="223"/>
      <c r="X2317" s="223"/>
      <c r="Y2317" s="223"/>
      <c r="Z2317" s="223"/>
    </row>
    <row r="2318">
      <c r="A2318" s="223" t="str">
        <f>IFERROR(__xludf.DUMMYFUNCTION("""COMPUTED_VALUE"""),"Wallack's Art Supplies : Monthly Services")</f>
        <v>Wallack's Art Supplies : Monthly Services</v>
      </c>
      <c r="B2318" s="223" t="str">
        <f>IFERROR(__xludf.DUMMYFUNCTION("""COMPUTED_VALUE"""),"Wallack's Art Supplies")</f>
        <v>Wallack's Art Supplies</v>
      </c>
      <c r="C2318" s="223" t="str">
        <f>IFERROR(__xludf.DUMMYFUNCTION("""COMPUTED_VALUE"""),"Monthly Services")</f>
        <v>Monthly Services</v>
      </c>
      <c r="D2318" s="316">
        <f>IFERROR(__xludf.DUMMYFUNCTION("""COMPUTED_VALUE"""),44957.0)</f>
        <v>44957</v>
      </c>
      <c r="E2318" s="298"/>
      <c r="F2318" s="298"/>
      <c r="G2318" s="298"/>
      <c r="H2318" s="223"/>
      <c r="I2318" s="298">
        <f>IFERROR(__xludf.DUMMYFUNCTION("""COMPUTED_VALUE"""),262.5)</f>
        <v>262.5</v>
      </c>
      <c r="J2318" s="223" t="str">
        <f>IFERROR(__xludf.DUMMYFUNCTION("""COMPUTED_VALUE"""),"Monthly")</f>
        <v>Monthly</v>
      </c>
      <c r="K2318" s="317">
        <f>IFERROR(__xludf.DUMMYFUNCTION("""COMPUTED_VALUE"""),2023.01)</f>
        <v>2023.01</v>
      </c>
      <c r="L2318" s="298"/>
      <c r="M2318" s="223"/>
      <c r="N2318" s="223"/>
      <c r="O2318" s="223"/>
      <c r="P2318" s="223"/>
      <c r="Q2318" s="223"/>
      <c r="R2318" s="223"/>
      <c r="S2318" s="223"/>
      <c r="T2318" s="223"/>
      <c r="U2318" s="223"/>
      <c r="V2318" s="223"/>
      <c r="W2318" s="223"/>
      <c r="X2318" s="223"/>
      <c r="Y2318" s="223"/>
      <c r="Z2318" s="223"/>
    </row>
    <row r="2319">
      <c r="A2319" s="223" t="str">
        <f>IFERROR(__xludf.DUMMYFUNCTION("""COMPUTED_VALUE"""),"Anook Athletics : Monthly Services")</f>
        <v>Anook Athletics : Monthly Services</v>
      </c>
      <c r="B2319" s="223" t="str">
        <f>IFERROR(__xludf.DUMMYFUNCTION("""COMPUTED_VALUE"""),"Anook Athletics")</f>
        <v>Anook Athletics</v>
      </c>
      <c r="C2319" s="223" t="str">
        <f>IFERROR(__xludf.DUMMYFUNCTION("""COMPUTED_VALUE"""),"Monthly Services")</f>
        <v>Monthly Services</v>
      </c>
      <c r="D2319" s="316">
        <f>IFERROR(__xludf.DUMMYFUNCTION("""COMPUTED_VALUE"""),44957.0)</f>
        <v>44957</v>
      </c>
      <c r="E2319" s="298"/>
      <c r="F2319" s="298"/>
      <c r="G2319" s="298"/>
      <c r="H2319" s="223"/>
      <c r="I2319" s="298">
        <f>IFERROR(__xludf.DUMMYFUNCTION("""COMPUTED_VALUE"""),500.0)</f>
        <v>500</v>
      </c>
      <c r="J2319" s="223" t="str">
        <f>IFERROR(__xludf.DUMMYFUNCTION("""COMPUTED_VALUE"""),"Monthly")</f>
        <v>Monthly</v>
      </c>
      <c r="K2319" s="317">
        <f>IFERROR(__xludf.DUMMYFUNCTION("""COMPUTED_VALUE"""),2023.01)</f>
        <v>2023.01</v>
      </c>
      <c r="L2319" s="298"/>
      <c r="M2319" s="223"/>
      <c r="N2319" s="223"/>
      <c r="O2319" s="223"/>
      <c r="P2319" s="223"/>
      <c r="Q2319" s="223"/>
      <c r="R2319" s="223"/>
      <c r="S2319" s="223"/>
      <c r="T2319" s="223"/>
      <c r="U2319" s="223"/>
      <c r="V2319" s="223"/>
      <c r="W2319" s="223"/>
      <c r="X2319" s="223"/>
      <c r="Y2319" s="223"/>
      <c r="Z2319" s="223"/>
    </row>
    <row r="2320">
      <c r="A2320" s="223" t="str">
        <f>IFERROR(__xludf.DUMMYFUNCTION("""COMPUTED_VALUE"""),"PMDI : Monthly Services")</f>
        <v>PMDI : Monthly Services</v>
      </c>
      <c r="B2320" s="223" t="str">
        <f>IFERROR(__xludf.DUMMYFUNCTION("""COMPUTED_VALUE"""),"PMDI")</f>
        <v>PMDI</v>
      </c>
      <c r="C2320" s="223" t="str">
        <f>IFERROR(__xludf.DUMMYFUNCTION("""COMPUTED_VALUE"""),"Monthly Services")</f>
        <v>Monthly Services</v>
      </c>
      <c r="D2320" s="316">
        <f>IFERROR(__xludf.DUMMYFUNCTION("""COMPUTED_VALUE"""),44957.0)</f>
        <v>44957</v>
      </c>
      <c r="E2320" s="298"/>
      <c r="F2320" s="298"/>
      <c r="G2320" s="298"/>
      <c r="H2320" s="223"/>
      <c r="I2320" s="298">
        <f>IFERROR(__xludf.DUMMYFUNCTION("""COMPUTED_VALUE"""),137.5)</f>
        <v>137.5</v>
      </c>
      <c r="J2320" s="223" t="str">
        <f>IFERROR(__xludf.DUMMYFUNCTION("""COMPUTED_VALUE"""),"Monthly")</f>
        <v>Monthly</v>
      </c>
      <c r="K2320" s="317">
        <f>IFERROR(__xludf.DUMMYFUNCTION("""COMPUTED_VALUE"""),2023.01)</f>
        <v>2023.01</v>
      </c>
      <c r="L2320" s="298"/>
      <c r="M2320" s="223"/>
      <c r="N2320" s="223"/>
      <c r="O2320" s="223"/>
      <c r="P2320" s="223"/>
      <c r="Q2320" s="223"/>
      <c r="R2320" s="223"/>
      <c r="S2320" s="223"/>
      <c r="T2320" s="223"/>
      <c r="U2320" s="223"/>
      <c r="V2320" s="223"/>
      <c r="W2320" s="223"/>
      <c r="X2320" s="223"/>
      <c r="Y2320" s="223"/>
      <c r="Z2320" s="223"/>
    </row>
    <row r="2321">
      <c r="A2321" s="223" t="str">
        <f>IFERROR(__xludf.DUMMYFUNCTION("""COMPUTED_VALUE"""),"Big Hammer Wines : Monthly PPC")</f>
        <v>Big Hammer Wines : Monthly PPC</v>
      </c>
      <c r="B2321" s="223" t="str">
        <f>IFERROR(__xludf.DUMMYFUNCTION("""COMPUTED_VALUE"""),"Big Hammer Wines")</f>
        <v>Big Hammer Wines</v>
      </c>
      <c r="C2321" s="223" t="str">
        <f>IFERROR(__xludf.DUMMYFUNCTION("""COMPUTED_VALUE"""),"Monthly PPC")</f>
        <v>Monthly PPC</v>
      </c>
      <c r="D2321" s="316">
        <f>IFERROR(__xludf.DUMMYFUNCTION("""COMPUTED_VALUE"""),44957.0)</f>
        <v>44957</v>
      </c>
      <c r="E2321" s="298"/>
      <c r="F2321" s="298"/>
      <c r="G2321" s="298"/>
      <c r="H2321" s="223"/>
      <c r="I2321" s="298">
        <f>IFERROR(__xludf.DUMMYFUNCTION("""COMPUTED_VALUE"""),237.5)</f>
        <v>237.5</v>
      </c>
      <c r="J2321" s="223" t="str">
        <f>IFERROR(__xludf.DUMMYFUNCTION("""COMPUTED_VALUE"""),"Monthly")</f>
        <v>Monthly</v>
      </c>
      <c r="K2321" s="317">
        <f>IFERROR(__xludf.DUMMYFUNCTION("""COMPUTED_VALUE"""),2023.01)</f>
        <v>2023.01</v>
      </c>
      <c r="L2321" s="298"/>
      <c r="M2321" s="223"/>
      <c r="N2321" s="223"/>
      <c r="O2321" s="223"/>
      <c r="P2321" s="223"/>
      <c r="Q2321" s="223"/>
      <c r="R2321" s="223"/>
      <c r="S2321" s="223"/>
      <c r="T2321" s="223"/>
      <c r="U2321" s="223"/>
      <c r="V2321" s="223"/>
      <c r="W2321" s="223"/>
      <c r="X2321" s="223"/>
      <c r="Y2321" s="223"/>
      <c r="Z2321" s="223"/>
    </row>
    <row r="2322">
      <c r="A2322" s="223" t="str">
        <f>IFERROR(__xludf.DUMMYFUNCTION("""COMPUTED_VALUE"""),"Canyon's Construction : PPC, LP &amp; Listings")</f>
        <v>Canyon's Construction : PPC, LP &amp; Listings</v>
      </c>
      <c r="B2322" s="223" t="str">
        <f>IFERROR(__xludf.DUMMYFUNCTION("""COMPUTED_VALUE"""),"Canyon's Construction")</f>
        <v>Canyon's Construction</v>
      </c>
      <c r="C2322" s="223" t="str">
        <f>IFERROR(__xludf.DUMMYFUNCTION("""COMPUTED_VALUE"""),"PPC, LP &amp; Listings")</f>
        <v>PPC, LP &amp; Listings</v>
      </c>
      <c r="D2322" s="316">
        <f>IFERROR(__xludf.DUMMYFUNCTION("""COMPUTED_VALUE"""),44941.0)</f>
        <v>44941</v>
      </c>
      <c r="E2322" s="298"/>
      <c r="F2322" s="298"/>
      <c r="G2322" s="298"/>
      <c r="H2322" s="223"/>
      <c r="I2322" s="298">
        <f>IFERROR(__xludf.DUMMYFUNCTION("""COMPUTED_VALUE"""),275.58)</f>
        <v>275.58</v>
      </c>
      <c r="J2322" s="223" t="str">
        <f>IFERROR(__xludf.DUMMYFUNCTION("""COMPUTED_VALUE"""),"Fixed Project")</f>
        <v>Fixed Project</v>
      </c>
      <c r="K2322" s="317">
        <f>IFERROR(__xludf.DUMMYFUNCTION("""COMPUTED_VALUE"""),2023.0)</f>
        <v>2023</v>
      </c>
      <c r="L2322" s="298">
        <f>IFERROR(__xludf.DUMMYFUNCTION("""COMPUTED_VALUE"""),275.58)</f>
        <v>275.58</v>
      </c>
      <c r="M2322" s="223"/>
      <c r="N2322" s="223"/>
      <c r="O2322" s="223"/>
      <c r="P2322" s="223"/>
      <c r="Q2322" s="223"/>
      <c r="R2322" s="223"/>
      <c r="S2322" s="223"/>
      <c r="T2322" s="223"/>
      <c r="U2322" s="223"/>
      <c r="V2322" s="223"/>
      <c r="W2322" s="223"/>
      <c r="X2322" s="223"/>
      <c r="Y2322" s="223"/>
      <c r="Z2322" s="223"/>
    </row>
    <row r="2323">
      <c r="A2323" s="223" t="str">
        <f>IFERROR(__xludf.DUMMYFUNCTION("""COMPUTED_VALUE"""),"Venetian : Monthly Services")</f>
        <v>Venetian : Monthly Services</v>
      </c>
      <c r="B2323" s="223" t="str">
        <f>IFERROR(__xludf.DUMMYFUNCTION("""COMPUTED_VALUE"""),"Venetian")</f>
        <v>Venetian</v>
      </c>
      <c r="C2323" s="223" t="str">
        <f>IFERROR(__xludf.DUMMYFUNCTION("""COMPUTED_VALUE"""),"Monthly Services")</f>
        <v>Monthly Services</v>
      </c>
      <c r="D2323" s="316">
        <f>IFERROR(__xludf.DUMMYFUNCTION("""COMPUTED_VALUE"""),44946.0)</f>
        <v>44946</v>
      </c>
      <c r="E2323" s="298"/>
      <c r="F2323" s="298"/>
      <c r="G2323" s="298"/>
      <c r="H2323" s="223"/>
      <c r="I2323" s="298">
        <f>IFERROR(__xludf.DUMMYFUNCTION("""COMPUTED_VALUE"""),750.0)</f>
        <v>750</v>
      </c>
      <c r="J2323" s="223" t="str">
        <f>IFERROR(__xludf.DUMMYFUNCTION("""COMPUTED_VALUE"""),"Monthly")</f>
        <v>Monthly</v>
      </c>
      <c r="K2323" s="317">
        <f>IFERROR(__xludf.DUMMYFUNCTION("""COMPUTED_VALUE"""),2023.01)</f>
        <v>2023.01</v>
      </c>
      <c r="L2323" s="298">
        <f>IFERROR(__xludf.DUMMYFUNCTION("""COMPUTED_VALUE"""),750.0)</f>
        <v>750</v>
      </c>
      <c r="M2323" s="223"/>
      <c r="N2323" s="223"/>
      <c r="O2323" s="223"/>
      <c r="P2323" s="223"/>
      <c r="Q2323" s="223"/>
      <c r="R2323" s="223"/>
      <c r="S2323" s="223"/>
      <c r="T2323" s="223"/>
      <c r="U2323" s="223"/>
      <c r="V2323" s="223"/>
      <c r="W2323" s="223"/>
      <c r="X2323" s="223"/>
      <c r="Y2323" s="223"/>
      <c r="Z2323" s="223"/>
    </row>
    <row r="2324">
      <c r="A2324" s="223" t="str">
        <f>IFERROR(__xludf.DUMMYFUNCTION("""COMPUTED_VALUE"""),"Tuscany : Monthly Services")</f>
        <v>Tuscany : Monthly Services</v>
      </c>
      <c r="B2324" s="223" t="str">
        <f>IFERROR(__xludf.DUMMYFUNCTION("""COMPUTED_VALUE"""),"Tuscany")</f>
        <v>Tuscany</v>
      </c>
      <c r="C2324" s="223" t="str">
        <f>IFERROR(__xludf.DUMMYFUNCTION("""COMPUTED_VALUE"""),"Monthly Services")</f>
        <v>Monthly Services</v>
      </c>
      <c r="D2324" s="316">
        <f>IFERROR(__xludf.DUMMYFUNCTION("""COMPUTED_VALUE"""),44950.0)</f>
        <v>44950</v>
      </c>
      <c r="E2324" s="298"/>
      <c r="F2324" s="298"/>
      <c r="G2324" s="298"/>
      <c r="H2324" s="223"/>
      <c r="I2324" s="298">
        <f>IFERROR(__xludf.DUMMYFUNCTION("""COMPUTED_VALUE"""),18.0)</f>
        <v>18</v>
      </c>
      <c r="J2324" s="223" t="str">
        <f>IFERROR(__xludf.DUMMYFUNCTION("""COMPUTED_VALUE"""),"Monthly")</f>
        <v>Monthly</v>
      </c>
      <c r="K2324" s="317">
        <f>IFERROR(__xludf.DUMMYFUNCTION("""COMPUTED_VALUE"""),2023.01)</f>
        <v>2023.01</v>
      </c>
      <c r="L2324" s="298">
        <f>IFERROR(__xludf.DUMMYFUNCTION("""COMPUTED_VALUE"""),18.0)</f>
        <v>18</v>
      </c>
      <c r="M2324" s="223"/>
      <c r="N2324" s="223"/>
      <c r="O2324" s="223"/>
      <c r="P2324" s="223"/>
      <c r="Q2324" s="223"/>
      <c r="R2324" s="223"/>
      <c r="S2324" s="223"/>
      <c r="T2324" s="223"/>
      <c r="U2324" s="223"/>
      <c r="V2324" s="223"/>
      <c r="W2324" s="223"/>
      <c r="X2324" s="223"/>
      <c r="Y2324" s="223"/>
      <c r="Z2324" s="223"/>
    </row>
    <row r="2325">
      <c r="A2325" s="223" t="str">
        <f>IFERROR(__xludf.DUMMYFUNCTION("""COMPUTED_VALUE"""),"Spraggs : Monthly Services")</f>
        <v>Spraggs : Monthly Services</v>
      </c>
      <c r="B2325" s="223" t="str">
        <f>IFERROR(__xludf.DUMMYFUNCTION("""COMPUTED_VALUE"""),"Spraggs")</f>
        <v>Spraggs</v>
      </c>
      <c r="C2325" s="223" t="str">
        <f>IFERROR(__xludf.DUMMYFUNCTION("""COMPUTED_VALUE"""),"Monthly Services")</f>
        <v>Monthly Services</v>
      </c>
      <c r="D2325" s="316">
        <f>IFERROR(__xludf.DUMMYFUNCTION("""COMPUTED_VALUE"""),44951.0)</f>
        <v>44951</v>
      </c>
      <c r="E2325" s="298"/>
      <c r="F2325" s="298"/>
      <c r="G2325" s="298"/>
      <c r="H2325" s="223"/>
      <c r="I2325" s="298">
        <f>IFERROR(__xludf.DUMMYFUNCTION("""COMPUTED_VALUE"""),100.0)</f>
        <v>100</v>
      </c>
      <c r="J2325" s="223" t="str">
        <f>IFERROR(__xludf.DUMMYFUNCTION("""COMPUTED_VALUE"""),"Monthly")</f>
        <v>Monthly</v>
      </c>
      <c r="K2325" s="317">
        <f>IFERROR(__xludf.DUMMYFUNCTION("""COMPUTED_VALUE"""),2023.01)</f>
        <v>2023.01</v>
      </c>
      <c r="L2325" s="298">
        <f>IFERROR(__xludf.DUMMYFUNCTION("""COMPUTED_VALUE"""),100.0)</f>
        <v>100</v>
      </c>
      <c r="M2325" s="223"/>
      <c r="N2325" s="223"/>
      <c r="O2325" s="223"/>
      <c r="P2325" s="223"/>
      <c r="Q2325" s="223"/>
      <c r="R2325" s="223"/>
      <c r="S2325" s="223"/>
      <c r="T2325" s="223"/>
      <c r="U2325" s="223"/>
      <c r="V2325" s="223"/>
      <c r="W2325" s="223"/>
      <c r="X2325" s="223"/>
      <c r="Y2325" s="223"/>
      <c r="Z2325" s="223"/>
    </row>
    <row r="2326">
      <c r="A2326" s="223" t="str">
        <f>IFERROR(__xludf.DUMMYFUNCTION("""COMPUTED_VALUE"""),"PlusROI : Admin")</f>
        <v>PlusROI : Admin</v>
      </c>
      <c r="B2326" s="223" t="str">
        <f>IFERROR(__xludf.DUMMYFUNCTION("""COMPUTED_VALUE"""),"PlusROI")</f>
        <v>PlusROI</v>
      </c>
      <c r="C2326" s="223" t="str">
        <f>IFERROR(__xludf.DUMMYFUNCTION("""COMPUTED_VALUE"""),"Admin")</f>
        <v>Admin</v>
      </c>
      <c r="D2326" s="316">
        <f>IFERROR(__xludf.DUMMYFUNCTION("""COMPUTED_VALUE"""),44957.0)</f>
        <v>44957</v>
      </c>
      <c r="E2326" s="298"/>
      <c r="F2326" s="298"/>
      <c r="G2326" s="298"/>
      <c r="H2326" s="223"/>
      <c r="I2326" s="298">
        <f>IFERROR(__xludf.DUMMYFUNCTION("""COMPUTED_VALUE"""),492.22)</f>
        <v>492.22</v>
      </c>
      <c r="J2326" s="223" t="str">
        <f>IFERROR(__xludf.DUMMYFUNCTION("""COMPUTED_VALUE"""),"Hourly")</f>
        <v>Hourly</v>
      </c>
      <c r="K2326" s="317">
        <f>IFERROR(__xludf.DUMMYFUNCTION("""COMPUTED_VALUE"""),2023.0)</f>
        <v>2023</v>
      </c>
      <c r="L2326" s="298">
        <f>IFERROR(__xludf.DUMMYFUNCTION("""COMPUTED_VALUE"""),492.22)</f>
        <v>492.22</v>
      </c>
      <c r="M2326" s="223"/>
      <c r="N2326" s="223"/>
      <c r="O2326" s="223"/>
      <c r="P2326" s="223"/>
      <c r="Q2326" s="223"/>
      <c r="R2326" s="223"/>
      <c r="S2326" s="223"/>
      <c r="T2326" s="223"/>
      <c r="U2326" s="223"/>
      <c r="V2326" s="223"/>
      <c r="W2326" s="223"/>
      <c r="X2326" s="223"/>
      <c r="Y2326" s="223"/>
      <c r="Z2326" s="223"/>
    </row>
    <row r="2327">
      <c r="A2327" s="223" t="str">
        <f>IFERROR(__xludf.DUMMYFUNCTION("""COMPUTED_VALUE"""),"Venetian : Monthly Services")</f>
        <v>Venetian : Monthly Services</v>
      </c>
      <c r="B2327" s="223" t="str">
        <f>IFERROR(__xludf.DUMMYFUNCTION("""COMPUTED_VALUE"""),"Venetian")</f>
        <v>Venetian</v>
      </c>
      <c r="C2327" s="223" t="str">
        <f>IFERROR(__xludf.DUMMYFUNCTION("""COMPUTED_VALUE"""),"Monthly Services")</f>
        <v>Monthly Services</v>
      </c>
      <c r="D2327" s="316">
        <f>IFERROR(__xludf.DUMMYFUNCTION("""COMPUTED_VALUE"""),44958.0)</f>
        <v>44958</v>
      </c>
      <c r="E2327" s="298"/>
      <c r="F2327" s="298"/>
      <c r="G2327" s="298"/>
      <c r="H2327" s="223"/>
      <c r="I2327" s="298">
        <f>IFERROR(__xludf.DUMMYFUNCTION("""COMPUTED_VALUE"""),420.22)</f>
        <v>420.22</v>
      </c>
      <c r="J2327" s="223" t="str">
        <f>IFERROR(__xludf.DUMMYFUNCTION("""COMPUTED_VALUE"""),"Monthly")</f>
        <v>Monthly</v>
      </c>
      <c r="K2327" s="317">
        <f>IFERROR(__xludf.DUMMYFUNCTION("""COMPUTED_VALUE"""),2023.02)</f>
        <v>2023.02</v>
      </c>
      <c r="L2327" s="298">
        <f>IFERROR(__xludf.DUMMYFUNCTION("""COMPUTED_VALUE"""),420.22)</f>
        <v>420.22</v>
      </c>
      <c r="M2327" s="223"/>
      <c r="N2327" s="223"/>
      <c r="O2327" s="223"/>
      <c r="P2327" s="223"/>
      <c r="Q2327" s="223"/>
      <c r="R2327" s="223"/>
      <c r="S2327" s="223"/>
      <c r="T2327" s="223"/>
      <c r="U2327" s="223"/>
      <c r="V2327" s="223"/>
      <c r="W2327" s="223"/>
      <c r="X2327" s="223"/>
      <c r="Y2327" s="223"/>
      <c r="Z2327" s="223"/>
    </row>
    <row r="2328">
      <c r="A2328" s="223" t="str">
        <f>IFERROR(__xludf.DUMMYFUNCTION("""COMPUTED_VALUE"""),"Canyon's Construction : PPC, LP &amp; Listings")</f>
        <v>Canyon's Construction : PPC, LP &amp; Listings</v>
      </c>
      <c r="B2328" s="223" t="str">
        <f>IFERROR(__xludf.DUMMYFUNCTION("""COMPUTED_VALUE"""),"Canyon's Construction")</f>
        <v>Canyon's Construction</v>
      </c>
      <c r="C2328" s="223" t="str">
        <f>IFERROR(__xludf.DUMMYFUNCTION("""COMPUTED_VALUE"""),"PPC, LP &amp; Listings")</f>
        <v>PPC, LP &amp; Listings</v>
      </c>
      <c r="D2328" s="316">
        <f>IFERROR(__xludf.DUMMYFUNCTION("""COMPUTED_VALUE"""),44958.0)</f>
        <v>44958</v>
      </c>
      <c r="E2328" s="298"/>
      <c r="F2328" s="298"/>
      <c r="G2328" s="298"/>
      <c r="H2328" s="223"/>
      <c r="I2328" s="298">
        <f>IFERROR(__xludf.DUMMYFUNCTION("""COMPUTED_VALUE"""),448.77)</f>
        <v>448.77</v>
      </c>
      <c r="J2328" s="223" t="str">
        <f>IFERROR(__xludf.DUMMYFUNCTION("""COMPUTED_VALUE"""),"Fixed Project")</f>
        <v>Fixed Project</v>
      </c>
      <c r="K2328" s="317">
        <f>IFERROR(__xludf.DUMMYFUNCTION("""COMPUTED_VALUE"""),2023.0)</f>
        <v>2023</v>
      </c>
      <c r="L2328" s="298">
        <f>IFERROR(__xludf.DUMMYFUNCTION("""COMPUTED_VALUE"""),448.77)</f>
        <v>448.77</v>
      </c>
      <c r="M2328" s="223"/>
      <c r="N2328" s="223"/>
      <c r="O2328" s="223"/>
      <c r="P2328" s="223"/>
      <c r="Q2328" s="223"/>
      <c r="R2328" s="223"/>
      <c r="S2328" s="223"/>
      <c r="T2328" s="223"/>
      <c r="U2328" s="223"/>
      <c r="V2328" s="223"/>
      <c r="W2328" s="223"/>
      <c r="X2328" s="223"/>
      <c r="Y2328" s="223"/>
      <c r="Z2328" s="223"/>
    </row>
    <row r="2329">
      <c r="A2329" s="223" t="str">
        <f>IFERROR(__xludf.DUMMYFUNCTION("""COMPUTED_VALUE"""),"Tuscany : Monthly Services")</f>
        <v>Tuscany : Monthly Services</v>
      </c>
      <c r="B2329" s="223" t="str">
        <f>IFERROR(__xludf.DUMMYFUNCTION("""COMPUTED_VALUE"""),"Tuscany")</f>
        <v>Tuscany</v>
      </c>
      <c r="C2329" s="223" t="str">
        <f>IFERROR(__xludf.DUMMYFUNCTION("""COMPUTED_VALUE"""),"Monthly Services")</f>
        <v>Monthly Services</v>
      </c>
      <c r="D2329" s="316">
        <f>IFERROR(__xludf.DUMMYFUNCTION("""COMPUTED_VALUE"""),44958.0)</f>
        <v>44958</v>
      </c>
      <c r="E2329" s="298"/>
      <c r="F2329" s="298"/>
      <c r="G2329" s="298"/>
      <c r="H2329" s="223"/>
      <c r="I2329" s="298">
        <f>IFERROR(__xludf.DUMMYFUNCTION("""COMPUTED_VALUE"""),222.21)</f>
        <v>222.21</v>
      </c>
      <c r="J2329" s="223" t="str">
        <f>IFERROR(__xludf.DUMMYFUNCTION("""COMPUTED_VALUE"""),"Monthly")</f>
        <v>Monthly</v>
      </c>
      <c r="K2329" s="317">
        <f>IFERROR(__xludf.DUMMYFUNCTION("""COMPUTED_VALUE"""),2023.02)</f>
        <v>2023.02</v>
      </c>
      <c r="L2329" s="298">
        <f>IFERROR(__xludf.DUMMYFUNCTION("""COMPUTED_VALUE"""),222.21)</f>
        <v>222.21</v>
      </c>
      <c r="M2329" s="223"/>
      <c r="N2329" s="223"/>
      <c r="O2329" s="223"/>
      <c r="P2329" s="223"/>
      <c r="Q2329" s="223"/>
      <c r="R2329" s="223"/>
      <c r="S2329" s="223"/>
      <c r="T2329" s="223"/>
      <c r="U2329" s="223"/>
      <c r="V2329" s="223"/>
      <c r="W2329" s="223"/>
      <c r="X2329" s="223"/>
      <c r="Y2329" s="223"/>
      <c r="Z2329" s="223"/>
    </row>
    <row r="2330">
      <c r="A2330" s="223" t="str">
        <f>IFERROR(__xludf.DUMMYFUNCTION("""COMPUTED_VALUE"""),"Tugwell : Bi-monthly PPC Mgmt")</f>
        <v>Tugwell : Bi-monthly PPC Mgmt</v>
      </c>
      <c r="B2330" s="223" t="str">
        <f>IFERROR(__xludf.DUMMYFUNCTION("""COMPUTED_VALUE"""),"Tugwell")</f>
        <v>Tugwell</v>
      </c>
      <c r="C2330" s="223" t="str">
        <f>IFERROR(__xludf.DUMMYFUNCTION("""COMPUTED_VALUE"""),"Bi-monthly PPC Mgmt")</f>
        <v>Bi-monthly PPC Mgmt</v>
      </c>
      <c r="D2330" s="316">
        <f>IFERROR(__xludf.DUMMYFUNCTION("""COMPUTED_VALUE"""),44957.0)</f>
        <v>44957</v>
      </c>
      <c r="E2330" s="298"/>
      <c r="F2330" s="298"/>
      <c r="G2330" s="298"/>
      <c r="H2330" s="223"/>
      <c r="I2330" s="298">
        <f>IFERROR(__xludf.DUMMYFUNCTION("""COMPUTED_VALUE"""),44.0)</f>
        <v>44</v>
      </c>
      <c r="J2330" s="223" t="str">
        <f>IFERROR(__xludf.DUMMYFUNCTION("""COMPUTED_VALUE"""),"Bi-Monthly")</f>
        <v>Bi-Monthly</v>
      </c>
      <c r="K2330" s="317">
        <f>IFERROR(__xludf.DUMMYFUNCTION("""COMPUTED_VALUE"""),2023.0)</f>
        <v>2023</v>
      </c>
      <c r="L2330" s="298"/>
      <c r="M2330" s="223"/>
      <c r="N2330" s="223"/>
      <c r="O2330" s="223"/>
      <c r="P2330" s="223"/>
      <c r="Q2330" s="223"/>
      <c r="R2330" s="223"/>
      <c r="S2330" s="223"/>
      <c r="T2330" s="223"/>
      <c r="U2330" s="223"/>
      <c r="V2330" s="223"/>
      <c r="W2330" s="223"/>
      <c r="X2330" s="223"/>
      <c r="Y2330" s="223"/>
      <c r="Z2330" s="223"/>
    </row>
    <row r="2331">
      <c r="A2331" s="223" t="str">
        <f>IFERROR(__xludf.DUMMYFUNCTION("""COMPUTED_VALUE"""),"HSJ Lawyers : Monthly Services")</f>
        <v>HSJ Lawyers : Monthly Services</v>
      </c>
      <c r="B2331" s="223" t="str">
        <f>IFERROR(__xludf.DUMMYFUNCTION("""COMPUTED_VALUE"""),"HSJ Lawyers")</f>
        <v>HSJ Lawyers</v>
      </c>
      <c r="C2331" s="223" t="str">
        <f>IFERROR(__xludf.DUMMYFUNCTION("""COMPUTED_VALUE"""),"Monthly Services")</f>
        <v>Monthly Services</v>
      </c>
      <c r="D2331" s="316">
        <f>IFERROR(__xludf.DUMMYFUNCTION("""COMPUTED_VALUE"""),44957.0)</f>
        <v>44957</v>
      </c>
      <c r="E2331" s="298"/>
      <c r="F2331" s="298"/>
      <c r="G2331" s="298"/>
      <c r="H2331" s="223"/>
      <c r="I2331" s="298">
        <f>IFERROR(__xludf.DUMMYFUNCTION("""COMPUTED_VALUE"""),225.0)</f>
        <v>225</v>
      </c>
      <c r="J2331" s="223" t="str">
        <f>IFERROR(__xludf.DUMMYFUNCTION("""COMPUTED_VALUE"""),"Monthly")</f>
        <v>Monthly</v>
      </c>
      <c r="K2331" s="317">
        <f>IFERROR(__xludf.DUMMYFUNCTION("""COMPUTED_VALUE"""),2023.01)</f>
        <v>2023.01</v>
      </c>
      <c r="L2331" s="298"/>
      <c r="M2331" s="223"/>
      <c r="N2331" s="223"/>
      <c r="O2331" s="223"/>
      <c r="P2331" s="223"/>
      <c r="Q2331" s="223"/>
      <c r="R2331" s="223"/>
      <c r="S2331" s="223"/>
      <c r="T2331" s="223"/>
      <c r="U2331" s="223"/>
      <c r="V2331" s="223"/>
      <c r="W2331" s="223"/>
      <c r="X2331" s="223"/>
      <c r="Y2331" s="223"/>
      <c r="Z2331" s="223"/>
    </row>
    <row r="2332">
      <c r="A2332" s="223" t="str">
        <f>IFERROR(__xludf.DUMMYFUNCTION("""COMPUTED_VALUE"""),"Spraggs : Monthly Services")</f>
        <v>Spraggs : Monthly Services</v>
      </c>
      <c r="B2332" s="223" t="str">
        <f>IFERROR(__xludf.DUMMYFUNCTION("""COMPUTED_VALUE"""),"Spraggs")</f>
        <v>Spraggs</v>
      </c>
      <c r="C2332" s="223" t="str">
        <f>IFERROR(__xludf.DUMMYFUNCTION("""COMPUTED_VALUE"""),"Monthly Services")</f>
        <v>Monthly Services</v>
      </c>
      <c r="D2332" s="316">
        <f>IFERROR(__xludf.DUMMYFUNCTION("""COMPUTED_VALUE"""),44957.0)</f>
        <v>44957</v>
      </c>
      <c r="E2332" s="298"/>
      <c r="F2332" s="298"/>
      <c r="G2332" s="298"/>
      <c r="H2332" s="223"/>
      <c r="I2332" s="298">
        <f>IFERROR(__xludf.DUMMYFUNCTION("""COMPUTED_VALUE"""),300.0)</f>
        <v>300</v>
      </c>
      <c r="J2332" s="223" t="str">
        <f>IFERROR(__xludf.DUMMYFUNCTION("""COMPUTED_VALUE"""),"Monthly")</f>
        <v>Monthly</v>
      </c>
      <c r="K2332" s="317">
        <f>IFERROR(__xludf.DUMMYFUNCTION("""COMPUTED_VALUE"""),2023.01)</f>
        <v>2023.01</v>
      </c>
      <c r="L2332" s="298"/>
      <c r="M2332" s="223"/>
      <c r="N2332" s="223"/>
      <c r="O2332" s="223"/>
      <c r="P2332" s="223"/>
      <c r="Q2332" s="223"/>
      <c r="R2332" s="223"/>
      <c r="S2332" s="223"/>
      <c r="T2332" s="223"/>
      <c r="U2332" s="223"/>
      <c r="V2332" s="223"/>
      <c r="W2332" s="223"/>
      <c r="X2332" s="223"/>
      <c r="Y2332" s="223"/>
      <c r="Z2332" s="223"/>
    </row>
    <row r="2333">
      <c r="A2333" s="223" t="str">
        <f>IFERROR(__xludf.DUMMYFUNCTION("""COMPUTED_VALUE"""),"Crisp Media : Monthly Genus Google PPC Mgmt")</f>
        <v>Crisp Media : Monthly Genus Google PPC Mgmt</v>
      </c>
      <c r="B2333" s="223" t="str">
        <f>IFERROR(__xludf.DUMMYFUNCTION("""COMPUTED_VALUE"""),"Crisp Media")</f>
        <v>Crisp Media</v>
      </c>
      <c r="C2333" s="223" t="str">
        <f>IFERROR(__xludf.DUMMYFUNCTION("""COMPUTED_VALUE"""),"Monthly Genus Google PPC Mgmt")</f>
        <v>Monthly Genus Google PPC Mgmt</v>
      </c>
      <c r="D2333" s="316">
        <f>IFERROR(__xludf.DUMMYFUNCTION("""COMPUTED_VALUE"""),44957.0)</f>
        <v>44957</v>
      </c>
      <c r="E2333" s="298"/>
      <c r="F2333" s="298"/>
      <c r="G2333" s="298"/>
      <c r="H2333" s="223"/>
      <c r="I2333" s="298">
        <f>IFERROR(__xludf.DUMMYFUNCTION("""COMPUTED_VALUE"""),175.0)</f>
        <v>175</v>
      </c>
      <c r="J2333" s="223" t="str">
        <f>IFERROR(__xludf.DUMMYFUNCTION("""COMPUTED_VALUE"""),"Monthly")</f>
        <v>Monthly</v>
      </c>
      <c r="K2333" s="317">
        <f>IFERROR(__xludf.DUMMYFUNCTION("""COMPUTED_VALUE"""),2023.01)</f>
        <v>2023.01</v>
      </c>
      <c r="L2333" s="298"/>
      <c r="M2333" s="223"/>
      <c r="N2333" s="223"/>
      <c r="O2333" s="223"/>
      <c r="P2333" s="223"/>
      <c r="Q2333" s="223"/>
      <c r="R2333" s="223"/>
      <c r="S2333" s="223"/>
      <c r="T2333" s="223"/>
      <c r="U2333" s="223"/>
      <c r="V2333" s="223"/>
      <c r="W2333" s="223"/>
      <c r="X2333" s="223"/>
      <c r="Y2333" s="223"/>
      <c r="Z2333" s="223"/>
    </row>
    <row r="2334">
      <c r="A2334" s="223" t="str">
        <f>IFERROR(__xludf.DUMMYFUNCTION("""COMPUTED_VALUE"""),"Spraggs : Monthly Services")</f>
        <v>Spraggs : Monthly Services</v>
      </c>
      <c r="B2334" s="223" t="str">
        <f>IFERROR(__xludf.DUMMYFUNCTION("""COMPUTED_VALUE"""),"Spraggs")</f>
        <v>Spraggs</v>
      </c>
      <c r="C2334" s="223" t="str">
        <f>IFERROR(__xludf.DUMMYFUNCTION("""COMPUTED_VALUE"""),"Monthly Services")</f>
        <v>Monthly Services</v>
      </c>
      <c r="D2334" s="316">
        <f>IFERROR(__xludf.DUMMYFUNCTION("""COMPUTED_VALUE"""),44957.0)</f>
        <v>44957</v>
      </c>
      <c r="E2334" s="298"/>
      <c r="F2334" s="298"/>
      <c r="G2334" s="298"/>
      <c r="H2334" s="223"/>
      <c r="I2334" s="298">
        <f>IFERROR(__xludf.DUMMYFUNCTION("""COMPUTED_VALUE"""),275.0)</f>
        <v>275</v>
      </c>
      <c r="J2334" s="223" t="str">
        <f>IFERROR(__xludf.DUMMYFUNCTION("""COMPUTED_VALUE"""),"Monthly")</f>
        <v>Monthly</v>
      </c>
      <c r="K2334" s="317">
        <f>IFERROR(__xludf.DUMMYFUNCTION("""COMPUTED_VALUE"""),2023.01)</f>
        <v>2023.01</v>
      </c>
      <c r="L2334" s="298"/>
      <c r="M2334" s="223"/>
      <c r="N2334" s="223"/>
      <c r="O2334" s="223"/>
      <c r="P2334" s="223"/>
      <c r="Q2334" s="223"/>
      <c r="R2334" s="223"/>
      <c r="S2334" s="223"/>
      <c r="T2334" s="223"/>
      <c r="U2334" s="223"/>
      <c r="V2334" s="223"/>
      <c r="W2334" s="223"/>
      <c r="X2334" s="223"/>
      <c r="Y2334" s="223"/>
      <c r="Z2334" s="223"/>
    </row>
    <row r="2335">
      <c r="A2335" s="223" t="str">
        <f>IFERROR(__xludf.DUMMYFUNCTION("""COMPUTED_VALUE"""),"MortgagePal : Monthly Services")</f>
        <v>MortgagePal : Monthly Services</v>
      </c>
      <c r="B2335" s="223" t="str">
        <f>IFERROR(__xludf.DUMMYFUNCTION("""COMPUTED_VALUE"""),"MortgagePal")</f>
        <v>MortgagePal</v>
      </c>
      <c r="C2335" s="223" t="str">
        <f>IFERROR(__xludf.DUMMYFUNCTION("""COMPUTED_VALUE"""),"Monthly Services")</f>
        <v>Monthly Services</v>
      </c>
      <c r="D2335" s="316">
        <f>IFERROR(__xludf.DUMMYFUNCTION("""COMPUTED_VALUE"""),44957.0)</f>
        <v>44957</v>
      </c>
      <c r="E2335" s="298"/>
      <c r="F2335" s="298"/>
      <c r="G2335" s="298"/>
      <c r="H2335" s="223"/>
      <c r="I2335" s="298">
        <f>IFERROR(__xludf.DUMMYFUNCTION("""COMPUTED_VALUE"""),45.0)</f>
        <v>45</v>
      </c>
      <c r="J2335" s="223" t="str">
        <f>IFERROR(__xludf.DUMMYFUNCTION("""COMPUTED_VALUE"""),"Monthly")</f>
        <v>Monthly</v>
      </c>
      <c r="K2335" s="317">
        <f>IFERROR(__xludf.DUMMYFUNCTION("""COMPUTED_VALUE"""),2023.01)</f>
        <v>2023.01</v>
      </c>
      <c r="L2335" s="298"/>
      <c r="M2335" s="223"/>
      <c r="N2335" s="223"/>
      <c r="O2335" s="223"/>
      <c r="P2335" s="223"/>
      <c r="Q2335" s="223"/>
      <c r="R2335" s="223"/>
      <c r="S2335" s="223"/>
      <c r="T2335" s="223"/>
      <c r="U2335" s="223"/>
      <c r="V2335" s="223"/>
      <c r="W2335" s="223"/>
      <c r="X2335" s="223"/>
      <c r="Y2335" s="223"/>
      <c r="Z2335" s="223"/>
    </row>
    <row r="2336">
      <c r="A2336" s="223" t="str">
        <f>IFERROR(__xludf.DUMMYFUNCTION("""COMPUTED_VALUE"""),"Service First : Monthly Services")</f>
        <v>Service First : Monthly Services</v>
      </c>
      <c r="B2336" s="223" t="str">
        <f>IFERROR(__xludf.DUMMYFUNCTION("""COMPUTED_VALUE"""),"Service First")</f>
        <v>Service First</v>
      </c>
      <c r="C2336" s="223" t="str">
        <f>IFERROR(__xludf.DUMMYFUNCTION("""COMPUTED_VALUE"""),"Monthly Services")</f>
        <v>Monthly Services</v>
      </c>
      <c r="D2336" s="316">
        <f>IFERROR(__xludf.DUMMYFUNCTION("""COMPUTED_VALUE"""),44957.0)</f>
        <v>44957</v>
      </c>
      <c r="E2336" s="298"/>
      <c r="F2336" s="298"/>
      <c r="G2336" s="298"/>
      <c r="H2336" s="223"/>
      <c r="I2336" s="298">
        <f>IFERROR(__xludf.DUMMYFUNCTION("""COMPUTED_VALUE"""),30.0)</f>
        <v>30</v>
      </c>
      <c r="J2336" s="223" t="str">
        <f>IFERROR(__xludf.DUMMYFUNCTION("""COMPUTED_VALUE"""),"Monthly")</f>
        <v>Monthly</v>
      </c>
      <c r="K2336" s="317">
        <f>IFERROR(__xludf.DUMMYFUNCTION("""COMPUTED_VALUE"""),2023.01)</f>
        <v>2023.01</v>
      </c>
      <c r="L2336" s="298"/>
      <c r="M2336" s="223"/>
      <c r="N2336" s="223"/>
      <c r="O2336" s="223"/>
      <c r="P2336" s="223"/>
      <c r="Q2336" s="223"/>
      <c r="R2336" s="223"/>
      <c r="S2336" s="223"/>
      <c r="T2336" s="223"/>
      <c r="U2336" s="223"/>
      <c r="V2336" s="223"/>
      <c r="W2336" s="223"/>
      <c r="X2336" s="223"/>
      <c r="Y2336" s="223"/>
      <c r="Z2336" s="223"/>
    </row>
    <row r="2337">
      <c r="A2337" s="223" t="str">
        <f>IFERROR(__xludf.DUMMYFUNCTION("""COMPUTED_VALUE"""),"HSJ Lawyers : Monthly Services")</f>
        <v>HSJ Lawyers : Monthly Services</v>
      </c>
      <c r="B2337" s="223" t="str">
        <f>IFERROR(__xludf.DUMMYFUNCTION("""COMPUTED_VALUE"""),"HSJ Lawyers")</f>
        <v>HSJ Lawyers</v>
      </c>
      <c r="C2337" s="223" t="str">
        <f>IFERROR(__xludf.DUMMYFUNCTION("""COMPUTED_VALUE"""),"Monthly Services")</f>
        <v>Monthly Services</v>
      </c>
      <c r="D2337" s="316">
        <f>IFERROR(__xludf.DUMMYFUNCTION("""COMPUTED_VALUE"""),44957.0)</f>
        <v>44957</v>
      </c>
      <c r="E2337" s="298"/>
      <c r="F2337" s="298"/>
      <c r="G2337" s="298"/>
      <c r="H2337" s="223"/>
      <c r="I2337" s="298">
        <f>IFERROR(__xludf.DUMMYFUNCTION("""COMPUTED_VALUE"""),75.0)</f>
        <v>75</v>
      </c>
      <c r="J2337" s="223" t="str">
        <f>IFERROR(__xludf.DUMMYFUNCTION("""COMPUTED_VALUE"""),"Monthly")</f>
        <v>Monthly</v>
      </c>
      <c r="K2337" s="317">
        <f>IFERROR(__xludf.DUMMYFUNCTION("""COMPUTED_VALUE"""),2023.01)</f>
        <v>2023.01</v>
      </c>
      <c r="L2337" s="298"/>
      <c r="M2337" s="223"/>
      <c r="N2337" s="223"/>
      <c r="O2337" s="223"/>
      <c r="P2337" s="223"/>
      <c r="Q2337" s="223"/>
      <c r="R2337" s="223"/>
      <c r="S2337" s="223"/>
      <c r="T2337" s="223"/>
      <c r="U2337" s="223"/>
      <c r="V2337" s="223"/>
      <c r="W2337" s="223"/>
      <c r="X2337" s="223"/>
      <c r="Y2337" s="223"/>
      <c r="Z2337" s="223"/>
    </row>
    <row r="2338">
      <c r="A2338" s="223" t="str">
        <f>IFERROR(__xludf.DUMMYFUNCTION("""COMPUTED_VALUE"""),"Booginhead : Monthly Services")</f>
        <v>Booginhead : Monthly Services</v>
      </c>
      <c r="B2338" s="223" t="str">
        <f>IFERROR(__xludf.DUMMYFUNCTION("""COMPUTED_VALUE"""),"Booginhead")</f>
        <v>Booginhead</v>
      </c>
      <c r="C2338" s="223" t="str">
        <f>IFERROR(__xludf.DUMMYFUNCTION("""COMPUTED_VALUE"""),"Monthly Services")</f>
        <v>Monthly Services</v>
      </c>
      <c r="D2338" s="316">
        <f>IFERROR(__xludf.DUMMYFUNCTION("""COMPUTED_VALUE"""),44957.0)</f>
        <v>44957</v>
      </c>
      <c r="E2338" s="298"/>
      <c r="F2338" s="298"/>
      <c r="G2338" s="298"/>
      <c r="H2338" s="223"/>
      <c r="I2338" s="298">
        <f>IFERROR(__xludf.DUMMYFUNCTION("""COMPUTED_VALUE"""),220.0)</f>
        <v>220</v>
      </c>
      <c r="J2338" s="223" t="str">
        <f>IFERROR(__xludf.DUMMYFUNCTION("""COMPUTED_VALUE"""),"Monthly")</f>
        <v>Monthly</v>
      </c>
      <c r="K2338" s="317">
        <f>IFERROR(__xludf.DUMMYFUNCTION("""COMPUTED_VALUE"""),2023.01)</f>
        <v>2023.01</v>
      </c>
      <c r="L2338" s="298"/>
      <c r="M2338" s="223"/>
      <c r="N2338" s="223"/>
      <c r="O2338" s="223"/>
      <c r="P2338" s="223"/>
      <c r="Q2338" s="223"/>
      <c r="R2338" s="223"/>
      <c r="S2338" s="223"/>
      <c r="T2338" s="223"/>
      <c r="U2338" s="223"/>
      <c r="V2338" s="223"/>
      <c r="W2338" s="223"/>
      <c r="X2338" s="223"/>
      <c r="Y2338" s="223"/>
      <c r="Z2338" s="223"/>
    </row>
    <row r="2339">
      <c r="A2339" s="223" t="str">
        <f>IFERROR(__xludf.DUMMYFUNCTION("""COMPUTED_VALUE"""),"Hastings House : Monthly Services")</f>
        <v>Hastings House : Monthly Services</v>
      </c>
      <c r="B2339" s="223" t="str">
        <f>IFERROR(__xludf.DUMMYFUNCTION("""COMPUTED_VALUE"""),"Hastings House")</f>
        <v>Hastings House</v>
      </c>
      <c r="C2339" s="223" t="str">
        <f>IFERROR(__xludf.DUMMYFUNCTION("""COMPUTED_VALUE"""),"Monthly Services")</f>
        <v>Monthly Services</v>
      </c>
      <c r="D2339" s="316">
        <f>IFERROR(__xludf.DUMMYFUNCTION("""COMPUTED_VALUE"""),44957.0)</f>
        <v>44957</v>
      </c>
      <c r="E2339" s="298"/>
      <c r="F2339" s="298"/>
      <c r="G2339" s="298"/>
      <c r="H2339" s="223"/>
      <c r="I2339" s="298">
        <f>IFERROR(__xludf.DUMMYFUNCTION("""COMPUTED_VALUE"""),285.0)</f>
        <v>285</v>
      </c>
      <c r="J2339" s="223" t="str">
        <f>IFERROR(__xludf.DUMMYFUNCTION("""COMPUTED_VALUE"""),"Monthly")</f>
        <v>Monthly</v>
      </c>
      <c r="K2339" s="317">
        <f>IFERROR(__xludf.DUMMYFUNCTION("""COMPUTED_VALUE"""),2023.01)</f>
        <v>2023.01</v>
      </c>
      <c r="L2339" s="298"/>
      <c r="M2339" s="223"/>
      <c r="N2339" s="223"/>
      <c r="O2339" s="223"/>
      <c r="P2339" s="223"/>
      <c r="Q2339" s="223"/>
      <c r="R2339" s="223"/>
      <c r="S2339" s="223"/>
      <c r="T2339" s="223"/>
      <c r="U2339" s="223"/>
      <c r="V2339" s="223"/>
      <c r="W2339" s="223"/>
      <c r="X2339" s="223"/>
      <c r="Y2339" s="223"/>
      <c r="Z2339" s="223"/>
    </row>
    <row r="2340">
      <c r="A2340" s="223" t="str">
        <f>IFERROR(__xludf.DUMMYFUNCTION("""COMPUTED_VALUE"""),"TisBest : Monthly Services")</f>
        <v>TisBest : Monthly Services</v>
      </c>
      <c r="B2340" s="223" t="str">
        <f>IFERROR(__xludf.DUMMYFUNCTION("""COMPUTED_VALUE"""),"TisBest")</f>
        <v>TisBest</v>
      </c>
      <c r="C2340" s="223" t="str">
        <f>IFERROR(__xludf.DUMMYFUNCTION("""COMPUTED_VALUE"""),"Monthly Services")</f>
        <v>Monthly Services</v>
      </c>
      <c r="D2340" s="316">
        <f>IFERROR(__xludf.DUMMYFUNCTION("""COMPUTED_VALUE"""),44957.0)</f>
        <v>44957</v>
      </c>
      <c r="E2340" s="298"/>
      <c r="F2340" s="298"/>
      <c r="G2340" s="298"/>
      <c r="H2340" s="223"/>
      <c r="I2340" s="298">
        <f>IFERROR(__xludf.DUMMYFUNCTION("""COMPUTED_VALUE"""),300.0)</f>
        <v>300</v>
      </c>
      <c r="J2340" s="223" t="str">
        <f>IFERROR(__xludf.DUMMYFUNCTION("""COMPUTED_VALUE"""),"Monthly")</f>
        <v>Monthly</v>
      </c>
      <c r="K2340" s="317">
        <f>IFERROR(__xludf.DUMMYFUNCTION("""COMPUTED_VALUE"""),2023.01)</f>
        <v>2023.01</v>
      </c>
      <c r="L2340" s="298"/>
      <c r="M2340" s="223"/>
      <c r="N2340" s="223"/>
      <c r="O2340" s="223"/>
      <c r="P2340" s="223"/>
      <c r="Q2340" s="223"/>
      <c r="R2340" s="223"/>
      <c r="S2340" s="223"/>
      <c r="T2340" s="223"/>
      <c r="U2340" s="223"/>
      <c r="V2340" s="223"/>
      <c r="W2340" s="223"/>
      <c r="X2340" s="223"/>
      <c r="Y2340" s="223"/>
      <c r="Z2340" s="223"/>
    </row>
    <row r="2341">
      <c r="A2341" s="223" t="str">
        <f>IFERROR(__xludf.DUMMYFUNCTION("""COMPUTED_VALUE"""),"Wallack's Art Supplies : Monthly Services")</f>
        <v>Wallack's Art Supplies : Monthly Services</v>
      </c>
      <c r="B2341" s="223" t="str">
        <f>IFERROR(__xludf.DUMMYFUNCTION("""COMPUTED_VALUE"""),"Wallack's Art Supplies")</f>
        <v>Wallack's Art Supplies</v>
      </c>
      <c r="C2341" s="223" t="str">
        <f>IFERROR(__xludf.DUMMYFUNCTION("""COMPUTED_VALUE"""),"Monthly Services")</f>
        <v>Monthly Services</v>
      </c>
      <c r="D2341" s="316">
        <f>IFERROR(__xludf.DUMMYFUNCTION("""COMPUTED_VALUE"""),44957.0)</f>
        <v>44957</v>
      </c>
      <c r="E2341" s="298"/>
      <c r="F2341" s="298"/>
      <c r="G2341" s="298"/>
      <c r="H2341" s="223"/>
      <c r="I2341" s="298">
        <f>IFERROR(__xludf.DUMMYFUNCTION("""COMPUTED_VALUE"""),60.0)</f>
        <v>60</v>
      </c>
      <c r="J2341" s="223" t="str">
        <f>IFERROR(__xludf.DUMMYFUNCTION("""COMPUTED_VALUE"""),"Monthly")</f>
        <v>Monthly</v>
      </c>
      <c r="K2341" s="317">
        <f>IFERROR(__xludf.DUMMYFUNCTION("""COMPUTED_VALUE"""),2023.01)</f>
        <v>2023.01</v>
      </c>
      <c r="L2341" s="298"/>
      <c r="M2341" s="223"/>
      <c r="N2341" s="223"/>
      <c r="O2341" s="223"/>
      <c r="P2341" s="223"/>
      <c r="Q2341" s="223"/>
      <c r="R2341" s="223"/>
      <c r="S2341" s="223"/>
      <c r="T2341" s="223"/>
      <c r="U2341" s="223"/>
      <c r="V2341" s="223"/>
      <c r="W2341" s="223"/>
      <c r="X2341" s="223"/>
      <c r="Y2341" s="223"/>
      <c r="Z2341" s="223"/>
    </row>
    <row r="2342">
      <c r="A2342" s="223" t="str">
        <f>IFERROR(__xludf.DUMMYFUNCTION("""COMPUTED_VALUE"""),"PMDI : Monthly Services")</f>
        <v>PMDI : Monthly Services</v>
      </c>
      <c r="B2342" s="223" t="str">
        <f>IFERROR(__xludf.DUMMYFUNCTION("""COMPUTED_VALUE"""),"PMDI")</f>
        <v>PMDI</v>
      </c>
      <c r="C2342" s="223" t="str">
        <f>IFERROR(__xludf.DUMMYFUNCTION("""COMPUTED_VALUE"""),"Monthly Services")</f>
        <v>Monthly Services</v>
      </c>
      <c r="D2342" s="316">
        <f>IFERROR(__xludf.DUMMYFUNCTION("""COMPUTED_VALUE"""),44957.0)</f>
        <v>44957</v>
      </c>
      <c r="E2342" s="298"/>
      <c r="F2342" s="298"/>
      <c r="G2342" s="298"/>
      <c r="H2342" s="223"/>
      <c r="I2342" s="298">
        <f>IFERROR(__xludf.DUMMYFUNCTION("""COMPUTED_VALUE"""),30.0)</f>
        <v>30</v>
      </c>
      <c r="J2342" s="223" t="str">
        <f>IFERROR(__xludf.DUMMYFUNCTION("""COMPUTED_VALUE"""),"Monthly")</f>
        <v>Monthly</v>
      </c>
      <c r="K2342" s="317">
        <f>IFERROR(__xludf.DUMMYFUNCTION("""COMPUTED_VALUE"""),2023.01)</f>
        <v>2023.01</v>
      </c>
      <c r="L2342" s="298"/>
      <c r="M2342" s="223"/>
      <c r="N2342" s="223"/>
      <c r="O2342" s="223"/>
      <c r="P2342" s="223"/>
      <c r="Q2342" s="223"/>
      <c r="R2342" s="223"/>
      <c r="S2342" s="223"/>
      <c r="T2342" s="223"/>
      <c r="U2342" s="223"/>
      <c r="V2342" s="223"/>
      <c r="W2342" s="223"/>
      <c r="X2342" s="223"/>
      <c r="Y2342" s="223"/>
      <c r="Z2342" s="223"/>
    </row>
    <row r="2343">
      <c r="A2343" s="223" t="str">
        <f>IFERROR(__xludf.DUMMYFUNCTION("""COMPUTED_VALUE"""),"Tofino Resort + Marina : Monthly Services")</f>
        <v>Tofino Resort + Marina : Monthly Services</v>
      </c>
      <c r="B2343" s="223" t="str">
        <f>IFERROR(__xludf.DUMMYFUNCTION("""COMPUTED_VALUE"""),"Tofino Resort + Marina")</f>
        <v>Tofino Resort + Marina</v>
      </c>
      <c r="C2343" s="223" t="str">
        <f>IFERROR(__xludf.DUMMYFUNCTION("""COMPUTED_VALUE"""),"Monthly Services")</f>
        <v>Monthly Services</v>
      </c>
      <c r="D2343" s="316">
        <f>IFERROR(__xludf.DUMMYFUNCTION("""COMPUTED_VALUE"""),44957.0)</f>
        <v>44957</v>
      </c>
      <c r="E2343" s="298"/>
      <c r="F2343" s="298"/>
      <c r="G2343" s="298"/>
      <c r="H2343" s="223"/>
      <c r="I2343" s="298">
        <f>IFERROR(__xludf.DUMMYFUNCTION("""COMPUTED_VALUE"""),300.0)</f>
        <v>300</v>
      </c>
      <c r="J2343" s="223" t="str">
        <f>IFERROR(__xludf.DUMMYFUNCTION("""COMPUTED_VALUE"""),"Monthly")</f>
        <v>Monthly</v>
      </c>
      <c r="K2343" s="317">
        <f>IFERROR(__xludf.DUMMYFUNCTION("""COMPUTED_VALUE"""),2023.01)</f>
        <v>2023.01</v>
      </c>
      <c r="L2343" s="298"/>
      <c r="M2343" s="223"/>
      <c r="N2343" s="223"/>
      <c r="O2343" s="223"/>
      <c r="P2343" s="223"/>
      <c r="Q2343" s="223"/>
      <c r="R2343" s="223"/>
      <c r="S2343" s="223"/>
      <c r="T2343" s="223"/>
      <c r="U2343" s="223"/>
      <c r="V2343" s="223"/>
      <c r="W2343" s="223"/>
      <c r="X2343" s="223"/>
      <c r="Y2343" s="223"/>
      <c r="Z2343" s="223"/>
    </row>
    <row r="2344">
      <c r="A2344" s="223" t="str">
        <f>IFERROR(__xludf.DUMMYFUNCTION("""COMPUTED_VALUE"""),"Anook Athletics : Monthly Services")</f>
        <v>Anook Athletics : Monthly Services</v>
      </c>
      <c r="B2344" s="223" t="str">
        <f>IFERROR(__xludf.DUMMYFUNCTION("""COMPUTED_VALUE"""),"Anook Athletics")</f>
        <v>Anook Athletics</v>
      </c>
      <c r="C2344" s="223" t="str">
        <f>IFERROR(__xludf.DUMMYFUNCTION("""COMPUTED_VALUE"""),"Monthly Services")</f>
        <v>Monthly Services</v>
      </c>
      <c r="D2344" s="316">
        <f>IFERROR(__xludf.DUMMYFUNCTION("""COMPUTED_VALUE"""),44957.0)</f>
        <v>44957</v>
      </c>
      <c r="E2344" s="298"/>
      <c r="F2344" s="298"/>
      <c r="G2344" s="298"/>
      <c r="H2344" s="223"/>
      <c r="I2344" s="298">
        <f>IFERROR(__xludf.DUMMYFUNCTION("""COMPUTED_VALUE"""),75.0)</f>
        <v>75</v>
      </c>
      <c r="J2344" s="223" t="str">
        <f>IFERROR(__xludf.DUMMYFUNCTION("""COMPUTED_VALUE"""),"Monthly")</f>
        <v>Monthly</v>
      </c>
      <c r="K2344" s="317">
        <f>IFERROR(__xludf.DUMMYFUNCTION("""COMPUTED_VALUE"""),2023.01)</f>
        <v>2023.01</v>
      </c>
      <c r="L2344" s="298"/>
      <c r="M2344" s="223"/>
      <c r="N2344" s="223"/>
      <c r="O2344" s="223"/>
      <c r="P2344" s="223"/>
      <c r="Q2344" s="223"/>
      <c r="R2344" s="223"/>
      <c r="S2344" s="223"/>
      <c r="T2344" s="223"/>
      <c r="U2344" s="223"/>
      <c r="V2344" s="223"/>
      <c r="W2344" s="223"/>
      <c r="X2344" s="223"/>
      <c r="Y2344" s="223"/>
      <c r="Z2344" s="223"/>
    </row>
    <row r="2345">
      <c r="A2345" s="223" t="str">
        <f>IFERROR(__xludf.DUMMYFUNCTION("""COMPUTED_VALUE"""),"New Growth Ecommerce Inc : Monthly Services")</f>
        <v>New Growth Ecommerce Inc : Monthly Services</v>
      </c>
      <c r="B2345" s="223" t="str">
        <f>IFERROR(__xludf.DUMMYFUNCTION("""COMPUTED_VALUE"""),"New Growth Ecommerce Inc")</f>
        <v>New Growth Ecommerce Inc</v>
      </c>
      <c r="C2345" s="223" t="str">
        <f>IFERROR(__xludf.DUMMYFUNCTION("""COMPUTED_VALUE"""),"Monthly Services")</f>
        <v>Monthly Services</v>
      </c>
      <c r="D2345" s="316">
        <f>IFERROR(__xludf.DUMMYFUNCTION("""COMPUTED_VALUE"""),44957.0)</f>
        <v>44957</v>
      </c>
      <c r="E2345" s="298"/>
      <c r="F2345" s="298"/>
      <c r="G2345" s="298"/>
      <c r="H2345" s="223"/>
      <c r="I2345" s="298">
        <f>IFERROR(__xludf.DUMMYFUNCTION("""COMPUTED_VALUE"""),1860.0)</f>
        <v>1860</v>
      </c>
      <c r="J2345" s="223" t="str">
        <f>IFERROR(__xludf.DUMMYFUNCTION("""COMPUTED_VALUE"""),"Monthly")</f>
        <v>Monthly</v>
      </c>
      <c r="K2345" s="317">
        <f>IFERROR(__xludf.DUMMYFUNCTION("""COMPUTED_VALUE"""),2023.01)</f>
        <v>2023.01</v>
      </c>
      <c r="L2345" s="298"/>
      <c r="M2345" s="223"/>
      <c r="N2345" s="223"/>
      <c r="O2345" s="223"/>
      <c r="P2345" s="223"/>
      <c r="Q2345" s="223"/>
      <c r="R2345" s="223"/>
      <c r="S2345" s="223"/>
      <c r="T2345" s="223"/>
      <c r="U2345" s="223"/>
      <c r="V2345" s="223"/>
      <c r="W2345" s="223"/>
      <c r="X2345" s="223"/>
      <c r="Y2345" s="223"/>
      <c r="Z2345" s="223"/>
    </row>
    <row r="2346">
      <c r="A2346" s="223" t="str">
        <f>IFERROR(__xludf.DUMMYFUNCTION("""COMPUTED_VALUE"""),"Viridian : Monthly Services")</f>
        <v>Viridian : Monthly Services</v>
      </c>
      <c r="B2346" s="223" t="str">
        <f>IFERROR(__xludf.DUMMYFUNCTION("""COMPUTED_VALUE"""),"Viridian")</f>
        <v>Viridian</v>
      </c>
      <c r="C2346" s="223" t="str">
        <f>IFERROR(__xludf.DUMMYFUNCTION("""COMPUTED_VALUE"""),"Monthly Services")</f>
        <v>Monthly Services</v>
      </c>
      <c r="D2346" s="316">
        <f>IFERROR(__xludf.DUMMYFUNCTION("""COMPUTED_VALUE"""),44957.0)</f>
        <v>44957</v>
      </c>
      <c r="E2346" s="298"/>
      <c r="F2346" s="298"/>
      <c r="G2346" s="298"/>
      <c r="H2346" s="223"/>
      <c r="I2346" s="298">
        <f>IFERROR(__xludf.DUMMYFUNCTION("""COMPUTED_VALUE"""),60.0)</f>
        <v>60</v>
      </c>
      <c r="J2346" s="223" t="str">
        <f>IFERROR(__xludf.DUMMYFUNCTION("""COMPUTED_VALUE"""),"Monthly")</f>
        <v>Monthly</v>
      </c>
      <c r="K2346" s="317">
        <f>IFERROR(__xludf.DUMMYFUNCTION("""COMPUTED_VALUE"""),2023.01)</f>
        <v>2023.01</v>
      </c>
      <c r="L2346" s="298"/>
      <c r="M2346" s="223"/>
      <c r="N2346" s="223"/>
      <c r="O2346" s="223"/>
      <c r="P2346" s="223"/>
      <c r="Q2346" s="223"/>
      <c r="R2346" s="223"/>
      <c r="S2346" s="223"/>
      <c r="T2346" s="223"/>
      <c r="U2346" s="223"/>
      <c r="V2346" s="223"/>
      <c r="W2346" s="223"/>
      <c r="X2346" s="223"/>
      <c r="Y2346" s="223"/>
      <c r="Z2346" s="223"/>
    </row>
    <row r="2347">
      <c r="A2347" s="223" t="str">
        <f>IFERROR(__xludf.DUMMYFUNCTION("""COMPUTED_VALUE"""),"Crisp Media : Monthly Genus Google PPC Mgmt")</f>
        <v>Crisp Media : Monthly Genus Google PPC Mgmt</v>
      </c>
      <c r="B2347" s="223" t="str">
        <f>IFERROR(__xludf.DUMMYFUNCTION("""COMPUTED_VALUE"""),"Crisp Media")</f>
        <v>Crisp Media</v>
      </c>
      <c r="C2347" s="223" t="str">
        <f>IFERROR(__xludf.DUMMYFUNCTION("""COMPUTED_VALUE"""),"Monthly Genus Google PPC Mgmt")</f>
        <v>Monthly Genus Google PPC Mgmt</v>
      </c>
      <c r="D2347" s="316">
        <f>IFERROR(__xludf.DUMMYFUNCTION("""COMPUTED_VALUE"""),44957.0)</f>
        <v>44957</v>
      </c>
      <c r="E2347" s="298"/>
      <c r="F2347" s="298"/>
      <c r="G2347" s="298"/>
      <c r="H2347" s="223"/>
      <c r="I2347" s="298">
        <f>IFERROR(__xludf.DUMMYFUNCTION("""COMPUTED_VALUE"""),45.0)</f>
        <v>45</v>
      </c>
      <c r="J2347" s="223" t="str">
        <f>IFERROR(__xludf.DUMMYFUNCTION("""COMPUTED_VALUE"""),"Monthly")</f>
        <v>Monthly</v>
      </c>
      <c r="K2347" s="317">
        <f>IFERROR(__xludf.DUMMYFUNCTION("""COMPUTED_VALUE"""),2023.01)</f>
        <v>2023.01</v>
      </c>
      <c r="L2347" s="298"/>
      <c r="M2347" s="223"/>
      <c r="N2347" s="223"/>
      <c r="O2347" s="223"/>
      <c r="P2347" s="223"/>
      <c r="Q2347" s="223"/>
      <c r="R2347" s="223"/>
      <c r="S2347" s="223"/>
      <c r="T2347" s="223"/>
      <c r="U2347" s="223"/>
      <c r="V2347" s="223"/>
      <c r="W2347" s="223"/>
      <c r="X2347" s="223"/>
      <c r="Y2347" s="223"/>
      <c r="Z2347" s="223"/>
    </row>
    <row r="2348">
      <c r="A2348" s="223" t="str">
        <f>IFERROR(__xludf.DUMMYFUNCTION("""COMPUTED_VALUE"""),"Howard Fine Jewellers : Ongoing PPC and SEO Support")</f>
        <v>Howard Fine Jewellers : Ongoing PPC and SEO Support</v>
      </c>
      <c r="B2348" s="223" t="str">
        <f>IFERROR(__xludf.DUMMYFUNCTION("""COMPUTED_VALUE"""),"Howard Fine Jewellers")</f>
        <v>Howard Fine Jewellers</v>
      </c>
      <c r="C2348" s="223" t="str">
        <f>IFERROR(__xludf.DUMMYFUNCTION("""COMPUTED_VALUE"""),"Ongoing PPC and SEO Support")</f>
        <v>Ongoing PPC and SEO Support</v>
      </c>
      <c r="D2348" s="316">
        <f>IFERROR(__xludf.DUMMYFUNCTION("""COMPUTED_VALUE"""),44957.0)</f>
        <v>44957</v>
      </c>
      <c r="E2348" s="298"/>
      <c r="F2348" s="298"/>
      <c r="G2348" s="298"/>
      <c r="H2348" s="223"/>
      <c r="I2348" s="298">
        <f>IFERROR(__xludf.DUMMYFUNCTION("""COMPUTED_VALUE"""),100.0)</f>
        <v>100</v>
      </c>
      <c r="J2348" s="223" t="str">
        <f>IFERROR(__xludf.DUMMYFUNCTION("""COMPUTED_VALUE"""),"Monthly")</f>
        <v>Monthly</v>
      </c>
      <c r="K2348" s="317">
        <f>IFERROR(__xludf.DUMMYFUNCTION("""COMPUTED_VALUE"""),2023.01)</f>
        <v>2023.01</v>
      </c>
      <c r="L2348" s="298"/>
      <c r="M2348" s="223"/>
      <c r="N2348" s="223"/>
      <c r="O2348" s="223"/>
      <c r="P2348" s="223"/>
      <c r="Q2348" s="223"/>
      <c r="R2348" s="223"/>
      <c r="S2348" s="223"/>
      <c r="T2348" s="223"/>
      <c r="U2348" s="223"/>
      <c r="V2348" s="223"/>
      <c r="W2348" s="223"/>
      <c r="X2348" s="223"/>
      <c r="Y2348" s="223"/>
      <c r="Z2348" s="223"/>
    </row>
    <row r="2349">
      <c r="A2349" s="223" t="str">
        <f>IFERROR(__xludf.DUMMYFUNCTION("""COMPUTED_VALUE"""),"Big Hammer Wines : Monthly PPC")</f>
        <v>Big Hammer Wines : Monthly PPC</v>
      </c>
      <c r="B2349" s="223" t="str">
        <f>IFERROR(__xludf.DUMMYFUNCTION("""COMPUTED_VALUE"""),"Big Hammer Wines")</f>
        <v>Big Hammer Wines</v>
      </c>
      <c r="C2349" s="223" t="str">
        <f>IFERROR(__xludf.DUMMYFUNCTION("""COMPUTED_VALUE"""),"Monthly PPC")</f>
        <v>Monthly PPC</v>
      </c>
      <c r="D2349" s="316">
        <f>IFERROR(__xludf.DUMMYFUNCTION("""COMPUTED_VALUE"""),44957.0)</f>
        <v>44957</v>
      </c>
      <c r="E2349" s="298"/>
      <c r="F2349" s="298"/>
      <c r="G2349" s="298"/>
      <c r="H2349" s="223"/>
      <c r="I2349" s="298">
        <f>IFERROR(__xludf.DUMMYFUNCTION("""COMPUTED_VALUE"""),60.0)</f>
        <v>60</v>
      </c>
      <c r="J2349" s="223" t="str">
        <f>IFERROR(__xludf.DUMMYFUNCTION("""COMPUTED_VALUE"""),"Monthly")</f>
        <v>Monthly</v>
      </c>
      <c r="K2349" s="317">
        <f>IFERROR(__xludf.DUMMYFUNCTION("""COMPUTED_VALUE"""),2023.01)</f>
        <v>2023.01</v>
      </c>
      <c r="L2349" s="298"/>
      <c r="M2349" s="223"/>
      <c r="N2349" s="223"/>
      <c r="O2349" s="223"/>
      <c r="P2349" s="223"/>
      <c r="Q2349" s="223"/>
      <c r="R2349" s="223"/>
      <c r="S2349" s="223"/>
      <c r="T2349" s="223"/>
      <c r="U2349" s="223"/>
      <c r="V2349" s="223"/>
      <c r="W2349" s="223"/>
      <c r="X2349" s="223"/>
      <c r="Y2349" s="223"/>
      <c r="Z2349" s="223"/>
    </row>
    <row r="2350">
      <c r="A2350" s="223" t="str">
        <f>IFERROR(__xludf.DUMMYFUNCTION("""COMPUTED_VALUE"""),"C360 : Johns Hopkins University PPC Management")</f>
        <v>C360 : Johns Hopkins University PPC Management</v>
      </c>
      <c r="B2350" s="223" t="str">
        <f>IFERROR(__xludf.DUMMYFUNCTION("""COMPUTED_VALUE"""),"C360")</f>
        <v>C360</v>
      </c>
      <c r="C2350" s="223" t="str">
        <f>IFERROR(__xludf.DUMMYFUNCTION("""COMPUTED_VALUE"""),"Johns Hopkins University PPC Management")</f>
        <v>Johns Hopkins University PPC Management</v>
      </c>
      <c r="D2350" s="316">
        <f>IFERROR(__xludf.DUMMYFUNCTION("""COMPUTED_VALUE"""),44957.0)</f>
        <v>44957</v>
      </c>
      <c r="E2350" s="298"/>
      <c r="F2350" s="298"/>
      <c r="G2350" s="298"/>
      <c r="H2350" s="223"/>
      <c r="I2350" s="298">
        <f>IFERROR(__xludf.DUMMYFUNCTION("""COMPUTED_VALUE"""),257.5)</f>
        <v>257.5</v>
      </c>
      <c r="J2350" s="223" t="str">
        <f>IFERROR(__xludf.DUMMYFUNCTION("""COMPUTED_VALUE"""),"Fixed Project")</f>
        <v>Fixed Project</v>
      </c>
      <c r="K2350" s="317">
        <f>IFERROR(__xludf.DUMMYFUNCTION("""COMPUTED_VALUE"""),2023.0)</f>
        <v>2023</v>
      </c>
      <c r="L2350" s="298"/>
      <c r="M2350" s="223"/>
      <c r="N2350" s="223"/>
      <c r="O2350" s="223"/>
      <c r="P2350" s="223"/>
      <c r="Q2350" s="223"/>
      <c r="R2350" s="223"/>
      <c r="S2350" s="223"/>
      <c r="T2350" s="223"/>
      <c r="U2350" s="223"/>
      <c r="V2350" s="223"/>
      <c r="W2350" s="223"/>
      <c r="X2350" s="223"/>
      <c r="Y2350" s="223"/>
      <c r="Z2350" s="223"/>
    </row>
    <row r="2351">
      <c r="A2351" s="223" t="str">
        <f>IFERROR(__xludf.DUMMYFUNCTION("""COMPUTED_VALUE"""),"Spring Activator : Ads and Analytics kickoff plus site support ")</f>
        <v>Spring Activator : Ads and Analytics kickoff plus site support </v>
      </c>
      <c r="B2351" s="223" t="str">
        <f>IFERROR(__xludf.DUMMYFUNCTION("""COMPUTED_VALUE"""),"Spring Activator")</f>
        <v>Spring Activator</v>
      </c>
      <c r="C2351" s="223" t="str">
        <f>IFERROR(__xludf.DUMMYFUNCTION("""COMPUTED_VALUE"""),"Ads and Analytics kickoff plus site support")</f>
        <v>Ads and Analytics kickoff plus site support</v>
      </c>
      <c r="D2351" s="316">
        <f>IFERROR(__xludf.DUMMYFUNCTION("""COMPUTED_VALUE"""),44957.0)</f>
        <v>44957</v>
      </c>
      <c r="E2351" s="298"/>
      <c r="F2351" s="298"/>
      <c r="G2351" s="298"/>
      <c r="H2351" s="223"/>
      <c r="I2351" s="298">
        <f>IFERROR(__xludf.DUMMYFUNCTION("""COMPUTED_VALUE"""),180.0)</f>
        <v>180</v>
      </c>
      <c r="J2351" s="223" t="str">
        <f>IFERROR(__xludf.DUMMYFUNCTION("""COMPUTED_VALUE"""),"Fixed Project")</f>
        <v>Fixed Project</v>
      </c>
      <c r="K2351" s="317">
        <f>IFERROR(__xludf.DUMMYFUNCTION("""COMPUTED_VALUE"""),2023.0)</f>
        <v>2023</v>
      </c>
      <c r="L2351" s="298"/>
      <c r="M2351" s="223"/>
      <c r="N2351" s="223"/>
      <c r="O2351" s="223"/>
      <c r="P2351" s="223"/>
      <c r="Q2351" s="223"/>
      <c r="R2351" s="223"/>
      <c r="S2351" s="223"/>
      <c r="T2351" s="223"/>
      <c r="U2351" s="223"/>
      <c r="V2351" s="223"/>
      <c r="W2351" s="223"/>
      <c r="X2351" s="223"/>
      <c r="Y2351" s="223"/>
      <c r="Z2351" s="223"/>
    </row>
    <row r="2352">
      <c r="A2352" s="223" t="str">
        <f>IFERROR(__xludf.DUMMYFUNCTION("""COMPUTED_VALUE"""),"Classic LifeCare : Monthly Google Ads (PPC) Management")</f>
        <v>Classic LifeCare : Monthly Google Ads (PPC) Management</v>
      </c>
      <c r="B2352" s="223" t="str">
        <f>IFERROR(__xludf.DUMMYFUNCTION("""COMPUTED_VALUE"""),"Classic LifeCare")</f>
        <v>Classic LifeCare</v>
      </c>
      <c r="C2352" s="223" t="str">
        <f>IFERROR(__xludf.DUMMYFUNCTION("""COMPUTED_VALUE"""),"Monthly Google Ads (PPC) Management")</f>
        <v>Monthly Google Ads (PPC) Management</v>
      </c>
      <c r="D2352" s="316">
        <f>IFERROR(__xludf.DUMMYFUNCTION("""COMPUTED_VALUE"""),44957.0)</f>
        <v>44957</v>
      </c>
      <c r="E2352" s="298"/>
      <c r="F2352" s="298"/>
      <c r="G2352" s="298"/>
      <c r="H2352" s="223"/>
      <c r="I2352" s="298">
        <f>IFERROR(__xludf.DUMMYFUNCTION("""COMPUTED_VALUE"""),322.5)</f>
        <v>322.5</v>
      </c>
      <c r="J2352" s="223" t="str">
        <f>IFERROR(__xludf.DUMMYFUNCTION("""COMPUTED_VALUE"""),"Monthly")</f>
        <v>Monthly</v>
      </c>
      <c r="K2352" s="317">
        <f>IFERROR(__xludf.DUMMYFUNCTION("""COMPUTED_VALUE"""),2023.01)</f>
        <v>2023.01</v>
      </c>
      <c r="L2352" s="298"/>
      <c r="M2352" s="223"/>
      <c r="N2352" s="223"/>
      <c r="O2352" s="223"/>
      <c r="P2352" s="223"/>
      <c r="Q2352" s="223"/>
      <c r="R2352" s="223"/>
      <c r="S2352" s="223"/>
      <c r="T2352" s="223"/>
      <c r="U2352" s="223"/>
      <c r="V2352" s="223"/>
      <c r="W2352" s="223"/>
      <c r="X2352" s="223"/>
      <c r="Y2352" s="223"/>
      <c r="Z2352" s="223"/>
    </row>
    <row r="2353">
      <c r="A2353" s="223" t="str">
        <f>IFERROR(__xludf.DUMMYFUNCTION("""COMPUTED_VALUE"""),"Canyon's Construction : PPC, LP &amp; Listings")</f>
        <v>Canyon's Construction : PPC, LP &amp; Listings</v>
      </c>
      <c r="B2353" s="223" t="str">
        <f>IFERROR(__xludf.DUMMYFUNCTION("""COMPUTED_VALUE"""),"Canyon's Construction")</f>
        <v>Canyon's Construction</v>
      </c>
      <c r="C2353" s="223" t="str">
        <f>IFERROR(__xludf.DUMMYFUNCTION("""COMPUTED_VALUE"""),"PPC, LP &amp; Listings")</f>
        <v>PPC, LP &amp; Listings</v>
      </c>
      <c r="D2353" s="316">
        <f>IFERROR(__xludf.DUMMYFUNCTION("""COMPUTED_VALUE"""),44957.0)</f>
        <v>44957</v>
      </c>
      <c r="E2353" s="298"/>
      <c r="F2353" s="298"/>
      <c r="G2353" s="298"/>
      <c r="H2353" s="223"/>
      <c r="I2353" s="298">
        <f>IFERROR(__xludf.DUMMYFUNCTION("""COMPUTED_VALUE"""),425.0)</f>
        <v>425</v>
      </c>
      <c r="J2353" s="223" t="str">
        <f>IFERROR(__xludf.DUMMYFUNCTION("""COMPUTED_VALUE"""),"Fixed Project")</f>
        <v>Fixed Project</v>
      </c>
      <c r="K2353" s="317">
        <f>IFERROR(__xludf.DUMMYFUNCTION("""COMPUTED_VALUE"""),2023.0)</f>
        <v>2023</v>
      </c>
      <c r="L2353" s="298"/>
      <c r="M2353" s="223"/>
      <c r="N2353" s="223"/>
      <c r="O2353" s="223"/>
      <c r="P2353" s="223"/>
      <c r="Q2353" s="223"/>
      <c r="R2353" s="223"/>
      <c r="S2353" s="223"/>
      <c r="T2353" s="223"/>
      <c r="U2353" s="223"/>
      <c r="V2353" s="223"/>
      <c r="W2353" s="223"/>
      <c r="X2353" s="223"/>
      <c r="Y2353" s="223"/>
      <c r="Z2353" s="223"/>
    </row>
    <row r="2354">
      <c r="A2354" s="223" t="str">
        <f>IFERROR(__xludf.DUMMYFUNCTION("""COMPUTED_VALUE"""),"McAllister Marketing : Copernic PPC / SEO")</f>
        <v>McAllister Marketing : Copernic PPC / SEO</v>
      </c>
      <c r="B2354" s="223" t="str">
        <f>IFERROR(__xludf.DUMMYFUNCTION("""COMPUTED_VALUE"""),"McAllister Marketing")</f>
        <v>McAllister Marketing</v>
      </c>
      <c r="C2354" s="223" t="str">
        <f>IFERROR(__xludf.DUMMYFUNCTION("""COMPUTED_VALUE"""),"Copernic PPC / SEO")</f>
        <v>Copernic PPC / SEO</v>
      </c>
      <c r="D2354" s="316">
        <f>IFERROR(__xludf.DUMMYFUNCTION("""COMPUTED_VALUE"""),44957.0)</f>
        <v>44957</v>
      </c>
      <c r="E2354" s="298"/>
      <c r="F2354" s="298"/>
      <c r="G2354" s="298"/>
      <c r="H2354" s="223"/>
      <c r="I2354" s="298">
        <f>IFERROR(__xludf.DUMMYFUNCTION("""COMPUTED_VALUE"""),200.0)</f>
        <v>200</v>
      </c>
      <c r="J2354" s="223" t="str">
        <f>IFERROR(__xludf.DUMMYFUNCTION("""COMPUTED_VALUE"""),"Monthly")</f>
        <v>Monthly</v>
      </c>
      <c r="K2354" s="317">
        <f>IFERROR(__xludf.DUMMYFUNCTION("""COMPUTED_VALUE"""),2023.01)</f>
        <v>2023.01</v>
      </c>
      <c r="L2354" s="298"/>
      <c r="M2354" s="223"/>
      <c r="N2354" s="223"/>
      <c r="O2354" s="223"/>
      <c r="P2354" s="223"/>
      <c r="Q2354" s="223"/>
      <c r="R2354" s="223"/>
      <c r="S2354" s="223"/>
      <c r="T2354" s="223"/>
      <c r="U2354" s="223"/>
      <c r="V2354" s="223"/>
      <c r="W2354" s="223"/>
      <c r="X2354" s="223"/>
      <c r="Y2354" s="223"/>
      <c r="Z2354" s="223"/>
    </row>
    <row r="2355">
      <c r="A2355" s="223" t="str">
        <f>IFERROR(__xludf.DUMMYFUNCTION("""COMPUTED_VALUE"""),"Arcwell : Arcwell Initial Reveiw")</f>
        <v>Arcwell : Arcwell Initial Reveiw</v>
      </c>
      <c r="B2355" s="223" t="str">
        <f>IFERROR(__xludf.DUMMYFUNCTION("""COMPUTED_VALUE"""),"Arcwell")</f>
        <v>Arcwell</v>
      </c>
      <c r="C2355" s="223" t="str">
        <f>IFERROR(__xludf.DUMMYFUNCTION("""COMPUTED_VALUE"""),"Arcwell Initial Reveiw")</f>
        <v>Arcwell Initial Reveiw</v>
      </c>
      <c r="D2355" s="316">
        <f>IFERROR(__xludf.DUMMYFUNCTION("""COMPUTED_VALUE"""),44957.0)</f>
        <v>44957</v>
      </c>
      <c r="E2355" s="298"/>
      <c r="F2355" s="298"/>
      <c r="G2355" s="298"/>
      <c r="H2355" s="223"/>
      <c r="I2355" s="298">
        <f>IFERROR(__xludf.DUMMYFUNCTION("""COMPUTED_VALUE"""),100.0)</f>
        <v>100</v>
      </c>
      <c r="J2355" s="223" t="str">
        <f>IFERROR(__xludf.DUMMYFUNCTION("""COMPUTED_VALUE"""),"Fixed Project")</f>
        <v>Fixed Project</v>
      </c>
      <c r="K2355" s="317">
        <f>IFERROR(__xludf.DUMMYFUNCTION("""COMPUTED_VALUE"""),2023.0)</f>
        <v>2023</v>
      </c>
      <c r="L2355" s="298"/>
      <c r="M2355" s="223"/>
      <c r="N2355" s="223"/>
      <c r="O2355" s="223"/>
      <c r="P2355" s="223"/>
      <c r="Q2355" s="223"/>
      <c r="R2355" s="223"/>
      <c r="S2355" s="223"/>
      <c r="T2355" s="223"/>
      <c r="U2355" s="223"/>
      <c r="V2355" s="223"/>
      <c r="W2355" s="223"/>
      <c r="X2355" s="223"/>
      <c r="Y2355" s="223"/>
      <c r="Z2355" s="223"/>
    </row>
    <row r="2356">
      <c r="A2356" s="223" t="str">
        <f>IFERROR(__xludf.DUMMYFUNCTION("""COMPUTED_VALUE"""),"PlusROI : Marketing")</f>
        <v>PlusROI : Marketing</v>
      </c>
      <c r="B2356" s="223" t="str">
        <f>IFERROR(__xludf.DUMMYFUNCTION("""COMPUTED_VALUE"""),"PlusROI")</f>
        <v>PlusROI</v>
      </c>
      <c r="C2356" s="223" t="str">
        <f>IFERROR(__xludf.DUMMYFUNCTION("""COMPUTED_VALUE"""),"Marketing")</f>
        <v>Marketing</v>
      </c>
      <c r="D2356" s="316">
        <f>IFERROR(__xludf.DUMMYFUNCTION("""COMPUTED_VALUE"""),44957.0)</f>
        <v>44957</v>
      </c>
      <c r="E2356" s="298"/>
      <c r="F2356" s="298"/>
      <c r="G2356" s="298"/>
      <c r="H2356" s="223"/>
      <c r="I2356" s="298">
        <f>IFERROR(__xludf.DUMMYFUNCTION("""COMPUTED_VALUE"""),250.0)</f>
        <v>250</v>
      </c>
      <c r="J2356" s="223" t="str">
        <f>IFERROR(__xludf.DUMMYFUNCTION("""COMPUTED_VALUE"""),"Hourly")</f>
        <v>Hourly</v>
      </c>
      <c r="K2356" s="317">
        <f>IFERROR(__xludf.DUMMYFUNCTION("""COMPUTED_VALUE"""),2023.0)</f>
        <v>2023</v>
      </c>
      <c r="L2356" s="298"/>
      <c r="M2356" s="223"/>
      <c r="N2356" s="223"/>
      <c r="O2356" s="223"/>
      <c r="P2356" s="223"/>
      <c r="Q2356" s="223"/>
      <c r="R2356" s="223"/>
      <c r="S2356" s="223"/>
      <c r="T2356" s="223"/>
      <c r="U2356" s="223"/>
      <c r="V2356" s="223"/>
      <c r="W2356" s="223"/>
      <c r="X2356" s="223"/>
      <c r="Y2356" s="223"/>
      <c r="Z2356" s="223"/>
    </row>
    <row r="2357">
      <c r="A2357" s="223" t="str">
        <f>IFERROR(__xludf.DUMMYFUNCTION("""COMPUTED_VALUE"""),"Booginhead : Monthly Services")</f>
        <v>Booginhead : Monthly Services</v>
      </c>
      <c r="B2357" s="223" t="str">
        <f>IFERROR(__xludf.DUMMYFUNCTION("""COMPUTED_VALUE"""),"Booginhead")</f>
        <v>Booginhead</v>
      </c>
      <c r="C2357" s="223" t="str">
        <f>IFERROR(__xludf.DUMMYFUNCTION("""COMPUTED_VALUE"""),"Monthly Services")</f>
        <v>Monthly Services</v>
      </c>
      <c r="D2357" s="316">
        <f>IFERROR(__xludf.DUMMYFUNCTION("""COMPUTED_VALUE"""),44957.0)</f>
        <v>44957</v>
      </c>
      <c r="E2357" s="298"/>
      <c r="F2357" s="298"/>
      <c r="G2357" s="298"/>
      <c r="H2357" s="223"/>
      <c r="I2357" s="298">
        <f>IFERROR(__xludf.DUMMYFUNCTION("""COMPUTED_VALUE"""),387.5)</f>
        <v>387.5</v>
      </c>
      <c r="J2357" s="223" t="str">
        <f>IFERROR(__xludf.DUMMYFUNCTION("""COMPUTED_VALUE"""),"Monthly")</f>
        <v>Monthly</v>
      </c>
      <c r="K2357" s="317">
        <f>IFERROR(__xludf.DUMMYFUNCTION("""COMPUTED_VALUE"""),2023.01)</f>
        <v>2023.01</v>
      </c>
      <c r="L2357" s="298"/>
      <c r="M2357" s="223"/>
      <c r="N2357" s="223"/>
      <c r="O2357" s="223"/>
      <c r="P2357" s="223"/>
      <c r="Q2357" s="223"/>
      <c r="R2357" s="223"/>
      <c r="S2357" s="223"/>
      <c r="T2357" s="223"/>
      <c r="U2357" s="223"/>
      <c r="V2357" s="223"/>
      <c r="W2357" s="223"/>
      <c r="X2357" s="223"/>
      <c r="Y2357" s="223"/>
      <c r="Z2357" s="223"/>
    </row>
    <row r="2358">
      <c r="A2358" s="223" t="str">
        <f>IFERROR(__xludf.DUMMYFUNCTION("""COMPUTED_VALUE"""),"Hastings House : Monthly Services")</f>
        <v>Hastings House : Monthly Services</v>
      </c>
      <c r="B2358" s="223" t="str">
        <f>IFERROR(__xludf.DUMMYFUNCTION("""COMPUTED_VALUE"""),"Hastings House")</f>
        <v>Hastings House</v>
      </c>
      <c r="C2358" s="223" t="str">
        <f>IFERROR(__xludf.DUMMYFUNCTION("""COMPUTED_VALUE"""),"Monthly Services")</f>
        <v>Monthly Services</v>
      </c>
      <c r="D2358" s="316">
        <f>IFERROR(__xludf.DUMMYFUNCTION("""COMPUTED_VALUE"""),44957.0)</f>
        <v>44957</v>
      </c>
      <c r="E2358" s="298"/>
      <c r="F2358" s="298"/>
      <c r="G2358" s="298"/>
      <c r="H2358" s="223"/>
      <c r="I2358" s="298">
        <f>IFERROR(__xludf.DUMMYFUNCTION("""COMPUTED_VALUE"""),212.5)</f>
        <v>212.5</v>
      </c>
      <c r="J2358" s="223" t="str">
        <f>IFERROR(__xludf.DUMMYFUNCTION("""COMPUTED_VALUE"""),"Monthly")</f>
        <v>Monthly</v>
      </c>
      <c r="K2358" s="317">
        <f>IFERROR(__xludf.DUMMYFUNCTION("""COMPUTED_VALUE"""),2023.01)</f>
        <v>2023.01</v>
      </c>
      <c r="L2358" s="298"/>
      <c r="M2358" s="223"/>
      <c r="N2358" s="223"/>
      <c r="O2358" s="223"/>
      <c r="P2358" s="223"/>
      <c r="Q2358" s="223"/>
      <c r="R2358" s="223"/>
      <c r="S2358" s="223"/>
      <c r="T2358" s="223"/>
      <c r="U2358" s="223"/>
      <c r="V2358" s="223"/>
      <c r="W2358" s="223"/>
      <c r="X2358" s="223"/>
      <c r="Y2358" s="223"/>
      <c r="Z2358" s="223"/>
    </row>
    <row r="2359">
      <c r="A2359" s="223" t="str">
        <f>IFERROR(__xludf.DUMMYFUNCTION("""COMPUTED_VALUE"""),"Howard Fine Jewellers : Ongoing PPC and SEO Support")</f>
        <v>Howard Fine Jewellers : Ongoing PPC and SEO Support</v>
      </c>
      <c r="B2359" s="223" t="str">
        <f>IFERROR(__xludf.DUMMYFUNCTION("""COMPUTED_VALUE"""),"Howard Fine Jewellers")</f>
        <v>Howard Fine Jewellers</v>
      </c>
      <c r="C2359" s="223" t="str">
        <f>IFERROR(__xludf.DUMMYFUNCTION("""COMPUTED_VALUE"""),"Ongoing PPC and SEO Support")</f>
        <v>Ongoing PPC and SEO Support</v>
      </c>
      <c r="D2359" s="316">
        <f>IFERROR(__xludf.DUMMYFUNCTION("""COMPUTED_VALUE"""),44957.0)</f>
        <v>44957</v>
      </c>
      <c r="E2359" s="298"/>
      <c r="F2359" s="298"/>
      <c r="G2359" s="298"/>
      <c r="H2359" s="223"/>
      <c r="I2359" s="298">
        <f>IFERROR(__xludf.DUMMYFUNCTION("""COMPUTED_VALUE"""),150.0)</f>
        <v>150</v>
      </c>
      <c r="J2359" s="223" t="str">
        <f>IFERROR(__xludf.DUMMYFUNCTION("""COMPUTED_VALUE"""),"Monthly")</f>
        <v>Monthly</v>
      </c>
      <c r="K2359" s="317">
        <f>IFERROR(__xludf.DUMMYFUNCTION("""COMPUTED_VALUE"""),2023.01)</f>
        <v>2023.01</v>
      </c>
      <c r="L2359" s="298"/>
      <c r="M2359" s="223"/>
      <c r="N2359" s="223"/>
      <c r="O2359" s="223"/>
      <c r="P2359" s="223"/>
      <c r="Q2359" s="223"/>
      <c r="R2359" s="223"/>
      <c r="S2359" s="223"/>
      <c r="T2359" s="223"/>
      <c r="U2359" s="223"/>
      <c r="V2359" s="223"/>
      <c r="W2359" s="223"/>
      <c r="X2359" s="223"/>
      <c r="Y2359" s="223"/>
      <c r="Z2359" s="223"/>
    </row>
    <row r="2360">
      <c r="A2360" s="223" t="str">
        <f>IFERROR(__xludf.DUMMYFUNCTION("""COMPUTED_VALUE"""),"Ultimate Tools : Monthly SEO &amp; PPC Management")</f>
        <v>Ultimate Tools : Monthly SEO &amp; PPC Management</v>
      </c>
      <c r="B2360" s="223" t="str">
        <f>IFERROR(__xludf.DUMMYFUNCTION("""COMPUTED_VALUE"""),"Ultimate Tools")</f>
        <v>Ultimate Tools</v>
      </c>
      <c r="C2360" s="223" t="str">
        <f>IFERROR(__xludf.DUMMYFUNCTION("""COMPUTED_VALUE"""),"Monthly SEO &amp; PPC Management")</f>
        <v>Monthly SEO &amp; PPC Management</v>
      </c>
      <c r="D2360" s="316">
        <f>IFERROR(__xludf.DUMMYFUNCTION("""COMPUTED_VALUE"""),44957.0)</f>
        <v>44957</v>
      </c>
      <c r="E2360" s="298"/>
      <c r="F2360" s="298"/>
      <c r="G2360" s="298"/>
      <c r="H2360" s="223"/>
      <c r="I2360" s="298">
        <f>IFERROR(__xludf.DUMMYFUNCTION("""COMPUTED_VALUE"""),550.0)</f>
        <v>550</v>
      </c>
      <c r="J2360" s="223" t="str">
        <f>IFERROR(__xludf.DUMMYFUNCTION("""COMPUTED_VALUE"""),"Monthly")</f>
        <v>Monthly</v>
      </c>
      <c r="K2360" s="317">
        <f>IFERROR(__xludf.DUMMYFUNCTION("""COMPUTED_VALUE"""),2023.01)</f>
        <v>2023.01</v>
      </c>
      <c r="L2360" s="298"/>
      <c r="M2360" s="223"/>
      <c r="N2360" s="223"/>
      <c r="O2360" s="223"/>
      <c r="P2360" s="223"/>
      <c r="Q2360" s="223"/>
      <c r="R2360" s="223"/>
      <c r="S2360" s="223"/>
      <c r="T2360" s="223"/>
      <c r="U2360" s="223"/>
      <c r="V2360" s="223"/>
      <c r="W2360" s="223"/>
      <c r="X2360" s="223"/>
      <c r="Y2360" s="223"/>
      <c r="Z2360" s="223"/>
    </row>
    <row r="2361">
      <c r="A2361" s="223" t="str">
        <f>IFERROR(__xludf.DUMMYFUNCTION("""COMPUTED_VALUE"""),"OA Region 6 : Monthly Services")</f>
        <v>OA Region 6 : Monthly Services</v>
      </c>
      <c r="B2361" s="223" t="str">
        <f>IFERROR(__xludf.DUMMYFUNCTION("""COMPUTED_VALUE"""),"OA Region 6")</f>
        <v>OA Region 6</v>
      </c>
      <c r="C2361" s="223" t="str">
        <f>IFERROR(__xludf.DUMMYFUNCTION("""COMPUTED_VALUE"""),"Monthly Services")</f>
        <v>Monthly Services</v>
      </c>
      <c r="D2361" s="316">
        <f>IFERROR(__xludf.DUMMYFUNCTION("""COMPUTED_VALUE"""),44957.0)</f>
        <v>44957</v>
      </c>
      <c r="E2361" s="298"/>
      <c r="F2361" s="298"/>
      <c r="G2361" s="298"/>
      <c r="H2361" s="223"/>
      <c r="I2361" s="298">
        <f>IFERROR(__xludf.DUMMYFUNCTION("""COMPUTED_VALUE"""),150.0)</f>
        <v>150</v>
      </c>
      <c r="J2361" s="223" t="str">
        <f>IFERROR(__xludf.DUMMYFUNCTION("""COMPUTED_VALUE"""),"Monthly")</f>
        <v>Monthly</v>
      </c>
      <c r="K2361" s="317">
        <f>IFERROR(__xludf.DUMMYFUNCTION("""COMPUTED_VALUE"""),2023.01)</f>
        <v>2023.01</v>
      </c>
      <c r="L2361" s="298"/>
      <c r="M2361" s="223"/>
      <c r="N2361" s="223"/>
      <c r="O2361" s="223"/>
      <c r="P2361" s="223"/>
      <c r="Q2361" s="223"/>
      <c r="R2361" s="223"/>
      <c r="S2361" s="223"/>
      <c r="T2361" s="223"/>
      <c r="U2361" s="223"/>
      <c r="V2361" s="223"/>
      <c r="W2361" s="223"/>
      <c r="X2361" s="223"/>
      <c r="Y2361" s="223"/>
      <c r="Z2361" s="223"/>
    </row>
    <row r="2362">
      <c r="A2362" s="223" t="str">
        <f>IFERROR(__xludf.DUMMYFUNCTION("""COMPUTED_VALUE"""),"Tuscany : Monthly Services")</f>
        <v>Tuscany : Monthly Services</v>
      </c>
      <c r="B2362" s="223" t="str">
        <f>IFERROR(__xludf.DUMMYFUNCTION("""COMPUTED_VALUE"""),"Tuscany")</f>
        <v>Tuscany</v>
      </c>
      <c r="C2362" s="223" t="str">
        <f>IFERROR(__xludf.DUMMYFUNCTION("""COMPUTED_VALUE"""),"Monthly Services")</f>
        <v>Monthly Services</v>
      </c>
      <c r="D2362" s="316">
        <f>IFERROR(__xludf.DUMMYFUNCTION("""COMPUTED_VALUE"""),44957.0)</f>
        <v>44957</v>
      </c>
      <c r="E2362" s="298"/>
      <c r="F2362" s="298"/>
      <c r="G2362" s="298"/>
      <c r="H2362" s="223"/>
      <c r="I2362" s="298">
        <f>IFERROR(__xludf.DUMMYFUNCTION("""COMPUTED_VALUE"""),62.5)</f>
        <v>62.5</v>
      </c>
      <c r="J2362" s="223" t="str">
        <f>IFERROR(__xludf.DUMMYFUNCTION("""COMPUTED_VALUE"""),"Monthly")</f>
        <v>Monthly</v>
      </c>
      <c r="K2362" s="317">
        <f>IFERROR(__xludf.DUMMYFUNCTION("""COMPUTED_VALUE"""),2023.01)</f>
        <v>2023.01</v>
      </c>
      <c r="L2362" s="298"/>
      <c r="M2362" s="223"/>
      <c r="N2362" s="223"/>
      <c r="O2362" s="223"/>
      <c r="P2362" s="223"/>
      <c r="Q2362" s="223"/>
      <c r="R2362" s="223"/>
      <c r="S2362" s="223"/>
      <c r="T2362" s="223"/>
      <c r="U2362" s="223"/>
      <c r="V2362" s="223"/>
      <c r="W2362" s="223"/>
      <c r="X2362" s="223"/>
      <c r="Y2362" s="223"/>
      <c r="Z2362" s="223"/>
    </row>
    <row r="2363">
      <c r="A2363" s="223" t="str">
        <f>IFERROR(__xludf.DUMMYFUNCTION("""COMPUTED_VALUE"""),"Venetian : Monthly Services")</f>
        <v>Venetian : Monthly Services</v>
      </c>
      <c r="B2363" s="223" t="str">
        <f>IFERROR(__xludf.DUMMYFUNCTION("""COMPUTED_VALUE"""),"Venetian")</f>
        <v>Venetian</v>
      </c>
      <c r="C2363" s="223" t="str">
        <f>IFERROR(__xludf.DUMMYFUNCTION("""COMPUTED_VALUE"""),"Monthly Services")</f>
        <v>Monthly Services</v>
      </c>
      <c r="D2363" s="316">
        <f>IFERROR(__xludf.DUMMYFUNCTION("""COMPUTED_VALUE"""),44957.0)</f>
        <v>44957</v>
      </c>
      <c r="E2363" s="298"/>
      <c r="F2363" s="298"/>
      <c r="G2363" s="298"/>
      <c r="H2363" s="223"/>
      <c r="I2363" s="298">
        <f>IFERROR(__xludf.DUMMYFUNCTION("""COMPUTED_VALUE"""),662.5)</f>
        <v>662.5</v>
      </c>
      <c r="J2363" s="223" t="str">
        <f>IFERROR(__xludf.DUMMYFUNCTION("""COMPUTED_VALUE"""),"Monthly")</f>
        <v>Monthly</v>
      </c>
      <c r="K2363" s="317">
        <f>IFERROR(__xludf.DUMMYFUNCTION("""COMPUTED_VALUE"""),2023.01)</f>
        <v>2023.01</v>
      </c>
      <c r="L2363" s="298"/>
      <c r="M2363" s="223"/>
      <c r="N2363" s="223"/>
      <c r="O2363" s="223"/>
      <c r="P2363" s="223"/>
      <c r="Q2363" s="223"/>
      <c r="R2363" s="223"/>
      <c r="S2363" s="223"/>
      <c r="T2363" s="223"/>
      <c r="U2363" s="223"/>
      <c r="V2363" s="223"/>
      <c r="W2363" s="223"/>
      <c r="X2363" s="223"/>
      <c r="Y2363" s="223"/>
      <c r="Z2363" s="223"/>
    </row>
    <row r="2364">
      <c r="A2364" s="223" t="str">
        <f>IFERROR(__xludf.DUMMYFUNCTION("""COMPUTED_VALUE"""),"Spraggs : Monthly Services")</f>
        <v>Spraggs : Monthly Services</v>
      </c>
      <c r="B2364" s="223" t="str">
        <f>IFERROR(__xludf.DUMMYFUNCTION("""COMPUTED_VALUE"""),"Spraggs")</f>
        <v>Spraggs</v>
      </c>
      <c r="C2364" s="223" t="str">
        <f>IFERROR(__xludf.DUMMYFUNCTION("""COMPUTED_VALUE"""),"Monthly Services")</f>
        <v>Monthly Services</v>
      </c>
      <c r="D2364" s="316">
        <f>IFERROR(__xludf.DUMMYFUNCTION("""COMPUTED_VALUE"""),44957.0)</f>
        <v>44957</v>
      </c>
      <c r="E2364" s="298"/>
      <c r="F2364" s="298"/>
      <c r="G2364" s="298"/>
      <c r="H2364" s="223"/>
      <c r="I2364" s="298">
        <f>IFERROR(__xludf.DUMMYFUNCTION("""COMPUTED_VALUE"""),562.5)</f>
        <v>562.5</v>
      </c>
      <c r="J2364" s="223" t="str">
        <f>IFERROR(__xludf.DUMMYFUNCTION("""COMPUTED_VALUE"""),"Monthly")</f>
        <v>Monthly</v>
      </c>
      <c r="K2364" s="317">
        <f>IFERROR(__xludf.DUMMYFUNCTION("""COMPUTED_VALUE"""),2023.01)</f>
        <v>2023.01</v>
      </c>
      <c r="L2364" s="298"/>
      <c r="M2364" s="223"/>
      <c r="N2364" s="223"/>
      <c r="O2364" s="223"/>
      <c r="P2364" s="223"/>
      <c r="Q2364" s="223"/>
      <c r="R2364" s="223"/>
      <c r="S2364" s="223"/>
      <c r="T2364" s="223"/>
      <c r="U2364" s="223"/>
      <c r="V2364" s="223"/>
      <c r="W2364" s="223"/>
      <c r="X2364" s="223"/>
      <c r="Y2364" s="223"/>
      <c r="Z2364" s="223"/>
    </row>
    <row r="2365">
      <c r="A2365" s="223" t="str">
        <f>IFERROR(__xludf.DUMMYFUNCTION("""COMPUTED_VALUE"""),"Diversified Health : Monthly Services")</f>
        <v>Diversified Health : Monthly Services</v>
      </c>
      <c r="B2365" s="223" t="str">
        <f>IFERROR(__xludf.DUMMYFUNCTION("""COMPUTED_VALUE"""),"Diversified Health")</f>
        <v>Diversified Health</v>
      </c>
      <c r="C2365" s="223" t="str">
        <f>IFERROR(__xludf.DUMMYFUNCTION("""COMPUTED_VALUE"""),"Monthly Services")</f>
        <v>Monthly Services</v>
      </c>
      <c r="D2365" s="316">
        <f>IFERROR(__xludf.DUMMYFUNCTION("""COMPUTED_VALUE"""),44957.0)</f>
        <v>44957</v>
      </c>
      <c r="E2365" s="298"/>
      <c r="F2365" s="298"/>
      <c r="G2365" s="298"/>
      <c r="H2365" s="223"/>
      <c r="I2365" s="298">
        <f>IFERROR(__xludf.DUMMYFUNCTION("""COMPUTED_VALUE"""),475.0)</f>
        <v>475</v>
      </c>
      <c r="J2365" s="223" t="str">
        <f>IFERROR(__xludf.DUMMYFUNCTION("""COMPUTED_VALUE"""),"Monthly")</f>
        <v>Monthly</v>
      </c>
      <c r="K2365" s="317">
        <f>IFERROR(__xludf.DUMMYFUNCTION("""COMPUTED_VALUE"""),2023.01)</f>
        <v>2023.01</v>
      </c>
      <c r="L2365" s="298"/>
      <c r="M2365" s="223"/>
      <c r="N2365" s="223"/>
      <c r="O2365" s="223"/>
      <c r="P2365" s="223"/>
      <c r="Q2365" s="223"/>
      <c r="R2365" s="223"/>
      <c r="S2365" s="223"/>
      <c r="T2365" s="223"/>
      <c r="U2365" s="223"/>
      <c r="V2365" s="223"/>
      <c r="W2365" s="223"/>
      <c r="X2365" s="223"/>
      <c r="Y2365" s="223"/>
      <c r="Z2365" s="223"/>
    </row>
    <row r="2366">
      <c r="A2366" s="223" t="str">
        <f>IFERROR(__xludf.DUMMYFUNCTION("""COMPUTED_VALUE"""),"TisBest : Monthly Services")</f>
        <v>TisBest : Monthly Services</v>
      </c>
      <c r="B2366" s="223" t="str">
        <f>IFERROR(__xludf.DUMMYFUNCTION("""COMPUTED_VALUE"""),"TisBest")</f>
        <v>TisBest</v>
      </c>
      <c r="C2366" s="223" t="str">
        <f>IFERROR(__xludf.DUMMYFUNCTION("""COMPUTED_VALUE"""),"Monthly Services")</f>
        <v>Monthly Services</v>
      </c>
      <c r="D2366" s="316">
        <f>IFERROR(__xludf.DUMMYFUNCTION("""COMPUTED_VALUE"""),44957.0)</f>
        <v>44957</v>
      </c>
      <c r="E2366" s="298"/>
      <c r="F2366" s="298"/>
      <c r="G2366" s="298"/>
      <c r="H2366" s="223"/>
      <c r="I2366" s="298">
        <f>IFERROR(__xludf.DUMMYFUNCTION("""COMPUTED_VALUE"""),937.5)</f>
        <v>937.5</v>
      </c>
      <c r="J2366" s="223" t="str">
        <f>IFERROR(__xludf.DUMMYFUNCTION("""COMPUTED_VALUE"""),"Monthly")</f>
        <v>Monthly</v>
      </c>
      <c r="K2366" s="317">
        <f>IFERROR(__xludf.DUMMYFUNCTION("""COMPUTED_VALUE"""),2023.01)</f>
        <v>2023.01</v>
      </c>
      <c r="L2366" s="298"/>
      <c r="M2366" s="223"/>
      <c r="N2366" s="223"/>
      <c r="O2366" s="223"/>
      <c r="P2366" s="223"/>
      <c r="Q2366" s="223"/>
      <c r="R2366" s="223"/>
      <c r="S2366" s="223"/>
      <c r="T2366" s="223"/>
      <c r="U2366" s="223"/>
      <c r="V2366" s="223"/>
      <c r="W2366" s="223"/>
      <c r="X2366" s="223"/>
      <c r="Y2366" s="223"/>
      <c r="Z2366" s="223"/>
    </row>
    <row r="2367">
      <c r="A2367" s="223" t="str">
        <f>IFERROR(__xludf.DUMMYFUNCTION("""COMPUTED_VALUE"""),"Tofino Resort + Marina : Monthly Services")</f>
        <v>Tofino Resort + Marina : Monthly Services</v>
      </c>
      <c r="B2367" s="223" t="str">
        <f>IFERROR(__xludf.DUMMYFUNCTION("""COMPUTED_VALUE"""),"Tofino Resort + Marina")</f>
        <v>Tofino Resort + Marina</v>
      </c>
      <c r="C2367" s="223" t="str">
        <f>IFERROR(__xludf.DUMMYFUNCTION("""COMPUTED_VALUE"""),"Monthly Services")</f>
        <v>Monthly Services</v>
      </c>
      <c r="D2367" s="316">
        <f>IFERROR(__xludf.DUMMYFUNCTION("""COMPUTED_VALUE"""),44957.0)</f>
        <v>44957</v>
      </c>
      <c r="E2367" s="298"/>
      <c r="F2367" s="298"/>
      <c r="G2367" s="298"/>
      <c r="H2367" s="223"/>
      <c r="I2367" s="298">
        <f>IFERROR(__xludf.DUMMYFUNCTION("""COMPUTED_VALUE"""),450.0)</f>
        <v>450</v>
      </c>
      <c r="J2367" s="223" t="str">
        <f>IFERROR(__xludf.DUMMYFUNCTION("""COMPUTED_VALUE"""),"Monthly")</f>
        <v>Monthly</v>
      </c>
      <c r="K2367" s="317">
        <f>IFERROR(__xludf.DUMMYFUNCTION("""COMPUTED_VALUE"""),2023.01)</f>
        <v>2023.01</v>
      </c>
      <c r="L2367" s="298"/>
      <c r="M2367" s="223"/>
      <c r="N2367" s="223"/>
      <c r="O2367" s="223"/>
      <c r="P2367" s="223"/>
      <c r="Q2367" s="223"/>
      <c r="R2367" s="223"/>
      <c r="S2367" s="223"/>
      <c r="T2367" s="223"/>
      <c r="U2367" s="223"/>
      <c r="V2367" s="223"/>
      <c r="W2367" s="223"/>
      <c r="X2367" s="223"/>
      <c r="Y2367" s="223"/>
      <c r="Z2367" s="223"/>
    </row>
    <row r="2368">
      <c r="A2368" s="223" t="str">
        <f>IFERROR(__xludf.DUMMYFUNCTION("""COMPUTED_VALUE"""),"Availed Technologies : Monthly Services")</f>
        <v>Availed Technologies : Monthly Services</v>
      </c>
      <c r="B2368" s="223" t="str">
        <f>IFERROR(__xludf.DUMMYFUNCTION("""COMPUTED_VALUE"""),"Availed Technologies")</f>
        <v>Availed Technologies</v>
      </c>
      <c r="C2368" s="223" t="str">
        <f>IFERROR(__xludf.DUMMYFUNCTION("""COMPUTED_VALUE"""),"Monthly Services")</f>
        <v>Monthly Services</v>
      </c>
      <c r="D2368" s="316">
        <f>IFERROR(__xludf.DUMMYFUNCTION("""COMPUTED_VALUE"""),44957.0)</f>
        <v>44957</v>
      </c>
      <c r="E2368" s="298"/>
      <c r="F2368" s="298"/>
      <c r="G2368" s="298"/>
      <c r="H2368" s="223"/>
      <c r="I2368" s="298">
        <f>IFERROR(__xludf.DUMMYFUNCTION("""COMPUTED_VALUE"""),337.5)</f>
        <v>337.5</v>
      </c>
      <c r="J2368" s="223" t="str">
        <f>IFERROR(__xludf.DUMMYFUNCTION("""COMPUTED_VALUE"""),"Monthly")</f>
        <v>Monthly</v>
      </c>
      <c r="K2368" s="317">
        <f>IFERROR(__xludf.DUMMYFUNCTION("""COMPUTED_VALUE"""),2023.01)</f>
        <v>2023.01</v>
      </c>
      <c r="L2368" s="298"/>
      <c r="M2368" s="223"/>
      <c r="N2368" s="223"/>
      <c r="O2368" s="223"/>
      <c r="P2368" s="223"/>
      <c r="Q2368" s="223"/>
      <c r="R2368" s="223"/>
      <c r="S2368" s="223"/>
      <c r="T2368" s="223"/>
      <c r="U2368" s="223"/>
      <c r="V2368" s="223"/>
      <c r="W2368" s="223"/>
      <c r="X2368" s="223"/>
      <c r="Y2368" s="223"/>
      <c r="Z2368" s="223"/>
    </row>
    <row r="2369">
      <c r="A2369" s="223" t="str">
        <f>IFERROR(__xludf.DUMMYFUNCTION("""COMPUTED_VALUE"""),"Community Financials : Monthly Services")</f>
        <v>Community Financials : Monthly Services</v>
      </c>
      <c r="B2369" s="223" t="str">
        <f>IFERROR(__xludf.DUMMYFUNCTION("""COMPUTED_VALUE"""),"Community Financials")</f>
        <v>Community Financials</v>
      </c>
      <c r="C2369" s="223" t="str">
        <f>IFERROR(__xludf.DUMMYFUNCTION("""COMPUTED_VALUE"""),"Monthly Services")</f>
        <v>Monthly Services</v>
      </c>
      <c r="D2369" s="316">
        <f>IFERROR(__xludf.DUMMYFUNCTION("""COMPUTED_VALUE"""),44957.0)</f>
        <v>44957</v>
      </c>
      <c r="E2369" s="298"/>
      <c r="F2369" s="298"/>
      <c r="G2369" s="298"/>
      <c r="H2369" s="223"/>
      <c r="I2369" s="298">
        <f>IFERROR(__xludf.DUMMYFUNCTION("""COMPUTED_VALUE"""),575.0)</f>
        <v>575</v>
      </c>
      <c r="J2369" s="223" t="str">
        <f>IFERROR(__xludf.DUMMYFUNCTION("""COMPUTED_VALUE"""),"Monthly")</f>
        <v>Monthly</v>
      </c>
      <c r="K2369" s="317">
        <f>IFERROR(__xludf.DUMMYFUNCTION("""COMPUTED_VALUE"""),2023.01)</f>
        <v>2023.01</v>
      </c>
      <c r="L2369" s="298"/>
      <c r="M2369" s="223"/>
      <c r="N2369" s="223"/>
      <c r="O2369" s="223"/>
      <c r="P2369" s="223"/>
      <c r="Q2369" s="223"/>
      <c r="R2369" s="223"/>
      <c r="S2369" s="223"/>
      <c r="T2369" s="223"/>
      <c r="U2369" s="223"/>
      <c r="V2369" s="223"/>
      <c r="W2369" s="223"/>
      <c r="X2369" s="223"/>
      <c r="Y2369" s="223"/>
      <c r="Z2369" s="223"/>
    </row>
    <row r="2370">
      <c r="A2370" s="223" t="str">
        <f>IFERROR(__xludf.DUMMYFUNCTION("""COMPUTED_VALUE"""),"Howard Fine Jewellers : Ongoing PPC and SEO Support")</f>
        <v>Howard Fine Jewellers : Ongoing PPC and SEO Support</v>
      </c>
      <c r="B2370" s="223" t="str">
        <f>IFERROR(__xludf.DUMMYFUNCTION("""COMPUTED_VALUE"""),"Howard Fine Jewellers")</f>
        <v>Howard Fine Jewellers</v>
      </c>
      <c r="C2370" s="223" t="str">
        <f>IFERROR(__xludf.DUMMYFUNCTION("""COMPUTED_VALUE"""),"Ongoing PPC and SEO Support")</f>
        <v>Ongoing PPC and SEO Support</v>
      </c>
      <c r="D2370" s="316">
        <f>IFERROR(__xludf.DUMMYFUNCTION("""COMPUTED_VALUE"""),44957.0)</f>
        <v>44957</v>
      </c>
      <c r="E2370" s="298"/>
      <c r="F2370" s="298"/>
      <c r="G2370" s="298"/>
      <c r="H2370" s="223"/>
      <c r="I2370" s="298">
        <f>IFERROR(__xludf.DUMMYFUNCTION("""COMPUTED_VALUE"""),262.5)</f>
        <v>262.5</v>
      </c>
      <c r="J2370" s="223" t="str">
        <f>IFERROR(__xludf.DUMMYFUNCTION("""COMPUTED_VALUE"""),"Monthly")</f>
        <v>Monthly</v>
      </c>
      <c r="K2370" s="317">
        <f>IFERROR(__xludf.DUMMYFUNCTION("""COMPUTED_VALUE"""),2023.01)</f>
        <v>2023.01</v>
      </c>
      <c r="L2370" s="298"/>
      <c r="M2370" s="223"/>
      <c r="N2370" s="223"/>
      <c r="O2370" s="223"/>
      <c r="P2370" s="223"/>
      <c r="Q2370" s="223"/>
      <c r="R2370" s="223"/>
      <c r="S2370" s="223"/>
      <c r="T2370" s="223"/>
      <c r="U2370" s="223"/>
      <c r="V2370" s="223"/>
      <c r="W2370" s="223"/>
      <c r="X2370" s="223"/>
      <c r="Y2370" s="223"/>
      <c r="Z2370" s="223"/>
    </row>
    <row r="2371">
      <c r="A2371" s="223" t="str">
        <f>IFERROR(__xludf.DUMMYFUNCTION("""COMPUTED_VALUE"""),"Red Seal : Monthly Services")</f>
        <v>Red Seal : Monthly Services</v>
      </c>
      <c r="B2371" s="223" t="str">
        <f>IFERROR(__xludf.DUMMYFUNCTION("""COMPUTED_VALUE"""),"Red Seal")</f>
        <v>Red Seal</v>
      </c>
      <c r="C2371" s="223" t="str">
        <f>IFERROR(__xludf.DUMMYFUNCTION("""COMPUTED_VALUE"""),"Monthly Services")</f>
        <v>Monthly Services</v>
      </c>
      <c r="D2371" s="316">
        <f>IFERROR(__xludf.DUMMYFUNCTION("""COMPUTED_VALUE"""),44957.0)</f>
        <v>44957</v>
      </c>
      <c r="E2371" s="298"/>
      <c r="F2371" s="298"/>
      <c r="G2371" s="298"/>
      <c r="H2371" s="223"/>
      <c r="I2371" s="298">
        <f>IFERROR(__xludf.DUMMYFUNCTION("""COMPUTED_VALUE"""),540.0)</f>
        <v>540</v>
      </c>
      <c r="J2371" s="223" t="str">
        <f>IFERROR(__xludf.DUMMYFUNCTION("""COMPUTED_VALUE"""),"Monthly")</f>
        <v>Monthly</v>
      </c>
      <c r="K2371" s="317">
        <f>IFERROR(__xludf.DUMMYFUNCTION("""COMPUTED_VALUE"""),2023.01)</f>
        <v>2023.01</v>
      </c>
      <c r="L2371" s="298"/>
      <c r="M2371" s="223"/>
      <c r="N2371" s="223"/>
      <c r="O2371" s="223"/>
      <c r="P2371" s="223"/>
      <c r="Q2371" s="223"/>
      <c r="R2371" s="223"/>
      <c r="S2371" s="223"/>
      <c r="T2371" s="223"/>
      <c r="U2371" s="223"/>
      <c r="V2371" s="223"/>
      <c r="W2371" s="223"/>
      <c r="X2371" s="223"/>
      <c r="Y2371" s="223"/>
      <c r="Z2371" s="223"/>
    </row>
    <row r="2372">
      <c r="A2372" s="223" t="str">
        <f>IFERROR(__xludf.DUMMYFUNCTION("""COMPUTED_VALUE"""),"Continuity Programs Inc. : Other Projects")</f>
        <v>Continuity Programs Inc. : Other Projects</v>
      </c>
      <c r="B2372" s="223" t="str">
        <f>IFERROR(__xludf.DUMMYFUNCTION("""COMPUTED_VALUE"""),"Continuity Programs Inc.")</f>
        <v>Continuity Programs Inc.</v>
      </c>
      <c r="C2372" s="223" t="str">
        <f>IFERROR(__xludf.DUMMYFUNCTION("""COMPUTED_VALUE"""),"Other Projects")</f>
        <v>Other Projects</v>
      </c>
      <c r="D2372" s="316">
        <f>IFERROR(__xludf.DUMMYFUNCTION("""COMPUTED_VALUE"""),44957.0)</f>
        <v>44957</v>
      </c>
      <c r="E2372" s="298"/>
      <c r="F2372" s="298"/>
      <c r="G2372" s="298"/>
      <c r="H2372" s="223"/>
      <c r="I2372" s="298">
        <f>IFERROR(__xludf.DUMMYFUNCTION("""COMPUTED_VALUE"""),1500.0)</f>
        <v>1500</v>
      </c>
      <c r="J2372" s="223" t="str">
        <f>IFERROR(__xludf.DUMMYFUNCTION("""COMPUTED_VALUE"""),"Fixed Project")</f>
        <v>Fixed Project</v>
      </c>
      <c r="K2372" s="317">
        <f>IFERROR(__xludf.DUMMYFUNCTION("""COMPUTED_VALUE"""),2023.0)</f>
        <v>2023</v>
      </c>
      <c r="L2372" s="298"/>
      <c r="M2372" s="223"/>
      <c r="N2372" s="223"/>
      <c r="O2372" s="223"/>
      <c r="P2372" s="223"/>
      <c r="Q2372" s="223"/>
      <c r="R2372" s="223"/>
      <c r="S2372" s="223"/>
      <c r="T2372" s="223"/>
      <c r="U2372" s="223"/>
      <c r="V2372" s="223"/>
      <c r="W2372" s="223"/>
      <c r="X2372" s="223"/>
      <c r="Y2372" s="223"/>
      <c r="Z2372" s="223"/>
    </row>
    <row r="2373">
      <c r="A2373" s="223" t="str">
        <f>IFERROR(__xludf.DUMMYFUNCTION("""COMPUTED_VALUE"""),"Hastings House : Monthly Services")</f>
        <v>Hastings House : Monthly Services</v>
      </c>
      <c r="B2373" s="223" t="str">
        <f>IFERROR(__xludf.DUMMYFUNCTION("""COMPUTED_VALUE"""),"Hastings House")</f>
        <v>Hastings House</v>
      </c>
      <c r="C2373" s="223" t="str">
        <f>IFERROR(__xludf.DUMMYFUNCTION("""COMPUTED_VALUE"""),"Monthly Services")</f>
        <v>Monthly Services</v>
      </c>
      <c r="D2373" s="316">
        <f>IFERROR(__xludf.DUMMYFUNCTION("""COMPUTED_VALUE"""),44957.0)</f>
        <v>44957</v>
      </c>
      <c r="E2373" s="298"/>
      <c r="F2373" s="298"/>
      <c r="G2373" s="298"/>
      <c r="H2373" s="223"/>
      <c r="I2373" s="298">
        <f>IFERROR(__xludf.DUMMYFUNCTION("""COMPUTED_VALUE"""),200.0)</f>
        <v>200</v>
      </c>
      <c r="J2373" s="223" t="str">
        <f>IFERROR(__xludf.DUMMYFUNCTION("""COMPUTED_VALUE"""),"Monthly")</f>
        <v>Monthly</v>
      </c>
      <c r="K2373" s="317">
        <f>IFERROR(__xludf.DUMMYFUNCTION("""COMPUTED_VALUE"""),2023.01)</f>
        <v>2023.01</v>
      </c>
      <c r="L2373" s="298"/>
      <c r="M2373" s="223"/>
      <c r="N2373" s="223"/>
      <c r="O2373" s="223"/>
      <c r="P2373" s="223"/>
      <c r="Q2373" s="223"/>
      <c r="R2373" s="223"/>
      <c r="S2373" s="223"/>
      <c r="T2373" s="223"/>
      <c r="U2373" s="223"/>
      <c r="V2373" s="223"/>
      <c r="W2373" s="223"/>
      <c r="X2373" s="223"/>
      <c r="Y2373" s="223"/>
      <c r="Z2373" s="223"/>
    </row>
    <row r="2374">
      <c r="A2374" s="223" t="str">
        <f>IFERROR(__xludf.DUMMYFUNCTION("""COMPUTED_VALUE"""),"HSJ Lawyers : Monthly Services")</f>
        <v>HSJ Lawyers : Monthly Services</v>
      </c>
      <c r="B2374" s="223" t="str">
        <f>IFERROR(__xludf.DUMMYFUNCTION("""COMPUTED_VALUE"""),"HSJ Lawyers")</f>
        <v>HSJ Lawyers</v>
      </c>
      <c r="C2374" s="223" t="str">
        <f>IFERROR(__xludf.DUMMYFUNCTION("""COMPUTED_VALUE"""),"Monthly Services")</f>
        <v>Monthly Services</v>
      </c>
      <c r="D2374" s="316">
        <f>IFERROR(__xludf.DUMMYFUNCTION("""COMPUTED_VALUE"""),44957.0)</f>
        <v>44957</v>
      </c>
      <c r="E2374" s="298"/>
      <c r="F2374" s="298"/>
      <c r="G2374" s="298"/>
      <c r="H2374" s="223"/>
      <c r="I2374" s="298">
        <f>IFERROR(__xludf.DUMMYFUNCTION("""COMPUTED_VALUE"""),75.0)</f>
        <v>75</v>
      </c>
      <c r="J2374" s="223" t="str">
        <f>IFERROR(__xludf.DUMMYFUNCTION("""COMPUTED_VALUE"""),"Monthly")</f>
        <v>Monthly</v>
      </c>
      <c r="K2374" s="317">
        <f>IFERROR(__xludf.DUMMYFUNCTION("""COMPUTED_VALUE"""),2023.01)</f>
        <v>2023.01</v>
      </c>
      <c r="L2374" s="298"/>
      <c r="M2374" s="223"/>
      <c r="N2374" s="223"/>
      <c r="O2374" s="223"/>
      <c r="P2374" s="223"/>
      <c r="Q2374" s="223"/>
      <c r="R2374" s="223"/>
      <c r="S2374" s="223"/>
      <c r="T2374" s="223"/>
      <c r="U2374" s="223"/>
      <c r="V2374" s="223"/>
      <c r="W2374" s="223"/>
      <c r="X2374" s="223"/>
      <c r="Y2374" s="223"/>
      <c r="Z2374" s="223"/>
    </row>
    <row r="2375">
      <c r="A2375" s="223" t="str">
        <f>IFERROR(__xludf.DUMMYFUNCTION("""COMPUTED_VALUE"""),"McAllister Marketing : Copernic PPC / SEO")</f>
        <v>McAllister Marketing : Copernic PPC / SEO</v>
      </c>
      <c r="B2375" s="223" t="str">
        <f>IFERROR(__xludf.DUMMYFUNCTION("""COMPUTED_VALUE"""),"McAllister Marketing")</f>
        <v>McAllister Marketing</v>
      </c>
      <c r="C2375" s="223" t="str">
        <f>IFERROR(__xludf.DUMMYFUNCTION("""COMPUTED_VALUE"""),"Copernic PPC / SEO")</f>
        <v>Copernic PPC / SEO</v>
      </c>
      <c r="D2375" s="316">
        <f>IFERROR(__xludf.DUMMYFUNCTION("""COMPUTED_VALUE"""),44957.0)</f>
        <v>44957</v>
      </c>
      <c r="E2375" s="298"/>
      <c r="F2375" s="298"/>
      <c r="G2375" s="298"/>
      <c r="H2375" s="223"/>
      <c r="I2375" s="298">
        <f>IFERROR(__xludf.DUMMYFUNCTION("""COMPUTED_VALUE"""),200.0)</f>
        <v>200</v>
      </c>
      <c r="J2375" s="223" t="str">
        <f>IFERROR(__xludf.DUMMYFUNCTION("""COMPUTED_VALUE"""),"Monthly")</f>
        <v>Monthly</v>
      </c>
      <c r="K2375" s="317">
        <f>IFERROR(__xludf.DUMMYFUNCTION("""COMPUTED_VALUE"""),2023.01)</f>
        <v>2023.01</v>
      </c>
      <c r="L2375" s="298"/>
      <c r="M2375" s="223"/>
      <c r="N2375" s="223"/>
      <c r="O2375" s="223"/>
      <c r="P2375" s="223"/>
      <c r="Q2375" s="223"/>
      <c r="R2375" s="223"/>
      <c r="S2375" s="223"/>
      <c r="T2375" s="223"/>
      <c r="U2375" s="223"/>
      <c r="V2375" s="223"/>
      <c r="W2375" s="223"/>
      <c r="X2375" s="223"/>
      <c r="Y2375" s="223"/>
      <c r="Z2375" s="223"/>
    </row>
    <row r="2376">
      <c r="A2376" s="223" t="str">
        <f>IFERROR(__xludf.DUMMYFUNCTION("""COMPUTED_VALUE"""),"Ultimate Tools : Monthly SEO &amp; PPC Management")</f>
        <v>Ultimate Tools : Monthly SEO &amp; PPC Management</v>
      </c>
      <c r="B2376" s="223" t="str">
        <f>IFERROR(__xludf.DUMMYFUNCTION("""COMPUTED_VALUE"""),"Ultimate Tools")</f>
        <v>Ultimate Tools</v>
      </c>
      <c r="C2376" s="223" t="str">
        <f>IFERROR(__xludf.DUMMYFUNCTION("""COMPUTED_VALUE"""),"Monthly SEO &amp; PPC Management")</f>
        <v>Monthly SEO &amp; PPC Management</v>
      </c>
      <c r="D2376" s="316">
        <f>IFERROR(__xludf.DUMMYFUNCTION("""COMPUTED_VALUE"""),44957.0)</f>
        <v>44957</v>
      </c>
      <c r="E2376" s="298"/>
      <c r="F2376" s="298"/>
      <c r="G2376" s="298"/>
      <c r="H2376" s="223"/>
      <c r="I2376" s="298">
        <f>IFERROR(__xludf.DUMMYFUNCTION("""COMPUTED_VALUE"""),265.0)</f>
        <v>265</v>
      </c>
      <c r="J2376" s="223" t="str">
        <f>IFERROR(__xludf.DUMMYFUNCTION("""COMPUTED_VALUE"""),"Monthly")</f>
        <v>Monthly</v>
      </c>
      <c r="K2376" s="317">
        <f>IFERROR(__xludf.DUMMYFUNCTION("""COMPUTED_VALUE"""),2023.01)</f>
        <v>2023.01</v>
      </c>
      <c r="L2376" s="298"/>
      <c r="M2376" s="223"/>
      <c r="N2376" s="223"/>
      <c r="O2376" s="223"/>
      <c r="P2376" s="223"/>
      <c r="Q2376" s="223"/>
      <c r="R2376" s="223"/>
      <c r="S2376" s="223"/>
      <c r="T2376" s="223"/>
      <c r="U2376" s="223"/>
      <c r="V2376" s="223"/>
      <c r="W2376" s="223"/>
      <c r="X2376" s="223"/>
      <c r="Y2376" s="223"/>
      <c r="Z2376" s="223"/>
    </row>
    <row r="2377">
      <c r="A2377" s="223" t="str">
        <f>IFERROR(__xludf.DUMMYFUNCTION("""COMPUTED_VALUE"""),"Arcwell : Arcwell Initial Reveiw")</f>
        <v>Arcwell : Arcwell Initial Reveiw</v>
      </c>
      <c r="B2377" s="223" t="str">
        <f>IFERROR(__xludf.DUMMYFUNCTION("""COMPUTED_VALUE"""),"Arcwell")</f>
        <v>Arcwell</v>
      </c>
      <c r="C2377" s="223" t="str">
        <f>IFERROR(__xludf.DUMMYFUNCTION("""COMPUTED_VALUE"""),"Arcwell Initial Reveiw")</f>
        <v>Arcwell Initial Reveiw</v>
      </c>
      <c r="D2377" s="316">
        <f>IFERROR(__xludf.DUMMYFUNCTION("""COMPUTED_VALUE"""),44957.0)</f>
        <v>44957</v>
      </c>
      <c r="E2377" s="298"/>
      <c r="F2377" s="298"/>
      <c r="G2377" s="298"/>
      <c r="H2377" s="223"/>
      <c r="I2377" s="298">
        <f>IFERROR(__xludf.DUMMYFUNCTION("""COMPUTED_VALUE"""),30.0)</f>
        <v>30</v>
      </c>
      <c r="J2377" s="223" t="str">
        <f>IFERROR(__xludf.DUMMYFUNCTION("""COMPUTED_VALUE"""),"Fixed Project")</f>
        <v>Fixed Project</v>
      </c>
      <c r="K2377" s="317">
        <f>IFERROR(__xludf.DUMMYFUNCTION("""COMPUTED_VALUE"""),2023.0)</f>
        <v>2023</v>
      </c>
      <c r="L2377" s="298"/>
      <c r="M2377" s="223"/>
      <c r="N2377" s="223"/>
      <c r="O2377" s="223"/>
      <c r="P2377" s="223"/>
      <c r="Q2377" s="223"/>
      <c r="R2377" s="223"/>
      <c r="S2377" s="223"/>
      <c r="T2377" s="223"/>
      <c r="U2377" s="223"/>
      <c r="V2377" s="223"/>
      <c r="W2377" s="223"/>
      <c r="X2377" s="223"/>
      <c r="Y2377" s="223"/>
      <c r="Z2377" s="223"/>
    </row>
    <row r="2378">
      <c r="A2378" s="223" t="str">
        <f>IFERROR(__xludf.DUMMYFUNCTION("""COMPUTED_VALUE"""),"Customer First Design : Markey Machinery")</f>
        <v>Customer First Design : Markey Machinery</v>
      </c>
      <c r="B2378" s="223" t="str">
        <f>IFERROR(__xludf.DUMMYFUNCTION("""COMPUTED_VALUE"""),"Customer First Design")</f>
        <v>Customer First Design</v>
      </c>
      <c r="C2378" s="223" t="str">
        <f>IFERROR(__xludf.DUMMYFUNCTION("""COMPUTED_VALUE"""),"Markey Machinery")</f>
        <v>Markey Machinery</v>
      </c>
      <c r="D2378" s="316">
        <f>IFERROR(__xludf.DUMMYFUNCTION("""COMPUTED_VALUE"""),44957.0)</f>
        <v>44957</v>
      </c>
      <c r="E2378" s="298"/>
      <c r="F2378" s="298"/>
      <c r="G2378" s="298"/>
      <c r="H2378" s="223"/>
      <c r="I2378" s="298">
        <f>IFERROR(__xludf.DUMMYFUNCTION("""COMPUTED_VALUE"""),60.0)</f>
        <v>60</v>
      </c>
      <c r="J2378" s="223" t="str">
        <f>IFERROR(__xludf.DUMMYFUNCTION("""COMPUTED_VALUE"""),"Fixed Project")</f>
        <v>Fixed Project</v>
      </c>
      <c r="K2378" s="317">
        <f>IFERROR(__xludf.DUMMYFUNCTION("""COMPUTED_VALUE"""),2023.0)</f>
        <v>2023</v>
      </c>
      <c r="L2378" s="298"/>
      <c r="M2378" s="223"/>
      <c r="N2378" s="223"/>
      <c r="O2378" s="223"/>
      <c r="P2378" s="223"/>
      <c r="Q2378" s="223"/>
      <c r="R2378" s="223"/>
      <c r="S2378" s="223"/>
      <c r="T2378" s="223"/>
      <c r="U2378" s="223"/>
      <c r="V2378" s="223"/>
      <c r="W2378" s="223"/>
      <c r="X2378" s="223"/>
      <c r="Y2378" s="223"/>
      <c r="Z2378" s="223"/>
    </row>
    <row r="2379">
      <c r="A2379" s="223" t="str">
        <f>IFERROR(__xludf.DUMMYFUNCTION("""COMPUTED_VALUE"""),"PlusROI : Overhead")</f>
        <v>PlusROI : Overhead</v>
      </c>
      <c r="B2379" s="223" t="str">
        <f>IFERROR(__xludf.DUMMYFUNCTION("""COMPUTED_VALUE"""),"PlusROI")</f>
        <v>PlusROI</v>
      </c>
      <c r="C2379" s="223" t="str">
        <f>IFERROR(__xludf.DUMMYFUNCTION("""COMPUTED_VALUE"""),"Overhead")</f>
        <v>Overhead</v>
      </c>
      <c r="D2379" s="316">
        <f>IFERROR(__xludf.DUMMYFUNCTION("""COMPUTED_VALUE"""),44977.0)</f>
        <v>44977</v>
      </c>
      <c r="E2379" s="298"/>
      <c r="F2379" s="298"/>
      <c r="G2379" s="298"/>
      <c r="H2379" s="223"/>
      <c r="I2379" s="298">
        <f>IFERROR(__xludf.DUMMYFUNCTION("""COMPUTED_VALUE"""),138.67)</f>
        <v>138.67</v>
      </c>
      <c r="J2379" s="223" t="str">
        <f>IFERROR(__xludf.DUMMYFUNCTION("""COMPUTED_VALUE"""),"Hourly")</f>
        <v>Hourly</v>
      </c>
      <c r="K2379" s="317">
        <f>IFERROR(__xludf.DUMMYFUNCTION("""COMPUTED_VALUE"""),2023.0)</f>
        <v>2023</v>
      </c>
      <c r="L2379" s="298"/>
      <c r="M2379" s="223"/>
      <c r="N2379" s="223"/>
      <c r="O2379" s="223"/>
      <c r="P2379" s="223"/>
      <c r="Q2379" s="223"/>
      <c r="R2379" s="223"/>
      <c r="S2379" s="223"/>
      <c r="T2379" s="223"/>
      <c r="U2379" s="223"/>
      <c r="V2379" s="223"/>
      <c r="W2379" s="223"/>
      <c r="X2379" s="223"/>
      <c r="Y2379" s="223"/>
      <c r="Z2379" s="223"/>
    </row>
    <row r="2380">
      <c r="A2380" s="223" t="str">
        <f>IFERROR(__xludf.DUMMYFUNCTION("""COMPUTED_VALUE"""),"PlusROI : Overhead")</f>
        <v>PlusROI : Overhead</v>
      </c>
      <c r="B2380" s="223" t="str">
        <f>IFERROR(__xludf.DUMMYFUNCTION("""COMPUTED_VALUE"""),"PlusROI")</f>
        <v>PlusROI</v>
      </c>
      <c r="C2380" s="223" t="str">
        <f>IFERROR(__xludf.DUMMYFUNCTION("""COMPUTED_VALUE"""),"Overhead")</f>
        <v>Overhead</v>
      </c>
      <c r="D2380" s="316">
        <f>IFERROR(__xludf.DUMMYFUNCTION("""COMPUTED_VALUE"""),44977.0)</f>
        <v>44977</v>
      </c>
      <c r="E2380" s="298"/>
      <c r="F2380" s="298"/>
      <c r="G2380" s="298"/>
      <c r="H2380" s="223"/>
      <c r="I2380" s="298">
        <f>IFERROR(__xludf.DUMMYFUNCTION("""COMPUTED_VALUE"""),14.8)</f>
        <v>14.8</v>
      </c>
      <c r="J2380" s="223" t="str">
        <f>IFERROR(__xludf.DUMMYFUNCTION("""COMPUTED_VALUE"""),"Hourly")</f>
        <v>Hourly</v>
      </c>
      <c r="K2380" s="317">
        <f>IFERROR(__xludf.DUMMYFUNCTION("""COMPUTED_VALUE"""),2023.0)</f>
        <v>2023</v>
      </c>
      <c r="L2380" s="298"/>
      <c r="M2380" s="223"/>
      <c r="N2380" s="223"/>
      <c r="O2380" s="223"/>
      <c r="P2380" s="223"/>
      <c r="Q2380" s="223"/>
      <c r="R2380" s="223"/>
      <c r="S2380" s="223"/>
      <c r="T2380" s="223"/>
      <c r="U2380" s="223"/>
      <c r="V2380" s="223"/>
      <c r="W2380" s="223"/>
      <c r="X2380" s="223"/>
      <c r="Y2380" s="223"/>
      <c r="Z2380" s="223"/>
    </row>
    <row r="2381">
      <c r="A2381" s="223" t="str">
        <f>IFERROR(__xludf.DUMMYFUNCTION("""COMPUTED_VALUE"""),"PlusROI : Overhead")</f>
        <v>PlusROI : Overhead</v>
      </c>
      <c r="B2381" s="223" t="str">
        <f>IFERROR(__xludf.DUMMYFUNCTION("""COMPUTED_VALUE"""),"PlusROI")</f>
        <v>PlusROI</v>
      </c>
      <c r="C2381" s="223" t="str">
        <f>IFERROR(__xludf.DUMMYFUNCTION("""COMPUTED_VALUE"""),"Overhead")</f>
        <v>Overhead</v>
      </c>
      <c r="D2381" s="316">
        <f>IFERROR(__xludf.DUMMYFUNCTION("""COMPUTED_VALUE"""),44977.0)</f>
        <v>44977</v>
      </c>
      <c r="E2381" s="298"/>
      <c r="F2381" s="298"/>
      <c r="G2381" s="298"/>
      <c r="H2381" s="223"/>
      <c r="I2381" s="298">
        <f>IFERROR(__xludf.DUMMYFUNCTION("""COMPUTED_VALUE"""),65.53)</f>
        <v>65.53</v>
      </c>
      <c r="J2381" s="223" t="str">
        <f>IFERROR(__xludf.DUMMYFUNCTION("""COMPUTED_VALUE"""),"Hourly")</f>
        <v>Hourly</v>
      </c>
      <c r="K2381" s="317">
        <f>IFERROR(__xludf.DUMMYFUNCTION("""COMPUTED_VALUE"""),2023.0)</f>
        <v>2023</v>
      </c>
      <c r="L2381" s="298"/>
      <c r="M2381" s="223"/>
      <c r="N2381" s="223"/>
      <c r="O2381" s="223"/>
      <c r="P2381" s="223"/>
      <c r="Q2381" s="223"/>
      <c r="R2381" s="223"/>
      <c r="S2381" s="223"/>
      <c r="T2381" s="223"/>
      <c r="U2381" s="223"/>
      <c r="V2381" s="223"/>
      <c r="W2381" s="223"/>
      <c r="X2381" s="223"/>
      <c r="Y2381" s="223"/>
      <c r="Z2381" s="223"/>
    </row>
    <row r="2382">
      <c r="A2382" s="223" t="str">
        <f>IFERROR(__xludf.DUMMYFUNCTION("""COMPUTED_VALUE"""),"PlusROI : Overhead")</f>
        <v>PlusROI : Overhead</v>
      </c>
      <c r="B2382" s="223" t="str">
        <f>IFERROR(__xludf.DUMMYFUNCTION("""COMPUTED_VALUE"""),"PlusROI")</f>
        <v>PlusROI</v>
      </c>
      <c r="C2382" s="223" t="str">
        <f>IFERROR(__xludf.DUMMYFUNCTION("""COMPUTED_VALUE"""),"Overhead")</f>
        <v>Overhead</v>
      </c>
      <c r="D2382" s="316">
        <f>IFERROR(__xludf.DUMMYFUNCTION("""COMPUTED_VALUE"""),44977.0)</f>
        <v>44977</v>
      </c>
      <c r="E2382" s="298"/>
      <c r="F2382" s="298"/>
      <c r="G2382" s="298"/>
      <c r="H2382" s="223"/>
      <c r="I2382" s="298">
        <f>IFERROR(__xludf.DUMMYFUNCTION("""COMPUTED_VALUE"""),183.8)</f>
        <v>183.8</v>
      </c>
      <c r="J2382" s="223" t="str">
        <f>IFERROR(__xludf.DUMMYFUNCTION("""COMPUTED_VALUE"""),"Hourly")</f>
        <v>Hourly</v>
      </c>
      <c r="K2382" s="317">
        <f>IFERROR(__xludf.DUMMYFUNCTION("""COMPUTED_VALUE"""),2023.0)</f>
        <v>2023</v>
      </c>
      <c r="L2382" s="298"/>
      <c r="M2382" s="223"/>
      <c r="N2382" s="223"/>
      <c r="O2382" s="223"/>
      <c r="P2382" s="223"/>
      <c r="Q2382" s="223"/>
      <c r="R2382" s="223"/>
      <c r="S2382" s="223"/>
      <c r="T2382" s="223"/>
      <c r="U2382" s="223"/>
      <c r="V2382" s="223"/>
      <c r="W2382" s="223"/>
      <c r="X2382" s="223"/>
      <c r="Y2382" s="223"/>
      <c r="Z2382" s="223"/>
    </row>
    <row r="2383">
      <c r="A2383" s="223" t="str">
        <f>IFERROR(__xludf.DUMMYFUNCTION("""COMPUTED_VALUE"""),"Canyon's Construction : PPC, LP &amp; Listings")</f>
        <v>Canyon's Construction : PPC, LP &amp; Listings</v>
      </c>
      <c r="B2383" s="223" t="str">
        <f>IFERROR(__xludf.DUMMYFUNCTION("""COMPUTED_VALUE"""),"Canyon's Construction")</f>
        <v>Canyon's Construction</v>
      </c>
      <c r="C2383" s="223" t="str">
        <f>IFERROR(__xludf.DUMMYFUNCTION("""COMPUTED_VALUE"""),"PPC, LP &amp; Listings")</f>
        <v>PPC, LP &amp; Listings</v>
      </c>
      <c r="D2383" s="316">
        <f>IFERROR(__xludf.DUMMYFUNCTION("""COMPUTED_VALUE"""),44957.0)</f>
        <v>44957</v>
      </c>
      <c r="E2383" s="298"/>
      <c r="F2383" s="298"/>
      <c r="G2383" s="298"/>
      <c r="H2383" s="223"/>
      <c r="I2383" s="298">
        <f>IFERROR(__xludf.DUMMYFUNCTION("""COMPUTED_VALUE"""),10.05)</f>
        <v>10.05</v>
      </c>
      <c r="J2383" s="223" t="str">
        <f>IFERROR(__xludf.DUMMYFUNCTION("""COMPUTED_VALUE"""),"Fixed Project")</f>
        <v>Fixed Project</v>
      </c>
      <c r="K2383" s="317">
        <f>IFERROR(__xludf.DUMMYFUNCTION("""COMPUTED_VALUE"""),2023.0)</f>
        <v>2023</v>
      </c>
      <c r="L2383" s="298"/>
      <c r="M2383" s="223"/>
      <c r="N2383" s="223"/>
      <c r="O2383" s="223"/>
      <c r="P2383" s="223"/>
      <c r="Q2383" s="223"/>
      <c r="R2383" s="223"/>
      <c r="S2383" s="223"/>
      <c r="T2383" s="223"/>
      <c r="U2383" s="223"/>
      <c r="V2383" s="223"/>
      <c r="W2383" s="223"/>
      <c r="X2383" s="223"/>
      <c r="Y2383" s="223"/>
      <c r="Z2383" s="223"/>
    </row>
    <row r="2384">
      <c r="A2384" s="223" t="str">
        <f>IFERROR(__xludf.DUMMYFUNCTION("""COMPUTED_VALUE"""),"Community Financials : Monthly Services")</f>
        <v>Community Financials : Monthly Services</v>
      </c>
      <c r="B2384" s="223" t="str">
        <f>IFERROR(__xludf.DUMMYFUNCTION("""COMPUTED_VALUE"""),"Community Financials")</f>
        <v>Community Financials</v>
      </c>
      <c r="C2384" s="223" t="str">
        <f>IFERROR(__xludf.DUMMYFUNCTION("""COMPUTED_VALUE"""),"Monthly Services")</f>
        <v>Monthly Services</v>
      </c>
      <c r="D2384" s="316">
        <f>IFERROR(__xludf.DUMMYFUNCTION("""COMPUTED_VALUE"""),44957.0)</f>
        <v>44957</v>
      </c>
      <c r="E2384" s="298"/>
      <c r="F2384" s="298"/>
      <c r="G2384" s="298"/>
      <c r="H2384" s="223"/>
      <c r="I2384" s="298">
        <f>IFERROR(__xludf.DUMMYFUNCTION("""COMPUTED_VALUE"""),117.24)</f>
        <v>117.24</v>
      </c>
      <c r="J2384" s="223" t="str">
        <f>IFERROR(__xludf.DUMMYFUNCTION("""COMPUTED_VALUE"""),"Monthly")</f>
        <v>Monthly</v>
      </c>
      <c r="K2384" s="317">
        <f>IFERROR(__xludf.DUMMYFUNCTION("""COMPUTED_VALUE"""),2023.01)</f>
        <v>2023.01</v>
      </c>
      <c r="L2384" s="298"/>
      <c r="M2384" s="223"/>
      <c r="N2384" s="223"/>
      <c r="O2384" s="223"/>
      <c r="P2384" s="223"/>
      <c r="Q2384" s="223"/>
      <c r="R2384" s="223"/>
      <c r="S2384" s="223"/>
      <c r="T2384" s="223"/>
      <c r="U2384" s="223"/>
      <c r="V2384" s="223"/>
      <c r="W2384" s="223"/>
      <c r="X2384" s="223"/>
      <c r="Y2384" s="223"/>
      <c r="Z2384" s="223"/>
    </row>
    <row r="2385">
      <c r="A2385" s="223" t="str">
        <f>IFERROR(__xludf.DUMMYFUNCTION("""COMPUTED_VALUE"""),"Hastings House : Monthly Services")</f>
        <v>Hastings House : Monthly Services</v>
      </c>
      <c r="B2385" s="223" t="str">
        <f>IFERROR(__xludf.DUMMYFUNCTION("""COMPUTED_VALUE"""),"Hastings House")</f>
        <v>Hastings House</v>
      </c>
      <c r="C2385" s="223" t="str">
        <f>IFERROR(__xludf.DUMMYFUNCTION("""COMPUTED_VALUE"""),"Monthly Services")</f>
        <v>Monthly Services</v>
      </c>
      <c r="D2385" s="316">
        <f>IFERROR(__xludf.DUMMYFUNCTION("""COMPUTED_VALUE"""),44957.0)</f>
        <v>44957</v>
      </c>
      <c r="E2385" s="298"/>
      <c r="F2385" s="298"/>
      <c r="G2385" s="298"/>
      <c r="H2385" s="223"/>
      <c r="I2385" s="298">
        <f>IFERROR(__xludf.DUMMYFUNCTION("""COMPUTED_VALUE"""),117.4)</f>
        <v>117.4</v>
      </c>
      <c r="J2385" s="223" t="str">
        <f>IFERROR(__xludf.DUMMYFUNCTION("""COMPUTED_VALUE"""),"Monthly")</f>
        <v>Monthly</v>
      </c>
      <c r="K2385" s="317">
        <f>IFERROR(__xludf.DUMMYFUNCTION("""COMPUTED_VALUE"""),2023.01)</f>
        <v>2023.01</v>
      </c>
      <c r="L2385" s="298"/>
      <c r="M2385" s="223"/>
      <c r="N2385" s="223"/>
      <c r="O2385" s="223"/>
      <c r="P2385" s="223"/>
      <c r="Q2385" s="223"/>
      <c r="R2385" s="223"/>
      <c r="S2385" s="223"/>
      <c r="T2385" s="223"/>
      <c r="U2385" s="223"/>
      <c r="V2385" s="223"/>
      <c r="W2385" s="223"/>
      <c r="X2385" s="223"/>
      <c r="Y2385" s="223"/>
      <c r="Z2385" s="223"/>
    </row>
    <row r="2386">
      <c r="A2386" s="223" t="str">
        <f>IFERROR(__xludf.DUMMYFUNCTION("""COMPUTED_VALUE"""),"MJM Architect : Website Updates and Analytics")</f>
        <v>MJM Architect : Website Updates and Analytics</v>
      </c>
      <c r="B2386" s="223" t="str">
        <f>IFERROR(__xludf.DUMMYFUNCTION("""COMPUTED_VALUE"""),"MJM Architect")</f>
        <v>MJM Architect</v>
      </c>
      <c r="C2386" s="223" t="str">
        <f>IFERROR(__xludf.DUMMYFUNCTION("""COMPUTED_VALUE"""),"Website Updates and Analytics")</f>
        <v>Website Updates and Analytics</v>
      </c>
      <c r="D2386" s="316">
        <f>IFERROR(__xludf.DUMMYFUNCTION("""COMPUTED_VALUE"""),44957.0)</f>
        <v>44957</v>
      </c>
      <c r="E2386" s="298"/>
      <c r="F2386" s="298"/>
      <c r="G2386" s="298"/>
      <c r="H2386" s="223"/>
      <c r="I2386" s="298">
        <f>IFERROR(__xludf.DUMMYFUNCTION("""COMPUTED_VALUE"""),145.66)</f>
        <v>145.66</v>
      </c>
      <c r="J2386" s="223" t="str">
        <f>IFERROR(__xludf.DUMMYFUNCTION("""COMPUTED_VALUE"""),"Fixed Project")</f>
        <v>Fixed Project</v>
      </c>
      <c r="K2386" s="317">
        <f>IFERROR(__xludf.DUMMYFUNCTION("""COMPUTED_VALUE"""),2023.0)</f>
        <v>2023</v>
      </c>
      <c r="L2386" s="298"/>
      <c r="M2386" s="223"/>
      <c r="N2386" s="223"/>
      <c r="O2386" s="223"/>
      <c r="P2386" s="223"/>
      <c r="Q2386" s="223"/>
      <c r="R2386" s="223"/>
      <c r="S2386" s="223"/>
      <c r="T2386" s="223"/>
      <c r="U2386" s="223"/>
      <c r="V2386" s="223"/>
      <c r="W2386" s="223"/>
      <c r="X2386" s="223"/>
      <c r="Y2386" s="223"/>
      <c r="Z2386" s="223"/>
    </row>
    <row r="2387">
      <c r="A2387" s="223" t="str">
        <f>IFERROR(__xludf.DUMMYFUNCTION("""COMPUTED_VALUE"""),"PlusROI : Admin")</f>
        <v>PlusROI : Admin</v>
      </c>
      <c r="B2387" s="223" t="str">
        <f>IFERROR(__xludf.DUMMYFUNCTION("""COMPUTED_VALUE"""),"PlusROI")</f>
        <v>PlusROI</v>
      </c>
      <c r="C2387" s="223" t="str">
        <f>IFERROR(__xludf.DUMMYFUNCTION("""COMPUTED_VALUE"""),"Admin")</f>
        <v>Admin</v>
      </c>
      <c r="D2387" s="316">
        <f>IFERROR(__xludf.DUMMYFUNCTION("""COMPUTED_VALUE"""),44957.0)</f>
        <v>44957</v>
      </c>
      <c r="E2387" s="298"/>
      <c r="F2387" s="298"/>
      <c r="G2387" s="298"/>
      <c r="H2387" s="223"/>
      <c r="I2387" s="298">
        <f>IFERROR(__xludf.DUMMYFUNCTION("""COMPUTED_VALUE"""),545.13)</f>
        <v>545.13</v>
      </c>
      <c r="J2387" s="223" t="str">
        <f>IFERROR(__xludf.DUMMYFUNCTION("""COMPUTED_VALUE"""),"Hourly")</f>
        <v>Hourly</v>
      </c>
      <c r="K2387" s="317">
        <f>IFERROR(__xludf.DUMMYFUNCTION("""COMPUTED_VALUE"""),2023.0)</f>
        <v>2023</v>
      </c>
      <c r="L2387" s="298"/>
      <c r="M2387" s="223"/>
      <c r="N2387" s="223"/>
      <c r="O2387" s="223"/>
      <c r="P2387" s="223"/>
      <c r="Q2387" s="223"/>
      <c r="R2387" s="223"/>
      <c r="S2387" s="223"/>
      <c r="T2387" s="223"/>
      <c r="U2387" s="223"/>
      <c r="V2387" s="223"/>
      <c r="W2387" s="223"/>
      <c r="X2387" s="223"/>
      <c r="Y2387" s="223"/>
      <c r="Z2387" s="223"/>
    </row>
    <row r="2388">
      <c r="A2388" s="223" t="str">
        <f>IFERROR(__xludf.DUMMYFUNCTION("""COMPUTED_VALUE"""),"Spraggs : Monthly Services")</f>
        <v>Spraggs : Monthly Services</v>
      </c>
      <c r="B2388" s="223" t="str">
        <f>IFERROR(__xludf.DUMMYFUNCTION("""COMPUTED_VALUE"""),"Spraggs")</f>
        <v>Spraggs</v>
      </c>
      <c r="C2388" s="223" t="str">
        <f>IFERROR(__xludf.DUMMYFUNCTION("""COMPUTED_VALUE"""),"Monthly Services")</f>
        <v>Monthly Services</v>
      </c>
      <c r="D2388" s="316">
        <f>IFERROR(__xludf.DUMMYFUNCTION("""COMPUTED_VALUE"""),44957.0)</f>
        <v>44957</v>
      </c>
      <c r="E2388" s="298"/>
      <c r="F2388" s="298"/>
      <c r="G2388" s="298"/>
      <c r="H2388" s="223"/>
      <c r="I2388" s="298">
        <f>IFERROR(__xludf.DUMMYFUNCTION("""COMPUTED_VALUE"""),17.06)</f>
        <v>17.06</v>
      </c>
      <c r="J2388" s="223" t="str">
        <f>IFERROR(__xludf.DUMMYFUNCTION("""COMPUTED_VALUE"""),"Monthly")</f>
        <v>Monthly</v>
      </c>
      <c r="K2388" s="317">
        <f>IFERROR(__xludf.DUMMYFUNCTION("""COMPUTED_VALUE"""),2023.01)</f>
        <v>2023.01</v>
      </c>
      <c r="L2388" s="298"/>
      <c r="M2388" s="223"/>
      <c r="N2388" s="223"/>
      <c r="O2388" s="223"/>
      <c r="P2388" s="223"/>
      <c r="Q2388" s="223"/>
      <c r="R2388" s="223"/>
      <c r="S2388" s="223"/>
      <c r="T2388" s="223"/>
      <c r="U2388" s="223"/>
      <c r="V2388" s="223"/>
      <c r="W2388" s="223"/>
      <c r="X2388" s="223"/>
      <c r="Y2388" s="223"/>
      <c r="Z2388" s="223"/>
    </row>
    <row r="2389">
      <c r="A2389" s="223" t="str">
        <f>IFERROR(__xludf.DUMMYFUNCTION("""COMPUTED_VALUE"""),"Tofino Resort + Marina : 5 Hour Support Block")</f>
        <v>Tofino Resort + Marina : 5 Hour Support Block</v>
      </c>
      <c r="B2389" s="223" t="str">
        <f>IFERROR(__xludf.DUMMYFUNCTION("""COMPUTED_VALUE"""),"Tofino Resort + Marina")</f>
        <v>Tofino Resort + Marina</v>
      </c>
      <c r="C2389" s="223" t="str">
        <f>IFERROR(__xludf.DUMMYFUNCTION("""COMPUTED_VALUE"""),"5 Hour Support Block")</f>
        <v>5 Hour Support Block</v>
      </c>
      <c r="D2389" s="316">
        <f>IFERROR(__xludf.DUMMYFUNCTION("""COMPUTED_VALUE"""),44957.0)</f>
        <v>44957</v>
      </c>
      <c r="E2389" s="298"/>
      <c r="F2389" s="298"/>
      <c r="G2389" s="298"/>
      <c r="H2389" s="223"/>
      <c r="I2389" s="298">
        <f>IFERROR(__xludf.DUMMYFUNCTION("""COMPUTED_VALUE"""),226.52)</f>
        <v>226.52</v>
      </c>
      <c r="J2389" s="223" t="str">
        <f>IFERROR(__xludf.DUMMYFUNCTION("""COMPUTED_VALUE"""),"Fixed Project")</f>
        <v>Fixed Project</v>
      </c>
      <c r="K2389" s="317">
        <f>IFERROR(__xludf.DUMMYFUNCTION("""COMPUTED_VALUE"""),2023.0)</f>
        <v>2023</v>
      </c>
      <c r="L2389" s="298"/>
      <c r="M2389" s="223"/>
      <c r="N2389" s="223"/>
      <c r="O2389" s="223"/>
      <c r="P2389" s="223"/>
      <c r="Q2389" s="223"/>
      <c r="R2389" s="223"/>
      <c r="S2389" s="223"/>
      <c r="T2389" s="223"/>
      <c r="U2389" s="223"/>
      <c r="V2389" s="223"/>
      <c r="W2389" s="223"/>
      <c r="X2389" s="223"/>
      <c r="Y2389" s="223"/>
      <c r="Z2389" s="223"/>
    </row>
    <row r="2390">
      <c r="A2390" s="223" t="str">
        <f>IFERROR(__xludf.DUMMYFUNCTION("""COMPUTED_VALUE"""),"Tuscany : Monthly Services")</f>
        <v>Tuscany : Monthly Services</v>
      </c>
      <c r="B2390" s="223" t="str">
        <f>IFERROR(__xludf.DUMMYFUNCTION("""COMPUTED_VALUE"""),"Tuscany")</f>
        <v>Tuscany</v>
      </c>
      <c r="C2390" s="223" t="str">
        <f>IFERROR(__xludf.DUMMYFUNCTION("""COMPUTED_VALUE"""),"Monthly Services")</f>
        <v>Monthly Services</v>
      </c>
      <c r="D2390" s="316">
        <f>IFERROR(__xludf.DUMMYFUNCTION("""COMPUTED_VALUE"""),44957.0)</f>
        <v>44957</v>
      </c>
      <c r="E2390" s="298"/>
      <c r="F2390" s="298"/>
      <c r="G2390" s="298"/>
      <c r="H2390" s="223"/>
      <c r="I2390" s="298">
        <f>IFERROR(__xludf.DUMMYFUNCTION("""COMPUTED_VALUE"""),32.18)</f>
        <v>32.18</v>
      </c>
      <c r="J2390" s="223" t="str">
        <f>IFERROR(__xludf.DUMMYFUNCTION("""COMPUTED_VALUE"""),"Monthly")</f>
        <v>Monthly</v>
      </c>
      <c r="K2390" s="317">
        <f>IFERROR(__xludf.DUMMYFUNCTION("""COMPUTED_VALUE"""),2023.01)</f>
        <v>2023.01</v>
      </c>
      <c r="L2390" s="298"/>
      <c r="M2390" s="223"/>
      <c r="N2390" s="223"/>
      <c r="O2390" s="223"/>
      <c r="P2390" s="223"/>
      <c r="Q2390" s="223"/>
      <c r="R2390" s="223"/>
      <c r="S2390" s="223"/>
      <c r="T2390" s="223"/>
      <c r="U2390" s="223"/>
      <c r="V2390" s="223"/>
      <c r="W2390" s="223"/>
      <c r="X2390" s="223"/>
      <c r="Y2390" s="223"/>
      <c r="Z2390" s="223"/>
    </row>
    <row r="2391">
      <c r="A2391" s="223" t="str">
        <f>IFERROR(__xludf.DUMMYFUNCTION("""COMPUTED_VALUE"""),"Venetian : Monthly Services")</f>
        <v>Venetian : Monthly Services</v>
      </c>
      <c r="B2391" s="223" t="str">
        <f>IFERROR(__xludf.DUMMYFUNCTION("""COMPUTED_VALUE"""),"Venetian")</f>
        <v>Venetian</v>
      </c>
      <c r="C2391" s="223" t="str">
        <f>IFERROR(__xludf.DUMMYFUNCTION("""COMPUTED_VALUE"""),"Monthly Services")</f>
        <v>Monthly Services</v>
      </c>
      <c r="D2391" s="316">
        <f>IFERROR(__xludf.DUMMYFUNCTION("""COMPUTED_VALUE"""),44957.0)</f>
        <v>44957</v>
      </c>
      <c r="E2391" s="298"/>
      <c r="F2391" s="298"/>
      <c r="G2391" s="298"/>
      <c r="H2391" s="223"/>
      <c r="I2391" s="298">
        <f>IFERROR(__xludf.DUMMYFUNCTION("""COMPUTED_VALUE"""),5.47)</f>
        <v>5.47</v>
      </c>
      <c r="J2391" s="223" t="str">
        <f>IFERROR(__xludf.DUMMYFUNCTION("""COMPUTED_VALUE"""),"Monthly")</f>
        <v>Monthly</v>
      </c>
      <c r="K2391" s="317">
        <f>IFERROR(__xludf.DUMMYFUNCTION("""COMPUTED_VALUE"""),2023.01)</f>
        <v>2023.01</v>
      </c>
      <c r="L2391" s="298"/>
      <c r="M2391" s="223"/>
      <c r="N2391" s="223"/>
      <c r="O2391" s="223"/>
      <c r="P2391" s="223"/>
      <c r="Q2391" s="223"/>
      <c r="R2391" s="223"/>
      <c r="S2391" s="223"/>
      <c r="T2391" s="223"/>
      <c r="U2391" s="223"/>
      <c r="V2391" s="223"/>
      <c r="W2391" s="223"/>
      <c r="X2391" s="223"/>
      <c r="Y2391" s="223"/>
      <c r="Z2391" s="223"/>
    </row>
    <row r="2392">
      <c r="A2392" s="223" t="str">
        <f>IFERROR(__xludf.DUMMYFUNCTION("""COMPUTED_VALUE"""),"Canyon's Construction : PPC, LP &amp; Listings")</f>
        <v>Canyon's Construction : PPC, LP &amp; Listings</v>
      </c>
      <c r="B2392" s="223" t="str">
        <f>IFERROR(__xludf.DUMMYFUNCTION("""COMPUTED_VALUE"""),"Canyon's Construction")</f>
        <v>Canyon's Construction</v>
      </c>
      <c r="C2392" s="223" t="str">
        <f>IFERROR(__xludf.DUMMYFUNCTION("""COMPUTED_VALUE"""),"PPC, LP &amp; Listings")</f>
        <v>PPC, LP &amp; Listings</v>
      </c>
      <c r="D2392" s="316">
        <f>IFERROR(__xludf.DUMMYFUNCTION("""COMPUTED_VALUE"""),44941.0)</f>
        <v>44941</v>
      </c>
      <c r="E2392" s="298"/>
      <c r="F2392" s="298"/>
      <c r="G2392" s="298"/>
      <c r="H2392" s="223"/>
      <c r="I2392" s="298">
        <f>IFERROR(__xludf.DUMMYFUNCTION("""COMPUTED_VALUE"""),257.58)</f>
        <v>257.58</v>
      </c>
      <c r="J2392" s="223" t="str">
        <f>IFERROR(__xludf.DUMMYFUNCTION("""COMPUTED_VALUE"""),"Fixed Project")</f>
        <v>Fixed Project</v>
      </c>
      <c r="K2392" s="317">
        <f>IFERROR(__xludf.DUMMYFUNCTION("""COMPUTED_VALUE"""),2023.0)</f>
        <v>2023</v>
      </c>
      <c r="L2392" s="298">
        <f>IFERROR(__xludf.DUMMYFUNCTION("""COMPUTED_VALUE"""),257.58)</f>
        <v>257.58</v>
      </c>
      <c r="M2392" s="223"/>
      <c r="N2392" s="223"/>
      <c r="O2392" s="223"/>
      <c r="P2392" s="223"/>
      <c r="Q2392" s="223"/>
      <c r="R2392" s="223"/>
      <c r="S2392" s="223"/>
      <c r="T2392" s="223"/>
      <c r="U2392" s="223"/>
      <c r="V2392" s="223"/>
      <c r="W2392" s="223"/>
      <c r="X2392" s="223"/>
      <c r="Y2392" s="223"/>
      <c r="Z2392" s="223"/>
    </row>
    <row r="2393">
      <c r="A2393" s="223" t="str">
        <f>IFERROR(__xludf.DUMMYFUNCTION("""COMPUTED_VALUE"""),"Venetian : Monthly Services")</f>
        <v>Venetian : Monthly Services</v>
      </c>
      <c r="B2393" s="223" t="str">
        <f>IFERROR(__xludf.DUMMYFUNCTION("""COMPUTED_VALUE"""),"Venetian")</f>
        <v>Venetian</v>
      </c>
      <c r="C2393" s="223" t="str">
        <f>IFERROR(__xludf.DUMMYFUNCTION("""COMPUTED_VALUE"""),"Monthly Services")</f>
        <v>Monthly Services</v>
      </c>
      <c r="D2393" s="316">
        <f>IFERROR(__xludf.DUMMYFUNCTION("""COMPUTED_VALUE"""),44946.0)</f>
        <v>44946</v>
      </c>
      <c r="E2393" s="298"/>
      <c r="F2393" s="298"/>
      <c r="G2393" s="298"/>
      <c r="H2393" s="223"/>
      <c r="I2393" s="298">
        <f>IFERROR(__xludf.DUMMYFUNCTION("""COMPUTED_VALUE"""),750.0)</f>
        <v>750</v>
      </c>
      <c r="J2393" s="223" t="str">
        <f>IFERROR(__xludf.DUMMYFUNCTION("""COMPUTED_VALUE"""),"Monthly")</f>
        <v>Monthly</v>
      </c>
      <c r="K2393" s="317">
        <f>IFERROR(__xludf.DUMMYFUNCTION("""COMPUTED_VALUE"""),2023.01)</f>
        <v>2023.01</v>
      </c>
      <c r="L2393" s="298">
        <f>IFERROR(__xludf.DUMMYFUNCTION("""COMPUTED_VALUE"""),750.0)</f>
        <v>750</v>
      </c>
      <c r="M2393" s="223"/>
      <c r="N2393" s="223"/>
      <c r="O2393" s="223"/>
      <c r="P2393" s="223"/>
      <c r="Q2393" s="223"/>
      <c r="R2393" s="223"/>
      <c r="S2393" s="223"/>
      <c r="T2393" s="223"/>
      <c r="U2393" s="223"/>
      <c r="V2393" s="223"/>
      <c r="W2393" s="223"/>
      <c r="X2393" s="223"/>
      <c r="Y2393" s="223"/>
      <c r="Z2393" s="223"/>
    </row>
    <row r="2394">
      <c r="A2394" s="223" t="str">
        <f>IFERROR(__xludf.DUMMYFUNCTION("""COMPUTED_VALUE"""),"PlusROI : Overhead")</f>
        <v>PlusROI : Overhead</v>
      </c>
      <c r="B2394" s="223" t="str">
        <f>IFERROR(__xludf.DUMMYFUNCTION("""COMPUTED_VALUE"""),"PlusROI")</f>
        <v>PlusROI</v>
      </c>
      <c r="C2394" s="223" t="str">
        <f>IFERROR(__xludf.DUMMYFUNCTION("""COMPUTED_VALUE"""),"Overhead")</f>
        <v>Overhead</v>
      </c>
      <c r="D2394" s="316">
        <f>IFERROR(__xludf.DUMMYFUNCTION("""COMPUTED_VALUE"""),44949.0)</f>
        <v>44949</v>
      </c>
      <c r="E2394" s="298"/>
      <c r="F2394" s="298"/>
      <c r="G2394" s="298"/>
      <c r="H2394" s="223"/>
      <c r="I2394" s="298">
        <f>IFERROR(__xludf.DUMMYFUNCTION("""COMPUTED_VALUE"""),81.16)</f>
        <v>81.16</v>
      </c>
      <c r="J2394" s="223" t="str">
        <f>IFERROR(__xludf.DUMMYFUNCTION("""COMPUTED_VALUE"""),"Hourly")</f>
        <v>Hourly</v>
      </c>
      <c r="K2394" s="317">
        <f>IFERROR(__xludf.DUMMYFUNCTION("""COMPUTED_VALUE"""),2023.0)</f>
        <v>2023</v>
      </c>
      <c r="L2394" s="298"/>
      <c r="M2394" s="223"/>
      <c r="N2394" s="223"/>
      <c r="O2394" s="223"/>
      <c r="P2394" s="223"/>
      <c r="Q2394" s="223"/>
      <c r="R2394" s="223"/>
      <c r="S2394" s="223"/>
      <c r="T2394" s="223"/>
      <c r="U2394" s="223"/>
      <c r="V2394" s="223"/>
      <c r="W2394" s="223"/>
      <c r="X2394" s="223"/>
      <c r="Y2394" s="223"/>
      <c r="Z2394" s="223"/>
    </row>
    <row r="2395">
      <c r="A2395" s="223" t="str">
        <f>IFERROR(__xludf.DUMMYFUNCTION("""COMPUTED_VALUE"""),"Spraggs : Monthly Services")</f>
        <v>Spraggs : Monthly Services</v>
      </c>
      <c r="B2395" s="223" t="str">
        <f>IFERROR(__xludf.DUMMYFUNCTION("""COMPUTED_VALUE"""),"Spraggs")</f>
        <v>Spraggs</v>
      </c>
      <c r="C2395" s="223" t="str">
        <f>IFERROR(__xludf.DUMMYFUNCTION("""COMPUTED_VALUE"""),"Monthly Services")</f>
        <v>Monthly Services</v>
      </c>
      <c r="D2395" s="316">
        <f>IFERROR(__xludf.DUMMYFUNCTION("""COMPUTED_VALUE"""),44951.0)</f>
        <v>44951</v>
      </c>
      <c r="E2395" s="298"/>
      <c r="F2395" s="298"/>
      <c r="G2395" s="298"/>
      <c r="H2395" s="223"/>
      <c r="I2395" s="298">
        <f>IFERROR(__xludf.DUMMYFUNCTION("""COMPUTED_VALUE"""),100.0)</f>
        <v>100</v>
      </c>
      <c r="J2395" s="223" t="str">
        <f>IFERROR(__xludf.DUMMYFUNCTION("""COMPUTED_VALUE"""),"Monthly")</f>
        <v>Monthly</v>
      </c>
      <c r="K2395" s="317">
        <f>IFERROR(__xludf.DUMMYFUNCTION("""COMPUTED_VALUE"""),2023.01)</f>
        <v>2023.01</v>
      </c>
      <c r="L2395" s="298">
        <f>IFERROR(__xludf.DUMMYFUNCTION("""COMPUTED_VALUE"""),100.0)</f>
        <v>100</v>
      </c>
      <c r="M2395" s="223"/>
      <c r="N2395" s="223"/>
      <c r="O2395" s="223"/>
      <c r="P2395" s="223"/>
      <c r="Q2395" s="223"/>
      <c r="R2395" s="223"/>
      <c r="S2395" s="223"/>
      <c r="T2395" s="223"/>
      <c r="U2395" s="223"/>
      <c r="V2395" s="223"/>
      <c r="W2395" s="223"/>
      <c r="X2395" s="223"/>
      <c r="Y2395" s="223"/>
      <c r="Z2395" s="223"/>
    </row>
    <row r="2396">
      <c r="A2396" s="223" t="str">
        <f>IFERROR(__xludf.DUMMYFUNCTION("""COMPUTED_VALUE"""),"PlusROI : Overhead")</f>
        <v>PlusROI : Overhead</v>
      </c>
      <c r="B2396" s="223" t="str">
        <f>IFERROR(__xludf.DUMMYFUNCTION("""COMPUTED_VALUE"""),"PlusROI")</f>
        <v>PlusROI</v>
      </c>
      <c r="C2396" s="223" t="str">
        <f>IFERROR(__xludf.DUMMYFUNCTION("""COMPUTED_VALUE"""),"Overhead")</f>
        <v>Overhead</v>
      </c>
      <c r="D2396" s="316">
        <f>IFERROR(__xludf.DUMMYFUNCTION("""COMPUTED_VALUE"""),44958.0)</f>
        <v>44958</v>
      </c>
      <c r="E2396" s="298"/>
      <c r="F2396" s="298"/>
      <c r="G2396" s="298"/>
      <c r="H2396" s="223"/>
      <c r="I2396" s="298">
        <f>IFERROR(__xludf.DUMMYFUNCTION("""COMPUTED_VALUE"""),492.22)</f>
        <v>492.22</v>
      </c>
      <c r="J2396" s="223" t="str">
        <f>IFERROR(__xludf.DUMMYFUNCTION("""COMPUTED_VALUE"""),"Hourly")</f>
        <v>Hourly</v>
      </c>
      <c r="K2396" s="317">
        <f>IFERROR(__xludf.DUMMYFUNCTION("""COMPUTED_VALUE"""),2023.0)</f>
        <v>2023</v>
      </c>
      <c r="L2396" s="298"/>
      <c r="M2396" s="223"/>
      <c r="N2396" s="223"/>
      <c r="O2396" s="223"/>
      <c r="P2396" s="223"/>
      <c r="Q2396" s="223"/>
      <c r="R2396" s="223"/>
      <c r="S2396" s="223"/>
      <c r="T2396" s="223"/>
      <c r="U2396" s="223"/>
      <c r="V2396" s="223"/>
      <c r="W2396" s="223"/>
      <c r="X2396" s="223"/>
      <c r="Y2396" s="223"/>
      <c r="Z2396" s="223"/>
    </row>
    <row r="2397">
      <c r="A2397" s="223" t="str">
        <f>IFERROR(__xludf.DUMMYFUNCTION("""COMPUTED_VALUE"""),"Tuscany : Monthly Services")</f>
        <v>Tuscany : Monthly Services</v>
      </c>
      <c r="B2397" s="223" t="str">
        <f>IFERROR(__xludf.DUMMYFUNCTION("""COMPUTED_VALUE"""),"Tuscany")</f>
        <v>Tuscany</v>
      </c>
      <c r="C2397" s="223" t="str">
        <f>IFERROR(__xludf.DUMMYFUNCTION("""COMPUTED_VALUE"""),"Monthly Services")</f>
        <v>Monthly Services</v>
      </c>
      <c r="D2397" s="316">
        <f>IFERROR(__xludf.DUMMYFUNCTION("""COMPUTED_VALUE"""),44958.0)</f>
        <v>44958</v>
      </c>
      <c r="E2397" s="298"/>
      <c r="F2397" s="298"/>
      <c r="G2397" s="298"/>
      <c r="H2397" s="223"/>
      <c r="I2397" s="298">
        <f>IFERROR(__xludf.DUMMYFUNCTION("""COMPUTED_VALUE"""),222.21)</f>
        <v>222.21</v>
      </c>
      <c r="J2397" s="223" t="str">
        <f>IFERROR(__xludf.DUMMYFUNCTION("""COMPUTED_VALUE"""),"Monthly")</f>
        <v>Monthly</v>
      </c>
      <c r="K2397" s="317">
        <f>IFERROR(__xludf.DUMMYFUNCTION("""COMPUTED_VALUE"""),2023.02)</f>
        <v>2023.02</v>
      </c>
      <c r="L2397" s="298">
        <f>IFERROR(__xludf.DUMMYFUNCTION("""COMPUTED_VALUE"""),222.21)</f>
        <v>222.21</v>
      </c>
      <c r="M2397" s="223"/>
      <c r="N2397" s="223"/>
      <c r="O2397" s="223"/>
      <c r="P2397" s="223"/>
      <c r="Q2397" s="223"/>
      <c r="R2397" s="223"/>
      <c r="S2397" s="223"/>
      <c r="T2397" s="223"/>
      <c r="U2397" s="223"/>
      <c r="V2397" s="223"/>
      <c r="W2397" s="223"/>
      <c r="X2397" s="223"/>
      <c r="Y2397" s="223"/>
      <c r="Z2397" s="223"/>
    </row>
    <row r="2398">
      <c r="A2398" s="223" t="str">
        <f>IFERROR(__xludf.DUMMYFUNCTION("""COMPUTED_VALUE"""),"Venetian : Monthly Services")</f>
        <v>Venetian : Monthly Services</v>
      </c>
      <c r="B2398" s="223" t="str">
        <f>IFERROR(__xludf.DUMMYFUNCTION("""COMPUTED_VALUE"""),"Venetian")</f>
        <v>Venetian</v>
      </c>
      <c r="C2398" s="223" t="str">
        <f>IFERROR(__xludf.DUMMYFUNCTION("""COMPUTED_VALUE"""),"Monthly Services")</f>
        <v>Monthly Services</v>
      </c>
      <c r="D2398" s="316">
        <f>IFERROR(__xludf.DUMMYFUNCTION("""COMPUTED_VALUE"""),44958.0)</f>
        <v>44958</v>
      </c>
      <c r="E2398" s="298"/>
      <c r="F2398" s="298"/>
      <c r="G2398" s="298"/>
      <c r="H2398" s="223"/>
      <c r="I2398" s="298">
        <f>IFERROR(__xludf.DUMMYFUNCTION("""COMPUTED_VALUE"""),420.22)</f>
        <v>420.22</v>
      </c>
      <c r="J2398" s="223" t="str">
        <f>IFERROR(__xludf.DUMMYFUNCTION("""COMPUTED_VALUE"""),"Monthly")</f>
        <v>Monthly</v>
      </c>
      <c r="K2398" s="317">
        <f>IFERROR(__xludf.DUMMYFUNCTION("""COMPUTED_VALUE"""),2023.02)</f>
        <v>2023.02</v>
      </c>
      <c r="L2398" s="298">
        <f>IFERROR(__xludf.DUMMYFUNCTION("""COMPUTED_VALUE"""),420.22)</f>
        <v>420.22</v>
      </c>
      <c r="M2398" s="223"/>
      <c r="N2398" s="223"/>
      <c r="O2398" s="223"/>
      <c r="P2398" s="223"/>
      <c r="Q2398" s="223"/>
      <c r="R2398" s="223"/>
      <c r="S2398" s="223"/>
      <c r="T2398" s="223"/>
      <c r="U2398" s="223"/>
      <c r="V2398" s="223"/>
      <c r="W2398" s="223"/>
      <c r="X2398" s="223"/>
      <c r="Y2398" s="223"/>
      <c r="Z2398" s="223"/>
    </row>
    <row r="2399">
      <c r="A2399" s="223" t="str">
        <f>IFERROR(__xludf.DUMMYFUNCTION("""COMPUTED_VALUE"""),"Canyon's Construction : PPC, LP &amp; Listings")</f>
        <v>Canyon's Construction : PPC, LP &amp; Listings</v>
      </c>
      <c r="B2399" s="223" t="str">
        <f>IFERROR(__xludf.DUMMYFUNCTION("""COMPUTED_VALUE"""),"Canyon's Construction")</f>
        <v>Canyon's Construction</v>
      </c>
      <c r="C2399" s="223" t="str">
        <f>IFERROR(__xludf.DUMMYFUNCTION("""COMPUTED_VALUE"""),"PPC, LP &amp; Listings")</f>
        <v>PPC, LP &amp; Listings</v>
      </c>
      <c r="D2399" s="316">
        <f>IFERROR(__xludf.DUMMYFUNCTION("""COMPUTED_VALUE"""),44958.0)</f>
        <v>44958</v>
      </c>
      <c r="E2399" s="298"/>
      <c r="F2399" s="298"/>
      <c r="G2399" s="298"/>
      <c r="H2399" s="223"/>
      <c r="I2399" s="298">
        <f>IFERROR(__xludf.DUMMYFUNCTION("""COMPUTED_VALUE"""),445.7)</f>
        <v>445.7</v>
      </c>
      <c r="J2399" s="223" t="str">
        <f>IFERROR(__xludf.DUMMYFUNCTION("""COMPUTED_VALUE"""),"Fixed Project")</f>
        <v>Fixed Project</v>
      </c>
      <c r="K2399" s="317">
        <f>IFERROR(__xludf.DUMMYFUNCTION("""COMPUTED_VALUE"""),2023.0)</f>
        <v>2023</v>
      </c>
      <c r="L2399" s="298">
        <f>IFERROR(__xludf.DUMMYFUNCTION("""COMPUTED_VALUE"""),445.7)</f>
        <v>445.7</v>
      </c>
      <c r="M2399" s="223"/>
      <c r="N2399" s="223"/>
      <c r="O2399" s="223"/>
      <c r="P2399" s="223"/>
      <c r="Q2399" s="223"/>
      <c r="R2399" s="223"/>
      <c r="S2399" s="223"/>
      <c r="T2399" s="223"/>
      <c r="U2399" s="223"/>
      <c r="V2399" s="223"/>
      <c r="W2399" s="223"/>
      <c r="X2399" s="223"/>
      <c r="Y2399" s="223"/>
      <c r="Z2399" s="223"/>
    </row>
    <row r="2400">
      <c r="A2400" s="223" t="str">
        <f>IFERROR(__xludf.DUMMYFUNCTION("""COMPUTED_VALUE"""),"Viridian : Monthly Services")</f>
        <v>Viridian : Monthly Services</v>
      </c>
      <c r="B2400" s="223" t="str">
        <f>IFERROR(__xludf.DUMMYFUNCTION("""COMPUTED_VALUE"""),"Viridian")</f>
        <v>Viridian</v>
      </c>
      <c r="C2400" s="223" t="str">
        <f>IFERROR(__xludf.DUMMYFUNCTION("""COMPUTED_VALUE"""),"Monthly Services")</f>
        <v>Monthly Services</v>
      </c>
      <c r="D2400" s="316">
        <f>IFERROR(__xludf.DUMMYFUNCTION("""COMPUTED_VALUE"""),44985.0)</f>
        <v>44985</v>
      </c>
      <c r="E2400" s="298"/>
      <c r="F2400" s="298"/>
      <c r="G2400" s="298"/>
      <c r="H2400" s="223"/>
      <c r="I2400" s="298">
        <f>IFERROR(__xludf.DUMMYFUNCTION("""COMPUTED_VALUE"""),312.5)</f>
        <v>312.5</v>
      </c>
      <c r="J2400" s="223" t="str">
        <f>IFERROR(__xludf.DUMMYFUNCTION("""COMPUTED_VALUE"""),"Monthly")</f>
        <v>Monthly</v>
      </c>
      <c r="K2400" s="317">
        <f>IFERROR(__xludf.DUMMYFUNCTION("""COMPUTED_VALUE"""),2023.02)</f>
        <v>2023.02</v>
      </c>
      <c r="L2400" s="298"/>
      <c r="M2400" s="223"/>
      <c r="N2400" s="223"/>
      <c r="O2400" s="223"/>
      <c r="P2400" s="223"/>
      <c r="Q2400" s="223"/>
      <c r="R2400" s="223"/>
      <c r="S2400" s="223"/>
      <c r="T2400" s="223"/>
      <c r="U2400" s="223"/>
      <c r="V2400" s="223"/>
      <c r="W2400" s="223"/>
      <c r="X2400" s="223"/>
      <c r="Y2400" s="223"/>
      <c r="Z2400" s="223"/>
    </row>
    <row r="2401">
      <c r="A2401" s="223" t="str">
        <f>IFERROR(__xludf.DUMMYFUNCTION("""COMPUTED_VALUE"""),"Service First : Monthly Services")</f>
        <v>Service First : Monthly Services</v>
      </c>
      <c r="B2401" s="223" t="str">
        <f>IFERROR(__xludf.DUMMYFUNCTION("""COMPUTED_VALUE"""),"Service First")</f>
        <v>Service First</v>
      </c>
      <c r="C2401" s="223" t="str">
        <f>IFERROR(__xludf.DUMMYFUNCTION("""COMPUTED_VALUE"""),"Monthly Services")</f>
        <v>Monthly Services</v>
      </c>
      <c r="D2401" s="316">
        <f>IFERROR(__xludf.DUMMYFUNCTION("""COMPUTED_VALUE"""),44985.0)</f>
        <v>44985</v>
      </c>
      <c r="E2401" s="298"/>
      <c r="F2401" s="298"/>
      <c r="G2401" s="298"/>
      <c r="H2401" s="223"/>
      <c r="I2401" s="298">
        <f>IFERROR(__xludf.DUMMYFUNCTION("""COMPUTED_VALUE"""),125.0)</f>
        <v>125</v>
      </c>
      <c r="J2401" s="223" t="str">
        <f>IFERROR(__xludf.DUMMYFUNCTION("""COMPUTED_VALUE"""),"Monthly")</f>
        <v>Monthly</v>
      </c>
      <c r="K2401" s="317">
        <f>IFERROR(__xludf.DUMMYFUNCTION("""COMPUTED_VALUE"""),2023.02)</f>
        <v>2023.02</v>
      </c>
      <c r="L2401" s="298"/>
      <c r="M2401" s="223"/>
      <c r="N2401" s="223"/>
      <c r="O2401" s="223"/>
      <c r="P2401" s="223"/>
      <c r="Q2401" s="223"/>
      <c r="R2401" s="223"/>
      <c r="S2401" s="223"/>
      <c r="T2401" s="223"/>
      <c r="U2401" s="223"/>
      <c r="V2401" s="223"/>
      <c r="W2401" s="223"/>
      <c r="X2401" s="223"/>
      <c r="Y2401" s="223"/>
      <c r="Z2401" s="223"/>
    </row>
    <row r="2402">
      <c r="A2402" s="223" t="str">
        <f>IFERROR(__xludf.DUMMYFUNCTION("""COMPUTED_VALUE"""),"MortgagePal : Monthly Services")</f>
        <v>MortgagePal : Monthly Services</v>
      </c>
      <c r="B2402" s="223" t="str">
        <f>IFERROR(__xludf.DUMMYFUNCTION("""COMPUTED_VALUE"""),"MortgagePal")</f>
        <v>MortgagePal</v>
      </c>
      <c r="C2402" s="223" t="str">
        <f>IFERROR(__xludf.DUMMYFUNCTION("""COMPUTED_VALUE"""),"Monthly Services")</f>
        <v>Monthly Services</v>
      </c>
      <c r="D2402" s="316">
        <f>IFERROR(__xludf.DUMMYFUNCTION("""COMPUTED_VALUE"""),44985.0)</f>
        <v>44985</v>
      </c>
      <c r="E2402" s="298"/>
      <c r="F2402" s="298"/>
      <c r="G2402" s="298"/>
      <c r="H2402" s="223"/>
      <c r="I2402" s="298">
        <f>IFERROR(__xludf.DUMMYFUNCTION("""COMPUTED_VALUE"""),212.5)</f>
        <v>212.5</v>
      </c>
      <c r="J2402" s="223" t="str">
        <f>IFERROR(__xludf.DUMMYFUNCTION("""COMPUTED_VALUE"""),"Monthly")</f>
        <v>Monthly</v>
      </c>
      <c r="K2402" s="317">
        <f>IFERROR(__xludf.DUMMYFUNCTION("""COMPUTED_VALUE"""),2023.02)</f>
        <v>2023.02</v>
      </c>
      <c r="L2402" s="298"/>
      <c r="M2402" s="223"/>
      <c r="N2402" s="223"/>
      <c r="O2402" s="223"/>
      <c r="P2402" s="223"/>
      <c r="Q2402" s="223"/>
      <c r="R2402" s="223"/>
      <c r="S2402" s="223"/>
      <c r="T2402" s="223"/>
      <c r="U2402" s="223"/>
      <c r="V2402" s="223"/>
      <c r="W2402" s="223"/>
      <c r="X2402" s="223"/>
      <c r="Y2402" s="223"/>
      <c r="Z2402" s="223"/>
    </row>
    <row r="2403">
      <c r="A2403" s="223" t="str">
        <f>IFERROR(__xludf.DUMMYFUNCTION("""COMPUTED_VALUE"""),"Wallack's Art Supplies : Monthly Services")</f>
        <v>Wallack's Art Supplies : Monthly Services</v>
      </c>
      <c r="B2403" s="223" t="str">
        <f>IFERROR(__xludf.DUMMYFUNCTION("""COMPUTED_VALUE"""),"Wallack's Art Supplies")</f>
        <v>Wallack's Art Supplies</v>
      </c>
      <c r="C2403" s="223" t="str">
        <f>IFERROR(__xludf.DUMMYFUNCTION("""COMPUTED_VALUE"""),"Monthly Services")</f>
        <v>Monthly Services</v>
      </c>
      <c r="D2403" s="316">
        <f>IFERROR(__xludf.DUMMYFUNCTION("""COMPUTED_VALUE"""),44985.0)</f>
        <v>44985</v>
      </c>
      <c r="E2403" s="298"/>
      <c r="F2403" s="298"/>
      <c r="G2403" s="298"/>
      <c r="H2403" s="223"/>
      <c r="I2403" s="298">
        <f>IFERROR(__xludf.DUMMYFUNCTION("""COMPUTED_VALUE"""),262.5)</f>
        <v>262.5</v>
      </c>
      <c r="J2403" s="223" t="str">
        <f>IFERROR(__xludf.DUMMYFUNCTION("""COMPUTED_VALUE"""),"Monthly")</f>
        <v>Monthly</v>
      </c>
      <c r="K2403" s="317">
        <f>IFERROR(__xludf.DUMMYFUNCTION("""COMPUTED_VALUE"""),2023.02)</f>
        <v>2023.02</v>
      </c>
      <c r="L2403" s="298"/>
      <c r="M2403" s="223"/>
      <c r="N2403" s="223"/>
      <c r="O2403" s="223"/>
      <c r="P2403" s="223"/>
      <c r="Q2403" s="223"/>
      <c r="R2403" s="223"/>
      <c r="S2403" s="223"/>
      <c r="T2403" s="223"/>
      <c r="U2403" s="223"/>
      <c r="V2403" s="223"/>
      <c r="W2403" s="223"/>
      <c r="X2403" s="223"/>
      <c r="Y2403" s="223"/>
      <c r="Z2403" s="223"/>
    </row>
    <row r="2404">
      <c r="A2404" s="223" t="str">
        <f>IFERROR(__xludf.DUMMYFUNCTION("""COMPUTED_VALUE"""),"Anook Athletics : Monthly Services")</f>
        <v>Anook Athletics : Monthly Services</v>
      </c>
      <c r="B2404" s="223" t="str">
        <f>IFERROR(__xludf.DUMMYFUNCTION("""COMPUTED_VALUE"""),"Anook Athletics")</f>
        <v>Anook Athletics</v>
      </c>
      <c r="C2404" s="223" t="str">
        <f>IFERROR(__xludf.DUMMYFUNCTION("""COMPUTED_VALUE"""),"Monthly Services")</f>
        <v>Monthly Services</v>
      </c>
      <c r="D2404" s="316">
        <f>IFERROR(__xludf.DUMMYFUNCTION("""COMPUTED_VALUE"""),44985.0)</f>
        <v>44985</v>
      </c>
      <c r="E2404" s="298"/>
      <c r="F2404" s="298"/>
      <c r="G2404" s="298"/>
      <c r="H2404" s="223"/>
      <c r="I2404" s="298">
        <f>IFERROR(__xludf.DUMMYFUNCTION("""COMPUTED_VALUE"""),500.0)</f>
        <v>500</v>
      </c>
      <c r="J2404" s="223" t="str">
        <f>IFERROR(__xludf.DUMMYFUNCTION("""COMPUTED_VALUE"""),"Monthly")</f>
        <v>Monthly</v>
      </c>
      <c r="K2404" s="317">
        <f>IFERROR(__xludf.DUMMYFUNCTION("""COMPUTED_VALUE"""),2023.02)</f>
        <v>2023.02</v>
      </c>
      <c r="L2404" s="298"/>
      <c r="M2404" s="223"/>
      <c r="N2404" s="223"/>
      <c r="O2404" s="223"/>
      <c r="P2404" s="223"/>
      <c r="Q2404" s="223"/>
      <c r="R2404" s="223"/>
      <c r="S2404" s="223"/>
      <c r="T2404" s="223"/>
      <c r="U2404" s="223"/>
      <c r="V2404" s="223"/>
      <c r="W2404" s="223"/>
      <c r="X2404" s="223"/>
      <c r="Y2404" s="223"/>
      <c r="Z2404" s="223"/>
    </row>
    <row r="2405">
      <c r="A2405" s="223" t="str">
        <f>IFERROR(__xludf.DUMMYFUNCTION("""COMPUTED_VALUE"""),"PMDI : Monthly Services")</f>
        <v>PMDI : Monthly Services</v>
      </c>
      <c r="B2405" s="223" t="str">
        <f>IFERROR(__xludf.DUMMYFUNCTION("""COMPUTED_VALUE"""),"PMDI")</f>
        <v>PMDI</v>
      </c>
      <c r="C2405" s="223" t="str">
        <f>IFERROR(__xludf.DUMMYFUNCTION("""COMPUTED_VALUE"""),"Monthly Services")</f>
        <v>Monthly Services</v>
      </c>
      <c r="D2405" s="316">
        <f>IFERROR(__xludf.DUMMYFUNCTION("""COMPUTED_VALUE"""),44985.0)</f>
        <v>44985</v>
      </c>
      <c r="E2405" s="298"/>
      <c r="F2405" s="298"/>
      <c r="G2405" s="298"/>
      <c r="H2405" s="223"/>
      <c r="I2405" s="298">
        <f>IFERROR(__xludf.DUMMYFUNCTION("""COMPUTED_VALUE"""),137.5)</f>
        <v>137.5</v>
      </c>
      <c r="J2405" s="223" t="str">
        <f>IFERROR(__xludf.DUMMYFUNCTION("""COMPUTED_VALUE"""),"Monthly")</f>
        <v>Monthly</v>
      </c>
      <c r="K2405" s="317">
        <f>IFERROR(__xludf.DUMMYFUNCTION("""COMPUTED_VALUE"""),2023.02)</f>
        <v>2023.02</v>
      </c>
      <c r="L2405" s="298"/>
      <c r="M2405" s="223"/>
      <c r="N2405" s="223"/>
      <c r="O2405" s="223"/>
      <c r="P2405" s="223"/>
      <c r="Q2405" s="223"/>
      <c r="R2405" s="223"/>
      <c r="S2405" s="223"/>
      <c r="T2405" s="223"/>
      <c r="U2405" s="223"/>
      <c r="V2405" s="223"/>
      <c r="W2405" s="223"/>
      <c r="X2405" s="223"/>
      <c r="Y2405" s="223"/>
      <c r="Z2405" s="223"/>
    </row>
    <row r="2406">
      <c r="A2406" s="223" t="str">
        <f>IFERROR(__xludf.DUMMYFUNCTION("""COMPUTED_VALUE"""),"Big Hammer Wines : Monthly PPC")</f>
        <v>Big Hammer Wines : Monthly PPC</v>
      </c>
      <c r="B2406" s="223" t="str">
        <f>IFERROR(__xludf.DUMMYFUNCTION("""COMPUTED_VALUE"""),"Big Hammer Wines")</f>
        <v>Big Hammer Wines</v>
      </c>
      <c r="C2406" s="223" t="str">
        <f>IFERROR(__xludf.DUMMYFUNCTION("""COMPUTED_VALUE"""),"Monthly PPC")</f>
        <v>Monthly PPC</v>
      </c>
      <c r="D2406" s="316">
        <f>IFERROR(__xludf.DUMMYFUNCTION("""COMPUTED_VALUE"""),44985.0)</f>
        <v>44985</v>
      </c>
      <c r="E2406" s="298"/>
      <c r="F2406" s="298"/>
      <c r="G2406" s="298"/>
      <c r="H2406" s="223"/>
      <c r="I2406" s="298">
        <f>IFERROR(__xludf.DUMMYFUNCTION("""COMPUTED_VALUE"""),237.5)</f>
        <v>237.5</v>
      </c>
      <c r="J2406" s="223" t="str">
        <f>IFERROR(__xludf.DUMMYFUNCTION("""COMPUTED_VALUE"""),"Monthly")</f>
        <v>Monthly</v>
      </c>
      <c r="K2406" s="317">
        <f>IFERROR(__xludf.DUMMYFUNCTION("""COMPUTED_VALUE"""),2023.02)</f>
        <v>2023.02</v>
      </c>
      <c r="L2406" s="298"/>
      <c r="M2406" s="223"/>
      <c r="N2406" s="223"/>
      <c r="O2406" s="223"/>
      <c r="P2406" s="223"/>
      <c r="Q2406" s="223"/>
      <c r="R2406" s="223"/>
      <c r="S2406" s="223"/>
      <c r="T2406" s="223"/>
      <c r="U2406" s="223"/>
      <c r="V2406" s="223"/>
      <c r="W2406" s="223"/>
      <c r="X2406" s="223"/>
      <c r="Y2406" s="223"/>
      <c r="Z2406" s="223"/>
    </row>
    <row r="2407">
      <c r="A2407" s="223" t="str">
        <f>IFERROR(__xludf.DUMMYFUNCTION("""COMPUTED_VALUE"""),"VINN : Monthly PPC")</f>
        <v>VINN : Monthly PPC</v>
      </c>
      <c r="B2407" s="223" t="str">
        <f>IFERROR(__xludf.DUMMYFUNCTION("""COMPUTED_VALUE"""),"VINN")</f>
        <v>VINN</v>
      </c>
      <c r="C2407" s="223" t="str">
        <f>IFERROR(__xludf.DUMMYFUNCTION("""COMPUTED_VALUE"""),"Monthly PPC")</f>
        <v>Monthly PPC</v>
      </c>
      <c r="D2407" s="316">
        <f>IFERROR(__xludf.DUMMYFUNCTION("""COMPUTED_VALUE"""),44985.0)</f>
        <v>44985</v>
      </c>
      <c r="E2407" s="298"/>
      <c r="F2407" s="298"/>
      <c r="G2407" s="298"/>
      <c r="H2407" s="223"/>
      <c r="I2407" s="298">
        <f>IFERROR(__xludf.DUMMYFUNCTION("""COMPUTED_VALUE"""),1250.0)</f>
        <v>1250</v>
      </c>
      <c r="J2407" s="223" t="str">
        <f>IFERROR(__xludf.DUMMYFUNCTION("""COMPUTED_VALUE"""),"Monthly")</f>
        <v>Monthly</v>
      </c>
      <c r="K2407" s="317">
        <f>IFERROR(__xludf.DUMMYFUNCTION("""COMPUTED_VALUE"""),2023.02)</f>
        <v>2023.02</v>
      </c>
      <c r="L2407" s="298"/>
      <c r="M2407" s="223"/>
      <c r="N2407" s="223"/>
      <c r="O2407" s="223"/>
      <c r="P2407" s="223"/>
      <c r="Q2407" s="223"/>
      <c r="R2407" s="223"/>
      <c r="S2407" s="223"/>
      <c r="T2407" s="223"/>
      <c r="U2407" s="223"/>
      <c r="V2407" s="223"/>
      <c r="W2407" s="223"/>
      <c r="X2407" s="223"/>
      <c r="Y2407" s="223"/>
      <c r="Z2407" s="223"/>
    </row>
    <row r="2408">
      <c r="A2408" s="223" t="str">
        <f>IFERROR(__xludf.DUMMYFUNCTION("""COMPUTED_VALUE"""),"Tugwell : Bi-monthly PPC Mgmt")</f>
        <v>Tugwell : Bi-monthly PPC Mgmt</v>
      </c>
      <c r="B2408" s="223" t="str">
        <f>IFERROR(__xludf.DUMMYFUNCTION("""COMPUTED_VALUE"""),"Tugwell")</f>
        <v>Tugwell</v>
      </c>
      <c r="C2408" s="223" t="str">
        <f>IFERROR(__xludf.DUMMYFUNCTION("""COMPUTED_VALUE"""),"Bi-monthly PPC Mgmt")</f>
        <v>Bi-monthly PPC Mgmt</v>
      </c>
      <c r="D2408" s="316">
        <f>IFERROR(__xludf.DUMMYFUNCTION("""COMPUTED_VALUE"""),44985.0)</f>
        <v>44985</v>
      </c>
      <c r="E2408" s="298"/>
      <c r="F2408" s="298"/>
      <c r="G2408" s="298"/>
      <c r="H2408" s="223"/>
      <c r="I2408" s="298">
        <f>IFERROR(__xludf.DUMMYFUNCTION("""COMPUTED_VALUE"""),87.5)</f>
        <v>87.5</v>
      </c>
      <c r="J2408" s="223" t="str">
        <f>IFERROR(__xludf.DUMMYFUNCTION("""COMPUTED_VALUE"""),"Bi-Monthly")</f>
        <v>Bi-Monthly</v>
      </c>
      <c r="K2408" s="317">
        <f>IFERROR(__xludf.DUMMYFUNCTION("""COMPUTED_VALUE"""),2023.0)</f>
        <v>2023</v>
      </c>
      <c r="L2408" s="298"/>
      <c r="M2408" s="223"/>
      <c r="N2408" s="223"/>
      <c r="O2408" s="223"/>
      <c r="P2408" s="223"/>
      <c r="Q2408" s="223"/>
      <c r="R2408" s="223"/>
      <c r="S2408" s="223"/>
      <c r="T2408" s="223"/>
      <c r="U2408" s="223"/>
      <c r="V2408" s="223"/>
      <c r="W2408" s="223"/>
      <c r="X2408" s="223"/>
      <c r="Y2408" s="223"/>
      <c r="Z2408" s="223"/>
    </row>
    <row r="2409">
      <c r="A2409" s="223" t="str">
        <f>IFERROR(__xludf.DUMMYFUNCTION("""COMPUTED_VALUE"""),"HSJ Lawyers : Monthly Services")</f>
        <v>HSJ Lawyers : Monthly Services</v>
      </c>
      <c r="B2409" s="223" t="str">
        <f>IFERROR(__xludf.DUMMYFUNCTION("""COMPUTED_VALUE"""),"HSJ Lawyers")</f>
        <v>HSJ Lawyers</v>
      </c>
      <c r="C2409" s="223" t="str">
        <f>IFERROR(__xludf.DUMMYFUNCTION("""COMPUTED_VALUE"""),"Monthly Services")</f>
        <v>Monthly Services</v>
      </c>
      <c r="D2409" s="316">
        <f>IFERROR(__xludf.DUMMYFUNCTION("""COMPUTED_VALUE"""),44985.0)</f>
        <v>44985</v>
      </c>
      <c r="E2409" s="298"/>
      <c r="F2409" s="298"/>
      <c r="G2409" s="298"/>
      <c r="H2409" s="223"/>
      <c r="I2409" s="298">
        <f>IFERROR(__xludf.DUMMYFUNCTION("""COMPUTED_VALUE"""),225.0)</f>
        <v>225</v>
      </c>
      <c r="J2409" s="223" t="str">
        <f>IFERROR(__xludf.DUMMYFUNCTION("""COMPUTED_VALUE"""),"Monthly")</f>
        <v>Monthly</v>
      </c>
      <c r="K2409" s="317">
        <f>IFERROR(__xludf.DUMMYFUNCTION("""COMPUTED_VALUE"""),2023.02)</f>
        <v>2023.02</v>
      </c>
      <c r="L2409" s="298"/>
      <c r="M2409" s="223"/>
      <c r="N2409" s="223"/>
      <c r="O2409" s="223"/>
      <c r="P2409" s="223"/>
      <c r="Q2409" s="223"/>
      <c r="R2409" s="223"/>
      <c r="S2409" s="223"/>
      <c r="T2409" s="223"/>
      <c r="U2409" s="223"/>
      <c r="V2409" s="223"/>
      <c r="W2409" s="223"/>
      <c r="X2409" s="223"/>
      <c r="Y2409" s="223"/>
      <c r="Z2409" s="223"/>
    </row>
    <row r="2410">
      <c r="A2410" s="223" t="str">
        <f>IFERROR(__xludf.DUMMYFUNCTION("""COMPUTED_VALUE"""),"Spraggs : Monthly Services")</f>
        <v>Spraggs : Monthly Services</v>
      </c>
      <c r="B2410" s="223" t="str">
        <f>IFERROR(__xludf.DUMMYFUNCTION("""COMPUTED_VALUE"""),"Spraggs")</f>
        <v>Spraggs</v>
      </c>
      <c r="C2410" s="223" t="str">
        <f>IFERROR(__xludf.DUMMYFUNCTION("""COMPUTED_VALUE"""),"Monthly Services")</f>
        <v>Monthly Services</v>
      </c>
      <c r="D2410" s="316">
        <f>IFERROR(__xludf.DUMMYFUNCTION("""COMPUTED_VALUE"""),44985.0)</f>
        <v>44985</v>
      </c>
      <c r="E2410" s="298"/>
      <c r="F2410" s="298"/>
      <c r="G2410" s="298"/>
      <c r="H2410" s="223"/>
      <c r="I2410" s="298">
        <f>IFERROR(__xludf.DUMMYFUNCTION("""COMPUTED_VALUE"""),300.0)</f>
        <v>300</v>
      </c>
      <c r="J2410" s="223" t="str">
        <f>IFERROR(__xludf.DUMMYFUNCTION("""COMPUTED_VALUE"""),"Monthly")</f>
        <v>Monthly</v>
      </c>
      <c r="K2410" s="317">
        <f>IFERROR(__xludf.DUMMYFUNCTION("""COMPUTED_VALUE"""),2023.02)</f>
        <v>2023.02</v>
      </c>
      <c r="L2410" s="298"/>
      <c r="M2410" s="223"/>
      <c r="N2410" s="223"/>
      <c r="O2410" s="223"/>
      <c r="P2410" s="223"/>
      <c r="Q2410" s="223"/>
      <c r="R2410" s="223"/>
      <c r="S2410" s="223"/>
      <c r="T2410" s="223"/>
      <c r="U2410" s="223"/>
      <c r="V2410" s="223"/>
      <c r="W2410" s="223"/>
      <c r="X2410" s="223"/>
      <c r="Y2410" s="223"/>
      <c r="Z2410" s="223"/>
    </row>
    <row r="2411">
      <c r="A2411" s="223" t="str">
        <f>IFERROR(__xludf.DUMMYFUNCTION("""COMPUTED_VALUE"""),"Crisp Media : Monthly Genus Google PPC Mgmt")</f>
        <v>Crisp Media : Monthly Genus Google PPC Mgmt</v>
      </c>
      <c r="B2411" s="223" t="str">
        <f>IFERROR(__xludf.DUMMYFUNCTION("""COMPUTED_VALUE"""),"Crisp Media")</f>
        <v>Crisp Media</v>
      </c>
      <c r="C2411" s="223" t="str">
        <f>IFERROR(__xludf.DUMMYFUNCTION("""COMPUTED_VALUE"""),"Monthly Genus Google PPC Mgmt")</f>
        <v>Monthly Genus Google PPC Mgmt</v>
      </c>
      <c r="D2411" s="316">
        <f>IFERROR(__xludf.DUMMYFUNCTION("""COMPUTED_VALUE"""),44985.0)</f>
        <v>44985</v>
      </c>
      <c r="E2411" s="298"/>
      <c r="F2411" s="298"/>
      <c r="G2411" s="298"/>
      <c r="H2411" s="223"/>
      <c r="I2411" s="298">
        <f>IFERROR(__xludf.DUMMYFUNCTION("""COMPUTED_VALUE"""),175.0)</f>
        <v>175</v>
      </c>
      <c r="J2411" s="223" t="str">
        <f>IFERROR(__xludf.DUMMYFUNCTION("""COMPUTED_VALUE"""),"Monthly")</f>
        <v>Monthly</v>
      </c>
      <c r="K2411" s="317">
        <f>IFERROR(__xludf.DUMMYFUNCTION("""COMPUTED_VALUE"""),2023.02)</f>
        <v>2023.02</v>
      </c>
      <c r="L2411" s="298"/>
      <c r="M2411" s="223"/>
      <c r="N2411" s="223"/>
      <c r="O2411" s="223"/>
      <c r="P2411" s="223"/>
      <c r="Q2411" s="223"/>
      <c r="R2411" s="223"/>
      <c r="S2411" s="223"/>
      <c r="T2411" s="223"/>
      <c r="U2411" s="223"/>
      <c r="V2411" s="223"/>
      <c r="W2411" s="223"/>
      <c r="X2411" s="223"/>
      <c r="Y2411" s="223"/>
      <c r="Z2411" s="223"/>
    </row>
    <row r="2412">
      <c r="A2412" s="223" t="str">
        <f>IFERROR(__xludf.DUMMYFUNCTION("""COMPUTED_VALUE"""),"Terra Insights : Monthly PPC")</f>
        <v>Terra Insights : Monthly PPC</v>
      </c>
      <c r="B2412" s="223" t="str">
        <f>IFERROR(__xludf.DUMMYFUNCTION("""COMPUTED_VALUE"""),"Terra Insights")</f>
        <v>Terra Insights</v>
      </c>
      <c r="C2412" s="223" t="str">
        <f>IFERROR(__xludf.DUMMYFUNCTION("""COMPUTED_VALUE"""),"Monthly PPC")</f>
        <v>Monthly PPC</v>
      </c>
      <c r="D2412" s="316">
        <f>IFERROR(__xludf.DUMMYFUNCTION("""COMPUTED_VALUE"""),44985.0)</f>
        <v>44985</v>
      </c>
      <c r="E2412" s="298"/>
      <c r="F2412" s="298"/>
      <c r="G2412" s="298"/>
      <c r="H2412" s="223"/>
      <c r="I2412" s="298">
        <f>IFERROR(__xludf.DUMMYFUNCTION("""COMPUTED_VALUE"""),400.0)</f>
        <v>400</v>
      </c>
      <c r="J2412" s="223" t="str">
        <f>IFERROR(__xludf.DUMMYFUNCTION("""COMPUTED_VALUE"""),"Monthly")</f>
        <v>Monthly</v>
      </c>
      <c r="K2412" s="317">
        <f>IFERROR(__xludf.DUMMYFUNCTION("""COMPUTED_VALUE"""),2023.02)</f>
        <v>2023.02</v>
      </c>
      <c r="L2412" s="298"/>
      <c r="M2412" s="223"/>
      <c r="N2412" s="223"/>
      <c r="O2412" s="223"/>
      <c r="P2412" s="223"/>
      <c r="Q2412" s="223"/>
      <c r="R2412" s="223"/>
      <c r="S2412" s="223"/>
      <c r="T2412" s="223"/>
      <c r="U2412" s="223"/>
      <c r="V2412" s="223"/>
      <c r="W2412" s="223"/>
      <c r="X2412" s="223"/>
      <c r="Y2412" s="223"/>
      <c r="Z2412" s="223"/>
    </row>
    <row r="2413">
      <c r="A2413" s="223" t="str">
        <f>IFERROR(__xludf.DUMMYFUNCTION("""COMPUTED_VALUE"""),"Hastings House : Monthly Services")</f>
        <v>Hastings House : Monthly Services</v>
      </c>
      <c r="B2413" s="223" t="str">
        <f>IFERROR(__xludf.DUMMYFUNCTION("""COMPUTED_VALUE"""),"Hastings House")</f>
        <v>Hastings House</v>
      </c>
      <c r="C2413" s="223" t="str">
        <f>IFERROR(__xludf.DUMMYFUNCTION("""COMPUTED_VALUE"""),"Monthly Services")</f>
        <v>Monthly Services</v>
      </c>
      <c r="D2413" s="316">
        <f>IFERROR(__xludf.DUMMYFUNCTION("""COMPUTED_VALUE"""),44985.0)</f>
        <v>44985</v>
      </c>
      <c r="E2413" s="298"/>
      <c r="F2413" s="298"/>
      <c r="G2413" s="298"/>
      <c r="H2413" s="223"/>
      <c r="I2413" s="298">
        <f>IFERROR(__xludf.DUMMYFUNCTION("""COMPUTED_VALUE"""),350.0)</f>
        <v>350</v>
      </c>
      <c r="J2413" s="223" t="str">
        <f>IFERROR(__xludf.DUMMYFUNCTION("""COMPUTED_VALUE"""),"Monthly")</f>
        <v>Monthly</v>
      </c>
      <c r="K2413" s="317">
        <f>IFERROR(__xludf.DUMMYFUNCTION("""COMPUTED_VALUE"""),2023.02)</f>
        <v>2023.02</v>
      </c>
      <c r="L2413" s="298"/>
      <c r="M2413" s="223"/>
      <c r="N2413" s="223"/>
      <c r="O2413" s="223"/>
      <c r="P2413" s="223"/>
      <c r="Q2413" s="223"/>
      <c r="R2413" s="223"/>
      <c r="S2413" s="223"/>
      <c r="T2413" s="223"/>
      <c r="U2413" s="223"/>
      <c r="V2413" s="223"/>
      <c r="W2413" s="223"/>
      <c r="X2413" s="223"/>
      <c r="Y2413" s="223"/>
      <c r="Z2413" s="223"/>
    </row>
    <row r="2414">
      <c r="A2414" s="223" t="str">
        <f>IFERROR(__xludf.DUMMYFUNCTION("""COMPUTED_VALUE"""),"Booginhead : Monthly Services")</f>
        <v>Booginhead : Monthly Services</v>
      </c>
      <c r="B2414" s="223" t="str">
        <f>IFERROR(__xludf.DUMMYFUNCTION("""COMPUTED_VALUE"""),"Booginhead")</f>
        <v>Booginhead</v>
      </c>
      <c r="C2414" s="223" t="str">
        <f>IFERROR(__xludf.DUMMYFUNCTION("""COMPUTED_VALUE"""),"Monthly Services")</f>
        <v>Monthly Services</v>
      </c>
      <c r="D2414" s="316">
        <f>IFERROR(__xludf.DUMMYFUNCTION("""COMPUTED_VALUE"""),44985.0)</f>
        <v>44985</v>
      </c>
      <c r="E2414" s="298"/>
      <c r="F2414" s="298"/>
      <c r="G2414" s="298"/>
      <c r="H2414" s="223"/>
      <c r="I2414" s="298">
        <f>IFERROR(__xludf.DUMMYFUNCTION("""COMPUTED_VALUE"""),387.5)</f>
        <v>387.5</v>
      </c>
      <c r="J2414" s="223" t="str">
        <f>IFERROR(__xludf.DUMMYFUNCTION("""COMPUTED_VALUE"""),"Monthly")</f>
        <v>Monthly</v>
      </c>
      <c r="K2414" s="317">
        <f>IFERROR(__xludf.DUMMYFUNCTION("""COMPUTED_VALUE"""),2023.02)</f>
        <v>2023.02</v>
      </c>
      <c r="L2414" s="298"/>
      <c r="M2414" s="223"/>
      <c r="N2414" s="223"/>
      <c r="O2414" s="223"/>
      <c r="P2414" s="223"/>
      <c r="Q2414" s="223"/>
      <c r="R2414" s="223"/>
      <c r="S2414" s="223"/>
      <c r="T2414" s="223"/>
      <c r="U2414" s="223"/>
      <c r="V2414" s="223"/>
      <c r="W2414" s="223"/>
      <c r="X2414" s="223"/>
      <c r="Y2414" s="223"/>
      <c r="Z2414" s="223"/>
    </row>
    <row r="2415">
      <c r="A2415" s="223" t="str">
        <f>IFERROR(__xludf.DUMMYFUNCTION("""COMPUTED_VALUE"""),"Hastings House : Monthly Services")</f>
        <v>Hastings House : Monthly Services</v>
      </c>
      <c r="B2415" s="223" t="str">
        <f>IFERROR(__xludf.DUMMYFUNCTION("""COMPUTED_VALUE"""),"Hastings House")</f>
        <v>Hastings House</v>
      </c>
      <c r="C2415" s="223" t="str">
        <f>IFERROR(__xludf.DUMMYFUNCTION("""COMPUTED_VALUE"""),"Monthly Services")</f>
        <v>Monthly Services</v>
      </c>
      <c r="D2415" s="316">
        <f>IFERROR(__xludf.DUMMYFUNCTION("""COMPUTED_VALUE"""),44985.0)</f>
        <v>44985</v>
      </c>
      <c r="E2415" s="298"/>
      <c r="F2415" s="298"/>
      <c r="G2415" s="298"/>
      <c r="H2415" s="223"/>
      <c r="I2415" s="298">
        <f>IFERROR(__xludf.DUMMYFUNCTION("""COMPUTED_VALUE"""),162.5)</f>
        <v>162.5</v>
      </c>
      <c r="J2415" s="223" t="str">
        <f>IFERROR(__xludf.DUMMYFUNCTION("""COMPUTED_VALUE"""),"Monthly")</f>
        <v>Monthly</v>
      </c>
      <c r="K2415" s="317">
        <f>IFERROR(__xludf.DUMMYFUNCTION("""COMPUTED_VALUE"""),2023.02)</f>
        <v>2023.02</v>
      </c>
      <c r="L2415" s="298"/>
      <c r="M2415" s="223"/>
      <c r="N2415" s="223"/>
      <c r="O2415" s="223"/>
      <c r="P2415" s="223"/>
      <c r="Q2415" s="223"/>
      <c r="R2415" s="223"/>
      <c r="S2415" s="223"/>
      <c r="T2415" s="223"/>
      <c r="U2415" s="223"/>
      <c r="V2415" s="223"/>
      <c r="W2415" s="223"/>
      <c r="X2415" s="223"/>
      <c r="Y2415" s="223"/>
      <c r="Z2415" s="223"/>
    </row>
    <row r="2416">
      <c r="A2416" s="223" t="str">
        <f>IFERROR(__xludf.DUMMYFUNCTION("""COMPUTED_VALUE"""),"Howard Fine Jewellers : Ongoing PPC and SEO Support")</f>
        <v>Howard Fine Jewellers : Ongoing PPC and SEO Support</v>
      </c>
      <c r="B2416" s="223" t="str">
        <f>IFERROR(__xludf.DUMMYFUNCTION("""COMPUTED_VALUE"""),"Howard Fine Jewellers")</f>
        <v>Howard Fine Jewellers</v>
      </c>
      <c r="C2416" s="223" t="str">
        <f>IFERROR(__xludf.DUMMYFUNCTION("""COMPUTED_VALUE"""),"Ongoing PPC and SEO Support")</f>
        <v>Ongoing PPC and SEO Support</v>
      </c>
      <c r="D2416" s="316">
        <f>IFERROR(__xludf.DUMMYFUNCTION("""COMPUTED_VALUE"""),44985.0)</f>
        <v>44985</v>
      </c>
      <c r="E2416" s="298"/>
      <c r="F2416" s="298"/>
      <c r="G2416" s="298"/>
      <c r="H2416" s="223"/>
      <c r="I2416" s="298">
        <f>IFERROR(__xludf.DUMMYFUNCTION("""COMPUTED_VALUE"""),200.0)</f>
        <v>200</v>
      </c>
      <c r="J2416" s="223" t="str">
        <f>IFERROR(__xludf.DUMMYFUNCTION("""COMPUTED_VALUE"""),"Monthly")</f>
        <v>Monthly</v>
      </c>
      <c r="K2416" s="317">
        <f>IFERROR(__xludf.DUMMYFUNCTION("""COMPUTED_VALUE"""),2023.02)</f>
        <v>2023.02</v>
      </c>
      <c r="L2416" s="298"/>
      <c r="M2416" s="223"/>
      <c r="N2416" s="223"/>
      <c r="O2416" s="223"/>
      <c r="P2416" s="223"/>
      <c r="Q2416" s="223"/>
      <c r="R2416" s="223"/>
      <c r="S2416" s="223"/>
      <c r="T2416" s="223"/>
      <c r="U2416" s="223"/>
      <c r="V2416" s="223"/>
      <c r="W2416" s="223"/>
      <c r="X2416" s="223"/>
      <c r="Y2416" s="223"/>
      <c r="Z2416" s="223"/>
    </row>
    <row r="2417">
      <c r="A2417" s="223" t="str">
        <f>IFERROR(__xludf.DUMMYFUNCTION("""COMPUTED_VALUE"""),"GreenLane Offroad : Review")</f>
        <v>GreenLane Offroad : Review</v>
      </c>
      <c r="B2417" s="223" t="str">
        <f>IFERROR(__xludf.DUMMYFUNCTION("""COMPUTED_VALUE"""),"GreenLane Offroad")</f>
        <v>GreenLane Offroad</v>
      </c>
      <c r="C2417" s="223" t="str">
        <f>IFERROR(__xludf.DUMMYFUNCTION("""COMPUTED_VALUE"""),"Review")</f>
        <v>Review</v>
      </c>
      <c r="D2417" s="316">
        <f>IFERROR(__xludf.DUMMYFUNCTION("""COMPUTED_VALUE"""),44985.0)</f>
        <v>44985</v>
      </c>
      <c r="E2417" s="298"/>
      <c r="F2417" s="298"/>
      <c r="G2417" s="298"/>
      <c r="H2417" s="223"/>
      <c r="I2417" s="298">
        <f>IFERROR(__xludf.DUMMYFUNCTION("""COMPUTED_VALUE"""),680.0)</f>
        <v>680</v>
      </c>
      <c r="J2417" s="223" t="str">
        <f>IFERROR(__xludf.DUMMYFUNCTION("""COMPUTED_VALUE"""),"Fixed Project")</f>
        <v>Fixed Project</v>
      </c>
      <c r="K2417" s="317">
        <f>IFERROR(__xludf.DUMMYFUNCTION("""COMPUTED_VALUE"""),2023.0)</f>
        <v>2023</v>
      </c>
      <c r="L2417" s="298"/>
      <c r="M2417" s="223"/>
      <c r="N2417" s="223"/>
      <c r="O2417" s="223"/>
      <c r="P2417" s="223"/>
      <c r="Q2417" s="223"/>
      <c r="R2417" s="223"/>
      <c r="S2417" s="223"/>
      <c r="T2417" s="223"/>
      <c r="U2417" s="223"/>
      <c r="V2417" s="223"/>
      <c r="W2417" s="223"/>
      <c r="X2417" s="223"/>
      <c r="Y2417" s="223"/>
      <c r="Z2417" s="223"/>
    </row>
    <row r="2418">
      <c r="A2418" s="223" t="str">
        <f>IFERROR(__xludf.DUMMYFUNCTION("""COMPUTED_VALUE"""),"Ultimate Tools : Monthly SEO &amp; PPC Management")</f>
        <v>Ultimate Tools : Monthly SEO &amp; PPC Management</v>
      </c>
      <c r="B2418" s="223" t="str">
        <f>IFERROR(__xludf.DUMMYFUNCTION("""COMPUTED_VALUE"""),"Ultimate Tools")</f>
        <v>Ultimate Tools</v>
      </c>
      <c r="C2418" s="223" t="str">
        <f>IFERROR(__xludf.DUMMYFUNCTION("""COMPUTED_VALUE"""),"Monthly SEO &amp; PPC Management")</f>
        <v>Monthly SEO &amp; PPC Management</v>
      </c>
      <c r="D2418" s="316">
        <f>IFERROR(__xludf.DUMMYFUNCTION("""COMPUTED_VALUE"""),44985.0)</f>
        <v>44985</v>
      </c>
      <c r="E2418" s="298"/>
      <c r="F2418" s="298"/>
      <c r="G2418" s="298"/>
      <c r="H2418" s="223"/>
      <c r="I2418" s="298">
        <f>IFERROR(__xludf.DUMMYFUNCTION("""COMPUTED_VALUE"""),550.0)</f>
        <v>550</v>
      </c>
      <c r="J2418" s="223" t="str">
        <f>IFERROR(__xludf.DUMMYFUNCTION("""COMPUTED_VALUE"""),"Monthly")</f>
        <v>Monthly</v>
      </c>
      <c r="K2418" s="317">
        <f>IFERROR(__xludf.DUMMYFUNCTION("""COMPUTED_VALUE"""),2023.02)</f>
        <v>2023.02</v>
      </c>
      <c r="L2418" s="298"/>
      <c r="M2418" s="223"/>
      <c r="N2418" s="223"/>
      <c r="O2418" s="223"/>
      <c r="P2418" s="223"/>
      <c r="Q2418" s="223"/>
      <c r="R2418" s="223"/>
      <c r="S2418" s="223"/>
      <c r="T2418" s="223"/>
      <c r="U2418" s="223"/>
      <c r="V2418" s="223"/>
      <c r="W2418" s="223"/>
      <c r="X2418" s="223"/>
      <c r="Y2418" s="223"/>
      <c r="Z2418" s="223"/>
    </row>
    <row r="2419">
      <c r="A2419" s="223" t="str">
        <f>IFERROR(__xludf.DUMMYFUNCTION("""COMPUTED_VALUE"""),"OA Region 6 : Monthly Services")</f>
        <v>OA Region 6 : Monthly Services</v>
      </c>
      <c r="B2419" s="223" t="str">
        <f>IFERROR(__xludf.DUMMYFUNCTION("""COMPUTED_VALUE"""),"OA Region 6")</f>
        <v>OA Region 6</v>
      </c>
      <c r="C2419" s="223" t="str">
        <f>IFERROR(__xludf.DUMMYFUNCTION("""COMPUTED_VALUE"""),"Monthly Services")</f>
        <v>Monthly Services</v>
      </c>
      <c r="D2419" s="316">
        <f>IFERROR(__xludf.DUMMYFUNCTION("""COMPUTED_VALUE"""),44985.0)</f>
        <v>44985</v>
      </c>
      <c r="E2419" s="298"/>
      <c r="F2419" s="298"/>
      <c r="G2419" s="298"/>
      <c r="H2419" s="223"/>
      <c r="I2419" s="298">
        <f>IFERROR(__xludf.DUMMYFUNCTION("""COMPUTED_VALUE"""),150.0)</f>
        <v>150</v>
      </c>
      <c r="J2419" s="223" t="str">
        <f>IFERROR(__xludf.DUMMYFUNCTION("""COMPUTED_VALUE"""),"Monthly")</f>
        <v>Monthly</v>
      </c>
      <c r="K2419" s="317">
        <f>IFERROR(__xludf.DUMMYFUNCTION("""COMPUTED_VALUE"""),2023.02)</f>
        <v>2023.02</v>
      </c>
      <c r="L2419" s="298"/>
      <c r="M2419" s="223"/>
      <c r="N2419" s="223"/>
      <c r="O2419" s="223"/>
      <c r="P2419" s="223"/>
      <c r="Q2419" s="223"/>
      <c r="R2419" s="223"/>
      <c r="S2419" s="223"/>
      <c r="T2419" s="223"/>
      <c r="U2419" s="223"/>
      <c r="V2419" s="223"/>
      <c r="W2419" s="223"/>
      <c r="X2419" s="223"/>
      <c r="Y2419" s="223"/>
      <c r="Z2419" s="223"/>
    </row>
    <row r="2420">
      <c r="A2420" s="223" t="str">
        <f>IFERROR(__xludf.DUMMYFUNCTION("""COMPUTED_VALUE"""),"Tuscany : Monthly Services")</f>
        <v>Tuscany : Monthly Services</v>
      </c>
      <c r="B2420" s="223" t="str">
        <f>IFERROR(__xludf.DUMMYFUNCTION("""COMPUTED_VALUE"""),"Tuscany")</f>
        <v>Tuscany</v>
      </c>
      <c r="C2420" s="223" t="str">
        <f>IFERROR(__xludf.DUMMYFUNCTION("""COMPUTED_VALUE"""),"Monthly Services")</f>
        <v>Monthly Services</v>
      </c>
      <c r="D2420" s="316">
        <f>IFERROR(__xludf.DUMMYFUNCTION("""COMPUTED_VALUE"""),44985.0)</f>
        <v>44985</v>
      </c>
      <c r="E2420" s="298"/>
      <c r="F2420" s="298"/>
      <c r="G2420" s="298"/>
      <c r="H2420" s="223"/>
      <c r="I2420" s="298">
        <f>IFERROR(__xludf.DUMMYFUNCTION("""COMPUTED_VALUE"""),662.5)</f>
        <v>662.5</v>
      </c>
      <c r="J2420" s="223" t="str">
        <f>IFERROR(__xludf.DUMMYFUNCTION("""COMPUTED_VALUE"""),"Monthly")</f>
        <v>Monthly</v>
      </c>
      <c r="K2420" s="317">
        <f>IFERROR(__xludf.DUMMYFUNCTION("""COMPUTED_VALUE"""),2023.02)</f>
        <v>2023.02</v>
      </c>
      <c r="L2420" s="298"/>
      <c r="M2420" s="223"/>
      <c r="N2420" s="223"/>
      <c r="O2420" s="223"/>
      <c r="P2420" s="223"/>
      <c r="Q2420" s="223"/>
      <c r="R2420" s="223"/>
      <c r="S2420" s="223"/>
      <c r="T2420" s="223"/>
      <c r="U2420" s="223"/>
      <c r="V2420" s="223"/>
      <c r="W2420" s="223"/>
      <c r="X2420" s="223"/>
      <c r="Y2420" s="223"/>
      <c r="Z2420" s="223"/>
    </row>
    <row r="2421">
      <c r="A2421" s="223" t="str">
        <f>IFERROR(__xludf.DUMMYFUNCTION("""COMPUTED_VALUE"""),"Venetian : Monthly Services")</f>
        <v>Venetian : Monthly Services</v>
      </c>
      <c r="B2421" s="223" t="str">
        <f>IFERROR(__xludf.DUMMYFUNCTION("""COMPUTED_VALUE"""),"Venetian")</f>
        <v>Venetian</v>
      </c>
      <c r="C2421" s="223" t="str">
        <f>IFERROR(__xludf.DUMMYFUNCTION("""COMPUTED_VALUE"""),"Monthly Services")</f>
        <v>Monthly Services</v>
      </c>
      <c r="D2421" s="316">
        <f>IFERROR(__xludf.DUMMYFUNCTION("""COMPUTED_VALUE"""),44985.0)</f>
        <v>44985</v>
      </c>
      <c r="E2421" s="298"/>
      <c r="F2421" s="298"/>
      <c r="G2421" s="298"/>
      <c r="H2421" s="223"/>
      <c r="I2421" s="298">
        <f>IFERROR(__xludf.DUMMYFUNCTION("""COMPUTED_VALUE"""),662.5)</f>
        <v>662.5</v>
      </c>
      <c r="J2421" s="223" t="str">
        <f>IFERROR(__xludf.DUMMYFUNCTION("""COMPUTED_VALUE"""),"Monthly")</f>
        <v>Monthly</v>
      </c>
      <c r="K2421" s="317">
        <f>IFERROR(__xludf.DUMMYFUNCTION("""COMPUTED_VALUE"""),2023.02)</f>
        <v>2023.02</v>
      </c>
      <c r="L2421" s="298"/>
      <c r="M2421" s="223"/>
      <c r="N2421" s="223"/>
      <c r="O2421" s="223"/>
      <c r="P2421" s="223"/>
      <c r="Q2421" s="223"/>
      <c r="R2421" s="223"/>
      <c r="S2421" s="223"/>
      <c r="T2421" s="223"/>
      <c r="U2421" s="223"/>
      <c r="V2421" s="223"/>
      <c r="W2421" s="223"/>
      <c r="X2421" s="223"/>
      <c r="Y2421" s="223"/>
      <c r="Z2421" s="223"/>
    </row>
    <row r="2422">
      <c r="A2422" s="223" t="str">
        <f>IFERROR(__xludf.DUMMYFUNCTION("""COMPUTED_VALUE"""),"Spraggs : Monthly Services")</f>
        <v>Spraggs : Monthly Services</v>
      </c>
      <c r="B2422" s="223" t="str">
        <f>IFERROR(__xludf.DUMMYFUNCTION("""COMPUTED_VALUE"""),"Spraggs")</f>
        <v>Spraggs</v>
      </c>
      <c r="C2422" s="223" t="str">
        <f>IFERROR(__xludf.DUMMYFUNCTION("""COMPUTED_VALUE"""),"Monthly Services")</f>
        <v>Monthly Services</v>
      </c>
      <c r="D2422" s="316">
        <f>IFERROR(__xludf.DUMMYFUNCTION("""COMPUTED_VALUE"""),44985.0)</f>
        <v>44985</v>
      </c>
      <c r="E2422" s="298"/>
      <c r="F2422" s="298"/>
      <c r="G2422" s="298"/>
      <c r="H2422" s="223"/>
      <c r="I2422" s="298">
        <f>IFERROR(__xludf.DUMMYFUNCTION("""COMPUTED_VALUE"""),562.5)</f>
        <v>562.5</v>
      </c>
      <c r="J2422" s="223" t="str">
        <f>IFERROR(__xludf.DUMMYFUNCTION("""COMPUTED_VALUE"""),"Monthly")</f>
        <v>Monthly</v>
      </c>
      <c r="K2422" s="317">
        <f>IFERROR(__xludf.DUMMYFUNCTION("""COMPUTED_VALUE"""),2023.02)</f>
        <v>2023.02</v>
      </c>
      <c r="L2422" s="298"/>
      <c r="M2422" s="223"/>
      <c r="N2422" s="223"/>
      <c r="O2422" s="223"/>
      <c r="P2422" s="223"/>
      <c r="Q2422" s="223"/>
      <c r="R2422" s="223"/>
      <c r="S2422" s="223"/>
      <c r="T2422" s="223"/>
      <c r="U2422" s="223"/>
      <c r="V2422" s="223"/>
      <c r="W2422" s="223"/>
      <c r="X2422" s="223"/>
      <c r="Y2422" s="223"/>
      <c r="Z2422" s="223"/>
    </row>
    <row r="2423">
      <c r="A2423" s="223" t="str">
        <f>IFERROR(__xludf.DUMMYFUNCTION("""COMPUTED_VALUE"""),"Diversified Health : Monthly Services")</f>
        <v>Diversified Health : Monthly Services</v>
      </c>
      <c r="B2423" s="223" t="str">
        <f>IFERROR(__xludf.DUMMYFUNCTION("""COMPUTED_VALUE"""),"Diversified Health")</f>
        <v>Diversified Health</v>
      </c>
      <c r="C2423" s="223" t="str">
        <f>IFERROR(__xludf.DUMMYFUNCTION("""COMPUTED_VALUE"""),"Monthly Services")</f>
        <v>Monthly Services</v>
      </c>
      <c r="D2423" s="316">
        <f>IFERROR(__xludf.DUMMYFUNCTION("""COMPUTED_VALUE"""),44985.0)</f>
        <v>44985</v>
      </c>
      <c r="E2423" s="298"/>
      <c r="F2423" s="298"/>
      <c r="G2423" s="298"/>
      <c r="H2423" s="223"/>
      <c r="I2423" s="298">
        <f>IFERROR(__xludf.DUMMYFUNCTION("""COMPUTED_VALUE"""),475.0)</f>
        <v>475</v>
      </c>
      <c r="J2423" s="223" t="str">
        <f>IFERROR(__xludf.DUMMYFUNCTION("""COMPUTED_VALUE"""),"Monthly")</f>
        <v>Monthly</v>
      </c>
      <c r="K2423" s="317">
        <f>IFERROR(__xludf.DUMMYFUNCTION("""COMPUTED_VALUE"""),2023.02)</f>
        <v>2023.02</v>
      </c>
      <c r="L2423" s="298"/>
      <c r="M2423" s="223"/>
      <c r="N2423" s="223"/>
      <c r="O2423" s="223"/>
      <c r="P2423" s="223"/>
      <c r="Q2423" s="223"/>
      <c r="R2423" s="223"/>
      <c r="S2423" s="223"/>
      <c r="T2423" s="223"/>
      <c r="U2423" s="223"/>
      <c r="V2423" s="223"/>
      <c r="W2423" s="223"/>
      <c r="X2423" s="223"/>
      <c r="Y2423" s="223"/>
      <c r="Z2423" s="223"/>
    </row>
    <row r="2424">
      <c r="A2424" s="223" t="str">
        <f>IFERROR(__xludf.DUMMYFUNCTION("""COMPUTED_VALUE"""),"TisBest : Monthly Services")</f>
        <v>TisBest : Monthly Services</v>
      </c>
      <c r="B2424" s="223" t="str">
        <f>IFERROR(__xludf.DUMMYFUNCTION("""COMPUTED_VALUE"""),"TisBest")</f>
        <v>TisBest</v>
      </c>
      <c r="C2424" s="223" t="str">
        <f>IFERROR(__xludf.DUMMYFUNCTION("""COMPUTED_VALUE"""),"Monthly Services")</f>
        <v>Monthly Services</v>
      </c>
      <c r="D2424" s="316">
        <f>IFERROR(__xludf.DUMMYFUNCTION("""COMPUTED_VALUE"""),44985.0)</f>
        <v>44985</v>
      </c>
      <c r="E2424" s="298"/>
      <c r="F2424" s="298"/>
      <c r="G2424" s="298"/>
      <c r="H2424" s="223"/>
      <c r="I2424" s="298">
        <f>IFERROR(__xludf.DUMMYFUNCTION("""COMPUTED_VALUE"""),937.5)</f>
        <v>937.5</v>
      </c>
      <c r="J2424" s="223" t="str">
        <f>IFERROR(__xludf.DUMMYFUNCTION("""COMPUTED_VALUE"""),"Monthly")</f>
        <v>Monthly</v>
      </c>
      <c r="K2424" s="317">
        <f>IFERROR(__xludf.DUMMYFUNCTION("""COMPUTED_VALUE"""),2023.02)</f>
        <v>2023.02</v>
      </c>
      <c r="L2424" s="298"/>
      <c r="M2424" s="223"/>
      <c r="N2424" s="223"/>
      <c r="O2424" s="223"/>
      <c r="P2424" s="223"/>
      <c r="Q2424" s="223"/>
      <c r="R2424" s="223"/>
      <c r="S2424" s="223"/>
      <c r="T2424" s="223"/>
      <c r="U2424" s="223"/>
      <c r="V2424" s="223"/>
      <c r="W2424" s="223"/>
      <c r="X2424" s="223"/>
      <c r="Y2424" s="223"/>
      <c r="Z2424" s="223"/>
    </row>
    <row r="2425">
      <c r="A2425" s="223" t="str">
        <f>IFERROR(__xludf.DUMMYFUNCTION("""COMPUTED_VALUE"""),"Tofino Resort + Marina : Monthly Services")</f>
        <v>Tofino Resort + Marina : Monthly Services</v>
      </c>
      <c r="B2425" s="223" t="str">
        <f>IFERROR(__xludf.DUMMYFUNCTION("""COMPUTED_VALUE"""),"Tofino Resort + Marina")</f>
        <v>Tofino Resort + Marina</v>
      </c>
      <c r="C2425" s="223" t="str">
        <f>IFERROR(__xludf.DUMMYFUNCTION("""COMPUTED_VALUE"""),"Monthly Services")</f>
        <v>Monthly Services</v>
      </c>
      <c r="D2425" s="316">
        <f>IFERROR(__xludf.DUMMYFUNCTION("""COMPUTED_VALUE"""),44985.0)</f>
        <v>44985</v>
      </c>
      <c r="E2425" s="298"/>
      <c r="F2425" s="298"/>
      <c r="G2425" s="298"/>
      <c r="H2425" s="223"/>
      <c r="I2425" s="298">
        <f>IFERROR(__xludf.DUMMYFUNCTION("""COMPUTED_VALUE"""),450.0)</f>
        <v>450</v>
      </c>
      <c r="J2425" s="223" t="str">
        <f>IFERROR(__xludf.DUMMYFUNCTION("""COMPUTED_VALUE"""),"Monthly")</f>
        <v>Monthly</v>
      </c>
      <c r="K2425" s="317">
        <f>IFERROR(__xludf.DUMMYFUNCTION("""COMPUTED_VALUE"""),2023.02)</f>
        <v>2023.02</v>
      </c>
      <c r="L2425" s="298"/>
      <c r="M2425" s="223"/>
      <c r="N2425" s="223"/>
      <c r="O2425" s="223"/>
      <c r="P2425" s="223"/>
      <c r="Q2425" s="223"/>
      <c r="R2425" s="223"/>
      <c r="S2425" s="223"/>
      <c r="T2425" s="223"/>
      <c r="U2425" s="223"/>
      <c r="V2425" s="223"/>
      <c r="W2425" s="223"/>
      <c r="X2425" s="223"/>
      <c r="Y2425" s="223"/>
      <c r="Z2425" s="223"/>
    </row>
    <row r="2426">
      <c r="A2426" s="223" t="str">
        <f>IFERROR(__xludf.DUMMYFUNCTION("""COMPUTED_VALUE"""),"Spraggs : Monthly Services")</f>
        <v>Spraggs : Monthly Services</v>
      </c>
      <c r="B2426" s="223" t="str">
        <f>IFERROR(__xludf.DUMMYFUNCTION("""COMPUTED_VALUE"""),"Spraggs")</f>
        <v>Spraggs</v>
      </c>
      <c r="C2426" s="223" t="str">
        <f>IFERROR(__xludf.DUMMYFUNCTION("""COMPUTED_VALUE"""),"Monthly Services")</f>
        <v>Monthly Services</v>
      </c>
      <c r="D2426" s="316">
        <f>IFERROR(__xludf.DUMMYFUNCTION("""COMPUTED_VALUE"""),44985.0)</f>
        <v>44985</v>
      </c>
      <c r="E2426" s="298"/>
      <c r="F2426" s="298"/>
      <c r="G2426" s="298"/>
      <c r="H2426" s="223"/>
      <c r="I2426" s="298">
        <f>IFERROR(__xludf.DUMMYFUNCTION("""COMPUTED_VALUE"""),275.0)</f>
        <v>275</v>
      </c>
      <c r="J2426" s="223" t="str">
        <f>IFERROR(__xludf.DUMMYFUNCTION("""COMPUTED_VALUE"""),"Monthly")</f>
        <v>Monthly</v>
      </c>
      <c r="K2426" s="317">
        <f>IFERROR(__xludf.DUMMYFUNCTION("""COMPUTED_VALUE"""),2023.02)</f>
        <v>2023.02</v>
      </c>
      <c r="L2426" s="298"/>
      <c r="M2426" s="223"/>
      <c r="N2426" s="223"/>
      <c r="O2426" s="223"/>
      <c r="P2426" s="223"/>
      <c r="Q2426" s="223"/>
      <c r="R2426" s="223"/>
      <c r="S2426" s="223"/>
      <c r="T2426" s="223"/>
      <c r="U2426" s="223"/>
      <c r="V2426" s="223"/>
      <c r="W2426" s="223"/>
      <c r="X2426" s="223"/>
      <c r="Y2426" s="223"/>
      <c r="Z2426" s="223"/>
    </row>
    <row r="2427">
      <c r="A2427" s="223" t="str">
        <f>IFERROR(__xludf.DUMMYFUNCTION("""COMPUTED_VALUE"""),"MortgagePal : Monthly Services")</f>
        <v>MortgagePal : Monthly Services</v>
      </c>
      <c r="B2427" s="223" t="str">
        <f>IFERROR(__xludf.DUMMYFUNCTION("""COMPUTED_VALUE"""),"MortgagePal")</f>
        <v>MortgagePal</v>
      </c>
      <c r="C2427" s="223" t="str">
        <f>IFERROR(__xludf.DUMMYFUNCTION("""COMPUTED_VALUE"""),"Monthly Services")</f>
        <v>Monthly Services</v>
      </c>
      <c r="D2427" s="316">
        <f>IFERROR(__xludf.DUMMYFUNCTION("""COMPUTED_VALUE"""),44985.0)</f>
        <v>44985</v>
      </c>
      <c r="E2427" s="298"/>
      <c r="F2427" s="298"/>
      <c r="G2427" s="298"/>
      <c r="H2427" s="223"/>
      <c r="I2427" s="298">
        <f>IFERROR(__xludf.DUMMYFUNCTION("""COMPUTED_VALUE"""),45.0)</f>
        <v>45</v>
      </c>
      <c r="J2427" s="223" t="str">
        <f>IFERROR(__xludf.DUMMYFUNCTION("""COMPUTED_VALUE"""),"Monthly")</f>
        <v>Monthly</v>
      </c>
      <c r="K2427" s="317">
        <f>IFERROR(__xludf.DUMMYFUNCTION("""COMPUTED_VALUE"""),2023.02)</f>
        <v>2023.02</v>
      </c>
      <c r="L2427" s="298"/>
      <c r="M2427" s="223"/>
      <c r="N2427" s="223"/>
      <c r="O2427" s="223"/>
      <c r="P2427" s="223"/>
      <c r="Q2427" s="223"/>
      <c r="R2427" s="223"/>
      <c r="S2427" s="223"/>
      <c r="T2427" s="223"/>
      <c r="U2427" s="223"/>
      <c r="V2427" s="223"/>
      <c r="W2427" s="223"/>
      <c r="X2427" s="223"/>
      <c r="Y2427" s="223"/>
      <c r="Z2427" s="223"/>
    </row>
    <row r="2428">
      <c r="A2428" s="223" t="str">
        <f>IFERROR(__xludf.DUMMYFUNCTION("""COMPUTED_VALUE"""),"Service First : Monthly Services")</f>
        <v>Service First : Monthly Services</v>
      </c>
      <c r="B2428" s="223" t="str">
        <f>IFERROR(__xludf.DUMMYFUNCTION("""COMPUTED_VALUE"""),"Service First")</f>
        <v>Service First</v>
      </c>
      <c r="C2428" s="223" t="str">
        <f>IFERROR(__xludf.DUMMYFUNCTION("""COMPUTED_VALUE"""),"Monthly Services")</f>
        <v>Monthly Services</v>
      </c>
      <c r="D2428" s="316">
        <f>IFERROR(__xludf.DUMMYFUNCTION("""COMPUTED_VALUE"""),44985.0)</f>
        <v>44985</v>
      </c>
      <c r="E2428" s="298"/>
      <c r="F2428" s="298"/>
      <c r="G2428" s="298"/>
      <c r="H2428" s="223"/>
      <c r="I2428" s="298">
        <f>IFERROR(__xludf.DUMMYFUNCTION("""COMPUTED_VALUE"""),30.0)</f>
        <v>30</v>
      </c>
      <c r="J2428" s="223" t="str">
        <f>IFERROR(__xludf.DUMMYFUNCTION("""COMPUTED_VALUE"""),"Monthly")</f>
        <v>Monthly</v>
      </c>
      <c r="K2428" s="317">
        <f>IFERROR(__xludf.DUMMYFUNCTION("""COMPUTED_VALUE"""),2023.02)</f>
        <v>2023.02</v>
      </c>
      <c r="L2428" s="298"/>
      <c r="M2428" s="223"/>
      <c r="N2428" s="223"/>
      <c r="O2428" s="223"/>
      <c r="P2428" s="223"/>
      <c r="Q2428" s="223"/>
      <c r="R2428" s="223"/>
      <c r="S2428" s="223"/>
      <c r="T2428" s="223"/>
      <c r="U2428" s="223"/>
      <c r="V2428" s="223"/>
      <c r="W2428" s="223"/>
      <c r="X2428" s="223"/>
      <c r="Y2428" s="223"/>
      <c r="Z2428" s="223"/>
    </row>
    <row r="2429">
      <c r="A2429" s="223" t="str">
        <f>IFERROR(__xludf.DUMMYFUNCTION("""COMPUTED_VALUE"""),"HSJ Lawyers : Monthly Services")</f>
        <v>HSJ Lawyers : Monthly Services</v>
      </c>
      <c r="B2429" s="223" t="str">
        <f>IFERROR(__xludf.DUMMYFUNCTION("""COMPUTED_VALUE"""),"HSJ Lawyers")</f>
        <v>HSJ Lawyers</v>
      </c>
      <c r="C2429" s="223" t="str">
        <f>IFERROR(__xludf.DUMMYFUNCTION("""COMPUTED_VALUE"""),"Monthly Services")</f>
        <v>Monthly Services</v>
      </c>
      <c r="D2429" s="316">
        <f>IFERROR(__xludf.DUMMYFUNCTION("""COMPUTED_VALUE"""),44985.0)</f>
        <v>44985</v>
      </c>
      <c r="E2429" s="298"/>
      <c r="F2429" s="298"/>
      <c r="G2429" s="298"/>
      <c r="H2429" s="223"/>
      <c r="I2429" s="298">
        <f>IFERROR(__xludf.DUMMYFUNCTION("""COMPUTED_VALUE"""),90.0)</f>
        <v>90</v>
      </c>
      <c r="J2429" s="223" t="str">
        <f>IFERROR(__xludf.DUMMYFUNCTION("""COMPUTED_VALUE"""),"Monthly")</f>
        <v>Monthly</v>
      </c>
      <c r="K2429" s="317">
        <f>IFERROR(__xludf.DUMMYFUNCTION("""COMPUTED_VALUE"""),2023.02)</f>
        <v>2023.02</v>
      </c>
      <c r="L2429" s="298"/>
      <c r="M2429" s="223"/>
      <c r="N2429" s="223"/>
      <c r="O2429" s="223"/>
      <c r="P2429" s="223"/>
      <c r="Q2429" s="223"/>
      <c r="R2429" s="223"/>
      <c r="S2429" s="223"/>
      <c r="T2429" s="223"/>
      <c r="U2429" s="223"/>
      <c r="V2429" s="223"/>
      <c r="W2429" s="223"/>
      <c r="X2429" s="223"/>
      <c r="Y2429" s="223"/>
      <c r="Z2429" s="223"/>
    </row>
    <row r="2430">
      <c r="A2430" s="223" t="str">
        <f>IFERROR(__xludf.DUMMYFUNCTION("""COMPUTED_VALUE"""),"Booginhead : Monthly Services")</f>
        <v>Booginhead : Monthly Services</v>
      </c>
      <c r="B2430" s="223" t="str">
        <f>IFERROR(__xludf.DUMMYFUNCTION("""COMPUTED_VALUE"""),"Booginhead")</f>
        <v>Booginhead</v>
      </c>
      <c r="C2430" s="223" t="str">
        <f>IFERROR(__xludf.DUMMYFUNCTION("""COMPUTED_VALUE"""),"Monthly Services")</f>
        <v>Monthly Services</v>
      </c>
      <c r="D2430" s="316">
        <f>IFERROR(__xludf.DUMMYFUNCTION("""COMPUTED_VALUE"""),44985.0)</f>
        <v>44985</v>
      </c>
      <c r="E2430" s="298"/>
      <c r="F2430" s="298"/>
      <c r="G2430" s="298"/>
      <c r="H2430" s="223"/>
      <c r="I2430" s="298">
        <f>IFERROR(__xludf.DUMMYFUNCTION("""COMPUTED_VALUE"""),235.0)</f>
        <v>235</v>
      </c>
      <c r="J2430" s="223" t="str">
        <f>IFERROR(__xludf.DUMMYFUNCTION("""COMPUTED_VALUE"""),"Monthly")</f>
        <v>Monthly</v>
      </c>
      <c r="K2430" s="317">
        <f>IFERROR(__xludf.DUMMYFUNCTION("""COMPUTED_VALUE"""),2023.02)</f>
        <v>2023.02</v>
      </c>
      <c r="L2430" s="298"/>
      <c r="M2430" s="223"/>
      <c r="N2430" s="223"/>
      <c r="O2430" s="223"/>
      <c r="P2430" s="223"/>
      <c r="Q2430" s="223"/>
      <c r="R2430" s="223"/>
      <c r="S2430" s="223"/>
      <c r="T2430" s="223"/>
      <c r="U2430" s="223"/>
      <c r="V2430" s="223"/>
      <c r="W2430" s="223"/>
      <c r="X2430" s="223"/>
      <c r="Y2430" s="223"/>
      <c r="Z2430" s="223"/>
    </row>
    <row r="2431">
      <c r="A2431" s="223" t="str">
        <f>IFERROR(__xludf.DUMMYFUNCTION("""COMPUTED_VALUE"""),"Hastings House : Monthly Services")</f>
        <v>Hastings House : Monthly Services</v>
      </c>
      <c r="B2431" s="223" t="str">
        <f>IFERROR(__xludf.DUMMYFUNCTION("""COMPUTED_VALUE"""),"Hastings House")</f>
        <v>Hastings House</v>
      </c>
      <c r="C2431" s="223" t="str">
        <f>IFERROR(__xludf.DUMMYFUNCTION("""COMPUTED_VALUE"""),"Monthly Services")</f>
        <v>Monthly Services</v>
      </c>
      <c r="D2431" s="316">
        <f>IFERROR(__xludf.DUMMYFUNCTION("""COMPUTED_VALUE"""),44985.0)</f>
        <v>44985</v>
      </c>
      <c r="E2431" s="298"/>
      <c r="F2431" s="298"/>
      <c r="G2431" s="298"/>
      <c r="H2431" s="223"/>
      <c r="I2431" s="298">
        <f>IFERROR(__xludf.DUMMYFUNCTION("""COMPUTED_VALUE"""),135.0)</f>
        <v>135</v>
      </c>
      <c r="J2431" s="223" t="str">
        <f>IFERROR(__xludf.DUMMYFUNCTION("""COMPUTED_VALUE"""),"Monthly")</f>
        <v>Monthly</v>
      </c>
      <c r="K2431" s="317">
        <f>IFERROR(__xludf.DUMMYFUNCTION("""COMPUTED_VALUE"""),2023.02)</f>
        <v>2023.02</v>
      </c>
      <c r="L2431" s="298"/>
      <c r="M2431" s="223"/>
      <c r="N2431" s="223"/>
      <c r="O2431" s="223"/>
      <c r="P2431" s="223"/>
      <c r="Q2431" s="223"/>
      <c r="R2431" s="223"/>
      <c r="S2431" s="223"/>
      <c r="T2431" s="223"/>
      <c r="U2431" s="223"/>
      <c r="V2431" s="223"/>
      <c r="W2431" s="223"/>
      <c r="X2431" s="223"/>
      <c r="Y2431" s="223"/>
      <c r="Z2431" s="223"/>
    </row>
    <row r="2432">
      <c r="A2432" s="223" t="str">
        <f>IFERROR(__xludf.DUMMYFUNCTION("""COMPUTED_VALUE"""),"TisBest : Monthly Services")</f>
        <v>TisBest : Monthly Services</v>
      </c>
      <c r="B2432" s="223" t="str">
        <f>IFERROR(__xludf.DUMMYFUNCTION("""COMPUTED_VALUE"""),"TisBest")</f>
        <v>TisBest</v>
      </c>
      <c r="C2432" s="223" t="str">
        <f>IFERROR(__xludf.DUMMYFUNCTION("""COMPUTED_VALUE"""),"Monthly Services")</f>
        <v>Monthly Services</v>
      </c>
      <c r="D2432" s="316">
        <f>IFERROR(__xludf.DUMMYFUNCTION("""COMPUTED_VALUE"""),44985.0)</f>
        <v>44985</v>
      </c>
      <c r="E2432" s="298"/>
      <c r="F2432" s="298"/>
      <c r="G2432" s="298"/>
      <c r="H2432" s="223"/>
      <c r="I2432" s="298">
        <f>IFERROR(__xludf.DUMMYFUNCTION("""COMPUTED_VALUE"""),300.0)</f>
        <v>300</v>
      </c>
      <c r="J2432" s="223" t="str">
        <f>IFERROR(__xludf.DUMMYFUNCTION("""COMPUTED_VALUE"""),"Monthly")</f>
        <v>Monthly</v>
      </c>
      <c r="K2432" s="317">
        <f>IFERROR(__xludf.DUMMYFUNCTION("""COMPUTED_VALUE"""),2023.02)</f>
        <v>2023.02</v>
      </c>
      <c r="L2432" s="298"/>
      <c r="M2432" s="223"/>
      <c r="N2432" s="223"/>
      <c r="O2432" s="223"/>
      <c r="P2432" s="223"/>
      <c r="Q2432" s="223"/>
      <c r="R2432" s="223"/>
      <c r="S2432" s="223"/>
      <c r="T2432" s="223"/>
      <c r="U2432" s="223"/>
      <c r="V2432" s="223"/>
      <c r="W2432" s="223"/>
      <c r="X2432" s="223"/>
      <c r="Y2432" s="223"/>
      <c r="Z2432" s="223"/>
    </row>
    <row r="2433">
      <c r="A2433" s="223" t="str">
        <f>IFERROR(__xludf.DUMMYFUNCTION("""COMPUTED_VALUE"""),"Wallack's Art Supplies : Monthly Services")</f>
        <v>Wallack's Art Supplies : Monthly Services</v>
      </c>
      <c r="B2433" s="223" t="str">
        <f>IFERROR(__xludf.DUMMYFUNCTION("""COMPUTED_VALUE"""),"Wallack's Art Supplies")</f>
        <v>Wallack's Art Supplies</v>
      </c>
      <c r="C2433" s="223" t="str">
        <f>IFERROR(__xludf.DUMMYFUNCTION("""COMPUTED_VALUE"""),"Monthly Services")</f>
        <v>Monthly Services</v>
      </c>
      <c r="D2433" s="316">
        <f>IFERROR(__xludf.DUMMYFUNCTION("""COMPUTED_VALUE"""),44985.0)</f>
        <v>44985</v>
      </c>
      <c r="E2433" s="298"/>
      <c r="F2433" s="298"/>
      <c r="G2433" s="298"/>
      <c r="H2433" s="223"/>
      <c r="I2433" s="298">
        <f>IFERROR(__xludf.DUMMYFUNCTION("""COMPUTED_VALUE"""),75.0)</f>
        <v>75</v>
      </c>
      <c r="J2433" s="223" t="str">
        <f>IFERROR(__xludf.DUMMYFUNCTION("""COMPUTED_VALUE"""),"Monthly")</f>
        <v>Monthly</v>
      </c>
      <c r="K2433" s="317">
        <f>IFERROR(__xludf.DUMMYFUNCTION("""COMPUTED_VALUE"""),2023.02)</f>
        <v>2023.02</v>
      </c>
      <c r="L2433" s="298"/>
      <c r="M2433" s="223"/>
      <c r="N2433" s="223"/>
      <c r="O2433" s="223"/>
      <c r="P2433" s="223"/>
      <c r="Q2433" s="223"/>
      <c r="R2433" s="223"/>
      <c r="S2433" s="223"/>
      <c r="T2433" s="223"/>
      <c r="U2433" s="223"/>
      <c r="V2433" s="223"/>
      <c r="W2433" s="223"/>
      <c r="X2433" s="223"/>
      <c r="Y2433" s="223"/>
      <c r="Z2433" s="223"/>
    </row>
    <row r="2434">
      <c r="A2434" s="223" t="str">
        <f>IFERROR(__xludf.DUMMYFUNCTION("""COMPUTED_VALUE"""),"PMDI : Monthly Services")</f>
        <v>PMDI : Monthly Services</v>
      </c>
      <c r="B2434" s="223" t="str">
        <f>IFERROR(__xludf.DUMMYFUNCTION("""COMPUTED_VALUE"""),"PMDI")</f>
        <v>PMDI</v>
      </c>
      <c r="C2434" s="223" t="str">
        <f>IFERROR(__xludf.DUMMYFUNCTION("""COMPUTED_VALUE"""),"Monthly Services")</f>
        <v>Monthly Services</v>
      </c>
      <c r="D2434" s="316">
        <f>IFERROR(__xludf.DUMMYFUNCTION("""COMPUTED_VALUE"""),44985.0)</f>
        <v>44985</v>
      </c>
      <c r="E2434" s="298"/>
      <c r="F2434" s="298"/>
      <c r="G2434" s="298"/>
      <c r="H2434" s="223"/>
      <c r="I2434" s="298">
        <f>IFERROR(__xludf.DUMMYFUNCTION("""COMPUTED_VALUE"""),30.0)</f>
        <v>30</v>
      </c>
      <c r="J2434" s="223" t="str">
        <f>IFERROR(__xludf.DUMMYFUNCTION("""COMPUTED_VALUE"""),"Monthly")</f>
        <v>Monthly</v>
      </c>
      <c r="K2434" s="317">
        <f>IFERROR(__xludf.DUMMYFUNCTION("""COMPUTED_VALUE"""),2023.02)</f>
        <v>2023.02</v>
      </c>
      <c r="L2434" s="298"/>
      <c r="M2434" s="223"/>
      <c r="N2434" s="223"/>
      <c r="O2434" s="223"/>
      <c r="P2434" s="223"/>
      <c r="Q2434" s="223"/>
      <c r="R2434" s="223"/>
      <c r="S2434" s="223"/>
      <c r="T2434" s="223"/>
      <c r="U2434" s="223"/>
      <c r="V2434" s="223"/>
      <c r="W2434" s="223"/>
      <c r="X2434" s="223"/>
      <c r="Y2434" s="223"/>
      <c r="Z2434" s="223"/>
    </row>
    <row r="2435">
      <c r="A2435" s="223" t="str">
        <f>IFERROR(__xludf.DUMMYFUNCTION("""COMPUTED_VALUE"""),"Tofino Resort + Marina : Monthly Services")</f>
        <v>Tofino Resort + Marina : Monthly Services</v>
      </c>
      <c r="B2435" s="223" t="str">
        <f>IFERROR(__xludf.DUMMYFUNCTION("""COMPUTED_VALUE"""),"Tofino Resort + Marina")</f>
        <v>Tofino Resort + Marina</v>
      </c>
      <c r="C2435" s="223" t="str">
        <f>IFERROR(__xludf.DUMMYFUNCTION("""COMPUTED_VALUE"""),"Monthly Services")</f>
        <v>Monthly Services</v>
      </c>
      <c r="D2435" s="316">
        <f>IFERROR(__xludf.DUMMYFUNCTION("""COMPUTED_VALUE"""),44985.0)</f>
        <v>44985</v>
      </c>
      <c r="E2435" s="298"/>
      <c r="F2435" s="298"/>
      <c r="G2435" s="298"/>
      <c r="H2435" s="223"/>
      <c r="I2435" s="298">
        <f>IFERROR(__xludf.DUMMYFUNCTION("""COMPUTED_VALUE"""),300.0)</f>
        <v>300</v>
      </c>
      <c r="J2435" s="223" t="str">
        <f>IFERROR(__xludf.DUMMYFUNCTION("""COMPUTED_VALUE"""),"Monthly")</f>
        <v>Monthly</v>
      </c>
      <c r="K2435" s="317">
        <f>IFERROR(__xludf.DUMMYFUNCTION("""COMPUTED_VALUE"""),2023.02)</f>
        <v>2023.02</v>
      </c>
      <c r="L2435" s="298"/>
      <c r="M2435" s="223"/>
      <c r="N2435" s="223"/>
      <c r="O2435" s="223"/>
      <c r="P2435" s="223"/>
      <c r="Q2435" s="223"/>
      <c r="R2435" s="223"/>
      <c r="S2435" s="223"/>
      <c r="T2435" s="223"/>
      <c r="U2435" s="223"/>
      <c r="V2435" s="223"/>
      <c r="W2435" s="223"/>
      <c r="X2435" s="223"/>
      <c r="Y2435" s="223"/>
      <c r="Z2435" s="223"/>
    </row>
    <row r="2436">
      <c r="A2436" s="223" t="str">
        <f>IFERROR(__xludf.DUMMYFUNCTION("""COMPUTED_VALUE"""),"Anook Athletics : Monthly Services")</f>
        <v>Anook Athletics : Monthly Services</v>
      </c>
      <c r="B2436" s="223" t="str">
        <f>IFERROR(__xludf.DUMMYFUNCTION("""COMPUTED_VALUE"""),"Anook Athletics")</f>
        <v>Anook Athletics</v>
      </c>
      <c r="C2436" s="223" t="str">
        <f>IFERROR(__xludf.DUMMYFUNCTION("""COMPUTED_VALUE"""),"Monthly Services")</f>
        <v>Monthly Services</v>
      </c>
      <c r="D2436" s="316">
        <f>IFERROR(__xludf.DUMMYFUNCTION("""COMPUTED_VALUE"""),44985.0)</f>
        <v>44985</v>
      </c>
      <c r="E2436" s="298"/>
      <c r="F2436" s="298"/>
      <c r="G2436" s="298"/>
      <c r="H2436" s="223"/>
      <c r="I2436" s="298">
        <f>IFERROR(__xludf.DUMMYFUNCTION("""COMPUTED_VALUE"""),75.0)</f>
        <v>75</v>
      </c>
      <c r="J2436" s="223" t="str">
        <f>IFERROR(__xludf.DUMMYFUNCTION("""COMPUTED_VALUE"""),"Monthly")</f>
        <v>Monthly</v>
      </c>
      <c r="K2436" s="317">
        <f>IFERROR(__xludf.DUMMYFUNCTION("""COMPUTED_VALUE"""),2023.02)</f>
        <v>2023.02</v>
      </c>
      <c r="L2436" s="298"/>
      <c r="M2436" s="223"/>
      <c r="N2436" s="223"/>
      <c r="O2436" s="223"/>
      <c r="P2436" s="223"/>
      <c r="Q2436" s="223"/>
      <c r="R2436" s="223"/>
      <c r="S2436" s="223"/>
      <c r="T2436" s="223"/>
      <c r="U2436" s="223"/>
      <c r="V2436" s="223"/>
      <c r="W2436" s="223"/>
      <c r="X2436" s="223"/>
      <c r="Y2436" s="223"/>
      <c r="Z2436" s="223"/>
    </row>
    <row r="2437">
      <c r="A2437" s="223" t="str">
        <f>IFERROR(__xludf.DUMMYFUNCTION("""COMPUTED_VALUE"""),"New Growth Ecommerce Inc : Monthly Services")</f>
        <v>New Growth Ecommerce Inc : Monthly Services</v>
      </c>
      <c r="B2437" s="223" t="str">
        <f>IFERROR(__xludf.DUMMYFUNCTION("""COMPUTED_VALUE"""),"New Growth Ecommerce Inc")</f>
        <v>New Growth Ecommerce Inc</v>
      </c>
      <c r="C2437" s="223" t="str">
        <f>IFERROR(__xludf.DUMMYFUNCTION("""COMPUTED_VALUE"""),"Monthly Services")</f>
        <v>Monthly Services</v>
      </c>
      <c r="D2437" s="316">
        <f>IFERROR(__xludf.DUMMYFUNCTION("""COMPUTED_VALUE"""),44985.0)</f>
        <v>44985</v>
      </c>
      <c r="E2437" s="298"/>
      <c r="F2437" s="298"/>
      <c r="G2437" s="298"/>
      <c r="H2437" s="223"/>
      <c r="I2437" s="298">
        <f>IFERROR(__xludf.DUMMYFUNCTION("""COMPUTED_VALUE"""),1860.0)</f>
        <v>1860</v>
      </c>
      <c r="J2437" s="223" t="str">
        <f>IFERROR(__xludf.DUMMYFUNCTION("""COMPUTED_VALUE"""),"Monthly")</f>
        <v>Monthly</v>
      </c>
      <c r="K2437" s="317">
        <f>IFERROR(__xludf.DUMMYFUNCTION("""COMPUTED_VALUE"""),2023.02)</f>
        <v>2023.02</v>
      </c>
      <c r="L2437" s="298"/>
      <c r="M2437" s="223"/>
      <c r="N2437" s="223"/>
      <c r="O2437" s="223"/>
      <c r="P2437" s="223"/>
      <c r="Q2437" s="223"/>
      <c r="R2437" s="223"/>
      <c r="S2437" s="223"/>
      <c r="T2437" s="223"/>
      <c r="U2437" s="223"/>
      <c r="V2437" s="223"/>
      <c r="W2437" s="223"/>
      <c r="X2437" s="223"/>
      <c r="Y2437" s="223"/>
      <c r="Z2437" s="223"/>
    </row>
    <row r="2438">
      <c r="A2438" s="223" t="str">
        <f>IFERROR(__xludf.DUMMYFUNCTION("""COMPUTED_VALUE"""),"Viridian : Monthly Services")</f>
        <v>Viridian : Monthly Services</v>
      </c>
      <c r="B2438" s="223" t="str">
        <f>IFERROR(__xludf.DUMMYFUNCTION("""COMPUTED_VALUE"""),"Viridian")</f>
        <v>Viridian</v>
      </c>
      <c r="C2438" s="223" t="str">
        <f>IFERROR(__xludf.DUMMYFUNCTION("""COMPUTED_VALUE"""),"Monthly Services")</f>
        <v>Monthly Services</v>
      </c>
      <c r="D2438" s="316">
        <f>IFERROR(__xludf.DUMMYFUNCTION("""COMPUTED_VALUE"""),44985.0)</f>
        <v>44985</v>
      </c>
      <c r="E2438" s="298"/>
      <c r="F2438" s="298"/>
      <c r="G2438" s="298"/>
      <c r="H2438" s="223"/>
      <c r="I2438" s="298">
        <f>IFERROR(__xludf.DUMMYFUNCTION("""COMPUTED_VALUE"""),90.0)</f>
        <v>90</v>
      </c>
      <c r="J2438" s="223" t="str">
        <f>IFERROR(__xludf.DUMMYFUNCTION("""COMPUTED_VALUE"""),"Monthly")</f>
        <v>Monthly</v>
      </c>
      <c r="K2438" s="317">
        <f>IFERROR(__xludf.DUMMYFUNCTION("""COMPUTED_VALUE"""),2023.02)</f>
        <v>2023.02</v>
      </c>
      <c r="L2438" s="298"/>
      <c r="M2438" s="223"/>
      <c r="N2438" s="223"/>
      <c r="O2438" s="223"/>
      <c r="P2438" s="223"/>
      <c r="Q2438" s="223"/>
      <c r="R2438" s="223"/>
      <c r="S2438" s="223"/>
      <c r="T2438" s="223"/>
      <c r="U2438" s="223"/>
      <c r="V2438" s="223"/>
      <c r="W2438" s="223"/>
      <c r="X2438" s="223"/>
      <c r="Y2438" s="223"/>
      <c r="Z2438" s="223"/>
    </row>
    <row r="2439">
      <c r="A2439" s="223" t="str">
        <f>IFERROR(__xludf.DUMMYFUNCTION("""COMPUTED_VALUE"""),"Crisp Media : Monthly Genus Google PPC Mgmt")</f>
        <v>Crisp Media : Monthly Genus Google PPC Mgmt</v>
      </c>
      <c r="B2439" s="223" t="str">
        <f>IFERROR(__xludf.DUMMYFUNCTION("""COMPUTED_VALUE"""),"Crisp Media")</f>
        <v>Crisp Media</v>
      </c>
      <c r="C2439" s="223" t="str">
        <f>IFERROR(__xludf.DUMMYFUNCTION("""COMPUTED_VALUE"""),"Monthly Genus Google PPC Mgmt")</f>
        <v>Monthly Genus Google PPC Mgmt</v>
      </c>
      <c r="D2439" s="316">
        <f>IFERROR(__xludf.DUMMYFUNCTION("""COMPUTED_VALUE"""),44985.0)</f>
        <v>44985</v>
      </c>
      <c r="E2439" s="298"/>
      <c r="F2439" s="298"/>
      <c r="G2439" s="298"/>
      <c r="H2439" s="223"/>
      <c r="I2439" s="298">
        <f>IFERROR(__xludf.DUMMYFUNCTION("""COMPUTED_VALUE"""),45.0)</f>
        <v>45</v>
      </c>
      <c r="J2439" s="223" t="str">
        <f>IFERROR(__xludf.DUMMYFUNCTION("""COMPUTED_VALUE"""),"Monthly")</f>
        <v>Monthly</v>
      </c>
      <c r="K2439" s="317">
        <f>IFERROR(__xludf.DUMMYFUNCTION("""COMPUTED_VALUE"""),2023.02)</f>
        <v>2023.02</v>
      </c>
      <c r="L2439" s="298"/>
      <c r="M2439" s="223"/>
      <c r="N2439" s="223"/>
      <c r="O2439" s="223"/>
      <c r="P2439" s="223"/>
      <c r="Q2439" s="223"/>
      <c r="R2439" s="223"/>
      <c r="S2439" s="223"/>
      <c r="T2439" s="223"/>
      <c r="U2439" s="223"/>
      <c r="V2439" s="223"/>
      <c r="W2439" s="223"/>
      <c r="X2439" s="223"/>
      <c r="Y2439" s="223"/>
      <c r="Z2439" s="223"/>
    </row>
    <row r="2440">
      <c r="A2440" s="223" t="str">
        <f>IFERROR(__xludf.DUMMYFUNCTION("""COMPUTED_VALUE"""),"Howard Fine Jewellers : Ongoing PPC and SEO Support")</f>
        <v>Howard Fine Jewellers : Ongoing PPC and SEO Support</v>
      </c>
      <c r="B2440" s="223" t="str">
        <f>IFERROR(__xludf.DUMMYFUNCTION("""COMPUTED_VALUE"""),"Howard Fine Jewellers")</f>
        <v>Howard Fine Jewellers</v>
      </c>
      <c r="C2440" s="223" t="str">
        <f>IFERROR(__xludf.DUMMYFUNCTION("""COMPUTED_VALUE"""),"Ongoing PPC and SEO Support")</f>
        <v>Ongoing PPC and SEO Support</v>
      </c>
      <c r="D2440" s="316">
        <f>IFERROR(__xludf.DUMMYFUNCTION("""COMPUTED_VALUE"""),44985.0)</f>
        <v>44985</v>
      </c>
      <c r="E2440" s="298"/>
      <c r="F2440" s="298"/>
      <c r="G2440" s="298"/>
      <c r="H2440" s="223"/>
      <c r="I2440" s="298">
        <f>IFERROR(__xludf.DUMMYFUNCTION("""COMPUTED_VALUE"""),100.0)</f>
        <v>100</v>
      </c>
      <c r="J2440" s="223" t="str">
        <f>IFERROR(__xludf.DUMMYFUNCTION("""COMPUTED_VALUE"""),"Monthly")</f>
        <v>Monthly</v>
      </c>
      <c r="K2440" s="317">
        <f>IFERROR(__xludf.DUMMYFUNCTION("""COMPUTED_VALUE"""),2023.02)</f>
        <v>2023.02</v>
      </c>
      <c r="L2440" s="298"/>
      <c r="M2440" s="223"/>
      <c r="N2440" s="223"/>
      <c r="O2440" s="223"/>
      <c r="P2440" s="223"/>
      <c r="Q2440" s="223"/>
      <c r="R2440" s="223"/>
      <c r="S2440" s="223"/>
      <c r="T2440" s="223"/>
      <c r="U2440" s="223"/>
      <c r="V2440" s="223"/>
      <c r="W2440" s="223"/>
      <c r="X2440" s="223"/>
      <c r="Y2440" s="223"/>
      <c r="Z2440" s="223"/>
    </row>
    <row r="2441">
      <c r="A2441" s="223" t="str">
        <f>IFERROR(__xludf.DUMMYFUNCTION("""COMPUTED_VALUE"""),"Big Hammer Wines : Monthly PPC")</f>
        <v>Big Hammer Wines : Monthly PPC</v>
      </c>
      <c r="B2441" s="223" t="str">
        <f>IFERROR(__xludf.DUMMYFUNCTION("""COMPUTED_VALUE"""),"Big Hammer Wines")</f>
        <v>Big Hammer Wines</v>
      </c>
      <c r="C2441" s="223" t="str">
        <f>IFERROR(__xludf.DUMMYFUNCTION("""COMPUTED_VALUE"""),"Monthly PPC")</f>
        <v>Monthly PPC</v>
      </c>
      <c r="D2441" s="316">
        <f>IFERROR(__xludf.DUMMYFUNCTION("""COMPUTED_VALUE"""),44985.0)</f>
        <v>44985</v>
      </c>
      <c r="E2441" s="298"/>
      <c r="F2441" s="298"/>
      <c r="G2441" s="298"/>
      <c r="H2441" s="223"/>
      <c r="I2441" s="298">
        <f>IFERROR(__xludf.DUMMYFUNCTION("""COMPUTED_VALUE"""),60.0)</f>
        <v>60</v>
      </c>
      <c r="J2441" s="223" t="str">
        <f>IFERROR(__xludf.DUMMYFUNCTION("""COMPUTED_VALUE"""),"Monthly")</f>
        <v>Monthly</v>
      </c>
      <c r="K2441" s="317">
        <f>IFERROR(__xludf.DUMMYFUNCTION("""COMPUTED_VALUE"""),2023.02)</f>
        <v>2023.02</v>
      </c>
      <c r="L2441" s="298"/>
      <c r="M2441" s="223"/>
      <c r="N2441" s="223"/>
      <c r="O2441" s="223"/>
      <c r="P2441" s="223"/>
      <c r="Q2441" s="223"/>
      <c r="R2441" s="223"/>
      <c r="S2441" s="223"/>
      <c r="T2441" s="223"/>
      <c r="U2441" s="223"/>
      <c r="V2441" s="223"/>
      <c r="W2441" s="223"/>
      <c r="X2441" s="223"/>
      <c r="Y2441" s="223"/>
      <c r="Z2441" s="223"/>
    </row>
    <row r="2442">
      <c r="A2442" s="223" t="str">
        <f>IFERROR(__xludf.DUMMYFUNCTION("""COMPUTED_VALUE"""),"Spring Activator : Ads and Analytics kickoff plus site support ")</f>
        <v>Spring Activator : Ads and Analytics kickoff plus site support </v>
      </c>
      <c r="B2442" s="223" t="str">
        <f>IFERROR(__xludf.DUMMYFUNCTION("""COMPUTED_VALUE"""),"Spring Activator")</f>
        <v>Spring Activator</v>
      </c>
      <c r="C2442" s="223" t="str">
        <f>IFERROR(__xludf.DUMMYFUNCTION("""COMPUTED_VALUE"""),"Ads and Analytics kickoff plus site support")</f>
        <v>Ads and Analytics kickoff plus site support</v>
      </c>
      <c r="D2442" s="316">
        <f>IFERROR(__xludf.DUMMYFUNCTION("""COMPUTED_VALUE"""),44985.0)</f>
        <v>44985</v>
      </c>
      <c r="E2442" s="298"/>
      <c r="F2442" s="298"/>
      <c r="G2442" s="298"/>
      <c r="H2442" s="223"/>
      <c r="I2442" s="298">
        <f>IFERROR(__xludf.DUMMYFUNCTION("""COMPUTED_VALUE"""),180.0)</f>
        <v>180</v>
      </c>
      <c r="J2442" s="223" t="str">
        <f>IFERROR(__xludf.DUMMYFUNCTION("""COMPUTED_VALUE"""),"Fixed Project")</f>
        <v>Fixed Project</v>
      </c>
      <c r="K2442" s="317">
        <f>IFERROR(__xludf.DUMMYFUNCTION("""COMPUTED_VALUE"""),2023.0)</f>
        <v>2023</v>
      </c>
      <c r="L2442" s="298"/>
      <c r="M2442" s="223"/>
      <c r="N2442" s="223"/>
      <c r="O2442" s="223"/>
      <c r="P2442" s="223"/>
      <c r="Q2442" s="223"/>
      <c r="R2442" s="223"/>
      <c r="S2442" s="223"/>
      <c r="T2442" s="223"/>
      <c r="U2442" s="223"/>
      <c r="V2442" s="223"/>
      <c r="W2442" s="223"/>
      <c r="X2442" s="223"/>
      <c r="Y2442" s="223"/>
      <c r="Z2442" s="223"/>
    </row>
    <row r="2443">
      <c r="A2443" s="223" t="str">
        <f>IFERROR(__xludf.DUMMYFUNCTION("""COMPUTED_VALUE"""),"Classic LifeCare : Monthly Google Ads (PPC) Management")</f>
        <v>Classic LifeCare : Monthly Google Ads (PPC) Management</v>
      </c>
      <c r="B2443" s="223" t="str">
        <f>IFERROR(__xludf.DUMMYFUNCTION("""COMPUTED_VALUE"""),"Classic LifeCare")</f>
        <v>Classic LifeCare</v>
      </c>
      <c r="C2443" s="223" t="str">
        <f>IFERROR(__xludf.DUMMYFUNCTION("""COMPUTED_VALUE"""),"Monthly Google Ads (PPC) Management")</f>
        <v>Monthly Google Ads (PPC) Management</v>
      </c>
      <c r="D2443" s="316">
        <f>IFERROR(__xludf.DUMMYFUNCTION("""COMPUTED_VALUE"""),44985.0)</f>
        <v>44985</v>
      </c>
      <c r="E2443" s="298"/>
      <c r="F2443" s="298"/>
      <c r="G2443" s="298"/>
      <c r="H2443" s="223"/>
      <c r="I2443" s="298">
        <f>IFERROR(__xludf.DUMMYFUNCTION("""COMPUTED_VALUE"""),322.5)</f>
        <v>322.5</v>
      </c>
      <c r="J2443" s="223" t="str">
        <f>IFERROR(__xludf.DUMMYFUNCTION("""COMPUTED_VALUE"""),"Monthly")</f>
        <v>Monthly</v>
      </c>
      <c r="K2443" s="317">
        <f>IFERROR(__xludf.DUMMYFUNCTION("""COMPUTED_VALUE"""),2023.02)</f>
        <v>2023.02</v>
      </c>
      <c r="L2443" s="298"/>
      <c r="M2443" s="223"/>
      <c r="N2443" s="223"/>
      <c r="O2443" s="223"/>
      <c r="P2443" s="223"/>
      <c r="Q2443" s="223"/>
      <c r="R2443" s="223"/>
      <c r="S2443" s="223"/>
      <c r="T2443" s="223"/>
      <c r="U2443" s="223"/>
      <c r="V2443" s="223"/>
      <c r="W2443" s="223"/>
      <c r="X2443" s="223"/>
      <c r="Y2443" s="223"/>
      <c r="Z2443" s="223"/>
    </row>
    <row r="2444">
      <c r="A2444" s="223" t="str">
        <f>IFERROR(__xludf.DUMMYFUNCTION("""COMPUTED_VALUE"""),"Canyon's Construction : Web Presence &amp; SEO Project")</f>
        <v>Canyon's Construction : Web Presence &amp; SEO Project</v>
      </c>
      <c r="B2444" s="223" t="str">
        <f>IFERROR(__xludf.DUMMYFUNCTION("""COMPUTED_VALUE"""),"Canyon's Construction")</f>
        <v>Canyon's Construction</v>
      </c>
      <c r="C2444" s="223" t="str">
        <f>IFERROR(__xludf.DUMMYFUNCTION("""COMPUTED_VALUE"""),"Web Presence &amp; SEO Project")</f>
        <v>Web Presence &amp; SEO Project</v>
      </c>
      <c r="D2444" s="316">
        <f>IFERROR(__xludf.DUMMYFUNCTION("""COMPUTED_VALUE"""),44985.0)</f>
        <v>44985</v>
      </c>
      <c r="E2444" s="298"/>
      <c r="F2444" s="298"/>
      <c r="G2444" s="298"/>
      <c r="H2444" s="223"/>
      <c r="I2444" s="298">
        <f>IFERROR(__xludf.DUMMYFUNCTION("""COMPUTED_VALUE"""),425.0)</f>
        <v>425</v>
      </c>
      <c r="J2444" s="223" t="str">
        <f>IFERROR(__xludf.DUMMYFUNCTION("""COMPUTED_VALUE"""),"Fixed Project")</f>
        <v>Fixed Project</v>
      </c>
      <c r="K2444" s="317">
        <f>IFERROR(__xludf.DUMMYFUNCTION("""COMPUTED_VALUE"""),2023.0)</f>
        <v>2023</v>
      </c>
      <c r="L2444" s="298"/>
      <c r="M2444" s="223"/>
      <c r="N2444" s="223"/>
      <c r="O2444" s="223"/>
      <c r="P2444" s="223"/>
      <c r="Q2444" s="223"/>
      <c r="R2444" s="223"/>
      <c r="S2444" s="223"/>
      <c r="T2444" s="223"/>
      <c r="U2444" s="223"/>
      <c r="V2444" s="223"/>
      <c r="W2444" s="223"/>
      <c r="X2444" s="223"/>
      <c r="Y2444" s="223"/>
      <c r="Z2444" s="223"/>
    </row>
    <row r="2445">
      <c r="A2445" s="223" t="str">
        <f>IFERROR(__xludf.DUMMYFUNCTION("""COMPUTED_VALUE"""),"McAllister Marketing : Copernic PPC / SEO")</f>
        <v>McAllister Marketing : Copernic PPC / SEO</v>
      </c>
      <c r="B2445" s="223" t="str">
        <f>IFERROR(__xludf.DUMMYFUNCTION("""COMPUTED_VALUE"""),"McAllister Marketing")</f>
        <v>McAllister Marketing</v>
      </c>
      <c r="C2445" s="223" t="str">
        <f>IFERROR(__xludf.DUMMYFUNCTION("""COMPUTED_VALUE"""),"Copernic PPC / SEO")</f>
        <v>Copernic PPC / SEO</v>
      </c>
      <c r="D2445" s="316">
        <f>IFERROR(__xludf.DUMMYFUNCTION("""COMPUTED_VALUE"""),44985.0)</f>
        <v>44985</v>
      </c>
      <c r="E2445" s="298"/>
      <c r="F2445" s="298"/>
      <c r="G2445" s="298"/>
      <c r="H2445" s="223"/>
      <c r="I2445" s="298">
        <f>IFERROR(__xludf.DUMMYFUNCTION("""COMPUTED_VALUE"""),710.0)</f>
        <v>710</v>
      </c>
      <c r="J2445" s="223" t="str">
        <f>IFERROR(__xludf.DUMMYFUNCTION("""COMPUTED_VALUE"""),"Monthly")</f>
        <v>Monthly</v>
      </c>
      <c r="K2445" s="317">
        <f>IFERROR(__xludf.DUMMYFUNCTION("""COMPUTED_VALUE"""),2023.02)</f>
        <v>2023.02</v>
      </c>
      <c r="L2445" s="298"/>
      <c r="M2445" s="223"/>
      <c r="N2445" s="223"/>
      <c r="O2445" s="223"/>
      <c r="P2445" s="223"/>
      <c r="Q2445" s="223"/>
      <c r="R2445" s="223"/>
      <c r="S2445" s="223"/>
      <c r="T2445" s="223"/>
      <c r="U2445" s="223"/>
      <c r="V2445" s="223"/>
      <c r="W2445" s="223"/>
      <c r="X2445" s="223"/>
      <c r="Y2445" s="223"/>
      <c r="Z2445" s="223"/>
    </row>
    <row r="2446">
      <c r="A2446" s="223" t="str">
        <f>IFERROR(__xludf.DUMMYFUNCTION("""COMPUTED_VALUE"""),"VINN : Monthly PPC")</f>
        <v>VINN : Monthly PPC</v>
      </c>
      <c r="B2446" s="223" t="str">
        <f>IFERROR(__xludf.DUMMYFUNCTION("""COMPUTED_VALUE"""),"VINN")</f>
        <v>VINN</v>
      </c>
      <c r="C2446" s="223" t="str">
        <f>IFERROR(__xludf.DUMMYFUNCTION("""COMPUTED_VALUE"""),"Monthly PPC")</f>
        <v>Monthly PPC</v>
      </c>
      <c r="D2446" s="316">
        <f>IFERROR(__xludf.DUMMYFUNCTION("""COMPUTED_VALUE"""),44985.0)</f>
        <v>44985</v>
      </c>
      <c r="E2446" s="298"/>
      <c r="F2446" s="298"/>
      <c r="G2446" s="298"/>
      <c r="H2446" s="223"/>
      <c r="I2446" s="298">
        <f>IFERROR(__xludf.DUMMYFUNCTION("""COMPUTED_VALUE"""),1560.0)</f>
        <v>1560</v>
      </c>
      <c r="J2446" s="223" t="str">
        <f>IFERROR(__xludf.DUMMYFUNCTION("""COMPUTED_VALUE"""),"Monthly")</f>
        <v>Monthly</v>
      </c>
      <c r="K2446" s="317">
        <f>IFERROR(__xludf.DUMMYFUNCTION("""COMPUTED_VALUE"""),2023.02)</f>
        <v>2023.02</v>
      </c>
      <c r="L2446" s="298"/>
      <c r="M2446" s="223"/>
      <c r="N2446" s="223"/>
      <c r="O2446" s="223"/>
      <c r="P2446" s="223"/>
      <c r="Q2446" s="223"/>
      <c r="R2446" s="223"/>
      <c r="S2446" s="223"/>
      <c r="T2446" s="223"/>
      <c r="U2446" s="223"/>
      <c r="V2446" s="223"/>
      <c r="W2446" s="223"/>
      <c r="X2446" s="223"/>
      <c r="Y2446" s="223"/>
      <c r="Z2446" s="223"/>
    </row>
    <row r="2447">
      <c r="A2447" s="223" t="str">
        <f>IFERROR(__xludf.DUMMYFUNCTION("""COMPUTED_VALUE"""),"PlusROI : Overhead")</f>
        <v>PlusROI : Overhead</v>
      </c>
      <c r="B2447" s="223" t="str">
        <f>IFERROR(__xludf.DUMMYFUNCTION("""COMPUTED_VALUE"""),"PlusROI")</f>
        <v>PlusROI</v>
      </c>
      <c r="C2447" s="223" t="str">
        <f>IFERROR(__xludf.DUMMYFUNCTION("""COMPUTED_VALUE"""),"Overhead")</f>
        <v>Overhead</v>
      </c>
      <c r="D2447" s="316">
        <f>IFERROR(__xludf.DUMMYFUNCTION("""COMPUTED_VALUE"""),44998.0)</f>
        <v>44998</v>
      </c>
      <c r="E2447" s="298"/>
      <c r="F2447" s="298"/>
      <c r="G2447" s="298"/>
      <c r="H2447" s="223"/>
      <c r="I2447" s="298">
        <f>IFERROR(__xludf.DUMMYFUNCTION("""COMPUTED_VALUE"""),834.04)</f>
        <v>834.04</v>
      </c>
      <c r="J2447" s="223" t="str">
        <f>IFERROR(__xludf.DUMMYFUNCTION("""COMPUTED_VALUE"""),"Hourly")</f>
        <v>Hourly</v>
      </c>
      <c r="K2447" s="317">
        <f>IFERROR(__xludf.DUMMYFUNCTION("""COMPUTED_VALUE"""),2023.0)</f>
        <v>2023</v>
      </c>
      <c r="L2447" s="298"/>
      <c r="M2447" s="223"/>
      <c r="N2447" s="223"/>
      <c r="O2447" s="223"/>
      <c r="P2447" s="223"/>
      <c r="Q2447" s="223"/>
      <c r="R2447" s="223"/>
      <c r="S2447" s="223"/>
      <c r="T2447" s="223"/>
      <c r="U2447" s="223"/>
      <c r="V2447" s="223"/>
      <c r="W2447" s="223"/>
      <c r="X2447" s="223"/>
      <c r="Y2447" s="223"/>
      <c r="Z2447" s="223"/>
    </row>
    <row r="2448">
      <c r="A2448" s="223" t="str">
        <f>IFERROR(__xludf.DUMMYFUNCTION("""COMPUTED_VALUE"""),"PlusROI : Overhead")</f>
        <v>PlusROI : Overhead</v>
      </c>
      <c r="B2448" s="223" t="str">
        <f>IFERROR(__xludf.DUMMYFUNCTION("""COMPUTED_VALUE"""),"PlusROI")</f>
        <v>PlusROI</v>
      </c>
      <c r="C2448" s="223" t="str">
        <f>IFERROR(__xludf.DUMMYFUNCTION("""COMPUTED_VALUE"""),"Overhead")</f>
        <v>Overhead</v>
      </c>
      <c r="D2448" s="316">
        <f>IFERROR(__xludf.DUMMYFUNCTION("""COMPUTED_VALUE"""),44998.0)</f>
        <v>44998</v>
      </c>
      <c r="E2448" s="298"/>
      <c r="F2448" s="298"/>
      <c r="G2448" s="298"/>
      <c r="H2448" s="223"/>
      <c r="I2448" s="298">
        <f>IFERROR(__xludf.DUMMYFUNCTION("""COMPUTED_VALUE"""),136.59)</f>
        <v>136.59</v>
      </c>
      <c r="J2448" s="223" t="str">
        <f>IFERROR(__xludf.DUMMYFUNCTION("""COMPUTED_VALUE"""),"Hourly")</f>
        <v>Hourly</v>
      </c>
      <c r="K2448" s="317">
        <f>IFERROR(__xludf.DUMMYFUNCTION("""COMPUTED_VALUE"""),2023.0)</f>
        <v>2023</v>
      </c>
      <c r="L2448" s="298"/>
      <c r="M2448" s="223"/>
      <c r="N2448" s="223"/>
      <c r="O2448" s="223"/>
      <c r="P2448" s="223"/>
      <c r="Q2448" s="223"/>
      <c r="R2448" s="223"/>
      <c r="S2448" s="223"/>
      <c r="T2448" s="223"/>
      <c r="U2448" s="223"/>
      <c r="V2448" s="223"/>
      <c r="W2448" s="223"/>
      <c r="X2448" s="223"/>
      <c r="Y2448" s="223"/>
      <c r="Z2448" s="223"/>
    </row>
    <row r="2449">
      <c r="A2449" s="223" t="str">
        <f>IFERROR(__xludf.DUMMYFUNCTION("""COMPUTED_VALUE"""),"PlusROI : Overhead")</f>
        <v>PlusROI : Overhead</v>
      </c>
      <c r="B2449" s="223" t="str">
        <f>IFERROR(__xludf.DUMMYFUNCTION("""COMPUTED_VALUE"""),"PlusROI")</f>
        <v>PlusROI</v>
      </c>
      <c r="C2449" s="223" t="str">
        <f>IFERROR(__xludf.DUMMYFUNCTION("""COMPUTED_VALUE"""),"Overhead")</f>
        <v>Overhead</v>
      </c>
      <c r="D2449" s="316">
        <f>IFERROR(__xludf.DUMMYFUNCTION("""COMPUTED_VALUE"""),44998.0)</f>
        <v>44998</v>
      </c>
      <c r="E2449" s="298"/>
      <c r="F2449" s="298"/>
      <c r="G2449" s="298"/>
      <c r="H2449" s="223"/>
      <c r="I2449" s="298">
        <f>IFERROR(__xludf.DUMMYFUNCTION("""COMPUTED_VALUE"""),14.76)</f>
        <v>14.76</v>
      </c>
      <c r="J2449" s="223" t="str">
        <f>IFERROR(__xludf.DUMMYFUNCTION("""COMPUTED_VALUE"""),"Hourly")</f>
        <v>Hourly</v>
      </c>
      <c r="K2449" s="317">
        <f>IFERROR(__xludf.DUMMYFUNCTION("""COMPUTED_VALUE"""),2023.0)</f>
        <v>2023</v>
      </c>
      <c r="L2449" s="298"/>
      <c r="M2449" s="223"/>
      <c r="N2449" s="223"/>
      <c r="O2449" s="223"/>
      <c r="P2449" s="223"/>
      <c r="Q2449" s="223"/>
      <c r="R2449" s="223"/>
      <c r="S2449" s="223"/>
      <c r="T2449" s="223"/>
      <c r="U2449" s="223"/>
      <c r="V2449" s="223"/>
      <c r="W2449" s="223"/>
      <c r="X2449" s="223"/>
      <c r="Y2449" s="223"/>
      <c r="Z2449" s="223"/>
    </row>
    <row r="2450">
      <c r="A2450" s="223" t="str">
        <f>IFERROR(__xludf.DUMMYFUNCTION("""COMPUTED_VALUE"""),"PlusROI : Overhead")</f>
        <v>PlusROI : Overhead</v>
      </c>
      <c r="B2450" s="223" t="str">
        <f>IFERROR(__xludf.DUMMYFUNCTION("""COMPUTED_VALUE"""),"PlusROI")</f>
        <v>PlusROI</v>
      </c>
      <c r="C2450" s="223" t="str">
        <f>IFERROR(__xludf.DUMMYFUNCTION("""COMPUTED_VALUE"""),"Overhead")</f>
        <v>Overhead</v>
      </c>
      <c r="D2450" s="316">
        <f>IFERROR(__xludf.DUMMYFUNCTION("""COMPUTED_VALUE"""),44998.0)</f>
        <v>44998</v>
      </c>
      <c r="E2450" s="298"/>
      <c r="F2450" s="298"/>
      <c r="G2450" s="298"/>
      <c r="H2450" s="223"/>
      <c r="I2450" s="298">
        <f>IFERROR(__xludf.DUMMYFUNCTION("""COMPUTED_VALUE"""),65.53)</f>
        <v>65.53</v>
      </c>
      <c r="J2450" s="223" t="str">
        <f>IFERROR(__xludf.DUMMYFUNCTION("""COMPUTED_VALUE"""),"Hourly")</f>
        <v>Hourly</v>
      </c>
      <c r="K2450" s="317">
        <f>IFERROR(__xludf.DUMMYFUNCTION("""COMPUTED_VALUE"""),2023.0)</f>
        <v>2023</v>
      </c>
      <c r="L2450" s="298"/>
      <c r="M2450" s="223"/>
      <c r="N2450" s="223"/>
      <c r="O2450" s="223"/>
      <c r="P2450" s="223"/>
      <c r="Q2450" s="223"/>
      <c r="R2450" s="223"/>
      <c r="S2450" s="223"/>
      <c r="T2450" s="223"/>
      <c r="U2450" s="223"/>
      <c r="V2450" s="223"/>
      <c r="W2450" s="223"/>
      <c r="X2450" s="223"/>
      <c r="Y2450" s="223"/>
      <c r="Z2450" s="223"/>
    </row>
    <row r="2451">
      <c r="A2451" s="223" t="str">
        <f>IFERROR(__xludf.DUMMYFUNCTION("""COMPUTED_VALUE"""),"Availed Technologies : Monthly Services")</f>
        <v>Availed Technologies : Monthly Services</v>
      </c>
      <c r="B2451" s="223" t="str">
        <f>IFERROR(__xludf.DUMMYFUNCTION("""COMPUTED_VALUE"""),"Availed Technologies")</f>
        <v>Availed Technologies</v>
      </c>
      <c r="C2451" s="223" t="str">
        <f>IFERROR(__xludf.DUMMYFUNCTION("""COMPUTED_VALUE"""),"Monthly Services")</f>
        <v>Monthly Services</v>
      </c>
      <c r="D2451" s="316">
        <f>IFERROR(__xludf.DUMMYFUNCTION("""COMPUTED_VALUE"""),44985.0)</f>
        <v>44985</v>
      </c>
      <c r="E2451" s="298"/>
      <c r="F2451" s="298"/>
      <c r="G2451" s="298"/>
      <c r="H2451" s="223"/>
      <c r="I2451" s="298">
        <f>IFERROR(__xludf.DUMMYFUNCTION("""COMPUTED_VALUE"""),337.5)</f>
        <v>337.5</v>
      </c>
      <c r="J2451" s="223" t="str">
        <f>IFERROR(__xludf.DUMMYFUNCTION("""COMPUTED_VALUE"""),"Monthly")</f>
        <v>Monthly</v>
      </c>
      <c r="K2451" s="317">
        <f>IFERROR(__xludf.DUMMYFUNCTION("""COMPUTED_VALUE"""),2023.02)</f>
        <v>2023.02</v>
      </c>
      <c r="L2451" s="298"/>
      <c r="M2451" s="223"/>
      <c r="N2451" s="223"/>
      <c r="O2451" s="223"/>
      <c r="P2451" s="223"/>
      <c r="Q2451" s="223"/>
      <c r="R2451" s="223"/>
      <c r="S2451" s="223"/>
      <c r="T2451" s="223"/>
      <c r="U2451" s="223"/>
      <c r="V2451" s="223"/>
      <c r="W2451" s="223"/>
      <c r="X2451" s="223"/>
      <c r="Y2451" s="223"/>
      <c r="Z2451" s="223"/>
    </row>
    <row r="2452">
      <c r="A2452" s="223" t="str">
        <f>IFERROR(__xludf.DUMMYFUNCTION("""COMPUTED_VALUE"""),"Community Financials : Monthly Services")</f>
        <v>Community Financials : Monthly Services</v>
      </c>
      <c r="B2452" s="223" t="str">
        <f>IFERROR(__xludf.DUMMYFUNCTION("""COMPUTED_VALUE"""),"Community Financials")</f>
        <v>Community Financials</v>
      </c>
      <c r="C2452" s="223" t="str">
        <f>IFERROR(__xludf.DUMMYFUNCTION("""COMPUTED_VALUE"""),"Monthly Services")</f>
        <v>Monthly Services</v>
      </c>
      <c r="D2452" s="316">
        <f>IFERROR(__xludf.DUMMYFUNCTION("""COMPUTED_VALUE"""),44985.0)</f>
        <v>44985</v>
      </c>
      <c r="E2452" s="298"/>
      <c r="F2452" s="298"/>
      <c r="G2452" s="298"/>
      <c r="H2452" s="223"/>
      <c r="I2452" s="298">
        <f>IFERROR(__xludf.DUMMYFUNCTION("""COMPUTED_VALUE"""),575.0)</f>
        <v>575</v>
      </c>
      <c r="J2452" s="223" t="str">
        <f>IFERROR(__xludf.DUMMYFUNCTION("""COMPUTED_VALUE"""),"Monthly")</f>
        <v>Monthly</v>
      </c>
      <c r="K2452" s="317">
        <f>IFERROR(__xludf.DUMMYFUNCTION("""COMPUTED_VALUE"""),2023.02)</f>
        <v>2023.02</v>
      </c>
      <c r="L2452" s="298"/>
      <c r="M2452" s="223"/>
      <c r="N2452" s="223"/>
      <c r="O2452" s="223"/>
      <c r="P2452" s="223"/>
      <c r="Q2452" s="223"/>
      <c r="R2452" s="223"/>
      <c r="S2452" s="223"/>
      <c r="T2452" s="223"/>
      <c r="U2452" s="223"/>
      <c r="V2452" s="223"/>
      <c r="W2452" s="223"/>
      <c r="X2452" s="223"/>
      <c r="Y2452" s="223"/>
      <c r="Z2452" s="223"/>
    </row>
    <row r="2453">
      <c r="A2453" s="223" t="str">
        <f>IFERROR(__xludf.DUMMYFUNCTION("""COMPUTED_VALUE"""),"Howard Fine Jewellers : Ongoing PPC and SEO Support")</f>
        <v>Howard Fine Jewellers : Ongoing PPC and SEO Support</v>
      </c>
      <c r="B2453" s="223" t="str">
        <f>IFERROR(__xludf.DUMMYFUNCTION("""COMPUTED_VALUE"""),"Howard Fine Jewellers")</f>
        <v>Howard Fine Jewellers</v>
      </c>
      <c r="C2453" s="223" t="str">
        <f>IFERROR(__xludf.DUMMYFUNCTION("""COMPUTED_VALUE"""),"Ongoing PPC and SEO Support")</f>
        <v>Ongoing PPC and SEO Support</v>
      </c>
      <c r="D2453" s="316">
        <f>IFERROR(__xludf.DUMMYFUNCTION("""COMPUTED_VALUE"""),44985.0)</f>
        <v>44985</v>
      </c>
      <c r="E2453" s="298"/>
      <c r="F2453" s="298"/>
      <c r="G2453" s="298"/>
      <c r="H2453" s="223"/>
      <c r="I2453" s="298">
        <f>IFERROR(__xludf.DUMMYFUNCTION("""COMPUTED_VALUE"""),262.5)</f>
        <v>262.5</v>
      </c>
      <c r="J2453" s="223" t="str">
        <f>IFERROR(__xludf.DUMMYFUNCTION("""COMPUTED_VALUE"""),"Monthly")</f>
        <v>Monthly</v>
      </c>
      <c r="K2453" s="317">
        <f>IFERROR(__xludf.DUMMYFUNCTION("""COMPUTED_VALUE"""),2023.02)</f>
        <v>2023.02</v>
      </c>
      <c r="L2453" s="298"/>
      <c r="M2453" s="223"/>
      <c r="N2453" s="223"/>
      <c r="O2453" s="223"/>
      <c r="P2453" s="223"/>
      <c r="Q2453" s="223"/>
      <c r="R2453" s="223"/>
      <c r="S2453" s="223"/>
      <c r="T2453" s="223"/>
      <c r="U2453" s="223"/>
      <c r="V2453" s="223"/>
      <c r="W2453" s="223"/>
      <c r="X2453" s="223"/>
      <c r="Y2453" s="223"/>
      <c r="Z2453" s="223"/>
    </row>
    <row r="2454">
      <c r="A2454" s="223" t="str">
        <f>IFERROR(__xludf.DUMMYFUNCTION("""COMPUTED_VALUE"""),"Red Seal : Monthly Services")</f>
        <v>Red Seal : Monthly Services</v>
      </c>
      <c r="B2454" s="223" t="str">
        <f>IFERROR(__xludf.DUMMYFUNCTION("""COMPUTED_VALUE"""),"Red Seal")</f>
        <v>Red Seal</v>
      </c>
      <c r="C2454" s="223" t="str">
        <f>IFERROR(__xludf.DUMMYFUNCTION("""COMPUTED_VALUE"""),"Monthly Services")</f>
        <v>Monthly Services</v>
      </c>
      <c r="D2454" s="316">
        <f>IFERROR(__xludf.DUMMYFUNCTION("""COMPUTED_VALUE"""),44985.0)</f>
        <v>44985</v>
      </c>
      <c r="E2454" s="298"/>
      <c r="F2454" s="298"/>
      <c r="G2454" s="298"/>
      <c r="H2454" s="223"/>
      <c r="I2454" s="298">
        <f>IFERROR(__xludf.DUMMYFUNCTION("""COMPUTED_VALUE"""),450.0)</f>
        <v>450</v>
      </c>
      <c r="J2454" s="223" t="str">
        <f>IFERROR(__xludf.DUMMYFUNCTION("""COMPUTED_VALUE"""),"Monthly")</f>
        <v>Monthly</v>
      </c>
      <c r="K2454" s="317">
        <f>IFERROR(__xludf.DUMMYFUNCTION("""COMPUTED_VALUE"""),2023.02)</f>
        <v>2023.02</v>
      </c>
      <c r="L2454" s="298"/>
      <c r="M2454" s="223"/>
      <c r="N2454" s="223"/>
      <c r="O2454" s="223"/>
      <c r="P2454" s="223"/>
      <c r="Q2454" s="223"/>
      <c r="R2454" s="223"/>
      <c r="S2454" s="223"/>
      <c r="T2454" s="223"/>
      <c r="U2454" s="223"/>
      <c r="V2454" s="223"/>
      <c r="W2454" s="223"/>
      <c r="X2454" s="223"/>
      <c r="Y2454" s="223"/>
      <c r="Z2454" s="223"/>
    </row>
    <row r="2455">
      <c r="A2455" s="223" t="str">
        <f>IFERROR(__xludf.DUMMYFUNCTION("""COMPUTED_VALUE"""),"McAllister Marketing : Copernic PPC / SEO")</f>
        <v>McAllister Marketing : Copernic PPC / SEO</v>
      </c>
      <c r="B2455" s="223" t="str">
        <f>IFERROR(__xludf.DUMMYFUNCTION("""COMPUTED_VALUE"""),"McAllister Marketing")</f>
        <v>McAllister Marketing</v>
      </c>
      <c r="C2455" s="223" t="str">
        <f>IFERROR(__xludf.DUMMYFUNCTION("""COMPUTED_VALUE"""),"Copernic PPC / SEO")</f>
        <v>Copernic PPC / SEO</v>
      </c>
      <c r="D2455" s="316">
        <f>IFERROR(__xludf.DUMMYFUNCTION("""COMPUTED_VALUE"""),44985.0)</f>
        <v>44985</v>
      </c>
      <c r="E2455" s="298"/>
      <c r="F2455" s="298"/>
      <c r="G2455" s="298"/>
      <c r="H2455" s="223"/>
      <c r="I2455" s="298">
        <f>IFERROR(__xludf.DUMMYFUNCTION("""COMPUTED_VALUE"""),315.0)</f>
        <v>315</v>
      </c>
      <c r="J2455" s="223" t="str">
        <f>IFERROR(__xludf.DUMMYFUNCTION("""COMPUTED_VALUE"""),"Monthly")</f>
        <v>Monthly</v>
      </c>
      <c r="K2455" s="317">
        <f>IFERROR(__xludf.DUMMYFUNCTION("""COMPUTED_VALUE"""),2023.02)</f>
        <v>2023.02</v>
      </c>
      <c r="L2455" s="298"/>
      <c r="M2455" s="223"/>
      <c r="N2455" s="223"/>
      <c r="O2455" s="223"/>
      <c r="P2455" s="223"/>
      <c r="Q2455" s="223"/>
      <c r="R2455" s="223"/>
      <c r="S2455" s="223"/>
      <c r="T2455" s="223"/>
      <c r="U2455" s="223"/>
      <c r="V2455" s="223"/>
      <c r="W2455" s="223"/>
      <c r="X2455" s="223"/>
      <c r="Y2455" s="223"/>
      <c r="Z2455" s="223"/>
    </row>
    <row r="2456">
      <c r="A2456" s="223" t="str">
        <f>IFERROR(__xludf.DUMMYFUNCTION("""COMPUTED_VALUE"""),"Canyon's Construction : PPC, LP &amp; Listings")</f>
        <v>Canyon's Construction : PPC, LP &amp; Listings</v>
      </c>
      <c r="B2456" s="223" t="str">
        <f>IFERROR(__xludf.DUMMYFUNCTION("""COMPUTED_VALUE"""),"Canyon's Construction")</f>
        <v>Canyon's Construction</v>
      </c>
      <c r="C2456" s="223" t="str">
        <f>IFERROR(__xludf.DUMMYFUNCTION("""COMPUTED_VALUE"""),"PPC, LP &amp; Listings")</f>
        <v>PPC, LP &amp; Listings</v>
      </c>
      <c r="D2456" s="316">
        <f>IFERROR(__xludf.DUMMYFUNCTION("""COMPUTED_VALUE"""),44985.0)</f>
        <v>44985</v>
      </c>
      <c r="E2456" s="298"/>
      <c r="F2456" s="298"/>
      <c r="G2456" s="298"/>
      <c r="H2456" s="223"/>
      <c r="I2456" s="298">
        <f>IFERROR(__xludf.DUMMYFUNCTION("""COMPUTED_VALUE"""),280.0)</f>
        <v>280</v>
      </c>
      <c r="J2456" s="223" t="str">
        <f>IFERROR(__xludf.DUMMYFUNCTION("""COMPUTED_VALUE"""),"Fixed Project")</f>
        <v>Fixed Project</v>
      </c>
      <c r="K2456" s="317">
        <f>IFERROR(__xludf.DUMMYFUNCTION("""COMPUTED_VALUE"""),2023.0)</f>
        <v>2023</v>
      </c>
      <c r="L2456" s="298"/>
      <c r="M2456" s="223"/>
      <c r="N2456" s="223"/>
      <c r="O2456" s="223"/>
      <c r="P2456" s="223"/>
      <c r="Q2456" s="223"/>
      <c r="R2456" s="223"/>
      <c r="S2456" s="223"/>
      <c r="T2456" s="223"/>
      <c r="U2456" s="223"/>
      <c r="V2456" s="223"/>
      <c r="W2456" s="223"/>
      <c r="X2456" s="223"/>
      <c r="Y2456" s="223"/>
      <c r="Z2456" s="223"/>
    </row>
    <row r="2457">
      <c r="A2457" s="223" t="str">
        <f>IFERROR(__xludf.DUMMYFUNCTION("""COMPUTED_VALUE"""),"Ultimate Tools : Monthly SEO &amp; PPC Management")</f>
        <v>Ultimate Tools : Monthly SEO &amp; PPC Management</v>
      </c>
      <c r="B2457" s="223" t="str">
        <f>IFERROR(__xludf.DUMMYFUNCTION("""COMPUTED_VALUE"""),"Ultimate Tools")</f>
        <v>Ultimate Tools</v>
      </c>
      <c r="C2457" s="223" t="str">
        <f>IFERROR(__xludf.DUMMYFUNCTION("""COMPUTED_VALUE"""),"Monthly SEO &amp; PPC Management")</f>
        <v>Monthly SEO &amp; PPC Management</v>
      </c>
      <c r="D2457" s="316">
        <f>IFERROR(__xludf.DUMMYFUNCTION("""COMPUTED_VALUE"""),44985.0)</f>
        <v>44985</v>
      </c>
      <c r="E2457" s="298"/>
      <c r="F2457" s="298"/>
      <c r="G2457" s="298"/>
      <c r="H2457" s="223"/>
      <c r="I2457" s="298">
        <f>IFERROR(__xludf.DUMMYFUNCTION("""COMPUTED_VALUE"""),215.0)</f>
        <v>215</v>
      </c>
      <c r="J2457" s="223" t="str">
        <f>IFERROR(__xludf.DUMMYFUNCTION("""COMPUTED_VALUE"""),"Monthly")</f>
        <v>Monthly</v>
      </c>
      <c r="K2457" s="317">
        <f>IFERROR(__xludf.DUMMYFUNCTION("""COMPUTED_VALUE"""),2023.02)</f>
        <v>2023.02</v>
      </c>
      <c r="L2457" s="298"/>
      <c r="M2457" s="223"/>
      <c r="N2457" s="223"/>
      <c r="O2457" s="223"/>
      <c r="P2457" s="223"/>
      <c r="Q2457" s="223"/>
      <c r="R2457" s="223"/>
      <c r="S2457" s="223"/>
      <c r="T2457" s="223"/>
      <c r="U2457" s="223"/>
      <c r="V2457" s="223"/>
      <c r="W2457" s="223"/>
      <c r="X2457" s="223"/>
      <c r="Y2457" s="223"/>
      <c r="Z2457" s="223"/>
    </row>
    <row r="2458">
      <c r="A2458" s="223" t="str">
        <f>IFERROR(__xludf.DUMMYFUNCTION("""COMPUTED_VALUE"""),"Anook Athletics : Monthly Services")</f>
        <v>Anook Athletics : Monthly Services</v>
      </c>
      <c r="B2458" s="223" t="str">
        <f>IFERROR(__xludf.DUMMYFUNCTION("""COMPUTED_VALUE"""),"Anook Athletics")</f>
        <v>Anook Athletics</v>
      </c>
      <c r="C2458" s="223" t="str">
        <f>IFERROR(__xludf.DUMMYFUNCTION("""COMPUTED_VALUE"""),"Monthly Services")</f>
        <v>Monthly Services</v>
      </c>
      <c r="D2458" s="316">
        <f>IFERROR(__xludf.DUMMYFUNCTION("""COMPUTED_VALUE"""),44985.0)</f>
        <v>44985</v>
      </c>
      <c r="E2458" s="298"/>
      <c r="F2458" s="298"/>
      <c r="G2458" s="298"/>
      <c r="H2458" s="223"/>
      <c r="I2458" s="298">
        <f>IFERROR(__xludf.DUMMYFUNCTION("""COMPUTED_VALUE"""),400.0)</f>
        <v>400</v>
      </c>
      <c r="J2458" s="223" t="str">
        <f>IFERROR(__xludf.DUMMYFUNCTION("""COMPUTED_VALUE"""),"Monthly")</f>
        <v>Monthly</v>
      </c>
      <c r="K2458" s="317">
        <f>IFERROR(__xludf.DUMMYFUNCTION("""COMPUTED_VALUE"""),2023.02)</f>
        <v>2023.02</v>
      </c>
      <c r="L2458" s="298"/>
      <c r="M2458" s="223"/>
      <c r="N2458" s="223"/>
      <c r="O2458" s="223"/>
      <c r="P2458" s="223"/>
      <c r="Q2458" s="223"/>
      <c r="R2458" s="223"/>
      <c r="S2458" s="223"/>
      <c r="T2458" s="223"/>
      <c r="U2458" s="223"/>
      <c r="V2458" s="223"/>
      <c r="W2458" s="223"/>
      <c r="X2458" s="223"/>
      <c r="Y2458" s="223"/>
      <c r="Z2458" s="223"/>
    </row>
    <row r="2459">
      <c r="A2459" s="223" t="str">
        <f>IFERROR(__xludf.DUMMYFUNCTION("""COMPUTED_VALUE"""),"Continuity Programs Inc. : Other Projects")</f>
        <v>Continuity Programs Inc. : Other Projects</v>
      </c>
      <c r="B2459" s="223" t="str">
        <f>IFERROR(__xludf.DUMMYFUNCTION("""COMPUTED_VALUE"""),"Continuity Programs Inc.")</f>
        <v>Continuity Programs Inc.</v>
      </c>
      <c r="C2459" s="223" t="str">
        <f>IFERROR(__xludf.DUMMYFUNCTION("""COMPUTED_VALUE"""),"Other Projects")</f>
        <v>Other Projects</v>
      </c>
      <c r="D2459" s="316">
        <f>IFERROR(__xludf.DUMMYFUNCTION("""COMPUTED_VALUE"""),44985.0)</f>
        <v>44985</v>
      </c>
      <c r="E2459" s="298"/>
      <c r="F2459" s="298"/>
      <c r="G2459" s="298"/>
      <c r="H2459" s="223"/>
      <c r="I2459" s="298">
        <f>IFERROR(__xludf.DUMMYFUNCTION("""COMPUTED_VALUE"""),37.5)</f>
        <v>37.5</v>
      </c>
      <c r="J2459" s="223" t="str">
        <f>IFERROR(__xludf.DUMMYFUNCTION("""COMPUTED_VALUE"""),"Fixed Project")</f>
        <v>Fixed Project</v>
      </c>
      <c r="K2459" s="317">
        <f>IFERROR(__xludf.DUMMYFUNCTION("""COMPUTED_VALUE"""),2023.0)</f>
        <v>2023</v>
      </c>
      <c r="L2459" s="298"/>
      <c r="M2459" s="223"/>
      <c r="N2459" s="223"/>
      <c r="O2459" s="223"/>
      <c r="P2459" s="223"/>
      <c r="Q2459" s="223"/>
      <c r="R2459" s="223"/>
      <c r="S2459" s="223"/>
      <c r="T2459" s="223"/>
      <c r="U2459" s="223"/>
      <c r="V2459" s="223"/>
      <c r="W2459" s="223"/>
      <c r="X2459" s="223"/>
      <c r="Y2459" s="223"/>
      <c r="Z2459" s="223"/>
    </row>
    <row r="2460">
      <c r="A2460" s="223" t="str">
        <f>IFERROR(__xludf.DUMMYFUNCTION("""COMPUTED_VALUE"""),"Venetian : Monthly Services")</f>
        <v>Venetian : Monthly Services</v>
      </c>
      <c r="B2460" s="223" t="str">
        <f>IFERROR(__xludf.DUMMYFUNCTION("""COMPUTED_VALUE"""),"Venetian")</f>
        <v>Venetian</v>
      </c>
      <c r="C2460" s="223" t="str">
        <f>IFERROR(__xludf.DUMMYFUNCTION("""COMPUTED_VALUE"""),"Monthly Services")</f>
        <v>Monthly Services</v>
      </c>
      <c r="D2460" s="316">
        <f>IFERROR(__xludf.DUMMYFUNCTION("""COMPUTED_VALUE"""),44974.0)</f>
        <v>44974</v>
      </c>
      <c r="E2460" s="298"/>
      <c r="F2460" s="298"/>
      <c r="G2460" s="298"/>
      <c r="H2460" s="223"/>
      <c r="I2460" s="298">
        <f>IFERROR(__xludf.DUMMYFUNCTION("""COMPUTED_VALUE"""),750.0)</f>
        <v>750</v>
      </c>
      <c r="J2460" s="223" t="str">
        <f>IFERROR(__xludf.DUMMYFUNCTION("""COMPUTED_VALUE"""),"Monthly")</f>
        <v>Monthly</v>
      </c>
      <c r="K2460" s="317">
        <f>IFERROR(__xludf.DUMMYFUNCTION("""COMPUTED_VALUE"""),2023.02)</f>
        <v>2023.02</v>
      </c>
      <c r="L2460" s="298">
        <f>IFERROR(__xludf.DUMMYFUNCTION("""COMPUTED_VALUE"""),750.0)</f>
        <v>750</v>
      </c>
      <c r="M2460" s="223"/>
      <c r="N2460" s="223"/>
      <c r="O2460" s="223"/>
      <c r="P2460" s="223"/>
      <c r="Q2460" s="223"/>
      <c r="R2460" s="223"/>
      <c r="S2460" s="223"/>
      <c r="T2460" s="223"/>
      <c r="U2460" s="223"/>
      <c r="V2460" s="223"/>
      <c r="W2460" s="223"/>
      <c r="X2460" s="223"/>
      <c r="Y2460" s="223"/>
      <c r="Z2460" s="223"/>
    </row>
    <row r="2461">
      <c r="A2461" s="223" t="str">
        <f>IFERROR(__xludf.DUMMYFUNCTION("""COMPUTED_VALUE"""),"Tuscany : Monthly Services")</f>
        <v>Tuscany : Monthly Services</v>
      </c>
      <c r="B2461" s="223" t="str">
        <f>IFERROR(__xludf.DUMMYFUNCTION("""COMPUTED_VALUE"""),"Tuscany")</f>
        <v>Tuscany</v>
      </c>
      <c r="C2461" s="223" t="str">
        <f>IFERROR(__xludf.DUMMYFUNCTION("""COMPUTED_VALUE"""),"Monthly Services")</f>
        <v>Monthly Services</v>
      </c>
      <c r="D2461" s="316">
        <f>IFERROR(__xludf.DUMMYFUNCTION("""COMPUTED_VALUE"""),44976.0)</f>
        <v>44976</v>
      </c>
      <c r="E2461" s="298"/>
      <c r="F2461" s="298"/>
      <c r="G2461" s="298"/>
      <c r="H2461" s="223"/>
      <c r="I2461" s="298">
        <f>IFERROR(__xludf.DUMMYFUNCTION("""COMPUTED_VALUE"""),750.0)</f>
        <v>750</v>
      </c>
      <c r="J2461" s="223" t="str">
        <f>IFERROR(__xludf.DUMMYFUNCTION("""COMPUTED_VALUE"""),"Monthly")</f>
        <v>Monthly</v>
      </c>
      <c r="K2461" s="317">
        <f>IFERROR(__xludf.DUMMYFUNCTION("""COMPUTED_VALUE"""),2023.02)</f>
        <v>2023.02</v>
      </c>
      <c r="L2461" s="298">
        <f>IFERROR(__xludf.DUMMYFUNCTION("""COMPUTED_VALUE"""),750.0)</f>
        <v>750</v>
      </c>
      <c r="M2461" s="223"/>
      <c r="N2461" s="223"/>
      <c r="O2461" s="223"/>
      <c r="P2461" s="223"/>
      <c r="Q2461" s="223"/>
      <c r="R2461" s="223"/>
      <c r="S2461" s="223"/>
      <c r="T2461" s="223"/>
      <c r="U2461" s="223"/>
      <c r="V2461" s="223"/>
      <c r="W2461" s="223"/>
      <c r="X2461" s="223"/>
      <c r="Y2461" s="223"/>
      <c r="Z2461" s="223"/>
    </row>
    <row r="2462">
      <c r="A2462" s="223" t="str">
        <f>IFERROR(__xludf.DUMMYFUNCTION("""COMPUTED_VALUE"""),"Venetian : Monthly Services")</f>
        <v>Venetian : Monthly Services</v>
      </c>
      <c r="B2462" s="223" t="str">
        <f>IFERROR(__xludf.DUMMYFUNCTION("""COMPUTED_VALUE"""),"Venetian")</f>
        <v>Venetian</v>
      </c>
      <c r="C2462" s="223" t="str">
        <f>IFERROR(__xludf.DUMMYFUNCTION("""COMPUTED_VALUE"""),"Monthly Services")</f>
        <v>Monthly Services</v>
      </c>
      <c r="D2462" s="316">
        <f>IFERROR(__xludf.DUMMYFUNCTION("""COMPUTED_VALUE"""),44986.0)</f>
        <v>44986</v>
      </c>
      <c r="E2462" s="298"/>
      <c r="F2462" s="298"/>
      <c r="G2462" s="298"/>
      <c r="H2462" s="223"/>
      <c r="I2462" s="298">
        <f>IFERROR(__xludf.DUMMYFUNCTION("""COMPUTED_VALUE"""),763.48)</f>
        <v>763.48</v>
      </c>
      <c r="J2462" s="223" t="str">
        <f>IFERROR(__xludf.DUMMYFUNCTION("""COMPUTED_VALUE"""),"Monthly")</f>
        <v>Monthly</v>
      </c>
      <c r="K2462" s="317">
        <f>IFERROR(__xludf.DUMMYFUNCTION("""COMPUTED_VALUE"""),2023.03)</f>
        <v>2023.03</v>
      </c>
      <c r="L2462" s="298">
        <f>IFERROR(__xludf.DUMMYFUNCTION("""COMPUTED_VALUE"""),763.48)</f>
        <v>763.48</v>
      </c>
      <c r="M2462" s="223"/>
      <c r="N2462" s="223"/>
      <c r="O2462" s="223"/>
      <c r="P2462" s="223"/>
      <c r="Q2462" s="223"/>
      <c r="R2462" s="223"/>
      <c r="S2462" s="223"/>
      <c r="T2462" s="223"/>
      <c r="U2462" s="223"/>
      <c r="V2462" s="223"/>
      <c r="W2462" s="223"/>
      <c r="X2462" s="223"/>
      <c r="Y2462" s="223"/>
      <c r="Z2462" s="223"/>
    </row>
    <row r="2463">
      <c r="A2463" s="223" t="str">
        <f>IFERROR(__xludf.DUMMYFUNCTION("""COMPUTED_VALUE"""),"Tuscany : Monthly Services")</f>
        <v>Tuscany : Monthly Services</v>
      </c>
      <c r="B2463" s="223" t="str">
        <f>IFERROR(__xludf.DUMMYFUNCTION("""COMPUTED_VALUE"""),"Tuscany")</f>
        <v>Tuscany</v>
      </c>
      <c r="C2463" s="223" t="str">
        <f>IFERROR(__xludf.DUMMYFUNCTION("""COMPUTED_VALUE"""),"Monthly Services")</f>
        <v>Monthly Services</v>
      </c>
      <c r="D2463" s="316">
        <f>IFERROR(__xludf.DUMMYFUNCTION("""COMPUTED_VALUE"""),44986.0)</f>
        <v>44986</v>
      </c>
      <c r="E2463" s="298"/>
      <c r="F2463" s="298"/>
      <c r="G2463" s="298"/>
      <c r="H2463" s="223"/>
      <c r="I2463" s="298">
        <f>IFERROR(__xludf.DUMMYFUNCTION("""COMPUTED_VALUE"""),708.52)</f>
        <v>708.52</v>
      </c>
      <c r="J2463" s="223" t="str">
        <f>IFERROR(__xludf.DUMMYFUNCTION("""COMPUTED_VALUE"""),"Monthly")</f>
        <v>Monthly</v>
      </c>
      <c r="K2463" s="317">
        <f>IFERROR(__xludf.DUMMYFUNCTION("""COMPUTED_VALUE"""),2023.03)</f>
        <v>2023.03</v>
      </c>
      <c r="L2463" s="298">
        <f>IFERROR(__xludf.DUMMYFUNCTION("""COMPUTED_VALUE"""),708.52)</f>
        <v>708.52</v>
      </c>
      <c r="M2463" s="223"/>
      <c r="N2463" s="223"/>
      <c r="O2463" s="223"/>
      <c r="P2463" s="223"/>
      <c r="Q2463" s="223"/>
      <c r="R2463" s="223"/>
      <c r="S2463" s="223"/>
      <c r="T2463" s="223"/>
      <c r="U2463" s="223"/>
      <c r="V2463" s="223"/>
      <c r="W2463" s="223"/>
      <c r="X2463" s="223"/>
      <c r="Y2463" s="223"/>
      <c r="Z2463" s="223"/>
    </row>
    <row r="2464">
      <c r="A2464" s="223" t="str">
        <f>IFERROR(__xludf.DUMMYFUNCTION("""COMPUTED_VALUE"""),"Canyon's Construction : Web Presence &amp; SEO Project")</f>
        <v>Canyon's Construction : Web Presence &amp; SEO Project</v>
      </c>
      <c r="B2464" s="223" t="str">
        <f>IFERROR(__xludf.DUMMYFUNCTION("""COMPUTED_VALUE"""),"Canyon's Construction")</f>
        <v>Canyon's Construction</v>
      </c>
      <c r="C2464" s="223" t="str">
        <f>IFERROR(__xludf.DUMMYFUNCTION("""COMPUTED_VALUE"""),"Web Presence &amp; SEO Project")</f>
        <v>Web Presence &amp; SEO Project</v>
      </c>
      <c r="D2464" s="316">
        <f>IFERROR(__xludf.DUMMYFUNCTION("""COMPUTED_VALUE"""),44986.0)</f>
        <v>44986</v>
      </c>
      <c r="E2464" s="298"/>
      <c r="F2464" s="298"/>
      <c r="G2464" s="298"/>
      <c r="H2464" s="223"/>
      <c r="I2464" s="298">
        <f>IFERROR(__xludf.DUMMYFUNCTION("""COMPUTED_VALUE"""),347.27)</f>
        <v>347.27</v>
      </c>
      <c r="J2464" s="223" t="str">
        <f>IFERROR(__xludf.DUMMYFUNCTION("""COMPUTED_VALUE"""),"Fixed Project")</f>
        <v>Fixed Project</v>
      </c>
      <c r="K2464" s="317">
        <f>IFERROR(__xludf.DUMMYFUNCTION("""COMPUTED_VALUE"""),2023.0)</f>
        <v>2023</v>
      </c>
      <c r="L2464" s="298">
        <f>IFERROR(__xludf.DUMMYFUNCTION("""COMPUTED_VALUE"""),347.27)</f>
        <v>347.27</v>
      </c>
      <c r="M2464" s="223"/>
      <c r="N2464" s="223"/>
      <c r="O2464" s="223"/>
      <c r="P2464" s="223"/>
      <c r="Q2464" s="223"/>
      <c r="R2464" s="223"/>
      <c r="S2464" s="223"/>
      <c r="T2464" s="223"/>
      <c r="U2464" s="223"/>
      <c r="V2464" s="223"/>
      <c r="W2464" s="223"/>
      <c r="X2464" s="223"/>
      <c r="Y2464" s="223"/>
      <c r="Z2464" s="223"/>
    </row>
    <row r="2465">
      <c r="A2465" s="223" t="str">
        <f>IFERROR(__xludf.DUMMYFUNCTION("""COMPUTED_VALUE"""),"Tuscany : Monthly Services")</f>
        <v>Tuscany : Monthly Services</v>
      </c>
      <c r="B2465" s="223" t="str">
        <f>IFERROR(__xludf.DUMMYFUNCTION("""COMPUTED_VALUE"""),"Tuscany")</f>
        <v>Tuscany</v>
      </c>
      <c r="C2465" s="223" t="str">
        <f>IFERROR(__xludf.DUMMYFUNCTION("""COMPUTED_VALUE"""),"Monthly Services")</f>
        <v>Monthly Services</v>
      </c>
      <c r="D2465" s="316">
        <f>IFERROR(__xludf.DUMMYFUNCTION("""COMPUTED_VALUE"""),44996.0)</f>
        <v>44996</v>
      </c>
      <c r="E2465" s="298"/>
      <c r="F2465" s="298"/>
      <c r="G2465" s="298"/>
      <c r="H2465" s="223"/>
      <c r="I2465" s="298">
        <f>IFERROR(__xludf.DUMMYFUNCTION("""COMPUTED_VALUE"""),750.0)</f>
        <v>750</v>
      </c>
      <c r="J2465" s="223" t="str">
        <f>IFERROR(__xludf.DUMMYFUNCTION("""COMPUTED_VALUE"""),"Monthly")</f>
        <v>Monthly</v>
      </c>
      <c r="K2465" s="317">
        <f>IFERROR(__xludf.DUMMYFUNCTION("""COMPUTED_VALUE"""),2023.03)</f>
        <v>2023.03</v>
      </c>
      <c r="L2465" s="298">
        <f>IFERROR(__xludf.DUMMYFUNCTION("""COMPUTED_VALUE"""),750.0)</f>
        <v>750</v>
      </c>
      <c r="M2465" s="223"/>
      <c r="N2465" s="223"/>
      <c r="O2465" s="223"/>
      <c r="P2465" s="223"/>
      <c r="Q2465" s="223"/>
      <c r="R2465" s="223"/>
      <c r="S2465" s="223"/>
      <c r="T2465" s="223"/>
      <c r="U2465" s="223"/>
      <c r="V2465" s="223"/>
      <c r="W2465" s="223"/>
      <c r="X2465" s="223"/>
      <c r="Y2465" s="223"/>
      <c r="Z2465" s="223"/>
    </row>
    <row r="2466">
      <c r="A2466" s="223" t="str">
        <f>IFERROR(__xludf.DUMMYFUNCTION("""COMPUTED_VALUE"""),"Venetian : Monthly Services")</f>
        <v>Venetian : Monthly Services</v>
      </c>
      <c r="B2466" s="223" t="str">
        <f>IFERROR(__xludf.DUMMYFUNCTION("""COMPUTED_VALUE"""),"Venetian")</f>
        <v>Venetian</v>
      </c>
      <c r="C2466" s="223" t="str">
        <f>IFERROR(__xludf.DUMMYFUNCTION("""COMPUTED_VALUE"""),"Monthly Services")</f>
        <v>Monthly Services</v>
      </c>
      <c r="D2466" s="316">
        <f>IFERROR(__xludf.DUMMYFUNCTION("""COMPUTED_VALUE"""),44997.0)</f>
        <v>44997</v>
      </c>
      <c r="E2466" s="298"/>
      <c r="F2466" s="298"/>
      <c r="G2466" s="298"/>
      <c r="H2466" s="223"/>
      <c r="I2466" s="298">
        <f>IFERROR(__xludf.DUMMYFUNCTION("""COMPUTED_VALUE"""),750.0)</f>
        <v>750</v>
      </c>
      <c r="J2466" s="223" t="str">
        <f>IFERROR(__xludf.DUMMYFUNCTION("""COMPUTED_VALUE"""),"Monthly")</f>
        <v>Monthly</v>
      </c>
      <c r="K2466" s="317">
        <f>IFERROR(__xludf.DUMMYFUNCTION("""COMPUTED_VALUE"""),2023.03)</f>
        <v>2023.03</v>
      </c>
      <c r="L2466" s="298">
        <f>IFERROR(__xludf.DUMMYFUNCTION("""COMPUTED_VALUE"""),750.0)</f>
        <v>750</v>
      </c>
      <c r="M2466" s="223"/>
      <c r="N2466" s="223"/>
      <c r="O2466" s="223"/>
      <c r="P2466" s="223"/>
      <c r="Q2466" s="223"/>
      <c r="R2466" s="223"/>
      <c r="S2466" s="223"/>
      <c r="T2466" s="223"/>
      <c r="U2466" s="223"/>
      <c r="V2466" s="223"/>
      <c r="W2466" s="223"/>
      <c r="X2466" s="223"/>
      <c r="Y2466" s="223"/>
      <c r="Z2466" s="223"/>
    </row>
    <row r="2467">
      <c r="A2467" s="223" t="str">
        <f>IFERROR(__xludf.DUMMYFUNCTION("""COMPUTED_VALUE"""),"Spraggs : Monthly Services")</f>
        <v>Spraggs : Monthly Services</v>
      </c>
      <c r="B2467" s="223" t="str">
        <f>IFERROR(__xludf.DUMMYFUNCTION("""COMPUTED_VALUE"""),"Spraggs")</f>
        <v>Spraggs</v>
      </c>
      <c r="C2467" s="223" t="str">
        <f>IFERROR(__xludf.DUMMYFUNCTION("""COMPUTED_VALUE"""),"Monthly Services")</f>
        <v>Monthly Services</v>
      </c>
      <c r="D2467" s="316">
        <f>IFERROR(__xludf.DUMMYFUNCTION("""COMPUTED_VALUE"""),44982.0)</f>
        <v>44982</v>
      </c>
      <c r="E2467" s="298"/>
      <c r="F2467" s="298"/>
      <c r="G2467" s="298"/>
      <c r="H2467" s="223"/>
      <c r="I2467" s="298">
        <f>IFERROR(__xludf.DUMMYFUNCTION("""COMPUTED_VALUE"""),66.39)</f>
        <v>66.39</v>
      </c>
      <c r="J2467" s="223" t="str">
        <f>IFERROR(__xludf.DUMMYFUNCTION("""COMPUTED_VALUE"""),"Monthly")</f>
        <v>Monthly</v>
      </c>
      <c r="K2467" s="317">
        <f>IFERROR(__xludf.DUMMYFUNCTION("""COMPUTED_VALUE"""),2023.02)</f>
        <v>2023.02</v>
      </c>
      <c r="L2467" s="298">
        <f>IFERROR(__xludf.DUMMYFUNCTION("""COMPUTED_VALUE"""),66.39)</f>
        <v>66.39</v>
      </c>
      <c r="M2467" s="223"/>
      <c r="N2467" s="223"/>
      <c r="O2467" s="223"/>
      <c r="P2467" s="223"/>
      <c r="Q2467" s="223"/>
      <c r="R2467" s="223"/>
      <c r="S2467" s="223"/>
      <c r="T2467" s="223"/>
      <c r="U2467" s="223"/>
      <c r="V2467" s="223"/>
      <c r="W2467" s="223"/>
      <c r="X2467" s="223"/>
      <c r="Y2467" s="223"/>
      <c r="Z2467" s="223"/>
    </row>
    <row r="2468">
      <c r="A2468" s="223" t="str">
        <f>IFERROR(__xludf.DUMMYFUNCTION("""COMPUTED_VALUE"""),"Spraggs : Monthly Services")</f>
        <v>Spraggs : Monthly Services</v>
      </c>
      <c r="B2468" s="223" t="str">
        <f>IFERROR(__xludf.DUMMYFUNCTION("""COMPUTED_VALUE"""),"Spraggs")</f>
        <v>Spraggs</v>
      </c>
      <c r="C2468" s="223" t="str">
        <f>IFERROR(__xludf.DUMMYFUNCTION("""COMPUTED_VALUE"""),"Monthly Services")</f>
        <v>Monthly Services</v>
      </c>
      <c r="D2468" s="316">
        <f>IFERROR(__xludf.DUMMYFUNCTION("""COMPUTED_VALUE"""),44974.0)</f>
        <v>44974</v>
      </c>
      <c r="E2468" s="298"/>
      <c r="F2468" s="298"/>
      <c r="G2468" s="298"/>
      <c r="H2468" s="223"/>
      <c r="I2468" s="298">
        <f>IFERROR(__xludf.DUMMYFUNCTION("""COMPUTED_VALUE"""),100.0)</f>
        <v>100</v>
      </c>
      <c r="J2468" s="223" t="str">
        <f>IFERROR(__xludf.DUMMYFUNCTION("""COMPUTED_VALUE"""),"Monthly")</f>
        <v>Monthly</v>
      </c>
      <c r="K2468" s="317">
        <f>IFERROR(__xludf.DUMMYFUNCTION("""COMPUTED_VALUE"""),2023.02)</f>
        <v>2023.02</v>
      </c>
      <c r="L2468" s="298">
        <f>IFERROR(__xludf.DUMMYFUNCTION("""COMPUTED_VALUE"""),100.0)</f>
        <v>100</v>
      </c>
      <c r="M2468" s="223"/>
      <c r="N2468" s="223"/>
      <c r="O2468" s="223"/>
      <c r="P2468" s="223"/>
      <c r="Q2468" s="223"/>
      <c r="R2468" s="223"/>
      <c r="S2468" s="223"/>
      <c r="T2468" s="223"/>
      <c r="U2468" s="223"/>
      <c r="V2468" s="223"/>
      <c r="W2468" s="223"/>
      <c r="X2468" s="223"/>
      <c r="Y2468" s="223"/>
      <c r="Z2468" s="223"/>
    </row>
    <row r="2469">
      <c r="A2469" s="223" t="str">
        <f>IFERROR(__xludf.DUMMYFUNCTION("""COMPUTED_VALUE"""),"Availed Technologies : Monthly Services")</f>
        <v>Availed Technologies : Monthly Services</v>
      </c>
      <c r="B2469" s="223" t="str">
        <f>IFERROR(__xludf.DUMMYFUNCTION("""COMPUTED_VALUE"""),"Availed Technologies")</f>
        <v>Availed Technologies</v>
      </c>
      <c r="C2469" s="223" t="str">
        <f>IFERROR(__xludf.DUMMYFUNCTION("""COMPUTED_VALUE"""),"Monthly Services")</f>
        <v>Monthly Services</v>
      </c>
      <c r="D2469" s="316">
        <f>IFERROR(__xludf.DUMMYFUNCTION("""COMPUTED_VALUE"""),44985.0)</f>
        <v>44985</v>
      </c>
      <c r="E2469" s="298"/>
      <c r="F2469" s="298"/>
      <c r="G2469" s="298"/>
      <c r="H2469" s="223"/>
      <c r="I2469" s="298">
        <f>IFERROR(__xludf.DUMMYFUNCTION("""COMPUTED_VALUE"""),12.02)</f>
        <v>12.02</v>
      </c>
      <c r="J2469" s="223" t="str">
        <f>IFERROR(__xludf.DUMMYFUNCTION("""COMPUTED_VALUE"""),"Monthly")</f>
        <v>Monthly</v>
      </c>
      <c r="K2469" s="317">
        <f>IFERROR(__xludf.DUMMYFUNCTION("""COMPUTED_VALUE"""),2023.02)</f>
        <v>2023.02</v>
      </c>
      <c r="L2469" s="298"/>
      <c r="M2469" s="223"/>
      <c r="N2469" s="223"/>
      <c r="O2469" s="223"/>
      <c r="P2469" s="223"/>
      <c r="Q2469" s="223"/>
      <c r="R2469" s="223"/>
      <c r="S2469" s="223"/>
      <c r="T2469" s="223"/>
      <c r="U2469" s="223"/>
      <c r="V2469" s="223"/>
      <c r="W2469" s="223"/>
      <c r="X2469" s="223"/>
      <c r="Y2469" s="223"/>
      <c r="Z2469" s="223"/>
    </row>
    <row r="2470">
      <c r="A2470" s="223" t="str">
        <f>IFERROR(__xludf.DUMMYFUNCTION("""COMPUTED_VALUE"""),"Booginhead : Monthly Services")</f>
        <v>Booginhead : Monthly Services</v>
      </c>
      <c r="B2470" s="223" t="str">
        <f>IFERROR(__xludf.DUMMYFUNCTION("""COMPUTED_VALUE"""),"Booginhead")</f>
        <v>Booginhead</v>
      </c>
      <c r="C2470" s="223" t="str">
        <f>IFERROR(__xludf.DUMMYFUNCTION("""COMPUTED_VALUE"""),"Monthly Services")</f>
        <v>Monthly Services</v>
      </c>
      <c r="D2470" s="316">
        <f>IFERROR(__xludf.DUMMYFUNCTION("""COMPUTED_VALUE"""),44985.0)</f>
        <v>44985</v>
      </c>
      <c r="E2470" s="298"/>
      <c r="F2470" s="298"/>
      <c r="G2470" s="298"/>
      <c r="H2470" s="223"/>
      <c r="I2470" s="298">
        <f>IFERROR(__xludf.DUMMYFUNCTION("""COMPUTED_VALUE"""),14.67)</f>
        <v>14.67</v>
      </c>
      <c r="J2470" s="223" t="str">
        <f>IFERROR(__xludf.DUMMYFUNCTION("""COMPUTED_VALUE"""),"Monthly")</f>
        <v>Monthly</v>
      </c>
      <c r="K2470" s="317">
        <f>IFERROR(__xludf.DUMMYFUNCTION("""COMPUTED_VALUE"""),2023.02)</f>
        <v>2023.02</v>
      </c>
      <c r="L2470" s="298"/>
      <c r="M2470" s="223"/>
      <c r="N2470" s="223"/>
      <c r="O2470" s="223"/>
      <c r="P2470" s="223"/>
      <c r="Q2470" s="223"/>
      <c r="R2470" s="223"/>
      <c r="S2470" s="223"/>
      <c r="T2470" s="223"/>
      <c r="U2470" s="223"/>
      <c r="V2470" s="223"/>
      <c r="W2470" s="223"/>
      <c r="X2470" s="223"/>
      <c r="Y2470" s="223"/>
      <c r="Z2470" s="223"/>
    </row>
    <row r="2471">
      <c r="A2471" s="223" t="str">
        <f>IFERROR(__xludf.DUMMYFUNCTION("""COMPUTED_VALUE"""),"Canyon's Construction : Web Presence &amp; SEO Project")</f>
        <v>Canyon's Construction : Web Presence &amp; SEO Project</v>
      </c>
      <c r="B2471" s="223" t="str">
        <f>IFERROR(__xludf.DUMMYFUNCTION("""COMPUTED_VALUE"""),"Canyon's Construction")</f>
        <v>Canyon's Construction</v>
      </c>
      <c r="C2471" s="223" t="str">
        <f>IFERROR(__xludf.DUMMYFUNCTION("""COMPUTED_VALUE"""),"Web Presence &amp; SEO Project")</f>
        <v>Web Presence &amp; SEO Project</v>
      </c>
      <c r="D2471" s="316">
        <f>IFERROR(__xludf.DUMMYFUNCTION("""COMPUTED_VALUE"""),44985.0)</f>
        <v>44985</v>
      </c>
      <c r="E2471" s="298"/>
      <c r="F2471" s="298"/>
      <c r="G2471" s="298"/>
      <c r="H2471" s="223"/>
      <c r="I2471" s="298">
        <f>IFERROR(__xludf.DUMMYFUNCTION("""COMPUTED_VALUE"""),9.46)</f>
        <v>9.46</v>
      </c>
      <c r="J2471" s="223" t="str">
        <f>IFERROR(__xludf.DUMMYFUNCTION("""COMPUTED_VALUE"""),"Fixed Project")</f>
        <v>Fixed Project</v>
      </c>
      <c r="K2471" s="317">
        <f>IFERROR(__xludf.DUMMYFUNCTION("""COMPUTED_VALUE"""),2023.0)</f>
        <v>2023</v>
      </c>
      <c r="L2471" s="298"/>
      <c r="M2471" s="223"/>
      <c r="N2471" s="223"/>
      <c r="O2471" s="223"/>
      <c r="P2471" s="223"/>
      <c r="Q2471" s="223"/>
      <c r="R2471" s="223"/>
      <c r="S2471" s="223"/>
      <c r="T2471" s="223"/>
      <c r="U2471" s="223"/>
      <c r="V2471" s="223"/>
      <c r="W2471" s="223"/>
      <c r="X2471" s="223"/>
      <c r="Y2471" s="223"/>
      <c r="Z2471" s="223"/>
    </row>
    <row r="2472">
      <c r="A2472" s="223" t="str">
        <f>IFERROR(__xludf.DUMMYFUNCTION("""COMPUTED_VALUE"""),"Community Financials : Monthly Services")</f>
        <v>Community Financials : Monthly Services</v>
      </c>
      <c r="B2472" s="223" t="str">
        <f>IFERROR(__xludf.DUMMYFUNCTION("""COMPUTED_VALUE"""),"Community Financials")</f>
        <v>Community Financials</v>
      </c>
      <c r="C2472" s="223" t="str">
        <f>IFERROR(__xludf.DUMMYFUNCTION("""COMPUTED_VALUE"""),"Monthly Services")</f>
        <v>Monthly Services</v>
      </c>
      <c r="D2472" s="316">
        <f>IFERROR(__xludf.DUMMYFUNCTION("""COMPUTED_VALUE"""),44985.0)</f>
        <v>44985</v>
      </c>
      <c r="E2472" s="298"/>
      <c r="F2472" s="298"/>
      <c r="G2472" s="298"/>
      <c r="H2472" s="223"/>
      <c r="I2472" s="298">
        <f>IFERROR(__xludf.DUMMYFUNCTION("""COMPUTED_VALUE"""),64.07)</f>
        <v>64.07</v>
      </c>
      <c r="J2472" s="223" t="str">
        <f>IFERROR(__xludf.DUMMYFUNCTION("""COMPUTED_VALUE"""),"Monthly")</f>
        <v>Monthly</v>
      </c>
      <c r="K2472" s="317">
        <f>IFERROR(__xludf.DUMMYFUNCTION("""COMPUTED_VALUE"""),2023.02)</f>
        <v>2023.02</v>
      </c>
      <c r="L2472" s="298"/>
      <c r="M2472" s="223"/>
      <c r="N2472" s="223"/>
      <c r="O2472" s="223"/>
      <c r="P2472" s="223"/>
      <c r="Q2472" s="223"/>
      <c r="R2472" s="223"/>
      <c r="S2472" s="223"/>
      <c r="T2472" s="223"/>
      <c r="U2472" s="223"/>
      <c r="V2472" s="223"/>
      <c r="W2472" s="223"/>
      <c r="X2472" s="223"/>
      <c r="Y2472" s="223"/>
      <c r="Z2472" s="223"/>
    </row>
    <row r="2473">
      <c r="A2473" s="223" t="str">
        <f>IFERROR(__xludf.DUMMYFUNCTION("""COMPUTED_VALUE"""),"McAllister Marketing : Copernic PPC / SEO")</f>
        <v>McAllister Marketing : Copernic PPC / SEO</v>
      </c>
      <c r="B2473" s="223" t="str">
        <f>IFERROR(__xludf.DUMMYFUNCTION("""COMPUTED_VALUE"""),"McAllister Marketing")</f>
        <v>McAllister Marketing</v>
      </c>
      <c r="C2473" s="223" t="str">
        <f>IFERROR(__xludf.DUMMYFUNCTION("""COMPUTED_VALUE"""),"Copernic PPC / SEO")</f>
        <v>Copernic PPC / SEO</v>
      </c>
      <c r="D2473" s="316">
        <f>IFERROR(__xludf.DUMMYFUNCTION("""COMPUTED_VALUE"""),44985.0)</f>
        <v>44985</v>
      </c>
      <c r="E2473" s="298"/>
      <c r="F2473" s="298"/>
      <c r="G2473" s="298"/>
      <c r="H2473" s="223"/>
      <c r="I2473" s="298">
        <f>IFERROR(__xludf.DUMMYFUNCTION("""COMPUTED_VALUE"""),723.46)</f>
        <v>723.46</v>
      </c>
      <c r="J2473" s="223" t="str">
        <f>IFERROR(__xludf.DUMMYFUNCTION("""COMPUTED_VALUE"""),"Monthly")</f>
        <v>Monthly</v>
      </c>
      <c r="K2473" s="317">
        <f>IFERROR(__xludf.DUMMYFUNCTION("""COMPUTED_VALUE"""),2023.02)</f>
        <v>2023.02</v>
      </c>
      <c r="L2473" s="298"/>
      <c r="M2473" s="223"/>
      <c r="N2473" s="223"/>
      <c r="O2473" s="223"/>
      <c r="P2473" s="223"/>
      <c r="Q2473" s="223"/>
      <c r="R2473" s="223"/>
      <c r="S2473" s="223"/>
      <c r="T2473" s="223"/>
      <c r="U2473" s="223"/>
      <c r="V2473" s="223"/>
      <c r="W2473" s="223"/>
      <c r="X2473" s="223"/>
      <c r="Y2473" s="223"/>
      <c r="Z2473" s="223"/>
    </row>
    <row r="2474">
      <c r="A2474" s="223" t="str">
        <f>IFERROR(__xludf.DUMMYFUNCTION("""COMPUTED_VALUE"""),"ESKO Pacific : Website Rebuild")</f>
        <v>ESKO Pacific : Website Rebuild</v>
      </c>
      <c r="B2474" s="223" t="str">
        <f>IFERROR(__xludf.DUMMYFUNCTION("""COMPUTED_VALUE"""),"ESKO Pacific")</f>
        <v>ESKO Pacific</v>
      </c>
      <c r="C2474" s="223" t="str">
        <f>IFERROR(__xludf.DUMMYFUNCTION("""COMPUTED_VALUE"""),"Website Rebuild")</f>
        <v>Website Rebuild</v>
      </c>
      <c r="D2474" s="316">
        <f>IFERROR(__xludf.DUMMYFUNCTION("""COMPUTED_VALUE"""),44985.0)</f>
        <v>44985</v>
      </c>
      <c r="E2474" s="298"/>
      <c r="F2474" s="298"/>
      <c r="G2474" s="298"/>
      <c r="H2474" s="223"/>
      <c r="I2474" s="298">
        <f>IFERROR(__xludf.DUMMYFUNCTION("""COMPUTED_VALUE"""),916.58)</f>
        <v>916.58</v>
      </c>
      <c r="J2474" s="223" t="str">
        <f>IFERROR(__xludf.DUMMYFUNCTION("""COMPUTED_VALUE"""),"Fixed Project")</f>
        <v>Fixed Project</v>
      </c>
      <c r="K2474" s="317">
        <f>IFERROR(__xludf.DUMMYFUNCTION("""COMPUTED_VALUE"""),2023.0)</f>
        <v>2023</v>
      </c>
      <c r="L2474" s="298"/>
      <c r="M2474" s="223"/>
      <c r="N2474" s="223"/>
      <c r="O2474" s="223"/>
      <c r="P2474" s="223"/>
      <c r="Q2474" s="223"/>
      <c r="R2474" s="223"/>
      <c r="S2474" s="223"/>
      <c r="T2474" s="223"/>
      <c r="U2474" s="223"/>
      <c r="V2474" s="223"/>
      <c r="W2474" s="223"/>
      <c r="X2474" s="223"/>
      <c r="Y2474" s="223"/>
      <c r="Z2474" s="223"/>
    </row>
    <row r="2475">
      <c r="A2475" s="223" t="str">
        <f>IFERROR(__xludf.DUMMYFUNCTION("""COMPUTED_VALUE"""),"Crisp Media : GA4 Upgrade")</f>
        <v>Crisp Media : GA4 Upgrade</v>
      </c>
      <c r="B2475" s="223" t="str">
        <f>IFERROR(__xludf.DUMMYFUNCTION("""COMPUTED_VALUE"""),"Crisp Media")</f>
        <v>Crisp Media</v>
      </c>
      <c r="C2475" s="223" t="str">
        <f>IFERROR(__xludf.DUMMYFUNCTION("""COMPUTED_VALUE"""),"GA4 Upgrade")</f>
        <v>GA4 Upgrade</v>
      </c>
      <c r="D2475" s="316">
        <f>IFERROR(__xludf.DUMMYFUNCTION("""COMPUTED_VALUE"""),44985.0)</f>
        <v>44985</v>
      </c>
      <c r="E2475" s="298"/>
      <c r="F2475" s="298"/>
      <c r="G2475" s="298"/>
      <c r="H2475" s="223"/>
      <c r="I2475" s="298">
        <f>IFERROR(__xludf.DUMMYFUNCTION("""COMPUTED_VALUE"""),222.26)</f>
        <v>222.26</v>
      </c>
      <c r="J2475" s="223" t="str">
        <f>IFERROR(__xludf.DUMMYFUNCTION("""COMPUTED_VALUE"""),"Fixed Project")</f>
        <v>Fixed Project</v>
      </c>
      <c r="K2475" s="317">
        <f>IFERROR(__xludf.DUMMYFUNCTION("""COMPUTED_VALUE"""),2023.0)</f>
        <v>2023</v>
      </c>
      <c r="L2475" s="298"/>
      <c r="M2475" s="223"/>
      <c r="N2475" s="223"/>
      <c r="O2475" s="223"/>
      <c r="P2475" s="223"/>
      <c r="Q2475" s="223"/>
      <c r="R2475" s="223"/>
      <c r="S2475" s="223"/>
      <c r="T2475" s="223"/>
      <c r="U2475" s="223"/>
      <c r="V2475" s="223"/>
      <c r="W2475" s="223"/>
      <c r="X2475" s="223"/>
      <c r="Y2475" s="223"/>
      <c r="Z2475" s="223"/>
    </row>
    <row r="2476">
      <c r="A2476" s="223" t="str">
        <f>IFERROR(__xludf.DUMMYFUNCTION("""COMPUTED_VALUE"""),"Continuity Programs Inc. : Other Projects")</f>
        <v>Continuity Programs Inc. : Other Projects</v>
      </c>
      <c r="B2476" s="223" t="str">
        <f>IFERROR(__xludf.DUMMYFUNCTION("""COMPUTED_VALUE"""),"Continuity Programs Inc.")</f>
        <v>Continuity Programs Inc.</v>
      </c>
      <c r="C2476" s="223" t="str">
        <f>IFERROR(__xludf.DUMMYFUNCTION("""COMPUTED_VALUE"""),"Other Projects")</f>
        <v>Other Projects</v>
      </c>
      <c r="D2476" s="316">
        <f>IFERROR(__xludf.DUMMYFUNCTION("""COMPUTED_VALUE"""),44985.0)</f>
        <v>44985</v>
      </c>
      <c r="E2476" s="298"/>
      <c r="F2476" s="298"/>
      <c r="G2476" s="298"/>
      <c r="H2476" s="223"/>
      <c r="I2476" s="298">
        <f>IFERROR(__xludf.DUMMYFUNCTION("""COMPUTED_VALUE"""),164.95999999999998)</f>
        <v>164.96</v>
      </c>
      <c r="J2476" s="223" t="str">
        <f>IFERROR(__xludf.DUMMYFUNCTION("""COMPUTED_VALUE"""),"Fixed Project")</f>
        <v>Fixed Project</v>
      </c>
      <c r="K2476" s="317">
        <f>IFERROR(__xludf.DUMMYFUNCTION("""COMPUTED_VALUE"""),2023.0)</f>
        <v>2023</v>
      </c>
      <c r="L2476" s="298"/>
      <c r="M2476" s="223"/>
      <c r="N2476" s="223"/>
      <c r="O2476" s="223"/>
      <c r="P2476" s="223"/>
      <c r="Q2476" s="223"/>
      <c r="R2476" s="223"/>
      <c r="S2476" s="223"/>
      <c r="T2476" s="223"/>
      <c r="U2476" s="223"/>
      <c r="V2476" s="223"/>
      <c r="W2476" s="223"/>
      <c r="X2476" s="223"/>
      <c r="Y2476" s="223"/>
      <c r="Z2476" s="223"/>
    </row>
    <row r="2477">
      <c r="A2477" s="223" t="str">
        <f>IFERROR(__xludf.DUMMYFUNCTION("""COMPUTED_VALUE"""),"Hastings House : Monthly Services")</f>
        <v>Hastings House : Monthly Services</v>
      </c>
      <c r="B2477" s="223" t="str">
        <f>IFERROR(__xludf.DUMMYFUNCTION("""COMPUTED_VALUE"""),"Hastings House")</f>
        <v>Hastings House</v>
      </c>
      <c r="C2477" s="223" t="str">
        <f>IFERROR(__xludf.DUMMYFUNCTION("""COMPUTED_VALUE"""),"Monthly Services")</f>
        <v>Monthly Services</v>
      </c>
      <c r="D2477" s="316">
        <f>IFERROR(__xludf.DUMMYFUNCTION("""COMPUTED_VALUE"""),44985.0)</f>
        <v>44985</v>
      </c>
      <c r="E2477" s="298"/>
      <c r="F2477" s="298"/>
      <c r="G2477" s="298"/>
      <c r="H2477" s="223"/>
      <c r="I2477" s="298">
        <f>IFERROR(__xludf.DUMMYFUNCTION("""COMPUTED_VALUE"""),85.38)</f>
        <v>85.38</v>
      </c>
      <c r="J2477" s="223" t="str">
        <f>IFERROR(__xludf.DUMMYFUNCTION("""COMPUTED_VALUE"""),"Monthly")</f>
        <v>Monthly</v>
      </c>
      <c r="K2477" s="317">
        <f>IFERROR(__xludf.DUMMYFUNCTION("""COMPUTED_VALUE"""),2023.02)</f>
        <v>2023.02</v>
      </c>
      <c r="L2477" s="298"/>
      <c r="M2477" s="223"/>
      <c r="N2477" s="223"/>
      <c r="O2477" s="223"/>
      <c r="P2477" s="223"/>
      <c r="Q2477" s="223"/>
      <c r="R2477" s="223"/>
      <c r="S2477" s="223"/>
      <c r="T2477" s="223"/>
      <c r="U2477" s="223"/>
      <c r="V2477" s="223"/>
      <c r="W2477" s="223"/>
      <c r="X2477" s="223"/>
      <c r="Y2477" s="223"/>
      <c r="Z2477" s="223"/>
    </row>
    <row r="2478">
      <c r="A2478" s="223" t="str">
        <f>IFERROR(__xludf.DUMMYFUNCTION("""COMPUTED_VALUE"""),"PlusROI : Admin")</f>
        <v>PlusROI : Admin</v>
      </c>
      <c r="B2478" s="223" t="str">
        <f>IFERROR(__xludf.DUMMYFUNCTION("""COMPUTED_VALUE"""),"PlusROI")</f>
        <v>PlusROI</v>
      </c>
      <c r="C2478" s="223" t="str">
        <f>IFERROR(__xludf.DUMMYFUNCTION("""COMPUTED_VALUE"""),"Admin")</f>
        <v>Admin</v>
      </c>
      <c r="D2478" s="316">
        <f>IFERROR(__xludf.DUMMYFUNCTION("""COMPUTED_VALUE"""),44985.0)</f>
        <v>44985</v>
      </c>
      <c r="E2478" s="298"/>
      <c r="F2478" s="298"/>
      <c r="G2478" s="298"/>
      <c r="H2478" s="223"/>
      <c r="I2478" s="298">
        <f>IFERROR(__xludf.DUMMYFUNCTION("""COMPUTED_VALUE"""),651.62)</f>
        <v>651.62</v>
      </c>
      <c r="J2478" s="223" t="str">
        <f>IFERROR(__xludf.DUMMYFUNCTION("""COMPUTED_VALUE"""),"Hourly")</f>
        <v>Hourly</v>
      </c>
      <c r="K2478" s="317">
        <f>IFERROR(__xludf.DUMMYFUNCTION("""COMPUTED_VALUE"""),2023.0)</f>
        <v>2023</v>
      </c>
      <c r="L2478" s="298"/>
      <c r="M2478" s="223"/>
      <c r="N2478" s="223"/>
      <c r="O2478" s="223"/>
      <c r="P2478" s="223"/>
      <c r="Q2478" s="223"/>
      <c r="R2478" s="223"/>
      <c r="S2478" s="223"/>
      <c r="T2478" s="223"/>
      <c r="U2478" s="223"/>
      <c r="V2478" s="223"/>
      <c r="W2478" s="223"/>
      <c r="X2478" s="223"/>
      <c r="Y2478" s="223"/>
      <c r="Z2478" s="223"/>
    </row>
    <row r="2479">
      <c r="A2479" s="223" t="str">
        <f>IFERROR(__xludf.DUMMYFUNCTION("""COMPUTED_VALUE"""),"PMDI : Monthly Services")</f>
        <v>PMDI : Monthly Services</v>
      </c>
      <c r="B2479" s="223" t="str">
        <f>IFERROR(__xludf.DUMMYFUNCTION("""COMPUTED_VALUE"""),"PMDI")</f>
        <v>PMDI</v>
      </c>
      <c r="C2479" s="223" t="str">
        <f>IFERROR(__xludf.DUMMYFUNCTION("""COMPUTED_VALUE"""),"Monthly Services")</f>
        <v>Monthly Services</v>
      </c>
      <c r="D2479" s="316">
        <f>IFERROR(__xludf.DUMMYFUNCTION("""COMPUTED_VALUE"""),44985.0)</f>
        <v>44985</v>
      </c>
      <c r="E2479" s="298"/>
      <c r="F2479" s="298"/>
      <c r="G2479" s="298"/>
      <c r="H2479" s="223"/>
      <c r="I2479" s="298">
        <f>IFERROR(__xludf.DUMMYFUNCTION("""COMPUTED_VALUE"""),20.92)</f>
        <v>20.92</v>
      </c>
      <c r="J2479" s="223" t="str">
        <f>IFERROR(__xludf.DUMMYFUNCTION("""COMPUTED_VALUE"""),"Monthly")</f>
        <v>Monthly</v>
      </c>
      <c r="K2479" s="317">
        <f>IFERROR(__xludf.DUMMYFUNCTION("""COMPUTED_VALUE"""),2023.02)</f>
        <v>2023.02</v>
      </c>
      <c r="L2479" s="298"/>
      <c r="M2479" s="223"/>
      <c r="N2479" s="223"/>
      <c r="O2479" s="223"/>
      <c r="P2479" s="223"/>
      <c r="Q2479" s="223"/>
      <c r="R2479" s="223"/>
      <c r="S2479" s="223"/>
      <c r="T2479" s="223"/>
      <c r="U2479" s="223"/>
      <c r="V2479" s="223"/>
      <c r="W2479" s="223"/>
      <c r="X2479" s="223"/>
      <c r="Y2479" s="223"/>
      <c r="Z2479" s="223"/>
    </row>
    <row r="2480">
      <c r="A2480" s="223" t="str">
        <f>IFERROR(__xludf.DUMMYFUNCTION("""COMPUTED_VALUE"""),"Rama Meditation Society : Premium Hosting + Support")</f>
        <v>Rama Meditation Society : Premium Hosting + Support</v>
      </c>
      <c r="B2480" s="223" t="str">
        <f>IFERROR(__xludf.DUMMYFUNCTION("""COMPUTED_VALUE"""),"Rama Meditation Society")</f>
        <v>Rama Meditation Society</v>
      </c>
      <c r="C2480" s="223" t="str">
        <f>IFERROR(__xludf.DUMMYFUNCTION("""COMPUTED_VALUE"""),"Premium Hosting + Support")</f>
        <v>Premium Hosting + Support</v>
      </c>
      <c r="D2480" s="316">
        <f>IFERROR(__xludf.DUMMYFUNCTION("""COMPUTED_VALUE"""),44985.0)</f>
        <v>44985</v>
      </c>
      <c r="E2480" s="298"/>
      <c r="F2480" s="298"/>
      <c r="G2480" s="298"/>
      <c r="H2480" s="223"/>
      <c r="I2480" s="298">
        <f>IFERROR(__xludf.DUMMYFUNCTION("""COMPUTED_VALUE"""),2.66)</f>
        <v>2.66</v>
      </c>
      <c r="J2480" s="223" t="str">
        <f>IFERROR(__xludf.DUMMYFUNCTION("""COMPUTED_VALUE"""),"Not Set")</f>
        <v>Not Set</v>
      </c>
      <c r="K2480" s="317">
        <f>IFERROR(__xludf.DUMMYFUNCTION("""COMPUTED_VALUE"""),2023.0)</f>
        <v>2023</v>
      </c>
      <c r="L2480" s="298"/>
      <c r="M2480" s="223"/>
      <c r="N2480" s="223"/>
      <c r="O2480" s="223"/>
      <c r="P2480" s="223"/>
      <c r="Q2480" s="223"/>
      <c r="R2480" s="223"/>
      <c r="S2480" s="223"/>
      <c r="T2480" s="223"/>
      <c r="U2480" s="223"/>
      <c r="V2480" s="223"/>
      <c r="W2480" s="223"/>
      <c r="X2480" s="223"/>
      <c r="Y2480" s="223"/>
      <c r="Z2480" s="223"/>
    </row>
    <row r="2481">
      <c r="A2481" s="223" t="str">
        <f>IFERROR(__xludf.DUMMYFUNCTION("""COMPUTED_VALUE"""),"Red Seal : Monthly Services")</f>
        <v>Red Seal : Monthly Services</v>
      </c>
      <c r="B2481" s="223" t="str">
        <f>IFERROR(__xludf.DUMMYFUNCTION("""COMPUTED_VALUE"""),"Red Seal")</f>
        <v>Red Seal</v>
      </c>
      <c r="C2481" s="223" t="str">
        <f>IFERROR(__xludf.DUMMYFUNCTION("""COMPUTED_VALUE"""),"Monthly Services")</f>
        <v>Monthly Services</v>
      </c>
      <c r="D2481" s="316">
        <f>IFERROR(__xludf.DUMMYFUNCTION("""COMPUTED_VALUE"""),44985.0)</f>
        <v>44985</v>
      </c>
      <c r="E2481" s="298"/>
      <c r="F2481" s="298"/>
      <c r="G2481" s="298"/>
      <c r="H2481" s="223"/>
      <c r="I2481" s="298">
        <f>IFERROR(__xludf.DUMMYFUNCTION("""COMPUTED_VALUE"""),156.0)</f>
        <v>156</v>
      </c>
      <c r="J2481" s="223" t="str">
        <f>IFERROR(__xludf.DUMMYFUNCTION("""COMPUTED_VALUE"""),"Monthly")</f>
        <v>Monthly</v>
      </c>
      <c r="K2481" s="317">
        <f>IFERROR(__xludf.DUMMYFUNCTION("""COMPUTED_VALUE"""),2023.02)</f>
        <v>2023.02</v>
      </c>
      <c r="L2481" s="298"/>
      <c r="M2481" s="223"/>
      <c r="N2481" s="223"/>
      <c r="O2481" s="223"/>
      <c r="P2481" s="223"/>
      <c r="Q2481" s="223"/>
      <c r="R2481" s="223"/>
      <c r="S2481" s="223"/>
      <c r="T2481" s="223"/>
      <c r="U2481" s="223"/>
      <c r="V2481" s="223"/>
      <c r="W2481" s="223"/>
      <c r="X2481" s="223"/>
      <c r="Y2481" s="223"/>
      <c r="Z2481" s="223"/>
    </row>
    <row r="2482">
      <c r="A2482" s="223" t="str">
        <f>IFERROR(__xludf.DUMMYFUNCTION("""COMPUTED_VALUE"""),"Salty Waffle : General Support")</f>
        <v>Salty Waffle : General Support</v>
      </c>
      <c r="B2482" s="223" t="str">
        <f>IFERROR(__xludf.DUMMYFUNCTION("""COMPUTED_VALUE"""),"Salty Waffle")</f>
        <v>Salty Waffle</v>
      </c>
      <c r="C2482" s="223" t="str">
        <f>IFERROR(__xludf.DUMMYFUNCTION("""COMPUTED_VALUE"""),"General Support")</f>
        <v>General Support</v>
      </c>
      <c r="D2482" s="316">
        <f>IFERROR(__xludf.DUMMYFUNCTION("""COMPUTED_VALUE"""),44985.0)</f>
        <v>44985</v>
      </c>
      <c r="E2482" s="298"/>
      <c r="F2482" s="298"/>
      <c r="G2482" s="298"/>
      <c r="H2482" s="223"/>
      <c r="I2482" s="298">
        <f>IFERROR(__xludf.DUMMYFUNCTION("""COMPUTED_VALUE"""),11.22)</f>
        <v>11.22</v>
      </c>
      <c r="J2482" s="223" t="str">
        <f>IFERROR(__xludf.DUMMYFUNCTION("""COMPUTED_VALUE"""),"Fixed Project")</f>
        <v>Fixed Project</v>
      </c>
      <c r="K2482" s="317">
        <f>IFERROR(__xludf.DUMMYFUNCTION("""COMPUTED_VALUE"""),2023.0)</f>
        <v>2023</v>
      </c>
      <c r="L2482" s="298"/>
      <c r="M2482" s="223"/>
      <c r="N2482" s="223"/>
      <c r="O2482" s="223"/>
      <c r="P2482" s="223"/>
      <c r="Q2482" s="223"/>
      <c r="R2482" s="223"/>
      <c r="S2482" s="223"/>
      <c r="T2482" s="223"/>
      <c r="U2482" s="223"/>
      <c r="V2482" s="223"/>
      <c r="W2482" s="223"/>
      <c r="X2482" s="223"/>
      <c r="Y2482" s="223"/>
      <c r="Z2482" s="223"/>
    </row>
    <row r="2483">
      <c r="A2483" s="223" t="str">
        <f>IFERROR(__xludf.DUMMYFUNCTION("""COMPUTED_VALUE"""),"Sharon Wardle : 5 Hours General Support")</f>
        <v>Sharon Wardle : 5 Hours General Support</v>
      </c>
      <c r="B2483" s="223" t="str">
        <f>IFERROR(__xludf.DUMMYFUNCTION("""COMPUTED_VALUE"""),"Sharon Wardle")</f>
        <v>Sharon Wardle</v>
      </c>
      <c r="C2483" s="223" t="str">
        <f>IFERROR(__xludf.DUMMYFUNCTION("""COMPUTED_VALUE"""),"5 Hours General Support")</f>
        <v>5 Hours General Support</v>
      </c>
      <c r="D2483" s="316">
        <f>IFERROR(__xludf.DUMMYFUNCTION("""COMPUTED_VALUE"""),44985.0)</f>
        <v>44985</v>
      </c>
      <c r="E2483" s="298"/>
      <c r="F2483" s="298"/>
      <c r="G2483" s="298"/>
      <c r="H2483" s="223"/>
      <c r="I2483" s="298">
        <f>IFERROR(__xludf.DUMMYFUNCTION("""COMPUTED_VALUE"""),5.22)</f>
        <v>5.22</v>
      </c>
      <c r="J2483" s="223" t="str">
        <f>IFERROR(__xludf.DUMMYFUNCTION("""COMPUTED_VALUE"""),"Fixed Project")</f>
        <v>Fixed Project</v>
      </c>
      <c r="K2483" s="317">
        <f>IFERROR(__xludf.DUMMYFUNCTION("""COMPUTED_VALUE"""),2023.0)</f>
        <v>2023</v>
      </c>
      <c r="L2483" s="298"/>
      <c r="M2483" s="223"/>
      <c r="N2483" s="223"/>
      <c r="O2483" s="223"/>
      <c r="P2483" s="223"/>
      <c r="Q2483" s="223"/>
      <c r="R2483" s="223"/>
      <c r="S2483" s="223"/>
      <c r="T2483" s="223"/>
      <c r="U2483" s="223"/>
      <c r="V2483" s="223"/>
      <c r="W2483" s="223"/>
      <c r="X2483" s="223"/>
      <c r="Y2483" s="223"/>
      <c r="Z2483" s="223"/>
    </row>
    <row r="2484">
      <c r="A2484" s="223" t="str">
        <f>IFERROR(__xludf.DUMMYFUNCTION("""COMPUTED_VALUE"""),"Spraggs : Monthly Services")</f>
        <v>Spraggs : Monthly Services</v>
      </c>
      <c r="B2484" s="223" t="str">
        <f>IFERROR(__xludf.DUMMYFUNCTION("""COMPUTED_VALUE"""),"Spraggs")</f>
        <v>Spraggs</v>
      </c>
      <c r="C2484" s="223" t="str">
        <f>IFERROR(__xludf.DUMMYFUNCTION("""COMPUTED_VALUE"""),"Monthly Services")</f>
        <v>Monthly Services</v>
      </c>
      <c r="D2484" s="316">
        <f>IFERROR(__xludf.DUMMYFUNCTION("""COMPUTED_VALUE"""),44985.0)</f>
        <v>44985</v>
      </c>
      <c r="E2484" s="298"/>
      <c r="F2484" s="298"/>
      <c r="G2484" s="298"/>
      <c r="H2484" s="223"/>
      <c r="I2484" s="298">
        <f>IFERROR(__xludf.DUMMYFUNCTION("""COMPUTED_VALUE"""),74.72)</f>
        <v>74.72</v>
      </c>
      <c r="J2484" s="223" t="str">
        <f>IFERROR(__xludf.DUMMYFUNCTION("""COMPUTED_VALUE"""),"Monthly")</f>
        <v>Monthly</v>
      </c>
      <c r="K2484" s="317">
        <f>IFERROR(__xludf.DUMMYFUNCTION("""COMPUTED_VALUE"""),2023.02)</f>
        <v>2023.02</v>
      </c>
      <c r="L2484" s="298"/>
      <c r="M2484" s="223"/>
      <c r="N2484" s="223"/>
      <c r="O2484" s="223"/>
      <c r="P2484" s="223"/>
      <c r="Q2484" s="223"/>
      <c r="R2484" s="223"/>
      <c r="S2484" s="223"/>
      <c r="T2484" s="223"/>
      <c r="U2484" s="223"/>
      <c r="V2484" s="223"/>
      <c r="W2484" s="223"/>
      <c r="X2484" s="223"/>
      <c r="Y2484" s="223"/>
      <c r="Z2484" s="223"/>
    </row>
    <row r="2485">
      <c r="A2485" s="223" t="str">
        <f>IFERROR(__xludf.DUMMYFUNCTION("""COMPUTED_VALUE"""),"Terra Insights : GA4 Upgrade")</f>
        <v>Terra Insights : GA4 Upgrade</v>
      </c>
      <c r="B2485" s="223" t="str">
        <f>IFERROR(__xludf.DUMMYFUNCTION("""COMPUTED_VALUE"""),"Terra Insights")</f>
        <v>Terra Insights</v>
      </c>
      <c r="C2485" s="223" t="str">
        <f>IFERROR(__xludf.DUMMYFUNCTION("""COMPUTED_VALUE"""),"GA4 Upgrade")</f>
        <v>GA4 Upgrade</v>
      </c>
      <c r="D2485" s="316">
        <f>IFERROR(__xludf.DUMMYFUNCTION("""COMPUTED_VALUE"""),44985.0)</f>
        <v>44985</v>
      </c>
      <c r="E2485" s="298"/>
      <c r="F2485" s="298"/>
      <c r="G2485" s="298"/>
      <c r="H2485" s="223"/>
      <c r="I2485" s="298">
        <f>IFERROR(__xludf.DUMMYFUNCTION("""COMPUTED_VALUE"""),894.42)</f>
        <v>894.42</v>
      </c>
      <c r="J2485" s="223" t="str">
        <f>IFERROR(__xludf.DUMMYFUNCTION("""COMPUTED_VALUE"""),"Fixed Project")</f>
        <v>Fixed Project</v>
      </c>
      <c r="K2485" s="317">
        <f>IFERROR(__xludf.DUMMYFUNCTION("""COMPUTED_VALUE"""),2023.0)</f>
        <v>2023</v>
      </c>
      <c r="L2485" s="298"/>
      <c r="M2485" s="223"/>
      <c r="N2485" s="223"/>
      <c r="O2485" s="223"/>
      <c r="P2485" s="223"/>
      <c r="Q2485" s="223"/>
      <c r="R2485" s="223"/>
      <c r="S2485" s="223"/>
      <c r="T2485" s="223"/>
      <c r="U2485" s="223"/>
      <c r="V2485" s="223"/>
      <c r="W2485" s="223"/>
      <c r="X2485" s="223"/>
      <c r="Y2485" s="223"/>
      <c r="Z2485" s="223"/>
    </row>
    <row r="2486">
      <c r="A2486" s="223" t="str">
        <f>IFERROR(__xludf.DUMMYFUNCTION("""COMPUTED_VALUE"""),"Terra Insights : GDPR Compliance Update")</f>
        <v>Terra Insights : GDPR Compliance Update</v>
      </c>
      <c r="B2486" s="223" t="str">
        <f>IFERROR(__xludf.DUMMYFUNCTION("""COMPUTED_VALUE"""),"Terra Insights")</f>
        <v>Terra Insights</v>
      </c>
      <c r="C2486" s="223" t="str">
        <f>IFERROR(__xludf.DUMMYFUNCTION("""COMPUTED_VALUE"""),"GDPR Compliance Update")</f>
        <v>GDPR Compliance Update</v>
      </c>
      <c r="D2486" s="316">
        <f>IFERROR(__xludf.DUMMYFUNCTION("""COMPUTED_VALUE"""),44985.0)</f>
        <v>44985</v>
      </c>
      <c r="E2486" s="298"/>
      <c r="F2486" s="298"/>
      <c r="G2486" s="298"/>
      <c r="H2486" s="223"/>
      <c r="I2486" s="298">
        <f>IFERROR(__xludf.DUMMYFUNCTION("""COMPUTED_VALUE"""),146.09)</f>
        <v>146.09</v>
      </c>
      <c r="J2486" s="223" t="str">
        <f>IFERROR(__xludf.DUMMYFUNCTION("""COMPUTED_VALUE"""),"Fixed Project")</f>
        <v>Fixed Project</v>
      </c>
      <c r="K2486" s="317">
        <f>IFERROR(__xludf.DUMMYFUNCTION("""COMPUTED_VALUE"""),2023.0)</f>
        <v>2023</v>
      </c>
      <c r="L2486" s="298"/>
      <c r="M2486" s="223"/>
      <c r="N2486" s="223"/>
      <c r="O2486" s="223"/>
      <c r="P2486" s="223"/>
      <c r="Q2486" s="223"/>
      <c r="R2486" s="223"/>
      <c r="S2486" s="223"/>
      <c r="T2486" s="223"/>
      <c r="U2486" s="223"/>
      <c r="V2486" s="223"/>
      <c r="W2486" s="223"/>
      <c r="X2486" s="223"/>
      <c r="Y2486" s="223"/>
      <c r="Z2486" s="223"/>
    </row>
    <row r="2487">
      <c r="A2487" s="223" t="str">
        <f>IFERROR(__xludf.DUMMYFUNCTION("""COMPUTED_VALUE"""),"Hastings House : Monthly Services")</f>
        <v>Hastings House : Monthly Services</v>
      </c>
      <c r="B2487" s="223" t="str">
        <f>IFERROR(__xludf.DUMMYFUNCTION("""COMPUTED_VALUE"""),"Hastings House")</f>
        <v>Hastings House</v>
      </c>
      <c r="C2487" s="223" t="str">
        <f>IFERROR(__xludf.DUMMYFUNCTION("""COMPUTED_VALUE"""),"Monthly Services")</f>
        <v>Monthly Services</v>
      </c>
      <c r="D2487" s="316">
        <f>IFERROR(__xludf.DUMMYFUNCTION("""COMPUTED_VALUE"""),44985.0)</f>
        <v>44985</v>
      </c>
      <c r="E2487" s="298"/>
      <c r="F2487" s="298"/>
      <c r="G2487" s="298"/>
      <c r="H2487" s="223"/>
      <c r="I2487" s="298">
        <f>IFERROR(__xludf.DUMMYFUNCTION("""COMPUTED_VALUE"""),60.00694444444445)</f>
        <v>60.00694444</v>
      </c>
      <c r="J2487" s="223" t="str">
        <f>IFERROR(__xludf.DUMMYFUNCTION("""COMPUTED_VALUE"""),"Monthly")</f>
        <v>Monthly</v>
      </c>
      <c r="K2487" s="317">
        <f>IFERROR(__xludf.DUMMYFUNCTION("""COMPUTED_VALUE"""),2023.02)</f>
        <v>2023.02</v>
      </c>
      <c r="L2487" s="298"/>
      <c r="M2487" s="223"/>
      <c r="N2487" s="223"/>
      <c r="O2487" s="223"/>
      <c r="P2487" s="223"/>
      <c r="Q2487" s="223"/>
      <c r="R2487" s="223"/>
      <c r="S2487" s="223"/>
      <c r="T2487" s="223"/>
      <c r="U2487" s="223"/>
      <c r="V2487" s="223"/>
      <c r="W2487" s="223"/>
      <c r="X2487" s="223"/>
      <c r="Y2487" s="223"/>
      <c r="Z2487" s="223"/>
    </row>
    <row r="2488">
      <c r="A2488" s="223" t="str">
        <f>IFERROR(__xludf.DUMMYFUNCTION("""COMPUTED_VALUE"""),"The Shore Club : 10 Hour General Support Block")</f>
        <v>The Shore Club : 10 Hour General Support Block</v>
      </c>
      <c r="B2488" s="223" t="str">
        <f>IFERROR(__xludf.DUMMYFUNCTION("""COMPUTED_VALUE"""),"The Shore Club")</f>
        <v>The Shore Club</v>
      </c>
      <c r="C2488" s="223" t="str">
        <f>IFERROR(__xludf.DUMMYFUNCTION("""COMPUTED_VALUE"""),"10 Hour General Support Block")</f>
        <v>10 Hour General Support Block</v>
      </c>
      <c r="D2488" s="316">
        <f>IFERROR(__xludf.DUMMYFUNCTION("""COMPUTED_VALUE"""),44985.0)</f>
        <v>44985</v>
      </c>
      <c r="E2488" s="298"/>
      <c r="F2488" s="298"/>
      <c r="G2488" s="298"/>
      <c r="H2488" s="223"/>
      <c r="I2488" s="298">
        <f>IFERROR(__xludf.DUMMYFUNCTION("""COMPUTED_VALUE"""),49.26)</f>
        <v>49.26</v>
      </c>
      <c r="J2488" s="223" t="str">
        <f>IFERROR(__xludf.DUMMYFUNCTION("""COMPUTED_VALUE"""),"Fixed Project")</f>
        <v>Fixed Project</v>
      </c>
      <c r="K2488" s="317">
        <f>IFERROR(__xludf.DUMMYFUNCTION("""COMPUTED_VALUE"""),2023.0)</f>
        <v>2023</v>
      </c>
      <c r="L2488" s="298"/>
      <c r="M2488" s="223"/>
      <c r="N2488" s="223"/>
      <c r="O2488" s="223"/>
      <c r="P2488" s="223"/>
      <c r="Q2488" s="223"/>
      <c r="R2488" s="223"/>
      <c r="S2488" s="223"/>
      <c r="T2488" s="223"/>
      <c r="U2488" s="223"/>
      <c r="V2488" s="223"/>
      <c r="W2488" s="223"/>
      <c r="X2488" s="223"/>
      <c r="Y2488" s="223"/>
      <c r="Z2488" s="223"/>
    </row>
    <row r="2489">
      <c r="A2489" s="223" t="str">
        <f>IFERROR(__xludf.DUMMYFUNCTION("""COMPUTED_VALUE"""),"TisBest : Monthly Services")</f>
        <v>TisBest : Monthly Services</v>
      </c>
      <c r="B2489" s="223" t="str">
        <f>IFERROR(__xludf.DUMMYFUNCTION("""COMPUTED_VALUE"""),"TisBest")</f>
        <v>TisBest</v>
      </c>
      <c r="C2489" s="223" t="str">
        <f>IFERROR(__xludf.DUMMYFUNCTION("""COMPUTED_VALUE"""),"Monthly Services")</f>
        <v>Monthly Services</v>
      </c>
      <c r="D2489" s="316">
        <f>IFERROR(__xludf.DUMMYFUNCTION("""COMPUTED_VALUE"""),44985.0)</f>
        <v>44985</v>
      </c>
      <c r="E2489" s="298"/>
      <c r="F2489" s="298"/>
      <c r="G2489" s="298"/>
      <c r="H2489" s="223"/>
      <c r="I2489" s="298">
        <f>IFERROR(__xludf.DUMMYFUNCTION("""COMPUTED_VALUE"""),223.88)</f>
        <v>223.88</v>
      </c>
      <c r="J2489" s="223" t="str">
        <f>IFERROR(__xludf.DUMMYFUNCTION("""COMPUTED_VALUE"""),"Monthly")</f>
        <v>Monthly</v>
      </c>
      <c r="K2489" s="317">
        <f>IFERROR(__xludf.DUMMYFUNCTION("""COMPUTED_VALUE"""),2023.02)</f>
        <v>2023.02</v>
      </c>
      <c r="L2489" s="298"/>
      <c r="M2489" s="223"/>
      <c r="N2489" s="223"/>
      <c r="O2489" s="223"/>
      <c r="P2489" s="223"/>
      <c r="Q2489" s="223"/>
      <c r="R2489" s="223"/>
      <c r="S2489" s="223"/>
      <c r="T2489" s="223"/>
      <c r="U2489" s="223"/>
      <c r="V2489" s="223"/>
      <c r="W2489" s="223"/>
      <c r="X2489" s="223"/>
      <c r="Y2489" s="223"/>
      <c r="Z2489" s="223"/>
    </row>
    <row r="2490">
      <c r="A2490" s="223" t="str">
        <f>IFERROR(__xludf.DUMMYFUNCTION("""COMPUTED_VALUE"""),"Tofino Resort + Marina : Monthly Services")</f>
        <v>Tofino Resort + Marina : Monthly Services</v>
      </c>
      <c r="B2490" s="223" t="str">
        <f>IFERROR(__xludf.DUMMYFUNCTION("""COMPUTED_VALUE"""),"Tofino Resort + Marina")</f>
        <v>Tofino Resort + Marina</v>
      </c>
      <c r="C2490" s="223" t="str">
        <f>IFERROR(__xludf.DUMMYFUNCTION("""COMPUTED_VALUE"""),"Monthly Services")</f>
        <v>Monthly Services</v>
      </c>
      <c r="D2490" s="316">
        <f>IFERROR(__xludf.DUMMYFUNCTION("""COMPUTED_VALUE"""),44985.0)</f>
        <v>44985</v>
      </c>
      <c r="E2490" s="298"/>
      <c r="F2490" s="298"/>
      <c r="G2490" s="298"/>
      <c r="H2490" s="223"/>
      <c r="I2490" s="298">
        <f>IFERROR(__xludf.DUMMYFUNCTION("""COMPUTED_VALUE"""),8.69)</f>
        <v>8.69</v>
      </c>
      <c r="J2490" s="223" t="str">
        <f>IFERROR(__xludf.DUMMYFUNCTION("""COMPUTED_VALUE"""),"Monthly")</f>
        <v>Monthly</v>
      </c>
      <c r="K2490" s="317">
        <f>IFERROR(__xludf.DUMMYFUNCTION("""COMPUTED_VALUE"""),2023.02)</f>
        <v>2023.02</v>
      </c>
      <c r="L2490" s="298"/>
      <c r="M2490" s="223"/>
      <c r="N2490" s="223"/>
      <c r="O2490" s="223"/>
      <c r="P2490" s="223"/>
      <c r="Q2490" s="223"/>
      <c r="R2490" s="223"/>
      <c r="S2490" s="223"/>
      <c r="T2490" s="223"/>
      <c r="U2490" s="223"/>
      <c r="V2490" s="223"/>
      <c r="W2490" s="223"/>
      <c r="X2490" s="223"/>
      <c r="Y2490" s="223"/>
      <c r="Z2490" s="223"/>
    </row>
    <row r="2491">
      <c r="A2491" s="223" t="str">
        <f>IFERROR(__xludf.DUMMYFUNCTION("""COMPUTED_VALUE"""),"True Reliance : Website + Content")</f>
        <v>True Reliance : Website + Content</v>
      </c>
      <c r="B2491" s="223" t="str">
        <f>IFERROR(__xludf.DUMMYFUNCTION("""COMPUTED_VALUE"""),"True Reliance")</f>
        <v>True Reliance</v>
      </c>
      <c r="C2491" s="223" t="str">
        <f>IFERROR(__xludf.DUMMYFUNCTION("""COMPUTED_VALUE"""),"Website + Content")</f>
        <v>Website + Content</v>
      </c>
      <c r="D2491" s="316">
        <f>IFERROR(__xludf.DUMMYFUNCTION("""COMPUTED_VALUE"""),44985.0)</f>
        <v>44985</v>
      </c>
      <c r="E2491" s="298"/>
      <c r="F2491" s="298"/>
      <c r="G2491" s="298"/>
      <c r="H2491" s="223"/>
      <c r="I2491" s="298">
        <f>IFERROR(__xludf.DUMMYFUNCTION("""COMPUTED_VALUE"""),4.03)</f>
        <v>4.03</v>
      </c>
      <c r="J2491" s="223" t="str">
        <f>IFERROR(__xludf.DUMMYFUNCTION("""COMPUTED_VALUE"""),"Fixed Project")</f>
        <v>Fixed Project</v>
      </c>
      <c r="K2491" s="317">
        <f>IFERROR(__xludf.DUMMYFUNCTION("""COMPUTED_VALUE"""),2023.0)</f>
        <v>2023</v>
      </c>
      <c r="L2491" s="298"/>
      <c r="M2491" s="223"/>
      <c r="N2491" s="223"/>
      <c r="O2491" s="223"/>
      <c r="P2491" s="223"/>
      <c r="Q2491" s="223"/>
      <c r="R2491" s="223"/>
      <c r="S2491" s="223"/>
      <c r="T2491" s="223"/>
      <c r="U2491" s="223"/>
      <c r="V2491" s="223"/>
      <c r="W2491" s="223"/>
      <c r="X2491" s="223"/>
      <c r="Y2491" s="223"/>
      <c r="Z2491" s="223"/>
    </row>
    <row r="2492">
      <c r="A2492" s="223" t="str">
        <f>IFERROR(__xludf.DUMMYFUNCTION("""COMPUTED_VALUE"""),"Tuscany : Monthly Services")</f>
        <v>Tuscany : Monthly Services</v>
      </c>
      <c r="B2492" s="223" t="str">
        <f>IFERROR(__xludf.DUMMYFUNCTION("""COMPUTED_VALUE"""),"Tuscany")</f>
        <v>Tuscany</v>
      </c>
      <c r="C2492" s="223" t="str">
        <f>IFERROR(__xludf.DUMMYFUNCTION("""COMPUTED_VALUE"""),"Monthly Services")</f>
        <v>Monthly Services</v>
      </c>
      <c r="D2492" s="316">
        <f>IFERROR(__xludf.DUMMYFUNCTION("""COMPUTED_VALUE"""),44985.0)</f>
        <v>44985</v>
      </c>
      <c r="E2492" s="298"/>
      <c r="F2492" s="298"/>
      <c r="G2492" s="298"/>
      <c r="H2492" s="223"/>
      <c r="I2492" s="298">
        <f>IFERROR(__xludf.DUMMYFUNCTION("""COMPUTED_VALUE"""),137.17)</f>
        <v>137.17</v>
      </c>
      <c r="J2492" s="223" t="str">
        <f>IFERROR(__xludf.DUMMYFUNCTION("""COMPUTED_VALUE"""),"Monthly")</f>
        <v>Monthly</v>
      </c>
      <c r="K2492" s="317">
        <f>IFERROR(__xludf.DUMMYFUNCTION("""COMPUTED_VALUE"""),2023.02)</f>
        <v>2023.02</v>
      </c>
      <c r="L2492" s="298"/>
      <c r="M2492" s="223"/>
      <c r="N2492" s="223"/>
      <c r="O2492" s="223"/>
      <c r="P2492" s="223"/>
      <c r="Q2492" s="223"/>
      <c r="R2492" s="223"/>
      <c r="S2492" s="223"/>
      <c r="T2492" s="223"/>
      <c r="U2492" s="223"/>
      <c r="V2492" s="223"/>
      <c r="W2492" s="223"/>
      <c r="X2492" s="223"/>
      <c r="Y2492" s="223"/>
      <c r="Z2492" s="223"/>
    </row>
    <row r="2493">
      <c r="A2493" s="223" t="str">
        <f>IFERROR(__xludf.DUMMYFUNCTION("""COMPUTED_VALUE"""),"Venetian : Monthly Services")</f>
        <v>Venetian : Monthly Services</v>
      </c>
      <c r="B2493" s="223" t="str">
        <f>IFERROR(__xludf.DUMMYFUNCTION("""COMPUTED_VALUE"""),"Venetian")</f>
        <v>Venetian</v>
      </c>
      <c r="C2493" s="223" t="str">
        <f>IFERROR(__xludf.DUMMYFUNCTION("""COMPUTED_VALUE"""),"Monthly Services")</f>
        <v>Monthly Services</v>
      </c>
      <c r="D2493" s="316">
        <f>IFERROR(__xludf.DUMMYFUNCTION("""COMPUTED_VALUE"""),44985.0)</f>
        <v>44985</v>
      </c>
      <c r="E2493" s="298"/>
      <c r="F2493" s="298"/>
      <c r="G2493" s="298"/>
      <c r="H2493" s="223"/>
      <c r="I2493" s="298">
        <f>IFERROR(__xludf.DUMMYFUNCTION("""COMPUTED_VALUE"""),27.24)</f>
        <v>27.24</v>
      </c>
      <c r="J2493" s="223" t="str">
        <f>IFERROR(__xludf.DUMMYFUNCTION("""COMPUTED_VALUE"""),"Monthly")</f>
        <v>Monthly</v>
      </c>
      <c r="K2493" s="317">
        <f>IFERROR(__xludf.DUMMYFUNCTION("""COMPUTED_VALUE"""),2023.02)</f>
        <v>2023.02</v>
      </c>
      <c r="L2493" s="298"/>
      <c r="M2493" s="223"/>
      <c r="N2493" s="223"/>
      <c r="O2493" s="223"/>
      <c r="P2493" s="223"/>
      <c r="Q2493" s="223"/>
      <c r="R2493" s="223"/>
      <c r="S2493" s="223"/>
      <c r="T2493" s="223"/>
      <c r="U2493" s="223"/>
      <c r="V2493" s="223"/>
      <c r="W2493" s="223"/>
      <c r="X2493" s="223"/>
      <c r="Y2493" s="223"/>
      <c r="Z2493" s="223"/>
    </row>
    <row r="2494">
      <c r="A2494" s="223" t="str">
        <f>IFERROR(__xludf.DUMMYFUNCTION("""COMPUTED_VALUE"""),"Viridian : Monthly Services")</f>
        <v>Viridian : Monthly Services</v>
      </c>
      <c r="B2494" s="223" t="str">
        <f>IFERROR(__xludf.DUMMYFUNCTION("""COMPUTED_VALUE"""),"Viridian")</f>
        <v>Viridian</v>
      </c>
      <c r="C2494" s="223" t="str">
        <f>IFERROR(__xludf.DUMMYFUNCTION("""COMPUTED_VALUE"""),"Monthly Services")</f>
        <v>Monthly Services</v>
      </c>
      <c r="D2494" s="316">
        <f>IFERROR(__xludf.DUMMYFUNCTION("""COMPUTED_VALUE"""),44985.0)</f>
        <v>44985</v>
      </c>
      <c r="E2494" s="298"/>
      <c r="F2494" s="298"/>
      <c r="G2494" s="298"/>
      <c r="H2494" s="223"/>
      <c r="I2494" s="298">
        <f>IFERROR(__xludf.DUMMYFUNCTION("""COMPUTED_VALUE"""),123.13)</f>
        <v>123.13</v>
      </c>
      <c r="J2494" s="223" t="str">
        <f>IFERROR(__xludf.DUMMYFUNCTION("""COMPUTED_VALUE"""),"Monthly")</f>
        <v>Monthly</v>
      </c>
      <c r="K2494" s="317">
        <f>IFERROR(__xludf.DUMMYFUNCTION("""COMPUTED_VALUE"""),2023.02)</f>
        <v>2023.02</v>
      </c>
      <c r="L2494" s="298"/>
      <c r="M2494" s="223"/>
      <c r="N2494" s="223"/>
      <c r="O2494" s="223"/>
      <c r="P2494" s="223"/>
      <c r="Q2494" s="223"/>
      <c r="R2494" s="223"/>
      <c r="S2494" s="223"/>
      <c r="T2494" s="223"/>
      <c r="U2494" s="223"/>
      <c r="V2494" s="223"/>
      <c r="W2494" s="223"/>
      <c r="X2494" s="223"/>
      <c r="Y2494" s="223"/>
      <c r="Z2494" s="223"/>
    </row>
    <row r="2495">
      <c r="A2495" s="223" t="str">
        <f>IFERROR(__xludf.DUMMYFUNCTION("""COMPUTED_VALUE"""),"Turks and Caicos Reservations : General Projects")</f>
        <v>Turks and Caicos Reservations : General Projects</v>
      </c>
      <c r="B2495" s="223" t="str">
        <f>IFERROR(__xludf.DUMMYFUNCTION("""COMPUTED_VALUE"""),"Turks and Caicos Reservations")</f>
        <v>Turks and Caicos Reservations</v>
      </c>
      <c r="C2495" s="223" t="str">
        <f>IFERROR(__xludf.DUMMYFUNCTION("""COMPUTED_VALUE"""),"General Projects")</f>
        <v>General Projects</v>
      </c>
      <c r="D2495" s="316">
        <f>IFERROR(__xludf.DUMMYFUNCTION("""COMPUTED_VALUE"""),44985.0)</f>
        <v>44985</v>
      </c>
      <c r="E2495" s="298"/>
      <c r="F2495" s="298"/>
      <c r="G2495" s="298"/>
      <c r="H2495" s="223"/>
      <c r="I2495" s="298">
        <f>IFERROR(__xludf.DUMMYFUNCTION("""COMPUTED_VALUE"""),199.6805555555556)</f>
        <v>199.6805556</v>
      </c>
      <c r="J2495" s="223" t="str">
        <f>IFERROR(__xludf.DUMMYFUNCTION("""COMPUTED_VALUE"""),"Fixed Project")</f>
        <v>Fixed Project</v>
      </c>
      <c r="K2495" s="317">
        <f>IFERROR(__xludf.DUMMYFUNCTION("""COMPUTED_VALUE"""),2023.0)</f>
        <v>2023</v>
      </c>
      <c r="L2495" s="298"/>
      <c r="M2495" s="223"/>
      <c r="N2495" s="223"/>
      <c r="O2495" s="223"/>
      <c r="P2495" s="223"/>
      <c r="Q2495" s="223"/>
      <c r="R2495" s="223"/>
      <c r="S2495" s="223"/>
      <c r="T2495" s="223"/>
      <c r="U2495" s="223"/>
      <c r="V2495" s="223"/>
      <c r="W2495" s="223"/>
      <c r="X2495" s="223"/>
      <c r="Y2495" s="223"/>
      <c r="Z2495" s="223"/>
    </row>
    <row r="2496">
      <c r="A2496" s="223" t="str">
        <f>IFERROR(__xludf.DUMMYFUNCTION("""COMPUTED_VALUE"""),"Customer First Design : Markey Machinery")</f>
        <v>Customer First Design : Markey Machinery</v>
      </c>
      <c r="B2496" s="223" t="str">
        <f>IFERROR(__xludf.DUMMYFUNCTION("""COMPUTED_VALUE"""),"Customer First Design")</f>
        <v>Customer First Design</v>
      </c>
      <c r="C2496" s="223" t="str">
        <f>IFERROR(__xludf.DUMMYFUNCTION("""COMPUTED_VALUE"""),"Markey Machinery")</f>
        <v>Markey Machinery</v>
      </c>
      <c r="D2496" s="316">
        <f>IFERROR(__xludf.DUMMYFUNCTION("""COMPUTED_VALUE"""),44985.0)</f>
        <v>44985</v>
      </c>
      <c r="E2496" s="298"/>
      <c r="F2496" s="298"/>
      <c r="G2496" s="298"/>
      <c r="H2496" s="223"/>
      <c r="I2496" s="298">
        <f>IFERROR(__xludf.DUMMYFUNCTION("""COMPUTED_VALUE"""),73.35416666666666)</f>
        <v>73.35416667</v>
      </c>
      <c r="J2496" s="223" t="str">
        <f>IFERROR(__xludf.DUMMYFUNCTION("""COMPUTED_VALUE"""),"Fixed Project")</f>
        <v>Fixed Project</v>
      </c>
      <c r="K2496" s="317">
        <f>IFERROR(__xludf.DUMMYFUNCTION("""COMPUTED_VALUE"""),2023.0)</f>
        <v>2023</v>
      </c>
      <c r="L2496" s="298"/>
      <c r="M2496" s="223"/>
      <c r="N2496" s="223"/>
      <c r="O2496" s="223"/>
      <c r="P2496" s="223"/>
      <c r="Q2496" s="223"/>
      <c r="R2496" s="223"/>
      <c r="S2496" s="223"/>
      <c r="T2496" s="223"/>
      <c r="U2496" s="223"/>
      <c r="V2496" s="223"/>
      <c r="W2496" s="223"/>
      <c r="X2496" s="223"/>
      <c r="Y2496" s="223"/>
      <c r="Z2496" s="223"/>
    </row>
    <row r="2497">
      <c r="A2497" s="223" t="str">
        <f>IFERROR(__xludf.DUMMYFUNCTION("""COMPUTED_VALUE"""),"MJM Architect : Website Updates and Analytics")</f>
        <v>MJM Architect : Website Updates and Analytics</v>
      </c>
      <c r="B2497" s="223" t="str">
        <f>IFERROR(__xludf.DUMMYFUNCTION("""COMPUTED_VALUE"""),"MJM Architect")</f>
        <v>MJM Architect</v>
      </c>
      <c r="C2497" s="223" t="str">
        <f>IFERROR(__xludf.DUMMYFUNCTION("""COMPUTED_VALUE"""),"Website Updates and Analytics")</f>
        <v>Website Updates and Analytics</v>
      </c>
      <c r="D2497" s="316">
        <f>IFERROR(__xludf.DUMMYFUNCTION("""COMPUTED_VALUE"""),44985.0)</f>
        <v>44985</v>
      </c>
      <c r="E2497" s="298"/>
      <c r="F2497" s="298"/>
      <c r="G2497" s="298"/>
      <c r="H2497" s="223"/>
      <c r="I2497" s="298">
        <f>IFERROR(__xludf.DUMMYFUNCTION("""COMPUTED_VALUE"""),34.90277777777777)</f>
        <v>34.90277778</v>
      </c>
      <c r="J2497" s="223" t="str">
        <f>IFERROR(__xludf.DUMMYFUNCTION("""COMPUTED_VALUE"""),"Fixed Project")</f>
        <v>Fixed Project</v>
      </c>
      <c r="K2497" s="317">
        <f>IFERROR(__xludf.DUMMYFUNCTION("""COMPUTED_VALUE"""),2023.0)</f>
        <v>2023</v>
      </c>
      <c r="L2497" s="298"/>
      <c r="M2497" s="223"/>
      <c r="N2497" s="223"/>
      <c r="O2497" s="223"/>
      <c r="P2497" s="223"/>
      <c r="Q2497" s="223"/>
      <c r="R2497" s="223"/>
      <c r="S2497" s="223"/>
      <c r="T2497" s="223"/>
      <c r="U2497" s="223"/>
      <c r="V2497" s="223"/>
      <c r="W2497" s="223"/>
      <c r="X2497" s="223"/>
      <c r="Y2497" s="223"/>
      <c r="Z2497" s="223"/>
    </row>
    <row r="2498">
      <c r="A2498" s="223" t="str">
        <f>IFERROR(__xludf.DUMMYFUNCTION("""COMPUTED_VALUE"""),"The Sands : 10 Hour General Support Block")</f>
        <v>The Sands : 10 Hour General Support Block</v>
      </c>
      <c r="B2498" s="223" t="str">
        <f>IFERROR(__xludf.DUMMYFUNCTION("""COMPUTED_VALUE"""),"The Sands")</f>
        <v>The Sands</v>
      </c>
      <c r="C2498" s="223" t="str">
        <f>IFERROR(__xludf.DUMMYFUNCTION("""COMPUTED_VALUE"""),"10 Hour General Support Block")</f>
        <v>10 Hour General Support Block</v>
      </c>
      <c r="D2498" s="316">
        <f>IFERROR(__xludf.DUMMYFUNCTION("""COMPUTED_VALUE"""),44985.0)</f>
        <v>44985</v>
      </c>
      <c r="E2498" s="298"/>
      <c r="F2498" s="298"/>
      <c r="G2498" s="298"/>
      <c r="H2498" s="223"/>
      <c r="I2498" s="298">
        <f>IFERROR(__xludf.DUMMYFUNCTION("""COMPUTED_VALUE"""),3.7152777777777777)</f>
        <v>3.715277778</v>
      </c>
      <c r="J2498" s="223" t="str">
        <f>IFERROR(__xludf.DUMMYFUNCTION("""COMPUTED_VALUE"""),"Fixed Project")</f>
        <v>Fixed Project</v>
      </c>
      <c r="K2498" s="317">
        <f>IFERROR(__xludf.DUMMYFUNCTION("""COMPUTED_VALUE"""),2023.0)</f>
        <v>2023</v>
      </c>
      <c r="L2498" s="298"/>
      <c r="M2498" s="223"/>
      <c r="N2498" s="223"/>
      <c r="O2498" s="223"/>
      <c r="P2498" s="223"/>
      <c r="Q2498" s="223"/>
      <c r="R2498" s="223"/>
      <c r="S2498" s="223"/>
      <c r="T2498" s="223"/>
      <c r="U2498" s="223"/>
      <c r="V2498" s="223"/>
      <c r="W2498" s="223"/>
      <c r="X2498" s="223"/>
      <c r="Y2498" s="223"/>
      <c r="Z2498" s="223"/>
    </row>
    <row r="2499">
      <c r="A2499" s="223" t="str">
        <f>IFERROR(__xludf.DUMMYFUNCTION("""COMPUTED_VALUE"""),"TisBest : Monthly Services")</f>
        <v>TisBest : Monthly Services</v>
      </c>
      <c r="B2499" s="223" t="str">
        <f>IFERROR(__xludf.DUMMYFUNCTION("""COMPUTED_VALUE"""),"TisBest")</f>
        <v>TisBest</v>
      </c>
      <c r="C2499" s="223" t="str">
        <f>IFERROR(__xludf.DUMMYFUNCTION("""COMPUTED_VALUE"""),"Monthly Services")</f>
        <v>Monthly Services</v>
      </c>
      <c r="D2499" s="316">
        <f>IFERROR(__xludf.DUMMYFUNCTION("""COMPUTED_VALUE"""),44985.0)</f>
        <v>44985</v>
      </c>
      <c r="E2499" s="298"/>
      <c r="F2499" s="298"/>
      <c r="G2499" s="298"/>
      <c r="H2499" s="223"/>
      <c r="I2499" s="298">
        <f>IFERROR(__xludf.DUMMYFUNCTION("""COMPUTED_VALUE"""),143.99999999999997)</f>
        <v>144</v>
      </c>
      <c r="J2499" s="223" t="str">
        <f>IFERROR(__xludf.DUMMYFUNCTION("""COMPUTED_VALUE"""),"Monthly")</f>
        <v>Monthly</v>
      </c>
      <c r="K2499" s="317">
        <f>IFERROR(__xludf.DUMMYFUNCTION("""COMPUTED_VALUE"""),2023.02)</f>
        <v>2023.02</v>
      </c>
      <c r="L2499" s="298"/>
      <c r="M2499" s="223"/>
      <c r="N2499" s="223"/>
      <c r="O2499" s="223"/>
      <c r="P2499" s="223"/>
      <c r="Q2499" s="223"/>
      <c r="R2499" s="223"/>
      <c r="S2499" s="223"/>
      <c r="T2499" s="223"/>
      <c r="U2499" s="223"/>
      <c r="V2499" s="223"/>
      <c r="W2499" s="223"/>
      <c r="X2499" s="223"/>
      <c r="Y2499" s="223"/>
      <c r="Z2499" s="223"/>
    </row>
    <row r="2500">
      <c r="A2500" s="223" t="str">
        <f>IFERROR(__xludf.DUMMYFUNCTION("""COMPUTED_VALUE"""),"Villa del Mar : Enhanced Hosting &amp; WordPress Support")</f>
        <v>Villa del Mar : Enhanced Hosting &amp; WordPress Support</v>
      </c>
      <c r="B2500" s="223" t="str">
        <f>IFERROR(__xludf.DUMMYFUNCTION("""COMPUTED_VALUE"""),"Villa del Mar")</f>
        <v>Villa del Mar</v>
      </c>
      <c r="C2500" s="223" t="str">
        <f>IFERROR(__xludf.DUMMYFUNCTION("""COMPUTED_VALUE"""),"Enhanced Hosting &amp; WordPress Support")</f>
        <v>Enhanced Hosting &amp; WordPress Support</v>
      </c>
      <c r="D2500" s="316">
        <f>IFERROR(__xludf.DUMMYFUNCTION("""COMPUTED_VALUE"""),44985.0)</f>
        <v>44985</v>
      </c>
      <c r="E2500" s="298"/>
      <c r="F2500" s="298"/>
      <c r="G2500" s="298"/>
      <c r="H2500" s="223"/>
      <c r="I2500" s="298">
        <f>IFERROR(__xludf.DUMMYFUNCTION("""COMPUTED_VALUE"""),15.152777777777779)</f>
        <v>15.15277778</v>
      </c>
      <c r="J2500" s="223" t="str">
        <f>IFERROR(__xludf.DUMMYFUNCTION("""COMPUTED_VALUE"""),"Monthly")</f>
        <v>Monthly</v>
      </c>
      <c r="K2500" s="317">
        <f>IFERROR(__xludf.DUMMYFUNCTION("""COMPUTED_VALUE"""),2023.02)</f>
        <v>2023.02</v>
      </c>
      <c r="L2500" s="298"/>
      <c r="M2500" s="223"/>
      <c r="N2500" s="223"/>
      <c r="O2500" s="223"/>
      <c r="P2500" s="223"/>
      <c r="Q2500" s="223"/>
      <c r="R2500" s="223"/>
      <c r="S2500" s="223"/>
      <c r="T2500" s="223"/>
      <c r="U2500" s="223"/>
      <c r="V2500" s="223"/>
      <c r="W2500" s="223"/>
      <c r="X2500" s="223"/>
      <c r="Y2500" s="223"/>
      <c r="Z2500" s="223"/>
    </row>
    <row r="2501">
      <c r="A2501" s="223" t="str">
        <f>IFERROR(__xludf.DUMMYFUNCTION("""COMPUTED_VALUE"""),"Tugwell : Bi-monthly PPC Mgmt")</f>
        <v>Tugwell : Bi-monthly PPC Mgmt</v>
      </c>
      <c r="B2501" s="223" t="str">
        <f>IFERROR(__xludf.DUMMYFUNCTION("""COMPUTED_VALUE"""),"Tugwell")</f>
        <v>Tugwell</v>
      </c>
      <c r="C2501" s="223" t="str">
        <f>IFERROR(__xludf.DUMMYFUNCTION("""COMPUTED_VALUE"""),"Bi-monthly PPC Mgmt")</f>
        <v>Bi-monthly PPC Mgmt</v>
      </c>
      <c r="D2501" s="316">
        <f>IFERROR(__xludf.DUMMYFUNCTION("""COMPUTED_VALUE"""),45016.0)</f>
        <v>45016</v>
      </c>
      <c r="E2501" s="298"/>
      <c r="F2501" s="298"/>
      <c r="G2501" s="298"/>
      <c r="H2501" s="223"/>
      <c r="I2501" s="298">
        <f>IFERROR(__xludf.DUMMYFUNCTION("""COMPUTED_VALUE"""),87.5)</f>
        <v>87.5</v>
      </c>
      <c r="J2501" s="223" t="str">
        <f>IFERROR(__xludf.DUMMYFUNCTION("""COMPUTED_VALUE"""),"Bi-Monthly")</f>
        <v>Bi-Monthly</v>
      </c>
      <c r="K2501" s="317">
        <f>IFERROR(__xludf.DUMMYFUNCTION("""COMPUTED_VALUE"""),2023.0)</f>
        <v>2023</v>
      </c>
      <c r="L2501" s="298"/>
      <c r="M2501" s="223"/>
      <c r="N2501" s="223"/>
      <c r="O2501" s="223"/>
      <c r="P2501" s="223"/>
      <c r="Q2501" s="223"/>
      <c r="R2501" s="223"/>
      <c r="S2501" s="223"/>
      <c r="T2501" s="223"/>
      <c r="U2501" s="223"/>
      <c r="V2501" s="223"/>
      <c r="W2501" s="223"/>
      <c r="X2501" s="223"/>
      <c r="Y2501" s="223"/>
      <c r="Z2501" s="223"/>
    </row>
    <row r="2502">
      <c r="A2502" s="223" t="str">
        <f>IFERROR(__xludf.DUMMYFUNCTION("""COMPUTED_VALUE"""),"HSJ Lawyers : Monthly Services")</f>
        <v>HSJ Lawyers : Monthly Services</v>
      </c>
      <c r="B2502" s="223" t="str">
        <f>IFERROR(__xludf.DUMMYFUNCTION("""COMPUTED_VALUE"""),"HSJ Lawyers")</f>
        <v>HSJ Lawyers</v>
      </c>
      <c r="C2502" s="223" t="str">
        <f>IFERROR(__xludf.DUMMYFUNCTION("""COMPUTED_VALUE"""),"Monthly Services")</f>
        <v>Monthly Services</v>
      </c>
      <c r="D2502" s="316">
        <f>IFERROR(__xludf.DUMMYFUNCTION("""COMPUTED_VALUE"""),45016.0)</f>
        <v>45016</v>
      </c>
      <c r="E2502" s="298"/>
      <c r="F2502" s="298"/>
      <c r="G2502" s="298"/>
      <c r="H2502" s="223"/>
      <c r="I2502" s="298">
        <f>IFERROR(__xludf.DUMMYFUNCTION("""COMPUTED_VALUE"""),225.0)</f>
        <v>225</v>
      </c>
      <c r="J2502" s="223" t="str">
        <f>IFERROR(__xludf.DUMMYFUNCTION("""COMPUTED_VALUE"""),"Monthly")</f>
        <v>Monthly</v>
      </c>
      <c r="K2502" s="317">
        <f>IFERROR(__xludf.DUMMYFUNCTION("""COMPUTED_VALUE"""),2023.03)</f>
        <v>2023.03</v>
      </c>
      <c r="L2502" s="298"/>
      <c r="M2502" s="223"/>
      <c r="N2502" s="223"/>
      <c r="O2502" s="223"/>
      <c r="P2502" s="223"/>
      <c r="Q2502" s="223"/>
      <c r="R2502" s="223"/>
      <c r="S2502" s="223"/>
      <c r="T2502" s="223"/>
      <c r="U2502" s="223"/>
      <c r="V2502" s="223"/>
      <c r="W2502" s="223"/>
      <c r="X2502" s="223"/>
      <c r="Y2502" s="223"/>
      <c r="Z2502" s="223"/>
    </row>
    <row r="2503">
      <c r="A2503" s="223" t="str">
        <f>IFERROR(__xludf.DUMMYFUNCTION("""COMPUTED_VALUE"""),"Spraggs : Monthly Services")</f>
        <v>Spraggs : Monthly Services</v>
      </c>
      <c r="B2503" s="223" t="str">
        <f>IFERROR(__xludf.DUMMYFUNCTION("""COMPUTED_VALUE"""),"Spraggs")</f>
        <v>Spraggs</v>
      </c>
      <c r="C2503" s="223" t="str">
        <f>IFERROR(__xludf.DUMMYFUNCTION("""COMPUTED_VALUE"""),"Monthly Services")</f>
        <v>Monthly Services</v>
      </c>
      <c r="D2503" s="316">
        <f>IFERROR(__xludf.DUMMYFUNCTION("""COMPUTED_VALUE"""),45016.0)</f>
        <v>45016</v>
      </c>
      <c r="E2503" s="298"/>
      <c r="F2503" s="298"/>
      <c r="G2503" s="298"/>
      <c r="H2503" s="223"/>
      <c r="I2503" s="298">
        <f>IFERROR(__xludf.DUMMYFUNCTION("""COMPUTED_VALUE"""),300.0)</f>
        <v>300</v>
      </c>
      <c r="J2503" s="223" t="str">
        <f>IFERROR(__xludf.DUMMYFUNCTION("""COMPUTED_VALUE"""),"Monthly")</f>
        <v>Monthly</v>
      </c>
      <c r="K2503" s="317">
        <f>IFERROR(__xludf.DUMMYFUNCTION("""COMPUTED_VALUE"""),2023.03)</f>
        <v>2023.03</v>
      </c>
      <c r="L2503" s="298"/>
      <c r="M2503" s="223"/>
      <c r="N2503" s="223"/>
      <c r="O2503" s="223"/>
      <c r="P2503" s="223"/>
      <c r="Q2503" s="223"/>
      <c r="R2503" s="223"/>
      <c r="S2503" s="223"/>
      <c r="T2503" s="223"/>
      <c r="U2503" s="223"/>
      <c r="V2503" s="223"/>
      <c r="W2503" s="223"/>
      <c r="X2503" s="223"/>
      <c r="Y2503" s="223"/>
      <c r="Z2503" s="223"/>
    </row>
    <row r="2504">
      <c r="A2504" s="223" t="str">
        <f>IFERROR(__xludf.DUMMYFUNCTION("""COMPUTED_VALUE"""),"Crisp Media : Monthly Genus Google PPC Mgmt")</f>
        <v>Crisp Media : Monthly Genus Google PPC Mgmt</v>
      </c>
      <c r="B2504" s="223" t="str">
        <f>IFERROR(__xludf.DUMMYFUNCTION("""COMPUTED_VALUE"""),"Crisp Media")</f>
        <v>Crisp Media</v>
      </c>
      <c r="C2504" s="223" t="str">
        <f>IFERROR(__xludf.DUMMYFUNCTION("""COMPUTED_VALUE"""),"Monthly Genus Google PPC Mgmt")</f>
        <v>Monthly Genus Google PPC Mgmt</v>
      </c>
      <c r="D2504" s="316">
        <f>IFERROR(__xludf.DUMMYFUNCTION("""COMPUTED_VALUE"""),45016.0)</f>
        <v>45016</v>
      </c>
      <c r="E2504" s="298"/>
      <c r="F2504" s="298"/>
      <c r="G2504" s="298"/>
      <c r="H2504" s="223"/>
      <c r="I2504" s="298">
        <f>IFERROR(__xludf.DUMMYFUNCTION("""COMPUTED_VALUE"""),175.0)</f>
        <v>175</v>
      </c>
      <c r="J2504" s="223" t="str">
        <f>IFERROR(__xludf.DUMMYFUNCTION("""COMPUTED_VALUE"""),"Monthly")</f>
        <v>Monthly</v>
      </c>
      <c r="K2504" s="317">
        <f>IFERROR(__xludf.DUMMYFUNCTION("""COMPUTED_VALUE"""),2023.03)</f>
        <v>2023.03</v>
      </c>
      <c r="L2504" s="298"/>
      <c r="M2504" s="223"/>
      <c r="N2504" s="223"/>
      <c r="O2504" s="223"/>
      <c r="P2504" s="223"/>
      <c r="Q2504" s="223"/>
      <c r="R2504" s="223"/>
      <c r="S2504" s="223"/>
      <c r="T2504" s="223"/>
      <c r="U2504" s="223"/>
      <c r="V2504" s="223"/>
      <c r="W2504" s="223"/>
      <c r="X2504" s="223"/>
      <c r="Y2504" s="223"/>
      <c r="Z2504" s="223"/>
    </row>
    <row r="2505">
      <c r="A2505" s="223" t="str">
        <f>IFERROR(__xludf.DUMMYFUNCTION("""COMPUTED_VALUE"""),"Terra Insights : Monthly PPC")</f>
        <v>Terra Insights : Monthly PPC</v>
      </c>
      <c r="B2505" s="223" t="str">
        <f>IFERROR(__xludf.DUMMYFUNCTION("""COMPUTED_VALUE"""),"Terra Insights")</f>
        <v>Terra Insights</v>
      </c>
      <c r="C2505" s="223" t="str">
        <f>IFERROR(__xludf.DUMMYFUNCTION("""COMPUTED_VALUE"""),"Monthly PPC")</f>
        <v>Monthly PPC</v>
      </c>
      <c r="D2505" s="316">
        <f>IFERROR(__xludf.DUMMYFUNCTION("""COMPUTED_VALUE"""),45016.0)</f>
        <v>45016</v>
      </c>
      <c r="E2505" s="298"/>
      <c r="F2505" s="298"/>
      <c r="G2505" s="298"/>
      <c r="H2505" s="223"/>
      <c r="I2505" s="298">
        <f>IFERROR(__xludf.DUMMYFUNCTION("""COMPUTED_VALUE"""),400.0)</f>
        <v>400</v>
      </c>
      <c r="J2505" s="223" t="str">
        <f>IFERROR(__xludf.DUMMYFUNCTION("""COMPUTED_VALUE"""),"Monthly")</f>
        <v>Monthly</v>
      </c>
      <c r="K2505" s="317">
        <f>IFERROR(__xludf.DUMMYFUNCTION("""COMPUTED_VALUE"""),2023.03)</f>
        <v>2023.03</v>
      </c>
      <c r="L2505" s="298"/>
      <c r="M2505" s="223"/>
      <c r="N2505" s="223"/>
      <c r="O2505" s="223"/>
      <c r="P2505" s="223"/>
      <c r="Q2505" s="223"/>
      <c r="R2505" s="223"/>
      <c r="S2505" s="223"/>
      <c r="T2505" s="223"/>
      <c r="U2505" s="223"/>
      <c r="V2505" s="223"/>
      <c r="W2505" s="223"/>
      <c r="X2505" s="223"/>
      <c r="Y2505" s="223"/>
      <c r="Z2505" s="223"/>
    </row>
    <row r="2506">
      <c r="A2506" s="223" t="str">
        <f>IFERROR(__xludf.DUMMYFUNCTION("""COMPUTED_VALUE"""),"PlusROI : Marketing")</f>
        <v>PlusROI : Marketing</v>
      </c>
      <c r="B2506" s="223" t="str">
        <f>IFERROR(__xludf.DUMMYFUNCTION("""COMPUTED_VALUE"""),"PlusROI")</f>
        <v>PlusROI</v>
      </c>
      <c r="C2506" s="223" t="str">
        <f>IFERROR(__xludf.DUMMYFUNCTION("""COMPUTED_VALUE"""),"Marketing")</f>
        <v>Marketing</v>
      </c>
      <c r="D2506" s="316">
        <f>IFERROR(__xludf.DUMMYFUNCTION("""COMPUTED_VALUE"""),45016.0)</f>
        <v>45016</v>
      </c>
      <c r="E2506" s="298"/>
      <c r="F2506" s="298"/>
      <c r="G2506" s="298"/>
      <c r="H2506" s="223"/>
      <c r="I2506" s="298">
        <f>IFERROR(__xludf.DUMMYFUNCTION("""COMPUTED_VALUE"""),120.0)</f>
        <v>120</v>
      </c>
      <c r="J2506" s="223" t="str">
        <f>IFERROR(__xludf.DUMMYFUNCTION("""COMPUTED_VALUE"""),"Hourly")</f>
        <v>Hourly</v>
      </c>
      <c r="K2506" s="317">
        <f>IFERROR(__xludf.DUMMYFUNCTION("""COMPUTED_VALUE"""),2023.0)</f>
        <v>2023</v>
      </c>
      <c r="L2506" s="298"/>
      <c r="M2506" s="223"/>
      <c r="N2506" s="223"/>
      <c r="O2506" s="223"/>
      <c r="P2506" s="223"/>
      <c r="Q2506" s="223"/>
      <c r="R2506" s="223"/>
      <c r="S2506" s="223"/>
      <c r="T2506" s="223"/>
      <c r="U2506" s="223"/>
      <c r="V2506" s="223"/>
      <c r="W2506" s="223"/>
      <c r="X2506" s="223"/>
      <c r="Y2506" s="223"/>
      <c r="Z2506" s="223"/>
    </row>
    <row r="2507">
      <c r="A2507" s="223" t="str">
        <f>IFERROR(__xludf.DUMMYFUNCTION("""COMPUTED_VALUE"""),"Spraggs : Monthly Services")</f>
        <v>Spraggs : Monthly Services</v>
      </c>
      <c r="B2507" s="223" t="str">
        <f>IFERROR(__xludf.DUMMYFUNCTION("""COMPUTED_VALUE"""),"Spraggs")</f>
        <v>Spraggs</v>
      </c>
      <c r="C2507" s="223" t="str">
        <f>IFERROR(__xludf.DUMMYFUNCTION("""COMPUTED_VALUE"""),"Monthly Services")</f>
        <v>Monthly Services</v>
      </c>
      <c r="D2507" s="316">
        <f>IFERROR(__xludf.DUMMYFUNCTION("""COMPUTED_VALUE"""),45016.0)</f>
        <v>45016</v>
      </c>
      <c r="E2507" s="298"/>
      <c r="F2507" s="298"/>
      <c r="G2507" s="298"/>
      <c r="H2507" s="223"/>
      <c r="I2507" s="298">
        <f>IFERROR(__xludf.DUMMYFUNCTION("""COMPUTED_VALUE"""),275.0)</f>
        <v>275</v>
      </c>
      <c r="J2507" s="223" t="str">
        <f>IFERROR(__xludf.DUMMYFUNCTION("""COMPUTED_VALUE"""),"Monthly")</f>
        <v>Monthly</v>
      </c>
      <c r="K2507" s="317">
        <f>IFERROR(__xludf.DUMMYFUNCTION("""COMPUTED_VALUE"""),2023.03)</f>
        <v>2023.03</v>
      </c>
      <c r="L2507" s="298"/>
      <c r="M2507" s="223"/>
      <c r="N2507" s="223"/>
      <c r="O2507" s="223"/>
      <c r="P2507" s="223"/>
      <c r="Q2507" s="223"/>
      <c r="R2507" s="223"/>
      <c r="S2507" s="223"/>
      <c r="T2507" s="223"/>
      <c r="U2507" s="223"/>
      <c r="V2507" s="223"/>
      <c r="W2507" s="223"/>
      <c r="X2507" s="223"/>
      <c r="Y2507" s="223"/>
      <c r="Z2507" s="223"/>
    </row>
    <row r="2508">
      <c r="A2508" s="223" t="str">
        <f>IFERROR(__xludf.DUMMYFUNCTION("""COMPUTED_VALUE"""),"MortgagePal : Monthly Services")</f>
        <v>MortgagePal : Monthly Services</v>
      </c>
      <c r="B2508" s="223" t="str">
        <f>IFERROR(__xludf.DUMMYFUNCTION("""COMPUTED_VALUE"""),"MortgagePal")</f>
        <v>MortgagePal</v>
      </c>
      <c r="C2508" s="223" t="str">
        <f>IFERROR(__xludf.DUMMYFUNCTION("""COMPUTED_VALUE"""),"Monthly Services")</f>
        <v>Monthly Services</v>
      </c>
      <c r="D2508" s="316">
        <f>IFERROR(__xludf.DUMMYFUNCTION("""COMPUTED_VALUE"""),45016.0)</f>
        <v>45016</v>
      </c>
      <c r="E2508" s="298"/>
      <c r="F2508" s="298"/>
      <c r="G2508" s="298"/>
      <c r="H2508" s="223"/>
      <c r="I2508" s="298">
        <f>IFERROR(__xludf.DUMMYFUNCTION("""COMPUTED_VALUE"""),45.0)</f>
        <v>45</v>
      </c>
      <c r="J2508" s="223" t="str">
        <f>IFERROR(__xludf.DUMMYFUNCTION("""COMPUTED_VALUE"""),"Monthly")</f>
        <v>Monthly</v>
      </c>
      <c r="K2508" s="317">
        <f>IFERROR(__xludf.DUMMYFUNCTION("""COMPUTED_VALUE"""),2023.03)</f>
        <v>2023.03</v>
      </c>
      <c r="L2508" s="298"/>
      <c r="M2508" s="223"/>
      <c r="N2508" s="223"/>
      <c r="O2508" s="223"/>
      <c r="P2508" s="223"/>
      <c r="Q2508" s="223"/>
      <c r="R2508" s="223"/>
      <c r="S2508" s="223"/>
      <c r="T2508" s="223"/>
      <c r="U2508" s="223"/>
      <c r="V2508" s="223"/>
      <c r="W2508" s="223"/>
      <c r="X2508" s="223"/>
      <c r="Y2508" s="223"/>
      <c r="Z2508" s="223"/>
    </row>
    <row r="2509">
      <c r="A2509" s="223" t="str">
        <f>IFERROR(__xludf.DUMMYFUNCTION("""COMPUTED_VALUE"""),"Service First : Monthly Services")</f>
        <v>Service First : Monthly Services</v>
      </c>
      <c r="B2509" s="223" t="str">
        <f>IFERROR(__xludf.DUMMYFUNCTION("""COMPUTED_VALUE"""),"Service First")</f>
        <v>Service First</v>
      </c>
      <c r="C2509" s="223" t="str">
        <f>IFERROR(__xludf.DUMMYFUNCTION("""COMPUTED_VALUE"""),"Monthly Services")</f>
        <v>Monthly Services</v>
      </c>
      <c r="D2509" s="316">
        <f>IFERROR(__xludf.DUMMYFUNCTION("""COMPUTED_VALUE"""),45016.0)</f>
        <v>45016</v>
      </c>
      <c r="E2509" s="298"/>
      <c r="F2509" s="298"/>
      <c r="G2509" s="298"/>
      <c r="H2509" s="223"/>
      <c r="I2509" s="298">
        <f>IFERROR(__xludf.DUMMYFUNCTION("""COMPUTED_VALUE"""),30.0)</f>
        <v>30</v>
      </c>
      <c r="J2509" s="223" t="str">
        <f>IFERROR(__xludf.DUMMYFUNCTION("""COMPUTED_VALUE"""),"Monthly")</f>
        <v>Monthly</v>
      </c>
      <c r="K2509" s="317">
        <f>IFERROR(__xludf.DUMMYFUNCTION("""COMPUTED_VALUE"""),2023.03)</f>
        <v>2023.03</v>
      </c>
      <c r="L2509" s="298"/>
      <c r="M2509" s="223"/>
      <c r="N2509" s="223"/>
      <c r="O2509" s="223"/>
      <c r="P2509" s="223"/>
      <c r="Q2509" s="223"/>
      <c r="R2509" s="223"/>
      <c r="S2509" s="223"/>
      <c r="T2509" s="223"/>
      <c r="U2509" s="223"/>
      <c r="V2509" s="223"/>
      <c r="W2509" s="223"/>
      <c r="X2509" s="223"/>
      <c r="Y2509" s="223"/>
      <c r="Z2509" s="223"/>
    </row>
    <row r="2510">
      <c r="A2510" s="223" t="str">
        <f>IFERROR(__xludf.DUMMYFUNCTION("""COMPUTED_VALUE"""),"HSJ Lawyers : Monthly Services")</f>
        <v>HSJ Lawyers : Monthly Services</v>
      </c>
      <c r="B2510" s="223" t="str">
        <f>IFERROR(__xludf.DUMMYFUNCTION("""COMPUTED_VALUE"""),"HSJ Lawyers")</f>
        <v>HSJ Lawyers</v>
      </c>
      <c r="C2510" s="223" t="str">
        <f>IFERROR(__xludf.DUMMYFUNCTION("""COMPUTED_VALUE"""),"Monthly Services")</f>
        <v>Monthly Services</v>
      </c>
      <c r="D2510" s="316">
        <f>IFERROR(__xludf.DUMMYFUNCTION("""COMPUTED_VALUE"""),45016.0)</f>
        <v>45016</v>
      </c>
      <c r="E2510" s="298"/>
      <c r="F2510" s="298"/>
      <c r="G2510" s="298"/>
      <c r="H2510" s="223"/>
      <c r="I2510" s="298">
        <f>IFERROR(__xludf.DUMMYFUNCTION("""COMPUTED_VALUE"""),90.0)</f>
        <v>90</v>
      </c>
      <c r="J2510" s="223" t="str">
        <f>IFERROR(__xludf.DUMMYFUNCTION("""COMPUTED_VALUE"""),"Monthly")</f>
        <v>Monthly</v>
      </c>
      <c r="K2510" s="317">
        <f>IFERROR(__xludf.DUMMYFUNCTION("""COMPUTED_VALUE"""),2023.03)</f>
        <v>2023.03</v>
      </c>
      <c r="L2510" s="298"/>
      <c r="M2510" s="223"/>
      <c r="N2510" s="223"/>
      <c r="O2510" s="223"/>
      <c r="P2510" s="223"/>
      <c r="Q2510" s="223"/>
      <c r="R2510" s="223"/>
      <c r="S2510" s="223"/>
      <c r="T2510" s="223"/>
      <c r="U2510" s="223"/>
      <c r="V2510" s="223"/>
      <c r="W2510" s="223"/>
      <c r="X2510" s="223"/>
      <c r="Y2510" s="223"/>
      <c r="Z2510" s="223"/>
    </row>
    <row r="2511">
      <c r="A2511" s="223" t="str">
        <f>IFERROR(__xludf.DUMMYFUNCTION("""COMPUTED_VALUE"""),"Booginhead : Monthly Services")</f>
        <v>Booginhead : Monthly Services</v>
      </c>
      <c r="B2511" s="223" t="str">
        <f>IFERROR(__xludf.DUMMYFUNCTION("""COMPUTED_VALUE"""),"Booginhead")</f>
        <v>Booginhead</v>
      </c>
      <c r="C2511" s="223" t="str">
        <f>IFERROR(__xludf.DUMMYFUNCTION("""COMPUTED_VALUE"""),"Monthly Services")</f>
        <v>Monthly Services</v>
      </c>
      <c r="D2511" s="316">
        <f>IFERROR(__xludf.DUMMYFUNCTION("""COMPUTED_VALUE"""),45016.0)</f>
        <v>45016</v>
      </c>
      <c r="E2511" s="298"/>
      <c r="F2511" s="298"/>
      <c r="G2511" s="298"/>
      <c r="H2511" s="223"/>
      <c r="I2511" s="298">
        <f>IFERROR(__xludf.DUMMYFUNCTION("""COMPUTED_VALUE"""),235.0)</f>
        <v>235</v>
      </c>
      <c r="J2511" s="223" t="str">
        <f>IFERROR(__xludf.DUMMYFUNCTION("""COMPUTED_VALUE"""),"Monthly")</f>
        <v>Monthly</v>
      </c>
      <c r="K2511" s="317">
        <f>IFERROR(__xludf.DUMMYFUNCTION("""COMPUTED_VALUE"""),2023.03)</f>
        <v>2023.03</v>
      </c>
      <c r="L2511" s="298"/>
      <c r="M2511" s="223"/>
      <c r="N2511" s="223"/>
      <c r="O2511" s="223"/>
      <c r="P2511" s="223"/>
      <c r="Q2511" s="223"/>
      <c r="R2511" s="223"/>
      <c r="S2511" s="223"/>
      <c r="T2511" s="223"/>
      <c r="U2511" s="223"/>
      <c r="V2511" s="223"/>
      <c r="W2511" s="223"/>
      <c r="X2511" s="223"/>
      <c r="Y2511" s="223"/>
      <c r="Z2511" s="223"/>
    </row>
    <row r="2512">
      <c r="A2512" s="223" t="str">
        <f>IFERROR(__xludf.DUMMYFUNCTION("""COMPUTED_VALUE"""),"Hastings House : Monthly Services")</f>
        <v>Hastings House : Monthly Services</v>
      </c>
      <c r="B2512" s="223" t="str">
        <f>IFERROR(__xludf.DUMMYFUNCTION("""COMPUTED_VALUE"""),"Hastings House")</f>
        <v>Hastings House</v>
      </c>
      <c r="C2512" s="223" t="str">
        <f>IFERROR(__xludf.DUMMYFUNCTION("""COMPUTED_VALUE"""),"Monthly Services")</f>
        <v>Monthly Services</v>
      </c>
      <c r="D2512" s="316">
        <f>IFERROR(__xludf.DUMMYFUNCTION("""COMPUTED_VALUE"""),45016.0)</f>
        <v>45016</v>
      </c>
      <c r="E2512" s="298"/>
      <c r="F2512" s="298"/>
      <c r="G2512" s="298"/>
      <c r="H2512" s="223"/>
      <c r="I2512" s="298">
        <f>IFERROR(__xludf.DUMMYFUNCTION("""COMPUTED_VALUE"""),135.0)</f>
        <v>135</v>
      </c>
      <c r="J2512" s="223" t="str">
        <f>IFERROR(__xludf.DUMMYFUNCTION("""COMPUTED_VALUE"""),"Monthly")</f>
        <v>Monthly</v>
      </c>
      <c r="K2512" s="317">
        <f>IFERROR(__xludf.DUMMYFUNCTION("""COMPUTED_VALUE"""),2023.03)</f>
        <v>2023.03</v>
      </c>
      <c r="L2512" s="298"/>
      <c r="M2512" s="223"/>
      <c r="N2512" s="223"/>
      <c r="O2512" s="223"/>
      <c r="P2512" s="223"/>
      <c r="Q2512" s="223"/>
      <c r="R2512" s="223"/>
      <c r="S2512" s="223"/>
      <c r="T2512" s="223"/>
      <c r="U2512" s="223"/>
      <c r="V2512" s="223"/>
      <c r="W2512" s="223"/>
      <c r="X2512" s="223"/>
      <c r="Y2512" s="223"/>
      <c r="Z2512" s="223"/>
    </row>
    <row r="2513">
      <c r="A2513" s="223" t="str">
        <f>IFERROR(__xludf.DUMMYFUNCTION("""COMPUTED_VALUE"""),"TisBest : Monthly Services")</f>
        <v>TisBest : Monthly Services</v>
      </c>
      <c r="B2513" s="223" t="str">
        <f>IFERROR(__xludf.DUMMYFUNCTION("""COMPUTED_VALUE"""),"TisBest")</f>
        <v>TisBest</v>
      </c>
      <c r="C2513" s="223" t="str">
        <f>IFERROR(__xludf.DUMMYFUNCTION("""COMPUTED_VALUE"""),"Monthly Services")</f>
        <v>Monthly Services</v>
      </c>
      <c r="D2513" s="316">
        <f>IFERROR(__xludf.DUMMYFUNCTION("""COMPUTED_VALUE"""),45016.0)</f>
        <v>45016</v>
      </c>
      <c r="E2513" s="298"/>
      <c r="F2513" s="298"/>
      <c r="G2513" s="298"/>
      <c r="H2513" s="223"/>
      <c r="I2513" s="298">
        <f>IFERROR(__xludf.DUMMYFUNCTION("""COMPUTED_VALUE"""),200.0)</f>
        <v>200</v>
      </c>
      <c r="J2513" s="223" t="str">
        <f>IFERROR(__xludf.DUMMYFUNCTION("""COMPUTED_VALUE"""),"Monthly")</f>
        <v>Monthly</v>
      </c>
      <c r="K2513" s="317">
        <f>IFERROR(__xludf.DUMMYFUNCTION("""COMPUTED_VALUE"""),2023.03)</f>
        <v>2023.03</v>
      </c>
      <c r="L2513" s="298"/>
      <c r="M2513" s="223"/>
      <c r="N2513" s="223"/>
      <c r="O2513" s="223"/>
      <c r="P2513" s="223"/>
      <c r="Q2513" s="223"/>
      <c r="R2513" s="223"/>
      <c r="S2513" s="223"/>
      <c r="T2513" s="223"/>
      <c r="U2513" s="223"/>
      <c r="V2513" s="223"/>
      <c r="W2513" s="223"/>
      <c r="X2513" s="223"/>
      <c r="Y2513" s="223"/>
      <c r="Z2513" s="223"/>
    </row>
    <row r="2514">
      <c r="A2514" s="223" t="str">
        <f>IFERROR(__xludf.DUMMYFUNCTION("""COMPUTED_VALUE"""),"Wallack's Art Supplies : Monthly Services")</f>
        <v>Wallack's Art Supplies : Monthly Services</v>
      </c>
      <c r="B2514" s="223" t="str">
        <f>IFERROR(__xludf.DUMMYFUNCTION("""COMPUTED_VALUE"""),"Wallack's Art Supplies")</f>
        <v>Wallack's Art Supplies</v>
      </c>
      <c r="C2514" s="223" t="str">
        <f>IFERROR(__xludf.DUMMYFUNCTION("""COMPUTED_VALUE"""),"Monthly Services")</f>
        <v>Monthly Services</v>
      </c>
      <c r="D2514" s="316">
        <f>IFERROR(__xludf.DUMMYFUNCTION("""COMPUTED_VALUE"""),45016.0)</f>
        <v>45016</v>
      </c>
      <c r="E2514" s="298"/>
      <c r="F2514" s="298"/>
      <c r="G2514" s="298"/>
      <c r="H2514" s="223"/>
      <c r="I2514" s="298">
        <f>IFERROR(__xludf.DUMMYFUNCTION("""COMPUTED_VALUE"""),75.0)</f>
        <v>75</v>
      </c>
      <c r="J2514" s="223" t="str">
        <f>IFERROR(__xludf.DUMMYFUNCTION("""COMPUTED_VALUE"""),"Monthly")</f>
        <v>Monthly</v>
      </c>
      <c r="K2514" s="317">
        <f>IFERROR(__xludf.DUMMYFUNCTION("""COMPUTED_VALUE"""),2023.03)</f>
        <v>2023.03</v>
      </c>
      <c r="L2514" s="298"/>
      <c r="M2514" s="223"/>
      <c r="N2514" s="223"/>
      <c r="O2514" s="223"/>
      <c r="P2514" s="223"/>
      <c r="Q2514" s="223"/>
      <c r="R2514" s="223"/>
      <c r="S2514" s="223"/>
      <c r="T2514" s="223"/>
      <c r="U2514" s="223"/>
      <c r="V2514" s="223"/>
      <c r="W2514" s="223"/>
      <c r="X2514" s="223"/>
      <c r="Y2514" s="223"/>
      <c r="Z2514" s="223"/>
    </row>
    <row r="2515">
      <c r="A2515" s="223" t="str">
        <f>IFERROR(__xludf.DUMMYFUNCTION("""COMPUTED_VALUE"""),"PMDI : Monthly Services")</f>
        <v>PMDI : Monthly Services</v>
      </c>
      <c r="B2515" s="223" t="str">
        <f>IFERROR(__xludf.DUMMYFUNCTION("""COMPUTED_VALUE"""),"PMDI")</f>
        <v>PMDI</v>
      </c>
      <c r="C2515" s="223" t="str">
        <f>IFERROR(__xludf.DUMMYFUNCTION("""COMPUTED_VALUE"""),"Monthly Services")</f>
        <v>Monthly Services</v>
      </c>
      <c r="D2515" s="316">
        <f>IFERROR(__xludf.DUMMYFUNCTION("""COMPUTED_VALUE"""),45016.0)</f>
        <v>45016</v>
      </c>
      <c r="E2515" s="298"/>
      <c r="F2515" s="298"/>
      <c r="G2515" s="298"/>
      <c r="H2515" s="223"/>
      <c r="I2515" s="298">
        <f>IFERROR(__xludf.DUMMYFUNCTION("""COMPUTED_VALUE"""),30.0)</f>
        <v>30</v>
      </c>
      <c r="J2515" s="223" t="str">
        <f>IFERROR(__xludf.DUMMYFUNCTION("""COMPUTED_VALUE"""),"Monthly")</f>
        <v>Monthly</v>
      </c>
      <c r="K2515" s="317">
        <f>IFERROR(__xludf.DUMMYFUNCTION("""COMPUTED_VALUE"""),2023.03)</f>
        <v>2023.03</v>
      </c>
      <c r="L2515" s="298"/>
      <c r="M2515" s="223"/>
      <c r="N2515" s="223"/>
      <c r="O2515" s="223"/>
      <c r="P2515" s="223"/>
      <c r="Q2515" s="223"/>
      <c r="R2515" s="223"/>
      <c r="S2515" s="223"/>
      <c r="T2515" s="223"/>
      <c r="U2515" s="223"/>
      <c r="V2515" s="223"/>
      <c r="W2515" s="223"/>
      <c r="X2515" s="223"/>
      <c r="Y2515" s="223"/>
      <c r="Z2515" s="223"/>
    </row>
    <row r="2516">
      <c r="A2516" s="223" t="str">
        <f>IFERROR(__xludf.DUMMYFUNCTION("""COMPUTED_VALUE"""),"Tofino Resort + Marina : Monthly Services")</f>
        <v>Tofino Resort + Marina : Monthly Services</v>
      </c>
      <c r="B2516" s="223" t="str">
        <f>IFERROR(__xludf.DUMMYFUNCTION("""COMPUTED_VALUE"""),"Tofino Resort + Marina")</f>
        <v>Tofino Resort + Marina</v>
      </c>
      <c r="C2516" s="223" t="str">
        <f>IFERROR(__xludf.DUMMYFUNCTION("""COMPUTED_VALUE"""),"Monthly Services")</f>
        <v>Monthly Services</v>
      </c>
      <c r="D2516" s="316">
        <f>IFERROR(__xludf.DUMMYFUNCTION("""COMPUTED_VALUE"""),45016.0)</f>
        <v>45016</v>
      </c>
      <c r="E2516" s="298"/>
      <c r="F2516" s="298"/>
      <c r="G2516" s="298"/>
      <c r="H2516" s="223"/>
      <c r="I2516" s="298">
        <f>IFERROR(__xludf.DUMMYFUNCTION("""COMPUTED_VALUE"""),300.0)</f>
        <v>300</v>
      </c>
      <c r="J2516" s="223" t="str">
        <f>IFERROR(__xludf.DUMMYFUNCTION("""COMPUTED_VALUE"""),"Monthly")</f>
        <v>Monthly</v>
      </c>
      <c r="K2516" s="317">
        <f>IFERROR(__xludf.DUMMYFUNCTION("""COMPUTED_VALUE"""),2023.03)</f>
        <v>2023.03</v>
      </c>
      <c r="L2516" s="298"/>
      <c r="M2516" s="223"/>
      <c r="N2516" s="223"/>
      <c r="O2516" s="223"/>
      <c r="P2516" s="223"/>
      <c r="Q2516" s="223"/>
      <c r="R2516" s="223"/>
      <c r="S2516" s="223"/>
      <c r="T2516" s="223"/>
      <c r="U2516" s="223"/>
      <c r="V2516" s="223"/>
      <c r="W2516" s="223"/>
      <c r="X2516" s="223"/>
      <c r="Y2516" s="223"/>
      <c r="Z2516" s="223"/>
    </row>
    <row r="2517">
      <c r="A2517" s="223" t="str">
        <f>IFERROR(__xludf.DUMMYFUNCTION("""COMPUTED_VALUE"""),"Anook Athletics : Monthly Services")</f>
        <v>Anook Athletics : Monthly Services</v>
      </c>
      <c r="B2517" s="223" t="str">
        <f>IFERROR(__xludf.DUMMYFUNCTION("""COMPUTED_VALUE"""),"Anook Athletics")</f>
        <v>Anook Athletics</v>
      </c>
      <c r="C2517" s="223" t="str">
        <f>IFERROR(__xludf.DUMMYFUNCTION("""COMPUTED_VALUE"""),"Monthly Services")</f>
        <v>Monthly Services</v>
      </c>
      <c r="D2517" s="316">
        <f>IFERROR(__xludf.DUMMYFUNCTION("""COMPUTED_VALUE"""),45016.0)</f>
        <v>45016</v>
      </c>
      <c r="E2517" s="298"/>
      <c r="F2517" s="298"/>
      <c r="G2517" s="298"/>
      <c r="H2517" s="223"/>
      <c r="I2517" s="298">
        <f>IFERROR(__xludf.DUMMYFUNCTION("""COMPUTED_VALUE"""),75.0)</f>
        <v>75</v>
      </c>
      <c r="J2517" s="223" t="str">
        <f>IFERROR(__xludf.DUMMYFUNCTION("""COMPUTED_VALUE"""),"Monthly")</f>
        <v>Monthly</v>
      </c>
      <c r="K2517" s="317">
        <f>IFERROR(__xludf.DUMMYFUNCTION("""COMPUTED_VALUE"""),2023.03)</f>
        <v>2023.03</v>
      </c>
      <c r="L2517" s="298"/>
      <c r="M2517" s="223"/>
      <c r="N2517" s="223"/>
      <c r="O2517" s="223"/>
      <c r="P2517" s="223"/>
      <c r="Q2517" s="223"/>
      <c r="R2517" s="223"/>
      <c r="S2517" s="223"/>
      <c r="T2517" s="223"/>
      <c r="U2517" s="223"/>
      <c r="V2517" s="223"/>
      <c r="W2517" s="223"/>
      <c r="X2517" s="223"/>
      <c r="Y2517" s="223"/>
      <c r="Z2517" s="223"/>
    </row>
    <row r="2518">
      <c r="A2518" s="223" t="str">
        <f>IFERROR(__xludf.DUMMYFUNCTION("""COMPUTED_VALUE"""),"New Growth Ecommerce Inc : Monthly Services")</f>
        <v>New Growth Ecommerce Inc : Monthly Services</v>
      </c>
      <c r="B2518" s="223" t="str">
        <f>IFERROR(__xludf.DUMMYFUNCTION("""COMPUTED_VALUE"""),"New Growth Ecommerce Inc")</f>
        <v>New Growth Ecommerce Inc</v>
      </c>
      <c r="C2518" s="223" t="str">
        <f>IFERROR(__xludf.DUMMYFUNCTION("""COMPUTED_VALUE"""),"Monthly Services")</f>
        <v>Monthly Services</v>
      </c>
      <c r="D2518" s="316">
        <f>IFERROR(__xludf.DUMMYFUNCTION("""COMPUTED_VALUE"""),45016.0)</f>
        <v>45016</v>
      </c>
      <c r="E2518" s="298"/>
      <c r="F2518" s="298"/>
      <c r="G2518" s="298"/>
      <c r="H2518" s="223"/>
      <c r="I2518" s="298">
        <f>IFERROR(__xludf.DUMMYFUNCTION("""COMPUTED_VALUE"""),1860.0)</f>
        <v>1860</v>
      </c>
      <c r="J2518" s="223" t="str">
        <f>IFERROR(__xludf.DUMMYFUNCTION("""COMPUTED_VALUE"""),"Monthly")</f>
        <v>Monthly</v>
      </c>
      <c r="K2518" s="317">
        <f>IFERROR(__xludf.DUMMYFUNCTION("""COMPUTED_VALUE"""),2023.03)</f>
        <v>2023.03</v>
      </c>
      <c r="L2518" s="298"/>
      <c r="M2518" s="223"/>
      <c r="N2518" s="223"/>
      <c r="O2518" s="223"/>
      <c r="P2518" s="223"/>
      <c r="Q2518" s="223"/>
      <c r="R2518" s="223"/>
      <c r="S2518" s="223"/>
      <c r="T2518" s="223"/>
      <c r="U2518" s="223"/>
      <c r="V2518" s="223"/>
      <c r="W2518" s="223"/>
      <c r="X2518" s="223"/>
      <c r="Y2518" s="223"/>
      <c r="Z2518" s="223"/>
    </row>
    <row r="2519">
      <c r="A2519" s="223" t="str">
        <f>IFERROR(__xludf.DUMMYFUNCTION("""COMPUTED_VALUE"""),"Viridian : Monthly Services")</f>
        <v>Viridian : Monthly Services</v>
      </c>
      <c r="B2519" s="223" t="str">
        <f>IFERROR(__xludf.DUMMYFUNCTION("""COMPUTED_VALUE"""),"Viridian")</f>
        <v>Viridian</v>
      </c>
      <c r="C2519" s="223" t="str">
        <f>IFERROR(__xludf.DUMMYFUNCTION("""COMPUTED_VALUE"""),"Monthly Services")</f>
        <v>Monthly Services</v>
      </c>
      <c r="D2519" s="316">
        <f>IFERROR(__xludf.DUMMYFUNCTION("""COMPUTED_VALUE"""),45016.0)</f>
        <v>45016</v>
      </c>
      <c r="E2519" s="298"/>
      <c r="F2519" s="298"/>
      <c r="G2519" s="298"/>
      <c r="H2519" s="223"/>
      <c r="I2519" s="298">
        <f>IFERROR(__xludf.DUMMYFUNCTION("""COMPUTED_VALUE"""),90.0)</f>
        <v>90</v>
      </c>
      <c r="J2519" s="223" t="str">
        <f>IFERROR(__xludf.DUMMYFUNCTION("""COMPUTED_VALUE"""),"Monthly")</f>
        <v>Monthly</v>
      </c>
      <c r="K2519" s="317">
        <f>IFERROR(__xludf.DUMMYFUNCTION("""COMPUTED_VALUE"""),2023.03)</f>
        <v>2023.03</v>
      </c>
      <c r="L2519" s="298"/>
      <c r="M2519" s="223"/>
      <c r="N2519" s="223"/>
      <c r="O2519" s="223"/>
      <c r="P2519" s="223"/>
      <c r="Q2519" s="223"/>
      <c r="R2519" s="223"/>
      <c r="S2519" s="223"/>
      <c r="T2519" s="223"/>
      <c r="U2519" s="223"/>
      <c r="V2519" s="223"/>
      <c r="W2519" s="223"/>
      <c r="X2519" s="223"/>
      <c r="Y2519" s="223"/>
      <c r="Z2519" s="223"/>
    </row>
    <row r="2520">
      <c r="A2520" s="223" t="str">
        <f>IFERROR(__xludf.DUMMYFUNCTION("""COMPUTED_VALUE"""),"Crisp Media : Monthly Genus Google PPC Mgmt")</f>
        <v>Crisp Media : Monthly Genus Google PPC Mgmt</v>
      </c>
      <c r="B2520" s="223" t="str">
        <f>IFERROR(__xludf.DUMMYFUNCTION("""COMPUTED_VALUE"""),"Crisp Media")</f>
        <v>Crisp Media</v>
      </c>
      <c r="C2520" s="223" t="str">
        <f>IFERROR(__xludf.DUMMYFUNCTION("""COMPUTED_VALUE"""),"Monthly Genus Google PPC Mgmt")</f>
        <v>Monthly Genus Google PPC Mgmt</v>
      </c>
      <c r="D2520" s="316">
        <f>IFERROR(__xludf.DUMMYFUNCTION("""COMPUTED_VALUE"""),45016.0)</f>
        <v>45016</v>
      </c>
      <c r="E2520" s="298"/>
      <c r="F2520" s="298"/>
      <c r="G2520" s="298"/>
      <c r="H2520" s="223"/>
      <c r="I2520" s="298">
        <f>IFERROR(__xludf.DUMMYFUNCTION("""COMPUTED_VALUE"""),45.0)</f>
        <v>45</v>
      </c>
      <c r="J2520" s="223" t="str">
        <f>IFERROR(__xludf.DUMMYFUNCTION("""COMPUTED_VALUE"""),"Monthly")</f>
        <v>Monthly</v>
      </c>
      <c r="K2520" s="317">
        <f>IFERROR(__xludf.DUMMYFUNCTION("""COMPUTED_VALUE"""),2023.03)</f>
        <v>2023.03</v>
      </c>
      <c r="L2520" s="298"/>
      <c r="M2520" s="223"/>
      <c r="N2520" s="223"/>
      <c r="O2520" s="223"/>
      <c r="P2520" s="223"/>
      <c r="Q2520" s="223"/>
      <c r="R2520" s="223"/>
      <c r="S2520" s="223"/>
      <c r="T2520" s="223"/>
      <c r="U2520" s="223"/>
      <c r="V2520" s="223"/>
      <c r="W2520" s="223"/>
      <c r="X2520" s="223"/>
      <c r="Y2520" s="223"/>
      <c r="Z2520" s="223"/>
    </row>
    <row r="2521">
      <c r="A2521" s="223" t="str">
        <f>IFERROR(__xludf.DUMMYFUNCTION("""COMPUTED_VALUE"""),"Howard Fine Jewellers : Ongoing PPC and SEO Support")</f>
        <v>Howard Fine Jewellers : Ongoing PPC and SEO Support</v>
      </c>
      <c r="B2521" s="223" t="str">
        <f>IFERROR(__xludf.DUMMYFUNCTION("""COMPUTED_VALUE"""),"Howard Fine Jewellers")</f>
        <v>Howard Fine Jewellers</v>
      </c>
      <c r="C2521" s="223" t="str">
        <f>IFERROR(__xludf.DUMMYFUNCTION("""COMPUTED_VALUE"""),"Ongoing PPC and SEO Support")</f>
        <v>Ongoing PPC and SEO Support</v>
      </c>
      <c r="D2521" s="316">
        <f>IFERROR(__xludf.DUMMYFUNCTION("""COMPUTED_VALUE"""),45016.0)</f>
        <v>45016</v>
      </c>
      <c r="E2521" s="298"/>
      <c r="F2521" s="298"/>
      <c r="G2521" s="298"/>
      <c r="H2521" s="223"/>
      <c r="I2521" s="298">
        <f>IFERROR(__xludf.DUMMYFUNCTION("""COMPUTED_VALUE"""),100.0)</f>
        <v>100</v>
      </c>
      <c r="J2521" s="223" t="str">
        <f>IFERROR(__xludf.DUMMYFUNCTION("""COMPUTED_VALUE"""),"Monthly")</f>
        <v>Monthly</v>
      </c>
      <c r="K2521" s="317">
        <f>IFERROR(__xludf.DUMMYFUNCTION("""COMPUTED_VALUE"""),2023.03)</f>
        <v>2023.03</v>
      </c>
      <c r="L2521" s="298"/>
      <c r="M2521" s="223"/>
      <c r="N2521" s="223"/>
      <c r="O2521" s="223"/>
      <c r="P2521" s="223"/>
      <c r="Q2521" s="223"/>
      <c r="R2521" s="223"/>
      <c r="S2521" s="223"/>
      <c r="T2521" s="223"/>
      <c r="U2521" s="223"/>
      <c r="V2521" s="223"/>
      <c r="W2521" s="223"/>
      <c r="X2521" s="223"/>
      <c r="Y2521" s="223"/>
      <c r="Z2521" s="223"/>
    </row>
    <row r="2522">
      <c r="A2522" s="223" t="str">
        <f>IFERROR(__xludf.DUMMYFUNCTION("""COMPUTED_VALUE"""),"Big Hammer Wines : Monthly PPC")</f>
        <v>Big Hammer Wines : Monthly PPC</v>
      </c>
      <c r="B2522" s="223" t="str">
        <f>IFERROR(__xludf.DUMMYFUNCTION("""COMPUTED_VALUE"""),"Big Hammer Wines")</f>
        <v>Big Hammer Wines</v>
      </c>
      <c r="C2522" s="223" t="str">
        <f>IFERROR(__xludf.DUMMYFUNCTION("""COMPUTED_VALUE"""),"Monthly PPC")</f>
        <v>Monthly PPC</v>
      </c>
      <c r="D2522" s="316">
        <f>IFERROR(__xludf.DUMMYFUNCTION("""COMPUTED_VALUE"""),45016.0)</f>
        <v>45016</v>
      </c>
      <c r="E2522" s="298"/>
      <c r="F2522" s="298"/>
      <c r="G2522" s="298"/>
      <c r="H2522" s="223"/>
      <c r="I2522" s="298">
        <f>IFERROR(__xludf.DUMMYFUNCTION("""COMPUTED_VALUE"""),60.0)</f>
        <v>60</v>
      </c>
      <c r="J2522" s="223" t="str">
        <f>IFERROR(__xludf.DUMMYFUNCTION("""COMPUTED_VALUE"""),"Monthly")</f>
        <v>Monthly</v>
      </c>
      <c r="K2522" s="317">
        <f>IFERROR(__xludf.DUMMYFUNCTION("""COMPUTED_VALUE"""),2023.03)</f>
        <v>2023.03</v>
      </c>
      <c r="L2522" s="298"/>
      <c r="M2522" s="223"/>
      <c r="N2522" s="223"/>
      <c r="O2522" s="223"/>
      <c r="P2522" s="223"/>
      <c r="Q2522" s="223"/>
      <c r="R2522" s="223"/>
      <c r="S2522" s="223"/>
      <c r="T2522" s="223"/>
      <c r="U2522" s="223"/>
      <c r="V2522" s="223"/>
      <c r="W2522" s="223"/>
      <c r="X2522" s="223"/>
      <c r="Y2522" s="223"/>
      <c r="Z2522" s="223"/>
    </row>
    <row r="2523">
      <c r="A2523" s="223" t="str">
        <f>IFERROR(__xludf.DUMMYFUNCTION("""COMPUTED_VALUE"""),"Classic LifeCare : Monthly Google Ads (PPC) Management")</f>
        <v>Classic LifeCare : Monthly Google Ads (PPC) Management</v>
      </c>
      <c r="B2523" s="223" t="str">
        <f>IFERROR(__xludf.DUMMYFUNCTION("""COMPUTED_VALUE"""),"Classic LifeCare")</f>
        <v>Classic LifeCare</v>
      </c>
      <c r="C2523" s="223" t="str">
        <f>IFERROR(__xludf.DUMMYFUNCTION("""COMPUTED_VALUE"""),"Monthly Google Ads (PPC) Management")</f>
        <v>Monthly Google Ads (PPC) Management</v>
      </c>
      <c r="D2523" s="316">
        <f>IFERROR(__xludf.DUMMYFUNCTION("""COMPUTED_VALUE"""),45016.0)</f>
        <v>45016</v>
      </c>
      <c r="E2523" s="298"/>
      <c r="F2523" s="298"/>
      <c r="G2523" s="298"/>
      <c r="H2523" s="223"/>
      <c r="I2523" s="298">
        <f>IFERROR(__xludf.DUMMYFUNCTION("""COMPUTED_VALUE"""),322.5)</f>
        <v>322.5</v>
      </c>
      <c r="J2523" s="223" t="str">
        <f>IFERROR(__xludf.DUMMYFUNCTION("""COMPUTED_VALUE"""),"Monthly")</f>
        <v>Monthly</v>
      </c>
      <c r="K2523" s="317">
        <f>IFERROR(__xludf.DUMMYFUNCTION("""COMPUTED_VALUE"""),2023.03)</f>
        <v>2023.03</v>
      </c>
      <c r="L2523" s="298"/>
      <c r="M2523" s="223"/>
      <c r="N2523" s="223"/>
      <c r="O2523" s="223"/>
      <c r="P2523" s="223"/>
      <c r="Q2523" s="223"/>
      <c r="R2523" s="223"/>
      <c r="S2523" s="223"/>
      <c r="T2523" s="223"/>
      <c r="U2523" s="223"/>
      <c r="V2523" s="223"/>
      <c r="W2523" s="223"/>
      <c r="X2523" s="223"/>
      <c r="Y2523" s="223"/>
      <c r="Z2523" s="223"/>
    </row>
    <row r="2524">
      <c r="A2524" s="223" t="str">
        <f>IFERROR(__xludf.DUMMYFUNCTION("""COMPUTED_VALUE"""),"Canyon's Construction : PPC, LP &amp; Listings")</f>
        <v>Canyon's Construction : PPC, LP &amp; Listings</v>
      </c>
      <c r="B2524" s="223" t="str">
        <f>IFERROR(__xludf.DUMMYFUNCTION("""COMPUTED_VALUE"""),"Canyon's Construction")</f>
        <v>Canyon's Construction</v>
      </c>
      <c r="C2524" s="223" t="str">
        <f>IFERROR(__xludf.DUMMYFUNCTION("""COMPUTED_VALUE"""),"PPC, LP &amp; Listings")</f>
        <v>PPC, LP &amp; Listings</v>
      </c>
      <c r="D2524" s="316">
        <f>IFERROR(__xludf.DUMMYFUNCTION("""COMPUTED_VALUE"""),45016.0)</f>
        <v>45016</v>
      </c>
      <c r="E2524" s="298"/>
      <c r="F2524" s="298"/>
      <c r="G2524" s="298"/>
      <c r="H2524" s="223"/>
      <c r="I2524" s="298">
        <f>IFERROR(__xludf.DUMMYFUNCTION("""COMPUTED_VALUE"""),425.0)</f>
        <v>425</v>
      </c>
      <c r="J2524" s="223" t="str">
        <f>IFERROR(__xludf.DUMMYFUNCTION("""COMPUTED_VALUE"""),"Fixed Project")</f>
        <v>Fixed Project</v>
      </c>
      <c r="K2524" s="317">
        <f>IFERROR(__xludf.DUMMYFUNCTION("""COMPUTED_VALUE"""),2023.0)</f>
        <v>2023</v>
      </c>
      <c r="L2524" s="298"/>
      <c r="M2524" s="223"/>
      <c r="N2524" s="223"/>
      <c r="O2524" s="223"/>
      <c r="P2524" s="223"/>
      <c r="Q2524" s="223"/>
      <c r="R2524" s="223"/>
      <c r="S2524" s="223"/>
      <c r="T2524" s="223"/>
      <c r="U2524" s="223"/>
      <c r="V2524" s="223"/>
      <c r="W2524" s="223"/>
      <c r="X2524" s="223"/>
      <c r="Y2524" s="223"/>
      <c r="Z2524" s="223"/>
    </row>
    <row r="2525">
      <c r="A2525" s="223" t="str">
        <f>IFERROR(__xludf.DUMMYFUNCTION("""COMPUTED_VALUE"""),"McAllister Marketing : Copernic PPC / SEO")</f>
        <v>McAllister Marketing : Copernic PPC / SEO</v>
      </c>
      <c r="B2525" s="223" t="str">
        <f>IFERROR(__xludf.DUMMYFUNCTION("""COMPUTED_VALUE"""),"McAllister Marketing")</f>
        <v>McAllister Marketing</v>
      </c>
      <c r="C2525" s="223" t="str">
        <f>IFERROR(__xludf.DUMMYFUNCTION("""COMPUTED_VALUE"""),"Copernic PPC / SEO")</f>
        <v>Copernic PPC / SEO</v>
      </c>
      <c r="D2525" s="316">
        <f>IFERROR(__xludf.DUMMYFUNCTION("""COMPUTED_VALUE"""),45016.0)</f>
        <v>45016</v>
      </c>
      <c r="E2525" s="298"/>
      <c r="F2525" s="298"/>
      <c r="G2525" s="298"/>
      <c r="H2525" s="223"/>
      <c r="I2525" s="298">
        <f>IFERROR(__xludf.DUMMYFUNCTION("""COMPUTED_VALUE"""),710.0)</f>
        <v>710</v>
      </c>
      <c r="J2525" s="223" t="str">
        <f>IFERROR(__xludf.DUMMYFUNCTION("""COMPUTED_VALUE"""),"Monthly")</f>
        <v>Monthly</v>
      </c>
      <c r="K2525" s="317">
        <f>IFERROR(__xludf.DUMMYFUNCTION("""COMPUTED_VALUE"""),2023.03)</f>
        <v>2023.03</v>
      </c>
      <c r="L2525" s="298"/>
      <c r="M2525" s="223"/>
      <c r="N2525" s="223"/>
      <c r="O2525" s="223"/>
      <c r="P2525" s="223"/>
      <c r="Q2525" s="223"/>
      <c r="R2525" s="223"/>
      <c r="S2525" s="223"/>
      <c r="T2525" s="223"/>
      <c r="U2525" s="223"/>
      <c r="V2525" s="223"/>
      <c r="W2525" s="223"/>
      <c r="X2525" s="223"/>
      <c r="Y2525" s="223"/>
      <c r="Z2525" s="223"/>
    </row>
    <row r="2526">
      <c r="A2526" s="223" t="str">
        <f>IFERROR(__xludf.DUMMYFUNCTION("""COMPUTED_VALUE"""),"VINN : Monthly PPC")</f>
        <v>VINN : Monthly PPC</v>
      </c>
      <c r="B2526" s="223" t="str">
        <f>IFERROR(__xludf.DUMMYFUNCTION("""COMPUTED_VALUE"""),"VINN")</f>
        <v>VINN</v>
      </c>
      <c r="C2526" s="223" t="str">
        <f>IFERROR(__xludf.DUMMYFUNCTION("""COMPUTED_VALUE"""),"Monthly PPC")</f>
        <v>Monthly PPC</v>
      </c>
      <c r="D2526" s="316">
        <f>IFERROR(__xludf.DUMMYFUNCTION("""COMPUTED_VALUE"""),45016.0)</f>
        <v>45016</v>
      </c>
      <c r="E2526" s="298"/>
      <c r="F2526" s="298"/>
      <c r="G2526" s="298"/>
      <c r="H2526" s="223"/>
      <c r="I2526" s="298">
        <f>IFERROR(__xludf.DUMMYFUNCTION("""COMPUTED_VALUE"""),1200.0)</f>
        <v>1200</v>
      </c>
      <c r="J2526" s="223" t="str">
        <f>IFERROR(__xludf.DUMMYFUNCTION("""COMPUTED_VALUE"""),"Monthly")</f>
        <v>Monthly</v>
      </c>
      <c r="K2526" s="317">
        <f>IFERROR(__xludf.DUMMYFUNCTION("""COMPUTED_VALUE"""),2023.03)</f>
        <v>2023.03</v>
      </c>
      <c r="L2526" s="298"/>
      <c r="M2526" s="223"/>
      <c r="N2526" s="223"/>
      <c r="O2526" s="223"/>
      <c r="P2526" s="223"/>
      <c r="Q2526" s="223"/>
      <c r="R2526" s="223"/>
      <c r="S2526" s="223"/>
      <c r="T2526" s="223"/>
      <c r="U2526" s="223"/>
      <c r="V2526" s="223"/>
      <c r="W2526" s="223"/>
      <c r="X2526" s="223"/>
      <c r="Y2526" s="223"/>
      <c r="Z2526" s="223"/>
    </row>
    <row r="2527">
      <c r="A2527" s="223" t="str">
        <f>IFERROR(__xludf.DUMMYFUNCTION("""COMPUTED_VALUE"""),"Terra Insights : Monthly PPC")</f>
        <v>Terra Insights : Monthly PPC</v>
      </c>
      <c r="B2527" s="223" t="str">
        <f>IFERROR(__xludf.DUMMYFUNCTION("""COMPUTED_VALUE"""),"Terra Insights")</f>
        <v>Terra Insights</v>
      </c>
      <c r="C2527" s="223" t="str">
        <f>IFERROR(__xludf.DUMMYFUNCTION("""COMPUTED_VALUE"""),"Monthly PPC")</f>
        <v>Monthly PPC</v>
      </c>
      <c r="D2527" s="316">
        <f>IFERROR(__xludf.DUMMYFUNCTION("""COMPUTED_VALUE"""),45016.0)</f>
        <v>45016</v>
      </c>
      <c r="E2527" s="298"/>
      <c r="F2527" s="298"/>
      <c r="G2527" s="298"/>
      <c r="H2527" s="223"/>
      <c r="I2527" s="298">
        <f>IFERROR(__xludf.DUMMYFUNCTION("""COMPUTED_VALUE"""),390.0)</f>
        <v>390</v>
      </c>
      <c r="J2527" s="223" t="str">
        <f>IFERROR(__xludf.DUMMYFUNCTION("""COMPUTED_VALUE"""),"Monthly")</f>
        <v>Monthly</v>
      </c>
      <c r="K2527" s="317">
        <f>IFERROR(__xludf.DUMMYFUNCTION("""COMPUTED_VALUE"""),2023.03)</f>
        <v>2023.03</v>
      </c>
      <c r="L2527" s="298"/>
      <c r="M2527" s="223"/>
      <c r="N2527" s="223"/>
      <c r="O2527" s="223"/>
      <c r="P2527" s="223"/>
      <c r="Q2527" s="223"/>
      <c r="R2527" s="223"/>
      <c r="S2527" s="223"/>
      <c r="T2527" s="223"/>
      <c r="U2527" s="223"/>
      <c r="V2527" s="223"/>
      <c r="W2527" s="223"/>
      <c r="X2527" s="223"/>
      <c r="Y2527" s="223"/>
      <c r="Z2527" s="223"/>
    </row>
    <row r="2528">
      <c r="A2528" s="223" t="str">
        <f>IFERROR(__xludf.DUMMYFUNCTION("""COMPUTED_VALUE"""),"C360 : Johns Hopkins University PPC Management")</f>
        <v>C360 : Johns Hopkins University PPC Management</v>
      </c>
      <c r="B2528" s="223" t="str">
        <f>IFERROR(__xludf.DUMMYFUNCTION("""COMPUTED_VALUE"""),"C360")</f>
        <v>C360</v>
      </c>
      <c r="C2528" s="223" t="str">
        <f>IFERROR(__xludf.DUMMYFUNCTION("""COMPUTED_VALUE"""),"Johns Hopkins University PPC Management")</f>
        <v>Johns Hopkins University PPC Management</v>
      </c>
      <c r="D2528" s="316">
        <f>IFERROR(__xludf.DUMMYFUNCTION("""COMPUTED_VALUE"""),45016.0)</f>
        <v>45016</v>
      </c>
      <c r="E2528" s="298"/>
      <c r="F2528" s="298"/>
      <c r="G2528" s="298"/>
      <c r="H2528" s="223"/>
      <c r="I2528" s="298">
        <f>IFERROR(__xludf.DUMMYFUNCTION("""COMPUTED_VALUE"""),175.0)</f>
        <v>175</v>
      </c>
      <c r="J2528" s="223" t="str">
        <f>IFERROR(__xludf.DUMMYFUNCTION("""COMPUTED_VALUE"""),"Fixed Project")</f>
        <v>Fixed Project</v>
      </c>
      <c r="K2528" s="317">
        <f>IFERROR(__xludf.DUMMYFUNCTION("""COMPUTED_VALUE"""),2023.0)</f>
        <v>2023</v>
      </c>
      <c r="L2528" s="298"/>
      <c r="M2528" s="223"/>
      <c r="N2528" s="223"/>
      <c r="O2528" s="223"/>
      <c r="P2528" s="223"/>
      <c r="Q2528" s="223"/>
      <c r="R2528" s="223"/>
      <c r="S2528" s="223"/>
      <c r="T2528" s="223"/>
      <c r="U2528" s="223"/>
      <c r="V2528" s="223"/>
      <c r="W2528" s="223"/>
      <c r="X2528" s="223"/>
      <c r="Y2528" s="223"/>
      <c r="Z2528" s="223"/>
    </row>
    <row r="2529">
      <c r="A2529" s="223" t="str">
        <f>IFERROR(__xludf.DUMMYFUNCTION("""COMPUTED_VALUE"""),"Luxe Bridal LLC : Monthly PPC")</f>
        <v>Luxe Bridal LLC : Monthly PPC</v>
      </c>
      <c r="B2529" s="223" t="str">
        <f>IFERROR(__xludf.DUMMYFUNCTION("""COMPUTED_VALUE"""),"Luxe Bridal LLC")</f>
        <v>Luxe Bridal LLC</v>
      </c>
      <c r="C2529" s="223" t="str">
        <f>IFERROR(__xludf.DUMMYFUNCTION("""COMPUTED_VALUE"""),"Monthly PPC")</f>
        <v>Monthly PPC</v>
      </c>
      <c r="D2529" s="316">
        <f>IFERROR(__xludf.DUMMYFUNCTION("""COMPUTED_VALUE"""),45016.0)</f>
        <v>45016</v>
      </c>
      <c r="E2529" s="298"/>
      <c r="F2529" s="298"/>
      <c r="G2529" s="298"/>
      <c r="H2529" s="223"/>
      <c r="I2529" s="298">
        <f>IFERROR(__xludf.DUMMYFUNCTION("""COMPUTED_VALUE"""),930.0)</f>
        <v>930</v>
      </c>
      <c r="J2529" s="223" t="str">
        <f>IFERROR(__xludf.DUMMYFUNCTION("""COMPUTED_VALUE"""),"Monthly")</f>
        <v>Monthly</v>
      </c>
      <c r="K2529" s="317">
        <f>IFERROR(__xludf.DUMMYFUNCTION("""COMPUTED_VALUE"""),2023.03)</f>
        <v>2023.03</v>
      </c>
      <c r="L2529" s="298"/>
      <c r="M2529" s="223"/>
      <c r="N2529" s="223"/>
      <c r="O2529" s="223"/>
      <c r="P2529" s="223"/>
      <c r="Q2529" s="223"/>
      <c r="R2529" s="223"/>
      <c r="S2529" s="223"/>
      <c r="T2529" s="223"/>
      <c r="U2529" s="223"/>
      <c r="V2529" s="223"/>
      <c r="W2529" s="223"/>
      <c r="X2529" s="223"/>
      <c r="Y2529" s="223"/>
      <c r="Z2529" s="223"/>
    </row>
    <row r="2530">
      <c r="A2530" s="223" t="str">
        <f>IFERROR(__xludf.DUMMYFUNCTION("""COMPUTED_VALUE"""),"Tugwell : Bi-monthly PPC Mgmt")</f>
        <v>Tugwell : Bi-monthly PPC Mgmt</v>
      </c>
      <c r="B2530" s="223" t="str">
        <f>IFERROR(__xludf.DUMMYFUNCTION("""COMPUTED_VALUE"""),"Tugwell")</f>
        <v>Tugwell</v>
      </c>
      <c r="C2530" s="223" t="str">
        <f>IFERROR(__xludf.DUMMYFUNCTION("""COMPUTED_VALUE"""),"Bi-monthly PPC Mgmt")</f>
        <v>Bi-monthly PPC Mgmt</v>
      </c>
      <c r="D2530" s="316">
        <f>IFERROR(__xludf.DUMMYFUNCTION("""COMPUTED_VALUE"""),45016.0)</f>
        <v>45016</v>
      </c>
      <c r="E2530" s="298"/>
      <c r="F2530" s="298"/>
      <c r="G2530" s="298"/>
      <c r="H2530" s="223"/>
      <c r="I2530" s="298">
        <f>IFERROR(__xludf.DUMMYFUNCTION("""COMPUTED_VALUE"""),45.0)</f>
        <v>45</v>
      </c>
      <c r="J2530" s="223" t="str">
        <f>IFERROR(__xludf.DUMMYFUNCTION("""COMPUTED_VALUE"""),"Bi-Monthly")</f>
        <v>Bi-Monthly</v>
      </c>
      <c r="K2530" s="317">
        <f>IFERROR(__xludf.DUMMYFUNCTION("""COMPUTED_VALUE"""),2023.0)</f>
        <v>2023</v>
      </c>
      <c r="L2530" s="298"/>
      <c r="M2530" s="223"/>
      <c r="N2530" s="223"/>
      <c r="O2530" s="223"/>
      <c r="P2530" s="223"/>
      <c r="Q2530" s="223"/>
      <c r="R2530" s="223"/>
      <c r="S2530" s="223"/>
      <c r="T2530" s="223"/>
      <c r="U2530" s="223"/>
      <c r="V2530" s="223"/>
      <c r="W2530" s="223"/>
      <c r="X2530" s="223"/>
      <c r="Y2530" s="223"/>
      <c r="Z2530" s="223"/>
    </row>
    <row r="2531">
      <c r="A2531" s="223" t="str">
        <f>IFERROR(__xludf.DUMMYFUNCTION("""COMPUTED_VALUE"""),"OA Region 6 : Monthly Services")</f>
        <v>OA Region 6 : Monthly Services</v>
      </c>
      <c r="B2531" s="223" t="str">
        <f>IFERROR(__xludf.DUMMYFUNCTION("""COMPUTED_VALUE"""),"OA Region 6")</f>
        <v>OA Region 6</v>
      </c>
      <c r="C2531" s="223" t="str">
        <f>IFERROR(__xludf.DUMMYFUNCTION("""COMPUTED_VALUE"""),"Monthly Services")</f>
        <v>Monthly Services</v>
      </c>
      <c r="D2531" s="316">
        <f>IFERROR(__xludf.DUMMYFUNCTION("""COMPUTED_VALUE"""),45016.0)</f>
        <v>45016</v>
      </c>
      <c r="E2531" s="298"/>
      <c r="F2531" s="298"/>
      <c r="G2531" s="298"/>
      <c r="H2531" s="223"/>
      <c r="I2531" s="298">
        <f>IFERROR(__xludf.DUMMYFUNCTION("""COMPUTED_VALUE"""),150.0)</f>
        <v>150</v>
      </c>
      <c r="J2531" s="223" t="str">
        <f>IFERROR(__xludf.DUMMYFUNCTION("""COMPUTED_VALUE"""),"Monthly")</f>
        <v>Monthly</v>
      </c>
      <c r="K2531" s="317">
        <f>IFERROR(__xludf.DUMMYFUNCTION("""COMPUTED_VALUE"""),2023.03)</f>
        <v>2023.03</v>
      </c>
      <c r="L2531" s="298"/>
      <c r="M2531" s="223"/>
      <c r="N2531" s="223"/>
      <c r="O2531" s="223"/>
      <c r="P2531" s="223"/>
      <c r="Q2531" s="223"/>
      <c r="R2531" s="223"/>
      <c r="S2531" s="223"/>
      <c r="T2531" s="223"/>
      <c r="U2531" s="223"/>
      <c r="V2531" s="223"/>
      <c r="W2531" s="223"/>
      <c r="X2531" s="223"/>
      <c r="Y2531" s="223"/>
      <c r="Z2531" s="223"/>
    </row>
    <row r="2532">
      <c r="A2532" s="223" t="str">
        <f>IFERROR(__xludf.DUMMYFUNCTION("""COMPUTED_VALUE"""),"Tuscany : Monthly Services")</f>
        <v>Tuscany : Monthly Services</v>
      </c>
      <c r="B2532" s="223" t="str">
        <f>IFERROR(__xludf.DUMMYFUNCTION("""COMPUTED_VALUE"""),"Tuscany")</f>
        <v>Tuscany</v>
      </c>
      <c r="C2532" s="223" t="str">
        <f>IFERROR(__xludf.DUMMYFUNCTION("""COMPUTED_VALUE"""),"Monthly Services")</f>
        <v>Monthly Services</v>
      </c>
      <c r="D2532" s="316">
        <f>IFERROR(__xludf.DUMMYFUNCTION("""COMPUTED_VALUE"""),45016.0)</f>
        <v>45016</v>
      </c>
      <c r="E2532" s="298"/>
      <c r="F2532" s="298"/>
      <c r="G2532" s="298"/>
      <c r="H2532" s="223"/>
      <c r="I2532" s="298">
        <f>IFERROR(__xludf.DUMMYFUNCTION("""COMPUTED_VALUE"""),662.5)</f>
        <v>662.5</v>
      </c>
      <c r="J2532" s="223" t="str">
        <f>IFERROR(__xludf.DUMMYFUNCTION("""COMPUTED_VALUE"""),"Monthly")</f>
        <v>Monthly</v>
      </c>
      <c r="K2532" s="317">
        <f>IFERROR(__xludf.DUMMYFUNCTION("""COMPUTED_VALUE"""),2023.03)</f>
        <v>2023.03</v>
      </c>
      <c r="L2532" s="298"/>
      <c r="M2532" s="223"/>
      <c r="N2532" s="223"/>
      <c r="O2532" s="223"/>
      <c r="P2532" s="223"/>
      <c r="Q2532" s="223"/>
      <c r="R2532" s="223"/>
      <c r="S2532" s="223"/>
      <c r="T2532" s="223"/>
      <c r="U2532" s="223"/>
      <c r="V2532" s="223"/>
      <c r="W2532" s="223"/>
      <c r="X2532" s="223"/>
      <c r="Y2532" s="223"/>
      <c r="Z2532" s="223"/>
    </row>
    <row r="2533">
      <c r="A2533" s="223" t="str">
        <f>IFERROR(__xludf.DUMMYFUNCTION("""COMPUTED_VALUE"""),"Venetian : Monthly Services")</f>
        <v>Venetian : Monthly Services</v>
      </c>
      <c r="B2533" s="223" t="str">
        <f>IFERROR(__xludf.DUMMYFUNCTION("""COMPUTED_VALUE"""),"Venetian")</f>
        <v>Venetian</v>
      </c>
      <c r="C2533" s="223" t="str">
        <f>IFERROR(__xludf.DUMMYFUNCTION("""COMPUTED_VALUE"""),"Monthly Services")</f>
        <v>Monthly Services</v>
      </c>
      <c r="D2533" s="316">
        <f>IFERROR(__xludf.DUMMYFUNCTION("""COMPUTED_VALUE"""),45016.0)</f>
        <v>45016</v>
      </c>
      <c r="E2533" s="298"/>
      <c r="F2533" s="298"/>
      <c r="G2533" s="298"/>
      <c r="H2533" s="223"/>
      <c r="I2533" s="298">
        <f>IFERROR(__xludf.DUMMYFUNCTION("""COMPUTED_VALUE"""),662.5)</f>
        <v>662.5</v>
      </c>
      <c r="J2533" s="223" t="str">
        <f>IFERROR(__xludf.DUMMYFUNCTION("""COMPUTED_VALUE"""),"Monthly")</f>
        <v>Monthly</v>
      </c>
      <c r="K2533" s="317">
        <f>IFERROR(__xludf.DUMMYFUNCTION("""COMPUTED_VALUE"""),2023.03)</f>
        <v>2023.03</v>
      </c>
      <c r="L2533" s="298"/>
      <c r="M2533" s="223"/>
      <c r="N2533" s="223"/>
      <c r="O2533" s="223"/>
      <c r="P2533" s="223"/>
      <c r="Q2533" s="223"/>
      <c r="R2533" s="223"/>
      <c r="S2533" s="223"/>
      <c r="T2533" s="223"/>
      <c r="U2533" s="223"/>
      <c r="V2533" s="223"/>
      <c r="W2533" s="223"/>
      <c r="X2533" s="223"/>
      <c r="Y2533" s="223"/>
      <c r="Z2533" s="223"/>
    </row>
    <row r="2534">
      <c r="A2534" s="223" t="str">
        <f>IFERROR(__xludf.DUMMYFUNCTION("""COMPUTED_VALUE"""),"Spraggs : Monthly Services")</f>
        <v>Spraggs : Monthly Services</v>
      </c>
      <c r="B2534" s="223" t="str">
        <f>IFERROR(__xludf.DUMMYFUNCTION("""COMPUTED_VALUE"""),"Spraggs")</f>
        <v>Spraggs</v>
      </c>
      <c r="C2534" s="223" t="str">
        <f>IFERROR(__xludf.DUMMYFUNCTION("""COMPUTED_VALUE"""),"Monthly Services")</f>
        <v>Monthly Services</v>
      </c>
      <c r="D2534" s="316">
        <f>IFERROR(__xludf.DUMMYFUNCTION("""COMPUTED_VALUE"""),45016.0)</f>
        <v>45016</v>
      </c>
      <c r="E2534" s="298"/>
      <c r="F2534" s="298"/>
      <c r="G2534" s="298"/>
      <c r="H2534" s="223"/>
      <c r="I2534" s="298">
        <f>IFERROR(__xludf.DUMMYFUNCTION("""COMPUTED_VALUE"""),562.5)</f>
        <v>562.5</v>
      </c>
      <c r="J2534" s="223" t="str">
        <f>IFERROR(__xludf.DUMMYFUNCTION("""COMPUTED_VALUE"""),"Monthly")</f>
        <v>Monthly</v>
      </c>
      <c r="K2534" s="317">
        <f>IFERROR(__xludf.DUMMYFUNCTION("""COMPUTED_VALUE"""),2023.03)</f>
        <v>2023.03</v>
      </c>
      <c r="L2534" s="298"/>
      <c r="M2534" s="223"/>
      <c r="N2534" s="223"/>
      <c r="O2534" s="223"/>
      <c r="P2534" s="223"/>
      <c r="Q2534" s="223"/>
      <c r="R2534" s="223"/>
      <c r="S2534" s="223"/>
      <c r="T2534" s="223"/>
      <c r="U2534" s="223"/>
      <c r="V2534" s="223"/>
      <c r="W2534" s="223"/>
      <c r="X2534" s="223"/>
      <c r="Y2534" s="223"/>
      <c r="Z2534" s="223"/>
    </row>
    <row r="2535">
      <c r="A2535" s="223" t="str">
        <f>IFERROR(__xludf.DUMMYFUNCTION("""COMPUTED_VALUE"""),"TisBest : Monthly Services")</f>
        <v>TisBest : Monthly Services</v>
      </c>
      <c r="B2535" s="223" t="str">
        <f>IFERROR(__xludf.DUMMYFUNCTION("""COMPUTED_VALUE"""),"TisBest")</f>
        <v>TisBest</v>
      </c>
      <c r="C2535" s="223" t="str">
        <f>IFERROR(__xludf.DUMMYFUNCTION("""COMPUTED_VALUE"""),"Monthly Services")</f>
        <v>Monthly Services</v>
      </c>
      <c r="D2535" s="316">
        <f>IFERROR(__xludf.DUMMYFUNCTION("""COMPUTED_VALUE"""),45016.0)</f>
        <v>45016</v>
      </c>
      <c r="E2535" s="298"/>
      <c r="F2535" s="298"/>
      <c r="G2535" s="298"/>
      <c r="H2535" s="223"/>
      <c r="I2535" s="298">
        <f>IFERROR(__xludf.DUMMYFUNCTION("""COMPUTED_VALUE"""),675.0)</f>
        <v>675</v>
      </c>
      <c r="J2535" s="223" t="str">
        <f>IFERROR(__xludf.DUMMYFUNCTION("""COMPUTED_VALUE"""),"Monthly")</f>
        <v>Monthly</v>
      </c>
      <c r="K2535" s="317">
        <f>IFERROR(__xludf.DUMMYFUNCTION("""COMPUTED_VALUE"""),2023.03)</f>
        <v>2023.03</v>
      </c>
      <c r="L2535" s="298"/>
      <c r="M2535" s="223"/>
      <c r="N2535" s="223"/>
      <c r="O2535" s="223"/>
      <c r="P2535" s="223"/>
      <c r="Q2535" s="223"/>
      <c r="R2535" s="223"/>
      <c r="S2535" s="223"/>
      <c r="T2535" s="223"/>
      <c r="U2535" s="223"/>
      <c r="V2535" s="223"/>
      <c r="W2535" s="223"/>
      <c r="X2535" s="223"/>
      <c r="Y2535" s="223"/>
      <c r="Z2535" s="223"/>
    </row>
    <row r="2536">
      <c r="A2536" s="223" t="str">
        <f>IFERROR(__xludf.DUMMYFUNCTION("""COMPUTED_VALUE"""),"Tofino Resort + Marina : Monthly Services")</f>
        <v>Tofino Resort + Marina : Monthly Services</v>
      </c>
      <c r="B2536" s="223" t="str">
        <f>IFERROR(__xludf.DUMMYFUNCTION("""COMPUTED_VALUE"""),"Tofino Resort + Marina")</f>
        <v>Tofino Resort + Marina</v>
      </c>
      <c r="C2536" s="223" t="str">
        <f>IFERROR(__xludf.DUMMYFUNCTION("""COMPUTED_VALUE"""),"Monthly Services")</f>
        <v>Monthly Services</v>
      </c>
      <c r="D2536" s="316">
        <f>IFERROR(__xludf.DUMMYFUNCTION("""COMPUTED_VALUE"""),45016.0)</f>
        <v>45016</v>
      </c>
      <c r="E2536" s="298"/>
      <c r="F2536" s="298"/>
      <c r="G2536" s="298"/>
      <c r="H2536" s="223"/>
      <c r="I2536" s="298">
        <f>IFERROR(__xludf.DUMMYFUNCTION("""COMPUTED_VALUE"""),450.0)</f>
        <v>450</v>
      </c>
      <c r="J2536" s="223" t="str">
        <f>IFERROR(__xludf.DUMMYFUNCTION("""COMPUTED_VALUE"""),"Monthly")</f>
        <v>Monthly</v>
      </c>
      <c r="K2536" s="317">
        <f>IFERROR(__xludf.DUMMYFUNCTION("""COMPUTED_VALUE"""),2023.03)</f>
        <v>2023.03</v>
      </c>
      <c r="L2536" s="298"/>
      <c r="M2536" s="223"/>
      <c r="N2536" s="223"/>
      <c r="O2536" s="223"/>
      <c r="P2536" s="223"/>
      <c r="Q2536" s="223"/>
      <c r="R2536" s="223"/>
      <c r="S2536" s="223"/>
      <c r="T2536" s="223"/>
      <c r="U2536" s="223"/>
      <c r="V2536" s="223"/>
      <c r="W2536" s="223"/>
      <c r="X2536" s="223"/>
      <c r="Y2536" s="223"/>
      <c r="Z2536" s="223"/>
    </row>
    <row r="2537">
      <c r="A2537" s="223" t="str">
        <f>IFERROR(__xludf.DUMMYFUNCTION("""COMPUTED_VALUE"""),"Booginhead : Monthly Services")</f>
        <v>Booginhead : Monthly Services</v>
      </c>
      <c r="B2537" s="223" t="str">
        <f>IFERROR(__xludf.DUMMYFUNCTION("""COMPUTED_VALUE"""),"Booginhead")</f>
        <v>Booginhead</v>
      </c>
      <c r="C2537" s="223" t="str">
        <f>IFERROR(__xludf.DUMMYFUNCTION("""COMPUTED_VALUE"""),"Monthly Services")</f>
        <v>Monthly Services</v>
      </c>
      <c r="D2537" s="316">
        <f>IFERROR(__xludf.DUMMYFUNCTION("""COMPUTED_VALUE"""),45016.0)</f>
        <v>45016</v>
      </c>
      <c r="E2537" s="298"/>
      <c r="F2537" s="298"/>
      <c r="G2537" s="298"/>
      <c r="H2537" s="223"/>
      <c r="I2537" s="298">
        <f>IFERROR(__xludf.DUMMYFUNCTION("""COMPUTED_VALUE"""),400.0)</f>
        <v>400</v>
      </c>
      <c r="J2537" s="223" t="str">
        <f>IFERROR(__xludf.DUMMYFUNCTION("""COMPUTED_VALUE"""),"Monthly")</f>
        <v>Monthly</v>
      </c>
      <c r="K2537" s="317">
        <f>IFERROR(__xludf.DUMMYFUNCTION("""COMPUTED_VALUE"""),2023.03)</f>
        <v>2023.03</v>
      </c>
      <c r="L2537" s="298"/>
      <c r="M2537" s="223"/>
      <c r="N2537" s="223"/>
      <c r="O2537" s="223"/>
      <c r="P2537" s="223"/>
      <c r="Q2537" s="223"/>
      <c r="R2537" s="223"/>
      <c r="S2537" s="223"/>
      <c r="T2537" s="223"/>
      <c r="U2537" s="223"/>
      <c r="V2537" s="223"/>
      <c r="W2537" s="223"/>
      <c r="X2537" s="223"/>
      <c r="Y2537" s="223"/>
      <c r="Z2537" s="223"/>
    </row>
    <row r="2538">
      <c r="A2538" s="223" t="str">
        <f>IFERROR(__xludf.DUMMYFUNCTION("""COMPUTED_VALUE"""),"Hastings House : Monthly Services")</f>
        <v>Hastings House : Monthly Services</v>
      </c>
      <c r="B2538" s="223" t="str">
        <f>IFERROR(__xludf.DUMMYFUNCTION("""COMPUTED_VALUE"""),"Hastings House")</f>
        <v>Hastings House</v>
      </c>
      <c r="C2538" s="223" t="str">
        <f>IFERROR(__xludf.DUMMYFUNCTION("""COMPUTED_VALUE"""),"Monthly Services")</f>
        <v>Monthly Services</v>
      </c>
      <c r="D2538" s="316">
        <f>IFERROR(__xludf.DUMMYFUNCTION("""COMPUTED_VALUE"""),45016.0)</f>
        <v>45016</v>
      </c>
      <c r="E2538" s="298"/>
      <c r="F2538" s="298"/>
      <c r="G2538" s="298"/>
      <c r="H2538" s="223"/>
      <c r="I2538" s="298">
        <f>IFERROR(__xludf.DUMMYFUNCTION("""COMPUTED_VALUE"""),287.5)</f>
        <v>287.5</v>
      </c>
      <c r="J2538" s="223" t="str">
        <f>IFERROR(__xludf.DUMMYFUNCTION("""COMPUTED_VALUE"""),"Monthly")</f>
        <v>Monthly</v>
      </c>
      <c r="K2538" s="317">
        <f>IFERROR(__xludf.DUMMYFUNCTION("""COMPUTED_VALUE"""),2023.03)</f>
        <v>2023.03</v>
      </c>
      <c r="L2538" s="298"/>
      <c r="M2538" s="223"/>
      <c r="N2538" s="223"/>
      <c r="O2538" s="223"/>
      <c r="P2538" s="223"/>
      <c r="Q2538" s="223"/>
      <c r="R2538" s="223"/>
      <c r="S2538" s="223"/>
      <c r="T2538" s="223"/>
      <c r="U2538" s="223"/>
      <c r="V2538" s="223"/>
      <c r="W2538" s="223"/>
      <c r="X2538" s="223"/>
      <c r="Y2538" s="223"/>
      <c r="Z2538" s="223"/>
    </row>
    <row r="2539">
      <c r="A2539" s="223" t="str">
        <f>IFERROR(__xludf.DUMMYFUNCTION("""COMPUTED_VALUE"""),"Howard Fine Jewellers : Ongoing PPC and SEO Support")</f>
        <v>Howard Fine Jewellers : Ongoing PPC and SEO Support</v>
      </c>
      <c r="B2539" s="223" t="str">
        <f>IFERROR(__xludf.DUMMYFUNCTION("""COMPUTED_VALUE"""),"Howard Fine Jewellers")</f>
        <v>Howard Fine Jewellers</v>
      </c>
      <c r="C2539" s="223" t="str">
        <f>IFERROR(__xludf.DUMMYFUNCTION("""COMPUTED_VALUE"""),"Ongoing PPC and SEO Support")</f>
        <v>Ongoing PPC and SEO Support</v>
      </c>
      <c r="D2539" s="316">
        <f>IFERROR(__xludf.DUMMYFUNCTION("""COMPUTED_VALUE"""),45016.0)</f>
        <v>45016</v>
      </c>
      <c r="E2539" s="298"/>
      <c r="F2539" s="298"/>
      <c r="G2539" s="298"/>
      <c r="H2539" s="223"/>
      <c r="I2539" s="298">
        <f>IFERROR(__xludf.DUMMYFUNCTION("""COMPUTED_VALUE"""),200.0)</f>
        <v>200</v>
      </c>
      <c r="J2539" s="223" t="str">
        <f>IFERROR(__xludf.DUMMYFUNCTION("""COMPUTED_VALUE"""),"Monthly")</f>
        <v>Monthly</v>
      </c>
      <c r="K2539" s="317">
        <f>IFERROR(__xludf.DUMMYFUNCTION("""COMPUTED_VALUE"""),2023.03)</f>
        <v>2023.03</v>
      </c>
      <c r="L2539" s="298"/>
      <c r="M2539" s="223"/>
      <c r="N2539" s="223"/>
      <c r="O2539" s="223"/>
      <c r="P2539" s="223"/>
      <c r="Q2539" s="223"/>
      <c r="R2539" s="223"/>
      <c r="S2539" s="223"/>
      <c r="T2539" s="223"/>
      <c r="U2539" s="223"/>
      <c r="V2539" s="223"/>
      <c r="W2539" s="223"/>
      <c r="X2539" s="223"/>
      <c r="Y2539" s="223"/>
      <c r="Z2539" s="223"/>
    </row>
    <row r="2540">
      <c r="A2540" s="223" t="str">
        <f>IFERROR(__xludf.DUMMYFUNCTION("""COMPUTED_VALUE"""),"Luxe Bridal LLC : Monthly PPC")</f>
        <v>Luxe Bridal LLC : Monthly PPC</v>
      </c>
      <c r="B2540" s="223" t="str">
        <f>IFERROR(__xludf.DUMMYFUNCTION("""COMPUTED_VALUE"""),"Luxe Bridal LLC")</f>
        <v>Luxe Bridal LLC</v>
      </c>
      <c r="C2540" s="223" t="str">
        <f>IFERROR(__xludf.DUMMYFUNCTION("""COMPUTED_VALUE"""),"Monthly PPC")</f>
        <v>Monthly PPC</v>
      </c>
      <c r="D2540" s="316">
        <f>IFERROR(__xludf.DUMMYFUNCTION("""COMPUTED_VALUE"""),45016.0)</f>
        <v>45016</v>
      </c>
      <c r="E2540" s="298"/>
      <c r="F2540" s="298"/>
      <c r="G2540" s="298"/>
      <c r="H2540" s="223"/>
      <c r="I2540" s="298">
        <f>IFERROR(__xludf.DUMMYFUNCTION("""COMPUTED_VALUE"""),1100.0)</f>
        <v>1100</v>
      </c>
      <c r="J2540" s="223" t="str">
        <f>IFERROR(__xludf.DUMMYFUNCTION("""COMPUTED_VALUE"""),"Monthly")</f>
        <v>Monthly</v>
      </c>
      <c r="K2540" s="317">
        <f>IFERROR(__xludf.DUMMYFUNCTION("""COMPUTED_VALUE"""),2023.03)</f>
        <v>2023.03</v>
      </c>
      <c r="L2540" s="298"/>
      <c r="M2540" s="223"/>
      <c r="N2540" s="223"/>
      <c r="O2540" s="223"/>
      <c r="P2540" s="223"/>
      <c r="Q2540" s="223"/>
      <c r="R2540" s="223"/>
      <c r="S2540" s="223"/>
      <c r="T2540" s="223"/>
      <c r="U2540" s="223"/>
      <c r="V2540" s="223"/>
      <c r="W2540" s="223"/>
      <c r="X2540" s="223"/>
      <c r="Y2540" s="223"/>
      <c r="Z2540" s="223"/>
    </row>
    <row r="2541">
      <c r="A2541" s="223" t="str">
        <f>IFERROR(__xludf.DUMMYFUNCTION("""COMPUTED_VALUE"""),"GreenLane Offroad : PPC, SEO &amp; Analytics Work")</f>
        <v>GreenLane Offroad : PPC, SEO &amp; Analytics Work</v>
      </c>
      <c r="B2541" s="223" t="str">
        <f>IFERROR(__xludf.DUMMYFUNCTION("""COMPUTED_VALUE"""),"GreenLane Offroad")</f>
        <v>GreenLane Offroad</v>
      </c>
      <c r="C2541" s="223" t="str">
        <f>IFERROR(__xludf.DUMMYFUNCTION("""COMPUTED_VALUE"""),"PPC, SEO &amp; Analytics Work")</f>
        <v>PPC, SEO &amp; Analytics Work</v>
      </c>
      <c r="D2541" s="316">
        <f>IFERROR(__xludf.DUMMYFUNCTION("""COMPUTED_VALUE"""),45016.0)</f>
        <v>45016</v>
      </c>
      <c r="E2541" s="298"/>
      <c r="F2541" s="298"/>
      <c r="G2541" s="298"/>
      <c r="H2541" s="223"/>
      <c r="I2541" s="298">
        <f>IFERROR(__xludf.DUMMYFUNCTION("""COMPUTED_VALUE"""),300.0)</f>
        <v>300</v>
      </c>
      <c r="J2541" s="223" t="str">
        <f>IFERROR(__xludf.DUMMYFUNCTION("""COMPUTED_VALUE"""),"Monthly")</f>
        <v>Monthly</v>
      </c>
      <c r="K2541" s="317">
        <f>IFERROR(__xludf.DUMMYFUNCTION("""COMPUTED_VALUE"""),2023.03)</f>
        <v>2023.03</v>
      </c>
      <c r="L2541" s="298"/>
      <c r="M2541" s="223"/>
      <c r="N2541" s="223"/>
      <c r="O2541" s="223"/>
      <c r="P2541" s="223"/>
      <c r="Q2541" s="223"/>
      <c r="R2541" s="223"/>
      <c r="S2541" s="223"/>
      <c r="T2541" s="223"/>
      <c r="U2541" s="223"/>
      <c r="V2541" s="223"/>
      <c r="W2541" s="223"/>
      <c r="X2541" s="223"/>
      <c r="Y2541" s="223"/>
      <c r="Z2541" s="223"/>
    </row>
    <row r="2542">
      <c r="A2542" s="223" t="str">
        <f>IFERROR(__xludf.DUMMYFUNCTION("""COMPUTED_VALUE"""),"Moloco : Monthly PPC")</f>
        <v>Moloco : Monthly PPC</v>
      </c>
      <c r="B2542" s="223" t="str">
        <f>IFERROR(__xludf.DUMMYFUNCTION("""COMPUTED_VALUE"""),"Moloco")</f>
        <v>Moloco</v>
      </c>
      <c r="C2542" s="223" t="str">
        <f>IFERROR(__xludf.DUMMYFUNCTION("""COMPUTED_VALUE"""),"Monthly PPC")</f>
        <v>Monthly PPC</v>
      </c>
      <c r="D2542" s="316">
        <f>IFERROR(__xludf.DUMMYFUNCTION("""COMPUTED_VALUE"""),45016.0)</f>
        <v>45016</v>
      </c>
      <c r="E2542" s="298"/>
      <c r="F2542" s="298"/>
      <c r="G2542" s="298"/>
      <c r="H2542" s="223"/>
      <c r="I2542" s="298">
        <f>IFERROR(__xludf.DUMMYFUNCTION("""COMPUTED_VALUE"""),150.0)</f>
        <v>150</v>
      </c>
      <c r="J2542" s="223" t="str">
        <f>IFERROR(__xludf.DUMMYFUNCTION("""COMPUTED_VALUE"""),"Monthly")</f>
        <v>Monthly</v>
      </c>
      <c r="K2542" s="317">
        <f>IFERROR(__xludf.DUMMYFUNCTION("""COMPUTED_VALUE"""),2023.03)</f>
        <v>2023.03</v>
      </c>
      <c r="L2542" s="298"/>
      <c r="M2542" s="223"/>
      <c r="N2542" s="223"/>
      <c r="O2542" s="223"/>
      <c r="P2542" s="223"/>
      <c r="Q2542" s="223"/>
      <c r="R2542" s="223"/>
      <c r="S2542" s="223"/>
      <c r="T2542" s="223"/>
      <c r="U2542" s="223"/>
      <c r="V2542" s="223"/>
      <c r="W2542" s="223"/>
      <c r="X2542" s="223"/>
      <c r="Y2542" s="223"/>
      <c r="Z2542" s="223"/>
    </row>
    <row r="2543">
      <c r="A2543" s="223" t="str">
        <f>IFERROR(__xludf.DUMMYFUNCTION("""COMPUTED_VALUE"""),"Ultimate Tools : Monthly SEO &amp; PPC Management")</f>
        <v>Ultimate Tools : Monthly SEO &amp; PPC Management</v>
      </c>
      <c r="B2543" s="223" t="str">
        <f>IFERROR(__xludf.DUMMYFUNCTION("""COMPUTED_VALUE"""),"Ultimate Tools")</f>
        <v>Ultimate Tools</v>
      </c>
      <c r="C2543" s="223" t="str">
        <f>IFERROR(__xludf.DUMMYFUNCTION("""COMPUTED_VALUE"""),"Monthly SEO &amp; PPC Management")</f>
        <v>Monthly SEO &amp; PPC Management</v>
      </c>
      <c r="D2543" s="316">
        <f>IFERROR(__xludf.DUMMYFUNCTION("""COMPUTED_VALUE"""),45016.0)</f>
        <v>45016</v>
      </c>
      <c r="E2543" s="298"/>
      <c r="F2543" s="298"/>
      <c r="G2543" s="298"/>
      <c r="H2543" s="223"/>
      <c r="I2543" s="298">
        <f>IFERROR(__xludf.DUMMYFUNCTION("""COMPUTED_VALUE"""),550.0)</f>
        <v>550</v>
      </c>
      <c r="J2543" s="223" t="str">
        <f>IFERROR(__xludf.DUMMYFUNCTION("""COMPUTED_VALUE"""),"Monthly")</f>
        <v>Monthly</v>
      </c>
      <c r="K2543" s="317">
        <f>IFERROR(__xludf.DUMMYFUNCTION("""COMPUTED_VALUE"""),2023.03)</f>
        <v>2023.03</v>
      </c>
      <c r="L2543" s="298"/>
      <c r="M2543" s="223"/>
      <c r="N2543" s="223"/>
      <c r="O2543" s="223"/>
      <c r="P2543" s="223"/>
      <c r="Q2543" s="223"/>
      <c r="R2543" s="223"/>
      <c r="S2543" s="223"/>
      <c r="T2543" s="223"/>
      <c r="U2543" s="223"/>
      <c r="V2543" s="223"/>
      <c r="W2543" s="223"/>
      <c r="X2543" s="223"/>
      <c r="Y2543" s="223"/>
      <c r="Z2543" s="223"/>
    </row>
    <row r="2544">
      <c r="A2544" s="223" t="str">
        <f>IFERROR(__xludf.DUMMYFUNCTION("""COMPUTED_VALUE"""),"Hastings House : Monthly Services")</f>
        <v>Hastings House : Monthly Services</v>
      </c>
      <c r="B2544" s="223" t="str">
        <f>IFERROR(__xludf.DUMMYFUNCTION("""COMPUTED_VALUE"""),"Hastings House")</f>
        <v>Hastings House</v>
      </c>
      <c r="C2544" s="223" t="str">
        <f>IFERROR(__xludf.DUMMYFUNCTION("""COMPUTED_VALUE"""),"Monthly Services")</f>
        <v>Monthly Services</v>
      </c>
      <c r="D2544" s="316">
        <f>IFERROR(__xludf.DUMMYFUNCTION("""COMPUTED_VALUE"""),45016.0)</f>
        <v>45016</v>
      </c>
      <c r="E2544" s="298"/>
      <c r="F2544" s="298"/>
      <c r="G2544" s="298"/>
      <c r="H2544" s="223"/>
      <c r="I2544" s="298">
        <f>IFERROR(__xludf.DUMMYFUNCTION("""COMPUTED_VALUE"""),350.0)</f>
        <v>350</v>
      </c>
      <c r="J2544" s="223" t="str">
        <f>IFERROR(__xludf.DUMMYFUNCTION("""COMPUTED_VALUE"""),"Monthly")</f>
        <v>Monthly</v>
      </c>
      <c r="K2544" s="317">
        <f>IFERROR(__xludf.DUMMYFUNCTION("""COMPUTED_VALUE"""),2023.03)</f>
        <v>2023.03</v>
      </c>
      <c r="L2544" s="298"/>
      <c r="M2544" s="223"/>
      <c r="N2544" s="223"/>
      <c r="O2544" s="223"/>
      <c r="P2544" s="223"/>
      <c r="Q2544" s="223"/>
      <c r="R2544" s="223"/>
      <c r="S2544" s="223"/>
      <c r="T2544" s="223"/>
      <c r="U2544" s="223"/>
      <c r="V2544" s="223"/>
      <c r="W2544" s="223"/>
      <c r="X2544" s="223"/>
      <c r="Y2544" s="223"/>
      <c r="Z2544" s="223"/>
    </row>
    <row r="2545">
      <c r="A2545" s="223" t="str">
        <f>IFERROR(__xludf.DUMMYFUNCTION("""COMPUTED_VALUE"""),"Availed Technologies : Monthly Services")</f>
        <v>Availed Technologies : Monthly Services</v>
      </c>
      <c r="B2545" s="223" t="str">
        <f>IFERROR(__xludf.DUMMYFUNCTION("""COMPUTED_VALUE"""),"Availed Technologies")</f>
        <v>Availed Technologies</v>
      </c>
      <c r="C2545" s="223" t="str">
        <f>IFERROR(__xludf.DUMMYFUNCTION("""COMPUTED_VALUE"""),"Monthly Services")</f>
        <v>Monthly Services</v>
      </c>
      <c r="D2545" s="316">
        <f>IFERROR(__xludf.DUMMYFUNCTION("""COMPUTED_VALUE"""),45016.0)</f>
        <v>45016</v>
      </c>
      <c r="E2545" s="298"/>
      <c r="F2545" s="298"/>
      <c r="G2545" s="298"/>
      <c r="H2545" s="223"/>
      <c r="I2545" s="298">
        <f>IFERROR(__xludf.DUMMYFUNCTION("""COMPUTED_VALUE"""),337.5)</f>
        <v>337.5</v>
      </c>
      <c r="J2545" s="223" t="str">
        <f>IFERROR(__xludf.DUMMYFUNCTION("""COMPUTED_VALUE"""),"Monthly")</f>
        <v>Monthly</v>
      </c>
      <c r="K2545" s="317">
        <f>IFERROR(__xludf.DUMMYFUNCTION("""COMPUTED_VALUE"""),2023.03)</f>
        <v>2023.03</v>
      </c>
      <c r="L2545" s="298"/>
      <c r="M2545" s="223"/>
      <c r="N2545" s="223"/>
      <c r="O2545" s="223"/>
      <c r="P2545" s="223"/>
      <c r="Q2545" s="223"/>
      <c r="R2545" s="223"/>
      <c r="S2545" s="223"/>
      <c r="T2545" s="223"/>
      <c r="U2545" s="223"/>
      <c r="V2545" s="223"/>
      <c r="W2545" s="223"/>
      <c r="X2545" s="223"/>
      <c r="Y2545" s="223"/>
      <c r="Z2545" s="223"/>
    </row>
    <row r="2546">
      <c r="A2546" s="223" t="str">
        <f>IFERROR(__xludf.DUMMYFUNCTION("""COMPUTED_VALUE"""),"Community Financials : Monthly Services")</f>
        <v>Community Financials : Monthly Services</v>
      </c>
      <c r="B2546" s="223" t="str">
        <f>IFERROR(__xludf.DUMMYFUNCTION("""COMPUTED_VALUE"""),"Community Financials")</f>
        <v>Community Financials</v>
      </c>
      <c r="C2546" s="223" t="str">
        <f>IFERROR(__xludf.DUMMYFUNCTION("""COMPUTED_VALUE"""),"Monthly Services")</f>
        <v>Monthly Services</v>
      </c>
      <c r="D2546" s="316">
        <f>IFERROR(__xludf.DUMMYFUNCTION("""COMPUTED_VALUE"""),45016.0)</f>
        <v>45016</v>
      </c>
      <c r="E2546" s="298"/>
      <c r="F2546" s="298"/>
      <c r="G2546" s="298"/>
      <c r="H2546" s="223"/>
      <c r="I2546" s="298">
        <f>IFERROR(__xludf.DUMMYFUNCTION("""COMPUTED_VALUE"""),562.5)</f>
        <v>562.5</v>
      </c>
      <c r="J2546" s="223" t="str">
        <f>IFERROR(__xludf.DUMMYFUNCTION("""COMPUTED_VALUE"""),"Monthly")</f>
        <v>Monthly</v>
      </c>
      <c r="K2546" s="317">
        <f>IFERROR(__xludf.DUMMYFUNCTION("""COMPUTED_VALUE"""),2023.03)</f>
        <v>2023.03</v>
      </c>
      <c r="L2546" s="298"/>
      <c r="M2546" s="223"/>
      <c r="N2546" s="223"/>
      <c r="O2546" s="223"/>
      <c r="P2546" s="223"/>
      <c r="Q2546" s="223"/>
      <c r="R2546" s="223"/>
      <c r="S2546" s="223"/>
      <c r="T2546" s="223"/>
      <c r="U2546" s="223"/>
      <c r="V2546" s="223"/>
      <c r="W2546" s="223"/>
      <c r="X2546" s="223"/>
      <c r="Y2546" s="223"/>
      <c r="Z2546" s="223"/>
    </row>
    <row r="2547">
      <c r="A2547" s="223" t="str">
        <f>IFERROR(__xludf.DUMMYFUNCTION("""COMPUTED_VALUE"""),"Howard Fine Jewellers : Ongoing PPC and SEO Support")</f>
        <v>Howard Fine Jewellers : Ongoing PPC and SEO Support</v>
      </c>
      <c r="B2547" s="223" t="str">
        <f>IFERROR(__xludf.DUMMYFUNCTION("""COMPUTED_VALUE"""),"Howard Fine Jewellers")</f>
        <v>Howard Fine Jewellers</v>
      </c>
      <c r="C2547" s="223" t="str">
        <f>IFERROR(__xludf.DUMMYFUNCTION("""COMPUTED_VALUE"""),"Ongoing PPC and SEO Support")</f>
        <v>Ongoing PPC and SEO Support</v>
      </c>
      <c r="D2547" s="316">
        <f>IFERROR(__xludf.DUMMYFUNCTION("""COMPUTED_VALUE"""),45016.0)</f>
        <v>45016</v>
      </c>
      <c r="E2547" s="298"/>
      <c r="F2547" s="298"/>
      <c r="G2547" s="298"/>
      <c r="H2547" s="223"/>
      <c r="I2547" s="298">
        <f>IFERROR(__xludf.DUMMYFUNCTION("""COMPUTED_VALUE"""),300.0)</f>
        <v>300</v>
      </c>
      <c r="J2547" s="223" t="str">
        <f>IFERROR(__xludf.DUMMYFUNCTION("""COMPUTED_VALUE"""),"Monthly")</f>
        <v>Monthly</v>
      </c>
      <c r="K2547" s="317">
        <f>IFERROR(__xludf.DUMMYFUNCTION("""COMPUTED_VALUE"""),2023.03)</f>
        <v>2023.03</v>
      </c>
      <c r="L2547" s="298"/>
      <c r="M2547" s="223"/>
      <c r="N2547" s="223"/>
      <c r="O2547" s="223"/>
      <c r="P2547" s="223"/>
      <c r="Q2547" s="223"/>
      <c r="R2547" s="223"/>
      <c r="S2547" s="223"/>
      <c r="T2547" s="223"/>
      <c r="U2547" s="223"/>
      <c r="V2547" s="223"/>
      <c r="W2547" s="223"/>
      <c r="X2547" s="223"/>
      <c r="Y2547" s="223"/>
      <c r="Z2547" s="223"/>
    </row>
    <row r="2548">
      <c r="A2548" s="223" t="str">
        <f>IFERROR(__xludf.DUMMYFUNCTION("""COMPUTED_VALUE"""),"McAllister Marketing : Copernic PPC / SEO")</f>
        <v>McAllister Marketing : Copernic PPC / SEO</v>
      </c>
      <c r="B2548" s="223" t="str">
        <f>IFERROR(__xludf.DUMMYFUNCTION("""COMPUTED_VALUE"""),"McAllister Marketing")</f>
        <v>McAllister Marketing</v>
      </c>
      <c r="C2548" s="223" t="str">
        <f>IFERROR(__xludf.DUMMYFUNCTION("""COMPUTED_VALUE"""),"Copernic PPC / SEO")</f>
        <v>Copernic PPC / SEO</v>
      </c>
      <c r="D2548" s="316">
        <f>IFERROR(__xludf.DUMMYFUNCTION("""COMPUTED_VALUE"""),45016.0)</f>
        <v>45016</v>
      </c>
      <c r="E2548" s="298"/>
      <c r="F2548" s="298"/>
      <c r="G2548" s="298"/>
      <c r="H2548" s="223"/>
      <c r="I2548" s="298">
        <f>IFERROR(__xludf.DUMMYFUNCTION("""COMPUTED_VALUE"""),300.0)</f>
        <v>300</v>
      </c>
      <c r="J2548" s="223" t="str">
        <f>IFERROR(__xludf.DUMMYFUNCTION("""COMPUTED_VALUE"""),"Monthly")</f>
        <v>Monthly</v>
      </c>
      <c r="K2548" s="317">
        <f>IFERROR(__xludf.DUMMYFUNCTION("""COMPUTED_VALUE"""),2023.03)</f>
        <v>2023.03</v>
      </c>
      <c r="L2548" s="298"/>
      <c r="M2548" s="223"/>
      <c r="N2548" s="223"/>
      <c r="O2548" s="223"/>
      <c r="P2548" s="223"/>
      <c r="Q2548" s="223"/>
      <c r="R2548" s="223"/>
      <c r="S2548" s="223"/>
      <c r="T2548" s="223"/>
      <c r="U2548" s="223"/>
      <c r="V2548" s="223"/>
      <c r="W2548" s="223"/>
      <c r="X2548" s="223"/>
      <c r="Y2548" s="223"/>
      <c r="Z2548" s="223"/>
    </row>
    <row r="2549">
      <c r="A2549" s="223" t="str">
        <f>IFERROR(__xludf.DUMMYFUNCTION("""COMPUTED_VALUE"""),"Ultimate Tools : Monthly SEO &amp; PPC Management")</f>
        <v>Ultimate Tools : Monthly SEO &amp; PPC Management</v>
      </c>
      <c r="B2549" s="223" t="str">
        <f>IFERROR(__xludf.DUMMYFUNCTION("""COMPUTED_VALUE"""),"Ultimate Tools")</f>
        <v>Ultimate Tools</v>
      </c>
      <c r="C2549" s="223" t="str">
        <f>IFERROR(__xludf.DUMMYFUNCTION("""COMPUTED_VALUE"""),"Monthly SEO &amp; PPC Management")</f>
        <v>Monthly SEO &amp; PPC Management</v>
      </c>
      <c r="D2549" s="316">
        <f>IFERROR(__xludf.DUMMYFUNCTION("""COMPUTED_VALUE"""),45016.0)</f>
        <v>45016</v>
      </c>
      <c r="E2549" s="298"/>
      <c r="F2549" s="298"/>
      <c r="G2549" s="298"/>
      <c r="H2549" s="223"/>
      <c r="I2549" s="298">
        <f>IFERROR(__xludf.DUMMYFUNCTION("""COMPUTED_VALUE"""),315.0)</f>
        <v>315</v>
      </c>
      <c r="J2549" s="223" t="str">
        <f>IFERROR(__xludf.DUMMYFUNCTION("""COMPUTED_VALUE"""),"Monthly")</f>
        <v>Monthly</v>
      </c>
      <c r="K2549" s="317">
        <f>IFERROR(__xludf.DUMMYFUNCTION("""COMPUTED_VALUE"""),2023.03)</f>
        <v>2023.03</v>
      </c>
      <c r="L2549" s="298"/>
      <c r="M2549" s="223"/>
      <c r="N2549" s="223"/>
      <c r="O2549" s="223"/>
      <c r="P2549" s="223"/>
      <c r="Q2549" s="223"/>
      <c r="R2549" s="223"/>
      <c r="S2549" s="223"/>
      <c r="T2549" s="223"/>
      <c r="U2549" s="223"/>
      <c r="V2549" s="223"/>
      <c r="W2549" s="223"/>
      <c r="X2549" s="223"/>
      <c r="Y2549" s="223"/>
      <c r="Z2549" s="223"/>
    </row>
    <row r="2550">
      <c r="A2550" s="223" t="str">
        <f>IFERROR(__xludf.DUMMYFUNCTION("""COMPUTED_VALUE"""),"True Reliance : Website + Content")</f>
        <v>True Reliance : Website + Content</v>
      </c>
      <c r="B2550" s="223" t="str">
        <f>IFERROR(__xludf.DUMMYFUNCTION("""COMPUTED_VALUE"""),"True Reliance")</f>
        <v>True Reliance</v>
      </c>
      <c r="C2550" s="223" t="str">
        <f>IFERROR(__xludf.DUMMYFUNCTION("""COMPUTED_VALUE"""),"Website + Content")</f>
        <v>Website + Content</v>
      </c>
      <c r="D2550" s="316">
        <f>IFERROR(__xludf.DUMMYFUNCTION("""COMPUTED_VALUE"""),45016.0)</f>
        <v>45016</v>
      </c>
      <c r="E2550" s="298"/>
      <c r="F2550" s="298"/>
      <c r="G2550" s="298"/>
      <c r="H2550" s="223"/>
      <c r="I2550" s="298">
        <f>IFERROR(__xludf.DUMMYFUNCTION("""COMPUTED_VALUE"""),400.0)</f>
        <v>400</v>
      </c>
      <c r="J2550" s="223" t="str">
        <f>IFERROR(__xludf.DUMMYFUNCTION("""COMPUTED_VALUE"""),"Fixed Project")</f>
        <v>Fixed Project</v>
      </c>
      <c r="K2550" s="317">
        <f>IFERROR(__xludf.DUMMYFUNCTION("""COMPUTED_VALUE"""),2023.0)</f>
        <v>2023</v>
      </c>
      <c r="L2550" s="298"/>
      <c r="M2550" s="223"/>
      <c r="N2550" s="223"/>
      <c r="O2550" s="223"/>
      <c r="P2550" s="223"/>
      <c r="Q2550" s="223"/>
      <c r="R2550" s="223"/>
      <c r="S2550" s="223"/>
      <c r="T2550" s="223"/>
      <c r="U2550" s="223"/>
      <c r="V2550" s="223"/>
      <c r="W2550" s="223"/>
      <c r="X2550" s="223"/>
      <c r="Y2550" s="223"/>
      <c r="Z2550" s="223"/>
    </row>
    <row r="2551">
      <c r="A2551" s="223" t="str">
        <f>IFERROR(__xludf.DUMMYFUNCTION("""COMPUTED_VALUE"""),"WhistleBlower Security : SEO Review")</f>
        <v>WhistleBlower Security : SEO Review</v>
      </c>
      <c r="B2551" s="223" t="str">
        <f>IFERROR(__xludf.DUMMYFUNCTION("""COMPUTED_VALUE"""),"WhistleBlower Security")</f>
        <v>WhistleBlower Security</v>
      </c>
      <c r="C2551" s="223" t="str">
        <f>IFERROR(__xludf.DUMMYFUNCTION("""COMPUTED_VALUE"""),"SEO Review")</f>
        <v>SEO Review</v>
      </c>
      <c r="D2551" s="316">
        <f>IFERROR(__xludf.DUMMYFUNCTION("""COMPUTED_VALUE"""),45016.0)</f>
        <v>45016</v>
      </c>
      <c r="E2551" s="298"/>
      <c r="F2551" s="298"/>
      <c r="G2551" s="298"/>
      <c r="H2551" s="223"/>
      <c r="I2551" s="298">
        <f>IFERROR(__xludf.DUMMYFUNCTION("""COMPUTED_VALUE"""),465.0)</f>
        <v>465</v>
      </c>
      <c r="J2551" s="223" t="str">
        <f>IFERROR(__xludf.DUMMYFUNCTION("""COMPUTED_VALUE"""),"Fixed Project")</f>
        <v>Fixed Project</v>
      </c>
      <c r="K2551" s="317">
        <f>IFERROR(__xludf.DUMMYFUNCTION("""COMPUTED_VALUE"""),2023.0)</f>
        <v>2023</v>
      </c>
      <c r="L2551" s="298"/>
      <c r="M2551" s="223"/>
      <c r="N2551" s="223"/>
      <c r="O2551" s="223"/>
      <c r="P2551" s="223"/>
      <c r="Q2551" s="223"/>
      <c r="R2551" s="223"/>
      <c r="S2551" s="223"/>
      <c r="T2551" s="223"/>
      <c r="U2551" s="223"/>
      <c r="V2551" s="223"/>
      <c r="W2551" s="223"/>
      <c r="X2551" s="223"/>
      <c r="Y2551" s="223"/>
      <c r="Z2551" s="223"/>
    </row>
    <row r="2552">
      <c r="A2552" s="223" t="str">
        <f>IFERROR(__xludf.DUMMYFUNCTION("""COMPUTED_VALUE"""),"Continuity Programs Inc. : Other Projects")</f>
        <v>Continuity Programs Inc. : Other Projects</v>
      </c>
      <c r="B2552" s="223" t="str">
        <f>IFERROR(__xludf.DUMMYFUNCTION("""COMPUTED_VALUE"""),"Continuity Programs Inc.")</f>
        <v>Continuity Programs Inc.</v>
      </c>
      <c r="C2552" s="223" t="str">
        <f>IFERROR(__xludf.DUMMYFUNCTION("""COMPUTED_VALUE"""),"Other Projects")</f>
        <v>Other Projects</v>
      </c>
      <c r="D2552" s="316">
        <f>IFERROR(__xludf.DUMMYFUNCTION("""COMPUTED_VALUE"""),45016.0)</f>
        <v>45016</v>
      </c>
      <c r="E2552" s="298"/>
      <c r="F2552" s="298"/>
      <c r="G2552" s="298"/>
      <c r="H2552" s="223"/>
      <c r="I2552" s="298">
        <f>IFERROR(__xludf.DUMMYFUNCTION("""COMPUTED_VALUE"""),165.0)</f>
        <v>165</v>
      </c>
      <c r="J2552" s="223" t="str">
        <f>IFERROR(__xludf.DUMMYFUNCTION("""COMPUTED_VALUE"""),"Fixed Project")</f>
        <v>Fixed Project</v>
      </c>
      <c r="K2552" s="317">
        <f>IFERROR(__xludf.DUMMYFUNCTION("""COMPUTED_VALUE"""),2023.0)</f>
        <v>2023</v>
      </c>
      <c r="L2552" s="298"/>
      <c r="M2552" s="223"/>
      <c r="N2552" s="223"/>
      <c r="O2552" s="223"/>
      <c r="P2552" s="223"/>
      <c r="Q2552" s="223"/>
      <c r="R2552" s="223"/>
      <c r="S2552" s="223"/>
      <c r="T2552" s="223"/>
      <c r="U2552" s="223"/>
      <c r="V2552" s="223"/>
      <c r="W2552" s="223"/>
      <c r="X2552" s="223"/>
      <c r="Y2552" s="223"/>
      <c r="Z2552" s="223"/>
    </row>
    <row r="2553">
      <c r="A2553" s="223" t="str">
        <f>IFERROR(__xludf.DUMMYFUNCTION("""COMPUTED_VALUE"""),"Turks and Caicos Reservations : General Projects")</f>
        <v>Turks and Caicos Reservations : General Projects</v>
      </c>
      <c r="B2553" s="223" t="str">
        <f>IFERROR(__xludf.DUMMYFUNCTION("""COMPUTED_VALUE"""),"Turks and Caicos Reservations")</f>
        <v>Turks and Caicos Reservations</v>
      </c>
      <c r="C2553" s="223" t="str">
        <f>IFERROR(__xludf.DUMMYFUNCTION("""COMPUTED_VALUE"""),"General Projects")</f>
        <v>General Projects</v>
      </c>
      <c r="D2553" s="316">
        <f>IFERROR(__xludf.DUMMYFUNCTION("""COMPUTED_VALUE"""),45016.0)</f>
        <v>45016</v>
      </c>
      <c r="E2553" s="298"/>
      <c r="F2553" s="298"/>
      <c r="G2553" s="298"/>
      <c r="H2553" s="223"/>
      <c r="I2553" s="298">
        <f>IFERROR(__xludf.DUMMYFUNCTION("""COMPUTED_VALUE"""),50.0)</f>
        <v>50</v>
      </c>
      <c r="J2553" s="223" t="str">
        <f>IFERROR(__xludf.DUMMYFUNCTION("""COMPUTED_VALUE"""),"Fixed Project")</f>
        <v>Fixed Project</v>
      </c>
      <c r="K2553" s="317">
        <f>IFERROR(__xludf.DUMMYFUNCTION("""COMPUTED_VALUE"""),2023.0)</f>
        <v>2023</v>
      </c>
      <c r="L2553" s="298"/>
      <c r="M2553" s="223"/>
      <c r="N2553" s="223"/>
      <c r="O2553" s="223"/>
      <c r="P2553" s="223"/>
      <c r="Q2553" s="223"/>
      <c r="R2553" s="223"/>
      <c r="S2553" s="223"/>
      <c r="T2553" s="223"/>
      <c r="U2553" s="223"/>
      <c r="V2553" s="223"/>
      <c r="W2553" s="223"/>
      <c r="X2553" s="223"/>
      <c r="Y2553" s="223"/>
      <c r="Z2553" s="223"/>
    </row>
    <row r="2554">
      <c r="A2554" s="223" t="str">
        <f>IFERROR(__xludf.DUMMYFUNCTION("""COMPUTED_VALUE"""),"Viridian : Monthly Services")</f>
        <v>Viridian : Monthly Services</v>
      </c>
      <c r="B2554" s="223" t="str">
        <f>IFERROR(__xludf.DUMMYFUNCTION("""COMPUTED_VALUE"""),"Viridian")</f>
        <v>Viridian</v>
      </c>
      <c r="C2554" s="223" t="str">
        <f>IFERROR(__xludf.DUMMYFUNCTION("""COMPUTED_VALUE"""),"Monthly Services")</f>
        <v>Monthly Services</v>
      </c>
      <c r="D2554" s="316">
        <f>IFERROR(__xludf.DUMMYFUNCTION("""COMPUTED_VALUE"""),45016.0)</f>
        <v>45016</v>
      </c>
      <c r="E2554" s="298"/>
      <c r="F2554" s="298"/>
      <c r="G2554" s="298"/>
      <c r="H2554" s="223"/>
      <c r="I2554" s="298">
        <f>IFERROR(__xludf.DUMMYFUNCTION("""COMPUTED_VALUE"""),325.0)</f>
        <v>325</v>
      </c>
      <c r="J2554" s="223" t="str">
        <f>IFERROR(__xludf.DUMMYFUNCTION("""COMPUTED_VALUE"""),"Monthly")</f>
        <v>Monthly</v>
      </c>
      <c r="K2554" s="317">
        <f>IFERROR(__xludf.DUMMYFUNCTION("""COMPUTED_VALUE"""),2023.03)</f>
        <v>2023.03</v>
      </c>
      <c r="L2554" s="298"/>
      <c r="M2554" s="223"/>
      <c r="N2554" s="223"/>
      <c r="O2554" s="223"/>
      <c r="P2554" s="223"/>
      <c r="Q2554" s="223"/>
      <c r="R2554" s="223"/>
      <c r="S2554" s="223"/>
      <c r="T2554" s="223"/>
      <c r="U2554" s="223"/>
      <c r="V2554" s="223"/>
      <c r="W2554" s="223"/>
      <c r="X2554" s="223"/>
      <c r="Y2554" s="223"/>
      <c r="Z2554" s="223"/>
    </row>
    <row r="2555">
      <c r="A2555" s="223" t="str">
        <f>IFERROR(__xludf.DUMMYFUNCTION("""COMPUTED_VALUE"""),"Service First : Monthly Services")</f>
        <v>Service First : Monthly Services</v>
      </c>
      <c r="B2555" s="223" t="str">
        <f>IFERROR(__xludf.DUMMYFUNCTION("""COMPUTED_VALUE"""),"Service First")</f>
        <v>Service First</v>
      </c>
      <c r="C2555" s="223" t="str">
        <f>IFERROR(__xludf.DUMMYFUNCTION("""COMPUTED_VALUE"""),"Monthly Services")</f>
        <v>Monthly Services</v>
      </c>
      <c r="D2555" s="316">
        <f>IFERROR(__xludf.DUMMYFUNCTION("""COMPUTED_VALUE"""),45016.0)</f>
        <v>45016</v>
      </c>
      <c r="E2555" s="298"/>
      <c r="F2555" s="298"/>
      <c r="G2555" s="298"/>
      <c r="H2555" s="223"/>
      <c r="I2555" s="298">
        <f>IFERROR(__xludf.DUMMYFUNCTION("""COMPUTED_VALUE"""),137.5)</f>
        <v>137.5</v>
      </c>
      <c r="J2555" s="223" t="str">
        <f>IFERROR(__xludf.DUMMYFUNCTION("""COMPUTED_VALUE"""),"Monthly")</f>
        <v>Monthly</v>
      </c>
      <c r="K2555" s="317">
        <f>IFERROR(__xludf.DUMMYFUNCTION("""COMPUTED_VALUE"""),2023.03)</f>
        <v>2023.03</v>
      </c>
      <c r="L2555" s="298"/>
      <c r="M2555" s="223"/>
      <c r="N2555" s="223"/>
      <c r="O2555" s="223"/>
      <c r="P2555" s="223"/>
      <c r="Q2555" s="223"/>
      <c r="R2555" s="223"/>
      <c r="S2555" s="223"/>
      <c r="T2555" s="223"/>
      <c r="U2555" s="223"/>
      <c r="V2555" s="223"/>
      <c r="W2555" s="223"/>
      <c r="X2555" s="223"/>
      <c r="Y2555" s="223"/>
      <c r="Z2555" s="223"/>
    </row>
    <row r="2556">
      <c r="A2556" s="223" t="str">
        <f>IFERROR(__xludf.DUMMYFUNCTION("""COMPUTED_VALUE"""),"Wallack's Art Supplies : Monthly Services")</f>
        <v>Wallack's Art Supplies : Monthly Services</v>
      </c>
      <c r="B2556" s="223" t="str">
        <f>IFERROR(__xludf.DUMMYFUNCTION("""COMPUTED_VALUE"""),"Wallack's Art Supplies")</f>
        <v>Wallack's Art Supplies</v>
      </c>
      <c r="C2556" s="223" t="str">
        <f>IFERROR(__xludf.DUMMYFUNCTION("""COMPUTED_VALUE"""),"Monthly Services")</f>
        <v>Monthly Services</v>
      </c>
      <c r="D2556" s="316">
        <f>IFERROR(__xludf.DUMMYFUNCTION("""COMPUTED_VALUE"""),45016.0)</f>
        <v>45016</v>
      </c>
      <c r="E2556" s="298"/>
      <c r="F2556" s="298"/>
      <c r="G2556" s="298"/>
      <c r="H2556" s="223"/>
      <c r="I2556" s="298">
        <f>IFERROR(__xludf.DUMMYFUNCTION("""COMPUTED_VALUE"""),287.5)</f>
        <v>287.5</v>
      </c>
      <c r="J2556" s="223" t="str">
        <f>IFERROR(__xludf.DUMMYFUNCTION("""COMPUTED_VALUE"""),"Monthly")</f>
        <v>Monthly</v>
      </c>
      <c r="K2556" s="317">
        <f>IFERROR(__xludf.DUMMYFUNCTION("""COMPUTED_VALUE"""),2023.03)</f>
        <v>2023.03</v>
      </c>
      <c r="L2556" s="298"/>
      <c r="M2556" s="223"/>
      <c r="N2556" s="223"/>
      <c r="O2556" s="223"/>
      <c r="P2556" s="223"/>
      <c r="Q2556" s="223"/>
      <c r="R2556" s="223"/>
      <c r="S2556" s="223"/>
      <c r="T2556" s="223"/>
      <c r="U2556" s="223"/>
      <c r="V2556" s="223"/>
      <c r="W2556" s="223"/>
      <c r="X2556" s="223"/>
      <c r="Y2556" s="223"/>
      <c r="Z2556" s="223"/>
    </row>
    <row r="2557">
      <c r="A2557" s="223" t="str">
        <f>IFERROR(__xludf.DUMMYFUNCTION("""COMPUTED_VALUE"""),"Anook Athletics : Monthly Services")</f>
        <v>Anook Athletics : Monthly Services</v>
      </c>
      <c r="B2557" s="223" t="str">
        <f>IFERROR(__xludf.DUMMYFUNCTION("""COMPUTED_VALUE"""),"Anook Athletics")</f>
        <v>Anook Athletics</v>
      </c>
      <c r="C2557" s="223" t="str">
        <f>IFERROR(__xludf.DUMMYFUNCTION("""COMPUTED_VALUE"""),"Monthly Services")</f>
        <v>Monthly Services</v>
      </c>
      <c r="D2557" s="316">
        <f>IFERROR(__xludf.DUMMYFUNCTION("""COMPUTED_VALUE"""),45016.0)</f>
        <v>45016</v>
      </c>
      <c r="E2557" s="298"/>
      <c r="F2557" s="298"/>
      <c r="G2557" s="298"/>
      <c r="H2557" s="223"/>
      <c r="I2557" s="298">
        <f>IFERROR(__xludf.DUMMYFUNCTION("""COMPUTED_VALUE"""),400.0)</f>
        <v>400</v>
      </c>
      <c r="J2557" s="223" t="str">
        <f>IFERROR(__xludf.DUMMYFUNCTION("""COMPUTED_VALUE"""),"Monthly")</f>
        <v>Monthly</v>
      </c>
      <c r="K2557" s="317">
        <f>IFERROR(__xludf.DUMMYFUNCTION("""COMPUTED_VALUE"""),2023.03)</f>
        <v>2023.03</v>
      </c>
      <c r="L2557" s="298"/>
      <c r="M2557" s="223"/>
      <c r="N2557" s="223"/>
      <c r="O2557" s="223"/>
      <c r="P2557" s="223"/>
      <c r="Q2557" s="223"/>
      <c r="R2557" s="223"/>
      <c r="S2557" s="223"/>
      <c r="T2557" s="223"/>
      <c r="U2557" s="223"/>
      <c r="V2557" s="223"/>
      <c r="W2557" s="223"/>
      <c r="X2557" s="223"/>
      <c r="Y2557" s="223"/>
      <c r="Z2557" s="223"/>
    </row>
    <row r="2558">
      <c r="A2558" s="223" t="str">
        <f>IFERROR(__xludf.DUMMYFUNCTION("""COMPUTED_VALUE"""),"PMDI : Monthly Services")</f>
        <v>PMDI : Monthly Services</v>
      </c>
      <c r="B2558" s="223" t="str">
        <f>IFERROR(__xludf.DUMMYFUNCTION("""COMPUTED_VALUE"""),"PMDI")</f>
        <v>PMDI</v>
      </c>
      <c r="C2558" s="223" t="str">
        <f>IFERROR(__xludf.DUMMYFUNCTION("""COMPUTED_VALUE"""),"Monthly Services")</f>
        <v>Monthly Services</v>
      </c>
      <c r="D2558" s="316">
        <f>IFERROR(__xludf.DUMMYFUNCTION("""COMPUTED_VALUE"""),45016.0)</f>
        <v>45016</v>
      </c>
      <c r="E2558" s="298"/>
      <c r="F2558" s="298"/>
      <c r="G2558" s="298"/>
      <c r="H2558" s="223"/>
      <c r="I2558" s="298">
        <f>IFERROR(__xludf.DUMMYFUNCTION("""COMPUTED_VALUE"""),150.0)</f>
        <v>150</v>
      </c>
      <c r="J2558" s="223" t="str">
        <f>IFERROR(__xludf.DUMMYFUNCTION("""COMPUTED_VALUE"""),"Monthly")</f>
        <v>Monthly</v>
      </c>
      <c r="K2558" s="317">
        <f>IFERROR(__xludf.DUMMYFUNCTION("""COMPUTED_VALUE"""),2023.03)</f>
        <v>2023.03</v>
      </c>
      <c r="L2558" s="298"/>
      <c r="M2558" s="223"/>
      <c r="N2558" s="223"/>
      <c r="O2558" s="223"/>
      <c r="P2558" s="223"/>
      <c r="Q2558" s="223"/>
      <c r="R2558" s="223"/>
      <c r="S2558" s="223"/>
      <c r="T2558" s="223"/>
      <c r="U2558" s="223"/>
      <c r="V2558" s="223"/>
      <c r="W2558" s="223"/>
      <c r="X2558" s="223"/>
      <c r="Y2558" s="223"/>
      <c r="Z2558" s="223"/>
    </row>
    <row r="2559">
      <c r="A2559" s="223" t="str">
        <f>IFERROR(__xludf.DUMMYFUNCTION("""COMPUTED_VALUE"""),"Big Hammer Wines : Monthly PPC")</f>
        <v>Big Hammer Wines : Monthly PPC</v>
      </c>
      <c r="B2559" s="223" t="str">
        <f>IFERROR(__xludf.DUMMYFUNCTION("""COMPUTED_VALUE"""),"Big Hammer Wines")</f>
        <v>Big Hammer Wines</v>
      </c>
      <c r="C2559" s="223" t="str">
        <f>IFERROR(__xludf.DUMMYFUNCTION("""COMPUTED_VALUE"""),"Monthly PPC")</f>
        <v>Monthly PPC</v>
      </c>
      <c r="D2559" s="316">
        <f>IFERROR(__xludf.DUMMYFUNCTION("""COMPUTED_VALUE"""),45016.0)</f>
        <v>45016</v>
      </c>
      <c r="E2559" s="298"/>
      <c r="F2559" s="298"/>
      <c r="G2559" s="298"/>
      <c r="H2559" s="223"/>
      <c r="I2559" s="298">
        <f>IFERROR(__xludf.DUMMYFUNCTION("""COMPUTED_VALUE"""),262.5)</f>
        <v>262.5</v>
      </c>
      <c r="J2559" s="223" t="str">
        <f>IFERROR(__xludf.DUMMYFUNCTION("""COMPUTED_VALUE"""),"Monthly")</f>
        <v>Monthly</v>
      </c>
      <c r="K2559" s="317">
        <f>IFERROR(__xludf.DUMMYFUNCTION("""COMPUTED_VALUE"""),2023.03)</f>
        <v>2023.03</v>
      </c>
      <c r="L2559" s="298"/>
      <c r="M2559" s="223"/>
      <c r="N2559" s="223"/>
      <c r="O2559" s="223"/>
      <c r="P2559" s="223"/>
      <c r="Q2559" s="223"/>
      <c r="R2559" s="223"/>
      <c r="S2559" s="223"/>
      <c r="T2559" s="223"/>
      <c r="U2559" s="223"/>
      <c r="V2559" s="223"/>
      <c r="W2559" s="223"/>
      <c r="X2559" s="223"/>
      <c r="Y2559" s="223"/>
      <c r="Z2559" s="223"/>
    </row>
    <row r="2560">
      <c r="A2560" s="223" t="str">
        <f>IFERROR(__xludf.DUMMYFUNCTION("""COMPUTED_VALUE"""),"VINN : Monthly PPC")</f>
        <v>VINN : Monthly PPC</v>
      </c>
      <c r="B2560" s="223" t="str">
        <f>IFERROR(__xludf.DUMMYFUNCTION("""COMPUTED_VALUE"""),"VINN")</f>
        <v>VINN</v>
      </c>
      <c r="C2560" s="223" t="str">
        <f>IFERROR(__xludf.DUMMYFUNCTION("""COMPUTED_VALUE"""),"Monthly PPC")</f>
        <v>Monthly PPC</v>
      </c>
      <c r="D2560" s="316">
        <f>IFERROR(__xludf.DUMMYFUNCTION("""COMPUTED_VALUE"""),45016.0)</f>
        <v>45016</v>
      </c>
      <c r="E2560" s="298"/>
      <c r="F2560" s="298"/>
      <c r="G2560" s="298"/>
      <c r="H2560" s="223"/>
      <c r="I2560" s="298">
        <f>IFERROR(__xludf.DUMMYFUNCTION("""COMPUTED_VALUE"""),1250.0)</f>
        <v>1250</v>
      </c>
      <c r="J2560" s="223" t="str">
        <f>IFERROR(__xludf.DUMMYFUNCTION("""COMPUTED_VALUE"""),"Monthly")</f>
        <v>Monthly</v>
      </c>
      <c r="K2560" s="317">
        <f>IFERROR(__xludf.DUMMYFUNCTION("""COMPUTED_VALUE"""),2023.03)</f>
        <v>2023.03</v>
      </c>
      <c r="L2560" s="298"/>
      <c r="M2560" s="223"/>
      <c r="N2560" s="223"/>
      <c r="O2560" s="223"/>
      <c r="P2560" s="223"/>
      <c r="Q2560" s="223"/>
      <c r="R2560" s="223"/>
      <c r="S2560" s="223"/>
      <c r="T2560" s="223"/>
      <c r="U2560" s="223"/>
      <c r="V2560" s="223"/>
      <c r="W2560" s="223"/>
      <c r="X2560" s="223"/>
      <c r="Y2560" s="223"/>
      <c r="Z2560" s="223"/>
    </row>
    <row r="2561">
      <c r="A2561" s="223" t="str">
        <f>IFERROR(__xludf.DUMMYFUNCTION("""COMPUTED_VALUE"""),"MortgagePal : Monthly Services")</f>
        <v>MortgagePal : Monthly Services</v>
      </c>
      <c r="B2561" s="223" t="str">
        <f>IFERROR(__xludf.DUMMYFUNCTION("""COMPUTED_VALUE"""),"MortgagePal")</f>
        <v>MortgagePal</v>
      </c>
      <c r="C2561" s="223" t="str">
        <f>IFERROR(__xludf.DUMMYFUNCTION("""COMPUTED_VALUE"""),"Monthly Services")</f>
        <v>Monthly Services</v>
      </c>
      <c r="D2561" s="316">
        <f>IFERROR(__xludf.DUMMYFUNCTION("""COMPUTED_VALUE"""),45016.0)</f>
        <v>45016</v>
      </c>
      <c r="E2561" s="298"/>
      <c r="F2561" s="298"/>
      <c r="G2561" s="298"/>
      <c r="H2561" s="223"/>
      <c r="I2561" s="298">
        <f>IFERROR(__xludf.DUMMYFUNCTION("""COMPUTED_VALUE"""),212.5)</f>
        <v>212.5</v>
      </c>
      <c r="J2561" s="223" t="str">
        <f>IFERROR(__xludf.DUMMYFUNCTION("""COMPUTED_VALUE"""),"Monthly")</f>
        <v>Monthly</v>
      </c>
      <c r="K2561" s="317">
        <f>IFERROR(__xludf.DUMMYFUNCTION("""COMPUTED_VALUE"""),2023.03)</f>
        <v>2023.03</v>
      </c>
      <c r="L2561" s="298"/>
      <c r="M2561" s="223"/>
      <c r="N2561" s="223"/>
      <c r="O2561" s="223"/>
      <c r="P2561" s="223"/>
      <c r="Q2561" s="223"/>
      <c r="R2561" s="223"/>
      <c r="S2561" s="223"/>
      <c r="T2561" s="223"/>
      <c r="U2561" s="223"/>
      <c r="V2561" s="223"/>
      <c r="W2561" s="223"/>
      <c r="X2561" s="223"/>
      <c r="Y2561" s="223"/>
      <c r="Z2561" s="223"/>
    </row>
    <row r="2562">
      <c r="A2562" s="223" t="str">
        <f>IFERROR(__xludf.DUMMYFUNCTION("""COMPUTED_VALUE"""),"Continuity Programs Inc. : Other Projects")</f>
        <v>Continuity Programs Inc. : Other Projects</v>
      </c>
      <c r="B2562" s="223" t="str">
        <f>IFERROR(__xludf.DUMMYFUNCTION("""COMPUTED_VALUE"""),"Continuity Programs Inc.")</f>
        <v>Continuity Programs Inc.</v>
      </c>
      <c r="C2562" s="223" t="str">
        <f>IFERROR(__xludf.DUMMYFUNCTION("""COMPUTED_VALUE"""),"Other Projects")</f>
        <v>Other Projects</v>
      </c>
      <c r="D2562" s="316">
        <f>IFERROR(__xludf.DUMMYFUNCTION("""COMPUTED_VALUE"""),45016.0)</f>
        <v>45016</v>
      </c>
      <c r="E2562" s="298"/>
      <c r="F2562" s="298"/>
      <c r="G2562" s="298"/>
      <c r="H2562" s="223"/>
      <c r="I2562" s="298">
        <f>IFERROR(__xludf.DUMMYFUNCTION("""COMPUTED_VALUE"""),75.0)</f>
        <v>75</v>
      </c>
      <c r="J2562" s="223" t="str">
        <f>IFERROR(__xludf.DUMMYFUNCTION("""COMPUTED_VALUE"""),"Fixed Project")</f>
        <v>Fixed Project</v>
      </c>
      <c r="K2562" s="317">
        <f>IFERROR(__xludf.DUMMYFUNCTION("""COMPUTED_VALUE"""),2023.0)</f>
        <v>2023</v>
      </c>
      <c r="L2562" s="298"/>
      <c r="M2562" s="223"/>
      <c r="N2562" s="223"/>
      <c r="O2562" s="223"/>
      <c r="P2562" s="223"/>
      <c r="Q2562" s="223"/>
      <c r="R2562" s="223"/>
      <c r="S2562" s="223"/>
      <c r="T2562" s="223"/>
      <c r="U2562" s="223"/>
      <c r="V2562" s="223"/>
      <c r="W2562" s="223"/>
      <c r="X2562" s="223"/>
      <c r="Y2562" s="223"/>
      <c r="Z2562" s="223"/>
    </row>
    <row r="2563">
      <c r="A2563" s="223" t="str">
        <f>IFERROR(__xludf.DUMMYFUNCTION("""COMPUTED_VALUE"""),"PlusROI : Overhead")</f>
        <v>PlusROI : Overhead</v>
      </c>
      <c r="B2563" s="223" t="str">
        <f>IFERROR(__xludf.DUMMYFUNCTION("""COMPUTED_VALUE"""),"PlusROI")</f>
        <v>PlusROI</v>
      </c>
      <c r="C2563" s="223" t="str">
        <f>IFERROR(__xludf.DUMMYFUNCTION("""COMPUTED_VALUE"""),"Overhead")</f>
        <v>Overhead</v>
      </c>
      <c r="D2563" s="316">
        <f>IFERROR(__xludf.DUMMYFUNCTION("""COMPUTED_VALUE"""),45029.0)</f>
        <v>45029</v>
      </c>
      <c r="E2563" s="298"/>
      <c r="F2563" s="298"/>
      <c r="G2563" s="298"/>
      <c r="H2563" s="223"/>
      <c r="I2563" s="298">
        <f>IFERROR(__xludf.DUMMYFUNCTION("""COMPUTED_VALUE"""),6.16)</f>
        <v>6.16</v>
      </c>
      <c r="J2563" s="223" t="str">
        <f>IFERROR(__xludf.DUMMYFUNCTION("""COMPUTED_VALUE"""),"Hourly")</f>
        <v>Hourly</v>
      </c>
      <c r="K2563" s="317">
        <f>IFERROR(__xludf.DUMMYFUNCTION("""COMPUTED_VALUE"""),2023.0)</f>
        <v>2023</v>
      </c>
      <c r="L2563" s="298"/>
      <c r="M2563" s="223"/>
      <c r="N2563" s="223"/>
      <c r="O2563" s="223"/>
      <c r="P2563" s="223"/>
      <c r="Q2563" s="223"/>
      <c r="R2563" s="223"/>
      <c r="S2563" s="223"/>
      <c r="T2563" s="223"/>
      <c r="U2563" s="223"/>
      <c r="V2563" s="223"/>
      <c r="W2563" s="223"/>
      <c r="X2563" s="223"/>
      <c r="Y2563" s="223"/>
      <c r="Z2563" s="223"/>
    </row>
    <row r="2564">
      <c r="A2564" s="223" t="str">
        <f>IFERROR(__xludf.DUMMYFUNCTION("""COMPUTED_VALUE"""),"PlusROI : Overhead")</f>
        <v>PlusROI : Overhead</v>
      </c>
      <c r="B2564" s="223" t="str">
        <f>IFERROR(__xludf.DUMMYFUNCTION("""COMPUTED_VALUE"""),"PlusROI")</f>
        <v>PlusROI</v>
      </c>
      <c r="C2564" s="223" t="str">
        <f>IFERROR(__xludf.DUMMYFUNCTION("""COMPUTED_VALUE"""),"Overhead")</f>
        <v>Overhead</v>
      </c>
      <c r="D2564" s="316">
        <f>IFERROR(__xludf.DUMMYFUNCTION("""COMPUTED_VALUE"""),45029.0)</f>
        <v>45029</v>
      </c>
      <c r="E2564" s="298"/>
      <c r="F2564" s="298"/>
      <c r="G2564" s="298"/>
      <c r="H2564" s="223"/>
      <c r="I2564" s="298">
        <f>IFERROR(__xludf.DUMMYFUNCTION("""COMPUTED_VALUE"""),140.0)</f>
        <v>140</v>
      </c>
      <c r="J2564" s="223" t="str">
        <f>IFERROR(__xludf.DUMMYFUNCTION("""COMPUTED_VALUE"""),"Hourly")</f>
        <v>Hourly</v>
      </c>
      <c r="K2564" s="317">
        <f>IFERROR(__xludf.DUMMYFUNCTION("""COMPUTED_VALUE"""),2023.0)</f>
        <v>2023</v>
      </c>
      <c r="L2564" s="298"/>
      <c r="M2564" s="223"/>
      <c r="N2564" s="223"/>
      <c r="O2564" s="223"/>
      <c r="P2564" s="223"/>
      <c r="Q2564" s="223"/>
      <c r="R2564" s="223"/>
      <c r="S2564" s="223"/>
      <c r="T2564" s="223"/>
      <c r="U2564" s="223"/>
      <c r="V2564" s="223"/>
      <c r="W2564" s="223"/>
      <c r="X2564" s="223"/>
      <c r="Y2564" s="223"/>
      <c r="Z2564" s="223"/>
    </row>
    <row r="2565">
      <c r="A2565" s="223" t="str">
        <f>IFERROR(__xludf.DUMMYFUNCTION("""COMPUTED_VALUE"""),"PlusROI : Overhead")</f>
        <v>PlusROI : Overhead</v>
      </c>
      <c r="B2565" s="223" t="str">
        <f>IFERROR(__xludf.DUMMYFUNCTION("""COMPUTED_VALUE"""),"PlusROI")</f>
        <v>PlusROI</v>
      </c>
      <c r="C2565" s="223" t="str">
        <f>IFERROR(__xludf.DUMMYFUNCTION("""COMPUTED_VALUE"""),"Overhead")</f>
        <v>Overhead</v>
      </c>
      <c r="D2565" s="316">
        <f>IFERROR(__xludf.DUMMYFUNCTION("""COMPUTED_VALUE"""),45029.0)</f>
        <v>45029</v>
      </c>
      <c r="E2565" s="298"/>
      <c r="F2565" s="298"/>
      <c r="G2565" s="298"/>
      <c r="H2565" s="223"/>
      <c r="I2565" s="298">
        <f>IFERROR(__xludf.DUMMYFUNCTION("""COMPUTED_VALUE"""),15.14)</f>
        <v>15.14</v>
      </c>
      <c r="J2565" s="223" t="str">
        <f>IFERROR(__xludf.DUMMYFUNCTION("""COMPUTED_VALUE"""),"Hourly")</f>
        <v>Hourly</v>
      </c>
      <c r="K2565" s="317">
        <f>IFERROR(__xludf.DUMMYFUNCTION("""COMPUTED_VALUE"""),2023.0)</f>
        <v>2023</v>
      </c>
      <c r="L2565" s="298"/>
      <c r="M2565" s="223"/>
      <c r="N2565" s="223"/>
      <c r="O2565" s="223"/>
      <c r="P2565" s="223"/>
      <c r="Q2565" s="223"/>
      <c r="R2565" s="223"/>
      <c r="S2565" s="223"/>
      <c r="T2565" s="223"/>
      <c r="U2565" s="223"/>
      <c r="V2565" s="223"/>
      <c r="W2565" s="223"/>
      <c r="X2565" s="223"/>
      <c r="Y2565" s="223"/>
      <c r="Z2565" s="223"/>
    </row>
    <row r="2566">
      <c r="A2566" s="223" t="str">
        <f>IFERROR(__xludf.DUMMYFUNCTION("""COMPUTED_VALUE"""),"PlusROI : Overhead")</f>
        <v>PlusROI : Overhead</v>
      </c>
      <c r="B2566" s="223" t="str">
        <f>IFERROR(__xludf.DUMMYFUNCTION("""COMPUTED_VALUE"""),"PlusROI")</f>
        <v>PlusROI</v>
      </c>
      <c r="C2566" s="223" t="str">
        <f>IFERROR(__xludf.DUMMYFUNCTION("""COMPUTED_VALUE"""),"Overhead")</f>
        <v>Overhead</v>
      </c>
      <c r="D2566" s="316">
        <f>IFERROR(__xludf.DUMMYFUNCTION("""COMPUTED_VALUE"""),45029.0)</f>
        <v>45029</v>
      </c>
      <c r="E2566" s="298"/>
      <c r="F2566" s="298"/>
      <c r="G2566" s="298"/>
      <c r="H2566" s="223"/>
      <c r="I2566" s="298">
        <f>IFERROR(__xludf.DUMMYFUNCTION("""COMPUTED_VALUE"""),131.25)</f>
        <v>131.25</v>
      </c>
      <c r="J2566" s="223" t="str">
        <f>IFERROR(__xludf.DUMMYFUNCTION("""COMPUTED_VALUE"""),"Hourly")</f>
        <v>Hourly</v>
      </c>
      <c r="K2566" s="317">
        <f>IFERROR(__xludf.DUMMYFUNCTION("""COMPUTED_VALUE"""),2023.0)</f>
        <v>2023</v>
      </c>
      <c r="L2566" s="298"/>
      <c r="M2566" s="223"/>
      <c r="N2566" s="223"/>
      <c r="O2566" s="223"/>
      <c r="P2566" s="223"/>
      <c r="Q2566" s="223"/>
      <c r="R2566" s="223"/>
      <c r="S2566" s="223"/>
      <c r="T2566" s="223"/>
      <c r="U2566" s="223"/>
      <c r="V2566" s="223"/>
      <c r="W2566" s="223"/>
      <c r="X2566" s="223"/>
      <c r="Y2566" s="223"/>
      <c r="Z2566" s="223"/>
    </row>
    <row r="2567">
      <c r="A2567" s="223" t="str">
        <f>IFERROR(__xludf.DUMMYFUNCTION("""COMPUTED_VALUE"""),"PlusROI : Marketing")</f>
        <v>PlusROI : Marketing</v>
      </c>
      <c r="B2567" s="223" t="str">
        <f>IFERROR(__xludf.DUMMYFUNCTION("""COMPUTED_VALUE"""),"PlusROI")</f>
        <v>PlusROI</v>
      </c>
      <c r="C2567" s="223" t="str">
        <f>IFERROR(__xludf.DUMMYFUNCTION("""COMPUTED_VALUE"""),"Marketing")</f>
        <v>Marketing</v>
      </c>
      <c r="D2567" s="316">
        <f>IFERROR(__xludf.DUMMYFUNCTION("""COMPUTED_VALUE"""),45029.0)</f>
        <v>45029</v>
      </c>
      <c r="E2567" s="298"/>
      <c r="F2567" s="298"/>
      <c r="G2567" s="298"/>
      <c r="H2567" s="223"/>
      <c r="I2567" s="298">
        <f>IFERROR(__xludf.DUMMYFUNCTION("""COMPUTED_VALUE"""),41.03)</f>
        <v>41.03</v>
      </c>
      <c r="J2567" s="223" t="str">
        <f>IFERROR(__xludf.DUMMYFUNCTION("""COMPUTED_VALUE"""),"Hourly")</f>
        <v>Hourly</v>
      </c>
      <c r="K2567" s="317">
        <f>IFERROR(__xludf.DUMMYFUNCTION("""COMPUTED_VALUE"""),2023.0)</f>
        <v>2023</v>
      </c>
      <c r="L2567" s="298"/>
      <c r="M2567" s="223"/>
      <c r="N2567" s="223"/>
      <c r="O2567" s="223"/>
      <c r="P2567" s="223"/>
      <c r="Q2567" s="223"/>
      <c r="R2567" s="223"/>
      <c r="S2567" s="223"/>
      <c r="T2567" s="223"/>
      <c r="U2567" s="223"/>
      <c r="V2567" s="223"/>
      <c r="W2567" s="223"/>
      <c r="X2567" s="223"/>
      <c r="Y2567" s="223"/>
      <c r="Z2567" s="223"/>
    </row>
    <row r="2568">
      <c r="A2568" s="223" t="str">
        <f>IFERROR(__xludf.DUMMYFUNCTION("""COMPUTED_VALUE"""),"PlusROI : Overhead")</f>
        <v>PlusROI : Overhead</v>
      </c>
      <c r="B2568" s="223" t="str">
        <f>IFERROR(__xludf.DUMMYFUNCTION("""COMPUTED_VALUE"""),"PlusROI")</f>
        <v>PlusROI</v>
      </c>
      <c r="C2568" s="223" t="str">
        <f>IFERROR(__xludf.DUMMYFUNCTION("""COMPUTED_VALUE"""),"Overhead")</f>
        <v>Overhead</v>
      </c>
      <c r="D2568" s="316">
        <f>IFERROR(__xludf.DUMMYFUNCTION("""COMPUTED_VALUE"""),45029.0)</f>
        <v>45029</v>
      </c>
      <c r="E2568" s="298"/>
      <c r="F2568" s="298"/>
      <c r="G2568" s="298"/>
      <c r="H2568" s="223"/>
      <c r="I2568" s="298">
        <f>IFERROR(__xludf.DUMMYFUNCTION("""COMPUTED_VALUE"""),65.81)</f>
        <v>65.81</v>
      </c>
      <c r="J2568" s="223" t="str">
        <f>IFERROR(__xludf.DUMMYFUNCTION("""COMPUTED_VALUE"""),"Hourly")</f>
        <v>Hourly</v>
      </c>
      <c r="K2568" s="317">
        <f>IFERROR(__xludf.DUMMYFUNCTION("""COMPUTED_VALUE"""),2023.0)</f>
        <v>2023</v>
      </c>
      <c r="L2568" s="298"/>
      <c r="M2568" s="223"/>
      <c r="N2568" s="223"/>
      <c r="O2568" s="223"/>
      <c r="P2568" s="223"/>
      <c r="Q2568" s="223"/>
      <c r="R2568" s="223"/>
      <c r="S2568" s="223"/>
      <c r="T2568" s="223"/>
      <c r="U2568" s="223"/>
      <c r="V2568" s="223"/>
      <c r="W2568" s="223"/>
      <c r="X2568" s="223"/>
      <c r="Y2568" s="223"/>
      <c r="Z2568" s="223"/>
    </row>
    <row r="2569">
      <c r="A2569" s="223" t="str">
        <f>IFERROR(__xludf.DUMMYFUNCTION("""COMPUTED_VALUE"""),"PlusROI : Overhead")</f>
        <v>PlusROI : Overhead</v>
      </c>
      <c r="B2569" s="223" t="str">
        <f>IFERROR(__xludf.DUMMYFUNCTION("""COMPUTED_VALUE"""),"PlusROI")</f>
        <v>PlusROI</v>
      </c>
      <c r="C2569" s="223" t="str">
        <f>IFERROR(__xludf.DUMMYFUNCTION("""COMPUTED_VALUE"""),"Overhead")</f>
        <v>Overhead</v>
      </c>
      <c r="D2569" s="316">
        <f>IFERROR(__xludf.DUMMYFUNCTION("""COMPUTED_VALUE"""),45029.0)</f>
        <v>45029</v>
      </c>
      <c r="E2569" s="298"/>
      <c r="F2569" s="298"/>
      <c r="G2569" s="298"/>
      <c r="H2569" s="223"/>
      <c r="I2569" s="298">
        <f>IFERROR(__xludf.DUMMYFUNCTION("""COMPUTED_VALUE"""),198.85)</f>
        <v>198.85</v>
      </c>
      <c r="J2569" s="223" t="str">
        <f>IFERROR(__xludf.DUMMYFUNCTION("""COMPUTED_VALUE"""),"Hourly")</f>
        <v>Hourly</v>
      </c>
      <c r="K2569" s="317">
        <f>IFERROR(__xludf.DUMMYFUNCTION("""COMPUTED_VALUE"""),2023.0)</f>
        <v>2023</v>
      </c>
      <c r="L2569" s="298"/>
      <c r="M2569" s="223"/>
      <c r="N2569" s="223"/>
      <c r="O2569" s="223"/>
      <c r="P2569" s="223"/>
      <c r="Q2569" s="223"/>
      <c r="R2569" s="223"/>
      <c r="S2569" s="223"/>
      <c r="T2569" s="223"/>
      <c r="U2569" s="223"/>
      <c r="V2569" s="223"/>
      <c r="W2569" s="223"/>
      <c r="X2569" s="223"/>
      <c r="Y2569" s="223"/>
      <c r="Z2569" s="223"/>
    </row>
    <row r="2570">
      <c r="A2570" s="223" t="str">
        <f>IFERROR(__xludf.DUMMYFUNCTION("""COMPUTED_VALUE"""),"PlusROI : Overhead")</f>
        <v>PlusROI : Overhead</v>
      </c>
      <c r="B2570" s="223" t="str">
        <f>IFERROR(__xludf.DUMMYFUNCTION("""COMPUTED_VALUE"""),"PlusROI")</f>
        <v>PlusROI</v>
      </c>
      <c r="C2570" s="223" t="str">
        <f>IFERROR(__xludf.DUMMYFUNCTION("""COMPUTED_VALUE"""),"Overhead")</f>
        <v>Overhead</v>
      </c>
      <c r="D2570" s="316">
        <f>IFERROR(__xludf.DUMMYFUNCTION("""COMPUTED_VALUE"""),45029.0)</f>
        <v>45029</v>
      </c>
      <c r="E2570" s="298"/>
      <c r="F2570" s="298"/>
      <c r="G2570" s="298"/>
      <c r="H2570" s="223"/>
      <c r="I2570" s="298">
        <f>IFERROR(__xludf.DUMMYFUNCTION("""COMPUTED_VALUE"""),137.31)</f>
        <v>137.31</v>
      </c>
      <c r="J2570" s="223" t="str">
        <f>IFERROR(__xludf.DUMMYFUNCTION("""COMPUTED_VALUE"""),"Hourly")</f>
        <v>Hourly</v>
      </c>
      <c r="K2570" s="317">
        <f>IFERROR(__xludf.DUMMYFUNCTION("""COMPUTED_VALUE"""),2023.0)</f>
        <v>2023</v>
      </c>
      <c r="L2570" s="298"/>
      <c r="M2570" s="223"/>
      <c r="N2570" s="223"/>
      <c r="O2570" s="223"/>
      <c r="P2570" s="223"/>
      <c r="Q2570" s="223"/>
      <c r="R2570" s="223"/>
      <c r="S2570" s="223"/>
      <c r="T2570" s="223"/>
      <c r="U2570" s="223"/>
      <c r="V2570" s="223"/>
      <c r="W2570" s="223"/>
      <c r="X2570" s="223"/>
      <c r="Y2570" s="223"/>
      <c r="Z2570" s="223"/>
    </row>
    <row r="2571">
      <c r="A2571" s="223" t="str">
        <f>IFERROR(__xludf.DUMMYFUNCTION("""COMPUTED_VALUE"""),"Canyon's Construction : PPC, LP &amp; Listings")</f>
        <v>Canyon's Construction : PPC, LP &amp; Listings</v>
      </c>
      <c r="B2571" s="223" t="str">
        <f>IFERROR(__xludf.DUMMYFUNCTION("""COMPUTED_VALUE"""),"Canyon's Construction")</f>
        <v>Canyon's Construction</v>
      </c>
      <c r="C2571" s="223" t="str">
        <f>IFERROR(__xludf.DUMMYFUNCTION("""COMPUTED_VALUE"""),"PPC, LP &amp; Listings")</f>
        <v>PPC, LP &amp; Listings</v>
      </c>
      <c r="D2571" s="316">
        <f>IFERROR(__xludf.DUMMYFUNCTION("""COMPUTED_VALUE"""),45016.0)</f>
        <v>45016</v>
      </c>
      <c r="E2571" s="298"/>
      <c r="F2571" s="298"/>
      <c r="G2571" s="298"/>
      <c r="H2571" s="223"/>
      <c r="I2571" s="298">
        <f>IFERROR(__xludf.DUMMYFUNCTION("""COMPUTED_VALUE"""),143.81)</f>
        <v>143.81</v>
      </c>
      <c r="J2571" s="223" t="str">
        <f>IFERROR(__xludf.DUMMYFUNCTION("""COMPUTED_VALUE"""),"Fixed Project")</f>
        <v>Fixed Project</v>
      </c>
      <c r="K2571" s="317">
        <f>IFERROR(__xludf.DUMMYFUNCTION("""COMPUTED_VALUE"""),2023.0)</f>
        <v>2023</v>
      </c>
      <c r="L2571" s="298"/>
      <c r="M2571" s="223"/>
      <c r="N2571" s="223"/>
      <c r="O2571" s="223"/>
      <c r="P2571" s="223"/>
      <c r="Q2571" s="223"/>
      <c r="R2571" s="223"/>
      <c r="S2571" s="223"/>
      <c r="T2571" s="223"/>
      <c r="U2571" s="223"/>
      <c r="V2571" s="223"/>
      <c r="W2571" s="223"/>
      <c r="X2571" s="223"/>
      <c r="Y2571" s="223"/>
      <c r="Z2571" s="223"/>
    </row>
    <row r="2572">
      <c r="A2572" s="223" t="str">
        <f>IFERROR(__xludf.DUMMYFUNCTION("""COMPUTED_VALUE"""),"McAllister Marketing : Copernic PPC / SEO")</f>
        <v>McAllister Marketing : Copernic PPC / SEO</v>
      </c>
      <c r="B2572" s="223" t="str">
        <f>IFERROR(__xludf.DUMMYFUNCTION("""COMPUTED_VALUE"""),"McAllister Marketing")</f>
        <v>McAllister Marketing</v>
      </c>
      <c r="C2572" s="223" t="str">
        <f>IFERROR(__xludf.DUMMYFUNCTION("""COMPUTED_VALUE"""),"Copernic PPC / SEO")</f>
        <v>Copernic PPC / SEO</v>
      </c>
      <c r="D2572" s="316">
        <f>IFERROR(__xludf.DUMMYFUNCTION("""COMPUTED_VALUE"""),45016.0)</f>
        <v>45016</v>
      </c>
      <c r="E2572" s="298"/>
      <c r="F2572" s="298"/>
      <c r="G2572" s="298"/>
      <c r="H2572" s="223"/>
      <c r="I2572" s="298">
        <f>IFERROR(__xludf.DUMMYFUNCTION("""COMPUTED_VALUE"""),296.92)</f>
        <v>296.92</v>
      </c>
      <c r="J2572" s="223" t="str">
        <f>IFERROR(__xludf.DUMMYFUNCTION("""COMPUTED_VALUE"""),"Monthly")</f>
        <v>Monthly</v>
      </c>
      <c r="K2572" s="317">
        <f>IFERROR(__xludf.DUMMYFUNCTION("""COMPUTED_VALUE"""),2023.03)</f>
        <v>2023.03</v>
      </c>
      <c r="L2572" s="298"/>
      <c r="M2572" s="223"/>
      <c r="N2572" s="223"/>
      <c r="O2572" s="223"/>
      <c r="P2572" s="223"/>
      <c r="Q2572" s="223"/>
      <c r="R2572" s="223"/>
      <c r="S2572" s="223"/>
      <c r="T2572" s="223"/>
      <c r="U2572" s="223"/>
      <c r="V2572" s="223"/>
      <c r="W2572" s="223"/>
      <c r="X2572" s="223"/>
      <c r="Y2572" s="223"/>
      <c r="Z2572" s="223"/>
    </row>
    <row r="2573">
      <c r="A2573" s="223" t="str">
        <f>IFERROR(__xludf.DUMMYFUNCTION("""COMPUTED_VALUE"""),"ESKO Pacific : Website Rebuild")</f>
        <v>ESKO Pacific : Website Rebuild</v>
      </c>
      <c r="B2573" s="223" t="str">
        <f>IFERROR(__xludf.DUMMYFUNCTION("""COMPUTED_VALUE"""),"ESKO Pacific")</f>
        <v>ESKO Pacific</v>
      </c>
      <c r="C2573" s="223" t="str">
        <f>IFERROR(__xludf.DUMMYFUNCTION("""COMPUTED_VALUE"""),"Website Rebuild")</f>
        <v>Website Rebuild</v>
      </c>
      <c r="D2573" s="316">
        <f>IFERROR(__xludf.DUMMYFUNCTION("""COMPUTED_VALUE"""),45016.0)</f>
        <v>45016</v>
      </c>
      <c r="E2573" s="298"/>
      <c r="F2573" s="298"/>
      <c r="G2573" s="298"/>
      <c r="H2573" s="223"/>
      <c r="I2573" s="298">
        <f>IFERROR(__xludf.DUMMYFUNCTION("""COMPUTED_VALUE"""),2017.17)</f>
        <v>2017.17</v>
      </c>
      <c r="J2573" s="223" t="str">
        <f>IFERROR(__xludf.DUMMYFUNCTION("""COMPUTED_VALUE"""),"Fixed Project")</f>
        <v>Fixed Project</v>
      </c>
      <c r="K2573" s="317">
        <f>IFERROR(__xludf.DUMMYFUNCTION("""COMPUTED_VALUE"""),2023.0)</f>
        <v>2023</v>
      </c>
      <c r="L2573" s="298"/>
      <c r="M2573" s="223"/>
      <c r="N2573" s="223"/>
      <c r="O2573" s="223"/>
      <c r="P2573" s="223"/>
      <c r="Q2573" s="223"/>
      <c r="R2573" s="223"/>
      <c r="S2573" s="223"/>
      <c r="T2573" s="223"/>
      <c r="U2573" s="223"/>
      <c r="V2573" s="223"/>
      <c r="W2573" s="223"/>
      <c r="X2573" s="223"/>
      <c r="Y2573" s="223"/>
      <c r="Z2573" s="223"/>
    </row>
    <row r="2574">
      <c r="A2574" s="223" t="str">
        <f>IFERROR(__xludf.DUMMYFUNCTION("""COMPUTED_VALUE"""),"GreenLane Offroad : PPC, SEO &amp; Analytics Work")</f>
        <v>GreenLane Offroad : PPC, SEO &amp; Analytics Work</v>
      </c>
      <c r="B2574" s="223" t="str">
        <f>IFERROR(__xludf.DUMMYFUNCTION("""COMPUTED_VALUE"""),"GreenLane Offroad")</f>
        <v>GreenLane Offroad</v>
      </c>
      <c r="C2574" s="223" t="str">
        <f>IFERROR(__xludf.DUMMYFUNCTION("""COMPUTED_VALUE"""),"PPC, SEO &amp; Analytics Work")</f>
        <v>PPC, SEO &amp; Analytics Work</v>
      </c>
      <c r="D2574" s="316">
        <f>IFERROR(__xludf.DUMMYFUNCTION("""COMPUTED_VALUE"""),45016.0)</f>
        <v>45016</v>
      </c>
      <c r="E2574" s="298"/>
      <c r="F2574" s="298"/>
      <c r="G2574" s="298"/>
      <c r="H2574" s="223"/>
      <c r="I2574" s="298">
        <f>IFERROR(__xludf.DUMMYFUNCTION("""COMPUTED_VALUE"""),87.53)</f>
        <v>87.53</v>
      </c>
      <c r="J2574" s="223" t="str">
        <f>IFERROR(__xludf.DUMMYFUNCTION("""COMPUTED_VALUE"""),"Monthly")</f>
        <v>Monthly</v>
      </c>
      <c r="K2574" s="317">
        <f>IFERROR(__xludf.DUMMYFUNCTION("""COMPUTED_VALUE"""),2023.03)</f>
        <v>2023.03</v>
      </c>
      <c r="L2574" s="298"/>
      <c r="M2574" s="223"/>
      <c r="N2574" s="223"/>
      <c r="O2574" s="223"/>
      <c r="P2574" s="223"/>
      <c r="Q2574" s="223"/>
      <c r="R2574" s="223"/>
      <c r="S2574" s="223"/>
      <c r="T2574" s="223"/>
      <c r="U2574" s="223"/>
      <c r="V2574" s="223"/>
      <c r="W2574" s="223"/>
      <c r="X2574" s="223"/>
      <c r="Y2574" s="223"/>
      <c r="Z2574" s="223"/>
    </row>
    <row r="2575">
      <c r="A2575" s="223" t="str">
        <f>IFERROR(__xludf.DUMMYFUNCTION("""COMPUTED_VALUE"""),"GreenLane Offroad : PPC, SEO &amp; Analytics Work")</f>
        <v>GreenLane Offroad : PPC, SEO &amp; Analytics Work</v>
      </c>
      <c r="B2575" s="223" t="str">
        <f>IFERROR(__xludf.DUMMYFUNCTION("""COMPUTED_VALUE"""),"GreenLane Offroad")</f>
        <v>GreenLane Offroad</v>
      </c>
      <c r="C2575" s="223" t="str">
        <f>IFERROR(__xludf.DUMMYFUNCTION("""COMPUTED_VALUE"""),"PPC, SEO &amp; Analytics Work")</f>
        <v>PPC, SEO &amp; Analytics Work</v>
      </c>
      <c r="D2575" s="316">
        <f>IFERROR(__xludf.DUMMYFUNCTION("""COMPUTED_VALUE"""),45016.0)</f>
        <v>45016</v>
      </c>
      <c r="E2575" s="298"/>
      <c r="F2575" s="298"/>
      <c r="G2575" s="298"/>
      <c r="H2575" s="223"/>
      <c r="I2575" s="298">
        <f>IFERROR(__xludf.DUMMYFUNCTION("""COMPUTED_VALUE"""),54.15)</f>
        <v>54.15</v>
      </c>
      <c r="J2575" s="223" t="str">
        <f>IFERROR(__xludf.DUMMYFUNCTION("""COMPUTED_VALUE"""),"Monthly")</f>
        <v>Monthly</v>
      </c>
      <c r="K2575" s="317">
        <f>IFERROR(__xludf.DUMMYFUNCTION("""COMPUTED_VALUE"""),2023.03)</f>
        <v>2023.03</v>
      </c>
      <c r="L2575" s="298"/>
      <c r="M2575" s="223"/>
      <c r="N2575" s="223"/>
      <c r="O2575" s="223"/>
      <c r="P2575" s="223"/>
      <c r="Q2575" s="223"/>
      <c r="R2575" s="223"/>
      <c r="S2575" s="223"/>
      <c r="T2575" s="223"/>
      <c r="U2575" s="223"/>
      <c r="V2575" s="223"/>
      <c r="W2575" s="223"/>
      <c r="X2575" s="223"/>
      <c r="Y2575" s="223"/>
      <c r="Z2575" s="223"/>
    </row>
    <row r="2576">
      <c r="A2576" s="223" t="str">
        <f>IFERROR(__xludf.DUMMYFUNCTION("""COMPUTED_VALUE"""),"Continuity Programs Inc. : 3 Month Google Ads Camapign")</f>
        <v>Continuity Programs Inc. : 3 Month Google Ads Camapign</v>
      </c>
      <c r="B2576" s="223" t="str">
        <f>IFERROR(__xludf.DUMMYFUNCTION("""COMPUTED_VALUE"""),"Continuity Programs Inc.")</f>
        <v>Continuity Programs Inc.</v>
      </c>
      <c r="C2576" s="223" t="str">
        <f>IFERROR(__xludf.DUMMYFUNCTION("""COMPUTED_VALUE"""),"3 Month Google Ads Camapign")</f>
        <v>3 Month Google Ads Camapign</v>
      </c>
      <c r="D2576" s="316">
        <f>IFERROR(__xludf.DUMMYFUNCTION("""COMPUTED_VALUE"""),45016.0)</f>
        <v>45016</v>
      </c>
      <c r="E2576" s="298"/>
      <c r="F2576" s="298"/>
      <c r="G2576" s="298"/>
      <c r="H2576" s="223"/>
      <c r="I2576" s="298">
        <f>IFERROR(__xludf.DUMMYFUNCTION("""COMPUTED_VALUE"""),19.38)</f>
        <v>19.38</v>
      </c>
      <c r="J2576" s="223" t="str">
        <f>IFERROR(__xludf.DUMMYFUNCTION("""COMPUTED_VALUE"""),"Fixed Project")</f>
        <v>Fixed Project</v>
      </c>
      <c r="K2576" s="317">
        <f>IFERROR(__xludf.DUMMYFUNCTION("""COMPUTED_VALUE"""),2023.0)</f>
        <v>2023</v>
      </c>
      <c r="L2576" s="298"/>
      <c r="M2576" s="223"/>
      <c r="N2576" s="223"/>
      <c r="O2576" s="223"/>
      <c r="P2576" s="223"/>
      <c r="Q2576" s="223"/>
      <c r="R2576" s="223"/>
      <c r="S2576" s="223"/>
      <c r="T2576" s="223"/>
      <c r="U2576" s="223"/>
      <c r="V2576" s="223"/>
      <c r="W2576" s="223"/>
      <c r="X2576" s="223"/>
      <c r="Y2576" s="223"/>
      <c r="Z2576" s="223"/>
    </row>
    <row r="2577">
      <c r="A2577" s="223" t="str">
        <f>IFERROR(__xludf.DUMMYFUNCTION("""COMPUTED_VALUE"""),"HSJ Lawyers : Monthly Services")</f>
        <v>HSJ Lawyers : Monthly Services</v>
      </c>
      <c r="B2577" s="223" t="str">
        <f>IFERROR(__xludf.DUMMYFUNCTION("""COMPUTED_VALUE"""),"HSJ Lawyers")</f>
        <v>HSJ Lawyers</v>
      </c>
      <c r="C2577" s="223" t="str">
        <f>IFERROR(__xludf.DUMMYFUNCTION("""COMPUTED_VALUE"""),"Monthly Services")</f>
        <v>Monthly Services</v>
      </c>
      <c r="D2577" s="316">
        <f>IFERROR(__xludf.DUMMYFUNCTION("""COMPUTED_VALUE"""),45016.0)</f>
        <v>45016</v>
      </c>
      <c r="E2577" s="298"/>
      <c r="F2577" s="298"/>
      <c r="G2577" s="298"/>
      <c r="H2577" s="223"/>
      <c r="I2577" s="298">
        <f>IFERROR(__xludf.DUMMYFUNCTION("""COMPUTED_VALUE"""),131.95)</f>
        <v>131.95</v>
      </c>
      <c r="J2577" s="223" t="str">
        <f>IFERROR(__xludf.DUMMYFUNCTION("""COMPUTED_VALUE"""),"Monthly")</f>
        <v>Monthly</v>
      </c>
      <c r="K2577" s="317">
        <f>IFERROR(__xludf.DUMMYFUNCTION("""COMPUTED_VALUE"""),2023.03)</f>
        <v>2023.03</v>
      </c>
      <c r="L2577" s="298"/>
      <c r="M2577" s="223"/>
      <c r="N2577" s="223"/>
      <c r="O2577" s="223"/>
      <c r="P2577" s="223"/>
      <c r="Q2577" s="223"/>
      <c r="R2577" s="223"/>
      <c r="S2577" s="223"/>
      <c r="T2577" s="223"/>
      <c r="U2577" s="223"/>
      <c r="V2577" s="223"/>
      <c r="W2577" s="223"/>
      <c r="X2577" s="223"/>
      <c r="Y2577" s="223"/>
      <c r="Z2577" s="223"/>
    </row>
    <row r="2578">
      <c r="A2578" s="223" t="str">
        <f>IFERROR(__xludf.DUMMYFUNCTION("""COMPUTED_VALUE"""),"Moloco : 5 Hour Support Block")</f>
        <v>Moloco : 5 Hour Support Block</v>
      </c>
      <c r="B2578" s="223" t="str">
        <f>IFERROR(__xludf.DUMMYFUNCTION("""COMPUTED_VALUE"""),"Moloco")</f>
        <v>Moloco</v>
      </c>
      <c r="C2578" s="223" t="str">
        <f>IFERROR(__xludf.DUMMYFUNCTION("""COMPUTED_VALUE"""),"5 Hour Support Block")</f>
        <v>5 Hour Support Block</v>
      </c>
      <c r="D2578" s="316">
        <f>IFERROR(__xludf.DUMMYFUNCTION("""COMPUTED_VALUE"""),45016.0)</f>
        <v>45016</v>
      </c>
      <c r="E2578" s="298"/>
      <c r="F2578" s="298"/>
      <c r="G2578" s="298"/>
      <c r="H2578" s="223"/>
      <c r="I2578" s="298">
        <f>IFERROR(__xludf.DUMMYFUNCTION("""COMPUTED_VALUE"""),20.14)</f>
        <v>20.14</v>
      </c>
      <c r="J2578" s="223" t="str">
        <f>IFERROR(__xludf.DUMMYFUNCTION("""COMPUTED_VALUE"""),"Fixed Project")</f>
        <v>Fixed Project</v>
      </c>
      <c r="K2578" s="317">
        <f>IFERROR(__xludf.DUMMYFUNCTION("""COMPUTED_VALUE"""),2023.0)</f>
        <v>2023</v>
      </c>
      <c r="L2578" s="298"/>
      <c r="M2578" s="223"/>
      <c r="N2578" s="223"/>
      <c r="O2578" s="223"/>
      <c r="P2578" s="223"/>
      <c r="Q2578" s="223"/>
      <c r="R2578" s="223"/>
      <c r="S2578" s="223"/>
      <c r="T2578" s="223"/>
      <c r="U2578" s="223"/>
      <c r="V2578" s="223"/>
      <c r="W2578" s="223"/>
      <c r="X2578" s="223"/>
      <c r="Y2578" s="223"/>
      <c r="Z2578" s="223"/>
    </row>
    <row r="2579">
      <c r="A2579" s="223" t="str">
        <f>IFERROR(__xludf.DUMMYFUNCTION("""COMPUTED_VALUE"""),"PlusROI : Admin")</f>
        <v>PlusROI : Admin</v>
      </c>
      <c r="B2579" s="223" t="str">
        <f>IFERROR(__xludf.DUMMYFUNCTION("""COMPUTED_VALUE"""),"PlusROI")</f>
        <v>PlusROI</v>
      </c>
      <c r="C2579" s="223" t="str">
        <f>IFERROR(__xludf.DUMMYFUNCTION("""COMPUTED_VALUE"""),"Admin")</f>
        <v>Admin</v>
      </c>
      <c r="D2579" s="316">
        <f>IFERROR(__xludf.DUMMYFUNCTION("""COMPUTED_VALUE"""),45016.0)</f>
        <v>45016</v>
      </c>
      <c r="E2579" s="298"/>
      <c r="F2579" s="298"/>
      <c r="G2579" s="298"/>
      <c r="H2579" s="223"/>
      <c r="I2579" s="298">
        <f>IFERROR(__xludf.DUMMYFUNCTION("""COMPUTED_VALUE"""),722.99)</f>
        <v>722.99</v>
      </c>
      <c r="J2579" s="223" t="str">
        <f>IFERROR(__xludf.DUMMYFUNCTION("""COMPUTED_VALUE"""),"Hourly")</f>
        <v>Hourly</v>
      </c>
      <c r="K2579" s="317">
        <f>IFERROR(__xludf.DUMMYFUNCTION("""COMPUTED_VALUE"""),2023.0)</f>
        <v>2023</v>
      </c>
      <c r="L2579" s="298"/>
      <c r="M2579" s="223"/>
      <c r="N2579" s="223"/>
      <c r="O2579" s="223"/>
      <c r="P2579" s="223"/>
      <c r="Q2579" s="223"/>
      <c r="R2579" s="223"/>
      <c r="S2579" s="223"/>
      <c r="T2579" s="223"/>
      <c r="U2579" s="223"/>
      <c r="V2579" s="223"/>
      <c r="W2579" s="223"/>
      <c r="X2579" s="223"/>
      <c r="Y2579" s="223"/>
      <c r="Z2579" s="223"/>
    </row>
    <row r="2580">
      <c r="A2580" s="223" t="str">
        <f>IFERROR(__xludf.DUMMYFUNCTION("""COMPUTED_VALUE"""),"Sacred Deathcare : Maintainance Retainer")</f>
        <v>Sacred Deathcare : Maintainance Retainer</v>
      </c>
      <c r="B2580" s="223" t="str">
        <f>IFERROR(__xludf.DUMMYFUNCTION("""COMPUTED_VALUE"""),"Sacred Deathcare")</f>
        <v>Sacred Deathcare</v>
      </c>
      <c r="C2580" s="223" t="str">
        <f>IFERROR(__xludf.DUMMYFUNCTION("""COMPUTED_VALUE"""),"Maintainance Retainer")</f>
        <v>Maintainance Retainer</v>
      </c>
      <c r="D2580" s="316">
        <f>IFERROR(__xludf.DUMMYFUNCTION("""COMPUTED_VALUE"""),45016.0)</f>
        <v>45016</v>
      </c>
      <c r="E2580" s="298"/>
      <c r="F2580" s="298"/>
      <c r="G2580" s="298"/>
      <c r="H2580" s="223"/>
      <c r="I2580" s="298">
        <f>IFERROR(__xludf.DUMMYFUNCTION("""COMPUTED_VALUE"""),250.66)</f>
        <v>250.66</v>
      </c>
      <c r="J2580" s="223" t="str">
        <f>IFERROR(__xludf.DUMMYFUNCTION("""COMPUTED_VALUE"""),"Monthly")</f>
        <v>Monthly</v>
      </c>
      <c r="K2580" s="317">
        <f>IFERROR(__xludf.DUMMYFUNCTION("""COMPUTED_VALUE"""),2023.03)</f>
        <v>2023.03</v>
      </c>
      <c r="L2580" s="298"/>
      <c r="M2580" s="223"/>
      <c r="N2580" s="223"/>
      <c r="O2580" s="223"/>
      <c r="P2580" s="223"/>
      <c r="Q2580" s="223"/>
      <c r="R2580" s="223"/>
      <c r="S2580" s="223"/>
      <c r="T2580" s="223"/>
      <c r="U2580" s="223"/>
      <c r="V2580" s="223"/>
      <c r="W2580" s="223"/>
      <c r="X2580" s="223"/>
      <c r="Y2580" s="223"/>
      <c r="Z2580" s="223"/>
    </row>
    <row r="2581">
      <c r="A2581" s="223" t="str">
        <f>IFERROR(__xludf.DUMMYFUNCTION("""COMPUTED_VALUE"""),"Salty Waffle : General Support")</f>
        <v>Salty Waffle : General Support</v>
      </c>
      <c r="B2581" s="223" t="str">
        <f>IFERROR(__xludf.DUMMYFUNCTION("""COMPUTED_VALUE"""),"Salty Waffle")</f>
        <v>Salty Waffle</v>
      </c>
      <c r="C2581" s="223" t="str">
        <f>IFERROR(__xludf.DUMMYFUNCTION("""COMPUTED_VALUE"""),"General Support")</f>
        <v>General Support</v>
      </c>
      <c r="D2581" s="316">
        <f>IFERROR(__xludf.DUMMYFUNCTION("""COMPUTED_VALUE"""),45016.0)</f>
        <v>45016</v>
      </c>
      <c r="E2581" s="298"/>
      <c r="F2581" s="298"/>
      <c r="G2581" s="298"/>
      <c r="H2581" s="223"/>
      <c r="I2581" s="298">
        <f>IFERROR(__xludf.DUMMYFUNCTION("""COMPUTED_VALUE"""),295.59)</f>
        <v>295.59</v>
      </c>
      <c r="J2581" s="223" t="str">
        <f>IFERROR(__xludf.DUMMYFUNCTION("""COMPUTED_VALUE"""),"Fixed Project")</f>
        <v>Fixed Project</v>
      </c>
      <c r="K2581" s="317">
        <f>IFERROR(__xludf.DUMMYFUNCTION("""COMPUTED_VALUE"""),2023.0)</f>
        <v>2023</v>
      </c>
      <c r="L2581" s="298"/>
      <c r="M2581" s="223"/>
      <c r="N2581" s="223"/>
      <c r="O2581" s="223"/>
      <c r="P2581" s="223"/>
      <c r="Q2581" s="223"/>
      <c r="R2581" s="223"/>
      <c r="S2581" s="223"/>
      <c r="T2581" s="223"/>
      <c r="U2581" s="223"/>
      <c r="V2581" s="223"/>
      <c r="W2581" s="223"/>
      <c r="X2581" s="223"/>
      <c r="Y2581" s="223"/>
      <c r="Z2581" s="223"/>
    </row>
    <row r="2582">
      <c r="A2582" s="223" t="str">
        <f>IFERROR(__xludf.DUMMYFUNCTION("""COMPUTED_VALUE"""),"Sharon Wardle : 5 Hours General Support")</f>
        <v>Sharon Wardle : 5 Hours General Support</v>
      </c>
      <c r="B2582" s="223" t="str">
        <f>IFERROR(__xludf.DUMMYFUNCTION("""COMPUTED_VALUE"""),"Sharon Wardle")</f>
        <v>Sharon Wardle</v>
      </c>
      <c r="C2582" s="223" t="str">
        <f>IFERROR(__xludf.DUMMYFUNCTION("""COMPUTED_VALUE"""),"5 Hours General Support")</f>
        <v>5 Hours General Support</v>
      </c>
      <c r="D2582" s="316">
        <f>IFERROR(__xludf.DUMMYFUNCTION("""COMPUTED_VALUE"""),45016.0)</f>
        <v>45016</v>
      </c>
      <c r="E2582" s="298"/>
      <c r="F2582" s="298"/>
      <c r="G2582" s="298"/>
      <c r="H2582" s="223"/>
      <c r="I2582" s="298">
        <f>IFERROR(__xludf.DUMMYFUNCTION("""COMPUTED_VALUE"""),14.67)</f>
        <v>14.67</v>
      </c>
      <c r="J2582" s="223" t="str">
        <f>IFERROR(__xludf.DUMMYFUNCTION("""COMPUTED_VALUE"""),"Fixed Project")</f>
        <v>Fixed Project</v>
      </c>
      <c r="K2582" s="317">
        <f>IFERROR(__xludf.DUMMYFUNCTION("""COMPUTED_VALUE"""),2023.0)</f>
        <v>2023</v>
      </c>
      <c r="L2582" s="298"/>
      <c r="M2582" s="223"/>
      <c r="N2582" s="223"/>
      <c r="O2582" s="223"/>
      <c r="P2582" s="223"/>
      <c r="Q2582" s="223"/>
      <c r="R2582" s="223"/>
      <c r="S2582" s="223"/>
      <c r="T2582" s="223"/>
      <c r="U2582" s="223"/>
      <c r="V2582" s="223"/>
      <c r="W2582" s="223"/>
      <c r="X2582" s="223"/>
      <c r="Y2582" s="223"/>
      <c r="Z2582" s="223"/>
    </row>
    <row r="2583">
      <c r="A2583" s="223" t="str">
        <f>IFERROR(__xludf.DUMMYFUNCTION("""COMPUTED_VALUE"""),"Spraggs : Monthly Services")</f>
        <v>Spraggs : Monthly Services</v>
      </c>
      <c r="B2583" s="223" t="str">
        <f>IFERROR(__xludf.DUMMYFUNCTION("""COMPUTED_VALUE"""),"Spraggs")</f>
        <v>Spraggs</v>
      </c>
      <c r="C2583" s="223" t="str">
        <f>IFERROR(__xludf.DUMMYFUNCTION("""COMPUTED_VALUE"""),"Monthly Services")</f>
        <v>Monthly Services</v>
      </c>
      <c r="D2583" s="316">
        <f>IFERROR(__xludf.DUMMYFUNCTION("""COMPUTED_VALUE"""),45016.0)</f>
        <v>45016</v>
      </c>
      <c r="E2583" s="298"/>
      <c r="F2583" s="298"/>
      <c r="G2583" s="298"/>
      <c r="H2583" s="223"/>
      <c r="I2583" s="298">
        <f>IFERROR(__xludf.DUMMYFUNCTION("""COMPUTED_VALUE"""),101.57)</f>
        <v>101.57</v>
      </c>
      <c r="J2583" s="223" t="str">
        <f>IFERROR(__xludf.DUMMYFUNCTION("""COMPUTED_VALUE"""),"Monthly")</f>
        <v>Monthly</v>
      </c>
      <c r="K2583" s="317">
        <f>IFERROR(__xludf.DUMMYFUNCTION("""COMPUTED_VALUE"""),2023.03)</f>
        <v>2023.03</v>
      </c>
      <c r="L2583" s="298"/>
      <c r="M2583" s="223"/>
      <c r="N2583" s="223"/>
      <c r="O2583" s="223"/>
      <c r="P2583" s="223"/>
      <c r="Q2583" s="223"/>
      <c r="R2583" s="223"/>
      <c r="S2583" s="223"/>
      <c r="T2583" s="223"/>
      <c r="U2583" s="223"/>
      <c r="V2583" s="223"/>
      <c r="W2583" s="223"/>
      <c r="X2583" s="223"/>
      <c r="Y2583" s="223"/>
      <c r="Z2583" s="223"/>
    </row>
    <row r="2584">
      <c r="A2584" s="223" t="str">
        <f>IFERROR(__xludf.DUMMYFUNCTION("""COMPUTED_VALUE"""),"Terra Insights : Monthly PPC")</f>
        <v>Terra Insights : Monthly PPC</v>
      </c>
      <c r="B2584" s="223" t="str">
        <f>IFERROR(__xludf.DUMMYFUNCTION("""COMPUTED_VALUE"""),"Terra Insights")</f>
        <v>Terra Insights</v>
      </c>
      <c r="C2584" s="223" t="str">
        <f>IFERROR(__xludf.DUMMYFUNCTION("""COMPUTED_VALUE"""),"Monthly PPC")</f>
        <v>Monthly PPC</v>
      </c>
      <c r="D2584" s="316">
        <f>IFERROR(__xludf.DUMMYFUNCTION("""COMPUTED_VALUE"""),45016.0)</f>
        <v>45016</v>
      </c>
      <c r="E2584" s="298"/>
      <c r="F2584" s="298"/>
      <c r="G2584" s="298"/>
      <c r="H2584" s="223"/>
      <c r="I2584" s="298">
        <f>IFERROR(__xludf.DUMMYFUNCTION("""COMPUTED_VALUE"""),277.61)</f>
        <v>277.61</v>
      </c>
      <c r="J2584" s="223" t="str">
        <f>IFERROR(__xludf.DUMMYFUNCTION("""COMPUTED_VALUE"""),"Monthly")</f>
        <v>Monthly</v>
      </c>
      <c r="K2584" s="317">
        <f>IFERROR(__xludf.DUMMYFUNCTION("""COMPUTED_VALUE"""),2023.03)</f>
        <v>2023.03</v>
      </c>
      <c r="L2584" s="298"/>
      <c r="M2584" s="223"/>
      <c r="N2584" s="223"/>
      <c r="O2584" s="223"/>
      <c r="P2584" s="223"/>
      <c r="Q2584" s="223"/>
      <c r="R2584" s="223"/>
      <c r="S2584" s="223"/>
      <c r="T2584" s="223"/>
      <c r="U2584" s="223"/>
      <c r="V2584" s="223"/>
      <c r="W2584" s="223"/>
      <c r="X2584" s="223"/>
      <c r="Y2584" s="223"/>
      <c r="Z2584" s="223"/>
    </row>
    <row r="2585">
      <c r="A2585" s="223" t="str">
        <f>IFERROR(__xludf.DUMMYFUNCTION("""COMPUTED_VALUE"""),"The Sands : 10 Hour General Support Block")</f>
        <v>The Sands : 10 Hour General Support Block</v>
      </c>
      <c r="B2585" s="223" t="str">
        <f>IFERROR(__xludf.DUMMYFUNCTION("""COMPUTED_VALUE"""),"The Sands")</f>
        <v>The Sands</v>
      </c>
      <c r="C2585" s="223" t="str">
        <f>IFERROR(__xludf.DUMMYFUNCTION("""COMPUTED_VALUE"""),"10 Hour General Support Block")</f>
        <v>10 Hour General Support Block</v>
      </c>
      <c r="D2585" s="316">
        <f>IFERROR(__xludf.DUMMYFUNCTION("""COMPUTED_VALUE"""),45016.0)</f>
        <v>45016</v>
      </c>
      <c r="E2585" s="298"/>
      <c r="F2585" s="298"/>
      <c r="G2585" s="298"/>
      <c r="H2585" s="223"/>
      <c r="I2585" s="298">
        <f>IFERROR(__xludf.DUMMYFUNCTION("""COMPUTED_VALUE"""),48.2)</f>
        <v>48.2</v>
      </c>
      <c r="J2585" s="223" t="str">
        <f>IFERROR(__xludf.DUMMYFUNCTION("""COMPUTED_VALUE"""),"Fixed Project")</f>
        <v>Fixed Project</v>
      </c>
      <c r="K2585" s="317">
        <f>IFERROR(__xludf.DUMMYFUNCTION("""COMPUTED_VALUE"""),2023.0)</f>
        <v>2023</v>
      </c>
      <c r="L2585" s="298"/>
      <c r="M2585" s="223"/>
      <c r="N2585" s="223"/>
      <c r="O2585" s="223"/>
      <c r="P2585" s="223"/>
      <c r="Q2585" s="223"/>
      <c r="R2585" s="223"/>
      <c r="S2585" s="223"/>
      <c r="T2585" s="223"/>
      <c r="U2585" s="223"/>
      <c r="V2585" s="223"/>
      <c r="W2585" s="223"/>
      <c r="X2585" s="223"/>
      <c r="Y2585" s="223"/>
      <c r="Z2585" s="223"/>
    </row>
    <row r="2586">
      <c r="A2586" s="223" t="str">
        <f>IFERROR(__xludf.DUMMYFUNCTION("""COMPUTED_VALUE"""),"The Shore Club : 10 Hour General Support Block")</f>
        <v>The Shore Club : 10 Hour General Support Block</v>
      </c>
      <c r="B2586" s="223" t="str">
        <f>IFERROR(__xludf.DUMMYFUNCTION("""COMPUTED_VALUE"""),"The Shore Club")</f>
        <v>The Shore Club</v>
      </c>
      <c r="C2586" s="223" t="str">
        <f>IFERROR(__xludf.DUMMYFUNCTION("""COMPUTED_VALUE"""),"10 Hour General Support Block")</f>
        <v>10 Hour General Support Block</v>
      </c>
      <c r="D2586" s="316">
        <f>IFERROR(__xludf.DUMMYFUNCTION("""COMPUTED_VALUE"""),45016.0)</f>
        <v>45016</v>
      </c>
      <c r="E2586" s="298"/>
      <c r="F2586" s="298"/>
      <c r="G2586" s="298"/>
      <c r="H2586" s="223"/>
      <c r="I2586" s="298">
        <f>IFERROR(__xludf.DUMMYFUNCTION("""COMPUTED_VALUE"""),128.03)</f>
        <v>128.03</v>
      </c>
      <c r="J2586" s="223" t="str">
        <f>IFERROR(__xludf.DUMMYFUNCTION("""COMPUTED_VALUE"""),"Fixed Project")</f>
        <v>Fixed Project</v>
      </c>
      <c r="K2586" s="317">
        <f>IFERROR(__xludf.DUMMYFUNCTION("""COMPUTED_VALUE"""),2023.0)</f>
        <v>2023</v>
      </c>
      <c r="L2586" s="298"/>
      <c r="M2586" s="223"/>
      <c r="N2586" s="223"/>
      <c r="O2586" s="223"/>
      <c r="P2586" s="223"/>
      <c r="Q2586" s="223"/>
      <c r="R2586" s="223"/>
      <c r="S2586" s="223"/>
      <c r="T2586" s="223"/>
      <c r="U2586" s="223"/>
      <c r="V2586" s="223"/>
      <c r="W2586" s="223"/>
      <c r="X2586" s="223"/>
      <c r="Y2586" s="223"/>
      <c r="Z2586" s="223"/>
    </row>
    <row r="2587">
      <c r="A2587" s="223" t="str">
        <f>IFERROR(__xludf.DUMMYFUNCTION("""COMPUTED_VALUE"""),"The Shore Club : 10 Hour General Support Block")</f>
        <v>The Shore Club : 10 Hour General Support Block</v>
      </c>
      <c r="B2587" s="223" t="str">
        <f>IFERROR(__xludf.DUMMYFUNCTION("""COMPUTED_VALUE"""),"The Shore Club")</f>
        <v>The Shore Club</v>
      </c>
      <c r="C2587" s="223" t="str">
        <f>IFERROR(__xludf.DUMMYFUNCTION("""COMPUTED_VALUE"""),"10 Hour General Support Block")</f>
        <v>10 Hour General Support Block</v>
      </c>
      <c r="D2587" s="316">
        <f>IFERROR(__xludf.DUMMYFUNCTION("""COMPUTED_VALUE"""),45016.0)</f>
        <v>45016</v>
      </c>
      <c r="E2587" s="298"/>
      <c r="F2587" s="298"/>
      <c r="G2587" s="298"/>
      <c r="H2587" s="223"/>
      <c r="I2587" s="298">
        <f>IFERROR(__xludf.DUMMYFUNCTION("""COMPUTED_VALUE"""),91.63)</f>
        <v>91.63</v>
      </c>
      <c r="J2587" s="223" t="str">
        <f>IFERROR(__xludf.DUMMYFUNCTION("""COMPUTED_VALUE"""),"Fixed Project")</f>
        <v>Fixed Project</v>
      </c>
      <c r="K2587" s="317">
        <f>IFERROR(__xludf.DUMMYFUNCTION("""COMPUTED_VALUE"""),2023.0)</f>
        <v>2023</v>
      </c>
      <c r="L2587" s="298"/>
      <c r="M2587" s="223"/>
      <c r="N2587" s="223"/>
      <c r="O2587" s="223"/>
      <c r="P2587" s="223"/>
      <c r="Q2587" s="223"/>
      <c r="R2587" s="223"/>
      <c r="S2587" s="223"/>
      <c r="T2587" s="223"/>
      <c r="U2587" s="223"/>
      <c r="V2587" s="223"/>
      <c r="W2587" s="223"/>
      <c r="X2587" s="223"/>
      <c r="Y2587" s="223"/>
      <c r="Z2587" s="223"/>
    </row>
    <row r="2588">
      <c r="A2588" s="223" t="str">
        <f>IFERROR(__xludf.DUMMYFUNCTION("""COMPUTED_VALUE"""),"Tofino Resort + Marina : Monthly Services")</f>
        <v>Tofino Resort + Marina : Monthly Services</v>
      </c>
      <c r="B2588" s="223" t="str">
        <f>IFERROR(__xludf.DUMMYFUNCTION("""COMPUTED_VALUE"""),"Tofino Resort + Marina")</f>
        <v>Tofino Resort + Marina</v>
      </c>
      <c r="C2588" s="223" t="str">
        <f>IFERROR(__xludf.DUMMYFUNCTION("""COMPUTED_VALUE"""),"Monthly Services")</f>
        <v>Monthly Services</v>
      </c>
      <c r="D2588" s="316">
        <f>IFERROR(__xludf.DUMMYFUNCTION("""COMPUTED_VALUE"""),45016.0)</f>
        <v>45016</v>
      </c>
      <c r="E2588" s="298"/>
      <c r="F2588" s="298"/>
      <c r="G2588" s="298"/>
      <c r="H2588" s="223"/>
      <c r="I2588" s="298">
        <f>IFERROR(__xludf.DUMMYFUNCTION("""COMPUTED_VALUE"""),85.85)</f>
        <v>85.85</v>
      </c>
      <c r="J2588" s="223" t="str">
        <f>IFERROR(__xludf.DUMMYFUNCTION("""COMPUTED_VALUE"""),"Monthly")</f>
        <v>Monthly</v>
      </c>
      <c r="K2588" s="317">
        <f>IFERROR(__xludf.DUMMYFUNCTION("""COMPUTED_VALUE"""),2023.03)</f>
        <v>2023.03</v>
      </c>
      <c r="L2588" s="298"/>
      <c r="M2588" s="223"/>
      <c r="N2588" s="223"/>
      <c r="O2588" s="223"/>
      <c r="P2588" s="223"/>
      <c r="Q2588" s="223"/>
      <c r="R2588" s="223"/>
      <c r="S2588" s="223"/>
      <c r="T2588" s="223"/>
      <c r="U2588" s="223"/>
      <c r="V2588" s="223"/>
      <c r="W2588" s="223"/>
      <c r="X2588" s="223"/>
      <c r="Y2588" s="223"/>
      <c r="Z2588" s="223"/>
    </row>
    <row r="2589">
      <c r="A2589" s="223" t="str">
        <f>IFERROR(__xludf.DUMMYFUNCTION("""COMPUTED_VALUE"""),"True Reliance : Website + Content")</f>
        <v>True Reliance : Website + Content</v>
      </c>
      <c r="B2589" s="223" t="str">
        <f>IFERROR(__xludf.DUMMYFUNCTION("""COMPUTED_VALUE"""),"True Reliance")</f>
        <v>True Reliance</v>
      </c>
      <c r="C2589" s="223" t="str">
        <f>IFERROR(__xludf.DUMMYFUNCTION("""COMPUTED_VALUE"""),"Website + Content")</f>
        <v>Website + Content</v>
      </c>
      <c r="D2589" s="316">
        <f>IFERROR(__xludf.DUMMYFUNCTION("""COMPUTED_VALUE"""),45016.0)</f>
        <v>45016</v>
      </c>
      <c r="E2589" s="298"/>
      <c r="F2589" s="298"/>
      <c r="G2589" s="298"/>
      <c r="H2589" s="223"/>
      <c r="I2589" s="298">
        <f>IFERROR(__xludf.DUMMYFUNCTION("""COMPUTED_VALUE"""),78.42)</f>
        <v>78.42</v>
      </c>
      <c r="J2589" s="223" t="str">
        <f>IFERROR(__xludf.DUMMYFUNCTION("""COMPUTED_VALUE"""),"Fixed Project")</f>
        <v>Fixed Project</v>
      </c>
      <c r="K2589" s="317">
        <f>IFERROR(__xludf.DUMMYFUNCTION("""COMPUTED_VALUE"""),2023.0)</f>
        <v>2023</v>
      </c>
      <c r="L2589" s="298"/>
      <c r="M2589" s="223"/>
      <c r="N2589" s="223"/>
      <c r="O2589" s="223"/>
      <c r="P2589" s="223"/>
      <c r="Q2589" s="223"/>
      <c r="R2589" s="223"/>
      <c r="S2589" s="223"/>
      <c r="T2589" s="223"/>
      <c r="U2589" s="223"/>
      <c r="V2589" s="223"/>
      <c r="W2589" s="223"/>
      <c r="X2589" s="223"/>
      <c r="Y2589" s="223"/>
      <c r="Z2589" s="223"/>
    </row>
    <row r="2590">
      <c r="A2590" s="223" t="str">
        <f>IFERROR(__xludf.DUMMYFUNCTION("""COMPUTED_VALUE"""),"Viridian : Monthly Services")</f>
        <v>Viridian : Monthly Services</v>
      </c>
      <c r="B2590" s="223" t="str">
        <f>IFERROR(__xludf.DUMMYFUNCTION("""COMPUTED_VALUE"""),"Viridian")</f>
        <v>Viridian</v>
      </c>
      <c r="C2590" s="223" t="str">
        <f>IFERROR(__xludf.DUMMYFUNCTION("""COMPUTED_VALUE"""),"Monthly Services")</f>
        <v>Monthly Services</v>
      </c>
      <c r="D2590" s="316">
        <f>IFERROR(__xludf.DUMMYFUNCTION("""COMPUTED_VALUE"""),45016.0)</f>
        <v>45016</v>
      </c>
      <c r="E2590" s="298"/>
      <c r="F2590" s="298"/>
      <c r="G2590" s="298"/>
      <c r="H2590" s="223"/>
      <c r="I2590" s="298">
        <f>IFERROR(__xludf.DUMMYFUNCTION("""COMPUTED_VALUE"""),142.92)</f>
        <v>142.92</v>
      </c>
      <c r="J2590" s="223" t="str">
        <f>IFERROR(__xludf.DUMMYFUNCTION("""COMPUTED_VALUE"""),"Monthly")</f>
        <v>Monthly</v>
      </c>
      <c r="K2590" s="317">
        <f>IFERROR(__xludf.DUMMYFUNCTION("""COMPUTED_VALUE"""),2023.03)</f>
        <v>2023.03</v>
      </c>
      <c r="L2590" s="298"/>
      <c r="M2590" s="223"/>
      <c r="N2590" s="223"/>
      <c r="O2590" s="223"/>
      <c r="P2590" s="223"/>
      <c r="Q2590" s="223"/>
      <c r="R2590" s="223"/>
      <c r="S2590" s="223"/>
      <c r="T2590" s="223"/>
      <c r="U2590" s="223"/>
      <c r="V2590" s="223"/>
      <c r="W2590" s="223"/>
      <c r="X2590" s="223"/>
      <c r="Y2590" s="223"/>
      <c r="Z2590" s="223"/>
    </row>
    <row r="2591">
      <c r="A2591" s="223" t="str">
        <f>IFERROR(__xludf.DUMMYFUNCTION("""COMPUTED_VALUE"""),"Canyon's Construction : Web Presence &amp; SEO Project")</f>
        <v>Canyon's Construction : Web Presence &amp; SEO Project</v>
      </c>
      <c r="B2591" s="223" t="str">
        <f>IFERROR(__xludf.DUMMYFUNCTION("""COMPUTED_VALUE"""),"Canyon's Construction")</f>
        <v>Canyon's Construction</v>
      </c>
      <c r="C2591" s="223" t="str">
        <f>IFERROR(__xludf.DUMMYFUNCTION("""COMPUTED_VALUE"""),"Web Presence &amp; SEO Project")</f>
        <v>Web Presence &amp; SEO Project</v>
      </c>
      <c r="D2591" s="316">
        <f>IFERROR(__xludf.DUMMYFUNCTION("""COMPUTED_VALUE"""),45004.0)</f>
        <v>45004</v>
      </c>
      <c r="E2591" s="298"/>
      <c r="F2591" s="298"/>
      <c r="G2591" s="298"/>
      <c r="H2591" s="223"/>
      <c r="I2591" s="298">
        <f>IFERROR(__xludf.DUMMYFUNCTION("""COMPUTED_VALUE"""),494.21)</f>
        <v>494.21</v>
      </c>
      <c r="J2591" s="223" t="str">
        <f>IFERROR(__xludf.DUMMYFUNCTION("""COMPUTED_VALUE"""),"Fixed Project")</f>
        <v>Fixed Project</v>
      </c>
      <c r="K2591" s="317">
        <f>IFERROR(__xludf.DUMMYFUNCTION("""COMPUTED_VALUE"""),2023.0)</f>
        <v>2023</v>
      </c>
      <c r="L2591" s="298">
        <f>IFERROR(__xludf.DUMMYFUNCTION("""COMPUTED_VALUE"""),494.21)</f>
        <v>494.21</v>
      </c>
      <c r="M2591" s="223"/>
      <c r="N2591" s="223"/>
      <c r="O2591" s="223"/>
      <c r="P2591" s="223"/>
      <c r="Q2591" s="223"/>
      <c r="R2591" s="223"/>
      <c r="S2591" s="223"/>
      <c r="T2591" s="223"/>
      <c r="U2591" s="223"/>
      <c r="V2591" s="223"/>
      <c r="W2591" s="223"/>
      <c r="X2591" s="223"/>
      <c r="Y2591" s="223"/>
      <c r="Z2591" s="223"/>
    </row>
    <row r="2592">
      <c r="A2592" s="223" t="str">
        <f>IFERROR(__xludf.DUMMYFUNCTION("""COMPUTED_VALUE"""),"Tuscany : Monthly Services")</f>
        <v>Tuscany : Monthly Services</v>
      </c>
      <c r="B2592" s="223" t="str">
        <f>IFERROR(__xludf.DUMMYFUNCTION("""COMPUTED_VALUE"""),"Tuscany")</f>
        <v>Tuscany</v>
      </c>
      <c r="C2592" s="223" t="str">
        <f>IFERROR(__xludf.DUMMYFUNCTION("""COMPUTED_VALUE"""),"Monthly Services")</f>
        <v>Monthly Services</v>
      </c>
      <c r="D2592" s="316">
        <f>IFERROR(__xludf.DUMMYFUNCTION("""COMPUTED_VALUE"""),45014.0)</f>
        <v>45014</v>
      </c>
      <c r="E2592" s="298"/>
      <c r="F2592" s="298"/>
      <c r="G2592" s="298"/>
      <c r="H2592" s="223"/>
      <c r="I2592" s="298">
        <f>IFERROR(__xludf.DUMMYFUNCTION("""COMPUTED_VALUE"""),750.0)</f>
        <v>750</v>
      </c>
      <c r="J2592" s="223" t="str">
        <f>IFERROR(__xludf.DUMMYFUNCTION("""COMPUTED_VALUE"""),"Monthly")</f>
        <v>Monthly</v>
      </c>
      <c r="K2592" s="317">
        <f>IFERROR(__xludf.DUMMYFUNCTION("""COMPUTED_VALUE"""),2023.03)</f>
        <v>2023.03</v>
      </c>
      <c r="L2592" s="298">
        <f>IFERROR(__xludf.DUMMYFUNCTION("""COMPUTED_VALUE"""),750.0)</f>
        <v>750</v>
      </c>
      <c r="M2592" s="223"/>
      <c r="N2592" s="223"/>
      <c r="O2592" s="223"/>
      <c r="P2592" s="223"/>
      <c r="Q2592" s="223"/>
      <c r="R2592" s="223"/>
      <c r="S2592" s="223"/>
      <c r="T2592" s="223"/>
      <c r="U2592" s="223"/>
      <c r="V2592" s="223"/>
      <c r="W2592" s="223"/>
      <c r="X2592" s="223"/>
      <c r="Y2592" s="223"/>
      <c r="Z2592" s="223"/>
    </row>
    <row r="2593">
      <c r="A2593" s="223" t="str">
        <f>IFERROR(__xludf.DUMMYFUNCTION("""COMPUTED_VALUE"""),"Venetian : Monthly Services")</f>
        <v>Venetian : Monthly Services</v>
      </c>
      <c r="B2593" s="223" t="str">
        <f>IFERROR(__xludf.DUMMYFUNCTION("""COMPUTED_VALUE"""),"Venetian")</f>
        <v>Venetian</v>
      </c>
      <c r="C2593" s="223" t="str">
        <f>IFERROR(__xludf.DUMMYFUNCTION("""COMPUTED_VALUE"""),"Monthly Services")</f>
        <v>Monthly Services</v>
      </c>
      <c r="D2593" s="316">
        <f>IFERROR(__xludf.DUMMYFUNCTION("""COMPUTED_VALUE"""),45015.0)</f>
        <v>45015</v>
      </c>
      <c r="E2593" s="298"/>
      <c r="F2593" s="298"/>
      <c r="G2593" s="298"/>
      <c r="H2593" s="223"/>
      <c r="I2593" s="298">
        <f>IFERROR(__xludf.DUMMYFUNCTION("""COMPUTED_VALUE"""),750.0)</f>
        <v>750</v>
      </c>
      <c r="J2593" s="223" t="str">
        <f>IFERROR(__xludf.DUMMYFUNCTION("""COMPUTED_VALUE"""),"Monthly")</f>
        <v>Monthly</v>
      </c>
      <c r="K2593" s="317">
        <f>IFERROR(__xludf.DUMMYFUNCTION("""COMPUTED_VALUE"""),2023.03)</f>
        <v>2023.03</v>
      </c>
      <c r="L2593" s="298">
        <f>IFERROR(__xludf.DUMMYFUNCTION("""COMPUTED_VALUE"""),750.0)</f>
        <v>750</v>
      </c>
      <c r="M2593" s="223"/>
      <c r="N2593" s="223"/>
      <c r="O2593" s="223"/>
      <c r="P2593" s="223"/>
      <c r="Q2593" s="223"/>
      <c r="R2593" s="223"/>
      <c r="S2593" s="223"/>
      <c r="T2593" s="223"/>
      <c r="U2593" s="223"/>
      <c r="V2593" s="223"/>
      <c r="W2593" s="223"/>
      <c r="X2593" s="223"/>
      <c r="Y2593" s="223"/>
      <c r="Z2593" s="223"/>
    </row>
    <row r="2594">
      <c r="A2594" s="223" t="str">
        <f>IFERROR(__xludf.DUMMYFUNCTION("""COMPUTED_VALUE"""),"Venetian : Monthly Services")</f>
        <v>Venetian : Monthly Services</v>
      </c>
      <c r="B2594" s="223" t="str">
        <f>IFERROR(__xludf.DUMMYFUNCTION("""COMPUTED_VALUE"""),"Venetian")</f>
        <v>Venetian</v>
      </c>
      <c r="C2594" s="223" t="str">
        <f>IFERROR(__xludf.DUMMYFUNCTION("""COMPUTED_VALUE"""),"Monthly Services")</f>
        <v>Monthly Services</v>
      </c>
      <c r="D2594" s="316">
        <f>IFERROR(__xludf.DUMMYFUNCTION("""COMPUTED_VALUE"""),45017.0)</f>
        <v>45017</v>
      </c>
      <c r="E2594" s="298"/>
      <c r="F2594" s="298"/>
      <c r="G2594" s="298"/>
      <c r="H2594" s="223"/>
      <c r="I2594" s="298">
        <f>IFERROR(__xludf.DUMMYFUNCTION("""COMPUTED_VALUE"""),61.46)</f>
        <v>61.46</v>
      </c>
      <c r="J2594" s="223" t="str">
        <f>IFERROR(__xludf.DUMMYFUNCTION("""COMPUTED_VALUE"""),"Monthly")</f>
        <v>Monthly</v>
      </c>
      <c r="K2594" s="317">
        <f>IFERROR(__xludf.DUMMYFUNCTION("""COMPUTED_VALUE"""),2023.04)</f>
        <v>2023.04</v>
      </c>
      <c r="L2594" s="298">
        <f>IFERROR(__xludf.DUMMYFUNCTION("""COMPUTED_VALUE"""),61.46)</f>
        <v>61.46</v>
      </c>
      <c r="M2594" s="223"/>
      <c r="N2594" s="223"/>
      <c r="O2594" s="223"/>
      <c r="P2594" s="223"/>
      <c r="Q2594" s="223"/>
      <c r="R2594" s="223"/>
      <c r="S2594" s="223"/>
      <c r="T2594" s="223"/>
      <c r="U2594" s="223"/>
      <c r="V2594" s="223"/>
      <c r="W2594" s="223"/>
      <c r="X2594" s="223"/>
      <c r="Y2594" s="223"/>
      <c r="Z2594" s="223"/>
    </row>
    <row r="2595">
      <c r="A2595" s="223" t="str">
        <f>IFERROR(__xludf.DUMMYFUNCTION("""COMPUTED_VALUE"""),"Tuscany : Monthly Services")</f>
        <v>Tuscany : Monthly Services</v>
      </c>
      <c r="B2595" s="223" t="str">
        <f>IFERROR(__xludf.DUMMYFUNCTION("""COMPUTED_VALUE"""),"Tuscany")</f>
        <v>Tuscany</v>
      </c>
      <c r="C2595" s="223" t="str">
        <f>IFERROR(__xludf.DUMMYFUNCTION("""COMPUTED_VALUE"""),"Monthly Services")</f>
        <v>Monthly Services</v>
      </c>
      <c r="D2595" s="316">
        <f>IFERROR(__xludf.DUMMYFUNCTION("""COMPUTED_VALUE"""),45017.0)</f>
        <v>45017</v>
      </c>
      <c r="E2595" s="298"/>
      <c r="F2595" s="298"/>
      <c r="G2595" s="298"/>
      <c r="H2595" s="223"/>
      <c r="I2595" s="298">
        <f>IFERROR(__xludf.DUMMYFUNCTION("""COMPUTED_VALUE"""),67.98)</f>
        <v>67.98</v>
      </c>
      <c r="J2595" s="223" t="str">
        <f>IFERROR(__xludf.DUMMYFUNCTION("""COMPUTED_VALUE"""),"Monthly")</f>
        <v>Monthly</v>
      </c>
      <c r="K2595" s="317">
        <f>IFERROR(__xludf.DUMMYFUNCTION("""COMPUTED_VALUE"""),2023.04)</f>
        <v>2023.04</v>
      </c>
      <c r="L2595" s="298">
        <f>IFERROR(__xludf.DUMMYFUNCTION("""COMPUTED_VALUE"""),67.98)</f>
        <v>67.98</v>
      </c>
      <c r="M2595" s="223"/>
      <c r="N2595" s="223"/>
      <c r="O2595" s="223"/>
      <c r="P2595" s="223"/>
      <c r="Q2595" s="223"/>
      <c r="R2595" s="223"/>
      <c r="S2595" s="223"/>
      <c r="T2595" s="223"/>
      <c r="U2595" s="223"/>
      <c r="V2595" s="223"/>
      <c r="W2595" s="223"/>
      <c r="X2595" s="223"/>
      <c r="Y2595" s="223"/>
      <c r="Z2595" s="223"/>
    </row>
    <row r="2596">
      <c r="A2596" s="223" t="str">
        <f>IFERROR(__xludf.DUMMYFUNCTION("""COMPUTED_VALUE"""),"Canyon's Construction : Web Presence &amp; SEO Project")</f>
        <v>Canyon's Construction : Web Presence &amp; SEO Project</v>
      </c>
      <c r="B2596" s="223" t="str">
        <f>IFERROR(__xludf.DUMMYFUNCTION("""COMPUTED_VALUE"""),"Canyon's Construction")</f>
        <v>Canyon's Construction</v>
      </c>
      <c r="C2596" s="223" t="str">
        <f>IFERROR(__xludf.DUMMYFUNCTION("""COMPUTED_VALUE"""),"Web Presence &amp; SEO Project")</f>
        <v>Web Presence &amp; SEO Project</v>
      </c>
      <c r="D2596" s="316">
        <f>IFERROR(__xludf.DUMMYFUNCTION("""COMPUTED_VALUE"""),45017.0)</f>
        <v>45017</v>
      </c>
      <c r="E2596" s="298"/>
      <c r="F2596" s="298"/>
      <c r="G2596" s="298"/>
      <c r="H2596" s="223"/>
      <c r="I2596" s="298">
        <f>IFERROR(__xludf.DUMMYFUNCTION("""COMPUTED_VALUE"""),417.22)</f>
        <v>417.22</v>
      </c>
      <c r="J2596" s="223" t="str">
        <f>IFERROR(__xludf.DUMMYFUNCTION("""COMPUTED_VALUE"""),"Fixed Project")</f>
        <v>Fixed Project</v>
      </c>
      <c r="K2596" s="317">
        <f>IFERROR(__xludf.DUMMYFUNCTION("""COMPUTED_VALUE"""),2023.0)</f>
        <v>2023</v>
      </c>
      <c r="L2596" s="298">
        <f>IFERROR(__xludf.DUMMYFUNCTION("""COMPUTED_VALUE"""),417.22)</f>
        <v>417.22</v>
      </c>
      <c r="M2596" s="223"/>
      <c r="N2596" s="223"/>
      <c r="O2596" s="223"/>
      <c r="P2596" s="223"/>
      <c r="Q2596" s="223"/>
      <c r="R2596" s="223"/>
      <c r="S2596" s="223"/>
      <c r="T2596" s="223"/>
      <c r="U2596" s="223"/>
      <c r="V2596" s="223"/>
      <c r="W2596" s="223"/>
      <c r="X2596" s="223"/>
      <c r="Y2596" s="223"/>
      <c r="Z2596" s="223"/>
    </row>
    <row r="2597">
      <c r="A2597" s="223" t="str">
        <f>IFERROR(__xludf.DUMMYFUNCTION("""COMPUTED_VALUE"""),"Spraggs : Monthly Services")</f>
        <v>Spraggs : Monthly Services</v>
      </c>
      <c r="B2597" s="223" t="str">
        <f>IFERROR(__xludf.DUMMYFUNCTION("""COMPUTED_VALUE"""),"Spraggs")</f>
        <v>Spraggs</v>
      </c>
      <c r="C2597" s="223" t="str">
        <f>IFERROR(__xludf.DUMMYFUNCTION("""COMPUTED_VALUE"""),"Monthly Services")</f>
        <v>Monthly Services</v>
      </c>
      <c r="D2597" s="316">
        <f>IFERROR(__xludf.DUMMYFUNCTION("""COMPUTED_VALUE"""),45010.0)</f>
        <v>45010</v>
      </c>
      <c r="E2597" s="298"/>
      <c r="F2597" s="298"/>
      <c r="G2597" s="298"/>
      <c r="H2597" s="223"/>
      <c r="I2597" s="298">
        <f>IFERROR(__xludf.DUMMYFUNCTION("""COMPUTED_VALUE"""),23.73)</f>
        <v>23.73</v>
      </c>
      <c r="J2597" s="223" t="str">
        <f>IFERROR(__xludf.DUMMYFUNCTION("""COMPUTED_VALUE"""),"Monthly")</f>
        <v>Monthly</v>
      </c>
      <c r="K2597" s="317">
        <f>IFERROR(__xludf.DUMMYFUNCTION("""COMPUTED_VALUE"""),2023.03)</f>
        <v>2023.03</v>
      </c>
      <c r="L2597" s="298">
        <f>IFERROR(__xludf.DUMMYFUNCTION("""COMPUTED_VALUE"""),23.73)</f>
        <v>23.73</v>
      </c>
      <c r="M2597" s="223"/>
      <c r="N2597" s="223"/>
      <c r="O2597" s="223"/>
      <c r="P2597" s="223"/>
      <c r="Q2597" s="223"/>
      <c r="R2597" s="223"/>
      <c r="S2597" s="223"/>
      <c r="T2597" s="223"/>
      <c r="U2597" s="223"/>
      <c r="V2597" s="223"/>
      <c r="W2597" s="223"/>
      <c r="X2597" s="223"/>
      <c r="Y2597" s="223"/>
      <c r="Z2597" s="223"/>
    </row>
    <row r="2598">
      <c r="A2598" s="223" t="str">
        <f>IFERROR(__xludf.DUMMYFUNCTION("""COMPUTED_VALUE"""),"Viridian : Monthly Services")</f>
        <v>Viridian : Monthly Services</v>
      </c>
      <c r="B2598" s="223" t="str">
        <f>IFERROR(__xludf.DUMMYFUNCTION("""COMPUTED_VALUE"""),"Viridian")</f>
        <v>Viridian</v>
      </c>
      <c r="C2598" s="223" t="str">
        <f>IFERROR(__xludf.DUMMYFUNCTION("""COMPUTED_VALUE"""),"Monthly Services")</f>
        <v>Monthly Services</v>
      </c>
      <c r="D2598" s="316">
        <f>IFERROR(__xludf.DUMMYFUNCTION("""COMPUTED_VALUE"""),45046.0)</f>
        <v>45046</v>
      </c>
      <c r="E2598" s="298"/>
      <c r="F2598" s="298"/>
      <c r="G2598" s="298"/>
      <c r="H2598" s="223"/>
      <c r="I2598" s="298">
        <f>IFERROR(__xludf.DUMMYFUNCTION("""COMPUTED_VALUE"""),325.0)</f>
        <v>325</v>
      </c>
      <c r="J2598" s="223" t="str">
        <f>IFERROR(__xludf.DUMMYFUNCTION("""COMPUTED_VALUE"""),"Monthly")</f>
        <v>Monthly</v>
      </c>
      <c r="K2598" s="317">
        <f>IFERROR(__xludf.DUMMYFUNCTION("""COMPUTED_VALUE"""),2023.04)</f>
        <v>2023.04</v>
      </c>
      <c r="L2598" s="298"/>
      <c r="M2598" s="223"/>
      <c r="N2598" s="223"/>
      <c r="O2598" s="223"/>
      <c r="P2598" s="223"/>
      <c r="Q2598" s="223"/>
      <c r="R2598" s="223"/>
      <c r="S2598" s="223"/>
      <c r="T2598" s="223"/>
      <c r="U2598" s="223"/>
      <c r="V2598" s="223"/>
      <c r="W2598" s="223"/>
      <c r="X2598" s="223"/>
      <c r="Y2598" s="223"/>
      <c r="Z2598" s="223"/>
    </row>
    <row r="2599">
      <c r="A2599" s="223" t="str">
        <f>IFERROR(__xludf.DUMMYFUNCTION("""COMPUTED_VALUE"""),"Service First : Monthly Services")</f>
        <v>Service First : Monthly Services</v>
      </c>
      <c r="B2599" s="223" t="str">
        <f>IFERROR(__xludf.DUMMYFUNCTION("""COMPUTED_VALUE"""),"Service First")</f>
        <v>Service First</v>
      </c>
      <c r="C2599" s="223" t="str">
        <f>IFERROR(__xludf.DUMMYFUNCTION("""COMPUTED_VALUE"""),"Monthly Services")</f>
        <v>Monthly Services</v>
      </c>
      <c r="D2599" s="316">
        <f>IFERROR(__xludf.DUMMYFUNCTION("""COMPUTED_VALUE"""),45046.0)</f>
        <v>45046</v>
      </c>
      <c r="E2599" s="298"/>
      <c r="F2599" s="298"/>
      <c r="G2599" s="298"/>
      <c r="H2599" s="223"/>
      <c r="I2599" s="298">
        <f>IFERROR(__xludf.DUMMYFUNCTION("""COMPUTED_VALUE"""),137.5)</f>
        <v>137.5</v>
      </c>
      <c r="J2599" s="223" t="str">
        <f>IFERROR(__xludf.DUMMYFUNCTION("""COMPUTED_VALUE"""),"Monthly")</f>
        <v>Monthly</v>
      </c>
      <c r="K2599" s="317">
        <f>IFERROR(__xludf.DUMMYFUNCTION("""COMPUTED_VALUE"""),2023.04)</f>
        <v>2023.04</v>
      </c>
      <c r="L2599" s="298"/>
      <c r="M2599" s="223"/>
      <c r="N2599" s="223"/>
      <c r="O2599" s="223"/>
      <c r="P2599" s="223"/>
      <c r="Q2599" s="223"/>
      <c r="R2599" s="223"/>
      <c r="S2599" s="223"/>
      <c r="T2599" s="223"/>
      <c r="U2599" s="223"/>
      <c r="V2599" s="223"/>
      <c r="W2599" s="223"/>
      <c r="X2599" s="223"/>
      <c r="Y2599" s="223"/>
      <c r="Z2599" s="223"/>
    </row>
    <row r="2600">
      <c r="A2600" s="223" t="str">
        <f>IFERROR(__xludf.DUMMYFUNCTION("""COMPUTED_VALUE"""),"Wallack's Art Supplies : Monthly Services")</f>
        <v>Wallack's Art Supplies : Monthly Services</v>
      </c>
      <c r="B2600" s="223" t="str">
        <f>IFERROR(__xludf.DUMMYFUNCTION("""COMPUTED_VALUE"""),"Wallack's Art Supplies")</f>
        <v>Wallack's Art Supplies</v>
      </c>
      <c r="C2600" s="223" t="str">
        <f>IFERROR(__xludf.DUMMYFUNCTION("""COMPUTED_VALUE"""),"Monthly Services")</f>
        <v>Monthly Services</v>
      </c>
      <c r="D2600" s="316">
        <f>IFERROR(__xludf.DUMMYFUNCTION("""COMPUTED_VALUE"""),45046.0)</f>
        <v>45046</v>
      </c>
      <c r="E2600" s="298"/>
      <c r="F2600" s="298"/>
      <c r="G2600" s="298"/>
      <c r="H2600" s="223"/>
      <c r="I2600" s="298">
        <f>IFERROR(__xludf.DUMMYFUNCTION("""COMPUTED_VALUE"""),287.5)</f>
        <v>287.5</v>
      </c>
      <c r="J2600" s="223" t="str">
        <f>IFERROR(__xludf.DUMMYFUNCTION("""COMPUTED_VALUE"""),"Monthly")</f>
        <v>Monthly</v>
      </c>
      <c r="K2600" s="317">
        <f>IFERROR(__xludf.DUMMYFUNCTION("""COMPUTED_VALUE"""),2023.04)</f>
        <v>2023.04</v>
      </c>
      <c r="L2600" s="298"/>
      <c r="M2600" s="223"/>
      <c r="N2600" s="223"/>
      <c r="O2600" s="223"/>
      <c r="P2600" s="223"/>
      <c r="Q2600" s="223"/>
      <c r="R2600" s="223"/>
      <c r="S2600" s="223"/>
      <c r="T2600" s="223"/>
      <c r="U2600" s="223"/>
      <c r="V2600" s="223"/>
      <c r="W2600" s="223"/>
      <c r="X2600" s="223"/>
      <c r="Y2600" s="223"/>
      <c r="Z2600" s="223"/>
    </row>
    <row r="2601">
      <c r="A2601" s="223" t="str">
        <f>IFERROR(__xludf.DUMMYFUNCTION("""COMPUTED_VALUE"""),"Anook Athletics : Monthly Services")</f>
        <v>Anook Athletics : Monthly Services</v>
      </c>
      <c r="B2601" s="223" t="str">
        <f>IFERROR(__xludf.DUMMYFUNCTION("""COMPUTED_VALUE"""),"Anook Athletics")</f>
        <v>Anook Athletics</v>
      </c>
      <c r="C2601" s="223" t="str">
        <f>IFERROR(__xludf.DUMMYFUNCTION("""COMPUTED_VALUE"""),"Monthly Services")</f>
        <v>Monthly Services</v>
      </c>
      <c r="D2601" s="316">
        <f>IFERROR(__xludf.DUMMYFUNCTION("""COMPUTED_VALUE"""),45046.0)</f>
        <v>45046</v>
      </c>
      <c r="E2601" s="298"/>
      <c r="F2601" s="298"/>
      <c r="G2601" s="298"/>
      <c r="H2601" s="223"/>
      <c r="I2601" s="298">
        <f>IFERROR(__xludf.DUMMYFUNCTION("""COMPUTED_VALUE"""),300.0)</f>
        <v>300</v>
      </c>
      <c r="J2601" s="223" t="str">
        <f>IFERROR(__xludf.DUMMYFUNCTION("""COMPUTED_VALUE"""),"Monthly")</f>
        <v>Monthly</v>
      </c>
      <c r="K2601" s="317">
        <f>IFERROR(__xludf.DUMMYFUNCTION("""COMPUTED_VALUE"""),2023.04)</f>
        <v>2023.04</v>
      </c>
      <c r="L2601" s="298"/>
      <c r="M2601" s="223"/>
      <c r="N2601" s="223"/>
      <c r="O2601" s="223"/>
      <c r="P2601" s="223"/>
      <c r="Q2601" s="223"/>
      <c r="R2601" s="223"/>
      <c r="S2601" s="223"/>
      <c r="T2601" s="223"/>
      <c r="U2601" s="223"/>
      <c r="V2601" s="223"/>
      <c r="W2601" s="223"/>
      <c r="X2601" s="223"/>
      <c r="Y2601" s="223"/>
      <c r="Z2601" s="223"/>
    </row>
    <row r="2602">
      <c r="A2602" s="223" t="str">
        <f>IFERROR(__xludf.DUMMYFUNCTION("""COMPUTED_VALUE"""),"PMDI : Monthly Services")</f>
        <v>PMDI : Monthly Services</v>
      </c>
      <c r="B2602" s="223" t="str">
        <f>IFERROR(__xludf.DUMMYFUNCTION("""COMPUTED_VALUE"""),"PMDI")</f>
        <v>PMDI</v>
      </c>
      <c r="C2602" s="223" t="str">
        <f>IFERROR(__xludf.DUMMYFUNCTION("""COMPUTED_VALUE"""),"Monthly Services")</f>
        <v>Monthly Services</v>
      </c>
      <c r="D2602" s="316">
        <f>IFERROR(__xludf.DUMMYFUNCTION("""COMPUTED_VALUE"""),45046.0)</f>
        <v>45046</v>
      </c>
      <c r="E2602" s="298"/>
      <c r="F2602" s="298"/>
      <c r="G2602" s="298"/>
      <c r="H2602" s="223"/>
      <c r="I2602" s="298">
        <f>IFERROR(__xludf.DUMMYFUNCTION("""COMPUTED_VALUE"""),150.0)</f>
        <v>150</v>
      </c>
      <c r="J2602" s="223" t="str">
        <f>IFERROR(__xludf.DUMMYFUNCTION("""COMPUTED_VALUE"""),"Monthly")</f>
        <v>Monthly</v>
      </c>
      <c r="K2602" s="317">
        <f>IFERROR(__xludf.DUMMYFUNCTION("""COMPUTED_VALUE"""),2023.04)</f>
        <v>2023.04</v>
      </c>
      <c r="L2602" s="298"/>
      <c r="M2602" s="223"/>
      <c r="N2602" s="223"/>
      <c r="O2602" s="223"/>
      <c r="P2602" s="223"/>
      <c r="Q2602" s="223"/>
      <c r="R2602" s="223"/>
      <c r="S2602" s="223"/>
      <c r="T2602" s="223"/>
      <c r="U2602" s="223"/>
      <c r="V2602" s="223"/>
      <c r="W2602" s="223"/>
      <c r="X2602" s="223"/>
      <c r="Y2602" s="223"/>
      <c r="Z2602" s="223"/>
    </row>
    <row r="2603">
      <c r="A2603" s="223" t="str">
        <f>IFERROR(__xludf.DUMMYFUNCTION("""COMPUTED_VALUE"""),"Big Hammer Wines : Monthly PPC")</f>
        <v>Big Hammer Wines : Monthly PPC</v>
      </c>
      <c r="B2603" s="223" t="str">
        <f>IFERROR(__xludf.DUMMYFUNCTION("""COMPUTED_VALUE"""),"Big Hammer Wines")</f>
        <v>Big Hammer Wines</v>
      </c>
      <c r="C2603" s="223" t="str">
        <f>IFERROR(__xludf.DUMMYFUNCTION("""COMPUTED_VALUE"""),"Monthly PPC")</f>
        <v>Monthly PPC</v>
      </c>
      <c r="D2603" s="316">
        <f>IFERROR(__xludf.DUMMYFUNCTION("""COMPUTED_VALUE"""),45046.0)</f>
        <v>45046</v>
      </c>
      <c r="E2603" s="298"/>
      <c r="F2603" s="298"/>
      <c r="G2603" s="298"/>
      <c r="H2603" s="223"/>
      <c r="I2603" s="298">
        <f>IFERROR(__xludf.DUMMYFUNCTION("""COMPUTED_VALUE"""),262.5)</f>
        <v>262.5</v>
      </c>
      <c r="J2603" s="223" t="str">
        <f>IFERROR(__xludf.DUMMYFUNCTION("""COMPUTED_VALUE"""),"Monthly")</f>
        <v>Monthly</v>
      </c>
      <c r="K2603" s="317">
        <f>IFERROR(__xludf.DUMMYFUNCTION("""COMPUTED_VALUE"""),2023.04)</f>
        <v>2023.04</v>
      </c>
      <c r="L2603" s="298"/>
      <c r="M2603" s="223"/>
      <c r="N2603" s="223"/>
      <c r="O2603" s="223"/>
      <c r="P2603" s="223"/>
      <c r="Q2603" s="223"/>
      <c r="R2603" s="223"/>
      <c r="S2603" s="223"/>
      <c r="T2603" s="223"/>
      <c r="U2603" s="223"/>
      <c r="V2603" s="223"/>
      <c r="W2603" s="223"/>
      <c r="X2603" s="223"/>
      <c r="Y2603" s="223"/>
      <c r="Z2603" s="223"/>
    </row>
    <row r="2604">
      <c r="A2604" s="223" t="str">
        <f>IFERROR(__xludf.DUMMYFUNCTION("""COMPUTED_VALUE"""),"MortgagePal : Monthly Services")</f>
        <v>MortgagePal : Monthly Services</v>
      </c>
      <c r="B2604" s="223" t="str">
        <f>IFERROR(__xludf.DUMMYFUNCTION("""COMPUTED_VALUE"""),"MortgagePal")</f>
        <v>MortgagePal</v>
      </c>
      <c r="C2604" s="223" t="str">
        <f>IFERROR(__xludf.DUMMYFUNCTION("""COMPUTED_VALUE"""),"Monthly Services")</f>
        <v>Monthly Services</v>
      </c>
      <c r="D2604" s="316">
        <f>IFERROR(__xludf.DUMMYFUNCTION("""COMPUTED_VALUE"""),45046.0)</f>
        <v>45046</v>
      </c>
      <c r="E2604" s="298"/>
      <c r="F2604" s="298"/>
      <c r="G2604" s="298"/>
      <c r="H2604" s="223"/>
      <c r="I2604" s="298">
        <f>IFERROR(__xludf.DUMMYFUNCTION("""COMPUTED_VALUE"""),212.5)</f>
        <v>212.5</v>
      </c>
      <c r="J2604" s="223" t="str">
        <f>IFERROR(__xludf.DUMMYFUNCTION("""COMPUTED_VALUE"""),"Monthly")</f>
        <v>Monthly</v>
      </c>
      <c r="K2604" s="317">
        <f>IFERROR(__xludf.DUMMYFUNCTION("""COMPUTED_VALUE"""),2023.04)</f>
        <v>2023.04</v>
      </c>
      <c r="L2604" s="298"/>
      <c r="M2604" s="223"/>
      <c r="N2604" s="223"/>
      <c r="O2604" s="223"/>
      <c r="P2604" s="223"/>
      <c r="Q2604" s="223"/>
      <c r="R2604" s="223"/>
      <c r="S2604" s="223"/>
      <c r="T2604" s="223"/>
      <c r="U2604" s="223"/>
      <c r="V2604" s="223"/>
      <c r="W2604" s="223"/>
      <c r="X2604" s="223"/>
      <c r="Y2604" s="223"/>
      <c r="Z2604" s="223"/>
    </row>
    <row r="2605">
      <c r="A2605" s="223" t="str">
        <f>IFERROR(__xludf.DUMMYFUNCTION("""COMPUTED_VALUE"""),"PlusROI : Admin")</f>
        <v>PlusROI : Admin</v>
      </c>
      <c r="B2605" s="223" t="str">
        <f>IFERROR(__xludf.DUMMYFUNCTION("""COMPUTED_VALUE"""),"PlusROI")</f>
        <v>PlusROI</v>
      </c>
      <c r="C2605" s="223" t="str">
        <f>IFERROR(__xludf.DUMMYFUNCTION("""COMPUTED_VALUE"""),"Admin")</f>
        <v>Admin</v>
      </c>
      <c r="D2605" s="316">
        <f>IFERROR(__xludf.DUMMYFUNCTION("""COMPUTED_VALUE"""),45046.0)</f>
        <v>45046</v>
      </c>
      <c r="E2605" s="298"/>
      <c r="F2605" s="298"/>
      <c r="G2605" s="298"/>
      <c r="H2605" s="223"/>
      <c r="I2605" s="298">
        <f>IFERROR(__xludf.DUMMYFUNCTION("""COMPUTED_VALUE"""),2500.0)</f>
        <v>2500</v>
      </c>
      <c r="J2605" s="223" t="str">
        <f>IFERROR(__xludf.DUMMYFUNCTION("""COMPUTED_VALUE"""),"Hourly")</f>
        <v>Hourly</v>
      </c>
      <c r="K2605" s="317">
        <f>IFERROR(__xludf.DUMMYFUNCTION("""COMPUTED_VALUE"""),2023.0)</f>
        <v>2023</v>
      </c>
      <c r="L2605" s="298"/>
      <c r="M2605" s="223"/>
      <c r="N2605" s="223"/>
      <c r="O2605" s="223"/>
      <c r="P2605" s="223"/>
      <c r="Q2605" s="223"/>
      <c r="R2605" s="223"/>
      <c r="S2605" s="223"/>
      <c r="T2605" s="223"/>
      <c r="U2605" s="223"/>
      <c r="V2605" s="223"/>
      <c r="W2605" s="223"/>
      <c r="X2605" s="223"/>
      <c r="Y2605" s="223"/>
      <c r="Z2605" s="223"/>
    </row>
    <row r="2606">
      <c r="A2606" s="223" t="str">
        <f>IFERROR(__xludf.DUMMYFUNCTION("""COMPUTED_VALUE"""),"Tugwell : Bi-monthly PPC Mgmt")</f>
        <v>Tugwell : Bi-monthly PPC Mgmt</v>
      </c>
      <c r="B2606" s="223" t="str">
        <f>IFERROR(__xludf.DUMMYFUNCTION("""COMPUTED_VALUE"""),"Tugwell")</f>
        <v>Tugwell</v>
      </c>
      <c r="C2606" s="223" t="str">
        <f>IFERROR(__xludf.DUMMYFUNCTION("""COMPUTED_VALUE"""),"Bi-monthly PPC Mgmt")</f>
        <v>Bi-monthly PPC Mgmt</v>
      </c>
      <c r="D2606" s="316">
        <f>IFERROR(__xludf.DUMMYFUNCTION("""COMPUTED_VALUE"""),45046.0)</f>
        <v>45046</v>
      </c>
      <c r="E2606" s="298"/>
      <c r="F2606" s="298"/>
      <c r="G2606" s="298"/>
      <c r="H2606" s="223"/>
      <c r="I2606" s="298">
        <f>IFERROR(__xludf.DUMMYFUNCTION("""COMPUTED_VALUE"""),87.5)</f>
        <v>87.5</v>
      </c>
      <c r="J2606" s="223" t="str">
        <f>IFERROR(__xludf.DUMMYFUNCTION("""COMPUTED_VALUE"""),"Bi-Monthly")</f>
        <v>Bi-Monthly</v>
      </c>
      <c r="K2606" s="317">
        <f>IFERROR(__xludf.DUMMYFUNCTION("""COMPUTED_VALUE"""),2023.0)</f>
        <v>2023</v>
      </c>
      <c r="L2606" s="298"/>
      <c r="M2606" s="223"/>
      <c r="N2606" s="223"/>
      <c r="O2606" s="223"/>
      <c r="P2606" s="223"/>
      <c r="Q2606" s="223"/>
      <c r="R2606" s="223"/>
      <c r="S2606" s="223"/>
      <c r="T2606" s="223"/>
      <c r="U2606" s="223"/>
      <c r="V2606" s="223"/>
      <c r="W2606" s="223"/>
      <c r="X2606" s="223"/>
      <c r="Y2606" s="223"/>
      <c r="Z2606" s="223"/>
    </row>
    <row r="2607">
      <c r="A2607" s="223" t="str">
        <f>IFERROR(__xludf.DUMMYFUNCTION("""COMPUTED_VALUE"""),"HSJ Lawyers : Monthly Services")</f>
        <v>HSJ Lawyers : Monthly Services</v>
      </c>
      <c r="B2607" s="223" t="str">
        <f>IFERROR(__xludf.DUMMYFUNCTION("""COMPUTED_VALUE"""),"HSJ Lawyers")</f>
        <v>HSJ Lawyers</v>
      </c>
      <c r="C2607" s="223" t="str">
        <f>IFERROR(__xludf.DUMMYFUNCTION("""COMPUTED_VALUE"""),"Monthly Services")</f>
        <v>Monthly Services</v>
      </c>
      <c r="D2607" s="316">
        <f>IFERROR(__xludf.DUMMYFUNCTION("""COMPUTED_VALUE"""),45046.0)</f>
        <v>45046</v>
      </c>
      <c r="E2607" s="298"/>
      <c r="F2607" s="298"/>
      <c r="G2607" s="298"/>
      <c r="H2607" s="223"/>
      <c r="I2607" s="298">
        <f>IFERROR(__xludf.DUMMYFUNCTION("""COMPUTED_VALUE"""),225.0)</f>
        <v>225</v>
      </c>
      <c r="J2607" s="223" t="str">
        <f>IFERROR(__xludf.DUMMYFUNCTION("""COMPUTED_VALUE"""),"Monthly")</f>
        <v>Monthly</v>
      </c>
      <c r="K2607" s="317">
        <f>IFERROR(__xludf.DUMMYFUNCTION("""COMPUTED_VALUE"""),2023.04)</f>
        <v>2023.04</v>
      </c>
      <c r="L2607" s="298"/>
      <c r="M2607" s="223"/>
      <c r="N2607" s="223"/>
      <c r="O2607" s="223"/>
      <c r="P2607" s="223"/>
      <c r="Q2607" s="223"/>
      <c r="R2607" s="223"/>
      <c r="S2607" s="223"/>
      <c r="T2607" s="223"/>
      <c r="U2607" s="223"/>
      <c r="V2607" s="223"/>
      <c r="W2607" s="223"/>
      <c r="X2607" s="223"/>
      <c r="Y2607" s="223"/>
      <c r="Z2607" s="223"/>
    </row>
    <row r="2608">
      <c r="A2608" s="223" t="str">
        <f>IFERROR(__xludf.DUMMYFUNCTION("""COMPUTED_VALUE"""),"Spraggs : Monthly Services")</f>
        <v>Spraggs : Monthly Services</v>
      </c>
      <c r="B2608" s="223" t="str">
        <f>IFERROR(__xludf.DUMMYFUNCTION("""COMPUTED_VALUE"""),"Spraggs")</f>
        <v>Spraggs</v>
      </c>
      <c r="C2608" s="223" t="str">
        <f>IFERROR(__xludf.DUMMYFUNCTION("""COMPUTED_VALUE"""),"Monthly Services")</f>
        <v>Monthly Services</v>
      </c>
      <c r="D2608" s="316">
        <f>IFERROR(__xludf.DUMMYFUNCTION("""COMPUTED_VALUE"""),45046.0)</f>
        <v>45046</v>
      </c>
      <c r="E2608" s="298"/>
      <c r="F2608" s="298"/>
      <c r="G2608" s="298"/>
      <c r="H2608" s="223"/>
      <c r="I2608" s="298">
        <f>IFERROR(__xludf.DUMMYFUNCTION("""COMPUTED_VALUE"""),300.0)</f>
        <v>300</v>
      </c>
      <c r="J2608" s="223" t="str">
        <f>IFERROR(__xludf.DUMMYFUNCTION("""COMPUTED_VALUE"""),"Monthly")</f>
        <v>Monthly</v>
      </c>
      <c r="K2608" s="317">
        <f>IFERROR(__xludf.DUMMYFUNCTION("""COMPUTED_VALUE"""),2023.04)</f>
        <v>2023.04</v>
      </c>
      <c r="L2608" s="298"/>
      <c r="M2608" s="223"/>
      <c r="N2608" s="223"/>
      <c r="O2608" s="223"/>
      <c r="P2608" s="223"/>
      <c r="Q2608" s="223"/>
      <c r="R2608" s="223"/>
      <c r="S2608" s="223"/>
      <c r="T2608" s="223"/>
      <c r="U2608" s="223"/>
      <c r="V2608" s="223"/>
      <c r="W2608" s="223"/>
      <c r="X2608" s="223"/>
      <c r="Y2608" s="223"/>
      <c r="Z2608" s="223"/>
    </row>
    <row r="2609">
      <c r="A2609" s="223" t="str">
        <f>IFERROR(__xludf.DUMMYFUNCTION("""COMPUTED_VALUE"""),"Crisp Media : Monthly Genus Google PPC Mgmt")</f>
        <v>Crisp Media : Monthly Genus Google PPC Mgmt</v>
      </c>
      <c r="B2609" s="223" t="str">
        <f>IFERROR(__xludf.DUMMYFUNCTION("""COMPUTED_VALUE"""),"Crisp Media")</f>
        <v>Crisp Media</v>
      </c>
      <c r="C2609" s="223" t="str">
        <f>IFERROR(__xludf.DUMMYFUNCTION("""COMPUTED_VALUE"""),"Monthly Genus Google PPC Mgmt")</f>
        <v>Monthly Genus Google PPC Mgmt</v>
      </c>
      <c r="D2609" s="316">
        <f>IFERROR(__xludf.DUMMYFUNCTION("""COMPUTED_VALUE"""),45046.0)</f>
        <v>45046</v>
      </c>
      <c r="E2609" s="298"/>
      <c r="F2609" s="298"/>
      <c r="G2609" s="298"/>
      <c r="H2609" s="223"/>
      <c r="I2609" s="298">
        <f>IFERROR(__xludf.DUMMYFUNCTION("""COMPUTED_VALUE"""),175.0)</f>
        <v>175</v>
      </c>
      <c r="J2609" s="223" t="str">
        <f>IFERROR(__xludf.DUMMYFUNCTION("""COMPUTED_VALUE"""),"Monthly")</f>
        <v>Monthly</v>
      </c>
      <c r="K2609" s="317">
        <f>IFERROR(__xludf.DUMMYFUNCTION("""COMPUTED_VALUE"""),2023.04)</f>
        <v>2023.04</v>
      </c>
      <c r="L2609" s="298"/>
      <c r="M2609" s="223"/>
      <c r="N2609" s="223"/>
      <c r="O2609" s="223"/>
      <c r="P2609" s="223"/>
      <c r="Q2609" s="223"/>
      <c r="R2609" s="223"/>
      <c r="S2609" s="223"/>
      <c r="T2609" s="223"/>
      <c r="U2609" s="223"/>
      <c r="V2609" s="223"/>
      <c r="W2609" s="223"/>
      <c r="X2609" s="223"/>
      <c r="Y2609" s="223"/>
      <c r="Z2609" s="223"/>
    </row>
    <row r="2610">
      <c r="A2610" s="223" t="str">
        <f>IFERROR(__xludf.DUMMYFUNCTION("""COMPUTED_VALUE"""),"Terra Insights : Monthly PPC")</f>
        <v>Terra Insights : Monthly PPC</v>
      </c>
      <c r="B2610" s="223" t="str">
        <f>IFERROR(__xludf.DUMMYFUNCTION("""COMPUTED_VALUE"""),"Terra Insights")</f>
        <v>Terra Insights</v>
      </c>
      <c r="C2610" s="223" t="str">
        <f>IFERROR(__xludf.DUMMYFUNCTION("""COMPUTED_VALUE"""),"Monthly PPC")</f>
        <v>Monthly PPC</v>
      </c>
      <c r="D2610" s="316">
        <f>IFERROR(__xludf.DUMMYFUNCTION("""COMPUTED_VALUE"""),45046.0)</f>
        <v>45046</v>
      </c>
      <c r="E2610" s="298"/>
      <c r="F2610" s="298"/>
      <c r="G2610" s="298"/>
      <c r="H2610" s="223"/>
      <c r="I2610" s="298">
        <f>IFERROR(__xludf.DUMMYFUNCTION("""COMPUTED_VALUE"""),400.0)</f>
        <v>400</v>
      </c>
      <c r="J2610" s="223" t="str">
        <f>IFERROR(__xludf.DUMMYFUNCTION("""COMPUTED_VALUE"""),"Monthly")</f>
        <v>Monthly</v>
      </c>
      <c r="K2610" s="317">
        <f>IFERROR(__xludf.DUMMYFUNCTION("""COMPUTED_VALUE"""),2023.04)</f>
        <v>2023.04</v>
      </c>
      <c r="L2610" s="298"/>
      <c r="M2610" s="223"/>
      <c r="N2610" s="223"/>
      <c r="O2610" s="223"/>
      <c r="P2610" s="223"/>
      <c r="Q2610" s="223"/>
      <c r="R2610" s="223"/>
      <c r="S2610" s="223"/>
      <c r="T2610" s="223"/>
      <c r="U2610" s="223"/>
      <c r="V2610" s="223"/>
      <c r="W2610" s="223"/>
      <c r="X2610" s="223"/>
      <c r="Y2610" s="223"/>
      <c r="Z2610" s="223"/>
    </row>
    <row r="2611">
      <c r="A2611" s="223" t="str">
        <f>IFERROR(__xludf.DUMMYFUNCTION("""COMPUTED_VALUE"""),"PlusROI : Marketing")</f>
        <v>PlusROI : Marketing</v>
      </c>
      <c r="B2611" s="223" t="str">
        <f>IFERROR(__xludf.DUMMYFUNCTION("""COMPUTED_VALUE"""),"PlusROI")</f>
        <v>PlusROI</v>
      </c>
      <c r="C2611" s="223" t="str">
        <f>IFERROR(__xludf.DUMMYFUNCTION("""COMPUTED_VALUE"""),"Marketing")</f>
        <v>Marketing</v>
      </c>
      <c r="D2611" s="316">
        <f>IFERROR(__xludf.DUMMYFUNCTION("""COMPUTED_VALUE"""),45046.0)</f>
        <v>45046</v>
      </c>
      <c r="E2611" s="298"/>
      <c r="F2611" s="298"/>
      <c r="G2611" s="298"/>
      <c r="H2611" s="223"/>
      <c r="I2611" s="298">
        <f>IFERROR(__xludf.DUMMYFUNCTION("""COMPUTED_VALUE"""),132.8)</f>
        <v>132.8</v>
      </c>
      <c r="J2611" s="223" t="str">
        <f>IFERROR(__xludf.DUMMYFUNCTION("""COMPUTED_VALUE"""),"Hourly")</f>
        <v>Hourly</v>
      </c>
      <c r="K2611" s="317">
        <f>IFERROR(__xludf.DUMMYFUNCTION("""COMPUTED_VALUE"""),2023.0)</f>
        <v>2023</v>
      </c>
      <c r="L2611" s="298"/>
      <c r="M2611" s="223"/>
      <c r="N2611" s="223"/>
      <c r="O2611" s="223"/>
      <c r="P2611" s="223"/>
      <c r="Q2611" s="223"/>
      <c r="R2611" s="223"/>
      <c r="S2611" s="223"/>
      <c r="T2611" s="223"/>
      <c r="U2611" s="223"/>
      <c r="V2611" s="223"/>
      <c r="W2611" s="223"/>
      <c r="X2611" s="223"/>
      <c r="Y2611" s="223"/>
      <c r="Z2611" s="223"/>
    </row>
    <row r="2612">
      <c r="A2612" s="223" t="str">
        <f>IFERROR(__xludf.DUMMYFUNCTION("""COMPUTED_VALUE"""),"Booginhead : Monthly Services")</f>
        <v>Booginhead : Monthly Services</v>
      </c>
      <c r="B2612" s="223" t="str">
        <f>IFERROR(__xludf.DUMMYFUNCTION("""COMPUTED_VALUE"""),"Booginhead")</f>
        <v>Booginhead</v>
      </c>
      <c r="C2612" s="223" t="str">
        <f>IFERROR(__xludf.DUMMYFUNCTION("""COMPUTED_VALUE"""),"Monthly Services")</f>
        <v>Monthly Services</v>
      </c>
      <c r="D2612" s="316">
        <f>IFERROR(__xludf.DUMMYFUNCTION("""COMPUTED_VALUE"""),45046.0)</f>
        <v>45046</v>
      </c>
      <c r="E2612" s="298"/>
      <c r="F2612" s="298"/>
      <c r="G2612" s="298"/>
      <c r="H2612" s="223"/>
      <c r="I2612" s="298">
        <f>IFERROR(__xludf.DUMMYFUNCTION("""COMPUTED_VALUE"""),400.0)</f>
        <v>400</v>
      </c>
      <c r="J2612" s="223" t="str">
        <f>IFERROR(__xludf.DUMMYFUNCTION("""COMPUTED_VALUE"""),"Monthly")</f>
        <v>Monthly</v>
      </c>
      <c r="K2612" s="317">
        <f>IFERROR(__xludf.DUMMYFUNCTION("""COMPUTED_VALUE"""),2023.04)</f>
        <v>2023.04</v>
      </c>
      <c r="L2612" s="298"/>
      <c r="M2612" s="223"/>
      <c r="N2612" s="223"/>
      <c r="O2612" s="223"/>
      <c r="P2612" s="223"/>
      <c r="Q2612" s="223"/>
      <c r="R2612" s="223"/>
      <c r="S2612" s="223"/>
      <c r="T2612" s="223"/>
      <c r="U2612" s="223"/>
      <c r="V2612" s="223"/>
      <c r="W2612" s="223"/>
      <c r="X2612" s="223"/>
      <c r="Y2612" s="223"/>
      <c r="Z2612" s="223"/>
    </row>
    <row r="2613">
      <c r="A2613" s="223" t="str">
        <f>IFERROR(__xludf.DUMMYFUNCTION("""COMPUTED_VALUE"""),"Hastings House : Monthly Services")</f>
        <v>Hastings House : Monthly Services</v>
      </c>
      <c r="B2613" s="223" t="str">
        <f>IFERROR(__xludf.DUMMYFUNCTION("""COMPUTED_VALUE"""),"Hastings House")</f>
        <v>Hastings House</v>
      </c>
      <c r="C2613" s="223" t="str">
        <f>IFERROR(__xludf.DUMMYFUNCTION("""COMPUTED_VALUE"""),"Monthly Services")</f>
        <v>Monthly Services</v>
      </c>
      <c r="D2613" s="316">
        <f>IFERROR(__xludf.DUMMYFUNCTION("""COMPUTED_VALUE"""),45046.0)</f>
        <v>45046</v>
      </c>
      <c r="E2613" s="298"/>
      <c r="F2613" s="298"/>
      <c r="G2613" s="298"/>
      <c r="H2613" s="223"/>
      <c r="I2613" s="298">
        <f>IFERROR(__xludf.DUMMYFUNCTION("""COMPUTED_VALUE"""),287.5)</f>
        <v>287.5</v>
      </c>
      <c r="J2613" s="223" t="str">
        <f>IFERROR(__xludf.DUMMYFUNCTION("""COMPUTED_VALUE"""),"Monthly")</f>
        <v>Monthly</v>
      </c>
      <c r="K2613" s="317">
        <f>IFERROR(__xludf.DUMMYFUNCTION("""COMPUTED_VALUE"""),2023.04)</f>
        <v>2023.04</v>
      </c>
      <c r="L2613" s="298"/>
      <c r="M2613" s="223"/>
      <c r="N2613" s="223"/>
      <c r="O2613" s="223"/>
      <c r="P2613" s="223"/>
      <c r="Q2613" s="223"/>
      <c r="R2613" s="223"/>
      <c r="S2613" s="223"/>
      <c r="T2613" s="223"/>
      <c r="U2613" s="223"/>
      <c r="V2613" s="223"/>
      <c r="W2613" s="223"/>
      <c r="X2613" s="223"/>
      <c r="Y2613" s="223"/>
      <c r="Z2613" s="223"/>
    </row>
    <row r="2614">
      <c r="A2614" s="223" t="str">
        <f>IFERROR(__xludf.DUMMYFUNCTION("""COMPUTED_VALUE"""),"Howard Fine Jewellers : Ongoing PPC and SEO Support")</f>
        <v>Howard Fine Jewellers : Ongoing PPC and SEO Support</v>
      </c>
      <c r="B2614" s="223" t="str">
        <f>IFERROR(__xludf.DUMMYFUNCTION("""COMPUTED_VALUE"""),"Howard Fine Jewellers")</f>
        <v>Howard Fine Jewellers</v>
      </c>
      <c r="C2614" s="223" t="str">
        <f>IFERROR(__xludf.DUMMYFUNCTION("""COMPUTED_VALUE"""),"Ongoing PPC and SEO Support")</f>
        <v>Ongoing PPC and SEO Support</v>
      </c>
      <c r="D2614" s="316">
        <f>IFERROR(__xludf.DUMMYFUNCTION("""COMPUTED_VALUE"""),45046.0)</f>
        <v>45046</v>
      </c>
      <c r="E2614" s="298"/>
      <c r="F2614" s="298"/>
      <c r="G2614" s="298"/>
      <c r="H2614" s="223"/>
      <c r="I2614" s="298">
        <f>IFERROR(__xludf.DUMMYFUNCTION("""COMPUTED_VALUE"""),200.0)</f>
        <v>200</v>
      </c>
      <c r="J2614" s="223" t="str">
        <f>IFERROR(__xludf.DUMMYFUNCTION("""COMPUTED_VALUE"""),"Monthly")</f>
        <v>Monthly</v>
      </c>
      <c r="K2614" s="317">
        <f>IFERROR(__xludf.DUMMYFUNCTION("""COMPUTED_VALUE"""),2023.04)</f>
        <v>2023.04</v>
      </c>
      <c r="L2614" s="298"/>
      <c r="M2614" s="223"/>
      <c r="N2614" s="223"/>
      <c r="O2614" s="223"/>
      <c r="P2614" s="223"/>
      <c r="Q2614" s="223"/>
      <c r="R2614" s="223"/>
      <c r="S2614" s="223"/>
      <c r="T2614" s="223"/>
      <c r="U2614" s="223"/>
      <c r="V2614" s="223"/>
      <c r="W2614" s="223"/>
      <c r="X2614" s="223"/>
      <c r="Y2614" s="223"/>
      <c r="Z2614" s="223"/>
    </row>
    <row r="2615">
      <c r="A2615" s="223" t="str">
        <f>IFERROR(__xludf.DUMMYFUNCTION("""COMPUTED_VALUE"""),"Luxe Bridal LLC : Monthly PPC")</f>
        <v>Luxe Bridal LLC : Monthly PPC</v>
      </c>
      <c r="B2615" s="223" t="str">
        <f>IFERROR(__xludf.DUMMYFUNCTION("""COMPUTED_VALUE"""),"Luxe Bridal LLC")</f>
        <v>Luxe Bridal LLC</v>
      </c>
      <c r="C2615" s="223" t="str">
        <f>IFERROR(__xludf.DUMMYFUNCTION("""COMPUTED_VALUE"""),"Monthly PPC")</f>
        <v>Monthly PPC</v>
      </c>
      <c r="D2615" s="316">
        <f>IFERROR(__xludf.DUMMYFUNCTION("""COMPUTED_VALUE"""),45046.0)</f>
        <v>45046</v>
      </c>
      <c r="E2615" s="298"/>
      <c r="F2615" s="298"/>
      <c r="G2615" s="298"/>
      <c r="H2615" s="223"/>
      <c r="I2615" s="298">
        <f>IFERROR(__xludf.DUMMYFUNCTION("""COMPUTED_VALUE"""),887.5)</f>
        <v>887.5</v>
      </c>
      <c r="J2615" s="223" t="str">
        <f>IFERROR(__xludf.DUMMYFUNCTION("""COMPUTED_VALUE"""),"Monthly")</f>
        <v>Monthly</v>
      </c>
      <c r="K2615" s="317">
        <f>IFERROR(__xludf.DUMMYFUNCTION("""COMPUTED_VALUE"""),2023.04)</f>
        <v>2023.04</v>
      </c>
      <c r="L2615" s="298"/>
      <c r="M2615" s="223"/>
      <c r="N2615" s="223"/>
      <c r="O2615" s="223"/>
      <c r="P2615" s="223"/>
      <c r="Q2615" s="223"/>
      <c r="R2615" s="223"/>
      <c r="S2615" s="223"/>
      <c r="T2615" s="223"/>
      <c r="U2615" s="223"/>
      <c r="V2615" s="223"/>
      <c r="W2615" s="223"/>
      <c r="X2615" s="223"/>
      <c r="Y2615" s="223"/>
      <c r="Z2615" s="223"/>
    </row>
    <row r="2616">
      <c r="A2616" s="223" t="str">
        <f>IFERROR(__xludf.DUMMYFUNCTION("""COMPUTED_VALUE"""),"GreenLane Offroad : PPC, SEO &amp; Analytics Work")</f>
        <v>GreenLane Offroad : PPC, SEO &amp; Analytics Work</v>
      </c>
      <c r="B2616" s="223" t="str">
        <f>IFERROR(__xludf.DUMMYFUNCTION("""COMPUTED_VALUE"""),"GreenLane Offroad")</f>
        <v>GreenLane Offroad</v>
      </c>
      <c r="C2616" s="223" t="str">
        <f>IFERROR(__xludf.DUMMYFUNCTION("""COMPUTED_VALUE"""),"PPC, SEO &amp; Analytics Work")</f>
        <v>PPC, SEO &amp; Analytics Work</v>
      </c>
      <c r="D2616" s="316">
        <f>IFERROR(__xludf.DUMMYFUNCTION("""COMPUTED_VALUE"""),45046.0)</f>
        <v>45046</v>
      </c>
      <c r="E2616" s="298"/>
      <c r="F2616" s="298"/>
      <c r="G2616" s="298"/>
      <c r="H2616" s="223"/>
      <c r="I2616" s="298">
        <f>IFERROR(__xludf.DUMMYFUNCTION("""COMPUTED_VALUE"""),400.0)</f>
        <v>400</v>
      </c>
      <c r="J2616" s="223" t="str">
        <f>IFERROR(__xludf.DUMMYFUNCTION("""COMPUTED_VALUE"""),"Monthly")</f>
        <v>Monthly</v>
      </c>
      <c r="K2616" s="317">
        <f>IFERROR(__xludf.DUMMYFUNCTION("""COMPUTED_VALUE"""),2023.04)</f>
        <v>2023.04</v>
      </c>
      <c r="L2616" s="298"/>
      <c r="M2616" s="223"/>
      <c r="N2616" s="223"/>
      <c r="O2616" s="223"/>
      <c r="P2616" s="223"/>
      <c r="Q2616" s="223"/>
      <c r="R2616" s="223"/>
      <c r="S2616" s="223"/>
      <c r="T2616" s="223"/>
      <c r="U2616" s="223"/>
      <c r="V2616" s="223"/>
      <c r="W2616" s="223"/>
      <c r="X2616" s="223"/>
      <c r="Y2616" s="223"/>
      <c r="Z2616" s="223"/>
    </row>
    <row r="2617">
      <c r="A2617" s="223" t="str">
        <f>IFERROR(__xludf.DUMMYFUNCTION("""COMPUTED_VALUE"""),"Moloco : Monthly PPC")</f>
        <v>Moloco : Monthly PPC</v>
      </c>
      <c r="B2617" s="223" t="str">
        <f>IFERROR(__xludf.DUMMYFUNCTION("""COMPUTED_VALUE"""),"Moloco")</f>
        <v>Moloco</v>
      </c>
      <c r="C2617" s="223" t="str">
        <f>IFERROR(__xludf.DUMMYFUNCTION("""COMPUTED_VALUE"""),"Monthly PPC")</f>
        <v>Monthly PPC</v>
      </c>
      <c r="D2617" s="316">
        <f>IFERROR(__xludf.DUMMYFUNCTION("""COMPUTED_VALUE"""),45046.0)</f>
        <v>45046</v>
      </c>
      <c r="E2617" s="298"/>
      <c r="F2617" s="298"/>
      <c r="G2617" s="298"/>
      <c r="H2617" s="223"/>
      <c r="I2617" s="298">
        <f>IFERROR(__xludf.DUMMYFUNCTION("""COMPUTED_VALUE"""),150.0)</f>
        <v>150</v>
      </c>
      <c r="J2617" s="223" t="str">
        <f>IFERROR(__xludf.DUMMYFUNCTION("""COMPUTED_VALUE"""),"Monthly")</f>
        <v>Monthly</v>
      </c>
      <c r="K2617" s="317">
        <f>IFERROR(__xludf.DUMMYFUNCTION("""COMPUTED_VALUE"""),2023.04)</f>
        <v>2023.04</v>
      </c>
      <c r="L2617" s="298"/>
      <c r="M2617" s="223"/>
      <c r="N2617" s="223"/>
      <c r="O2617" s="223"/>
      <c r="P2617" s="223"/>
      <c r="Q2617" s="223"/>
      <c r="R2617" s="223"/>
      <c r="S2617" s="223"/>
      <c r="T2617" s="223"/>
      <c r="U2617" s="223"/>
      <c r="V2617" s="223"/>
      <c r="W2617" s="223"/>
      <c r="X2617" s="223"/>
      <c r="Y2617" s="223"/>
      <c r="Z2617" s="223"/>
    </row>
    <row r="2618">
      <c r="A2618" s="223" t="str">
        <f>IFERROR(__xludf.DUMMYFUNCTION("""COMPUTED_VALUE"""),"Ultimate Tools : Monthly SEO &amp; PPC Management")</f>
        <v>Ultimate Tools : Monthly SEO &amp; PPC Management</v>
      </c>
      <c r="B2618" s="223" t="str">
        <f>IFERROR(__xludf.DUMMYFUNCTION("""COMPUTED_VALUE"""),"Ultimate Tools")</f>
        <v>Ultimate Tools</v>
      </c>
      <c r="C2618" s="223" t="str">
        <f>IFERROR(__xludf.DUMMYFUNCTION("""COMPUTED_VALUE"""),"Monthly SEO &amp; PPC Management")</f>
        <v>Monthly SEO &amp; PPC Management</v>
      </c>
      <c r="D2618" s="316">
        <f>IFERROR(__xludf.DUMMYFUNCTION("""COMPUTED_VALUE"""),45046.0)</f>
        <v>45046</v>
      </c>
      <c r="E2618" s="298"/>
      <c r="F2618" s="298"/>
      <c r="G2618" s="298"/>
      <c r="H2618" s="223"/>
      <c r="I2618" s="298">
        <f>IFERROR(__xludf.DUMMYFUNCTION("""COMPUTED_VALUE"""),550.0)</f>
        <v>550</v>
      </c>
      <c r="J2618" s="223" t="str">
        <f>IFERROR(__xludf.DUMMYFUNCTION("""COMPUTED_VALUE"""),"Monthly")</f>
        <v>Monthly</v>
      </c>
      <c r="K2618" s="317">
        <f>IFERROR(__xludf.DUMMYFUNCTION("""COMPUTED_VALUE"""),2023.04)</f>
        <v>2023.04</v>
      </c>
      <c r="L2618" s="298"/>
      <c r="M2618" s="223"/>
      <c r="N2618" s="223"/>
      <c r="O2618" s="223"/>
      <c r="P2618" s="223"/>
      <c r="Q2618" s="223"/>
      <c r="R2618" s="223"/>
      <c r="S2618" s="223"/>
      <c r="T2618" s="223"/>
      <c r="U2618" s="223"/>
      <c r="V2618" s="223"/>
      <c r="W2618" s="223"/>
      <c r="X2618" s="223"/>
      <c r="Y2618" s="223"/>
      <c r="Z2618" s="223"/>
    </row>
    <row r="2619">
      <c r="A2619" s="223" t="str">
        <f>IFERROR(__xludf.DUMMYFUNCTION("""COMPUTED_VALUE"""),"Hastings House : Monthly Services")</f>
        <v>Hastings House : Monthly Services</v>
      </c>
      <c r="B2619" s="223" t="str">
        <f>IFERROR(__xludf.DUMMYFUNCTION("""COMPUTED_VALUE"""),"Hastings House")</f>
        <v>Hastings House</v>
      </c>
      <c r="C2619" s="223" t="str">
        <f>IFERROR(__xludf.DUMMYFUNCTION("""COMPUTED_VALUE"""),"Monthly Services")</f>
        <v>Monthly Services</v>
      </c>
      <c r="D2619" s="316">
        <f>IFERROR(__xludf.DUMMYFUNCTION("""COMPUTED_VALUE"""),45046.0)</f>
        <v>45046</v>
      </c>
      <c r="E2619" s="298"/>
      <c r="F2619" s="298"/>
      <c r="G2619" s="298"/>
      <c r="H2619" s="223"/>
      <c r="I2619" s="298">
        <f>IFERROR(__xludf.DUMMYFUNCTION("""COMPUTED_VALUE"""),350.0)</f>
        <v>350</v>
      </c>
      <c r="J2619" s="223" t="str">
        <f>IFERROR(__xludf.DUMMYFUNCTION("""COMPUTED_VALUE"""),"Monthly")</f>
        <v>Monthly</v>
      </c>
      <c r="K2619" s="317">
        <f>IFERROR(__xludf.DUMMYFUNCTION("""COMPUTED_VALUE"""),2023.04)</f>
        <v>2023.04</v>
      </c>
      <c r="L2619" s="298"/>
      <c r="M2619" s="223"/>
      <c r="N2619" s="223"/>
      <c r="O2619" s="223"/>
      <c r="P2619" s="223"/>
      <c r="Q2619" s="223"/>
      <c r="R2619" s="223"/>
      <c r="S2619" s="223"/>
      <c r="T2619" s="223"/>
      <c r="U2619" s="223"/>
      <c r="V2619" s="223"/>
      <c r="W2619" s="223"/>
      <c r="X2619" s="223"/>
      <c r="Y2619" s="223"/>
      <c r="Z2619" s="223"/>
    </row>
    <row r="2620">
      <c r="A2620" s="223" t="str">
        <f>IFERROR(__xludf.DUMMYFUNCTION("""COMPUTED_VALUE"""),"Tuscany : Monthly Services")</f>
        <v>Tuscany : Monthly Services</v>
      </c>
      <c r="B2620" s="223" t="str">
        <f>IFERROR(__xludf.DUMMYFUNCTION("""COMPUTED_VALUE"""),"Tuscany")</f>
        <v>Tuscany</v>
      </c>
      <c r="C2620" s="223" t="str">
        <f>IFERROR(__xludf.DUMMYFUNCTION("""COMPUTED_VALUE"""),"Monthly Services")</f>
        <v>Monthly Services</v>
      </c>
      <c r="D2620" s="316">
        <f>IFERROR(__xludf.DUMMYFUNCTION("""COMPUTED_VALUE"""),45046.0)</f>
        <v>45046</v>
      </c>
      <c r="E2620" s="298"/>
      <c r="F2620" s="298"/>
      <c r="G2620" s="298"/>
      <c r="H2620" s="223"/>
      <c r="I2620" s="298">
        <f>IFERROR(__xludf.DUMMYFUNCTION("""COMPUTED_VALUE"""),662.5)</f>
        <v>662.5</v>
      </c>
      <c r="J2620" s="223" t="str">
        <f>IFERROR(__xludf.DUMMYFUNCTION("""COMPUTED_VALUE"""),"Monthly")</f>
        <v>Monthly</v>
      </c>
      <c r="K2620" s="317">
        <f>IFERROR(__xludf.DUMMYFUNCTION("""COMPUTED_VALUE"""),2023.04)</f>
        <v>2023.04</v>
      </c>
      <c r="L2620" s="298"/>
      <c r="M2620" s="223"/>
      <c r="N2620" s="223"/>
      <c r="O2620" s="223"/>
      <c r="P2620" s="223"/>
      <c r="Q2620" s="223"/>
      <c r="R2620" s="223"/>
      <c r="S2620" s="223"/>
      <c r="T2620" s="223"/>
      <c r="U2620" s="223"/>
      <c r="V2620" s="223"/>
      <c r="W2620" s="223"/>
      <c r="X2620" s="223"/>
      <c r="Y2620" s="223"/>
      <c r="Z2620" s="223"/>
    </row>
    <row r="2621">
      <c r="A2621" s="223" t="str">
        <f>IFERROR(__xludf.DUMMYFUNCTION("""COMPUTED_VALUE"""),"Venetian : Monthly Services")</f>
        <v>Venetian : Monthly Services</v>
      </c>
      <c r="B2621" s="223" t="str">
        <f>IFERROR(__xludf.DUMMYFUNCTION("""COMPUTED_VALUE"""),"Venetian")</f>
        <v>Venetian</v>
      </c>
      <c r="C2621" s="223" t="str">
        <f>IFERROR(__xludf.DUMMYFUNCTION("""COMPUTED_VALUE"""),"Monthly Services")</f>
        <v>Monthly Services</v>
      </c>
      <c r="D2621" s="316">
        <f>IFERROR(__xludf.DUMMYFUNCTION("""COMPUTED_VALUE"""),45046.0)</f>
        <v>45046</v>
      </c>
      <c r="E2621" s="298"/>
      <c r="F2621" s="298"/>
      <c r="G2621" s="298"/>
      <c r="H2621" s="223"/>
      <c r="I2621" s="298">
        <f>IFERROR(__xludf.DUMMYFUNCTION("""COMPUTED_VALUE"""),662.5)</f>
        <v>662.5</v>
      </c>
      <c r="J2621" s="223" t="str">
        <f>IFERROR(__xludf.DUMMYFUNCTION("""COMPUTED_VALUE"""),"Monthly")</f>
        <v>Monthly</v>
      </c>
      <c r="K2621" s="317">
        <f>IFERROR(__xludf.DUMMYFUNCTION("""COMPUTED_VALUE"""),2023.04)</f>
        <v>2023.04</v>
      </c>
      <c r="L2621" s="298"/>
      <c r="M2621" s="223"/>
      <c r="N2621" s="223"/>
      <c r="O2621" s="223"/>
      <c r="P2621" s="223"/>
      <c r="Q2621" s="223"/>
      <c r="R2621" s="223"/>
      <c r="S2621" s="223"/>
      <c r="T2621" s="223"/>
      <c r="U2621" s="223"/>
      <c r="V2621" s="223"/>
      <c r="W2621" s="223"/>
      <c r="X2621" s="223"/>
      <c r="Y2621" s="223"/>
      <c r="Z2621" s="223"/>
    </row>
    <row r="2622">
      <c r="A2622" s="223" t="str">
        <f>IFERROR(__xludf.DUMMYFUNCTION("""COMPUTED_VALUE"""),"Spraggs : Monthly Services")</f>
        <v>Spraggs : Monthly Services</v>
      </c>
      <c r="B2622" s="223" t="str">
        <f>IFERROR(__xludf.DUMMYFUNCTION("""COMPUTED_VALUE"""),"Spraggs")</f>
        <v>Spraggs</v>
      </c>
      <c r="C2622" s="223" t="str">
        <f>IFERROR(__xludf.DUMMYFUNCTION("""COMPUTED_VALUE"""),"Monthly Services")</f>
        <v>Monthly Services</v>
      </c>
      <c r="D2622" s="316">
        <f>IFERROR(__xludf.DUMMYFUNCTION("""COMPUTED_VALUE"""),45046.0)</f>
        <v>45046</v>
      </c>
      <c r="E2622" s="298"/>
      <c r="F2622" s="298"/>
      <c r="G2622" s="298"/>
      <c r="H2622" s="223"/>
      <c r="I2622" s="298">
        <f>IFERROR(__xludf.DUMMYFUNCTION("""COMPUTED_VALUE"""),562.5)</f>
        <v>562.5</v>
      </c>
      <c r="J2622" s="223" t="str">
        <f>IFERROR(__xludf.DUMMYFUNCTION("""COMPUTED_VALUE"""),"Monthly")</f>
        <v>Monthly</v>
      </c>
      <c r="K2622" s="317">
        <f>IFERROR(__xludf.DUMMYFUNCTION("""COMPUTED_VALUE"""),2023.04)</f>
        <v>2023.04</v>
      </c>
      <c r="L2622" s="298"/>
      <c r="M2622" s="223"/>
      <c r="N2622" s="223"/>
      <c r="O2622" s="223"/>
      <c r="P2622" s="223"/>
      <c r="Q2622" s="223"/>
      <c r="R2622" s="223"/>
      <c r="S2622" s="223"/>
      <c r="T2622" s="223"/>
      <c r="U2622" s="223"/>
      <c r="V2622" s="223"/>
      <c r="W2622" s="223"/>
      <c r="X2622" s="223"/>
      <c r="Y2622" s="223"/>
      <c r="Z2622" s="223"/>
    </row>
    <row r="2623">
      <c r="A2623" s="223" t="str">
        <f>IFERROR(__xludf.DUMMYFUNCTION("""COMPUTED_VALUE"""),"TisBest : Monthly Services")</f>
        <v>TisBest : Monthly Services</v>
      </c>
      <c r="B2623" s="223" t="str">
        <f>IFERROR(__xludf.DUMMYFUNCTION("""COMPUTED_VALUE"""),"TisBest")</f>
        <v>TisBest</v>
      </c>
      <c r="C2623" s="223" t="str">
        <f>IFERROR(__xludf.DUMMYFUNCTION("""COMPUTED_VALUE"""),"Monthly Services")</f>
        <v>Monthly Services</v>
      </c>
      <c r="D2623" s="316">
        <f>IFERROR(__xludf.DUMMYFUNCTION("""COMPUTED_VALUE"""),45046.0)</f>
        <v>45046</v>
      </c>
      <c r="E2623" s="298"/>
      <c r="F2623" s="298"/>
      <c r="G2623" s="298"/>
      <c r="H2623" s="223"/>
      <c r="I2623" s="298">
        <f>IFERROR(__xludf.DUMMYFUNCTION("""COMPUTED_VALUE"""),737.5)</f>
        <v>737.5</v>
      </c>
      <c r="J2623" s="223" t="str">
        <f>IFERROR(__xludf.DUMMYFUNCTION("""COMPUTED_VALUE"""),"Monthly")</f>
        <v>Monthly</v>
      </c>
      <c r="K2623" s="317">
        <f>IFERROR(__xludf.DUMMYFUNCTION("""COMPUTED_VALUE"""),2023.04)</f>
        <v>2023.04</v>
      </c>
      <c r="L2623" s="298"/>
      <c r="M2623" s="223"/>
      <c r="N2623" s="223"/>
      <c r="O2623" s="223"/>
      <c r="P2623" s="223"/>
      <c r="Q2623" s="223"/>
      <c r="R2623" s="223"/>
      <c r="S2623" s="223"/>
      <c r="T2623" s="223"/>
      <c r="U2623" s="223"/>
      <c r="V2623" s="223"/>
      <c r="W2623" s="223"/>
      <c r="X2623" s="223"/>
      <c r="Y2623" s="223"/>
      <c r="Z2623" s="223"/>
    </row>
    <row r="2624">
      <c r="A2624" s="223" t="str">
        <f>IFERROR(__xludf.DUMMYFUNCTION("""COMPUTED_VALUE"""),"Tofino Resort + Marina : Monthly Services")</f>
        <v>Tofino Resort + Marina : Monthly Services</v>
      </c>
      <c r="B2624" s="223" t="str">
        <f>IFERROR(__xludf.DUMMYFUNCTION("""COMPUTED_VALUE"""),"Tofino Resort + Marina")</f>
        <v>Tofino Resort + Marina</v>
      </c>
      <c r="C2624" s="223" t="str">
        <f>IFERROR(__xludf.DUMMYFUNCTION("""COMPUTED_VALUE"""),"Monthly Services")</f>
        <v>Monthly Services</v>
      </c>
      <c r="D2624" s="316">
        <f>IFERROR(__xludf.DUMMYFUNCTION("""COMPUTED_VALUE"""),45046.0)</f>
        <v>45046</v>
      </c>
      <c r="E2624" s="298"/>
      <c r="F2624" s="298"/>
      <c r="G2624" s="298"/>
      <c r="H2624" s="223"/>
      <c r="I2624" s="298">
        <f>IFERROR(__xludf.DUMMYFUNCTION("""COMPUTED_VALUE"""),450.0)</f>
        <v>450</v>
      </c>
      <c r="J2624" s="223" t="str">
        <f>IFERROR(__xludf.DUMMYFUNCTION("""COMPUTED_VALUE"""),"Monthly")</f>
        <v>Monthly</v>
      </c>
      <c r="K2624" s="317">
        <f>IFERROR(__xludf.DUMMYFUNCTION("""COMPUTED_VALUE"""),2023.04)</f>
        <v>2023.04</v>
      </c>
      <c r="L2624" s="298"/>
      <c r="M2624" s="223"/>
      <c r="N2624" s="223"/>
      <c r="O2624" s="223"/>
      <c r="P2624" s="223"/>
      <c r="Q2624" s="223"/>
      <c r="R2624" s="223"/>
      <c r="S2624" s="223"/>
      <c r="T2624" s="223"/>
      <c r="U2624" s="223"/>
      <c r="V2624" s="223"/>
      <c r="W2624" s="223"/>
      <c r="X2624" s="223"/>
      <c r="Y2624" s="223"/>
      <c r="Z2624" s="223"/>
    </row>
    <row r="2625">
      <c r="A2625" s="223" t="str">
        <f>IFERROR(__xludf.DUMMYFUNCTION("""COMPUTED_VALUE"""),"Spraggs : Monthly Services")</f>
        <v>Spraggs : Monthly Services</v>
      </c>
      <c r="B2625" s="223" t="str">
        <f>IFERROR(__xludf.DUMMYFUNCTION("""COMPUTED_VALUE"""),"Spraggs")</f>
        <v>Spraggs</v>
      </c>
      <c r="C2625" s="223" t="str">
        <f>IFERROR(__xludf.DUMMYFUNCTION("""COMPUTED_VALUE"""),"Monthly Services")</f>
        <v>Monthly Services</v>
      </c>
      <c r="D2625" s="316">
        <f>IFERROR(__xludf.DUMMYFUNCTION("""COMPUTED_VALUE"""),45046.0)</f>
        <v>45046</v>
      </c>
      <c r="E2625" s="298"/>
      <c r="F2625" s="298"/>
      <c r="G2625" s="298"/>
      <c r="H2625" s="223"/>
      <c r="I2625" s="298">
        <f>IFERROR(__xludf.DUMMYFUNCTION("""COMPUTED_VALUE"""),275.0)</f>
        <v>275</v>
      </c>
      <c r="J2625" s="223" t="str">
        <f>IFERROR(__xludf.DUMMYFUNCTION("""COMPUTED_VALUE"""),"Monthly")</f>
        <v>Monthly</v>
      </c>
      <c r="K2625" s="317">
        <f>IFERROR(__xludf.DUMMYFUNCTION("""COMPUTED_VALUE"""),2023.04)</f>
        <v>2023.04</v>
      </c>
      <c r="L2625" s="298"/>
      <c r="M2625" s="223"/>
      <c r="N2625" s="223"/>
      <c r="O2625" s="223"/>
      <c r="P2625" s="223"/>
      <c r="Q2625" s="223"/>
      <c r="R2625" s="223"/>
      <c r="S2625" s="223"/>
      <c r="T2625" s="223"/>
      <c r="U2625" s="223"/>
      <c r="V2625" s="223"/>
      <c r="W2625" s="223"/>
      <c r="X2625" s="223"/>
      <c r="Y2625" s="223"/>
      <c r="Z2625" s="223"/>
    </row>
    <row r="2626">
      <c r="A2626" s="223" t="str">
        <f>IFERROR(__xludf.DUMMYFUNCTION("""COMPUTED_VALUE"""),"MortgagePal : Monthly Services")</f>
        <v>MortgagePal : Monthly Services</v>
      </c>
      <c r="B2626" s="223" t="str">
        <f>IFERROR(__xludf.DUMMYFUNCTION("""COMPUTED_VALUE"""),"MortgagePal")</f>
        <v>MortgagePal</v>
      </c>
      <c r="C2626" s="223" t="str">
        <f>IFERROR(__xludf.DUMMYFUNCTION("""COMPUTED_VALUE"""),"Monthly Services")</f>
        <v>Monthly Services</v>
      </c>
      <c r="D2626" s="316">
        <f>IFERROR(__xludf.DUMMYFUNCTION("""COMPUTED_VALUE"""),45046.0)</f>
        <v>45046</v>
      </c>
      <c r="E2626" s="298"/>
      <c r="F2626" s="298"/>
      <c r="G2626" s="298"/>
      <c r="H2626" s="223"/>
      <c r="I2626" s="298">
        <f>IFERROR(__xludf.DUMMYFUNCTION("""COMPUTED_VALUE"""),45.0)</f>
        <v>45</v>
      </c>
      <c r="J2626" s="223" t="str">
        <f>IFERROR(__xludf.DUMMYFUNCTION("""COMPUTED_VALUE"""),"Monthly")</f>
        <v>Monthly</v>
      </c>
      <c r="K2626" s="317">
        <f>IFERROR(__xludf.DUMMYFUNCTION("""COMPUTED_VALUE"""),2023.04)</f>
        <v>2023.04</v>
      </c>
      <c r="L2626" s="298"/>
      <c r="M2626" s="223"/>
      <c r="N2626" s="223"/>
      <c r="O2626" s="223"/>
      <c r="P2626" s="223"/>
      <c r="Q2626" s="223"/>
      <c r="R2626" s="223"/>
      <c r="S2626" s="223"/>
      <c r="T2626" s="223"/>
      <c r="U2626" s="223"/>
      <c r="V2626" s="223"/>
      <c r="W2626" s="223"/>
      <c r="X2626" s="223"/>
      <c r="Y2626" s="223"/>
      <c r="Z2626" s="223"/>
    </row>
    <row r="2627">
      <c r="A2627" s="223" t="str">
        <f>IFERROR(__xludf.DUMMYFUNCTION("""COMPUTED_VALUE"""),"Service First : Monthly Services")</f>
        <v>Service First : Monthly Services</v>
      </c>
      <c r="B2627" s="223" t="str">
        <f>IFERROR(__xludf.DUMMYFUNCTION("""COMPUTED_VALUE"""),"Service First")</f>
        <v>Service First</v>
      </c>
      <c r="C2627" s="223" t="str">
        <f>IFERROR(__xludf.DUMMYFUNCTION("""COMPUTED_VALUE"""),"Monthly Services")</f>
        <v>Monthly Services</v>
      </c>
      <c r="D2627" s="316">
        <f>IFERROR(__xludf.DUMMYFUNCTION("""COMPUTED_VALUE"""),45046.0)</f>
        <v>45046</v>
      </c>
      <c r="E2627" s="298"/>
      <c r="F2627" s="298"/>
      <c r="G2627" s="298"/>
      <c r="H2627" s="223"/>
      <c r="I2627" s="298">
        <f>IFERROR(__xludf.DUMMYFUNCTION("""COMPUTED_VALUE"""),30.0)</f>
        <v>30</v>
      </c>
      <c r="J2627" s="223" t="str">
        <f>IFERROR(__xludf.DUMMYFUNCTION("""COMPUTED_VALUE"""),"Monthly")</f>
        <v>Monthly</v>
      </c>
      <c r="K2627" s="317">
        <f>IFERROR(__xludf.DUMMYFUNCTION("""COMPUTED_VALUE"""),2023.04)</f>
        <v>2023.04</v>
      </c>
      <c r="L2627" s="298"/>
      <c r="M2627" s="223"/>
      <c r="N2627" s="223"/>
      <c r="O2627" s="223"/>
      <c r="P2627" s="223"/>
      <c r="Q2627" s="223"/>
      <c r="R2627" s="223"/>
      <c r="S2627" s="223"/>
      <c r="T2627" s="223"/>
      <c r="U2627" s="223"/>
      <c r="V2627" s="223"/>
      <c r="W2627" s="223"/>
      <c r="X2627" s="223"/>
      <c r="Y2627" s="223"/>
      <c r="Z2627" s="223"/>
    </row>
    <row r="2628">
      <c r="A2628" s="223" t="str">
        <f>IFERROR(__xludf.DUMMYFUNCTION("""COMPUTED_VALUE"""),"HSJ Lawyers : Monthly Services")</f>
        <v>HSJ Lawyers : Monthly Services</v>
      </c>
      <c r="B2628" s="223" t="str">
        <f>IFERROR(__xludf.DUMMYFUNCTION("""COMPUTED_VALUE"""),"HSJ Lawyers")</f>
        <v>HSJ Lawyers</v>
      </c>
      <c r="C2628" s="223" t="str">
        <f>IFERROR(__xludf.DUMMYFUNCTION("""COMPUTED_VALUE"""),"Monthly Services")</f>
        <v>Monthly Services</v>
      </c>
      <c r="D2628" s="316">
        <f>IFERROR(__xludf.DUMMYFUNCTION("""COMPUTED_VALUE"""),45046.0)</f>
        <v>45046</v>
      </c>
      <c r="E2628" s="298"/>
      <c r="F2628" s="298"/>
      <c r="G2628" s="298"/>
      <c r="H2628" s="223"/>
      <c r="I2628" s="298">
        <f>IFERROR(__xludf.DUMMYFUNCTION("""COMPUTED_VALUE"""),90.0)</f>
        <v>90</v>
      </c>
      <c r="J2628" s="223" t="str">
        <f>IFERROR(__xludf.DUMMYFUNCTION("""COMPUTED_VALUE"""),"Monthly")</f>
        <v>Monthly</v>
      </c>
      <c r="K2628" s="317">
        <f>IFERROR(__xludf.DUMMYFUNCTION("""COMPUTED_VALUE"""),2023.04)</f>
        <v>2023.04</v>
      </c>
      <c r="L2628" s="298"/>
      <c r="M2628" s="223"/>
      <c r="N2628" s="223"/>
      <c r="O2628" s="223"/>
      <c r="P2628" s="223"/>
      <c r="Q2628" s="223"/>
      <c r="R2628" s="223"/>
      <c r="S2628" s="223"/>
      <c r="T2628" s="223"/>
      <c r="U2628" s="223"/>
      <c r="V2628" s="223"/>
      <c r="W2628" s="223"/>
      <c r="X2628" s="223"/>
      <c r="Y2628" s="223"/>
      <c r="Z2628" s="223"/>
    </row>
    <row r="2629">
      <c r="A2629" s="223" t="str">
        <f>IFERROR(__xludf.DUMMYFUNCTION("""COMPUTED_VALUE"""),"Booginhead : Monthly Services")</f>
        <v>Booginhead : Monthly Services</v>
      </c>
      <c r="B2629" s="223" t="str">
        <f>IFERROR(__xludf.DUMMYFUNCTION("""COMPUTED_VALUE"""),"Booginhead")</f>
        <v>Booginhead</v>
      </c>
      <c r="C2629" s="223" t="str">
        <f>IFERROR(__xludf.DUMMYFUNCTION("""COMPUTED_VALUE"""),"Monthly Services")</f>
        <v>Monthly Services</v>
      </c>
      <c r="D2629" s="316">
        <f>IFERROR(__xludf.DUMMYFUNCTION("""COMPUTED_VALUE"""),45046.0)</f>
        <v>45046</v>
      </c>
      <c r="E2629" s="298"/>
      <c r="F2629" s="298"/>
      <c r="G2629" s="298"/>
      <c r="H2629" s="223"/>
      <c r="I2629" s="298">
        <f>IFERROR(__xludf.DUMMYFUNCTION("""COMPUTED_VALUE"""),235.0)</f>
        <v>235</v>
      </c>
      <c r="J2629" s="223" t="str">
        <f>IFERROR(__xludf.DUMMYFUNCTION("""COMPUTED_VALUE"""),"Monthly")</f>
        <v>Monthly</v>
      </c>
      <c r="K2629" s="317">
        <f>IFERROR(__xludf.DUMMYFUNCTION("""COMPUTED_VALUE"""),2023.04)</f>
        <v>2023.04</v>
      </c>
      <c r="L2629" s="298"/>
      <c r="M2629" s="223"/>
      <c r="N2629" s="223"/>
      <c r="O2629" s="223"/>
      <c r="P2629" s="223"/>
      <c r="Q2629" s="223"/>
      <c r="R2629" s="223"/>
      <c r="S2629" s="223"/>
      <c r="T2629" s="223"/>
      <c r="U2629" s="223"/>
      <c r="V2629" s="223"/>
      <c r="W2629" s="223"/>
      <c r="X2629" s="223"/>
      <c r="Y2629" s="223"/>
      <c r="Z2629" s="223"/>
    </row>
    <row r="2630">
      <c r="A2630" s="223" t="str">
        <f>IFERROR(__xludf.DUMMYFUNCTION("""COMPUTED_VALUE"""),"Hastings House : Monthly Services")</f>
        <v>Hastings House : Monthly Services</v>
      </c>
      <c r="B2630" s="223" t="str">
        <f>IFERROR(__xludf.DUMMYFUNCTION("""COMPUTED_VALUE"""),"Hastings House")</f>
        <v>Hastings House</v>
      </c>
      <c r="C2630" s="223" t="str">
        <f>IFERROR(__xludf.DUMMYFUNCTION("""COMPUTED_VALUE"""),"Monthly Services")</f>
        <v>Monthly Services</v>
      </c>
      <c r="D2630" s="316">
        <f>IFERROR(__xludf.DUMMYFUNCTION("""COMPUTED_VALUE"""),45046.0)</f>
        <v>45046</v>
      </c>
      <c r="E2630" s="298"/>
      <c r="F2630" s="298"/>
      <c r="G2630" s="298"/>
      <c r="H2630" s="223"/>
      <c r="I2630" s="298">
        <f>IFERROR(__xludf.DUMMYFUNCTION("""COMPUTED_VALUE"""),135.0)</f>
        <v>135</v>
      </c>
      <c r="J2630" s="223" t="str">
        <f>IFERROR(__xludf.DUMMYFUNCTION("""COMPUTED_VALUE"""),"Monthly")</f>
        <v>Monthly</v>
      </c>
      <c r="K2630" s="317">
        <f>IFERROR(__xludf.DUMMYFUNCTION("""COMPUTED_VALUE"""),2023.04)</f>
        <v>2023.04</v>
      </c>
      <c r="L2630" s="298"/>
      <c r="M2630" s="223"/>
      <c r="N2630" s="223"/>
      <c r="O2630" s="223"/>
      <c r="P2630" s="223"/>
      <c r="Q2630" s="223"/>
      <c r="R2630" s="223"/>
      <c r="S2630" s="223"/>
      <c r="T2630" s="223"/>
      <c r="U2630" s="223"/>
      <c r="V2630" s="223"/>
      <c r="W2630" s="223"/>
      <c r="X2630" s="223"/>
      <c r="Y2630" s="223"/>
      <c r="Z2630" s="223"/>
    </row>
    <row r="2631">
      <c r="A2631" s="223" t="str">
        <f>IFERROR(__xludf.DUMMYFUNCTION("""COMPUTED_VALUE"""),"TisBest : Monthly Services")</f>
        <v>TisBest : Monthly Services</v>
      </c>
      <c r="B2631" s="223" t="str">
        <f>IFERROR(__xludf.DUMMYFUNCTION("""COMPUTED_VALUE"""),"TisBest")</f>
        <v>TisBest</v>
      </c>
      <c r="C2631" s="223" t="str">
        <f>IFERROR(__xludf.DUMMYFUNCTION("""COMPUTED_VALUE"""),"Monthly Services")</f>
        <v>Monthly Services</v>
      </c>
      <c r="D2631" s="316">
        <f>IFERROR(__xludf.DUMMYFUNCTION("""COMPUTED_VALUE"""),45046.0)</f>
        <v>45046</v>
      </c>
      <c r="E2631" s="298"/>
      <c r="F2631" s="298"/>
      <c r="G2631" s="298"/>
      <c r="H2631" s="223"/>
      <c r="I2631" s="298">
        <f>IFERROR(__xludf.DUMMYFUNCTION("""COMPUTED_VALUE"""),200.0)</f>
        <v>200</v>
      </c>
      <c r="J2631" s="223" t="str">
        <f>IFERROR(__xludf.DUMMYFUNCTION("""COMPUTED_VALUE"""),"Monthly")</f>
        <v>Monthly</v>
      </c>
      <c r="K2631" s="317">
        <f>IFERROR(__xludf.DUMMYFUNCTION("""COMPUTED_VALUE"""),2023.04)</f>
        <v>2023.04</v>
      </c>
      <c r="L2631" s="298"/>
      <c r="M2631" s="223"/>
      <c r="N2631" s="223"/>
      <c r="O2631" s="223"/>
      <c r="P2631" s="223"/>
      <c r="Q2631" s="223"/>
      <c r="R2631" s="223"/>
      <c r="S2631" s="223"/>
      <c r="T2631" s="223"/>
      <c r="U2631" s="223"/>
      <c r="V2631" s="223"/>
      <c r="W2631" s="223"/>
      <c r="X2631" s="223"/>
      <c r="Y2631" s="223"/>
      <c r="Z2631" s="223"/>
    </row>
    <row r="2632">
      <c r="A2632" s="223" t="str">
        <f>IFERROR(__xludf.DUMMYFUNCTION("""COMPUTED_VALUE"""),"Wallack's Art Supplies : Monthly Services")</f>
        <v>Wallack's Art Supplies : Monthly Services</v>
      </c>
      <c r="B2632" s="223" t="str">
        <f>IFERROR(__xludf.DUMMYFUNCTION("""COMPUTED_VALUE"""),"Wallack's Art Supplies")</f>
        <v>Wallack's Art Supplies</v>
      </c>
      <c r="C2632" s="223" t="str">
        <f>IFERROR(__xludf.DUMMYFUNCTION("""COMPUTED_VALUE"""),"Monthly Services")</f>
        <v>Monthly Services</v>
      </c>
      <c r="D2632" s="316">
        <f>IFERROR(__xludf.DUMMYFUNCTION("""COMPUTED_VALUE"""),45046.0)</f>
        <v>45046</v>
      </c>
      <c r="E2632" s="298"/>
      <c r="F2632" s="298"/>
      <c r="G2632" s="298"/>
      <c r="H2632" s="223"/>
      <c r="I2632" s="298">
        <f>IFERROR(__xludf.DUMMYFUNCTION("""COMPUTED_VALUE"""),75.0)</f>
        <v>75</v>
      </c>
      <c r="J2632" s="223" t="str">
        <f>IFERROR(__xludf.DUMMYFUNCTION("""COMPUTED_VALUE"""),"Monthly")</f>
        <v>Monthly</v>
      </c>
      <c r="K2632" s="317">
        <f>IFERROR(__xludf.DUMMYFUNCTION("""COMPUTED_VALUE"""),2023.04)</f>
        <v>2023.04</v>
      </c>
      <c r="L2632" s="298"/>
      <c r="M2632" s="223"/>
      <c r="N2632" s="223"/>
      <c r="O2632" s="223"/>
      <c r="P2632" s="223"/>
      <c r="Q2632" s="223"/>
      <c r="R2632" s="223"/>
      <c r="S2632" s="223"/>
      <c r="T2632" s="223"/>
      <c r="U2632" s="223"/>
      <c r="V2632" s="223"/>
      <c r="W2632" s="223"/>
      <c r="X2632" s="223"/>
      <c r="Y2632" s="223"/>
      <c r="Z2632" s="223"/>
    </row>
    <row r="2633">
      <c r="A2633" s="223" t="str">
        <f>IFERROR(__xludf.DUMMYFUNCTION("""COMPUTED_VALUE"""),"PMDI : Monthly Services")</f>
        <v>PMDI : Monthly Services</v>
      </c>
      <c r="B2633" s="223" t="str">
        <f>IFERROR(__xludf.DUMMYFUNCTION("""COMPUTED_VALUE"""),"PMDI")</f>
        <v>PMDI</v>
      </c>
      <c r="C2633" s="223" t="str">
        <f>IFERROR(__xludf.DUMMYFUNCTION("""COMPUTED_VALUE"""),"Monthly Services")</f>
        <v>Monthly Services</v>
      </c>
      <c r="D2633" s="316">
        <f>IFERROR(__xludf.DUMMYFUNCTION("""COMPUTED_VALUE"""),45046.0)</f>
        <v>45046</v>
      </c>
      <c r="E2633" s="298"/>
      <c r="F2633" s="298"/>
      <c r="G2633" s="298"/>
      <c r="H2633" s="223"/>
      <c r="I2633" s="298">
        <f>IFERROR(__xludf.DUMMYFUNCTION("""COMPUTED_VALUE"""),30.0)</f>
        <v>30</v>
      </c>
      <c r="J2633" s="223" t="str">
        <f>IFERROR(__xludf.DUMMYFUNCTION("""COMPUTED_VALUE"""),"Monthly")</f>
        <v>Monthly</v>
      </c>
      <c r="K2633" s="317">
        <f>IFERROR(__xludf.DUMMYFUNCTION("""COMPUTED_VALUE"""),2023.04)</f>
        <v>2023.04</v>
      </c>
      <c r="L2633" s="298"/>
      <c r="M2633" s="223"/>
      <c r="N2633" s="223"/>
      <c r="O2633" s="223"/>
      <c r="P2633" s="223"/>
      <c r="Q2633" s="223"/>
      <c r="R2633" s="223"/>
      <c r="S2633" s="223"/>
      <c r="T2633" s="223"/>
      <c r="U2633" s="223"/>
      <c r="V2633" s="223"/>
      <c r="W2633" s="223"/>
      <c r="X2633" s="223"/>
      <c r="Y2633" s="223"/>
      <c r="Z2633" s="223"/>
    </row>
    <row r="2634">
      <c r="A2634" s="223" t="str">
        <f>IFERROR(__xludf.DUMMYFUNCTION("""COMPUTED_VALUE"""),"Tofino Resort + Marina : Monthly Services")</f>
        <v>Tofino Resort + Marina : Monthly Services</v>
      </c>
      <c r="B2634" s="223" t="str">
        <f>IFERROR(__xludf.DUMMYFUNCTION("""COMPUTED_VALUE"""),"Tofino Resort + Marina")</f>
        <v>Tofino Resort + Marina</v>
      </c>
      <c r="C2634" s="223" t="str">
        <f>IFERROR(__xludf.DUMMYFUNCTION("""COMPUTED_VALUE"""),"Monthly Services")</f>
        <v>Monthly Services</v>
      </c>
      <c r="D2634" s="316">
        <f>IFERROR(__xludf.DUMMYFUNCTION("""COMPUTED_VALUE"""),45046.0)</f>
        <v>45046</v>
      </c>
      <c r="E2634" s="298"/>
      <c r="F2634" s="298"/>
      <c r="G2634" s="298"/>
      <c r="H2634" s="223"/>
      <c r="I2634" s="298">
        <f>IFERROR(__xludf.DUMMYFUNCTION("""COMPUTED_VALUE"""),300.0)</f>
        <v>300</v>
      </c>
      <c r="J2634" s="223" t="str">
        <f>IFERROR(__xludf.DUMMYFUNCTION("""COMPUTED_VALUE"""),"Monthly")</f>
        <v>Monthly</v>
      </c>
      <c r="K2634" s="317">
        <f>IFERROR(__xludf.DUMMYFUNCTION("""COMPUTED_VALUE"""),2023.04)</f>
        <v>2023.04</v>
      </c>
      <c r="L2634" s="298"/>
      <c r="M2634" s="223"/>
      <c r="N2634" s="223"/>
      <c r="O2634" s="223"/>
      <c r="P2634" s="223"/>
      <c r="Q2634" s="223"/>
      <c r="R2634" s="223"/>
      <c r="S2634" s="223"/>
      <c r="T2634" s="223"/>
      <c r="U2634" s="223"/>
      <c r="V2634" s="223"/>
      <c r="W2634" s="223"/>
      <c r="X2634" s="223"/>
      <c r="Y2634" s="223"/>
      <c r="Z2634" s="223"/>
    </row>
    <row r="2635">
      <c r="A2635" s="223" t="str">
        <f>IFERROR(__xludf.DUMMYFUNCTION("""COMPUTED_VALUE"""),"Anook Athletics : Monthly Services")</f>
        <v>Anook Athletics : Monthly Services</v>
      </c>
      <c r="B2635" s="223" t="str">
        <f>IFERROR(__xludf.DUMMYFUNCTION("""COMPUTED_VALUE"""),"Anook Athletics")</f>
        <v>Anook Athletics</v>
      </c>
      <c r="C2635" s="223" t="str">
        <f>IFERROR(__xludf.DUMMYFUNCTION("""COMPUTED_VALUE"""),"Monthly Services")</f>
        <v>Monthly Services</v>
      </c>
      <c r="D2635" s="316">
        <f>IFERROR(__xludf.DUMMYFUNCTION("""COMPUTED_VALUE"""),45046.0)</f>
        <v>45046</v>
      </c>
      <c r="E2635" s="298"/>
      <c r="F2635" s="298"/>
      <c r="G2635" s="298"/>
      <c r="H2635" s="223"/>
      <c r="I2635" s="298">
        <f>IFERROR(__xludf.DUMMYFUNCTION("""COMPUTED_VALUE"""),75.0)</f>
        <v>75</v>
      </c>
      <c r="J2635" s="223" t="str">
        <f>IFERROR(__xludf.DUMMYFUNCTION("""COMPUTED_VALUE"""),"Monthly")</f>
        <v>Monthly</v>
      </c>
      <c r="K2635" s="317">
        <f>IFERROR(__xludf.DUMMYFUNCTION("""COMPUTED_VALUE"""),2023.04)</f>
        <v>2023.04</v>
      </c>
      <c r="L2635" s="298"/>
      <c r="M2635" s="223"/>
      <c r="N2635" s="223"/>
      <c r="O2635" s="223"/>
      <c r="P2635" s="223"/>
      <c r="Q2635" s="223"/>
      <c r="R2635" s="223"/>
      <c r="S2635" s="223"/>
      <c r="T2635" s="223"/>
      <c r="U2635" s="223"/>
      <c r="V2635" s="223"/>
      <c r="W2635" s="223"/>
      <c r="X2635" s="223"/>
      <c r="Y2635" s="223"/>
      <c r="Z2635" s="223"/>
    </row>
    <row r="2636">
      <c r="A2636" s="223" t="str">
        <f>IFERROR(__xludf.DUMMYFUNCTION("""COMPUTED_VALUE"""),"New Growth Ecommerce Inc : Monthly Services")</f>
        <v>New Growth Ecommerce Inc : Monthly Services</v>
      </c>
      <c r="B2636" s="223" t="str">
        <f>IFERROR(__xludf.DUMMYFUNCTION("""COMPUTED_VALUE"""),"New Growth Ecommerce Inc")</f>
        <v>New Growth Ecommerce Inc</v>
      </c>
      <c r="C2636" s="223" t="str">
        <f>IFERROR(__xludf.DUMMYFUNCTION("""COMPUTED_VALUE"""),"Monthly Services")</f>
        <v>Monthly Services</v>
      </c>
      <c r="D2636" s="316">
        <f>IFERROR(__xludf.DUMMYFUNCTION("""COMPUTED_VALUE"""),45046.0)</f>
        <v>45046</v>
      </c>
      <c r="E2636" s="298"/>
      <c r="F2636" s="298"/>
      <c r="G2636" s="298"/>
      <c r="H2636" s="223"/>
      <c r="I2636" s="298">
        <f>IFERROR(__xludf.DUMMYFUNCTION("""COMPUTED_VALUE"""),1860.0)</f>
        <v>1860</v>
      </c>
      <c r="J2636" s="223" t="str">
        <f>IFERROR(__xludf.DUMMYFUNCTION("""COMPUTED_VALUE"""),"Monthly")</f>
        <v>Monthly</v>
      </c>
      <c r="K2636" s="317">
        <f>IFERROR(__xludf.DUMMYFUNCTION("""COMPUTED_VALUE"""),2023.04)</f>
        <v>2023.04</v>
      </c>
      <c r="L2636" s="298"/>
      <c r="M2636" s="223"/>
      <c r="N2636" s="223"/>
      <c r="O2636" s="223"/>
      <c r="P2636" s="223"/>
      <c r="Q2636" s="223"/>
      <c r="R2636" s="223"/>
      <c r="S2636" s="223"/>
      <c r="T2636" s="223"/>
      <c r="U2636" s="223"/>
      <c r="V2636" s="223"/>
      <c r="W2636" s="223"/>
      <c r="X2636" s="223"/>
      <c r="Y2636" s="223"/>
      <c r="Z2636" s="223"/>
    </row>
    <row r="2637">
      <c r="A2637" s="223" t="str">
        <f>IFERROR(__xludf.DUMMYFUNCTION("""COMPUTED_VALUE"""),"Viridian : Monthly Services")</f>
        <v>Viridian : Monthly Services</v>
      </c>
      <c r="B2637" s="223" t="str">
        <f>IFERROR(__xludf.DUMMYFUNCTION("""COMPUTED_VALUE"""),"Viridian")</f>
        <v>Viridian</v>
      </c>
      <c r="C2637" s="223" t="str">
        <f>IFERROR(__xludf.DUMMYFUNCTION("""COMPUTED_VALUE"""),"Monthly Services")</f>
        <v>Monthly Services</v>
      </c>
      <c r="D2637" s="316">
        <f>IFERROR(__xludf.DUMMYFUNCTION("""COMPUTED_VALUE"""),45046.0)</f>
        <v>45046</v>
      </c>
      <c r="E2637" s="298"/>
      <c r="F2637" s="298"/>
      <c r="G2637" s="298"/>
      <c r="H2637" s="223"/>
      <c r="I2637" s="298">
        <f>IFERROR(__xludf.DUMMYFUNCTION("""COMPUTED_VALUE"""),90.0)</f>
        <v>90</v>
      </c>
      <c r="J2637" s="223" t="str">
        <f>IFERROR(__xludf.DUMMYFUNCTION("""COMPUTED_VALUE"""),"Monthly")</f>
        <v>Monthly</v>
      </c>
      <c r="K2637" s="317">
        <f>IFERROR(__xludf.DUMMYFUNCTION("""COMPUTED_VALUE"""),2023.04)</f>
        <v>2023.04</v>
      </c>
      <c r="L2637" s="298"/>
      <c r="M2637" s="223"/>
      <c r="N2637" s="223"/>
      <c r="O2637" s="223"/>
      <c r="P2637" s="223"/>
      <c r="Q2637" s="223"/>
      <c r="R2637" s="223"/>
      <c r="S2637" s="223"/>
      <c r="T2637" s="223"/>
      <c r="U2637" s="223"/>
      <c r="V2637" s="223"/>
      <c r="W2637" s="223"/>
      <c r="X2637" s="223"/>
      <c r="Y2637" s="223"/>
      <c r="Z2637" s="223"/>
    </row>
    <row r="2638">
      <c r="A2638" s="223" t="str">
        <f>IFERROR(__xludf.DUMMYFUNCTION("""COMPUTED_VALUE"""),"Crisp Media : Monthly Genus Google PPC Mgmt")</f>
        <v>Crisp Media : Monthly Genus Google PPC Mgmt</v>
      </c>
      <c r="B2638" s="223" t="str">
        <f>IFERROR(__xludf.DUMMYFUNCTION("""COMPUTED_VALUE"""),"Crisp Media")</f>
        <v>Crisp Media</v>
      </c>
      <c r="C2638" s="223" t="str">
        <f>IFERROR(__xludf.DUMMYFUNCTION("""COMPUTED_VALUE"""),"Monthly Genus Google PPC Mgmt")</f>
        <v>Monthly Genus Google PPC Mgmt</v>
      </c>
      <c r="D2638" s="316">
        <f>IFERROR(__xludf.DUMMYFUNCTION("""COMPUTED_VALUE"""),45046.0)</f>
        <v>45046</v>
      </c>
      <c r="E2638" s="298"/>
      <c r="F2638" s="298"/>
      <c r="G2638" s="298"/>
      <c r="H2638" s="223"/>
      <c r="I2638" s="298">
        <f>IFERROR(__xludf.DUMMYFUNCTION("""COMPUTED_VALUE"""),45.0)</f>
        <v>45</v>
      </c>
      <c r="J2638" s="223" t="str">
        <f>IFERROR(__xludf.DUMMYFUNCTION("""COMPUTED_VALUE"""),"Monthly")</f>
        <v>Monthly</v>
      </c>
      <c r="K2638" s="317">
        <f>IFERROR(__xludf.DUMMYFUNCTION("""COMPUTED_VALUE"""),2023.04)</f>
        <v>2023.04</v>
      </c>
      <c r="L2638" s="298"/>
      <c r="M2638" s="223"/>
      <c r="N2638" s="223"/>
      <c r="O2638" s="223"/>
      <c r="P2638" s="223"/>
      <c r="Q2638" s="223"/>
      <c r="R2638" s="223"/>
      <c r="S2638" s="223"/>
      <c r="T2638" s="223"/>
      <c r="U2638" s="223"/>
      <c r="V2638" s="223"/>
      <c r="W2638" s="223"/>
      <c r="X2638" s="223"/>
      <c r="Y2638" s="223"/>
      <c r="Z2638" s="223"/>
    </row>
    <row r="2639">
      <c r="A2639" s="223" t="str">
        <f>IFERROR(__xludf.DUMMYFUNCTION("""COMPUTED_VALUE"""),"Howard Fine Jewellers : Ongoing PPC and SEO Support")</f>
        <v>Howard Fine Jewellers : Ongoing PPC and SEO Support</v>
      </c>
      <c r="B2639" s="223" t="str">
        <f>IFERROR(__xludf.DUMMYFUNCTION("""COMPUTED_VALUE"""),"Howard Fine Jewellers")</f>
        <v>Howard Fine Jewellers</v>
      </c>
      <c r="C2639" s="223" t="str">
        <f>IFERROR(__xludf.DUMMYFUNCTION("""COMPUTED_VALUE"""),"Ongoing PPC and SEO Support")</f>
        <v>Ongoing PPC and SEO Support</v>
      </c>
      <c r="D2639" s="316">
        <f>IFERROR(__xludf.DUMMYFUNCTION("""COMPUTED_VALUE"""),45046.0)</f>
        <v>45046</v>
      </c>
      <c r="E2639" s="298"/>
      <c r="F2639" s="298"/>
      <c r="G2639" s="298"/>
      <c r="H2639" s="223"/>
      <c r="I2639" s="298">
        <f>IFERROR(__xludf.DUMMYFUNCTION("""COMPUTED_VALUE"""),100.0)</f>
        <v>100</v>
      </c>
      <c r="J2639" s="223" t="str">
        <f>IFERROR(__xludf.DUMMYFUNCTION("""COMPUTED_VALUE"""),"Monthly")</f>
        <v>Monthly</v>
      </c>
      <c r="K2639" s="317">
        <f>IFERROR(__xludf.DUMMYFUNCTION("""COMPUTED_VALUE"""),2023.04)</f>
        <v>2023.04</v>
      </c>
      <c r="L2639" s="298"/>
      <c r="M2639" s="223"/>
      <c r="N2639" s="223"/>
      <c r="O2639" s="223"/>
      <c r="P2639" s="223"/>
      <c r="Q2639" s="223"/>
      <c r="R2639" s="223"/>
      <c r="S2639" s="223"/>
      <c r="T2639" s="223"/>
      <c r="U2639" s="223"/>
      <c r="V2639" s="223"/>
      <c r="W2639" s="223"/>
      <c r="X2639" s="223"/>
      <c r="Y2639" s="223"/>
      <c r="Z2639" s="223"/>
    </row>
    <row r="2640">
      <c r="A2640" s="223" t="str">
        <f>IFERROR(__xludf.DUMMYFUNCTION("""COMPUTED_VALUE"""),"Big Hammer Wines : Monthly PPC")</f>
        <v>Big Hammer Wines : Monthly PPC</v>
      </c>
      <c r="B2640" s="223" t="str">
        <f>IFERROR(__xludf.DUMMYFUNCTION("""COMPUTED_VALUE"""),"Big Hammer Wines")</f>
        <v>Big Hammer Wines</v>
      </c>
      <c r="C2640" s="223" t="str">
        <f>IFERROR(__xludf.DUMMYFUNCTION("""COMPUTED_VALUE"""),"Monthly PPC")</f>
        <v>Monthly PPC</v>
      </c>
      <c r="D2640" s="316">
        <f>IFERROR(__xludf.DUMMYFUNCTION("""COMPUTED_VALUE"""),45046.0)</f>
        <v>45046</v>
      </c>
      <c r="E2640" s="298"/>
      <c r="F2640" s="298"/>
      <c r="G2640" s="298"/>
      <c r="H2640" s="223"/>
      <c r="I2640" s="298">
        <f>IFERROR(__xludf.DUMMYFUNCTION("""COMPUTED_VALUE"""),60.0)</f>
        <v>60</v>
      </c>
      <c r="J2640" s="223" t="str">
        <f>IFERROR(__xludf.DUMMYFUNCTION("""COMPUTED_VALUE"""),"Monthly")</f>
        <v>Monthly</v>
      </c>
      <c r="K2640" s="317">
        <f>IFERROR(__xludf.DUMMYFUNCTION("""COMPUTED_VALUE"""),2023.04)</f>
        <v>2023.04</v>
      </c>
      <c r="L2640" s="298"/>
      <c r="M2640" s="223"/>
      <c r="N2640" s="223"/>
      <c r="O2640" s="223"/>
      <c r="P2640" s="223"/>
      <c r="Q2640" s="223"/>
      <c r="R2640" s="223"/>
      <c r="S2640" s="223"/>
      <c r="T2640" s="223"/>
      <c r="U2640" s="223"/>
      <c r="V2640" s="223"/>
      <c r="W2640" s="223"/>
      <c r="X2640" s="223"/>
      <c r="Y2640" s="223"/>
      <c r="Z2640" s="223"/>
    </row>
    <row r="2641">
      <c r="A2641" s="223" t="str">
        <f>IFERROR(__xludf.DUMMYFUNCTION("""COMPUTED_VALUE"""),"Classic LifeCare : Monthly Google Ads (PPC) Management")</f>
        <v>Classic LifeCare : Monthly Google Ads (PPC) Management</v>
      </c>
      <c r="B2641" s="223" t="str">
        <f>IFERROR(__xludf.DUMMYFUNCTION("""COMPUTED_VALUE"""),"Classic LifeCare")</f>
        <v>Classic LifeCare</v>
      </c>
      <c r="C2641" s="223" t="str">
        <f>IFERROR(__xludf.DUMMYFUNCTION("""COMPUTED_VALUE"""),"Monthly Google Ads (PPC) Management")</f>
        <v>Monthly Google Ads (PPC) Management</v>
      </c>
      <c r="D2641" s="316">
        <f>IFERROR(__xludf.DUMMYFUNCTION("""COMPUTED_VALUE"""),45046.0)</f>
        <v>45046</v>
      </c>
      <c r="E2641" s="298"/>
      <c r="F2641" s="298"/>
      <c r="G2641" s="298"/>
      <c r="H2641" s="223"/>
      <c r="I2641" s="298">
        <f>IFERROR(__xludf.DUMMYFUNCTION("""COMPUTED_VALUE"""),322.5)</f>
        <v>322.5</v>
      </c>
      <c r="J2641" s="223" t="str">
        <f>IFERROR(__xludf.DUMMYFUNCTION("""COMPUTED_VALUE"""),"Monthly")</f>
        <v>Monthly</v>
      </c>
      <c r="K2641" s="317">
        <f>IFERROR(__xludf.DUMMYFUNCTION("""COMPUTED_VALUE"""),2023.04)</f>
        <v>2023.04</v>
      </c>
      <c r="L2641" s="298"/>
      <c r="M2641" s="223"/>
      <c r="N2641" s="223"/>
      <c r="O2641" s="223"/>
      <c r="P2641" s="223"/>
      <c r="Q2641" s="223"/>
      <c r="R2641" s="223"/>
      <c r="S2641" s="223"/>
      <c r="T2641" s="223"/>
      <c r="U2641" s="223"/>
      <c r="V2641" s="223"/>
      <c r="W2641" s="223"/>
      <c r="X2641" s="223"/>
      <c r="Y2641" s="223"/>
      <c r="Z2641" s="223"/>
    </row>
    <row r="2642">
      <c r="A2642" s="223" t="str">
        <f>IFERROR(__xludf.DUMMYFUNCTION("""COMPUTED_VALUE"""),"McAllister Marketing : Copernic PPC / SEO")</f>
        <v>McAllister Marketing : Copernic PPC / SEO</v>
      </c>
      <c r="B2642" s="223" t="str">
        <f>IFERROR(__xludf.DUMMYFUNCTION("""COMPUTED_VALUE"""),"McAllister Marketing")</f>
        <v>McAllister Marketing</v>
      </c>
      <c r="C2642" s="223" t="str">
        <f>IFERROR(__xludf.DUMMYFUNCTION("""COMPUTED_VALUE"""),"Copernic PPC / SEO")</f>
        <v>Copernic PPC / SEO</v>
      </c>
      <c r="D2642" s="316">
        <f>IFERROR(__xludf.DUMMYFUNCTION("""COMPUTED_VALUE"""),45046.0)</f>
        <v>45046</v>
      </c>
      <c r="E2642" s="298"/>
      <c r="F2642" s="298"/>
      <c r="G2642" s="298"/>
      <c r="H2642" s="223"/>
      <c r="I2642" s="298">
        <f>IFERROR(__xludf.DUMMYFUNCTION("""COMPUTED_VALUE"""),500.0)</f>
        <v>500</v>
      </c>
      <c r="J2642" s="223" t="str">
        <f>IFERROR(__xludf.DUMMYFUNCTION("""COMPUTED_VALUE"""),"Monthly")</f>
        <v>Monthly</v>
      </c>
      <c r="K2642" s="317">
        <f>IFERROR(__xludf.DUMMYFUNCTION("""COMPUTED_VALUE"""),2023.04)</f>
        <v>2023.04</v>
      </c>
      <c r="L2642" s="298"/>
      <c r="M2642" s="223"/>
      <c r="N2642" s="223"/>
      <c r="O2642" s="223"/>
      <c r="P2642" s="223"/>
      <c r="Q2642" s="223"/>
      <c r="R2642" s="223"/>
      <c r="S2642" s="223"/>
      <c r="T2642" s="223"/>
      <c r="U2642" s="223"/>
      <c r="V2642" s="223"/>
      <c r="W2642" s="223"/>
      <c r="X2642" s="223"/>
      <c r="Y2642" s="223"/>
      <c r="Z2642" s="223"/>
    </row>
    <row r="2643">
      <c r="A2643" s="223" t="str">
        <f>IFERROR(__xludf.DUMMYFUNCTION("""COMPUTED_VALUE"""),"Terra Insights : Monthly PPC")</f>
        <v>Terra Insights : Monthly PPC</v>
      </c>
      <c r="B2643" s="223" t="str">
        <f>IFERROR(__xludf.DUMMYFUNCTION("""COMPUTED_VALUE"""),"Terra Insights")</f>
        <v>Terra Insights</v>
      </c>
      <c r="C2643" s="223" t="str">
        <f>IFERROR(__xludf.DUMMYFUNCTION("""COMPUTED_VALUE"""),"Monthly PPC")</f>
        <v>Monthly PPC</v>
      </c>
      <c r="D2643" s="316">
        <f>IFERROR(__xludf.DUMMYFUNCTION("""COMPUTED_VALUE"""),45046.0)</f>
        <v>45046</v>
      </c>
      <c r="E2643" s="298"/>
      <c r="F2643" s="298"/>
      <c r="G2643" s="298"/>
      <c r="H2643" s="223"/>
      <c r="I2643" s="298">
        <f>IFERROR(__xludf.DUMMYFUNCTION("""COMPUTED_VALUE"""),330.0)</f>
        <v>330</v>
      </c>
      <c r="J2643" s="223" t="str">
        <f>IFERROR(__xludf.DUMMYFUNCTION("""COMPUTED_VALUE"""),"Monthly")</f>
        <v>Monthly</v>
      </c>
      <c r="K2643" s="317">
        <f>IFERROR(__xludf.DUMMYFUNCTION("""COMPUTED_VALUE"""),2023.04)</f>
        <v>2023.04</v>
      </c>
      <c r="L2643" s="298"/>
      <c r="M2643" s="223"/>
      <c r="N2643" s="223"/>
      <c r="O2643" s="223"/>
      <c r="P2643" s="223"/>
      <c r="Q2643" s="223"/>
      <c r="R2643" s="223"/>
      <c r="S2643" s="223"/>
      <c r="T2643" s="223"/>
      <c r="U2643" s="223"/>
      <c r="V2643" s="223"/>
      <c r="W2643" s="223"/>
      <c r="X2643" s="223"/>
      <c r="Y2643" s="223"/>
      <c r="Z2643" s="223"/>
    </row>
    <row r="2644">
      <c r="A2644" s="223" t="str">
        <f>IFERROR(__xludf.DUMMYFUNCTION("""COMPUTED_VALUE"""),"C360 : Phase II: Johns Hopkins University PPC Management")</f>
        <v>C360 : Phase II: Johns Hopkins University PPC Management</v>
      </c>
      <c r="B2644" s="223" t="str">
        <f>IFERROR(__xludf.DUMMYFUNCTION("""COMPUTED_VALUE"""),"C360")</f>
        <v>C360</v>
      </c>
      <c r="C2644" s="223" t="str">
        <f>IFERROR(__xludf.DUMMYFUNCTION("""COMPUTED_VALUE"""),"Phase II: Johns Hopkins University PPC Management")</f>
        <v>Phase II: Johns Hopkins University PPC Management</v>
      </c>
      <c r="D2644" s="316">
        <f>IFERROR(__xludf.DUMMYFUNCTION("""COMPUTED_VALUE"""),45046.0)</f>
        <v>45046</v>
      </c>
      <c r="E2644" s="298"/>
      <c r="F2644" s="298"/>
      <c r="G2644" s="298"/>
      <c r="H2644" s="223"/>
      <c r="I2644" s="298">
        <f>IFERROR(__xludf.DUMMYFUNCTION("""COMPUTED_VALUE"""),175.0)</f>
        <v>175</v>
      </c>
      <c r="J2644" s="223" t="str">
        <f>IFERROR(__xludf.DUMMYFUNCTION("""COMPUTED_VALUE"""),"Fixed Project")</f>
        <v>Fixed Project</v>
      </c>
      <c r="K2644" s="317">
        <f>IFERROR(__xludf.DUMMYFUNCTION("""COMPUTED_VALUE"""),2023.0)</f>
        <v>2023</v>
      </c>
      <c r="L2644" s="298"/>
      <c r="M2644" s="223"/>
      <c r="N2644" s="223"/>
      <c r="O2644" s="223"/>
      <c r="P2644" s="223"/>
      <c r="Q2644" s="223"/>
      <c r="R2644" s="223"/>
      <c r="S2644" s="223"/>
      <c r="T2644" s="223"/>
      <c r="U2644" s="223"/>
      <c r="V2644" s="223"/>
      <c r="W2644" s="223"/>
      <c r="X2644" s="223"/>
      <c r="Y2644" s="223"/>
      <c r="Z2644" s="223"/>
    </row>
    <row r="2645">
      <c r="A2645" s="223" t="str">
        <f>IFERROR(__xludf.DUMMYFUNCTION("""COMPUTED_VALUE"""),"Luxe Bridal LLC : Monthly PPC")</f>
        <v>Luxe Bridal LLC : Monthly PPC</v>
      </c>
      <c r="B2645" s="223" t="str">
        <f>IFERROR(__xludf.DUMMYFUNCTION("""COMPUTED_VALUE"""),"Luxe Bridal LLC")</f>
        <v>Luxe Bridal LLC</v>
      </c>
      <c r="C2645" s="223" t="str">
        <f>IFERROR(__xludf.DUMMYFUNCTION("""COMPUTED_VALUE"""),"Monthly PPC")</f>
        <v>Monthly PPC</v>
      </c>
      <c r="D2645" s="316">
        <f>IFERROR(__xludf.DUMMYFUNCTION("""COMPUTED_VALUE"""),45046.0)</f>
        <v>45046</v>
      </c>
      <c r="E2645" s="298"/>
      <c r="F2645" s="298"/>
      <c r="G2645" s="298"/>
      <c r="H2645" s="223"/>
      <c r="I2645" s="298">
        <f>IFERROR(__xludf.DUMMYFUNCTION("""COMPUTED_VALUE"""),651.0)</f>
        <v>651</v>
      </c>
      <c r="J2645" s="223" t="str">
        <f>IFERROR(__xludf.DUMMYFUNCTION("""COMPUTED_VALUE"""),"Monthly")</f>
        <v>Monthly</v>
      </c>
      <c r="K2645" s="317">
        <f>IFERROR(__xludf.DUMMYFUNCTION("""COMPUTED_VALUE"""),2023.04)</f>
        <v>2023.04</v>
      </c>
      <c r="L2645" s="298"/>
      <c r="M2645" s="223"/>
      <c r="N2645" s="223"/>
      <c r="O2645" s="223"/>
      <c r="P2645" s="223"/>
      <c r="Q2645" s="223"/>
      <c r="R2645" s="223"/>
      <c r="S2645" s="223"/>
      <c r="T2645" s="223"/>
      <c r="U2645" s="223"/>
      <c r="V2645" s="223"/>
      <c r="W2645" s="223"/>
      <c r="X2645" s="223"/>
      <c r="Y2645" s="223"/>
      <c r="Z2645" s="223"/>
    </row>
    <row r="2646">
      <c r="A2646" s="223" t="str">
        <f>IFERROR(__xludf.DUMMYFUNCTION("""COMPUTED_VALUE"""),"Moloco : Monthly PPC")</f>
        <v>Moloco : Monthly PPC</v>
      </c>
      <c r="B2646" s="223" t="str">
        <f>IFERROR(__xludf.DUMMYFUNCTION("""COMPUTED_VALUE"""),"Moloco")</f>
        <v>Moloco</v>
      </c>
      <c r="C2646" s="223" t="str">
        <f>IFERROR(__xludf.DUMMYFUNCTION("""COMPUTED_VALUE"""),"Monthly PPC")</f>
        <v>Monthly PPC</v>
      </c>
      <c r="D2646" s="316">
        <f>IFERROR(__xludf.DUMMYFUNCTION("""COMPUTED_VALUE"""),45046.0)</f>
        <v>45046</v>
      </c>
      <c r="E2646" s="298"/>
      <c r="F2646" s="298"/>
      <c r="G2646" s="298"/>
      <c r="H2646" s="223"/>
      <c r="I2646" s="298">
        <f>IFERROR(__xludf.DUMMYFUNCTION("""COMPUTED_VALUE"""),45.0)</f>
        <v>45</v>
      </c>
      <c r="J2646" s="223" t="str">
        <f>IFERROR(__xludf.DUMMYFUNCTION("""COMPUTED_VALUE"""),"Monthly")</f>
        <v>Monthly</v>
      </c>
      <c r="K2646" s="317">
        <f>IFERROR(__xludf.DUMMYFUNCTION("""COMPUTED_VALUE"""),2023.04)</f>
        <v>2023.04</v>
      </c>
      <c r="L2646" s="298"/>
      <c r="M2646" s="223"/>
      <c r="N2646" s="223"/>
      <c r="O2646" s="223"/>
      <c r="P2646" s="223"/>
      <c r="Q2646" s="223"/>
      <c r="R2646" s="223"/>
      <c r="S2646" s="223"/>
      <c r="T2646" s="223"/>
      <c r="U2646" s="223"/>
      <c r="V2646" s="223"/>
      <c r="W2646" s="223"/>
      <c r="X2646" s="223"/>
      <c r="Y2646" s="223"/>
      <c r="Z2646" s="223"/>
    </row>
    <row r="2647">
      <c r="A2647" s="223" t="str">
        <f>IFERROR(__xludf.DUMMYFUNCTION("""COMPUTED_VALUE"""),"OA Region 6 : Monthly Services")</f>
        <v>OA Region 6 : Monthly Services</v>
      </c>
      <c r="B2647" s="223" t="str">
        <f>IFERROR(__xludf.DUMMYFUNCTION("""COMPUTED_VALUE"""),"OA Region 6")</f>
        <v>OA Region 6</v>
      </c>
      <c r="C2647" s="223" t="str">
        <f>IFERROR(__xludf.DUMMYFUNCTION("""COMPUTED_VALUE"""),"Monthly Services")</f>
        <v>Monthly Services</v>
      </c>
      <c r="D2647" s="316">
        <f>IFERROR(__xludf.DUMMYFUNCTION("""COMPUTED_VALUE"""),45046.0)</f>
        <v>45046</v>
      </c>
      <c r="E2647" s="298"/>
      <c r="F2647" s="298"/>
      <c r="G2647" s="298"/>
      <c r="H2647" s="223"/>
      <c r="I2647" s="298">
        <f>IFERROR(__xludf.DUMMYFUNCTION("""COMPUTED_VALUE"""),150.0)</f>
        <v>150</v>
      </c>
      <c r="J2647" s="223" t="str">
        <f>IFERROR(__xludf.DUMMYFUNCTION("""COMPUTED_VALUE"""),"Monthly")</f>
        <v>Monthly</v>
      </c>
      <c r="K2647" s="317">
        <f>IFERROR(__xludf.DUMMYFUNCTION("""COMPUTED_VALUE"""),2023.04)</f>
        <v>2023.04</v>
      </c>
      <c r="L2647" s="298"/>
      <c r="M2647" s="223"/>
      <c r="N2647" s="223"/>
      <c r="O2647" s="223"/>
      <c r="P2647" s="223"/>
      <c r="Q2647" s="223"/>
      <c r="R2647" s="223"/>
      <c r="S2647" s="223"/>
      <c r="T2647" s="223"/>
      <c r="U2647" s="223"/>
      <c r="V2647" s="223"/>
      <c r="W2647" s="223"/>
      <c r="X2647" s="223"/>
      <c r="Y2647" s="223"/>
      <c r="Z2647" s="223"/>
    </row>
    <row r="2648">
      <c r="A2648" s="223" t="str">
        <f>IFERROR(__xludf.DUMMYFUNCTION("""COMPUTED_VALUE"""),"Luxe Bridal LLC (LJM) : Monthly PPC")</f>
        <v>Luxe Bridal LLC (LJM) : Monthly PPC</v>
      </c>
      <c r="B2648" s="223" t="str">
        <f>IFERROR(__xludf.DUMMYFUNCTION("""COMPUTED_VALUE"""),"Luxe Bridal LLC (LJM)")</f>
        <v>Luxe Bridal LLC (LJM)</v>
      </c>
      <c r="C2648" s="223" t="str">
        <f>IFERROR(__xludf.DUMMYFUNCTION("""COMPUTED_VALUE"""),"Monthly PPC")</f>
        <v>Monthly PPC</v>
      </c>
      <c r="D2648" s="316">
        <f>IFERROR(__xludf.DUMMYFUNCTION("""COMPUTED_VALUE"""),45046.0)</f>
        <v>45046</v>
      </c>
      <c r="E2648" s="298"/>
      <c r="F2648" s="298"/>
      <c r="G2648" s="298"/>
      <c r="H2648" s="223"/>
      <c r="I2648" s="298">
        <f>IFERROR(__xludf.DUMMYFUNCTION("""COMPUTED_VALUE"""),279.0)</f>
        <v>279</v>
      </c>
      <c r="J2648" s="223" t="str">
        <f>IFERROR(__xludf.DUMMYFUNCTION("""COMPUTED_VALUE"""),"Monthly")</f>
        <v>Monthly</v>
      </c>
      <c r="K2648" s="317">
        <f>IFERROR(__xludf.DUMMYFUNCTION("""COMPUTED_VALUE"""),2023.04)</f>
        <v>2023.04</v>
      </c>
      <c r="L2648" s="298"/>
      <c r="M2648" s="223"/>
      <c r="N2648" s="223"/>
      <c r="O2648" s="223"/>
      <c r="P2648" s="223"/>
      <c r="Q2648" s="223"/>
      <c r="R2648" s="223"/>
      <c r="S2648" s="223"/>
      <c r="T2648" s="223"/>
      <c r="U2648" s="223"/>
      <c r="V2648" s="223"/>
      <c r="W2648" s="223"/>
      <c r="X2648" s="223"/>
      <c r="Y2648" s="223"/>
      <c r="Z2648" s="223"/>
    </row>
    <row r="2649">
      <c r="A2649" s="223" t="str">
        <f>IFERROR(__xludf.DUMMYFUNCTION("""COMPUTED_VALUE"""),"Availed Technologies : Monthly Services")</f>
        <v>Availed Technologies : Monthly Services</v>
      </c>
      <c r="B2649" s="223" t="str">
        <f>IFERROR(__xludf.DUMMYFUNCTION("""COMPUTED_VALUE"""),"Availed Technologies")</f>
        <v>Availed Technologies</v>
      </c>
      <c r="C2649" s="223" t="str">
        <f>IFERROR(__xludf.DUMMYFUNCTION("""COMPUTED_VALUE"""),"Monthly Services")</f>
        <v>Monthly Services</v>
      </c>
      <c r="D2649" s="316">
        <f>IFERROR(__xludf.DUMMYFUNCTION("""COMPUTED_VALUE"""),45046.0)</f>
        <v>45046</v>
      </c>
      <c r="E2649" s="298"/>
      <c r="F2649" s="298"/>
      <c r="G2649" s="298"/>
      <c r="H2649" s="223"/>
      <c r="I2649" s="298">
        <f>IFERROR(__xludf.DUMMYFUNCTION("""COMPUTED_VALUE"""),9.17)</f>
        <v>9.17</v>
      </c>
      <c r="J2649" s="223" t="str">
        <f>IFERROR(__xludf.DUMMYFUNCTION("""COMPUTED_VALUE"""),"Monthly")</f>
        <v>Monthly</v>
      </c>
      <c r="K2649" s="317">
        <f>IFERROR(__xludf.DUMMYFUNCTION("""COMPUTED_VALUE"""),2023.04)</f>
        <v>2023.04</v>
      </c>
      <c r="L2649" s="298"/>
      <c r="M2649" s="223"/>
      <c r="N2649" s="223"/>
      <c r="O2649" s="223"/>
      <c r="P2649" s="223"/>
      <c r="Q2649" s="223"/>
      <c r="R2649" s="223"/>
      <c r="S2649" s="223"/>
      <c r="T2649" s="223"/>
      <c r="U2649" s="223"/>
      <c r="V2649" s="223"/>
      <c r="W2649" s="223"/>
      <c r="X2649" s="223"/>
      <c r="Y2649" s="223"/>
      <c r="Z2649" s="223"/>
    </row>
    <row r="2650">
      <c r="A2650" s="223" t="str">
        <f>IFERROR(__xludf.DUMMYFUNCTION("""COMPUTED_VALUE"""),"Classic LifeCare : GA4 Upgrade")</f>
        <v>Classic LifeCare : GA4 Upgrade</v>
      </c>
      <c r="B2650" s="223" t="str">
        <f>IFERROR(__xludf.DUMMYFUNCTION("""COMPUTED_VALUE"""),"Classic LifeCare")</f>
        <v>Classic LifeCare</v>
      </c>
      <c r="C2650" s="223" t="str">
        <f>IFERROR(__xludf.DUMMYFUNCTION("""COMPUTED_VALUE"""),"GA4 Upgrade")</f>
        <v>GA4 Upgrade</v>
      </c>
      <c r="D2650" s="316">
        <f>IFERROR(__xludf.DUMMYFUNCTION("""COMPUTED_VALUE"""),45046.0)</f>
        <v>45046</v>
      </c>
      <c r="E2650" s="298"/>
      <c r="F2650" s="298"/>
      <c r="G2650" s="298"/>
      <c r="H2650" s="223"/>
      <c r="I2650" s="298">
        <f>IFERROR(__xludf.DUMMYFUNCTION("""COMPUTED_VALUE"""),248.2)</f>
        <v>248.2</v>
      </c>
      <c r="J2650" s="223" t="str">
        <f>IFERROR(__xludf.DUMMYFUNCTION("""COMPUTED_VALUE"""),"Fixed Project")</f>
        <v>Fixed Project</v>
      </c>
      <c r="K2650" s="317">
        <f>IFERROR(__xludf.DUMMYFUNCTION("""COMPUTED_VALUE"""),2023.0)</f>
        <v>2023</v>
      </c>
      <c r="L2650" s="298"/>
      <c r="M2650" s="223"/>
      <c r="N2650" s="223"/>
      <c r="O2650" s="223"/>
      <c r="P2650" s="223"/>
      <c r="Q2650" s="223"/>
      <c r="R2650" s="223"/>
      <c r="S2650" s="223"/>
      <c r="T2650" s="223"/>
      <c r="U2650" s="223"/>
      <c r="V2650" s="223"/>
      <c r="W2650" s="223"/>
      <c r="X2650" s="223"/>
      <c r="Y2650" s="223"/>
      <c r="Z2650" s="223"/>
    </row>
    <row r="2651">
      <c r="A2651" s="223" t="str">
        <f>IFERROR(__xludf.DUMMYFUNCTION("""COMPUTED_VALUE"""),"Cobble Beach : GA4 Upgrade")</f>
        <v>Cobble Beach : GA4 Upgrade</v>
      </c>
      <c r="B2651" s="223" t="str">
        <f>IFERROR(__xludf.DUMMYFUNCTION("""COMPUTED_VALUE"""),"Cobble Beach")</f>
        <v>Cobble Beach</v>
      </c>
      <c r="C2651" s="223" t="str">
        <f>IFERROR(__xludf.DUMMYFUNCTION("""COMPUTED_VALUE"""),"GA4 Upgrade")</f>
        <v>GA4 Upgrade</v>
      </c>
      <c r="D2651" s="316">
        <f>IFERROR(__xludf.DUMMYFUNCTION("""COMPUTED_VALUE"""),45046.0)</f>
        <v>45046</v>
      </c>
      <c r="E2651" s="298"/>
      <c r="F2651" s="298"/>
      <c r="G2651" s="298"/>
      <c r="H2651" s="223"/>
      <c r="I2651" s="298">
        <f>IFERROR(__xludf.DUMMYFUNCTION("""COMPUTED_VALUE"""),594.17)</f>
        <v>594.17</v>
      </c>
      <c r="J2651" s="223" t="str">
        <f>IFERROR(__xludf.DUMMYFUNCTION("""COMPUTED_VALUE"""),"Fixed Project")</f>
        <v>Fixed Project</v>
      </c>
      <c r="K2651" s="317">
        <f>IFERROR(__xludf.DUMMYFUNCTION("""COMPUTED_VALUE"""),2023.0)</f>
        <v>2023</v>
      </c>
      <c r="L2651" s="298"/>
      <c r="M2651" s="223"/>
      <c r="N2651" s="223"/>
      <c r="O2651" s="223"/>
      <c r="P2651" s="223"/>
      <c r="Q2651" s="223"/>
      <c r="R2651" s="223"/>
      <c r="S2651" s="223"/>
      <c r="T2651" s="223"/>
      <c r="U2651" s="223"/>
      <c r="V2651" s="223"/>
      <c r="W2651" s="223"/>
      <c r="X2651" s="223"/>
      <c r="Y2651" s="223"/>
      <c r="Z2651" s="223"/>
    </row>
    <row r="2652">
      <c r="A2652" s="223" t="str">
        <f>IFERROR(__xludf.DUMMYFUNCTION("""COMPUTED_VALUE"""),"Community Financials : Monthly Services")</f>
        <v>Community Financials : Monthly Services</v>
      </c>
      <c r="B2652" s="223" t="str">
        <f>IFERROR(__xludf.DUMMYFUNCTION("""COMPUTED_VALUE"""),"Community Financials")</f>
        <v>Community Financials</v>
      </c>
      <c r="C2652" s="223" t="str">
        <f>IFERROR(__xludf.DUMMYFUNCTION("""COMPUTED_VALUE"""),"Monthly Services")</f>
        <v>Monthly Services</v>
      </c>
      <c r="D2652" s="316">
        <f>IFERROR(__xludf.DUMMYFUNCTION("""COMPUTED_VALUE"""),45046.0)</f>
        <v>45046</v>
      </c>
      <c r="E2652" s="298"/>
      <c r="F2652" s="298"/>
      <c r="G2652" s="298"/>
      <c r="H2652" s="223"/>
      <c r="I2652" s="298">
        <f>IFERROR(__xludf.DUMMYFUNCTION("""COMPUTED_VALUE"""),14.84)</f>
        <v>14.84</v>
      </c>
      <c r="J2652" s="223" t="str">
        <f>IFERROR(__xludf.DUMMYFUNCTION("""COMPUTED_VALUE"""),"Monthly")</f>
        <v>Monthly</v>
      </c>
      <c r="K2652" s="317">
        <f>IFERROR(__xludf.DUMMYFUNCTION("""COMPUTED_VALUE"""),2023.04)</f>
        <v>2023.04</v>
      </c>
      <c r="L2652" s="298"/>
      <c r="M2652" s="223"/>
      <c r="N2652" s="223"/>
      <c r="O2652" s="223"/>
      <c r="P2652" s="223"/>
      <c r="Q2652" s="223"/>
      <c r="R2652" s="223"/>
      <c r="S2652" s="223"/>
      <c r="T2652" s="223"/>
      <c r="U2652" s="223"/>
      <c r="V2652" s="223"/>
      <c r="W2652" s="223"/>
      <c r="X2652" s="223"/>
      <c r="Y2652" s="223"/>
      <c r="Z2652" s="223"/>
    </row>
    <row r="2653">
      <c r="A2653" s="223" t="str">
        <f>IFERROR(__xludf.DUMMYFUNCTION("""COMPUTED_VALUE"""),"McAllister Marketing : Copernic PPC / SEO")</f>
        <v>McAllister Marketing : Copernic PPC / SEO</v>
      </c>
      <c r="B2653" s="223" t="str">
        <f>IFERROR(__xludf.DUMMYFUNCTION("""COMPUTED_VALUE"""),"McAllister Marketing")</f>
        <v>McAllister Marketing</v>
      </c>
      <c r="C2653" s="223" t="str">
        <f>IFERROR(__xludf.DUMMYFUNCTION("""COMPUTED_VALUE"""),"Copernic PPC / SEO")</f>
        <v>Copernic PPC / SEO</v>
      </c>
      <c r="D2653" s="316">
        <f>IFERROR(__xludf.DUMMYFUNCTION("""COMPUTED_VALUE"""),45046.0)</f>
        <v>45046</v>
      </c>
      <c r="E2653" s="298"/>
      <c r="F2653" s="298"/>
      <c r="G2653" s="298"/>
      <c r="H2653" s="223"/>
      <c r="I2653" s="298">
        <f>IFERROR(__xludf.DUMMYFUNCTION("""COMPUTED_VALUE"""),67.62)</f>
        <v>67.62</v>
      </c>
      <c r="J2653" s="223" t="str">
        <f>IFERROR(__xludf.DUMMYFUNCTION("""COMPUTED_VALUE"""),"Monthly")</f>
        <v>Monthly</v>
      </c>
      <c r="K2653" s="317">
        <f>IFERROR(__xludf.DUMMYFUNCTION("""COMPUTED_VALUE"""),2023.04)</f>
        <v>2023.04</v>
      </c>
      <c r="L2653" s="298"/>
      <c r="M2653" s="223"/>
      <c r="N2653" s="223"/>
      <c r="O2653" s="223"/>
      <c r="P2653" s="223"/>
      <c r="Q2653" s="223"/>
      <c r="R2653" s="223"/>
      <c r="S2653" s="223"/>
      <c r="T2653" s="223"/>
      <c r="U2653" s="223"/>
      <c r="V2653" s="223"/>
      <c r="W2653" s="223"/>
      <c r="X2653" s="223"/>
      <c r="Y2653" s="223"/>
      <c r="Z2653" s="223"/>
    </row>
    <row r="2654">
      <c r="A2654" s="223" t="str">
        <f>IFERROR(__xludf.DUMMYFUNCTION("""COMPUTED_VALUE"""),"Dinning Hunter : Website Rebuild")</f>
        <v>Dinning Hunter : Website Rebuild</v>
      </c>
      <c r="B2654" s="223" t="str">
        <f>IFERROR(__xludf.DUMMYFUNCTION("""COMPUTED_VALUE"""),"Dinning Hunter")</f>
        <v>Dinning Hunter</v>
      </c>
      <c r="C2654" s="223" t="str">
        <f>IFERROR(__xludf.DUMMYFUNCTION("""COMPUTED_VALUE"""),"Website Rebuild")</f>
        <v>Website Rebuild</v>
      </c>
      <c r="D2654" s="316">
        <f>IFERROR(__xludf.DUMMYFUNCTION("""COMPUTED_VALUE"""),45046.0)</f>
        <v>45046</v>
      </c>
      <c r="E2654" s="298"/>
      <c r="F2654" s="298"/>
      <c r="G2654" s="298"/>
      <c r="H2654" s="223"/>
      <c r="I2654" s="298">
        <f>IFERROR(__xludf.DUMMYFUNCTION("""COMPUTED_VALUE"""),457.85)</f>
        <v>457.85</v>
      </c>
      <c r="J2654" s="223" t="str">
        <f>IFERROR(__xludf.DUMMYFUNCTION("""COMPUTED_VALUE"""),"Fixed Project")</f>
        <v>Fixed Project</v>
      </c>
      <c r="K2654" s="317">
        <f>IFERROR(__xludf.DUMMYFUNCTION("""COMPUTED_VALUE"""),2023.0)</f>
        <v>2023</v>
      </c>
      <c r="L2654" s="298"/>
      <c r="M2654" s="223"/>
      <c r="N2654" s="223"/>
      <c r="O2654" s="223"/>
      <c r="P2654" s="223"/>
      <c r="Q2654" s="223"/>
      <c r="R2654" s="223"/>
      <c r="S2654" s="223"/>
      <c r="T2654" s="223"/>
      <c r="U2654" s="223"/>
      <c r="V2654" s="223"/>
      <c r="W2654" s="223"/>
      <c r="X2654" s="223"/>
      <c r="Y2654" s="223"/>
      <c r="Z2654" s="223"/>
    </row>
    <row r="2655">
      <c r="A2655" s="223" t="str">
        <f>IFERROR(__xludf.DUMMYFUNCTION("""COMPUTED_VALUE"""),"ESKO Pacific : Website Rebuild")</f>
        <v>ESKO Pacific : Website Rebuild</v>
      </c>
      <c r="B2655" s="223" t="str">
        <f>IFERROR(__xludf.DUMMYFUNCTION("""COMPUTED_VALUE"""),"ESKO Pacific")</f>
        <v>ESKO Pacific</v>
      </c>
      <c r="C2655" s="223" t="str">
        <f>IFERROR(__xludf.DUMMYFUNCTION("""COMPUTED_VALUE"""),"Website Rebuild")</f>
        <v>Website Rebuild</v>
      </c>
      <c r="D2655" s="316">
        <f>IFERROR(__xludf.DUMMYFUNCTION("""COMPUTED_VALUE"""),45046.0)</f>
        <v>45046</v>
      </c>
      <c r="E2655" s="298"/>
      <c r="F2655" s="298"/>
      <c r="G2655" s="298"/>
      <c r="H2655" s="223"/>
      <c r="I2655" s="298">
        <f>IFERROR(__xludf.DUMMYFUNCTION("""COMPUTED_VALUE"""),1184.57)</f>
        <v>1184.57</v>
      </c>
      <c r="J2655" s="223" t="str">
        <f>IFERROR(__xludf.DUMMYFUNCTION("""COMPUTED_VALUE"""),"Fixed Project")</f>
        <v>Fixed Project</v>
      </c>
      <c r="K2655" s="317">
        <f>IFERROR(__xludf.DUMMYFUNCTION("""COMPUTED_VALUE"""),2023.0)</f>
        <v>2023</v>
      </c>
      <c r="L2655" s="298"/>
      <c r="M2655" s="223"/>
      <c r="N2655" s="223"/>
      <c r="O2655" s="223"/>
      <c r="P2655" s="223"/>
      <c r="Q2655" s="223"/>
      <c r="R2655" s="223"/>
      <c r="S2655" s="223"/>
      <c r="T2655" s="223"/>
      <c r="U2655" s="223"/>
      <c r="V2655" s="223"/>
      <c r="W2655" s="223"/>
      <c r="X2655" s="223"/>
      <c r="Y2655" s="223"/>
      <c r="Z2655" s="223"/>
    </row>
    <row r="2656">
      <c r="A2656" s="223" t="str">
        <f>IFERROR(__xludf.DUMMYFUNCTION("""COMPUTED_VALUE"""),"GreenLane Offroad : PPC, SEO &amp; Analytics Work")</f>
        <v>GreenLane Offroad : PPC, SEO &amp; Analytics Work</v>
      </c>
      <c r="B2656" s="223" t="str">
        <f>IFERROR(__xludf.DUMMYFUNCTION("""COMPUTED_VALUE"""),"GreenLane Offroad")</f>
        <v>GreenLane Offroad</v>
      </c>
      <c r="C2656" s="223" t="str">
        <f>IFERROR(__xludf.DUMMYFUNCTION("""COMPUTED_VALUE"""),"PPC, SEO &amp; Analytics Work")</f>
        <v>PPC, SEO &amp; Analytics Work</v>
      </c>
      <c r="D2656" s="316">
        <f>IFERROR(__xludf.DUMMYFUNCTION("""COMPUTED_VALUE"""),45046.0)</f>
        <v>45046</v>
      </c>
      <c r="E2656" s="298"/>
      <c r="F2656" s="298"/>
      <c r="G2656" s="298"/>
      <c r="H2656" s="223"/>
      <c r="I2656" s="298">
        <f>IFERROR(__xludf.DUMMYFUNCTION("""COMPUTED_VALUE"""),2.15)</f>
        <v>2.15</v>
      </c>
      <c r="J2656" s="223" t="str">
        <f>IFERROR(__xludf.DUMMYFUNCTION("""COMPUTED_VALUE"""),"Monthly")</f>
        <v>Monthly</v>
      </c>
      <c r="K2656" s="317">
        <f>IFERROR(__xludf.DUMMYFUNCTION("""COMPUTED_VALUE"""),2023.04)</f>
        <v>2023.04</v>
      </c>
      <c r="L2656" s="298"/>
      <c r="M2656" s="223"/>
      <c r="N2656" s="223"/>
      <c r="O2656" s="223"/>
      <c r="P2656" s="223"/>
      <c r="Q2656" s="223"/>
      <c r="R2656" s="223"/>
      <c r="S2656" s="223"/>
      <c r="T2656" s="223"/>
      <c r="U2656" s="223"/>
      <c r="V2656" s="223"/>
      <c r="W2656" s="223"/>
      <c r="X2656" s="223"/>
      <c r="Y2656" s="223"/>
      <c r="Z2656" s="223"/>
    </row>
    <row r="2657">
      <c r="A2657" s="223" t="str">
        <f>IFERROR(__xludf.DUMMYFUNCTION("""COMPUTED_VALUE"""),"GreenLane Offroad : PPC, SEO &amp; Analytics Work")</f>
        <v>GreenLane Offroad : PPC, SEO &amp; Analytics Work</v>
      </c>
      <c r="B2657" s="223" t="str">
        <f>IFERROR(__xludf.DUMMYFUNCTION("""COMPUTED_VALUE"""),"GreenLane Offroad")</f>
        <v>GreenLane Offroad</v>
      </c>
      <c r="C2657" s="223" t="str">
        <f>IFERROR(__xludf.DUMMYFUNCTION("""COMPUTED_VALUE"""),"PPC, SEO &amp; Analytics Work")</f>
        <v>PPC, SEO &amp; Analytics Work</v>
      </c>
      <c r="D2657" s="316">
        <f>IFERROR(__xludf.DUMMYFUNCTION("""COMPUTED_VALUE"""),45046.0)</f>
        <v>45046</v>
      </c>
      <c r="E2657" s="298"/>
      <c r="F2657" s="298"/>
      <c r="G2657" s="298"/>
      <c r="H2657" s="223"/>
      <c r="I2657" s="298">
        <f>IFERROR(__xludf.DUMMYFUNCTION("""COMPUTED_VALUE"""),66.7)</f>
        <v>66.7</v>
      </c>
      <c r="J2657" s="223" t="str">
        <f>IFERROR(__xludf.DUMMYFUNCTION("""COMPUTED_VALUE"""),"Monthly")</f>
        <v>Monthly</v>
      </c>
      <c r="K2657" s="317">
        <f>IFERROR(__xludf.DUMMYFUNCTION("""COMPUTED_VALUE"""),2023.04)</f>
        <v>2023.04</v>
      </c>
      <c r="L2657" s="298"/>
      <c r="M2657" s="223"/>
      <c r="N2657" s="223"/>
      <c r="O2657" s="223"/>
      <c r="P2657" s="223"/>
      <c r="Q2657" s="223"/>
      <c r="R2657" s="223"/>
      <c r="S2657" s="223"/>
      <c r="T2657" s="223"/>
      <c r="U2657" s="223"/>
      <c r="V2657" s="223"/>
      <c r="W2657" s="223"/>
      <c r="X2657" s="223"/>
      <c r="Y2657" s="223"/>
      <c r="Z2657" s="223"/>
    </row>
    <row r="2658">
      <c r="A2658" s="223" t="str">
        <f>IFERROR(__xludf.DUMMYFUNCTION("""COMPUTED_VALUE"""),"Continuity Programs Inc. : 3 Month Google Ads Camapign")</f>
        <v>Continuity Programs Inc. : 3 Month Google Ads Camapign</v>
      </c>
      <c r="B2658" s="223" t="str">
        <f>IFERROR(__xludf.DUMMYFUNCTION("""COMPUTED_VALUE"""),"Continuity Programs Inc.")</f>
        <v>Continuity Programs Inc.</v>
      </c>
      <c r="C2658" s="223" t="str">
        <f>IFERROR(__xludf.DUMMYFUNCTION("""COMPUTED_VALUE"""),"3 Month Google Ads Camapign")</f>
        <v>3 Month Google Ads Camapign</v>
      </c>
      <c r="D2658" s="316">
        <f>IFERROR(__xludf.DUMMYFUNCTION("""COMPUTED_VALUE"""),45046.0)</f>
        <v>45046</v>
      </c>
      <c r="E2658" s="298"/>
      <c r="F2658" s="298"/>
      <c r="G2658" s="298"/>
      <c r="H2658" s="223"/>
      <c r="I2658" s="298">
        <f>IFERROR(__xludf.DUMMYFUNCTION("""COMPUTED_VALUE"""),25.5)</f>
        <v>25.5</v>
      </c>
      <c r="J2658" s="223" t="str">
        <f>IFERROR(__xludf.DUMMYFUNCTION("""COMPUTED_VALUE"""),"Fixed Project")</f>
        <v>Fixed Project</v>
      </c>
      <c r="K2658" s="317">
        <f>IFERROR(__xludf.DUMMYFUNCTION("""COMPUTED_VALUE"""),2023.0)</f>
        <v>2023</v>
      </c>
      <c r="L2658" s="298"/>
      <c r="M2658" s="223"/>
      <c r="N2658" s="223"/>
      <c r="O2658" s="223"/>
      <c r="P2658" s="223"/>
      <c r="Q2658" s="223"/>
      <c r="R2658" s="223"/>
      <c r="S2658" s="223"/>
      <c r="T2658" s="223"/>
      <c r="U2658" s="223"/>
      <c r="V2658" s="223"/>
      <c r="W2658" s="223"/>
      <c r="X2658" s="223"/>
      <c r="Y2658" s="223"/>
      <c r="Z2658" s="223"/>
    </row>
    <row r="2659">
      <c r="A2659" s="223" t="str">
        <f>IFERROR(__xludf.DUMMYFUNCTION("""COMPUTED_VALUE"""),"Ideon : 5 Hour Support Block")</f>
        <v>Ideon : 5 Hour Support Block</v>
      </c>
      <c r="B2659" s="223" t="str">
        <f>IFERROR(__xludf.DUMMYFUNCTION("""COMPUTED_VALUE"""),"Ideon")</f>
        <v>Ideon</v>
      </c>
      <c r="C2659" s="223" t="str">
        <f>IFERROR(__xludf.DUMMYFUNCTION("""COMPUTED_VALUE"""),"5 Hour Support Block")</f>
        <v>5 Hour Support Block</v>
      </c>
      <c r="D2659" s="316">
        <f>IFERROR(__xludf.DUMMYFUNCTION("""COMPUTED_VALUE"""),45046.0)</f>
        <v>45046</v>
      </c>
      <c r="E2659" s="298"/>
      <c r="F2659" s="298"/>
      <c r="G2659" s="298"/>
      <c r="H2659" s="223"/>
      <c r="I2659" s="298">
        <f>IFERROR(__xludf.DUMMYFUNCTION("""COMPUTED_VALUE"""),31.76)</f>
        <v>31.76</v>
      </c>
      <c r="J2659" s="223" t="str">
        <f>IFERROR(__xludf.DUMMYFUNCTION("""COMPUTED_VALUE"""),"Fixed Project")</f>
        <v>Fixed Project</v>
      </c>
      <c r="K2659" s="317">
        <f>IFERROR(__xludf.DUMMYFUNCTION("""COMPUTED_VALUE"""),2023.0)</f>
        <v>2023</v>
      </c>
      <c r="L2659" s="298"/>
      <c r="M2659" s="223"/>
      <c r="N2659" s="223"/>
      <c r="O2659" s="223"/>
      <c r="P2659" s="223"/>
      <c r="Q2659" s="223"/>
      <c r="R2659" s="223"/>
      <c r="S2659" s="223"/>
      <c r="T2659" s="223"/>
      <c r="U2659" s="223"/>
      <c r="V2659" s="223"/>
      <c r="W2659" s="223"/>
      <c r="X2659" s="223"/>
      <c r="Y2659" s="223"/>
      <c r="Z2659" s="223"/>
    </row>
    <row r="2660">
      <c r="A2660" s="223" t="str">
        <f>IFERROR(__xludf.DUMMYFUNCTION("""COMPUTED_VALUE"""),"Ideon : Website")</f>
        <v>Ideon : Website</v>
      </c>
      <c r="B2660" s="223" t="str">
        <f>IFERROR(__xludf.DUMMYFUNCTION("""COMPUTED_VALUE"""),"Ideon")</f>
        <v>Ideon</v>
      </c>
      <c r="C2660" s="223" t="str">
        <f>IFERROR(__xludf.DUMMYFUNCTION("""COMPUTED_VALUE"""),"Website")</f>
        <v>Website</v>
      </c>
      <c r="D2660" s="316">
        <f>IFERROR(__xludf.DUMMYFUNCTION("""COMPUTED_VALUE"""),45046.0)</f>
        <v>45046</v>
      </c>
      <c r="E2660" s="298"/>
      <c r="F2660" s="298"/>
      <c r="G2660" s="298"/>
      <c r="H2660" s="223"/>
      <c r="I2660" s="298">
        <f>IFERROR(__xludf.DUMMYFUNCTION("""COMPUTED_VALUE"""),407.24)</f>
        <v>407.24</v>
      </c>
      <c r="J2660" s="223" t="str">
        <f>IFERROR(__xludf.DUMMYFUNCTION("""COMPUTED_VALUE"""),"Fixed Project")</f>
        <v>Fixed Project</v>
      </c>
      <c r="K2660" s="317">
        <f>IFERROR(__xludf.DUMMYFUNCTION("""COMPUTED_VALUE"""),2023.0)</f>
        <v>2023</v>
      </c>
      <c r="L2660" s="298"/>
      <c r="M2660" s="223"/>
      <c r="N2660" s="223"/>
      <c r="O2660" s="223"/>
      <c r="P2660" s="223"/>
      <c r="Q2660" s="223"/>
      <c r="R2660" s="223"/>
      <c r="S2660" s="223"/>
      <c r="T2660" s="223"/>
      <c r="U2660" s="223"/>
      <c r="V2660" s="223"/>
      <c r="W2660" s="223"/>
      <c r="X2660" s="223"/>
      <c r="Y2660" s="223"/>
      <c r="Z2660" s="223"/>
    </row>
    <row r="2661">
      <c r="A2661" s="223" t="str">
        <f>IFERROR(__xludf.DUMMYFUNCTION("""COMPUTED_VALUE"""),"Luxe Bridal LLC : Monthly PPC")</f>
        <v>Luxe Bridal LLC : Monthly PPC</v>
      </c>
      <c r="B2661" s="223" t="str">
        <f>IFERROR(__xludf.DUMMYFUNCTION("""COMPUTED_VALUE"""),"Luxe Bridal LLC")</f>
        <v>Luxe Bridal LLC</v>
      </c>
      <c r="C2661" s="223" t="str">
        <f>IFERROR(__xludf.DUMMYFUNCTION("""COMPUTED_VALUE"""),"Monthly PPC")</f>
        <v>Monthly PPC</v>
      </c>
      <c r="D2661" s="316">
        <f>IFERROR(__xludf.DUMMYFUNCTION("""COMPUTED_VALUE"""),45046.0)</f>
        <v>45046</v>
      </c>
      <c r="E2661" s="298"/>
      <c r="F2661" s="298"/>
      <c r="G2661" s="298"/>
      <c r="H2661" s="223"/>
      <c r="I2661" s="298">
        <f>IFERROR(__xludf.DUMMYFUNCTION("""COMPUTED_VALUE"""),19.27)</f>
        <v>19.27</v>
      </c>
      <c r="J2661" s="223" t="str">
        <f>IFERROR(__xludf.DUMMYFUNCTION("""COMPUTED_VALUE"""),"Monthly")</f>
        <v>Monthly</v>
      </c>
      <c r="K2661" s="317">
        <f>IFERROR(__xludf.DUMMYFUNCTION("""COMPUTED_VALUE"""),2023.04)</f>
        <v>2023.04</v>
      </c>
      <c r="L2661" s="298"/>
      <c r="M2661" s="223"/>
      <c r="N2661" s="223"/>
      <c r="O2661" s="223"/>
      <c r="P2661" s="223"/>
      <c r="Q2661" s="223"/>
      <c r="R2661" s="223"/>
      <c r="S2661" s="223"/>
      <c r="T2661" s="223"/>
      <c r="U2661" s="223"/>
      <c r="V2661" s="223"/>
      <c r="W2661" s="223"/>
      <c r="X2661" s="223"/>
      <c r="Y2661" s="223"/>
      <c r="Z2661" s="223"/>
    </row>
    <row r="2662">
      <c r="A2662" s="223" t="str">
        <f>IFERROR(__xludf.DUMMYFUNCTION("""COMPUTED_VALUE"""),"Maker House : Website Review")</f>
        <v>Maker House : Website Review</v>
      </c>
      <c r="B2662" s="223" t="str">
        <f>IFERROR(__xludf.DUMMYFUNCTION("""COMPUTED_VALUE"""),"Maker House")</f>
        <v>Maker House</v>
      </c>
      <c r="C2662" s="223" t="str">
        <f>IFERROR(__xludf.DUMMYFUNCTION("""COMPUTED_VALUE"""),"Website Review")</f>
        <v>Website Review</v>
      </c>
      <c r="D2662" s="316">
        <f>IFERROR(__xludf.DUMMYFUNCTION("""COMPUTED_VALUE"""),45046.0)</f>
        <v>45046</v>
      </c>
      <c r="E2662" s="298"/>
      <c r="F2662" s="298"/>
      <c r="G2662" s="298"/>
      <c r="H2662" s="223"/>
      <c r="I2662" s="298">
        <f>IFERROR(__xludf.DUMMYFUNCTION("""COMPUTED_VALUE"""),294.33)</f>
        <v>294.33</v>
      </c>
      <c r="J2662" s="223" t="str">
        <f>IFERROR(__xludf.DUMMYFUNCTION("""COMPUTED_VALUE"""),"Fixed Project")</f>
        <v>Fixed Project</v>
      </c>
      <c r="K2662" s="317">
        <f>IFERROR(__xludf.DUMMYFUNCTION("""COMPUTED_VALUE"""),2023.0)</f>
        <v>2023</v>
      </c>
      <c r="L2662" s="298"/>
      <c r="M2662" s="223"/>
      <c r="N2662" s="223"/>
      <c r="O2662" s="223"/>
      <c r="P2662" s="223"/>
      <c r="Q2662" s="223"/>
      <c r="R2662" s="223"/>
      <c r="S2662" s="223"/>
      <c r="T2662" s="223"/>
      <c r="U2662" s="223"/>
      <c r="V2662" s="223"/>
      <c r="W2662" s="223"/>
      <c r="X2662" s="223"/>
      <c r="Y2662" s="223"/>
      <c r="Z2662" s="223"/>
    </row>
    <row r="2663">
      <c r="A2663" s="223" t="str">
        <f>IFERROR(__xludf.DUMMYFUNCTION("""COMPUTED_VALUE"""),"PlusROI : Admin")</f>
        <v>PlusROI : Admin</v>
      </c>
      <c r="B2663" s="223" t="str">
        <f>IFERROR(__xludf.DUMMYFUNCTION("""COMPUTED_VALUE"""),"PlusROI")</f>
        <v>PlusROI</v>
      </c>
      <c r="C2663" s="223" t="str">
        <f>IFERROR(__xludf.DUMMYFUNCTION("""COMPUTED_VALUE"""),"Admin")</f>
        <v>Admin</v>
      </c>
      <c r="D2663" s="316">
        <f>IFERROR(__xludf.DUMMYFUNCTION("""COMPUTED_VALUE"""),45046.0)</f>
        <v>45046</v>
      </c>
      <c r="E2663" s="298"/>
      <c r="F2663" s="298"/>
      <c r="G2663" s="298"/>
      <c r="H2663" s="223"/>
      <c r="I2663" s="298">
        <f>IFERROR(__xludf.DUMMYFUNCTION("""COMPUTED_VALUE"""),717.72)</f>
        <v>717.72</v>
      </c>
      <c r="J2663" s="223" t="str">
        <f>IFERROR(__xludf.DUMMYFUNCTION("""COMPUTED_VALUE"""),"Hourly")</f>
        <v>Hourly</v>
      </c>
      <c r="K2663" s="317">
        <f>IFERROR(__xludf.DUMMYFUNCTION("""COMPUTED_VALUE"""),2023.0)</f>
        <v>2023</v>
      </c>
      <c r="L2663" s="298"/>
      <c r="M2663" s="223"/>
      <c r="N2663" s="223"/>
      <c r="O2663" s="223"/>
      <c r="P2663" s="223"/>
      <c r="Q2663" s="223"/>
      <c r="R2663" s="223"/>
      <c r="S2663" s="223"/>
      <c r="T2663" s="223"/>
      <c r="U2663" s="223"/>
      <c r="V2663" s="223"/>
      <c r="W2663" s="223"/>
      <c r="X2663" s="223"/>
      <c r="Y2663" s="223"/>
      <c r="Z2663" s="223"/>
    </row>
    <row r="2664">
      <c r="A2664" s="223" t="str">
        <f>IFERROR(__xludf.DUMMYFUNCTION("""COMPUTED_VALUE"""),"Sacred Deathcare : Maintainance Retainer")</f>
        <v>Sacred Deathcare : Maintainance Retainer</v>
      </c>
      <c r="B2664" s="223" t="str">
        <f>IFERROR(__xludf.DUMMYFUNCTION("""COMPUTED_VALUE"""),"Sacred Deathcare")</f>
        <v>Sacred Deathcare</v>
      </c>
      <c r="C2664" s="223" t="str">
        <f>IFERROR(__xludf.DUMMYFUNCTION("""COMPUTED_VALUE"""),"Maintainance Retainer")</f>
        <v>Maintainance Retainer</v>
      </c>
      <c r="D2664" s="316">
        <f>IFERROR(__xludf.DUMMYFUNCTION("""COMPUTED_VALUE"""),45046.0)</f>
        <v>45046</v>
      </c>
      <c r="E2664" s="298"/>
      <c r="F2664" s="298"/>
      <c r="G2664" s="298"/>
      <c r="H2664" s="223"/>
      <c r="I2664" s="298">
        <f>IFERROR(__xludf.DUMMYFUNCTION("""COMPUTED_VALUE"""),166.24)</f>
        <v>166.24</v>
      </c>
      <c r="J2664" s="223" t="str">
        <f>IFERROR(__xludf.DUMMYFUNCTION("""COMPUTED_VALUE"""),"Monthly")</f>
        <v>Monthly</v>
      </c>
      <c r="K2664" s="317">
        <f>IFERROR(__xludf.DUMMYFUNCTION("""COMPUTED_VALUE"""),2023.04)</f>
        <v>2023.04</v>
      </c>
      <c r="L2664" s="298"/>
      <c r="M2664" s="223"/>
      <c r="N2664" s="223"/>
      <c r="O2664" s="223"/>
      <c r="P2664" s="223"/>
      <c r="Q2664" s="223"/>
      <c r="R2664" s="223"/>
      <c r="S2664" s="223"/>
      <c r="T2664" s="223"/>
      <c r="U2664" s="223"/>
      <c r="V2664" s="223"/>
      <c r="W2664" s="223"/>
      <c r="X2664" s="223"/>
      <c r="Y2664" s="223"/>
      <c r="Z2664" s="223"/>
    </row>
    <row r="2665">
      <c r="A2665" s="223" t="str">
        <f>IFERROR(__xludf.DUMMYFUNCTION("""COMPUTED_VALUE"""),"Sharon Wardle : 5 Hours General Support")</f>
        <v>Sharon Wardle : 5 Hours General Support</v>
      </c>
      <c r="B2665" s="223" t="str">
        <f>IFERROR(__xludf.DUMMYFUNCTION("""COMPUTED_VALUE"""),"Sharon Wardle")</f>
        <v>Sharon Wardle</v>
      </c>
      <c r="C2665" s="223" t="str">
        <f>IFERROR(__xludf.DUMMYFUNCTION("""COMPUTED_VALUE"""),"5 Hours General Support")</f>
        <v>5 Hours General Support</v>
      </c>
      <c r="D2665" s="316">
        <f>IFERROR(__xludf.DUMMYFUNCTION("""COMPUTED_VALUE"""),45046.0)</f>
        <v>45046</v>
      </c>
      <c r="E2665" s="298"/>
      <c r="F2665" s="298"/>
      <c r="G2665" s="298"/>
      <c r="H2665" s="223"/>
      <c r="I2665" s="298">
        <f>IFERROR(__xludf.DUMMYFUNCTION("""COMPUTED_VALUE"""),6.14)</f>
        <v>6.14</v>
      </c>
      <c r="J2665" s="223" t="str">
        <f>IFERROR(__xludf.DUMMYFUNCTION("""COMPUTED_VALUE"""),"Fixed Project")</f>
        <v>Fixed Project</v>
      </c>
      <c r="K2665" s="317">
        <f>IFERROR(__xludf.DUMMYFUNCTION("""COMPUTED_VALUE"""),2023.0)</f>
        <v>2023</v>
      </c>
      <c r="L2665" s="298"/>
      <c r="M2665" s="223"/>
      <c r="N2665" s="223"/>
      <c r="O2665" s="223"/>
      <c r="P2665" s="223"/>
      <c r="Q2665" s="223"/>
      <c r="R2665" s="223"/>
      <c r="S2665" s="223"/>
      <c r="T2665" s="223"/>
      <c r="U2665" s="223"/>
      <c r="V2665" s="223"/>
      <c r="W2665" s="223"/>
      <c r="X2665" s="223"/>
      <c r="Y2665" s="223"/>
      <c r="Z2665" s="223"/>
    </row>
    <row r="2666">
      <c r="A2666" s="223" t="str">
        <f>IFERROR(__xludf.DUMMYFUNCTION("""COMPUTED_VALUE"""),"The Palms : 10 Hour General Support Block")</f>
        <v>The Palms : 10 Hour General Support Block</v>
      </c>
      <c r="B2666" s="223" t="str">
        <f>IFERROR(__xludf.DUMMYFUNCTION("""COMPUTED_VALUE"""),"The Palms")</f>
        <v>The Palms</v>
      </c>
      <c r="C2666" s="223" t="str">
        <f>IFERROR(__xludf.DUMMYFUNCTION("""COMPUTED_VALUE"""),"10 Hour General Support Block")</f>
        <v>10 Hour General Support Block</v>
      </c>
      <c r="D2666" s="316">
        <f>IFERROR(__xludf.DUMMYFUNCTION("""COMPUTED_VALUE"""),45046.0)</f>
        <v>45046</v>
      </c>
      <c r="E2666" s="298"/>
      <c r="F2666" s="298"/>
      <c r="G2666" s="298"/>
      <c r="H2666" s="223"/>
      <c r="I2666" s="298">
        <f>IFERROR(__xludf.DUMMYFUNCTION("""COMPUTED_VALUE"""),10.81)</f>
        <v>10.81</v>
      </c>
      <c r="J2666" s="223" t="str">
        <f>IFERROR(__xludf.DUMMYFUNCTION("""COMPUTED_VALUE"""),"Fixed Project")</f>
        <v>Fixed Project</v>
      </c>
      <c r="K2666" s="317">
        <f>IFERROR(__xludf.DUMMYFUNCTION("""COMPUTED_VALUE"""),2023.0)</f>
        <v>2023</v>
      </c>
      <c r="L2666" s="298"/>
      <c r="M2666" s="223"/>
      <c r="N2666" s="223"/>
      <c r="O2666" s="223"/>
      <c r="P2666" s="223"/>
      <c r="Q2666" s="223"/>
      <c r="R2666" s="223"/>
      <c r="S2666" s="223"/>
      <c r="T2666" s="223"/>
      <c r="U2666" s="223"/>
      <c r="V2666" s="223"/>
      <c r="W2666" s="223"/>
      <c r="X2666" s="223"/>
      <c r="Y2666" s="223"/>
      <c r="Z2666" s="223"/>
    </row>
    <row r="2667">
      <c r="A2667" s="223" t="str">
        <f>IFERROR(__xludf.DUMMYFUNCTION("""COMPUTED_VALUE"""),"The Sands : 10 Hour General Support Block")</f>
        <v>The Sands : 10 Hour General Support Block</v>
      </c>
      <c r="B2667" s="223" t="str">
        <f>IFERROR(__xludf.DUMMYFUNCTION("""COMPUTED_VALUE"""),"The Sands")</f>
        <v>The Sands</v>
      </c>
      <c r="C2667" s="223" t="str">
        <f>IFERROR(__xludf.DUMMYFUNCTION("""COMPUTED_VALUE"""),"10 Hour General Support Block")</f>
        <v>10 Hour General Support Block</v>
      </c>
      <c r="D2667" s="316">
        <f>IFERROR(__xludf.DUMMYFUNCTION("""COMPUTED_VALUE"""),45046.0)</f>
        <v>45046</v>
      </c>
      <c r="E2667" s="298"/>
      <c r="F2667" s="298"/>
      <c r="G2667" s="298"/>
      <c r="H2667" s="223"/>
      <c r="I2667" s="298">
        <f>IFERROR(__xludf.DUMMYFUNCTION("""COMPUTED_VALUE"""),94.45)</f>
        <v>94.45</v>
      </c>
      <c r="J2667" s="223" t="str">
        <f>IFERROR(__xludf.DUMMYFUNCTION("""COMPUTED_VALUE"""),"Fixed Project")</f>
        <v>Fixed Project</v>
      </c>
      <c r="K2667" s="317">
        <f>IFERROR(__xludf.DUMMYFUNCTION("""COMPUTED_VALUE"""),2023.0)</f>
        <v>2023</v>
      </c>
      <c r="L2667" s="298"/>
      <c r="M2667" s="223"/>
      <c r="N2667" s="223"/>
      <c r="O2667" s="223"/>
      <c r="P2667" s="223"/>
      <c r="Q2667" s="223"/>
      <c r="R2667" s="223"/>
      <c r="S2667" s="223"/>
      <c r="T2667" s="223"/>
      <c r="U2667" s="223"/>
      <c r="V2667" s="223"/>
      <c r="W2667" s="223"/>
      <c r="X2667" s="223"/>
      <c r="Y2667" s="223"/>
      <c r="Z2667" s="223"/>
    </row>
    <row r="2668">
      <c r="A2668" s="223" t="str">
        <f>IFERROR(__xludf.DUMMYFUNCTION("""COMPUTED_VALUE"""),"The Shore Club : 10 Hour General Support Block")</f>
        <v>The Shore Club : 10 Hour General Support Block</v>
      </c>
      <c r="B2668" s="223" t="str">
        <f>IFERROR(__xludf.DUMMYFUNCTION("""COMPUTED_VALUE"""),"The Shore Club")</f>
        <v>The Shore Club</v>
      </c>
      <c r="C2668" s="223" t="str">
        <f>IFERROR(__xludf.DUMMYFUNCTION("""COMPUTED_VALUE"""),"10 Hour General Support Block")</f>
        <v>10 Hour General Support Block</v>
      </c>
      <c r="D2668" s="316">
        <f>IFERROR(__xludf.DUMMYFUNCTION("""COMPUTED_VALUE"""),45046.0)</f>
        <v>45046</v>
      </c>
      <c r="E2668" s="298"/>
      <c r="F2668" s="298"/>
      <c r="G2668" s="298"/>
      <c r="H2668" s="223"/>
      <c r="I2668" s="298">
        <f>IFERROR(__xludf.DUMMYFUNCTION("""COMPUTED_VALUE"""),57.18)</f>
        <v>57.18</v>
      </c>
      <c r="J2668" s="223" t="str">
        <f>IFERROR(__xludf.DUMMYFUNCTION("""COMPUTED_VALUE"""),"Fixed Project")</f>
        <v>Fixed Project</v>
      </c>
      <c r="K2668" s="317">
        <f>IFERROR(__xludf.DUMMYFUNCTION("""COMPUTED_VALUE"""),2023.0)</f>
        <v>2023</v>
      </c>
      <c r="L2668" s="298"/>
      <c r="M2668" s="223"/>
      <c r="N2668" s="223"/>
      <c r="O2668" s="223"/>
      <c r="P2668" s="223"/>
      <c r="Q2668" s="223"/>
      <c r="R2668" s="223"/>
      <c r="S2668" s="223"/>
      <c r="T2668" s="223"/>
      <c r="U2668" s="223"/>
      <c r="V2668" s="223"/>
      <c r="W2668" s="223"/>
      <c r="X2668" s="223"/>
      <c r="Y2668" s="223"/>
      <c r="Z2668" s="223"/>
    </row>
    <row r="2669">
      <c r="A2669" s="223" t="str">
        <f>IFERROR(__xludf.DUMMYFUNCTION("""COMPUTED_VALUE"""),"TisBest : Monthly Services")</f>
        <v>TisBest : Monthly Services</v>
      </c>
      <c r="B2669" s="223" t="str">
        <f>IFERROR(__xludf.DUMMYFUNCTION("""COMPUTED_VALUE"""),"TisBest")</f>
        <v>TisBest</v>
      </c>
      <c r="C2669" s="223" t="str">
        <f>IFERROR(__xludf.DUMMYFUNCTION("""COMPUTED_VALUE"""),"Monthly Services")</f>
        <v>Monthly Services</v>
      </c>
      <c r="D2669" s="316">
        <f>IFERROR(__xludf.DUMMYFUNCTION("""COMPUTED_VALUE"""),45046.0)</f>
        <v>45046</v>
      </c>
      <c r="E2669" s="298"/>
      <c r="F2669" s="298"/>
      <c r="G2669" s="298"/>
      <c r="H2669" s="223"/>
      <c r="I2669" s="298">
        <f>IFERROR(__xludf.DUMMYFUNCTION("""COMPUTED_VALUE"""),104.36)</f>
        <v>104.36</v>
      </c>
      <c r="J2669" s="223" t="str">
        <f>IFERROR(__xludf.DUMMYFUNCTION("""COMPUTED_VALUE"""),"Monthly")</f>
        <v>Monthly</v>
      </c>
      <c r="K2669" s="317">
        <f>IFERROR(__xludf.DUMMYFUNCTION("""COMPUTED_VALUE"""),2023.04)</f>
        <v>2023.04</v>
      </c>
      <c r="L2669" s="298"/>
      <c r="M2669" s="223"/>
      <c r="N2669" s="223"/>
      <c r="O2669" s="223"/>
      <c r="P2669" s="223"/>
      <c r="Q2669" s="223"/>
      <c r="R2669" s="223"/>
      <c r="S2669" s="223"/>
      <c r="T2669" s="223"/>
      <c r="U2669" s="223"/>
      <c r="V2669" s="223"/>
      <c r="W2669" s="223"/>
      <c r="X2669" s="223"/>
      <c r="Y2669" s="223"/>
      <c r="Z2669" s="223"/>
    </row>
    <row r="2670">
      <c r="A2670" s="223" t="str">
        <f>IFERROR(__xludf.DUMMYFUNCTION("""COMPUTED_VALUE"""),"Villa del Mar : Enhanced Hosting &amp; WordPress Support")</f>
        <v>Villa del Mar : Enhanced Hosting &amp; WordPress Support</v>
      </c>
      <c r="B2670" s="223" t="str">
        <f>IFERROR(__xludf.DUMMYFUNCTION("""COMPUTED_VALUE"""),"Villa del Mar")</f>
        <v>Villa del Mar</v>
      </c>
      <c r="C2670" s="223" t="str">
        <f>IFERROR(__xludf.DUMMYFUNCTION("""COMPUTED_VALUE"""),"Enhanced Hosting &amp; WordPress Support")</f>
        <v>Enhanced Hosting &amp; WordPress Support</v>
      </c>
      <c r="D2670" s="316">
        <f>IFERROR(__xludf.DUMMYFUNCTION("""COMPUTED_VALUE"""),45046.0)</f>
        <v>45046</v>
      </c>
      <c r="E2670" s="298"/>
      <c r="F2670" s="298"/>
      <c r="G2670" s="298"/>
      <c r="H2670" s="223"/>
      <c r="I2670" s="298">
        <f>IFERROR(__xludf.DUMMYFUNCTION("""COMPUTED_VALUE"""),8.75)</f>
        <v>8.75</v>
      </c>
      <c r="J2670" s="223" t="str">
        <f>IFERROR(__xludf.DUMMYFUNCTION("""COMPUTED_VALUE"""),"Monthly")</f>
        <v>Monthly</v>
      </c>
      <c r="K2670" s="317">
        <f>IFERROR(__xludf.DUMMYFUNCTION("""COMPUTED_VALUE"""),2023.04)</f>
        <v>2023.04</v>
      </c>
      <c r="L2670" s="298"/>
      <c r="M2670" s="223"/>
      <c r="N2670" s="223"/>
      <c r="O2670" s="223"/>
      <c r="P2670" s="223"/>
      <c r="Q2670" s="223"/>
      <c r="R2670" s="223"/>
      <c r="S2670" s="223"/>
      <c r="T2670" s="223"/>
      <c r="U2670" s="223"/>
      <c r="V2670" s="223"/>
      <c r="W2670" s="223"/>
      <c r="X2670" s="223"/>
      <c r="Y2670" s="223"/>
      <c r="Z2670" s="223"/>
    </row>
    <row r="2671">
      <c r="A2671" s="223" t="str">
        <f>IFERROR(__xludf.DUMMYFUNCTION("""COMPUTED_VALUE"""),"Venetian : Monthly Services")</f>
        <v>Venetian : Monthly Services</v>
      </c>
      <c r="B2671" s="223" t="str">
        <f>IFERROR(__xludf.DUMMYFUNCTION("""COMPUTED_VALUE"""),"Venetian")</f>
        <v>Venetian</v>
      </c>
      <c r="C2671" s="223" t="str">
        <f>IFERROR(__xludf.DUMMYFUNCTION("""COMPUTED_VALUE"""),"Monthly Services")</f>
        <v>Monthly Services</v>
      </c>
      <c r="D2671" s="316">
        <f>IFERROR(__xludf.DUMMYFUNCTION("""COMPUTED_VALUE"""),45035.0)</f>
        <v>45035</v>
      </c>
      <c r="E2671" s="298"/>
      <c r="F2671" s="298"/>
      <c r="G2671" s="298"/>
      <c r="H2671" s="223"/>
      <c r="I2671" s="298">
        <f>IFERROR(__xludf.DUMMYFUNCTION("""COMPUTED_VALUE"""),750.0)</f>
        <v>750</v>
      </c>
      <c r="J2671" s="223" t="str">
        <f>IFERROR(__xludf.DUMMYFUNCTION("""COMPUTED_VALUE"""),"Monthly")</f>
        <v>Monthly</v>
      </c>
      <c r="K2671" s="317">
        <f>IFERROR(__xludf.DUMMYFUNCTION("""COMPUTED_VALUE"""),2023.04)</f>
        <v>2023.04</v>
      </c>
      <c r="L2671" s="298">
        <f>IFERROR(__xludf.DUMMYFUNCTION("""COMPUTED_VALUE"""),750.0)</f>
        <v>750</v>
      </c>
      <c r="M2671" s="223"/>
      <c r="N2671" s="223"/>
      <c r="O2671" s="223"/>
      <c r="P2671" s="223"/>
      <c r="Q2671" s="223"/>
      <c r="R2671" s="223"/>
      <c r="S2671" s="223"/>
      <c r="T2671" s="223"/>
      <c r="U2671" s="223"/>
      <c r="V2671" s="223"/>
      <c r="W2671" s="223"/>
      <c r="X2671" s="223"/>
      <c r="Y2671" s="223"/>
      <c r="Z2671" s="223"/>
    </row>
    <row r="2672">
      <c r="A2672" s="223" t="str">
        <f>IFERROR(__xludf.DUMMYFUNCTION("""COMPUTED_VALUE"""),"Tuscany : Monthly Services")</f>
        <v>Tuscany : Monthly Services</v>
      </c>
      <c r="B2672" s="223" t="str">
        <f>IFERROR(__xludf.DUMMYFUNCTION("""COMPUTED_VALUE"""),"Tuscany")</f>
        <v>Tuscany</v>
      </c>
      <c r="C2672" s="223" t="str">
        <f>IFERROR(__xludf.DUMMYFUNCTION("""COMPUTED_VALUE"""),"Monthly Services")</f>
        <v>Monthly Services</v>
      </c>
      <c r="D2672" s="316">
        <f>IFERROR(__xludf.DUMMYFUNCTION("""COMPUTED_VALUE"""),45036.0)</f>
        <v>45036</v>
      </c>
      <c r="E2672" s="298"/>
      <c r="F2672" s="298"/>
      <c r="G2672" s="298"/>
      <c r="H2672" s="223"/>
      <c r="I2672" s="298">
        <f>IFERROR(__xludf.DUMMYFUNCTION("""COMPUTED_VALUE"""),750.0)</f>
        <v>750</v>
      </c>
      <c r="J2672" s="223" t="str">
        <f>IFERROR(__xludf.DUMMYFUNCTION("""COMPUTED_VALUE"""),"Monthly")</f>
        <v>Monthly</v>
      </c>
      <c r="K2672" s="317">
        <f>IFERROR(__xludf.DUMMYFUNCTION("""COMPUTED_VALUE"""),2023.04)</f>
        <v>2023.04</v>
      </c>
      <c r="L2672" s="298">
        <f>IFERROR(__xludf.DUMMYFUNCTION("""COMPUTED_VALUE"""),750.0)</f>
        <v>750</v>
      </c>
      <c r="M2672" s="223"/>
      <c r="N2672" s="223"/>
      <c r="O2672" s="223"/>
      <c r="P2672" s="223"/>
      <c r="Q2672" s="223"/>
      <c r="R2672" s="223"/>
      <c r="S2672" s="223"/>
      <c r="T2672" s="223"/>
      <c r="U2672" s="223"/>
      <c r="V2672" s="223"/>
      <c r="W2672" s="223"/>
      <c r="X2672" s="223"/>
      <c r="Y2672" s="223"/>
      <c r="Z2672" s="223"/>
    </row>
    <row r="2673">
      <c r="A2673" s="223" t="str">
        <f>IFERROR(__xludf.DUMMYFUNCTION("""COMPUTED_VALUE"""),"Spraggs : Monthly Services")</f>
        <v>Spraggs : Monthly Services</v>
      </c>
      <c r="B2673" s="223" t="str">
        <f>IFERROR(__xludf.DUMMYFUNCTION("""COMPUTED_VALUE"""),"Spraggs")</f>
        <v>Spraggs</v>
      </c>
      <c r="C2673" s="223" t="str">
        <f>IFERROR(__xludf.DUMMYFUNCTION("""COMPUTED_VALUE"""),"Monthly Services")</f>
        <v>Monthly Services</v>
      </c>
      <c r="D2673" s="316">
        <f>IFERROR(__xludf.DUMMYFUNCTION("""COMPUTED_VALUE"""),45041.0)</f>
        <v>45041</v>
      </c>
      <c r="E2673" s="298"/>
      <c r="F2673" s="298"/>
      <c r="G2673" s="298"/>
      <c r="H2673" s="223"/>
      <c r="I2673" s="298">
        <f>IFERROR(__xludf.DUMMYFUNCTION("""COMPUTED_VALUE"""),46.19)</f>
        <v>46.19</v>
      </c>
      <c r="J2673" s="223" t="str">
        <f>IFERROR(__xludf.DUMMYFUNCTION("""COMPUTED_VALUE"""),"Monthly")</f>
        <v>Monthly</v>
      </c>
      <c r="K2673" s="317">
        <f>IFERROR(__xludf.DUMMYFUNCTION("""COMPUTED_VALUE"""),2023.04)</f>
        <v>2023.04</v>
      </c>
      <c r="L2673" s="298">
        <f>IFERROR(__xludf.DUMMYFUNCTION("""COMPUTED_VALUE"""),46.19)</f>
        <v>46.19</v>
      </c>
      <c r="M2673" s="223"/>
      <c r="N2673" s="223"/>
      <c r="O2673" s="223"/>
      <c r="P2673" s="223"/>
      <c r="Q2673" s="223"/>
      <c r="R2673" s="223"/>
      <c r="S2673" s="223"/>
      <c r="T2673" s="223"/>
      <c r="U2673" s="223"/>
      <c r="V2673" s="223"/>
      <c r="W2673" s="223"/>
      <c r="X2673" s="223"/>
      <c r="Y2673" s="223"/>
      <c r="Z2673" s="223"/>
    </row>
    <row r="2674">
      <c r="A2674" s="223" t="str">
        <f>IFERROR(__xludf.DUMMYFUNCTION("""COMPUTED_VALUE"""),"Venetian : Monthly Services")</f>
        <v>Venetian : Monthly Services</v>
      </c>
      <c r="B2674" s="223" t="str">
        <f>IFERROR(__xludf.DUMMYFUNCTION("""COMPUTED_VALUE"""),"Venetian")</f>
        <v>Venetian</v>
      </c>
      <c r="C2674" s="223" t="str">
        <f>IFERROR(__xludf.DUMMYFUNCTION("""COMPUTED_VALUE"""),"Monthly Services")</f>
        <v>Monthly Services</v>
      </c>
      <c r="D2674" s="316">
        <f>IFERROR(__xludf.DUMMYFUNCTION("""COMPUTED_VALUE"""),45047.0)</f>
        <v>45047</v>
      </c>
      <c r="E2674" s="298"/>
      <c r="F2674" s="298"/>
      <c r="G2674" s="298"/>
      <c r="H2674" s="223"/>
      <c r="I2674" s="298">
        <f>IFERROR(__xludf.DUMMYFUNCTION("""COMPUTED_VALUE"""),723.74)</f>
        <v>723.74</v>
      </c>
      <c r="J2674" s="223" t="str">
        <f>IFERROR(__xludf.DUMMYFUNCTION("""COMPUTED_VALUE"""),"Monthly")</f>
        <v>Monthly</v>
      </c>
      <c r="K2674" s="317">
        <f>IFERROR(__xludf.DUMMYFUNCTION("""COMPUTED_VALUE"""),2023.05)</f>
        <v>2023.05</v>
      </c>
      <c r="L2674" s="298">
        <f>IFERROR(__xludf.DUMMYFUNCTION("""COMPUTED_VALUE"""),723.74)</f>
        <v>723.74</v>
      </c>
      <c r="M2674" s="223"/>
      <c r="N2674" s="223"/>
      <c r="O2674" s="223"/>
      <c r="P2674" s="223"/>
      <c r="Q2674" s="223"/>
      <c r="R2674" s="223"/>
      <c r="S2674" s="223"/>
      <c r="T2674" s="223"/>
      <c r="U2674" s="223"/>
      <c r="V2674" s="223"/>
      <c r="W2674" s="223"/>
      <c r="X2674" s="223"/>
      <c r="Y2674" s="223"/>
      <c r="Z2674" s="223"/>
    </row>
    <row r="2675">
      <c r="A2675" s="223" t="str">
        <f>IFERROR(__xludf.DUMMYFUNCTION("""COMPUTED_VALUE"""),"PlusROI : Overhead")</f>
        <v>PlusROI : Overhead</v>
      </c>
      <c r="B2675" s="223" t="str">
        <f>IFERROR(__xludf.DUMMYFUNCTION("""COMPUTED_VALUE"""),"PlusROI")</f>
        <v>PlusROI</v>
      </c>
      <c r="C2675" s="223" t="str">
        <f>IFERROR(__xludf.DUMMYFUNCTION("""COMPUTED_VALUE"""),"Overhead")</f>
        <v>Overhead</v>
      </c>
      <c r="D2675" s="316">
        <f>IFERROR(__xludf.DUMMYFUNCTION("""COMPUTED_VALUE"""),45047.0)</f>
        <v>45047</v>
      </c>
      <c r="E2675" s="298"/>
      <c r="F2675" s="298"/>
      <c r="G2675" s="298"/>
      <c r="H2675" s="223"/>
      <c r="I2675" s="298">
        <f>IFERROR(__xludf.DUMMYFUNCTION("""COMPUTED_VALUE"""),499.41)</f>
        <v>499.41</v>
      </c>
      <c r="J2675" s="223" t="str">
        <f>IFERROR(__xludf.DUMMYFUNCTION("""COMPUTED_VALUE"""),"Hourly")</f>
        <v>Hourly</v>
      </c>
      <c r="K2675" s="317">
        <f>IFERROR(__xludf.DUMMYFUNCTION("""COMPUTED_VALUE"""),2023.0)</f>
        <v>2023</v>
      </c>
      <c r="L2675" s="298"/>
      <c r="M2675" s="223"/>
      <c r="N2675" s="223"/>
      <c r="O2675" s="223"/>
      <c r="P2675" s="223"/>
      <c r="Q2675" s="223"/>
      <c r="R2675" s="223"/>
      <c r="S2675" s="223"/>
      <c r="T2675" s="223"/>
      <c r="U2675" s="223"/>
      <c r="V2675" s="223"/>
      <c r="W2675" s="223"/>
      <c r="X2675" s="223"/>
      <c r="Y2675" s="223"/>
      <c r="Z2675" s="223"/>
    </row>
    <row r="2676">
      <c r="A2676" s="223" t="str">
        <f>IFERROR(__xludf.DUMMYFUNCTION("""COMPUTED_VALUE"""),"Tuscany : Monthly Services")</f>
        <v>Tuscany : Monthly Services</v>
      </c>
      <c r="B2676" s="223" t="str">
        <f>IFERROR(__xludf.DUMMYFUNCTION("""COMPUTED_VALUE"""),"Tuscany")</f>
        <v>Tuscany</v>
      </c>
      <c r="C2676" s="223" t="str">
        <f>IFERROR(__xludf.DUMMYFUNCTION("""COMPUTED_VALUE"""),"Monthly Services")</f>
        <v>Monthly Services</v>
      </c>
      <c r="D2676" s="316">
        <f>IFERROR(__xludf.DUMMYFUNCTION("""COMPUTED_VALUE"""),45047.0)</f>
        <v>45047</v>
      </c>
      <c r="E2676" s="298"/>
      <c r="F2676" s="298"/>
      <c r="G2676" s="298"/>
      <c r="H2676" s="223"/>
      <c r="I2676" s="298">
        <f>IFERROR(__xludf.DUMMYFUNCTION("""COMPUTED_VALUE"""),688.47)</f>
        <v>688.47</v>
      </c>
      <c r="J2676" s="223" t="str">
        <f>IFERROR(__xludf.DUMMYFUNCTION("""COMPUTED_VALUE"""),"Monthly")</f>
        <v>Monthly</v>
      </c>
      <c r="K2676" s="317">
        <f>IFERROR(__xludf.DUMMYFUNCTION("""COMPUTED_VALUE"""),2023.05)</f>
        <v>2023.05</v>
      </c>
      <c r="L2676" s="298">
        <f>IFERROR(__xludf.DUMMYFUNCTION("""COMPUTED_VALUE"""),688.47)</f>
        <v>688.47</v>
      </c>
      <c r="M2676" s="223"/>
      <c r="N2676" s="223"/>
      <c r="O2676" s="223"/>
      <c r="P2676" s="223"/>
      <c r="Q2676" s="223"/>
      <c r="R2676" s="223"/>
      <c r="S2676" s="223"/>
      <c r="T2676" s="223"/>
      <c r="U2676" s="223"/>
      <c r="V2676" s="223"/>
      <c r="W2676" s="223"/>
      <c r="X2676" s="223"/>
      <c r="Y2676" s="223"/>
      <c r="Z2676" s="223"/>
    </row>
    <row r="2677">
      <c r="A2677" s="223" t="str">
        <f>IFERROR(__xludf.DUMMYFUNCTION("""COMPUTED_VALUE"""),"Availed Technologies : Monthly Services")</f>
        <v>Availed Technologies : Monthly Services</v>
      </c>
      <c r="B2677" s="223" t="str">
        <f>IFERROR(__xludf.DUMMYFUNCTION("""COMPUTED_VALUE"""),"Availed Technologies")</f>
        <v>Availed Technologies</v>
      </c>
      <c r="C2677" s="223" t="str">
        <f>IFERROR(__xludf.DUMMYFUNCTION("""COMPUTED_VALUE"""),"Monthly Services")</f>
        <v>Monthly Services</v>
      </c>
      <c r="D2677" s="316">
        <f>IFERROR(__xludf.DUMMYFUNCTION("""COMPUTED_VALUE"""),45046.0)</f>
        <v>45046</v>
      </c>
      <c r="E2677" s="298"/>
      <c r="F2677" s="298"/>
      <c r="G2677" s="298"/>
      <c r="H2677" s="223"/>
      <c r="I2677" s="298">
        <f>IFERROR(__xludf.DUMMYFUNCTION("""COMPUTED_VALUE"""),337.5)</f>
        <v>337.5</v>
      </c>
      <c r="J2677" s="223" t="str">
        <f>IFERROR(__xludf.DUMMYFUNCTION("""COMPUTED_VALUE"""),"Monthly")</f>
        <v>Monthly</v>
      </c>
      <c r="K2677" s="317">
        <f>IFERROR(__xludf.DUMMYFUNCTION("""COMPUTED_VALUE"""),2023.04)</f>
        <v>2023.04</v>
      </c>
      <c r="L2677" s="298"/>
      <c r="M2677" s="223"/>
      <c r="N2677" s="223"/>
      <c r="O2677" s="223"/>
      <c r="P2677" s="223"/>
      <c r="Q2677" s="223"/>
      <c r="R2677" s="223"/>
      <c r="S2677" s="223"/>
      <c r="T2677" s="223"/>
      <c r="U2677" s="223"/>
      <c r="V2677" s="223"/>
      <c r="W2677" s="223"/>
      <c r="X2677" s="223"/>
      <c r="Y2677" s="223"/>
      <c r="Z2677" s="223"/>
    </row>
    <row r="2678">
      <c r="A2678" s="223" t="str">
        <f>IFERROR(__xludf.DUMMYFUNCTION("""COMPUTED_VALUE"""),"Community Financials : Monthly Services")</f>
        <v>Community Financials : Monthly Services</v>
      </c>
      <c r="B2678" s="223" t="str">
        <f>IFERROR(__xludf.DUMMYFUNCTION("""COMPUTED_VALUE"""),"Community Financials")</f>
        <v>Community Financials</v>
      </c>
      <c r="C2678" s="223" t="str">
        <f>IFERROR(__xludf.DUMMYFUNCTION("""COMPUTED_VALUE"""),"Monthly Services")</f>
        <v>Monthly Services</v>
      </c>
      <c r="D2678" s="316">
        <f>IFERROR(__xludf.DUMMYFUNCTION("""COMPUTED_VALUE"""),45046.0)</f>
        <v>45046</v>
      </c>
      <c r="E2678" s="298"/>
      <c r="F2678" s="298"/>
      <c r="G2678" s="298"/>
      <c r="H2678" s="223"/>
      <c r="I2678" s="298">
        <f>IFERROR(__xludf.DUMMYFUNCTION("""COMPUTED_VALUE"""),350.0)</f>
        <v>350</v>
      </c>
      <c r="J2678" s="223" t="str">
        <f>IFERROR(__xludf.DUMMYFUNCTION("""COMPUTED_VALUE"""),"Monthly")</f>
        <v>Monthly</v>
      </c>
      <c r="K2678" s="317">
        <f>IFERROR(__xludf.DUMMYFUNCTION("""COMPUTED_VALUE"""),2023.04)</f>
        <v>2023.04</v>
      </c>
      <c r="L2678" s="298"/>
      <c r="M2678" s="223"/>
      <c r="N2678" s="223"/>
      <c r="O2678" s="223"/>
      <c r="P2678" s="223"/>
      <c r="Q2678" s="223"/>
      <c r="R2678" s="223"/>
      <c r="S2678" s="223"/>
      <c r="T2678" s="223"/>
      <c r="U2678" s="223"/>
      <c r="V2678" s="223"/>
      <c r="W2678" s="223"/>
      <c r="X2678" s="223"/>
      <c r="Y2678" s="223"/>
      <c r="Z2678" s="223"/>
    </row>
    <row r="2679">
      <c r="A2679" s="223" t="str">
        <f>IFERROR(__xludf.DUMMYFUNCTION("""COMPUTED_VALUE"""),"Howard Fine Jewellers : Ongoing PPC and SEO Support")</f>
        <v>Howard Fine Jewellers : Ongoing PPC and SEO Support</v>
      </c>
      <c r="B2679" s="223" t="str">
        <f>IFERROR(__xludf.DUMMYFUNCTION("""COMPUTED_VALUE"""),"Howard Fine Jewellers")</f>
        <v>Howard Fine Jewellers</v>
      </c>
      <c r="C2679" s="223" t="str">
        <f>IFERROR(__xludf.DUMMYFUNCTION("""COMPUTED_VALUE"""),"Ongoing PPC and SEO Support")</f>
        <v>Ongoing PPC and SEO Support</v>
      </c>
      <c r="D2679" s="316">
        <f>IFERROR(__xludf.DUMMYFUNCTION("""COMPUTED_VALUE"""),45046.0)</f>
        <v>45046</v>
      </c>
      <c r="E2679" s="298"/>
      <c r="F2679" s="298"/>
      <c r="G2679" s="298"/>
      <c r="H2679" s="223"/>
      <c r="I2679" s="298">
        <f>IFERROR(__xludf.DUMMYFUNCTION("""COMPUTED_VALUE"""),300.0)</f>
        <v>300</v>
      </c>
      <c r="J2679" s="223" t="str">
        <f>IFERROR(__xludf.DUMMYFUNCTION("""COMPUTED_VALUE"""),"Monthly")</f>
        <v>Monthly</v>
      </c>
      <c r="K2679" s="317">
        <f>IFERROR(__xludf.DUMMYFUNCTION("""COMPUTED_VALUE"""),2023.04)</f>
        <v>2023.04</v>
      </c>
      <c r="L2679" s="298"/>
      <c r="M2679" s="223"/>
      <c r="N2679" s="223"/>
      <c r="O2679" s="223"/>
      <c r="P2679" s="223"/>
      <c r="Q2679" s="223"/>
      <c r="R2679" s="223"/>
      <c r="S2679" s="223"/>
      <c r="T2679" s="223"/>
      <c r="U2679" s="223"/>
      <c r="V2679" s="223"/>
      <c r="W2679" s="223"/>
      <c r="X2679" s="223"/>
      <c r="Y2679" s="223"/>
      <c r="Z2679" s="223"/>
    </row>
    <row r="2680">
      <c r="A2680" s="223" t="str">
        <f>IFERROR(__xludf.DUMMYFUNCTION("""COMPUTED_VALUE"""),"McAllister Marketing : Copernic PPC / SEO")</f>
        <v>McAllister Marketing : Copernic PPC / SEO</v>
      </c>
      <c r="B2680" s="223" t="str">
        <f>IFERROR(__xludf.DUMMYFUNCTION("""COMPUTED_VALUE"""),"McAllister Marketing")</f>
        <v>McAllister Marketing</v>
      </c>
      <c r="C2680" s="223" t="str">
        <f>IFERROR(__xludf.DUMMYFUNCTION("""COMPUTED_VALUE"""),"Copernic PPC / SEO")</f>
        <v>Copernic PPC / SEO</v>
      </c>
      <c r="D2680" s="316">
        <f>IFERROR(__xludf.DUMMYFUNCTION("""COMPUTED_VALUE"""),45046.0)</f>
        <v>45046</v>
      </c>
      <c r="E2680" s="298"/>
      <c r="F2680" s="298"/>
      <c r="G2680" s="298"/>
      <c r="H2680" s="223"/>
      <c r="I2680" s="298">
        <f>IFERROR(__xludf.DUMMYFUNCTION("""COMPUTED_VALUE"""),300.0)</f>
        <v>300</v>
      </c>
      <c r="J2680" s="223" t="str">
        <f>IFERROR(__xludf.DUMMYFUNCTION("""COMPUTED_VALUE"""),"Monthly")</f>
        <v>Monthly</v>
      </c>
      <c r="K2680" s="317">
        <f>IFERROR(__xludf.DUMMYFUNCTION("""COMPUTED_VALUE"""),2023.04)</f>
        <v>2023.04</v>
      </c>
      <c r="L2680" s="298"/>
      <c r="M2680" s="223"/>
      <c r="N2680" s="223"/>
      <c r="O2680" s="223"/>
      <c r="P2680" s="223"/>
      <c r="Q2680" s="223"/>
      <c r="R2680" s="223"/>
      <c r="S2680" s="223"/>
      <c r="T2680" s="223"/>
      <c r="U2680" s="223"/>
      <c r="V2680" s="223"/>
      <c r="W2680" s="223"/>
      <c r="X2680" s="223"/>
      <c r="Y2680" s="223"/>
      <c r="Z2680" s="223"/>
    </row>
    <row r="2681">
      <c r="A2681" s="223" t="str">
        <f>IFERROR(__xludf.DUMMYFUNCTION("""COMPUTED_VALUE"""),"Ultimate Tools : Monthly SEO &amp; PPC Management")</f>
        <v>Ultimate Tools : Monthly SEO &amp; PPC Management</v>
      </c>
      <c r="B2681" s="223" t="str">
        <f>IFERROR(__xludf.DUMMYFUNCTION("""COMPUTED_VALUE"""),"Ultimate Tools")</f>
        <v>Ultimate Tools</v>
      </c>
      <c r="C2681" s="223" t="str">
        <f>IFERROR(__xludf.DUMMYFUNCTION("""COMPUTED_VALUE"""),"Monthly SEO &amp; PPC Management")</f>
        <v>Monthly SEO &amp; PPC Management</v>
      </c>
      <c r="D2681" s="316">
        <f>IFERROR(__xludf.DUMMYFUNCTION("""COMPUTED_VALUE"""),45046.0)</f>
        <v>45046</v>
      </c>
      <c r="E2681" s="298"/>
      <c r="F2681" s="298"/>
      <c r="G2681" s="298"/>
      <c r="H2681" s="223"/>
      <c r="I2681" s="298">
        <f>IFERROR(__xludf.DUMMYFUNCTION("""COMPUTED_VALUE"""),215.0)</f>
        <v>215</v>
      </c>
      <c r="J2681" s="223" t="str">
        <f>IFERROR(__xludf.DUMMYFUNCTION("""COMPUTED_VALUE"""),"Monthly")</f>
        <v>Monthly</v>
      </c>
      <c r="K2681" s="317">
        <f>IFERROR(__xludf.DUMMYFUNCTION("""COMPUTED_VALUE"""),2023.04)</f>
        <v>2023.04</v>
      </c>
      <c r="L2681" s="298"/>
      <c r="M2681" s="223"/>
      <c r="N2681" s="223"/>
      <c r="O2681" s="223"/>
      <c r="P2681" s="223"/>
      <c r="Q2681" s="223"/>
      <c r="R2681" s="223"/>
      <c r="S2681" s="223"/>
      <c r="T2681" s="223"/>
      <c r="U2681" s="223"/>
      <c r="V2681" s="223"/>
      <c r="W2681" s="223"/>
      <c r="X2681" s="223"/>
      <c r="Y2681" s="223"/>
      <c r="Z2681" s="223"/>
    </row>
    <row r="2682">
      <c r="A2682" s="223" t="str">
        <f>IFERROR(__xludf.DUMMYFUNCTION("""COMPUTED_VALUE"""),"GreenLane Offroad : PPC, SEO &amp; Analytics Work")</f>
        <v>GreenLane Offroad : PPC, SEO &amp; Analytics Work</v>
      </c>
      <c r="B2682" s="223" t="str">
        <f>IFERROR(__xludf.DUMMYFUNCTION("""COMPUTED_VALUE"""),"GreenLane Offroad")</f>
        <v>GreenLane Offroad</v>
      </c>
      <c r="C2682" s="223" t="str">
        <f>IFERROR(__xludf.DUMMYFUNCTION("""COMPUTED_VALUE"""),"PPC, SEO &amp; Analytics Work")</f>
        <v>PPC, SEO &amp; Analytics Work</v>
      </c>
      <c r="D2682" s="316">
        <f>IFERROR(__xludf.DUMMYFUNCTION("""COMPUTED_VALUE"""),45046.0)</f>
        <v>45046</v>
      </c>
      <c r="E2682" s="298"/>
      <c r="F2682" s="298"/>
      <c r="G2682" s="298"/>
      <c r="H2682" s="223"/>
      <c r="I2682" s="298">
        <f>IFERROR(__xludf.DUMMYFUNCTION("""COMPUTED_VALUE"""),665.0)</f>
        <v>665</v>
      </c>
      <c r="J2682" s="223" t="str">
        <f>IFERROR(__xludf.DUMMYFUNCTION("""COMPUTED_VALUE"""),"Monthly")</f>
        <v>Monthly</v>
      </c>
      <c r="K2682" s="317">
        <f>IFERROR(__xludf.DUMMYFUNCTION("""COMPUTED_VALUE"""),2023.04)</f>
        <v>2023.04</v>
      </c>
      <c r="L2682" s="298"/>
      <c r="M2682" s="223"/>
      <c r="N2682" s="223"/>
      <c r="O2682" s="223"/>
      <c r="P2682" s="223"/>
      <c r="Q2682" s="223"/>
      <c r="R2682" s="223"/>
      <c r="S2682" s="223"/>
      <c r="T2682" s="223"/>
      <c r="U2682" s="223"/>
      <c r="V2682" s="223"/>
      <c r="W2682" s="223"/>
      <c r="X2682" s="223"/>
      <c r="Y2682" s="223"/>
      <c r="Z2682" s="223"/>
    </row>
    <row r="2683">
      <c r="A2683" s="223" t="str">
        <f>IFERROR(__xludf.DUMMYFUNCTION("""COMPUTED_VALUE"""),"Tailbase : SEO Support")</f>
        <v>Tailbase : SEO Support</v>
      </c>
      <c r="B2683" s="223" t="str">
        <f>IFERROR(__xludf.DUMMYFUNCTION("""COMPUTED_VALUE"""),"Tailbase")</f>
        <v>Tailbase</v>
      </c>
      <c r="C2683" s="223" t="str">
        <f>IFERROR(__xludf.DUMMYFUNCTION("""COMPUTED_VALUE"""),"SEO Support")</f>
        <v>SEO Support</v>
      </c>
      <c r="D2683" s="316">
        <f>IFERROR(__xludf.DUMMYFUNCTION("""COMPUTED_VALUE"""),45046.0)</f>
        <v>45046</v>
      </c>
      <c r="E2683" s="298"/>
      <c r="F2683" s="298"/>
      <c r="G2683" s="298"/>
      <c r="H2683" s="223"/>
      <c r="I2683" s="298">
        <f>IFERROR(__xludf.DUMMYFUNCTION("""COMPUTED_VALUE"""),1125.0)</f>
        <v>1125</v>
      </c>
      <c r="J2683" s="223" t="str">
        <f>IFERROR(__xludf.DUMMYFUNCTION("""COMPUTED_VALUE"""),"Fixed Project")</f>
        <v>Fixed Project</v>
      </c>
      <c r="K2683" s="317">
        <f>IFERROR(__xludf.DUMMYFUNCTION("""COMPUTED_VALUE"""),2023.0)</f>
        <v>2023</v>
      </c>
      <c r="L2683" s="298"/>
      <c r="M2683" s="223"/>
      <c r="N2683" s="223"/>
      <c r="O2683" s="223"/>
      <c r="P2683" s="223"/>
      <c r="Q2683" s="223"/>
      <c r="R2683" s="223"/>
      <c r="S2683" s="223"/>
      <c r="T2683" s="223"/>
      <c r="U2683" s="223"/>
      <c r="V2683" s="223"/>
      <c r="W2683" s="223"/>
      <c r="X2683" s="223"/>
      <c r="Y2683" s="223"/>
      <c r="Z2683" s="223"/>
    </row>
    <row r="2684">
      <c r="A2684" s="223" t="str">
        <f>IFERROR(__xludf.DUMMYFUNCTION("""COMPUTED_VALUE"""),"Continuity Programs Inc. : Other Projects")</f>
        <v>Continuity Programs Inc. : Other Projects</v>
      </c>
      <c r="B2684" s="223" t="str">
        <f>IFERROR(__xludf.DUMMYFUNCTION("""COMPUTED_VALUE"""),"Continuity Programs Inc.")</f>
        <v>Continuity Programs Inc.</v>
      </c>
      <c r="C2684" s="223" t="str">
        <f>IFERROR(__xludf.DUMMYFUNCTION("""COMPUTED_VALUE"""),"Other Projects")</f>
        <v>Other Projects</v>
      </c>
      <c r="D2684" s="316">
        <f>IFERROR(__xludf.DUMMYFUNCTION("""COMPUTED_VALUE"""),45046.0)</f>
        <v>45046</v>
      </c>
      <c r="E2684" s="298"/>
      <c r="F2684" s="298"/>
      <c r="G2684" s="298"/>
      <c r="H2684" s="223"/>
      <c r="I2684" s="298">
        <f>IFERROR(__xludf.DUMMYFUNCTION("""COMPUTED_VALUE"""),15.0)</f>
        <v>15</v>
      </c>
      <c r="J2684" s="223" t="str">
        <f>IFERROR(__xludf.DUMMYFUNCTION("""COMPUTED_VALUE"""),"Fixed Project")</f>
        <v>Fixed Project</v>
      </c>
      <c r="K2684" s="317">
        <f>IFERROR(__xludf.DUMMYFUNCTION("""COMPUTED_VALUE"""),2023.0)</f>
        <v>2023</v>
      </c>
      <c r="L2684" s="298"/>
      <c r="M2684" s="223"/>
      <c r="N2684" s="223"/>
      <c r="O2684" s="223"/>
      <c r="P2684" s="223"/>
      <c r="Q2684" s="223"/>
      <c r="R2684" s="223"/>
      <c r="S2684" s="223"/>
      <c r="T2684" s="223"/>
      <c r="U2684" s="223"/>
      <c r="V2684" s="223"/>
      <c r="W2684" s="223"/>
      <c r="X2684" s="223"/>
      <c r="Y2684" s="223"/>
      <c r="Z2684" s="223"/>
    </row>
    <row r="2685">
      <c r="A2685" s="223" t="str">
        <f>IFERROR(__xludf.DUMMYFUNCTION("""COMPUTED_VALUE"""),"PlusROI : Overhead")</f>
        <v>PlusROI : Overhead</v>
      </c>
      <c r="B2685" s="223" t="str">
        <f>IFERROR(__xludf.DUMMYFUNCTION("""COMPUTED_VALUE"""),"PlusROI")</f>
        <v>PlusROI</v>
      </c>
      <c r="C2685" s="223" t="str">
        <f>IFERROR(__xludf.DUMMYFUNCTION("""COMPUTED_VALUE"""),"Overhead")</f>
        <v>Overhead</v>
      </c>
      <c r="D2685" s="316">
        <f>IFERROR(__xludf.DUMMYFUNCTION("""COMPUTED_VALUE"""),45057.0)</f>
        <v>45057</v>
      </c>
      <c r="E2685" s="298"/>
      <c r="F2685" s="298"/>
      <c r="G2685" s="298"/>
      <c r="H2685" s="223"/>
      <c r="I2685" s="298">
        <f>IFERROR(__xludf.DUMMYFUNCTION("""COMPUTED_VALUE"""),14.74)</f>
        <v>14.74</v>
      </c>
      <c r="J2685" s="223" t="str">
        <f>IFERROR(__xludf.DUMMYFUNCTION("""COMPUTED_VALUE"""),"Hourly")</f>
        <v>Hourly</v>
      </c>
      <c r="K2685" s="317">
        <f>IFERROR(__xludf.DUMMYFUNCTION("""COMPUTED_VALUE"""),2023.0)</f>
        <v>2023</v>
      </c>
      <c r="L2685" s="298"/>
      <c r="M2685" s="223"/>
      <c r="N2685" s="223"/>
      <c r="O2685" s="223"/>
      <c r="P2685" s="223"/>
      <c r="Q2685" s="223"/>
      <c r="R2685" s="223"/>
      <c r="S2685" s="223"/>
      <c r="T2685" s="223"/>
      <c r="U2685" s="223"/>
      <c r="V2685" s="223"/>
      <c r="W2685" s="223"/>
      <c r="X2685" s="223"/>
      <c r="Y2685" s="223"/>
      <c r="Z2685" s="223"/>
    </row>
    <row r="2686">
      <c r="A2686" s="223" t="str">
        <f>IFERROR(__xludf.DUMMYFUNCTION("""COMPUTED_VALUE"""),"PlusROI : Marketing")</f>
        <v>PlusROI : Marketing</v>
      </c>
      <c r="B2686" s="223" t="str">
        <f>IFERROR(__xludf.DUMMYFUNCTION("""COMPUTED_VALUE"""),"PlusROI")</f>
        <v>PlusROI</v>
      </c>
      <c r="C2686" s="223" t="str">
        <f>IFERROR(__xludf.DUMMYFUNCTION("""COMPUTED_VALUE"""),"Marketing")</f>
        <v>Marketing</v>
      </c>
      <c r="D2686" s="316">
        <f>IFERROR(__xludf.DUMMYFUNCTION("""COMPUTED_VALUE"""),45057.0)</f>
        <v>45057</v>
      </c>
      <c r="E2686" s="298"/>
      <c r="F2686" s="298"/>
      <c r="G2686" s="298"/>
      <c r="H2686" s="223"/>
      <c r="I2686" s="298">
        <f>IFERROR(__xludf.DUMMYFUNCTION("""COMPUTED_VALUE"""),40.73)</f>
        <v>40.73</v>
      </c>
      <c r="J2686" s="223" t="str">
        <f>IFERROR(__xludf.DUMMYFUNCTION("""COMPUTED_VALUE"""),"Hourly")</f>
        <v>Hourly</v>
      </c>
      <c r="K2686" s="317">
        <f>IFERROR(__xludf.DUMMYFUNCTION("""COMPUTED_VALUE"""),2023.0)</f>
        <v>2023</v>
      </c>
      <c r="L2686" s="298"/>
      <c r="M2686" s="223"/>
      <c r="N2686" s="223"/>
      <c r="O2686" s="223"/>
      <c r="P2686" s="223"/>
      <c r="Q2686" s="223"/>
      <c r="R2686" s="223"/>
      <c r="S2686" s="223"/>
      <c r="T2686" s="223"/>
      <c r="U2686" s="223"/>
      <c r="V2686" s="223"/>
      <c r="W2686" s="223"/>
      <c r="X2686" s="223"/>
      <c r="Y2686" s="223"/>
      <c r="Z2686" s="223"/>
    </row>
    <row r="2687">
      <c r="A2687" s="223" t="str">
        <f>IFERROR(__xludf.DUMMYFUNCTION("""COMPUTED_VALUE"""),"PlusROI : Overhead")</f>
        <v>PlusROI : Overhead</v>
      </c>
      <c r="B2687" s="223" t="str">
        <f>IFERROR(__xludf.DUMMYFUNCTION("""COMPUTED_VALUE"""),"PlusROI")</f>
        <v>PlusROI</v>
      </c>
      <c r="C2687" s="223" t="str">
        <f>IFERROR(__xludf.DUMMYFUNCTION("""COMPUTED_VALUE"""),"Overhead")</f>
        <v>Overhead</v>
      </c>
      <c r="D2687" s="316">
        <f>IFERROR(__xludf.DUMMYFUNCTION("""COMPUTED_VALUE"""),45057.0)</f>
        <v>45057</v>
      </c>
      <c r="E2687" s="298"/>
      <c r="F2687" s="298"/>
      <c r="G2687" s="298"/>
      <c r="H2687" s="223"/>
      <c r="I2687" s="298">
        <f>IFERROR(__xludf.DUMMYFUNCTION("""COMPUTED_VALUE"""),69.89)</f>
        <v>69.89</v>
      </c>
      <c r="J2687" s="223" t="str">
        <f>IFERROR(__xludf.DUMMYFUNCTION("""COMPUTED_VALUE"""),"Hourly")</f>
        <v>Hourly</v>
      </c>
      <c r="K2687" s="317">
        <f>IFERROR(__xludf.DUMMYFUNCTION("""COMPUTED_VALUE"""),2023.0)</f>
        <v>2023</v>
      </c>
      <c r="L2687" s="298"/>
      <c r="M2687" s="223"/>
      <c r="N2687" s="223"/>
      <c r="O2687" s="223"/>
      <c r="P2687" s="223"/>
      <c r="Q2687" s="223"/>
      <c r="R2687" s="223"/>
      <c r="S2687" s="223"/>
      <c r="T2687" s="223"/>
      <c r="U2687" s="223"/>
      <c r="V2687" s="223"/>
      <c r="W2687" s="223"/>
      <c r="X2687" s="223"/>
      <c r="Y2687" s="223"/>
      <c r="Z2687" s="223"/>
    </row>
    <row r="2688">
      <c r="A2688" s="223" t="str">
        <f>IFERROR(__xludf.DUMMYFUNCTION("""COMPUTED_VALUE"""),"PlusROI : Admin")</f>
        <v>PlusROI : Admin</v>
      </c>
      <c r="B2688" s="223" t="str">
        <f>IFERROR(__xludf.DUMMYFUNCTION("""COMPUTED_VALUE"""),"PlusROI")</f>
        <v>PlusROI</v>
      </c>
      <c r="C2688" s="223" t="str">
        <f>IFERROR(__xludf.DUMMYFUNCTION("""COMPUTED_VALUE"""),"Admin")</f>
        <v>Admin</v>
      </c>
      <c r="D2688" s="316">
        <f>IFERROR(__xludf.DUMMYFUNCTION("""COMPUTED_VALUE"""),45077.0)</f>
        <v>45077</v>
      </c>
      <c r="E2688" s="298"/>
      <c r="F2688" s="298"/>
      <c r="G2688" s="298"/>
      <c r="H2688" s="223"/>
      <c r="I2688" s="298">
        <f>IFERROR(__xludf.DUMMYFUNCTION("""COMPUTED_VALUE"""),2500.0)</f>
        <v>2500</v>
      </c>
      <c r="J2688" s="223" t="str">
        <f>IFERROR(__xludf.DUMMYFUNCTION("""COMPUTED_VALUE"""),"Hourly")</f>
        <v>Hourly</v>
      </c>
      <c r="K2688" s="317">
        <f>IFERROR(__xludf.DUMMYFUNCTION("""COMPUTED_VALUE"""),2023.0)</f>
        <v>2023</v>
      </c>
      <c r="L2688" s="298"/>
      <c r="M2688" s="223"/>
      <c r="N2688" s="223"/>
      <c r="O2688" s="223"/>
      <c r="P2688" s="223"/>
      <c r="Q2688" s="223"/>
      <c r="R2688" s="223"/>
      <c r="S2688" s="223"/>
      <c r="T2688" s="223"/>
      <c r="U2688" s="223"/>
      <c r="V2688" s="223"/>
      <c r="W2688" s="223"/>
      <c r="X2688" s="223"/>
      <c r="Y2688" s="223"/>
      <c r="Z2688" s="223"/>
    </row>
    <row r="2689">
      <c r="A2689" s="223" t="str">
        <f>IFERROR(__xludf.DUMMYFUNCTION("""COMPUTED_VALUE"""),"Booginhead : Monthly Services")</f>
        <v>Booginhead : Monthly Services</v>
      </c>
      <c r="B2689" s="223" t="str">
        <f>IFERROR(__xludf.DUMMYFUNCTION("""COMPUTED_VALUE"""),"Booginhead")</f>
        <v>Booginhead</v>
      </c>
      <c r="C2689" s="223" t="str">
        <f>IFERROR(__xludf.DUMMYFUNCTION("""COMPUTED_VALUE"""),"Monthly Services")</f>
        <v>Monthly Services</v>
      </c>
      <c r="D2689" s="316">
        <f>IFERROR(__xludf.DUMMYFUNCTION("""COMPUTED_VALUE"""),45077.0)</f>
        <v>45077</v>
      </c>
      <c r="E2689" s="298"/>
      <c r="F2689" s="298"/>
      <c r="G2689" s="298"/>
      <c r="H2689" s="223"/>
      <c r="I2689" s="298">
        <f>IFERROR(__xludf.DUMMYFUNCTION("""COMPUTED_VALUE"""),400.0)</f>
        <v>400</v>
      </c>
      <c r="J2689" s="223" t="str">
        <f>IFERROR(__xludf.DUMMYFUNCTION("""COMPUTED_VALUE"""),"Monthly")</f>
        <v>Monthly</v>
      </c>
      <c r="K2689" s="317">
        <f>IFERROR(__xludf.DUMMYFUNCTION("""COMPUTED_VALUE"""),2023.05)</f>
        <v>2023.05</v>
      </c>
      <c r="L2689" s="298"/>
      <c r="M2689" s="223"/>
      <c r="N2689" s="223"/>
      <c r="O2689" s="223"/>
      <c r="P2689" s="223"/>
      <c r="Q2689" s="223"/>
      <c r="R2689" s="223"/>
      <c r="S2689" s="223"/>
      <c r="T2689" s="223"/>
      <c r="U2689" s="223"/>
      <c r="V2689" s="223"/>
      <c r="W2689" s="223"/>
      <c r="X2689" s="223"/>
      <c r="Y2689" s="223"/>
      <c r="Z2689" s="223"/>
    </row>
    <row r="2690">
      <c r="A2690" s="223" t="str">
        <f>IFERROR(__xludf.DUMMYFUNCTION("""COMPUTED_VALUE"""),"Hastings House : Monthly Services")</f>
        <v>Hastings House : Monthly Services</v>
      </c>
      <c r="B2690" s="223" t="str">
        <f>IFERROR(__xludf.DUMMYFUNCTION("""COMPUTED_VALUE"""),"Hastings House")</f>
        <v>Hastings House</v>
      </c>
      <c r="C2690" s="223" t="str">
        <f>IFERROR(__xludf.DUMMYFUNCTION("""COMPUTED_VALUE"""),"Monthly Services")</f>
        <v>Monthly Services</v>
      </c>
      <c r="D2690" s="316">
        <f>IFERROR(__xludf.DUMMYFUNCTION("""COMPUTED_VALUE"""),45077.0)</f>
        <v>45077</v>
      </c>
      <c r="E2690" s="298"/>
      <c r="F2690" s="298"/>
      <c r="G2690" s="298"/>
      <c r="H2690" s="223"/>
      <c r="I2690" s="298">
        <f>IFERROR(__xludf.DUMMYFUNCTION("""COMPUTED_VALUE"""),287.5)</f>
        <v>287.5</v>
      </c>
      <c r="J2690" s="223" t="str">
        <f>IFERROR(__xludf.DUMMYFUNCTION("""COMPUTED_VALUE"""),"Monthly")</f>
        <v>Monthly</v>
      </c>
      <c r="K2690" s="317">
        <f>IFERROR(__xludf.DUMMYFUNCTION("""COMPUTED_VALUE"""),2023.05)</f>
        <v>2023.05</v>
      </c>
      <c r="L2690" s="298"/>
      <c r="M2690" s="223"/>
      <c r="N2690" s="223"/>
      <c r="O2690" s="223"/>
      <c r="P2690" s="223"/>
      <c r="Q2690" s="223"/>
      <c r="R2690" s="223"/>
      <c r="S2690" s="223"/>
      <c r="T2690" s="223"/>
      <c r="U2690" s="223"/>
      <c r="V2690" s="223"/>
      <c r="W2690" s="223"/>
      <c r="X2690" s="223"/>
      <c r="Y2690" s="223"/>
      <c r="Z2690" s="223"/>
    </row>
    <row r="2691">
      <c r="A2691" s="223" t="str">
        <f>IFERROR(__xludf.DUMMYFUNCTION("""COMPUTED_VALUE"""),"Howard Fine Jewellers : Ongoing PPC and SEO Support")</f>
        <v>Howard Fine Jewellers : Ongoing PPC and SEO Support</v>
      </c>
      <c r="B2691" s="223" t="str">
        <f>IFERROR(__xludf.DUMMYFUNCTION("""COMPUTED_VALUE"""),"Howard Fine Jewellers")</f>
        <v>Howard Fine Jewellers</v>
      </c>
      <c r="C2691" s="223" t="str">
        <f>IFERROR(__xludf.DUMMYFUNCTION("""COMPUTED_VALUE"""),"Ongoing PPC and SEO Support")</f>
        <v>Ongoing PPC and SEO Support</v>
      </c>
      <c r="D2691" s="316">
        <f>IFERROR(__xludf.DUMMYFUNCTION("""COMPUTED_VALUE"""),45077.0)</f>
        <v>45077</v>
      </c>
      <c r="E2691" s="298"/>
      <c r="F2691" s="298"/>
      <c r="G2691" s="298"/>
      <c r="H2691" s="223"/>
      <c r="I2691" s="298">
        <f>IFERROR(__xludf.DUMMYFUNCTION("""COMPUTED_VALUE"""),200.0)</f>
        <v>200</v>
      </c>
      <c r="J2691" s="223" t="str">
        <f>IFERROR(__xludf.DUMMYFUNCTION("""COMPUTED_VALUE"""),"Monthly")</f>
        <v>Monthly</v>
      </c>
      <c r="K2691" s="317">
        <f>IFERROR(__xludf.DUMMYFUNCTION("""COMPUTED_VALUE"""),2023.05)</f>
        <v>2023.05</v>
      </c>
      <c r="L2691" s="298"/>
      <c r="M2691" s="223"/>
      <c r="N2691" s="223"/>
      <c r="O2691" s="223"/>
      <c r="P2691" s="223"/>
      <c r="Q2691" s="223"/>
      <c r="R2691" s="223"/>
      <c r="S2691" s="223"/>
      <c r="T2691" s="223"/>
      <c r="U2691" s="223"/>
      <c r="V2691" s="223"/>
      <c r="W2691" s="223"/>
      <c r="X2691" s="223"/>
      <c r="Y2691" s="223"/>
      <c r="Z2691" s="223"/>
    </row>
    <row r="2692">
      <c r="A2692" s="223" t="str">
        <f>IFERROR(__xludf.DUMMYFUNCTION("""COMPUTED_VALUE"""),"Luxe Bridal LLC : Monthly PPC")</f>
        <v>Luxe Bridal LLC : Monthly PPC</v>
      </c>
      <c r="B2692" s="223" t="str">
        <f>IFERROR(__xludf.DUMMYFUNCTION("""COMPUTED_VALUE"""),"Luxe Bridal LLC")</f>
        <v>Luxe Bridal LLC</v>
      </c>
      <c r="C2692" s="223" t="str">
        <f>IFERROR(__xludf.DUMMYFUNCTION("""COMPUTED_VALUE"""),"Monthly PPC")</f>
        <v>Monthly PPC</v>
      </c>
      <c r="D2692" s="316">
        <f>IFERROR(__xludf.DUMMYFUNCTION("""COMPUTED_VALUE"""),45077.0)</f>
        <v>45077</v>
      </c>
      <c r="E2692" s="298"/>
      <c r="F2692" s="298"/>
      <c r="G2692" s="298"/>
      <c r="H2692" s="223"/>
      <c r="I2692" s="298">
        <f>IFERROR(__xludf.DUMMYFUNCTION("""COMPUTED_VALUE"""),887.5)</f>
        <v>887.5</v>
      </c>
      <c r="J2692" s="223" t="str">
        <f>IFERROR(__xludf.DUMMYFUNCTION("""COMPUTED_VALUE"""),"Monthly")</f>
        <v>Monthly</v>
      </c>
      <c r="K2692" s="317">
        <f>IFERROR(__xludf.DUMMYFUNCTION("""COMPUTED_VALUE"""),2023.05)</f>
        <v>2023.05</v>
      </c>
      <c r="L2692" s="298"/>
      <c r="M2692" s="223"/>
      <c r="N2692" s="223"/>
      <c r="O2692" s="223"/>
      <c r="P2692" s="223"/>
      <c r="Q2692" s="223"/>
      <c r="R2692" s="223"/>
      <c r="S2692" s="223"/>
      <c r="T2692" s="223"/>
      <c r="U2692" s="223"/>
      <c r="V2692" s="223"/>
      <c r="W2692" s="223"/>
      <c r="X2692" s="223"/>
      <c r="Y2692" s="223"/>
      <c r="Z2692" s="223"/>
    </row>
    <row r="2693">
      <c r="A2693" s="223" t="str">
        <f>IFERROR(__xludf.DUMMYFUNCTION("""COMPUTED_VALUE"""),"GreenLane Offroad : PPC, SEO &amp; Analytics Work")</f>
        <v>GreenLane Offroad : PPC, SEO &amp; Analytics Work</v>
      </c>
      <c r="B2693" s="223" t="str">
        <f>IFERROR(__xludf.DUMMYFUNCTION("""COMPUTED_VALUE"""),"GreenLane Offroad")</f>
        <v>GreenLane Offroad</v>
      </c>
      <c r="C2693" s="223" t="str">
        <f>IFERROR(__xludf.DUMMYFUNCTION("""COMPUTED_VALUE"""),"PPC, SEO &amp; Analytics Work")</f>
        <v>PPC, SEO &amp; Analytics Work</v>
      </c>
      <c r="D2693" s="316">
        <f>IFERROR(__xludf.DUMMYFUNCTION("""COMPUTED_VALUE"""),45077.0)</f>
        <v>45077</v>
      </c>
      <c r="E2693" s="298"/>
      <c r="F2693" s="298"/>
      <c r="G2693" s="298"/>
      <c r="H2693" s="223"/>
      <c r="I2693" s="298">
        <f>IFERROR(__xludf.DUMMYFUNCTION("""COMPUTED_VALUE"""),300.0)</f>
        <v>300</v>
      </c>
      <c r="J2693" s="223" t="str">
        <f>IFERROR(__xludf.DUMMYFUNCTION("""COMPUTED_VALUE"""),"Monthly")</f>
        <v>Monthly</v>
      </c>
      <c r="K2693" s="317">
        <f>IFERROR(__xludf.DUMMYFUNCTION("""COMPUTED_VALUE"""),2023.05)</f>
        <v>2023.05</v>
      </c>
      <c r="L2693" s="298"/>
      <c r="M2693" s="223"/>
      <c r="N2693" s="223"/>
      <c r="O2693" s="223"/>
      <c r="P2693" s="223"/>
      <c r="Q2693" s="223"/>
      <c r="R2693" s="223"/>
      <c r="S2693" s="223"/>
      <c r="T2693" s="223"/>
      <c r="U2693" s="223"/>
      <c r="V2693" s="223"/>
      <c r="W2693" s="223"/>
      <c r="X2693" s="223"/>
      <c r="Y2693" s="223"/>
      <c r="Z2693" s="223"/>
    </row>
    <row r="2694">
      <c r="A2694" s="223" t="str">
        <f>IFERROR(__xludf.DUMMYFUNCTION("""COMPUTED_VALUE"""),"Moloco : Monthly PPC")</f>
        <v>Moloco : Monthly PPC</v>
      </c>
      <c r="B2694" s="223" t="str">
        <f>IFERROR(__xludf.DUMMYFUNCTION("""COMPUTED_VALUE"""),"Moloco")</f>
        <v>Moloco</v>
      </c>
      <c r="C2694" s="223" t="str">
        <f>IFERROR(__xludf.DUMMYFUNCTION("""COMPUTED_VALUE"""),"Monthly PPC")</f>
        <v>Monthly PPC</v>
      </c>
      <c r="D2694" s="316">
        <f>IFERROR(__xludf.DUMMYFUNCTION("""COMPUTED_VALUE"""),45077.0)</f>
        <v>45077</v>
      </c>
      <c r="E2694" s="298"/>
      <c r="F2694" s="298"/>
      <c r="G2694" s="298"/>
      <c r="H2694" s="223"/>
      <c r="I2694" s="298">
        <f>IFERROR(__xludf.DUMMYFUNCTION("""COMPUTED_VALUE"""),150.0)</f>
        <v>150</v>
      </c>
      <c r="J2694" s="223" t="str">
        <f>IFERROR(__xludf.DUMMYFUNCTION("""COMPUTED_VALUE"""),"Monthly")</f>
        <v>Monthly</v>
      </c>
      <c r="K2694" s="317">
        <f>IFERROR(__xludf.DUMMYFUNCTION("""COMPUTED_VALUE"""),2023.05)</f>
        <v>2023.05</v>
      </c>
      <c r="L2694" s="298"/>
      <c r="M2694" s="223"/>
      <c r="N2694" s="223"/>
      <c r="O2694" s="223"/>
      <c r="P2694" s="223"/>
      <c r="Q2694" s="223"/>
      <c r="R2694" s="223"/>
      <c r="S2694" s="223"/>
      <c r="T2694" s="223"/>
      <c r="U2694" s="223"/>
      <c r="V2694" s="223"/>
      <c r="W2694" s="223"/>
      <c r="X2694" s="223"/>
      <c r="Y2694" s="223"/>
      <c r="Z2694" s="223"/>
    </row>
    <row r="2695">
      <c r="A2695" s="223" t="str">
        <f>IFERROR(__xludf.DUMMYFUNCTION("""COMPUTED_VALUE"""),"Ultimate Tools : Monthly SEO &amp; PPC Management")</f>
        <v>Ultimate Tools : Monthly SEO &amp; PPC Management</v>
      </c>
      <c r="B2695" s="223" t="str">
        <f>IFERROR(__xludf.DUMMYFUNCTION("""COMPUTED_VALUE"""),"Ultimate Tools")</f>
        <v>Ultimate Tools</v>
      </c>
      <c r="C2695" s="223" t="str">
        <f>IFERROR(__xludf.DUMMYFUNCTION("""COMPUTED_VALUE"""),"Monthly SEO &amp; PPC Management")</f>
        <v>Monthly SEO &amp; PPC Management</v>
      </c>
      <c r="D2695" s="316">
        <f>IFERROR(__xludf.DUMMYFUNCTION("""COMPUTED_VALUE"""),45077.0)</f>
        <v>45077</v>
      </c>
      <c r="E2695" s="298"/>
      <c r="F2695" s="298"/>
      <c r="G2695" s="298"/>
      <c r="H2695" s="223"/>
      <c r="I2695" s="298">
        <f>IFERROR(__xludf.DUMMYFUNCTION("""COMPUTED_VALUE"""),550.0)</f>
        <v>550</v>
      </c>
      <c r="J2695" s="223" t="str">
        <f>IFERROR(__xludf.DUMMYFUNCTION("""COMPUTED_VALUE"""),"Monthly")</f>
        <v>Monthly</v>
      </c>
      <c r="K2695" s="317">
        <f>IFERROR(__xludf.DUMMYFUNCTION("""COMPUTED_VALUE"""),2023.05)</f>
        <v>2023.05</v>
      </c>
      <c r="L2695" s="298"/>
      <c r="M2695" s="223"/>
      <c r="N2695" s="223"/>
      <c r="O2695" s="223"/>
      <c r="P2695" s="223"/>
      <c r="Q2695" s="223"/>
      <c r="R2695" s="223"/>
      <c r="S2695" s="223"/>
      <c r="T2695" s="223"/>
      <c r="U2695" s="223"/>
      <c r="V2695" s="223"/>
      <c r="W2695" s="223"/>
      <c r="X2695" s="223"/>
      <c r="Y2695" s="223"/>
      <c r="Z2695" s="223"/>
    </row>
    <row r="2696">
      <c r="A2696" s="223" t="str">
        <f>IFERROR(__xludf.DUMMYFUNCTION("""COMPUTED_VALUE"""),"PlusROI : Marketing")</f>
        <v>PlusROI : Marketing</v>
      </c>
      <c r="B2696" s="223" t="str">
        <f>IFERROR(__xludf.DUMMYFUNCTION("""COMPUTED_VALUE"""),"PlusROI")</f>
        <v>PlusROI</v>
      </c>
      <c r="C2696" s="223" t="str">
        <f>IFERROR(__xludf.DUMMYFUNCTION("""COMPUTED_VALUE"""),"Marketing")</f>
        <v>Marketing</v>
      </c>
      <c r="D2696" s="316">
        <f>IFERROR(__xludf.DUMMYFUNCTION("""COMPUTED_VALUE"""),45077.0)</f>
        <v>45077</v>
      </c>
      <c r="E2696" s="298"/>
      <c r="F2696" s="298"/>
      <c r="G2696" s="298"/>
      <c r="H2696" s="223"/>
      <c r="I2696" s="298">
        <f>IFERROR(__xludf.DUMMYFUNCTION("""COMPUTED_VALUE"""),140.0)</f>
        <v>140</v>
      </c>
      <c r="J2696" s="223" t="str">
        <f>IFERROR(__xludf.DUMMYFUNCTION("""COMPUTED_VALUE"""),"Hourly")</f>
        <v>Hourly</v>
      </c>
      <c r="K2696" s="317">
        <f>IFERROR(__xludf.DUMMYFUNCTION("""COMPUTED_VALUE"""),2023.0)</f>
        <v>2023</v>
      </c>
      <c r="L2696" s="298"/>
      <c r="M2696" s="223"/>
      <c r="N2696" s="223"/>
      <c r="O2696" s="223"/>
      <c r="P2696" s="223"/>
      <c r="Q2696" s="223"/>
      <c r="R2696" s="223"/>
      <c r="S2696" s="223"/>
      <c r="T2696" s="223"/>
      <c r="U2696" s="223"/>
      <c r="V2696" s="223"/>
      <c r="W2696" s="223"/>
      <c r="X2696" s="223"/>
      <c r="Y2696" s="223"/>
      <c r="Z2696" s="223"/>
    </row>
    <row r="2697">
      <c r="A2697" s="223" t="str">
        <f>IFERROR(__xludf.DUMMYFUNCTION("""COMPUTED_VALUE"""),"Tugwell : Bi-monthly PPC Mgmt")</f>
        <v>Tugwell : Bi-monthly PPC Mgmt</v>
      </c>
      <c r="B2697" s="223" t="str">
        <f>IFERROR(__xludf.DUMMYFUNCTION("""COMPUTED_VALUE"""),"Tugwell")</f>
        <v>Tugwell</v>
      </c>
      <c r="C2697" s="223" t="str">
        <f>IFERROR(__xludf.DUMMYFUNCTION("""COMPUTED_VALUE"""),"Bi-monthly PPC Mgmt")</f>
        <v>Bi-monthly PPC Mgmt</v>
      </c>
      <c r="D2697" s="316">
        <f>IFERROR(__xludf.DUMMYFUNCTION("""COMPUTED_VALUE"""),45077.0)</f>
        <v>45077</v>
      </c>
      <c r="E2697" s="298"/>
      <c r="F2697" s="298"/>
      <c r="G2697" s="298"/>
      <c r="H2697" s="223"/>
      <c r="I2697" s="298">
        <f>IFERROR(__xludf.DUMMYFUNCTION("""COMPUTED_VALUE"""),87.5)</f>
        <v>87.5</v>
      </c>
      <c r="J2697" s="223" t="str">
        <f>IFERROR(__xludf.DUMMYFUNCTION("""COMPUTED_VALUE"""),"Bi-Monthly")</f>
        <v>Bi-Monthly</v>
      </c>
      <c r="K2697" s="317">
        <f>IFERROR(__xludf.DUMMYFUNCTION("""COMPUTED_VALUE"""),2023.0)</f>
        <v>2023</v>
      </c>
      <c r="L2697" s="298"/>
      <c r="M2697" s="223"/>
      <c r="N2697" s="223"/>
      <c r="O2697" s="223"/>
      <c r="P2697" s="223"/>
      <c r="Q2697" s="223"/>
      <c r="R2697" s="223"/>
      <c r="S2697" s="223"/>
      <c r="T2697" s="223"/>
      <c r="U2697" s="223"/>
      <c r="V2697" s="223"/>
      <c r="W2697" s="223"/>
      <c r="X2697" s="223"/>
      <c r="Y2697" s="223"/>
      <c r="Z2697" s="223"/>
    </row>
    <row r="2698">
      <c r="A2698" s="223" t="str">
        <f>IFERROR(__xludf.DUMMYFUNCTION("""COMPUTED_VALUE"""),"HSJ Lawyers : Monthly Services")</f>
        <v>HSJ Lawyers : Monthly Services</v>
      </c>
      <c r="B2698" s="223" t="str">
        <f>IFERROR(__xludf.DUMMYFUNCTION("""COMPUTED_VALUE"""),"HSJ Lawyers")</f>
        <v>HSJ Lawyers</v>
      </c>
      <c r="C2698" s="223" t="str">
        <f>IFERROR(__xludf.DUMMYFUNCTION("""COMPUTED_VALUE"""),"Monthly Services")</f>
        <v>Monthly Services</v>
      </c>
      <c r="D2698" s="316">
        <f>IFERROR(__xludf.DUMMYFUNCTION("""COMPUTED_VALUE"""),45077.0)</f>
        <v>45077</v>
      </c>
      <c r="E2698" s="298"/>
      <c r="F2698" s="298"/>
      <c r="G2698" s="298"/>
      <c r="H2698" s="223"/>
      <c r="I2698" s="298">
        <f>IFERROR(__xludf.DUMMYFUNCTION("""COMPUTED_VALUE"""),262.5)</f>
        <v>262.5</v>
      </c>
      <c r="J2698" s="223" t="str">
        <f>IFERROR(__xludf.DUMMYFUNCTION("""COMPUTED_VALUE"""),"Monthly")</f>
        <v>Monthly</v>
      </c>
      <c r="K2698" s="317">
        <f>IFERROR(__xludf.DUMMYFUNCTION("""COMPUTED_VALUE"""),2023.05)</f>
        <v>2023.05</v>
      </c>
      <c r="L2698" s="298"/>
      <c r="M2698" s="223"/>
      <c r="N2698" s="223"/>
      <c r="O2698" s="223"/>
      <c r="P2698" s="223"/>
      <c r="Q2698" s="223"/>
      <c r="R2698" s="223"/>
      <c r="S2698" s="223"/>
      <c r="T2698" s="223"/>
      <c r="U2698" s="223"/>
      <c r="V2698" s="223"/>
      <c r="W2698" s="223"/>
      <c r="X2698" s="223"/>
      <c r="Y2698" s="223"/>
      <c r="Z2698" s="223"/>
    </row>
    <row r="2699">
      <c r="A2699" s="223" t="str">
        <f>IFERROR(__xludf.DUMMYFUNCTION("""COMPUTED_VALUE"""),"Spraggs : Monthly Services")</f>
        <v>Spraggs : Monthly Services</v>
      </c>
      <c r="B2699" s="223" t="str">
        <f>IFERROR(__xludf.DUMMYFUNCTION("""COMPUTED_VALUE"""),"Spraggs")</f>
        <v>Spraggs</v>
      </c>
      <c r="C2699" s="223" t="str">
        <f>IFERROR(__xludf.DUMMYFUNCTION("""COMPUTED_VALUE"""),"Monthly Services")</f>
        <v>Monthly Services</v>
      </c>
      <c r="D2699" s="316">
        <f>IFERROR(__xludf.DUMMYFUNCTION("""COMPUTED_VALUE"""),45077.0)</f>
        <v>45077</v>
      </c>
      <c r="E2699" s="298"/>
      <c r="F2699" s="298"/>
      <c r="G2699" s="298"/>
      <c r="H2699" s="223"/>
      <c r="I2699" s="298">
        <f>IFERROR(__xludf.DUMMYFUNCTION("""COMPUTED_VALUE"""),300.0)</f>
        <v>300</v>
      </c>
      <c r="J2699" s="223" t="str">
        <f>IFERROR(__xludf.DUMMYFUNCTION("""COMPUTED_VALUE"""),"Monthly")</f>
        <v>Monthly</v>
      </c>
      <c r="K2699" s="317">
        <f>IFERROR(__xludf.DUMMYFUNCTION("""COMPUTED_VALUE"""),2023.05)</f>
        <v>2023.05</v>
      </c>
      <c r="L2699" s="298"/>
      <c r="M2699" s="223"/>
      <c r="N2699" s="223"/>
      <c r="O2699" s="223"/>
      <c r="P2699" s="223"/>
      <c r="Q2699" s="223"/>
      <c r="R2699" s="223"/>
      <c r="S2699" s="223"/>
      <c r="T2699" s="223"/>
      <c r="U2699" s="223"/>
      <c r="V2699" s="223"/>
      <c r="W2699" s="223"/>
      <c r="X2699" s="223"/>
      <c r="Y2699" s="223"/>
      <c r="Z2699" s="223"/>
    </row>
    <row r="2700">
      <c r="A2700" s="223" t="str">
        <f>IFERROR(__xludf.DUMMYFUNCTION("""COMPUTED_VALUE"""),"Crisp Media : Genus Capital Managment PPC")</f>
        <v>Crisp Media : Genus Capital Managment PPC</v>
      </c>
      <c r="B2700" s="223" t="str">
        <f>IFERROR(__xludf.DUMMYFUNCTION("""COMPUTED_VALUE"""),"Crisp Media")</f>
        <v>Crisp Media</v>
      </c>
      <c r="C2700" s="223" t="str">
        <f>IFERROR(__xludf.DUMMYFUNCTION("""COMPUTED_VALUE"""),"Genus Capital Managment PPC")</f>
        <v>Genus Capital Managment PPC</v>
      </c>
      <c r="D2700" s="316">
        <f>IFERROR(__xludf.DUMMYFUNCTION("""COMPUTED_VALUE"""),45077.0)</f>
        <v>45077</v>
      </c>
      <c r="E2700" s="298"/>
      <c r="F2700" s="298"/>
      <c r="G2700" s="298"/>
      <c r="H2700" s="223"/>
      <c r="I2700" s="298">
        <f>IFERROR(__xludf.DUMMYFUNCTION("""COMPUTED_VALUE"""),175.0)</f>
        <v>175</v>
      </c>
      <c r="J2700" s="223" t="str">
        <f>IFERROR(__xludf.DUMMYFUNCTION("""COMPUTED_VALUE"""),"Fixed Project")</f>
        <v>Fixed Project</v>
      </c>
      <c r="K2700" s="317">
        <f>IFERROR(__xludf.DUMMYFUNCTION("""COMPUTED_VALUE"""),2023.0)</f>
        <v>2023</v>
      </c>
      <c r="L2700" s="298"/>
      <c r="M2700" s="223"/>
      <c r="N2700" s="223"/>
      <c r="O2700" s="223"/>
      <c r="P2700" s="223"/>
      <c r="Q2700" s="223"/>
      <c r="R2700" s="223"/>
      <c r="S2700" s="223"/>
      <c r="T2700" s="223"/>
      <c r="U2700" s="223"/>
      <c r="V2700" s="223"/>
      <c r="W2700" s="223"/>
      <c r="X2700" s="223"/>
      <c r="Y2700" s="223"/>
      <c r="Z2700" s="223"/>
    </row>
    <row r="2701">
      <c r="A2701" s="223" t="str">
        <f>IFERROR(__xludf.DUMMYFUNCTION("""COMPUTED_VALUE"""),"Terra Insights : Monthly PPC")</f>
        <v>Terra Insights : Monthly PPC</v>
      </c>
      <c r="B2701" s="223" t="str">
        <f>IFERROR(__xludf.DUMMYFUNCTION("""COMPUTED_VALUE"""),"Terra Insights")</f>
        <v>Terra Insights</v>
      </c>
      <c r="C2701" s="223" t="str">
        <f>IFERROR(__xludf.DUMMYFUNCTION("""COMPUTED_VALUE"""),"Monthly PPC")</f>
        <v>Monthly PPC</v>
      </c>
      <c r="D2701" s="316">
        <f>IFERROR(__xludf.DUMMYFUNCTION("""COMPUTED_VALUE"""),45077.0)</f>
        <v>45077</v>
      </c>
      <c r="E2701" s="298"/>
      <c r="F2701" s="298"/>
      <c r="G2701" s="298"/>
      <c r="H2701" s="223"/>
      <c r="I2701" s="298">
        <f>IFERROR(__xludf.DUMMYFUNCTION("""COMPUTED_VALUE"""),450.0)</f>
        <v>450</v>
      </c>
      <c r="J2701" s="223" t="str">
        <f>IFERROR(__xludf.DUMMYFUNCTION("""COMPUTED_VALUE"""),"Monthly")</f>
        <v>Monthly</v>
      </c>
      <c r="K2701" s="317">
        <f>IFERROR(__xludf.DUMMYFUNCTION("""COMPUTED_VALUE"""),2023.05)</f>
        <v>2023.05</v>
      </c>
      <c r="L2701" s="298"/>
      <c r="M2701" s="223"/>
      <c r="N2701" s="223"/>
      <c r="O2701" s="223"/>
      <c r="P2701" s="223"/>
      <c r="Q2701" s="223"/>
      <c r="R2701" s="223"/>
      <c r="S2701" s="223"/>
      <c r="T2701" s="223"/>
      <c r="U2701" s="223"/>
      <c r="V2701" s="223"/>
      <c r="W2701" s="223"/>
      <c r="X2701" s="223"/>
      <c r="Y2701" s="223"/>
      <c r="Z2701" s="223"/>
    </row>
    <row r="2702">
      <c r="A2702" s="223" t="str">
        <f>IFERROR(__xludf.DUMMYFUNCTION("""COMPUTED_VALUE"""),"PlusROI : Marketing")</f>
        <v>PlusROI : Marketing</v>
      </c>
      <c r="B2702" s="223" t="str">
        <f>IFERROR(__xludf.DUMMYFUNCTION("""COMPUTED_VALUE"""),"PlusROI")</f>
        <v>PlusROI</v>
      </c>
      <c r="C2702" s="223" t="str">
        <f>IFERROR(__xludf.DUMMYFUNCTION("""COMPUTED_VALUE"""),"Marketing")</f>
        <v>Marketing</v>
      </c>
      <c r="D2702" s="316">
        <f>IFERROR(__xludf.DUMMYFUNCTION("""COMPUTED_VALUE"""),45077.0)</f>
        <v>45077</v>
      </c>
      <c r="E2702" s="298"/>
      <c r="F2702" s="298"/>
      <c r="G2702" s="298"/>
      <c r="H2702" s="223"/>
      <c r="I2702" s="298">
        <f>IFERROR(__xludf.DUMMYFUNCTION("""COMPUTED_VALUE"""),226.8)</f>
        <v>226.8</v>
      </c>
      <c r="J2702" s="223" t="str">
        <f>IFERROR(__xludf.DUMMYFUNCTION("""COMPUTED_VALUE"""),"Hourly")</f>
        <v>Hourly</v>
      </c>
      <c r="K2702" s="317">
        <f>IFERROR(__xludf.DUMMYFUNCTION("""COMPUTED_VALUE"""),2023.0)</f>
        <v>2023</v>
      </c>
      <c r="L2702" s="298"/>
      <c r="M2702" s="223"/>
      <c r="N2702" s="223"/>
      <c r="O2702" s="223"/>
      <c r="P2702" s="223"/>
      <c r="Q2702" s="223"/>
      <c r="R2702" s="223"/>
      <c r="S2702" s="223"/>
      <c r="T2702" s="223"/>
      <c r="U2702" s="223"/>
      <c r="V2702" s="223"/>
      <c r="W2702" s="223"/>
      <c r="X2702" s="223"/>
      <c r="Y2702" s="223"/>
      <c r="Z2702" s="223"/>
    </row>
    <row r="2703">
      <c r="A2703" s="223" t="str">
        <f>IFERROR(__xludf.DUMMYFUNCTION("""COMPUTED_VALUE"""),"PlusROI : Marketing")</f>
        <v>PlusROI : Marketing</v>
      </c>
      <c r="B2703" s="223" t="str">
        <f>IFERROR(__xludf.DUMMYFUNCTION("""COMPUTED_VALUE"""),"PlusROI")</f>
        <v>PlusROI</v>
      </c>
      <c r="C2703" s="223" t="str">
        <f>IFERROR(__xludf.DUMMYFUNCTION("""COMPUTED_VALUE"""),"Marketing")</f>
        <v>Marketing</v>
      </c>
      <c r="D2703" s="316">
        <f>IFERROR(__xludf.DUMMYFUNCTION("""COMPUTED_VALUE"""),45077.0)</f>
        <v>45077</v>
      </c>
      <c r="E2703" s="298"/>
      <c r="F2703" s="298"/>
      <c r="G2703" s="298"/>
      <c r="H2703" s="223"/>
      <c r="I2703" s="298">
        <f>IFERROR(__xludf.DUMMYFUNCTION("""COMPUTED_VALUE"""),200.0)</f>
        <v>200</v>
      </c>
      <c r="J2703" s="223" t="str">
        <f>IFERROR(__xludf.DUMMYFUNCTION("""COMPUTED_VALUE"""),"Hourly")</f>
        <v>Hourly</v>
      </c>
      <c r="K2703" s="317">
        <f>IFERROR(__xludf.DUMMYFUNCTION("""COMPUTED_VALUE"""),2023.0)</f>
        <v>2023</v>
      </c>
      <c r="L2703" s="298"/>
      <c r="M2703" s="223"/>
      <c r="N2703" s="223"/>
      <c r="O2703" s="223"/>
      <c r="P2703" s="223"/>
      <c r="Q2703" s="223"/>
      <c r="R2703" s="223"/>
      <c r="S2703" s="223"/>
      <c r="T2703" s="223"/>
      <c r="U2703" s="223"/>
      <c r="V2703" s="223"/>
      <c r="W2703" s="223"/>
      <c r="X2703" s="223"/>
      <c r="Y2703" s="223"/>
      <c r="Z2703" s="223"/>
    </row>
    <row r="2704">
      <c r="A2704" s="223" t="str">
        <f>IFERROR(__xludf.DUMMYFUNCTION("""COMPUTED_VALUE"""),"Continuity Programs Inc. : Other Projects")</f>
        <v>Continuity Programs Inc. : Other Projects</v>
      </c>
      <c r="B2704" s="223" t="str">
        <f>IFERROR(__xludf.DUMMYFUNCTION("""COMPUTED_VALUE"""),"Continuity Programs Inc.")</f>
        <v>Continuity Programs Inc.</v>
      </c>
      <c r="C2704" s="223" t="str">
        <f>IFERROR(__xludf.DUMMYFUNCTION("""COMPUTED_VALUE"""),"Other Projects")</f>
        <v>Other Projects</v>
      </c>
      <c r="D2704" s="316">
        <f>IFERROR(__xludf.DUMMYFUNCTION("""COMPUTED_VALUE"""),45077.0)</f>
        <v>45077</v>
      </c>
      <c r="E2704" s="298"/>
      <c r="F2704" s="298"/>
      <c r="G2704" s="298"/>
      <c r="H2704" s="223"/>
      <c r="I2704" s="298">
        <f>IFERROR(__xludf.DUMMYFUNCTION("""COMPUTED_VALUE"""),150.0)</f>
        <v>150</v>
      </c>
      <c r="J2704" s="223" t="str">
        <f>IFERROR(__xludf.DUMMYFUNCTION("""COMPUTED_VALUE"""),"Fixed Project")</f>
        <v>Fixed Project</v>
      </c>
      <c r="K2704" s="317">
        <f>IFERROR(__xludf.DUMMYFUNCTION("""COMPUTED_VALUE"""),2023.0)</f>
        <v>2023</v>
      </c>
      <c r="L2704" s="298"/>
      <c r="M2704" s="223"/>
      <c r="N2704" s="223"/>
      <c r="O2704" s="223"/>
      <c r="P2704" s="223"/>
      <c r="Q2704" s="223"/>
      <c r="R2704" s="223"/>
      <c r="S2704" s="223"/>
      <c r="T2704" s="223"/>
      <c r="U2704" s="223"/>
      <c r="V2704" s="223"/>
      <c r="W2704" s="223"/>
      <c r="X2704" s="223"/>
      <c r="Y2704" s="223"/>
      <c r="Z2704" s="223"/>
    </row>
    <row r="2705">
      <c r="A2705" s="223" t="str">
        <f>IFERROR(__xludf.DUMMYFUNCTION("""COMPUTED_VALUE"""),"Big Hammer Wines : Monthly PPC")</f>
        <v>Big Hammer Wines : Monthly PPC</v>
      </c>
      <c r="B2705" s="223" t="str">
        <f>IFERROR(__xludf.DUMMYFUNCTION("""COMPUTED_VALUE"""),"Big Hammer Wines")</f>
        <v>Big Hammer Wines</v>
      </c>
      <c r="C2705" s="223" t="str">
        <f>IFERROR(__xludf.DUMMYFUNCTION("""COMPUTED_VALUE"""),"Monthly PPC")</f>
        <v>Monthly PPC</v>
      </c>
      <c r="D2705" s="316">
        <f>IFERROR(__xludf.DUMMYFUNCTION("""COMPUTED_VALUE"""),45077.0)</f>
        <v>45077</v>
      </c>
      <c r="E2705" s="298"/>
      <c r="F2705" s="298"/>
      <c r="G2705" s="298"/>
      <c r="H2705" s="223"/>
      <c r="I2705" s="298">
        <f>IFERROR(__xludf.DUMMYFUNCTION("""COMPUTED_VALUE"""),262.5)</f>
        <v>262.5</v>
      </c>
      <c r="J2705" s="223" t="str">
        <f>IFERROR(__xludf.DUMMYFUNCTION("""COMPUTED_VALUE"""),"Monthly")</f>
        <v>Monthly</v>
      </c>
      <c r="K2705" s="317">
        <f>IFERROR(__xludf.DUMMYFUNCTION("""COMPUTED_VALUE"""),2023.05)</f>
        <v>2023.05</v>
      </c>
      <c r="L2705" s="298"/>
      <c r="M2705" s="223"/>
      <c r="N2705" s="223"/>
      <c r="O2705" s="223"/>
      <c r="P2705" s="223"/>
      <c r="Q2705" s="223"/>
      <c r="R2705" s="223"/>
      <c r="S2705" s="223"/>
      <c r="T2705" s="223"/>
      <c r="U2705" s="223"/>
      <c r="V2705" s="223"/>
      <c r="W2705" s="223"/>
      <c r="X2705" s="223"/>
      <c r="Y2705" s="223"/>
      <c r="Z2705" s="223"/>
    </row>
    <row r="2706">
      <c r="A2706" s="223" t="str">
        <f>IFERROR(__xludf.DUMMYFUNCTION("""COMPUTED_VALUE"""),"Service First : Monthly Services")</f>
        <v>Service First : Monthly Services</v>
      </c>
      <c r="B2706" s="223" t="str">
        <f>IFERROR(__xludf.DUMMYFUNCTION("""COMPUTED_VALUE"""),"Service First")</f>
        <v>Service First</v>
      </c>
      <c r="C2706" s="223" t="str">
        <f>IFERROR(__xludf.DUMMYFUNCTION("""COMPUTED_VALUE"""),"Monthly Services")</f>
        <v>Monthly Services</v>
      </c>
      <c r="D2706" s="316">
        <f>IFERROR(__xludf.DUMMYFUNCTION("""COMPUTED_VALUE"""),45077.0)</f>
        <v>45077</v>
      </c>
      <c r="E2706" s="298"/>
      <c r="F2706" s="298"/>
      <c r="G2706" s="298"/>
      <c r="H2706" s="223"/>
      <c r="I2706" s="298">
        <f>IFERROR(__xludf.DUMMYFUNCTION("""COMPUTED_VALUE"""),137.5)</f>
        <v>137.5</v>
      </c>
      <c r="J2706" s="223" t="str">
        <f>IFERROR(__xludf.DUMMYFUNCTION("""COMPUTED_VALUE"""),"Monthly")</f>
        <v>Monthly</v>
      </c>
      <c r="K2706" s="317">
        <f>IFERROR(__xludf.DUMMYFUNCTION("""COMPUTED_VALUE"""),2023.05)</f>
        <v>2023.05</v>
      </c>
      <c r="L2706" s="298"/>
      <c r="M2706" s="223"/>
      <c r="N2706" s="223"/>
      <c r="O2706" s="223"/>
      <c r="P2706" s="223"/>
      <c r="Q2706" s="223"/>
      <c r="R2706" s="223"/>
      <c r="S2706" s="223"/>
      <c r="T2706" s="223"/>
      <c r="U2706" s="223"/>
      <c r="V2706" s="223"/>
      <c r="W2706" s="223"/>
      <c r="X2706" s="223"/>
      <c r="Y2706" s="223"/>
      <c r="Z2706" s="223"/>
    </row>
    <row r="2707">
      <c r="A2707" s="223" t="str">
        <f>IFERROR(__xludf.DUMMYFUNCTION("""COMPUTED_VALUE"""),"MortgagePal : Monthly Services")</f>
        <v>MortgagePal : Monthly Services</v>
      </c>
      <c r="B2707" s="223" t="str">
        <f>IFERROR(__xludf.DUMMYFUNCTION("""COMPUTED_VALUE"""),"MortgagePal")</f>
        <v>MortgagePal</v>
      </c>
      <c r="C2707" s="223" t="str">
        <f>IFERROR(__xludf.DUMMYFUNCTION("""COMPUTED_VALUE"""),"Monthly Services")</f>
        <v>Monthly Services</v>
      </c>
      <c r="D2707" s="316">
        <f>IFERROR(__xludf.DUMMYFUNCTION("""COMPUTED_VALUE"""),45077.0)</f>
        <v>45077</v>
      </c>
      <c r="E2707" s="298"/>
      <c r="F2707" s="298"/>
      <c r="G2707" s="298"/>
      <c r="H2707" s="223"/>
      <c r="I2707" s="298">
        <f>IFERROR(__xludf.DUMMYFUNCTION("""COMPUTED_VALUE"""),212.5)</f>
        <v>212.5</v>
      </c>
      <c r="J2707" s="223" t="str">
        <f>IFERROR(__xludf.DUMMYFUNCTION("""COMPUTED_VALUE"""),"Monthly")</f>
        <v>Monthly</v>
      </c>
      <c r="K2707" s="317">
        <f>IFERROR(__xludf.DUMMYFUNCTION("""COMPUTED_VALUE"""),2023.05)</f>
        <v>2023.05</v>
      </c>
      <c r="L2707" s="298"/>
      <c r="M2707" s="223"/>
      <c r="N2707" s="223"/>
      <c r="O2707" s="223"/>
      <c r="P2707" s="223"/>
      <c r="Q2707" s="223"/>
      <c r="R2707" s="223"/>
      <c r="S2707" s="223"/>
      <c r="T2707" s="223"/>
      <c r="U2707" s="223"/>
      <c r="V2707" s="223"/>
      <c r="W2707" s="223"/>
      <c r="X2707" s="223"/>
      <c r="Y2707" s="223"/>
      <c r="Z2707" s="223"/>
    </row>
    <row r="2708">
      <c r="A2708" s="223" t="str">
        <f>IFERROR(__xludf.DUMMYFUNCTION("""COMPUTED_VALUE"""),"Wallack's Art Supplies : Monthly Services")</f>
        <v>Wallack's Art Supplies : Monthly Services</v>
      </c>
      <c r="B2708" s="223" t="str">
        <f>IFERROR(__xludf.DUMMYFUNCTION("""COMPUTED_VALUE"""),"Wallack's Art Supplies")</f>
        <v>Wallack's Art Supplies</v>
      </c>
      <c r="C2708" s="223" t="str">
        <f>IFERROR(__xludf.DUMMYFUNCTION("""COMPUTED_VALUE"""),"Monthly Services")</f>
        <v>Monthly Services</v>
      </c>
      <c r="D2708" s="316">
        <f>IFERROR(__xludf.DUMMYFUNCTION("""COMPUTED_VALUE"""),45077.0)</f>
        <v>45077</v>
      </c>
      <c r="E2708" s="298"/>
      <c r="F2708" s="298"/>
      <c r="G2708" s="298"/>
      <c r="H2708" s="223"/>
      <c r="I2708" s="298">
        <f>IFERROR(__xludf.DUMMYFUNCTION("""COMPUTED_VALUE"""),287.5)</f>
        <v>287.5</v>
      </c>
      <c r="J2708" s="223" t="str">
        <f>IFERROR(__xludf.DUMMYFUNCTION("""COMPUTED_VALUE"""),"Monthly")</f>
        <v>Monthly</v>
      </c>
      <c r="K2708" s="317">
        <f>IFERROR(__xludf.DUMMYFUNCTION("""COMPUTED_VALUE"""),2023.05)</f>
        <v>2023.05</v>
      </c>
      <c r="L2708" s="298"/>
      <c r="M2708" s="223"/>
      <c r="N2708" s="223"/>
      <c r="O2708" s="223"/>
      <c r="P2708" s="223"/>
      <c r="Q2708" s="223"/>
      <c r="R2708" s="223"/>
      <c r="S2708" s="223"/>
      <c r="T2708" s="223"/>
      <c r="U2708" s="223"/>
      <c r="V2708" s="223"/>
      <c r="W2708" s="223"/>
      <c r="X2708" s="223"/>
      <c r="Y2708" s="223"/>
      <c r="Z2708" s="223"/>
    </row>
    <row r="2709">
      <c r="A2709" s="223" t="str">
        <f>IFERROR(__xludf.DUMMYFUNCTION("""COMPUTED_VALUE"""),"Anook Athletics : Monthly Services")</f>
        <v>Anook Athletics : Monthly Services</v>
      </c>
      <c r="B2709" s="223" t="str">
        <f>IFERROR(__xludf.DUMMYFUNCTION("""COMPUTED_VALUE"""),"Anook Athletics")</f>
        <v>Anook Athletics</v>
      </c>
      <c r="C2709" s="223" t="str">
        <f>IFERROR(__xludf.DUMMYFUNCTION("""COMPUTED_VALUE"""),"Monthly Services")</f>
        <v>Monthly Services</v>
      </c>
      <c r="D2709" s="316">
        <f>IFERROR(__xludf.DUMMYFUNCTION("""COMPUTED_VALUE"""),45077.0)</f>
        <v>45077</v>
      </c>
      <c r="E2709" s="298"/>
      <c r="F2709" s="298"/>
      <c r="G2709" s="298"/>
      <c r="H2709" s="223"/>
      <c r="I2709" s="298">
        <f>IFERROR(__xludf.DUMMYFUNCTION("""COMPUTED_VALUE"""),300.0)</f>
        <v>300</v>
      </c>
      <c r="J2709" s="223" t="str">
        <f>IFERROR(__xludf.DUMMYFUNCTION("""COMPUTED_VALUE"""),"Monthly")</f>
        <v>Monthly</v>
      </c>
      <c r="K2709" s="317">
        <f>IFERROR(__xludf.DUMMYFUNCTION("""COMPUTED_VALUE"""),2023.05)</f>
        <v>2023.05</v>
      </c>
      <c r="L2709" s="298"/>
      <c r="M2709" s="223"/>
      <c r="N2709" s="223"/>
      <c r="O2709" s="223"/>
      <c r="P2709" s="223"/>
      <c r="Q2709" s="223"/>
      <c r="R2709" s="223"/>
      <c r="S2709" s="223"/>
      <c r="T2709" s="223"/>
      <c r="U2709" s="223"/>
      <c r="V2709" s="223"/>
      <c r="W2709" s="223"/>
      <c r="X2709" s="223"/>
      <c r="Y2709" s="223"/>
      <c r="Z2709" s="223"/>
    </row>
    <row r="2710">
      <c r="A2710" s="223" t="str">
        <f>IFERROR(__xludf.DUMMYFUNCTION("""COMPUTED_VALUE"""),"PMDI : Monthly Services")</f>
        <v>PMDI : Monthly Services</v>
      </c>
      <c r="B2710" s="223" t="str">
        <f>IFERROR(__xludf.DUMMYFUNCTION("""COMPUTED_VALUE"""),"PMDI")</f>
        <v>PMDI</v>
      </c>
      <c r="C2710" s="223" t="str">
        <f>IFERROR(__xludf.DUMMYFUNCTION("""COMPUTED_VALUE"""),"Monthly Services")</f>
        <v>Monthly Services</v>
      </c>
      <c r="D2710" s="316">
        <f>IFERROR(__xludf.DUMMYFUNCTION("""COMPUTED_VALUE"""),45077.0)</f>
        <v>45077</v>
      </c>
      <c r="E2710" s="298"/>
      <c r="F2710" s="298"/>
      <c r="G2710" s="298"/>
      <c r="H2710" s="223"/>
      <c r="I2710" s="298">
        <f>IFERROR(__xludf.DUMMYFUNCTION("""COMPUTED_VALUE"""),150.0)</f>
        <v>150</v>
      </c>
      <c r="J2710" s="223" t="str">
        <f>IFERROR(__xludf.DUMMYFUNCTION("""COMPUTED_VALUE"""),"Monthly")</f>
        <v>Monthly</v>
      </c>
      <c r="K2710" s="317">
        <f>IFERROR(__xludf.DUMMYFUNCTION("""COMPUTED_VALUE"""),2023.05)</f>
        <v>2023.05</v>
      </c>
      <c r="L2710" s="298"/>
      <c r="M2710" s="223"/>
      <c r="N2710" s="223"/>
      <c r="O2710" s="223"/>
      <c r="P2710" s="223"/>
      <c r="Q2710" s="223"/>
      <c r="R2710" s="223"/>
      <c r="S2710" s="223"/>
      <c r="T2710" s="223"/>
      <c r="U2710" s="223"/>
      <c r="V2710" s="223"/>
      <c r="W2710" s="223"/>
      <c r="X2710" s="223"/>
      <c r="Y2710" s="223"/>
      <c r="Z2710" s="223"/>
    </row>
    <row r="2711">
      <c r="A2711" s="223" t="str">
        <f>IFERROR(__xludf.DUMMYFUNCTION("""COMPUTED_VALUE"""),"OA Region 6 : Monthly Services")</f>
        <v>OA Region 6 : Monthly Services</v>
      </c>
      <c r="B2711" s="223" t="str">
        <f>IFERROR(__xludf.DUMMYFUNCTION("""COMPUTED_VALUE"""),"OA Region 6")</f>
        <v>OA Region 6</v>
      </c>
      <c r="C2711" s="223" t="str">
        <f>IFERROR(__xludf.DUMMYFUNCTION("""COMPUTED_VALUE"""),"Monthly Services")</f>
        <v>Monthly Services</v>
      </c>
      <c r="D2711" s="316">
        <f>IFERROR(__xludf.DUMMYFUNCTION("""COMPUTED_VALUE"""),45077.0)</f>
        <v>45077</v>
      </c>
      <c r="E2711" s="298"/>
      <c r="F2711" s="298"/>
      <c r="G2711" s="298"/>
      <c r="H2711" s="223"/>
      <c r="I2711" s="298">
        <f>IFERROR(__xludf.DUMMYFUNCTION("""COMPUTED_VALUE"""),150.0)</f>
        <v>150</v>
      </c>
      <c r="J2711" s="223" t="str">
        <f>IFERROR(__xludf.DUMMYFUNCTION("""COMPUTED_VALUE"""),"Monthly")</f>
        <v>Monthly</v>
      </c>
      <c r="K2711" s="317">
        <f>IFERROR(__xludf.DUMMYFUNCTION("""COMPUTED_VALUE"""),2023.05)</f>
        <v>2023.05</v>
      </c>
      <c r="L2711" s="298"/>
      <c r="M2711" s="223"/>
      <c r="N2711" s="223"/>
      <c r="O2711" s="223"/>
      <c r="P2711" s="223"/>
      <c r="Q2711" s="223"/>
      <c r="R2711" s="223"/>
      <c r="S2711" s="223"/>
      <c r="T2711" s="223"/>
      <c r="U2711" s="223"/>
      <c r="V2711" s="223"/>
      <c r="W2711" s="223"/>
      <c r="X2711" s="223"/>
      <c r="Y2711" s="223"/>
      <c r="Z2711" s="223"/>
    </row>
    <row r="2712">
      <c r="A2712" s="223" t="str">
        <f>IFERROR(__xludf.DUMMYFUNCTION("""COMPUTED_VALUE"""),"Tuscany : Monthly Services")</f>
        <v>Tuscany : Monthly Services</v>
      </c>
      <c r="B2712" s="223" t="str">
        <f>IFERROR(__xludf.DUMMYFUNCTION("""COMPUTED_VALUE"""),"Tuscany")</f>
        <v>Tuscany</v>
      </c>
      <c r="C2712" s="223" t="str">
        <f>IFERROR(__xludf.DUMMYFUNCTION("""COMPUTED_VALUE"""),"Monthly Services")</f>
        <v>Monthly Services</v>
      </c>
      <c r="D2712" s="316">
        <f>IFERROR(__xludf.DUMMYFUNCTION("""COMPUTED_VALUE"""),45077.0)</f>
        <v>45077</v>
      </c>
      <c r="E2712" s="298"/>
      <c r="F2712" s="298"/>
      <c r="G2712" s="298"/>
      <c r="H2712" s="223"/>
      <c r="I2712" s="298">
        <f>IFERROR(__xludf.DUMMYFUNCTION("""COMPUTED_VALUE"""),662.5)</f>
        <v>662.5</v>
      </c>
      <c r="J2712" s="223" t="str">
        <f>IFERROR(__xludf.DUMMYFUNCTION("""COMPUTED_VALUE"""),"Monthly")</f>
        <v>Monthly</v>
      </c>
      <c r="K2712" s="317">
        <f>IFERROR(__xludf.DUMMYFUNCTION("""COMPUTED_VALUE"""),2023.05)</f>
        <v>2023.05</v>
      </c>
      <c r="L2712" s="298"/>
      <c r="M2712" s="223"/>
      <c r="N2712" s="223"/>
      <c r="O2712" s="223"/>
      <c r="P2712" s="223"/>
      <c r="Q2712" s="223"/>
      <c r="R2712" s="223"/>
      <c r="S2712" s="223"/>
      <c r="T2712" s="223"/>
      <c r="U2712" s="223"/>
      <c r="V2712" s="223"/>
      <c r="W2712" s="223"/>
      <c r="X2712" s="223"/>
      <c r="Y2712" s="223"/>
      <c r="Z2712" s="223"/>
    </row>
    <row r="2713">
      <c r="A2713" s="223" t="str">
        <f>IFERROR(__xludf.DUMMYFUNCTION("""COMPUTED_VALUE"""),"Venetian : Monthly Services")</f>
        <v>Venetian : Monthly Services</v>
      </c>
      <c r="B2713" s="223" t="str">
        <f>IFERROR(__xludf.DUMMYFUNCTION("""COMPUTED_VALUE"""),"Venetian")</f>
        <v>Venetian</v>
      </c>
      <c r="C2713" s="223" t="str">
        <f>IFERROR(__xludf.DUMMYFUNCTION("""COMPUTED_VALUE"""),"Monthly Services")</f>
        <v>Monthly Services</v>
      </c>
      <c r="D2713" s="316">
        <f>IFERROR(__xludf.DUMMYFUNCTION("""COMPUTED_VALUE"""),45077.0)</f>
        <v>45077</v>
      </c>
      <c r="E2713" s="298"/>
      <c r="F2713" s="298"/>
      <c r="G2713" s="298"/>
      <c r="H2713" s="223"/>
      <c r="I2713" s="298">
        <f>IFERROR(__xludf.DUMMYFUNCTION("""COMPUTED_VALUE"""),662.5)</f>
        <v>662.5</v>
      </c>
      <c r="J2713" s="223" t="str">
        <f>IFERROR(__xludf.DUMMYFUNCTION("""COMPUTED_VALUE"""),"Monthly")</f>
        <v>Monthly</v>
      </c>
      <c r="K2713" s="317">
        <f>IFERROR(__xludf.DUMMYFUNCTION("""COMPUTED_VALUE"""),2023.05)</f>
        <v>2023.05</v>
      </c>
      <c r="L2713" s="298"/>
      <c r="M2713" s="223"/>
      <c r="N2713" s="223"/>
      <c r="O2713" s="223"/>
      <c r="P2713" s="223"/>
      <c r="Q2713" s="223"/>
      <c r="R2713" s="223"/>
      <c r="S2713" s="223"/>
      <c r="T2713" s="223"/>
      <c r="U2713" s="223"/>
      <c r="V2713" s="223"/>
      <c r="W2713" s="223"/>
      <c r="X2713" s="223"/>
      <c r="Y2713" s="223"/>
      <c r="Z2713" s="223"/>
    </row>
    <row r="2714">
      <c r="A2714" s="223" t="str">
        <f>IFERROR(__xludf.DUMMYFUNCTION("""COMPUTED_VALUE"""),"Spraggs : Monthly Services")</f>
        <v>Spraggs : Monthly Services</v>
      </c>
      <c r="B2714" s="223" t="str">
        <f>IFERROR(__xludf.DUMMYFUNCTION("""COMPUTED_VALUE"""),"Spraggs")</f>
        <v>Spraggs</v>
      </c>
      <c r="C2714" s="223" t="str">
        <f>IFERROR(__xludf.DUMMYFUNCTION("""COMPUTED_VALUE"""),"Monthly Services")</f>
        <v>Monthly Services</v>
      </c>
      <c r="D2714" s="316">
        <f>IFERROR(__xludf.DUMMYFUNCTION("""COMPUTED_VALUE"""),45077.0)</f>
        <v>45077</v>
      </c>
      <c r="E2714" s="298"/>
      <c r="F2714" s="298"/>
      <c r="G2714" s="298"/>
      <c r="H2714" s="223"/>
      <c r="I2714" s="298">
        <f>IFERROR(__xludf.DUMMYFUNCTION("""COMPUTED_VALUE"""),562.5)</f>
        <v>562.5</v>
      </c>
      <c r="J2714" s="223" t="str">
        <f>IFERROR(__xludf.DUMMYFUNCTION("""COMPUTED_VALUE"""),"Monthly")</f>
        <v>Monthly</v>
      </c>
      <c r="K2714" s="317">
        <f>IFERROR(__xludf.DUMMYFUNCTION("""COMPUTED_VALUE"""),2023.05)</f>
        <v>2023.05</v>
      </c>
      <c r="L2714" s="298"/>
      <c r="M2714" s="223"/>
      <c r="N2714" s="223"/>
      <c r="O2714" s="223"/>
      <c r="P2714" s="223"/>
      <c r="Q2714" s="223"/>
      <c r="R2714" s="223"/>
      <c r="S2714" s="223"/>
      <c r="T2714" s="223"/>
      <c r="U2714" s="223"/>
      <c r="V2714" s="223"/>
      <c r="W2714" s="223"/>
      <c r="X2714" s="223"/>
      <c r="Y2714" s="223"/>
      <c r="Z2714" s="223"/>
    </row>
    <row r="2715">
      <c r="A2715" s="223" t="str">
        <f>IFERROR(__xludf.DUMMYFUNCTION("""COMPUTED_VALUE"""),"TisBest : Monthly Services")</f>
        <v>TisBest : Monthly Services</v>
      </c>
      <c r="B2715" s="223" t="str">
        <f>IFERROR(__xludf.DUMMYFUNCTION("""COMPUTED_VALUE"""),"TisBest")</f>
        <v>TisBest</v>
      </c>
      <c r="C2715" s="223" t="str">
        <f>IFERROR(__xludf.DUMMYFUNCTION("""COMPUTED_VALUE"""),"Monthly Services")</f>
        <v>Monthly Services</v>
      </c>
      <c r="D2715" s="316">
        <f>IFERROR(__xludf.DUMMYFUNCTION("""COMPUTED_VALUE"""),45077.0)</f>
        <v>45077</v>
      </c>
      <c r="E2715" s="298"/>
      <c r="F2715" s="298"/>
      <c r="G2715" s="298"/>
      <c r="H2715" s="223"/>
      <c r="I2715" s="298">
        <f>IFERROR(__xludf.DUMMYFUNCTION("""COMPUTED_VALUE"""),825.0)</f>
        <v>825</v>
      </c>
      <c r="J2715" s="223" t="str">
        <f>IFERROR(__xludf.DUMMYFUNCTION("""COMPUTED_VALUE"""),"Monthly")</f>
        <v>Monthly</v>
      </c>
      <c r="K2715" s="317">
        <f>IFERROR(__xludf.DUMMYFUNCTION("""COMPUTED_VALUE"""),2023.05)</f>
        <v>2023.05</v>
      </c>
      <c r="L2715" s="298"/>
      <c r="M2715" s="223"/>
      <c r="N2715" s="223"/>
      <c r="O2715" s="223"/>
      <c r="P2715" s="223"/>
      <c r="Q2715" s="223"/>
      <c r="R2715" s="223"/>
      <c r="S2715" s="223"/>
      <c r="T2715" s="223"/>
      <c r="U2715" s="223"/>
      <c r="V2715" s="223"/>
      <c r="W2715" s="223"/>
      <c r="X2715" s="223"/>
      <c r="Y2715" s="223"/>
      <c r="Z2715" s="223"/>
    </row>
    <row r="2716">
      <c r="A2716" s="223" t="str">
        <f>IFERROR(__xludf.DUMMYFUNCTION("""COMPUTED_VALUE"""),"Tofino Resort + Marina : Monthly Services")</f>
        <v>Tofino Resort + Marina : Monthly Services</v>
      </c>
      <c r="B2716" s="223" t="str">
        <f>IFERROR(__xludf.DUMMYFUNCTION("""COMPUTED_VALUE"""),"Tofino Resort + Marina")</f>
        <v>Tofino Resort + Marina</v>
      </c>
      <c r="C2716" s="223" t="str">
        <f>IFERROR(__xludf.DUMMYFUNCTION("""COMPUTED_VALUE"""),"Monthly Services")</f>
        <v>Monthly Services</v>
      </c>
      <c r="D2716" s="316">
        <f>IFERROR(__xludf.DUMMYFUNCTION("""COMPUTED_VALUE"""),45077.0)</f>
        <v>45077</v>
      </c>
      <c r="E2716" s="298"/>
      <c r="F2716" s="298"/>
      <c r="G2716" s="298"/>
      <c r="H2716" s="223"/>
      <c r="I2716" s="298">
        <f>IFERROR(__xludf.DUMMYFUNCTION("""COMPUTED_VALUE"""),450.0)</f>
        <v>450</v>
      </c>
      <c r="J2716" s="223" t="str">
        <f>IFERROR(__xludf.DUMMYFUNCTION("""COMPUTED_VALUE"""),"Monthly")</f>
        <v>Monthly</v>
      </c>
      <c r="K2716" s="317">
        <f>IFERROR(__xludf.DUMMYFUNCTION("""COMPUTED_VALUE"""),2023.05)</f>
        <v>2023.05</v>
      </c>
      <c r="L2716" s="298"/>
      <c r="M2716" s="223"/>
      <c r="N2716" s="223"/>
      <c r="O2716" s="223"/>
      <c r="P2716" s="223"/>
      <c r="Q2716" s="223"/>
      <c r="R2716" s="223"/>
      <c r="S2716" s="223"/>
      <c r="T2716" s="223"/>
      <c r="U2716" s="223"/>
      <c r="V2716" s="223"/>
      <c r="W2716" s="223"/>
      <c r="X2716" s="223"/>
      <c r="Y2716" s="223"/>
      <c r="Z2716" s="223"/>
    </row>
    <row r="2717">
      <c r="A2717" s="223" t="str">
        <f>IFERROR(__xludf.DUMMYFUNCTION("""COMPUTED_VALUE"""),"Spraggs : Monthly Services")</f>
        <v>Spraggs : Monthly Services</v>
      </c>
      <c r="B2717" s="223" t="str">
        <f>IFERROR(__xludf.DUMMYFUNCTION("""COMPUTED_VALUE"""),"Spraggs")</f>
        <v>Spraggs</v>
      </c>
      <c r="C2717" s="223" t="str">
        <f>IFERROR(__xludf.DUMMYFUNCTION("""COMPUTED_VALUE"""),"Monthly Services")</f>
        <v>Monthly Services</v>
      </c>
      <c r="D2717" s="316">
        <f>IFERROR(__xludf.DUMMYFUNCTION("""COMPUTED_VALUE"""),45077.0)</f>
        <v>45077</v>
      </c>
      <c r="E2717" s="298"/>
      <c r="F2717" s="298"/>
      <c r="G2717" s="298"/>
      <c r="H2717" s="223"/>
      <c r="I2717" s="298">
        <f>IFERROR(__xludf.DUMMYFUNCTION("""COMPUTED_VALUE"""),275.0)</f>
        <v>275</v>
      </c>
      <c r="J2717" s="223" t="str">
        <f>IFERROR(__xludf.DUMMYFUNCTION("""COMPUTED_VALUE"""),"Monthly")</f>
        <v>Monthly</v>
      </c>
      <c r="K2717" s="317">
        <f>IFERROR(__xludf.DUMMYFUNCTION("""COMPUTED_VALUE"""),2023.05)</f>
        <v>2023.05</v>
      </c>
      <c r="L2717" s="298"/>
      <c r="M2717" s="223"/>
      <c r="N2717" s="223"/>
      <c r="O2717" s="223"/>
      <c r="P2717" s="223"/>
      <c r="Q2717" s="223"/>
      <c r="R2717" s="223"/>
      <c r="S2717" s="223"/>
      <c r="T2717" s="223"/>
      <c r="U2717" s="223"/>
      <c r="V2717" s="223"/>
      <c r="W2717" s="223"/>
      <c r="X2717" s="223"/>
      <c r="Y2717" s="223"/>
      <c r="Z2717" s="223"/>
    </row>
    <row r="2718">
      <c r="A2718" s="223" t="str">
        <f>IFERROR(__xludf.DUMMYFUNCTION("""COMPUTED_VALUE"""),"MortgagePal : Monthly Services")</f>
        <v>MortgagePal : Monthly Services</v>
      </c>
      <c r="B2718" s="223" t="str">
        <f>IFERROR(__xludf.DUMMYFUNCTION("""COMPUTED_VALUE"""),"MortgagePal")</f>
        <v>MortgagePal</v>
      </c>
      <c r="C2718" s="223" t="str">
        <f>IFERROR(__xludf.DUMMYFUNCTION("""COMPUTED_VALUE"""),"Monthly Services")</f>
        <v>Monthly Services</v>
      </c>
      <c r="D2718" s="316">
        <f>IFERROR(__xludf.DUMMYFUNCTION("""COMPUTED_VALUE"""),45077.0)</f>
        <v>45077</v>
      </c>
      <c r="E2718" s="298"/>
      <c r="F2718" s="298"/>
      <c r="G2718" s="298"/>
      <c r="H2718" s="223"/>
      <c r="I2718" s="298">
        <f>IFERROR(__xludf.DUMMYFUNCTION("""COMPUTED_VALUE"""),45.0)</f>
        <v>45</v>
      </c>
      <c r="J2718" s="223" t="str">
        <f>IFERROR(__xludf.DUMMYFUNCTION("""COMPUTED_VALUE"""),"Monthly")</f>
        <v>Monthly</v>
      </c>
      <c r="K2718" s="317">
        <f>IFERROR(__xludf.DUMMYFUNCTION("""COMPUTED_VALUE"""),2023.05)</f>
        <v>2023.05</v>
      </c>
      <c r="L2718" s="298"/>
      <c r="M2718" s="223"/>
      <c r="N2718" s="223"/>
      <c r="O2718" s="223"/>
      <c r="P2718" s="223"/>
      <c r="Q2718" s="223"/>
      <c r="R2718" s="223"/>
      <c r="S2718" s="223"/>
      <c r="T2718" s="223"/>
      <c r="U2718" s="223"/>
      <c r="V2718" s="223"/>
      <c r="W2718" s="223"/>
      <c r="X2718" s="223"/>
      <c r="Y2718" s="223"/>
      <c r="Z2718" s="223"/>
    </row>
    <row r="2719">
      <c r="A2719" s="223" t="str">
        <f>IFERROR(__xludf.DUMMYFUNCTION("""COMPUTED_VALUE"""),"Service First : Monthly Services")</f>
        <v>Service First : Monthly Services</v>
      </c>
      <c r="B2719" s="223" t="str">
        <f>IFERROR(__xludf.DUMMYFUNCTION("""COMPUTED_VALUE"""),"Service First")</f>
        <v>Service First</v>
      </c>
      <c r="C2719" s="223" t="str">
        <f>IFERROR(__xludf.DUMMYFUNCTION("""COMPUTED_VALUE"""),"Monthly Services")</f>
        <v>Monthly Services</v>
      </c>
      <c r="D2719" s="316">
        <f>IFERROR(__xludf.DUMMYFUNCTION("""COMPUTED_VALUE"""),45077.0)</f>
        <v>45077</v>
      </c>
      <c r="E2719" s="298"/>
      <c r="F2719" s="298"/>
      <c r="G2719" s="298"/>
      <c r="H2719" s="223"/>
      <c r="I2719" s="298">
        <f>IFERROR(__xludf.DUMMYFUNCTION("""COMPUTED_VALUE"""),30.0)</f>
        <v>30</v>
      </c>
      <c r="J2719" s="223" t="str">
        <f>IFERROR(__xludf.DUMMYFUNCTION("""COMPUTED_VALUE"""),"Monthly")</f>
        <v>Monthly</v>
      </c>
      <c r="K2719" s="317">
        <f>IFERROR(__xludf.DUMMYFUNCTION("""COMPUTED_VALUE"""),2023.05)</f>
        <v>2023.05</v>
      </c>
      <c r="L2719" s="298"/>
      <c r="M2719" s="223"/>
      <c r="N2719" s="223"/>
      <c r="O2719" s="223"/>
      <c r="P2719" s="223"/>
      <c r="Q2719" s="223"/>
      <c r="R2719" s="223"/>
      <c r="S2719" s="223"/>
      <c r="T2719" s="223"/>
      <c r="U2719" s="223"/>
      <c r="V2719" s="223"/>
      <c r="W2719" s="223"/>
      <c r="X2719" s="223"/>
      <c r="Y2719" s="223"/>
      <c r="Z2719" s="223"/>
    </row>
    <row r="2720">
      <c r="A2720" s="223" t="str">
        <f>IFERROR(__xludf.DUMMYFUNCTION("""COMPUTED_VALUE"""),"HSJ Lawyers : Monthly Services")</f>
        <v>HSJ Lawyers : Monthly Services</v>
      </c>
      <c r="B2720" s="223" t="str">
        <f>IFERROR(__xludf.DUMMYFUNCTION("""COMPUTED_VALUE"""),"HSJ Lawyers")</f>
        <v>HSJ Lawyers</v>
      </c>
      <c r="C2720" s="223" t="str">
        <f>IFERROR(__xludf.DUMMYFUNCTION("""COMPUTED_VALUE"""),"Monthly Services")</f>
        <v>Monthly Services</v>
      </c>
      <c r="D2720" s="316">
        <f>IFERROR(__xludf.DUMMYFUNCTION("""COMPUTED_VALUE"""),45077.0)</f>
        <v>45077</v>
      </c>
      <c r="E2720" s="298"/>
      <c r="F2720" s="298"/>
      <c r="G2720" s="298"/>
      <c r="H2720" s="223"/>
      <c r="I2720" s="298">
        <f>IFERROR(__xludf.DUMMYFUNCTION("""COMPUTED_VALUE"""),90.0)</f>
        <v>90</v>
      </c>
      <c r="J2720" s="223" t="str">
        <f>IFERROR(__xludf.DUMMYFUNCTION("""COMPUTED_VALUE"""),"Monthly")</f>
        <v>Monthly</v>
      </c>
      <c r="K2720" s="317">
        <f>IFERROR(__xludf.DUMMYFUNCTION("""COMPUTED_VALUE"""),2023.05)</f>
        <v>2023.05</v>
      </c>
      <c r="L2720" s="298"/>
      <c r="M2720" s="223"/>
      <c r="N2720" s="223"/>
      <c r="O2720" s="223"/>
      <c r="P2720" s="223"/>
      <c r="Q2720" s="223"/>
      <c r="R2720" s="223"/>
      <c r="S2720" s="223"/>
      <c r="T2720" s="223"/>
      <c r="U2720" s="223"/>
      <c r="V2720" s="223"/>
      <c r="W2720" s="223"/>
      <c r="X2720" s="223"/>
      <c r="Y2720" s="223"/>
      <c r="Z2720" s="223"/>
    </row>
    <row r="2721">
      <c r="A2721" s="223" t="str">
        <f>IFERROR(__xludf.DUMMYFUNCTION("""COMPUTED_VALUE"""),"Booginhead : Monthly Services")</f>
        <v>Booginhead : Monthly Services</v>
      </c>
      <c r="B2721" s="223" t="str">
        <f>IFERROR(__xludf.DUMMYFUNCTION("""COMPUTED_VALUE"""),"Booginhead")</f>
        <v>Booginhead</v>
      </c>
      <c r="C2721" s="223" t="str">
        <f>IFERROR(__xludf.DUMMYFUNCTION("""COMPUTED_VALUE"""),"Monthly Services")</f>
        <v>Monthly Services</v>
      </c>
      <c r="D2721" s="316">
        <f>IFERROR(__xludf.DUMMYFUNCTION("""COMPUTED_VALUE"""),45077.0)</f>
        <v>45077</v>
      </c>
      <c r="E2721" s="298"/>
      <c r="F2721" s="298"/>
      <c r="G2721" s="298"/>
      <c r="H2721" s="223"/>
      <c r="I2721" s="298">
        <f>IFERROR(__xludf.DUMMYFUNCTION("""COMPUTED_VALUE"""),235.0)</f>
        <v>235</v>
      </c>
      <c r="J2721" s="223" t="str">
        <f>IFERROR(__xludf.DUMMYFUNCTION("""COMPUTED_VALUE"""),"Monthly")</f>
        <v>Monthly</v>
      </c>
      <c r="K2721" s="317">
        <f>IFERROR(__xludf.DUMMYFUNCTION("""COMPUTED_VALUE"""),2023.05)</f>
        <v>2023.05</v>
      </c>
      <c r="L2721" s="298"/>
      <c r="M2721" s="223"/>
      <c r="N2721" s="223"/>
      <c r="O2721" s="223"/>
      <c r="P2721" s="223"/>
      <c r="Q2721" s="223"/>
      <c r="R2721" s="223"/>
      <c r="S2721" s="223"/>
      <c r="T2721" s="223"/>
      <c r="U2721" s="223"/>
      <c r="V2721" s="223"/>
      <c r="W2721" s="223"/>
      <c r="X2721" s="223"/>
      <c r="Y2721" s="223"/>
      <c r="Z2721" s="223"/>
    </row>
    <row r="2722">
      <c r="A2722" s="223" t="str">
        <f>IFERROR(__xludf.DUMMYFUNCTION("""COMPUTED_VALUE"""),"Hastings House : Monthly Services")</f>
        <v>Hastings House : Monthly Services</v>
      </c>
      <c r="B2722" s="223" t="str">
        <f>IFERROR(__xludf.DUMMYFUNCTION("""COMPUTED_VALUE"""),"Hastings House")</f>
        <v>Hastings House</v>
      </c>
      <c r="C2722" s="223" t="str">
        <f>IFERROR(__xludf.DUMMYFUNCTION("""COMPUTED_VALUE"""),"Monthly Services")</f>
        <v>Monthly Services</v>
      </c>
      <c r="D2722" s="316">
        <f>IFERROR(__xludf.DUMMYFUNCTION("""COMPUTED_VALUE"""),45077.0)</f>
        <v>45077</v>
      </c>
      <c r="E2722" s="298"/>
      <c r="F2722" s="298"/>
      <c r="G2722" s="298"/>
      <c r="H2722" s="223"/>
      <c r="I2722" s="298">
        <f>IFERROR(__xludf.DUMMYFUNCTION("""COMPUTED_VALUE"""),135.0)</f>
        <v>135</v>
      </c>
      <c r="J2722" s="223" t="str">
        <f>IFERROR(__xludf.DUMMYFUNCTION("""COMPUTED_VALUE"""),"Monthly")</f>
        <v>Monthly</v>
      </c>
      <c r="K2722" s="317">
        <f>IFERROR(__xludf.DUMMYFUNCTION("""COMPUTED_VALUE"""),2023.05)</f>
        <v>2023.05</v>
      </c>
      <c r="L2722" s="298"/>
      <c r="M2722" s="223"/>
      <c r="N2722" s="223"/>
      <c r="O2722" s="223"/>
      <c r="P2722" s="223"/>
      <c r="Q2722" s="223"/>
      <c r="R2722" s="223"/>
      <c r="S2722" s="223"/>
      <c r="T2722" s="223"/>
      <c r="U2722" s="223"/>
      <c r="V2722" s="223"/>
      <c r="W2722" s="223"/>
      <c r="X2722" s="223"/>
      <c r="Y2722" s="223"/>
      <c r="Z2722" s="223"/>
    </row>
    <row r="2723">
      <c r="A2723" s="223" t="str">
        <f>IFERROR(__xludf.DUMMYFUNCTION("""COMPUTED_VALUE"""),"TisBest : Monthly Services")</f>
        <v>TisBest : Monthly Services</v>
      </c>
      <c r="B2723" s="223" t="str">
        <f>IFERROR(__xludf.DUMMYFUNCTION("""COMPUTED_VALUE"""),"TisBest")</f>
        <v>TisBest</v>
      </c>
      <c r="C2723" s="223" t="str">
        <f>IFERROR(__xludf.DUMMYFUNCTION("""COMPUTED_VALUE"""),"Monthly Services")</f>
        <v>Monthly Services</v>
      </c>
      <c r="D2723" s="316">
        <f>IFERROR(__xludf.DUMMYFUNCTION("""COMPUTED_VALUE"""),45077.0)</f>
        <v>45077</v>
      </c>
      <c r="E2723" s="298"/>
      <c r="F2723" s="298"/>
      <c r="G2723" s="298"/>
      <c r="H2723" s="223"/>
      <c r="I2723" s="298">
        <f>IFERROR(__xludf.DUMMYFUNCTION("""COMPUTED_VALUE"""),200.0)</f>
        <v>200</v>
      </c>
      <c r="J2723" s="223" t="str">
        <f>IFERROR(__xludf.DUMMYFUNCTION("""COMPUTED_VALUE"""),"Monthly")</f>
        <v>Monthly</v>
      </c>
      <c r="K2723" s="317">
        <f>IFERROR(__xludf.DUMMYFUNCTION("""COMPUTED_VALUE"""),2023.05)</f>
        <v>2023.05</v>
      </c>
      <c r="L2723" s="298"/>
      <c r="M2723" s="223"/>
      <c r="N2723" s="223"/>
      <c r="O2723" s="223"/>
      <c r="P2723" s="223"/>
      <c r="Q2723" s="223"/>
      <c r="R2723" s="223"/>
      <c r="S2723" s="223"/>
      <c r="T2723" s="223"/>
      <c r="U2723" s="223"/>
      <c r="V2723" s="223"/>
      <c r="W2723" s="223"/>
      <c r="X2723" s="223"/>
      <c r="Y2723" s="223"/>
      <c r="Z2723" s="223"/>
    </row>
    <row r="2724">
      <c r="A2724" s="223" t="str">
        <f>IFERROR(__xludf.DUMMYFUNCTION("""COMPUTED_VALUE"""),"Wallack's Art Supplies : Monthly Services")</f>
        <v>Wallack's Art Supplies : Monthly Services</v>
      </c>
      <c r="B2724" s="223" t="str">
        <f>IFERROR(__xludf.DUMMYFUNCTION("""COMPUTED_VALUE"""),"Wallack's Art Supplies")</f>
        <v>Wallack's Art Supplies</v>
      </c>
      <c r="C2724" s="223" t="str">
        <f>IFERROR(__xludf.DUMMYFUNCTION("""COMPUTED_VALUE"""),"Monthly Services")</f>
        <v>Monthly Services</v>
      </c>
      <c r="D2724" s="316">
        <f>IFERROR(__xludf.DUMMYFUNCTION("""COMPUTED_VALUE"""),45077.0)</f>
        <v>45077</v>
      </c>
      <c r="E2724" s="298"/>
      <c r="F2724" s="298"/>
      <c r="G2724" s="298"/>
      <c r="H2724" s="223"/>
      <c r="I2724" s="298">
        <f>IFERROR(__xludf.DUMMYFUNCTION("""COMPUTED_VALUE"""),75.0)</f>
        <v>75</v>
      </c>
      <c r="J2724" s="223" t="str">
        <f>IFERROR(__xludf.DUMMYFUNCTION("""COMPUTED_VALUE"""),"Monthly")</f>
        <v>Monthly</v>
      </c>
      <c r="K2724" s="317">
        <f>IFERROR(__xludf.DUMMYFUNCTION("""COMPUTED_VALUE"""),2023.05)</f>
        <v>2023.05</v>
      </c>
      <c r="L2724" s="298"/>
      <c r="M2724" s="223"/>
      <c r="N2724" s="223"/>
      <c r="O2724" s="223"/>
      <c r="P2724" s="223"/>
      <c r="Q2724" s="223"/>
      <c r="R2724" s="223"/>
      <c r="S2724" s="223"/>
      <c r="T2724" s="223"/>
      <c r="U2724" s="223"/>
      <c r="V2724" s="223"/>
      <c r="W2724" s="223"/>
      <c r="X2724" s="223"/>
      <c r="Y2724" s="223"/>
      <c r="Z2724" s="223"/>
    </row>
    <row r="2725">
      <c r="A2725" s="223" t="str">
        <f>IFERROR(__xludf.DUMMYFUNCTION("""COMPUTED_VALUE"""),"PMDI : Monthly Services")</f>
        <v>PMDI : Monthly Services</v>
      </c>
      <c r="B2725" s="223" t="str">
        <f>IFERROR(__xludf.DUMMYFUNCTION("""COMPUTED_VALUE"""),"PMDI")</f>
        <v>PMDI</v>
      </c>
      <c r="C2725" s="223" t="str">
        <f>IFERROR(__xludf.DUMMYFUNCTION("""COMPUTED_VALUE"""),"Monthly Services")</f>
        <v>Monthly Services</v>
      </c>
      <c r="D2725" s="316">
        <f>IFERROR(__xludf.DUMMYFUNCTION("""COMPUTED_VALUE"""),45077.0)</f>
        <v>45077</v>
      </c>
      <c r="E2725" s="298"/>
      <c r="F2725" s="298"/>
      <c r="G2725" s="298"/>
      <c r="H2725" s="223"/>
      <c r="I2725" s="298">
        <f>IFERROR(__xludf.DUMMYFUNCTION("""COMPUTED_VALUE"""),30.0)</f>
        <v>30</v>
      </c>
      <c r="J2725" s="223" t="str">
        <f>IFERROR(__xludf.DUMMYFUNCTION("""COMPUTED_VALUE"""),"Monthly")</f>
        <v>Monthly</v>
      </c>
      <c r="K2725" s="317">
        <f>IFERROR(__xludf.DUMMYFUNCTION("""COMPUTED_VALUE"""),2023.05)</f>
        <v>2023.05</v>
      </c>
      <c r="L2725" s="298"/>
      <c r="M2725" s="223"/>
      <c r="N2725" s="223"/>
      <c r="O2725" s="223"/>
      <c r="P2725" s="223"/>
      <c r="Q2725" s="223"/>
      <c r="R2725" s="223"/>
      <c r="S2725" s="223"/>
      <c r="T2725" s="223"/>
      <c r="U2725" s="223"/>
      <c r="V2725" s="223"/>
      <c r="W2725" s="223"/>
      <c r="X2725" s="223"/>
      <c r="Y2725" s="223"/>
      <c r="Z2725" s="223"/>
    </row>
    <row r="2726">
      <c r="A2726" s="223" t="str">
        <f>IFERROR(__xludf.DUMMYFUNCTION("""COMPUTED_VALUE"""),"Tofino Resort + Marina : Monthly Services")</f>
        <v>Tofino Resort + Marina : Monthly Services</v>
      </c>
      <c r="B2726" s="223" t="str">
        <f>IFERROR(__xludf.DUMMYFUNCTION("""COMPUTED_VALUE"""),"Tofino Resort + Marina")</f>
        <v>Tofino Resort + Marina</v>
      </c>
      <c r="C2726" s="223" t="str">
        <f>IFERROR(__xludf.DUMMYFUNCTION("""COMPUTED_VALUE"""),"Monthly Services")</f>
        <v>Monthly Services</v>
      </c>
      <c r="D2726" s="316">
        <f>IFERROR(__xludf.DUMMYFUNCTION("""COMPUTED_VALUE"""),45077.0)</f>
        <v>45077</v>
      </c>
      <c r="E2726" s="298"/>
      <c r="F2726" s="298"/>
      <c r="G2726" s="298"/>
      <c r="H2726" s="223"/>
      <c r="I2726" s="298">
        <f>IFERROR(__xludf.DUMMYFUNCTION("""COMPUTED_VALUE"""),300.0)</f>
        <v>300</v>
      </c>
      <c r="J2726" s="223" t="str">
        <f>IFERROR(__xludf.DUMMYFUNCTION("""COMPUTED_VALUE"""),"Monthly")</f>
        <v>Monthly</v>
      </c>
      <c r="K2726" s="317">
        <f>IFERROR(__xludf.DUMMYFUNCTION("""COMPUTED_VALUE"""),2023.05)</f>
        <v>2023.05</v>
      </c>
      <c r="L2726" s="298"/>
      <c r="M2726" s="223"/>
      <c r="N2726" s="223"/>
      <c r="O2726" s="223"/>
      <c r="P2726" s="223"/>
      <c r="Q2726" s="223"/>
      <c r="R2726" s="223"/>
      <c r="S2726" s="223"/>
      <c r="T2726" s="223"/>
      <c r="U2726" s="223"/>
      <c r="V2726" s="223"/>
      <c r="W2726" s="223"/>
      <c r="X2726" s="223"/>
      <c r="Y2726" s="223"/>
      <c r="Z2726" s="223"/>
    </row>
    <row r="2727">
      <c r="A2727" s="223" t="str">
        <f>IFERROR(__xludf.DUMMYFUNCTION("""COMPUTED_VALUE"""),"Anook Athletics : Monthly Services")</f>
        <v>Anook Athletics : Monthly Services</v>
      </c>
      <c r="B2727" s="223" t="str">
        <f>IFERROR(__xludf.DUMMYFUNCTION("""COMPUTED_VALUE"""),"Anook Athletics")</f>
        <v>Anook Athletics</v>
      </c>
      <c r="C2727" s="223" t="str">
        <f>IFERROR(__xludf.DUMMYFUNCTION("""COMPUTED_VALUE"""),"Monthly Services")</f>
        <v>Monthly Services</v>
      </c>
      <c r="D2727" s="316">
        <f>IFERROR(__xludf.DUMMYFUNCTION("""COMPUTED_VALUE"""),45077.0)</f>
        <v>45077</v>
      </c>
      <c r="E2727" s="298"/>
      <c r="F2727" s="298"/>
      <c r="G2727" s="298"/>
      <c r="H2727" s="223"/>
      <c r="I2727" s="298">
        <f>IFERROR(__xludf.DUMMYFUNCTION("""COMPUTED_VALUE"""),75.0)</f>
        <v>75</v>
      </c>
      <c r="J2727" s="223" t="str">
        <f>IFERROR(__xludf.DUMMYFUNCTION("""COMPUTED_VALUE"""),"Monthly")</f>
        <v>Monthly</v>
      </c>
      <c r="K2727" s="317">
        <f>IFERROR(__xludf.DUMMYFUNCTION("""COMPUTED_VALUE"""),2023.05)</f>
        <v>2023.05</v>
      </c>
      <c r="L2727" s="298"/>
      <c r="M2727" s="223"/>
      <c r="N2727" s="223"/>
      <c r="O2727" s="223"/>
      <c r="P2727" s="223"/>
      <c r="Q2727" s="223"/>
      <c r="R2727" s="223"/>
      <c r="S2727" s="223"/>
      <c r="T2727" s="223"/>
      <c r="U2727" s="223"/>
      <c r="V2727" s="223"/>
      <c r="W2727" s="223"/>
      <c r="X2727" s="223"/>
      <c r="Y2727" s="223"/>
      <c r="Z2727" s="223"/>
    </row>
    <row r="2728">
      <c r="A2728" s="223" t="str">
        <f>IFERROR(__xludf.DUMMYFUNCTION("""COMPUTED_VALUE"""),"New Growth Ecommerce Inc : Monthly Services")</f>
        <v>New Growth Ecommerce Inc : Monthly Services</v>
      </c>
      <c r="B2728" s="223" t="str">
        <f>IFERROR(__xludf.DUMMYFUNCTION("""COMPUTED_VALUE"""),"New Growth Ecommerce Inc")</f>
        <v>New Growth Ecommerce Inc</v>
      </c>
      <c r="C2728" s="223" t="str">
        <f>IFERROR(__xludf.DUMMYFUNCTION("""COMPUTED_VALUE"""),"Monthly Services")</f>
        <v>Monthly Services</v>
      </c>
      <c r="D2728" s="316">
        <f>IFERROR(__xludf.DUMMYFUNCTION("""COMPUTED_VALUE"""),45077.0)</f>
        <v>45077</v>
      </c>
      <c r="E2728" s="298"/>
      <c r="F2728" s="298"/>
      <c r="G2728" s="298"/>
      <c r="H2728" s="223"/>
      <c r="I2728" s="298">
        <f>IFERROR(__xludf.DUMMYFUNCTION("""COMPUTED_VALUE"""),1860.0)</f>
        <v>1860</v>
      </c>
      <c r="J2728" s="223" t="str">
        <f>IFERROR(__xludf.DUMMYFUNCTION("""COMPUTED_VALUE"""),"Monthly")</f>
        <v>Monthly</v>
      </c>
      <c r="K2728" s="317">
        <f>IFERROR(__xludf.DUMMYFUNCTION("""COMPUTED_VALUE"""),2023.05)</f>
        <v>2023.05</v>
      </c>
      <c r="L2728" s="298"/>
      <c r="M2728" s="223"/>
      <c r="N2728" s="223"/>
      <c r="O2728" s="223"/>
      <c r="P2728" s="223"/>
      <c r="Q2728" s="223"/>
      <c r="R2728" s="223"/>
      <c r="S2728" s="223"/>
      <c r="T2728" s="223"/>
      <c r="U2728" s="223"/>
      <c r="V2728" s="223"/>
      <c r="W2728" s="223"/>
      <c r="X2728" s="223"/>
      <c r="Y2728" s="223"/>
      <c r="Z2728" s="223"/>
    </row>
    <row r="2729">
      <c r="A2729" s="223" t="str">
        <f>IFERROR(__xludf.DUMMYFUNCTION("""COMPUTED_VALUE"""),"Crisp Media : Monthly Genus Google PPC Mgmt")</f>
        <v>Crisp Media : Monthly Genus Google PPC Mgmt</v>
      </c>
      <c r="B2729" s="223" t="str">
        <f>IFERROR(__xludf.DUMMYFUNCTION("""COMPUTED_VALUE"""),"Crisp Media")</f>
        <v>Crisp Media</v>
      </c>
      <c r="C2729" s="223" t="str">
        <f>IFERROR(__xludf.DUMMYFUNCTION("""COMPUTED_VALUE"""),"Monthly Genus Google PPC Mgmt")</f>
        <v>Monthly Genus Google PPC Mgmt</v>
      </c>
      <c r="D2729" s="316">
        <f>IFERROR(__xludf.DUMMYFUNCTION("""COMPUTED_VALUE"""),45077.0)</f>
        <v>45077</v>
      </c>
      <c r="E2729" s="298"/>
      <c r="F2729" s="298"/>
      <c r="G2729" s="298"/>
      <c r="H2729" s="223"/>
      <c r="I2729" s="298">
        <f>IFERROR(__xludf.DUMMYFUNCTION("""COMPUTED_VALUE"""),45.0)</f>
        <v>45</v>
      </c>
      <c r="J2729" s="223" t="str">
        <f>IFERROR(__xludf.DUMMYFUNCTION("""COMPUTED_VALUE"""),"Monthly")</f>
        <v>Monthly</v>
      </c>
      <c r="K2729" s="317">
        <f>IFERROR(__xludf.DUMMYFUNCTION("""COMPUTED_VALUE"""),2023.05)</f>
        <v>2023.05</v>
      </c>
      <c r="L2729" s="298"/>
      <c r="M2729" s="223"/>
      <c r="N2729" s="223"/>
      <c r="O2729" s="223"/>
      <c r="P2729" s="223"/>
      <c r="Q2729" s="223"/>
      <c r="R2729" s="223"/>
      <c r="S2729" s="223"/>
      <c r="T2729" s="223"/>
      <c r="U2729" s="223"/>
      <c r="V2729" s="223"/>
      <c r="W2729" s="223"/>
      <c r="X2729" s="223"/>
      <c r="Y2729" s="223"/>
      <c r="Z2729" s="223"/>
    </row>
    <row r="2730">
      <c r="A2730" s="223" t="str">
        <f>IFERROR(__xludf.DUMMYFUNCTION("""COMPUTED_VALUE"""),"Howard Fine Jewellers : Ongoing PPC and SEO Support")</f>
        <v>Howard Fine Jewellers : Ongoing PPC and SEO Support</v>
      </c>
      <c r="B2730" s="223" t="str">
        <f>IFERROR(__xludf.DUMMYFUNCTION("""COMPUTED_VALUE"""),"Howard Fine Jewellers")</f>
        <v>Howard Fine Jewellers</v>
      </c>
      <c r="C2730" s="223" t="str">
        <f>IFERROR(__xludf.DUMMYFUNCTION("""COMPUTED_VALUE"""),"Ongoing PPC and SEO Support")</f>
        <v>Ongoing PPC and SEO Support</v>
      </c>
      <c r="D2730" s="316">
        <f>IFERROR(__xludf.DUMMYFUNCTION("""COMPUTED_VALUE"""),45077.0)</f>
        <v>45077</v>
      </c>
      <c r="E2730" s="298"/>
      <c r="F2730" s="298"/>
      <c r="G2730" s="298"/>
      <c r="H2730" s="223"/>
      <c r="I2730" s="298">
        <f>IFERROR(__xludf.DUMMYFUNCTION("""COMPUTED_VALUE"""),100.0)</f>
        <v>100</v>
      </c>
      <c r="J2730" s="223" t="str">
        <f>IFERROR(__xludf.DUMMYFUNCTION("""COMPUTED_VALUE"""),"Monthly")</f>
        <v>Monthly</v>
      </c>
      <c r="K2730" s="317">
        <f>IFERROR(__xludf.DUMMYFUNCTION("""COMPUTED_VALUE"""),2023.05)</f>
        <v>2023.05</v>
      </c>
      <c r="L2730" s="298"/>
      <c r="M2730" s="223"/>
      <c r="N2730" s="223"/>
      <c r="O2730" s="223"/>
      <c r="P2730" s="223"/>
      <c r="Q2730" s="223"/>
      <c r="R2730" s="223"/>
      <c r="S2730" s="223"/>
      <c r="T2730" s="223"/>
      <c r="U2730" s="223"/>
      <c r="V2730" s="223"/>
      <c r="W2730" s="223"/>
      <c r="X2730" s="223"/>
      <c r="Y2730" s="223"/>
      <c r="Z2730" s="223"/>
    </row>
    <row r="2731">
      <c r="A2731" s="223" t="str">
        <f>IFERROR(__xludf.DUMMYFUNCTION("""COMPUTED_VALUE"""),"Big Hammer Wines : Monthly PPC")</f>
        <v>Big Hammer Wines : Monthly PPC</v>
      </c>
      <c r="B2731" s="223" t="str">
        <f>IFERROR(__xludf.DUMMYFUNCTION("""COMPUTED_VALUE"""),"Big Hammer Wines")</f>
        <v>Big Hammer Wines</v>
      </c>
      <c r="C2731" s="223" t="str">
        <f>IFERROR(__xludf.DUMMYFUNCTION("""COMPUTED_VALUE"""),"Monthly PPC")</f>
        <v>Monthly PPC</v>
      </c>
      <c r="D2731" s="316">
        <f>IFERROR(__xludf.DUMMYFUNCTION("""COMPUTED_VALUE"""),45077.0)</f>
        <v>45077</v>
      </c>
      <c r="E2731" s="298"/>
      <c r="F2731" s="298"/>
      <c r="G2731" s="298"/>
      <c r="H2731" s="223"/>
      <c r="I2731" s="298">
        <f>IFERROR(__xludf.DUMMYFUNCTION("""COMPUTED_VALUE"""),60.0)</f>
        <v>60</v>
      </c>
      <c r="J2731" s="223" t="str">
        <f>IFERROR(__xludf.DUMMYFUNCTION("""COMPUTED_VALUE"""),"Monthly")</f>
        <v>Monthly</v>
      </c>
      <c r="K2731" s="317">
        <f>IFERROR(__xludf.DUMMYFUNCTION("""COMPUTED_VALUE"""),2023.05)</f>
        <v>2023.05</v>
      </c>
      <c r="L2731" s="298"/>
      <c r="M2731" s="223"/>
      <c r="N2731" s="223"/>
      <c r="O2731" s="223"/>
      <c r="P2731" s="223"/>
      <c r="Q2731" s="223"/>
      <c r="R2731" s="223"/>
      <c r="S2731" s="223"/>
      <c r="T2731" s="223"/>
      <c r="U2731" s="223"/>
      <c r="V2731" s="223"/>
      <c r="W2731" s="223"/>
      <c r="X2731" s="223"/>
      <c r="Y2731" s="223"/>
      <c r="Z2731" s="223"/>
    </row>
    <row r="2732">
      <c r="A2732" s="223" t="str">
        <f>IFERROR(__xludf.DUMMYFUNCTION("""COMPUTED_VALUE"""),"Classic LifeCare : Monthly Google Ads (PPC) Management")</f>
        <v>Classic LifeCare : Monthly Google Ads (PPC) Management</v>
      </c>
      <c r="B2732" s="223" t="str">
        <f>IFERROR(__xludf.DUMMYFUNCTION("""COMPUTED_VALUE"""),"Classic LifeCare")</f>
        <v>Classic LifeCare</v>
      </c>
      <c r="C2732" s="223" t="str">
        <f>IFERROR(__xludf.DUMMYFUNCTION("""COMPUTED_VALUE"""),"Monthly Google Ads (PPC) Management")</f>
        <v>Monthly Google Ads (PPC) Management</v>
      </c>
      <c r="D2732" s="316">
        <f>IFERROR(__xludf.DUMMYFUNCTION("""COMPUTED_VALUE"""),45077.0)</f>
        <v>45077</v>
      </c>
      <c r="E2732" s="298"/>
      <c r="F2732" s="298"/>
      <c r="G2732" s="298"/>
      <c r="H2732" s="223"/>
      <c r="I2732" s="298">
        <f>IFERROR(__xludf.DUMMYFUNCTION("""COMPUTED_VALUE"""),322.5)</f>
        <v>322.5</v>
      </c>
      <c r="J2732" s="223" t="str">
        <f>IFERROR(__xludf.DUMMYFUNCTION("""COMPUTED_VALUE"""),"Monthly")</f>
        <v>Monthly</v>
      </c>
      <c r="K2732" s="317">
        <f>IFERROR(__xludf.DUMMYFUNCTION("""COMPUTED_VALUE"""),2023.05)</f>
        <v>2023.05</v>
      </c>
      <c r="L2732" s="298"/>
      <c r="M2732" s="223"/>
      <c r="N2732" s="223"/>
      <c r="O2732" s="223"/>
      <c r="P2732" s="223"/>
      <c r="Q2732" s="223"/>
      <c r="R2732" s="223"/>
      <c r="S2732" s="223"/>
      <c r="T2732" s="223"/>
      <c r="U2732" s="223"/>
      <c r="V2732" s="223"/>
      <c r="W2732" s="223"/>
      <c r="X2732" s="223"/>
      <c r="Y2732" s="223"/>
      <c r="Z2732" s="223"/>
    </row>
    <row r="2733">
      <c r="A2733" s="223" t="str">
        <f>IFERROR(__xludf.DUMMYFUNCTION("""COMPUTED_VALUE"""),"McAllister Marketing : Copernic PPC / SEO")</f>
        <v>McAllister Marketing : Copernic PPC / SEO</v>
      </c>
      <c r="B2733" s="223" t="str">
        <f>IFERROR(__xludf.DUMMYFUNCTION("""COMPUTED_VALUE"""),"McAllister Marketing")</f>
        <v>McAllister Marketing</v>
      </c>
      <c r="C2733" s="223" t="str">
        <f>IFERROR(__xludf.DUMMYFUNCTION("""COMPUTED_VALUE"""),"Copernic PPC / SEO")</f>
        <v>Copernic PPC / SEO</v>
      </c>
      <c r="D2733" s="316">
        <f>IFERROR(__xludf.DUMMYFUNCTION("""COMPUTED_VALUE"""),45077.0)</f>
        <v>45077</v>
      </c>
      <c r="E2733" s="298"/>
      <c r="F2733" s="298"/>
      <c r="G2733" s="298"/>
      <c r="H2733" s="223"/>
      <c r="I2733" s="298">
        <f>IFERROR(__xludf.DUMMYFUNCTION("""COMPUTED_VALUE"""),500.0)</f>
        <v>500</v>
      </c>
      <c r="J2733" s="223" t="str">
        <f>IFERROR(__xludf.DUMMYFUNCTION("""COMPUTED_VALUE"""),"Monthly")</f>
        <v>Monthly</v>
      </c>
      <c r="K2733" s="317">
        <f>IFERROR(__xludf.DUMMYFUNCTION("""COMPUTED_VALUE"""),2023.05)</f>
        <v>2023.05</v>
      </c>
      <c r="L2733" s="298"/>
      <c r="M2733" s="223"/>
      <c r="N2733" s="223"/>
      <c r="O2733" s="223"/>
      <c r="P2733" s="223"/>
      <c r="Q2733" s="223"/>
      <c r="R2733" s="223"/>
      <c r="S2733" s="223"/>
      <c r="T2733" s="223"/>
      <c r="U2733" s="223"/>
      <c r="V2733" s="223"/>
      <c r="W2733" s="223"/>
      <c r="X2733" s="223"/>
      <c r="Y2733" s="223"/>
      <c r="Z2733" s="223"/>
    </row>
    <row r="2734">
      <c r="A2734" s="223" t="str">
        <f>IFERROR(__xludf.DUMMYFUNCTION("""COMPUTED_VALUE"""),"Terra Insights : Monthly PPC")</f>
        <v>Terra Insights : Monthly PPC</v>
      </c>
      <c r="B2734" s="223" t="str">
        <f>IFERROR(__xludf.DUMMYFUNCTION("""COMPUTED_VALUE"""),"Terra Insights")</f>
        <v>Terra Insights</v>
      </c>
      <c r="C2734" s="223" t="str">
        <f>IFERROR(__xludf.DUMMYFUNCTION("""COMPUTED_VALUE"""),"Monthly PPC")</f>
        <v>Monthly PPC</v>
      </c>
      <c r="D2734" s="316">
        <f>IFERROR(__xludf.DUMMYFUNCTION("""COMPUTED_VALUE"""),45077.0)</f>
        <v>45077</v>
      </c>
      <c r="E2734" s="298"/>
      <c r="F2734" s="298"/>
      <c r="G2734" s="298"/>
      <c r="H2734" s="223"/>
      <c r="I2734" s="298">
        <f>IFERROR(__xludf.DUMMYFUNCTION("""COMPUTED_VALUE"""),330.0)</f>
        <v>330</v>
      </c>
      <c r="J2734" s="223" t="str">
        <f>IFERROR(__xludf.DUMMYFUNCTION("""COMPUTED_VALUE"""),"Monthly")</f>
        <v>Monthly</v>
      </c>
      <c r="K2734" s="317">
        <f>IFERROR(__xludf.DUMMYFUNCTION("""COMPUTED_VALUE"""),2023.05)</f>
        <v>2023.05</v>
      </c>
      <c r="L2734" s="298"/>
      <c r="M2734" s="223"/>
      <c r="N2734" s="223"/>
      <c r="O2734" s="223"/>
      <c r="P2734" s="223"/>
      <c r="Q2734" s="223"/>
      <c r="R2734" s="223"/>
      <c r="S2734" s="223"/>
      <c r="T2734" s="223"/>
      <c r="U2734" s="223"/>
      <c r="V2734" s="223"/>
      <c r="W2734" s="223"/>
      <c r="X2734" s="223"/>
      <c r="Y2734" s="223"/>
      <c r="Z2734" s="223"/>
    </row>
    <row r="2735">
      <c r="A2735" s="223" t="str">
        <f>IFERROR(__xludf.DUMMYFUNCTION("""COMPUTED_VALUE"""),"C360 : Johns Hopkins University PPC Management")</f>
        <v>C360 : Johns Hopkins University PPC Management</v>
      </c>
      <c r="B2735" s="223" t="str">
        <f>IFERROR(__xludf.DUMMYFUNCTION("""COMPUTED_VALUE"""),"C360")</f>
        <v>C360</v>
      </c>
      <c r="C2735" s="223" t="str">
        <f>IFERROR(__xludf.DUMMYFUNCTION("""COMPUTED_VALUE"""),"Johns Hopkins University PPC Management")</f>
        <v>Johns Hopkins University PPC Management</v>
      </c>
      <c r="D2735" s="316">
        <f>IFERROR(__xludf.DUMMYFUNCTION("""COMPUTED_VALUE"""),45077.0)</f>
        <v>45077</v>
      </c>
      <c r="E2735" s="298"/>
      <c r="F2735" s="298"/>
      <c r="G2735" s="298"/>
      <c r="H2735" s="223"/>
      <c r="I2735" s="298">
        <f>IFERROR(__xludf.DUMMYFUNCTION("""COMPUTED_VALUE"""),175.0)</f>
        <v>175</v>
      </c>
      <c r="J2735" s="223" t="str">
        <f>IFERROR(__xludf.DUMMYFUNCTION("""COMPUTED_VALUE"""),"Fixed Project")</f>
        <v>Fixed Project</v>
      </c>
      <c r="K2735" s="317">
        <f>IFERROR(__xludf.DUMMYFUNCTION("""COMPUTED_VALUE"""),2023.0)</f>
        <v>2023</v>
      </c>
      <c r="L2735" s="298"/>
      <c r="M2735" s="223"/>
      <c r="N2735" s="223"/>
      <c r="O2735" s="223"/>
      <c r="P2735" s="223"/>
      <c r="Q2735" s="223"/>
      <c r="R2735" s="223"/>
      <c r="S2735" s="223"/>
      <c r="T2735" s="223"/>
      <c r="U2735" s="223"/>
      <c r="V2735" s="223"/>
      <c r="W2735" s="223"/>
      <c r="X2735" s="223"/>
      <c r="Y2735" s="223"/>
      <c r="Z2735" s="223"/>
    </row>
    <row r="2736">
      <c r="A2736" s="223" t="str">
        <f>IFERROR(__xludf.DUMMYFUNCTION("""COMPUTED_VALUE"""),"Luxe Bridal LLC : Monthly PPC")</f>
        <v>Luxe Bridal LLC : Monthly PPC</v>
      </c>
      <c r="B2736" s="223" t="str">
        <f>IFERROR(__xludf.DUMMYFUNCTION("""COMPUTED_VALUE"""),"Luxe Bridal LLC")</f>
        <v>Luxe Bridal LLC</v>
      </c>
      <c r="C2736" s="223" t="str">
        <f>IFERROR(__xludf.DUMMYFUNCTION("""COMPUTED_VALUE"""),"Monthly PPC")</f>
        <v>Monthly PPC</v>
      </c>
      <c r="D2736" s="316">
        <f>IFERROR(__xludf.DUMMYFUNCTION("""COMPUTED_VALUE"""),45077.0)</f>
        <v>45077</v>
      </c>
      <c r="E2736" s="298"/>
      <c r="F2736" s="298"/>
      <c r="G2736" s="298"/>
      <c r="H2736" s="223"/>
      <c r="I2736" s="298">
        <f>IFERROR(__xludf.DUMMYFUNCTION("""COMPUTED_VALUE"""),630.0)</f>
        <v>630</v>
      </c>
      <c r="J2736" s="223" t="str">
        <f>IFERROR(__xludf.DUMMYFUNCTION("""COMPUTED_VALUE"""),"Monthly")</f>
        <v>Monthly</v>
      </c>
      <c r="K2736" s="317">
        <f>IFERROR(__xludf.DUMMYFUNCTION("""COMPUTED_VALUE"""),2023.05)</f>
        <v>2023.05</v>
      </c>
      <c r="L2736" s="298"/>
      <c r="M2736" s="223"/>
      <c r="N2736" s="223"/>
      <c r="O2736" s="223"/>
      <c r="P2736" s="223"/>
      <c r="Q2736" s="223"/>
      <c r="R2736" s="223"/>
      <c r="S2736" s="223"/>
      <c r="T2736" s="223"/>
      <c r="U2736" s="223"/>
      <c r="V2736" s="223"/>
      <c r="W2736" s="223"/>
      <c r="X2736" s="223"/>
      <c r="Y2736" s="223"/>
      <c r="Z2736" s="223"/>
    </row>
    <row r="2737">
      <c r="A2737" s="223" t="str">
        <f>IFERROR(__xludf.DUMMYFUNCTION("""COMPUTED_VALUE"""),"Luxe Bridal LLC (LJM) : Monthly PPC")</f>
        <v>Luxe Bridal LLC (LJM) : Monthly PPC</v>
      </c>
      <c r="B2737" s="223" t="str">
        <f>IFERROR(__xludf.DUMMYFUNCTION("""COMPUTED_VALUE"""),"Luxe Bridal LLC (LJM)")</f>
        <v>Luxe Bridal LLC (LJM)</v>
      </c>
      <c r="C2737" s="223" t="str">
        <f>IFERROR(__xludf.DUMMYFUNCTION("""COMPUTED_VALUE"""),"Monthly PPC")</f>
        <v>Monthly PPC</v>
      </c>
      <c r="D2737" s="316">
        <f>IFERROR(__xludf.DUMMYFUNCTION("""COMPUTED_VALUE"""),45077.0)</f>
        <v>45077</v>
      </c>
      <c r="E2737" s="298"/>
      <c r="F2737" s="298"/>
      <c r="G2737" s="298"/>
      <c r="H2737" s="223"/>
      <c r="I2737" s="298">
        <f>IFERROR(__xludf.DUMMYFUNCTION("""COMPUTED_VALUE"""),300.0)</f>
        <v>300</v>
      </c>
      <c r="J2737" s="223" t="str">
        <f>IFERROR(__xludf.DUMMYFUNCTION("""COMPUTED_VALUE"""),"Monthly")</f>
        <v>Monthly</v>
      </c>
      <c r="K2737" s="317">
        <f>IFERROR(__xludf.DUMMYFUNCTION("""COMPUTED_VALUE"""),2023.05)</f>
        <v>2023.05</v>
      </c>
      <c r="L2737" s="298"/>
      <c r="M2737" s="223"/>
      <c r="N2737" s="223"/>
      <c r="O2737" s="223"/>
      <c r="P2737" s="223"/>
      <c r="Q2737" s="223"/>
      <c r="R2737" s="223"/>
      <c r="S2737" s="223"/>
      <c r="T2737" s="223"/>
      <c r="U2737" s="223"/>
      <c r="V2737" s="223"/>
      <c r="W2737" s="223"/>
      <c r="X2737" s="223"/>
      <c r="Y2737" s="223"/>
      <c r="Z2737" s="223"/>
    </row>
    <row r="2738">
      <c r="A2738" s="223" t="str">
        <f>IFERROR(__xludf.DUMMYFUNCTION("""COMPUTED_VALUE"""),"Moloco : Monthly PPC")</f>
        <v>Moloco : Monthly PPC</v>
      </c>
      <c r="B2738" s="223" t="str">
        <f>IFERROR(__xludf.DUMMYFUNCTION("""COMPUTED_VALUE"""),"Moloco")</f>
        <v>Moloco</v>
      </c>
      <c r="C2738" s="223" t="str">
        <f>IFERROR(__xludf.DUMMYFUNCTION("""COMPUTED_VALUE"""),"Monthly PPC")</f>
        <v>Monthly PPC</v>
      </c>
      <c r="D2738" s="316">
        <f>IFERROR(__xludf.DUMMYFUNCTION("""COMPUTED_VALUE"""),45077.0)</f>
        <v>45077</v>
      </c>
      <c r="E2738" s="298"/>
      <c r="F2738" s="298"/>
      <c r="G2738" s="298"/>
      <c r="H2738" s="223"/>
      <c r="I2738" s="298">
        <f>IFERROR(__xludf.DUMMYFUNCTION("""COMPUTED_VALUE"""),45.0)</f>
        <v>45</v>
      </c>
      <c r="J2738" s="223" t="str">
        <f>IFERROR(__xludf.DUMMYFUNCTION("""COMPUTED_VALUE"""),"Monthly")</f>
        <v>Monthly</v>
      </c>
      <c r="K2738" s="317">
        <f>IFERROR(__xludf.DUMMYFUNCTION("""COMPUTED_VALUE"""),2023.05)</f>
        <v>2023.05</v>
      </c>
      <c r="L2738" s="298"/>
      <c r="M2738" s="223"/>
      <c r="N2738" s="223"/>
      <c r="O2738" s="223"/>
      <c r="P2738" s="223"/>
      <c r="Q2738" s="223"/>
      <c r="R2738" s="223"/>
      <c r="S2738" s="223"/>
      <c r="T2738" s="223"/>
      <c r="U2738" s="223"/>
      <c r="V2738" s="223"/>
      <c r="W2738" s="223"/>
      <c r="X2738" s="223"/>
      <c r="Y2738" s="223"/>
      <c r="Z2738" s="223"/>
    </row>
    <row r="2739">
      <c r="A2739" s="223" t="str">
        <f>IFERROR(__xludf.DUMMYFUNCTION("""COMPUTED_VALUE"""),"WhistleBlower Security : Monthly PPC and SEO")</f>
        <v>WhistleBlower Security : Monthly PPC and SEO</v>
      </c>
      <c r="B2739" s="223" t="str">
        <f>IFERROR(__xludf.DUMMYFUNCTION("""COMPUTED_VALUE"""),"WhistleBlower Security")</f>
        <v>WhistleBlower Security</v>
      </c>
      <c r="C2739" s="223" t="str">
        <f>IFERROR(__xludf.DUMMYFUNCTION("""COMPUTED_VALUE"""),"Monthly PPC and SEO")</f>
        <v>Monthly PPC and SEO</v>
      </c>
      <c r="D2739" s="316">
        <f>IFERROR(__xludf.DUMMYFUNCTION("""COMPUTED_VALUE"""),45077.0)</f>
        <v>45077</v>
      </c>
      <c r="E2739" s="298"/>
      <c r="F2739" s="298"/>
      <c r="G2739" s="298"/>
      <c r="H2739" s="223"/>
      <c r="I2739" s="298">
        <f>IFERROR(__xludf.DUMMYFUNCTION("""COMPUTED_VALUE"""),375.0)</f>
        <v>375</v>
      </c>
      <c r="J2739" s="223" t="str">
        <f>IFERROR(__xludf.DUMMYFUNCTION("""COMPUTED_VALUE"""),"Monthly")</f>
        <v>Monthly</v>
      </c>
      <c r="K2739" s="317">
        <f>IFERROR(__xludf.DUMMYFUNCTION("""COMPUTED_VALUE"""),2023.05)</f>
        <v>2023.05</v>
      </c>
      <c r="L2739" s="298"/>
      <c r="M2739" s="223"/>
      <c r="N2739" s="223"/>
      <c r="O2739" s="223"/>
      <c r="P2739" s="223"/>
      <c r="Q2739" s="223"/>
      <c r="R2739" s="223"/>
      <c r="S2739" s="223"/>
      <c r="T2739" s="223"/>
      <c r="U2739" s="223"/>
      <c r="V2739" s="223"/>
      <c r="W2739" s="223"/>
      <c r="X2739" s="223"/>
      <c r="Y2739" s="223"/>
      <c r="Z2739" s="223"/>
    </row>
    <row r="2740">
      <c r="A2740" s="223" t="str">
        <f>IFERROR(__xludf.DUMMYFUNCTION("""COMPUTED_VALUE"""),"Microassist : 3 Month Initial PPC Project")</f>
        <v>Microassist : 3 Month Initial PPC Project</v>
      </c>
      <c r="B2740" s="223" t="str">
        <f>IFERROR(__xludf.DUMMYFUNCTION("""COMPUTED_VALUE"""),"Microassist")</f>
        <v>Microassist</v>
      </c>
      <c r="C2740" s="223" t="str">
        <f>IFERROR(__xludf.DUMMYFUNCTION("""COMPUTED_VALUE"""),"3 Month Initial PPC Project")</f>
        <v>3 Month Initial PPC Project</v>
      </c>
      <c r="D2740" s="316">
        <f>IFERROR(__xludf.DUMMYFUNCTION("""COMPUTED_VALUE"""),45077.0)</f>
        <v>45077</v>
      </c>
      <c r="E2740" s="298"/>
      <c r="F2740" s="298"/>
      <c r="G2740" s="298"/>
      <c r="H2740" s="223"/>
      <c r="I2740" s="298">
        <f>IFERROR(__xludf.DUMMYFUNCTION("""COMPUTED_VALUE"""),400.0)</f>
        <v>400</v>
      </c>
      <c r="J2740" s="223" t="str">
        <f>IFERROR(__xludf.DUMMYFUNCTION("""COMPUTED_VALUE"""),"Fixed Project")</f>
        <v>Fixed Project</v>
      </c>
      <c r="K2740" s="317">
        <f>IFERROR(__xludf.DUMMYFUNCTION("""COMPUTED_VALUE"""),2023.0)</f>
        <v>2023</v>
      </c>
      <c r="L2740" s="298"/>
      <c r="M2740" s="223"/>
      <c r="N2740" s="223"/>
      <c r="O2740" s="223"/>
      <c r="P2740" s="223"/>
      <c r="Q2740" s="223"/>
      <c r="R2740" s="223"/>
      <c r="S2740" s="223"/>
      <c r="T2740" s="223"/>
      <c r="U2740" s="223"/>
      <c r="V2740" s="223"/>
      <c r="W2740" s="223"/>
      <c r="X2740" s="223"/>
      <c r="Y2740" s="223"/>
      <c r="Z2740" s="223"/>
    </row>
    <row r="2741">
      <c r="A2741" s="223" t="str">
        <f>IFERROR(__xludf.DUMMYFUNCTION("""COMPUTED_VALUE"""),"The Sands : Annual Website Hosting")</f>
        <v>The Sands : Annual Website Hosting</v>
      </c>
      <c r="B2741" s="223" t="str">
        <f>IFERROR(__xludf.DUMMYFUNCTION("""COMPUTED_VALUE"""),"The Sands")</f>
        <v>The Sands</v>
      </c>
      <c r="C2741" s="223" t="str">
        <f>IFERROR(__xludf.DUMMYFUNCTION("""COMPUTED_VALUE"""),"Annual Website Hosting")</f>
        <v>Annual Website Hosting</v>
      </c>
      <c r="D2741" s="316">
        <f>IFERROR(__xludf.DUMMYFUNCTION("""COMPUTED_VALUE"""),45089.0)</f>
        <v>45089</v>
      </c>
      <c r="E2741" s="298"/>
      <c r="F2741" s="298"/>
      <c r="G2741" s="298"/>
      <c r="H2741" s="223"/>
      <c r="I2741" s="298">
        <f>IFERROR(__xludf.DUMMYFUNCTION("""COMPUTED_VALUE"""),28.32)</f>
        <v>28.32</v>
      </c>
      <c r="J2741" s="223"/>
      <c r="K2741" s="317">
        <f>IFERROR(__xludf.DUMMYFUNCTION("""COMPUTED_VALUE"""),2023.0)</f>
        <v>2023</v>
      </c>
      <c r="L2741" s="298"/>
      <c r="M2741" s="223"/>
      <c r="N2741" s="223"/>
      <c r="O2741" s="223"/>
      <c r="P2741" s="223"/>
      <c r="Q2741" s="223"/>
      <c r="R2741" s="223"/>
      <c r="S2741" s="223"/>
      <c r="T2741" s="223"/>
      <c r="U2741" s="223"/>
      <c r="V2741" s="223"/>
      <c r="W2741" s="223"/>
      <c r="X2741" s="223"/>
      <c r="Y2741" s="223"/>
      <c r="Z2741" s="223"/>
    </row>
    <row r="2742">
      <c r="A2742" s="223" t="str">
        <f>IFERROR(__xludf.DUMMYFUNCTION("""COMPUTED_VALUE"""),"Availed Technologies : Monthly Services")</f>
        <v>Availed Technologies : Monthly Services</v>
      </c>
      <c r="B2742" s="223" t="str">
        <f>IFERROR(__xludf.DUMMYFUNCTION("""COMPUTED_VALUE"""),"Availed Technologies")</f>
        <v>Availed Technologies</v>
      </c>
      <c r="C2742" s="223" t="str">
        <f>IFERROR(__xludf.DUMMYFUNCTION("""COMPUTED_VALUE"""),"Monthly Services")</f>
        <v>Monthly Services</v>
      </c>
      <c r="D2742" s="316">
        <f>IFERROR(__xludf.DUMMYFUNCTION("""COMPUTED_VALUE"""),45077.0)</f>
        <v>45077</v>
      </c>
      <c r="E2742" s="298"/>
      <c r="F2742" s="298"/>
      <c r="G2742" s="298"/>
      <c r="H2742" s="223"/>
      <c r="I2742" s="298">
        <f>IFERROR(__xludf.DUMMYFUNCTION("""COMPUTED_VALUE"""),352.5)</f>
        <v>352.5</v>
      </c>
      <c r="J2742" s="223" t="str">
        <f>IFERROR(__xludf.DUMMYFUNCTION("""COMPUTED_VALUE"""),"Monthly")</f>
        <v>Monthly</v>
      </c>
      <c r="K2742" s="317">
        <f>IFERROR(__xludf.DUMMYFUNCTION("""COMPUTED_VALUE"""),2023.05)</f>
        <v>2023.05</v>
      </c>
      <c r="L2742" s="298"/>
      <c r="M2742" s="223"/>
      <c r="N2742" s="223"/>
      <c r="O2742" s="223"/>
      <c r="P2742" s="223"/>
      <c r="Q2742" s="223"/>
      <c r="R2742" s="223"/>
      <c r="S2742" s="223"/>
      <c r="T2742" s="223"/>
      <c r="U2742" s="223"/>
      <c r="V2742" s="223"/>
      <c r="W2742" s="223"/>
      <c r="X2742" s="223"/>
      <c r="Y2742" s="223"/>
      <c r="Z2742" s="223"/>
    </row>
    <row r="2743">
      <c r="A2743" s="223" t="str">
        <f>IFERROR(__xludf.DUMMYFUNCTION("""COMPUTED_VALUE"""),"Community Financials : Monthly Services")</f>
        <v>Community Financials : Monthly Services</v>
      </c>
      <c r="B2743" s="223" t="str">
        <f>IFERROR(__xludf.DUMMYFUNCTION("""COMPUTED_VALUE"""),"Community Financials")</f>
        <v>Community Financials</v>
      </c>
      <c r="C2743" s="223" t="str">
        <f>IFERROR(__xludf.DUMMYFUNCTION("""COMPUTED_VALUE"""),"Monthly Services")</f>
        <v>Monthly Services</v>
      </c>
      <c r="D2743" s="316">
        <f>IFERROR(__xludf.DUMMYFUNCTION("""COMPUTED_VALUE"""),45077.0)</f>
        <v>45077</v>
      </c>
      <c r="E2743" s="298"/>
      <c r="F2743" s="298"/>
      <c r="G2743" s="298"/>
      <c r="H2743" s="223"/>
      <c r="I2743" s="298">
        <f>IFERROR(__xludf.DUMMYFUNCTION("""COMPUTED_VALUE"""),350.0)</f>
        <v>350</v>
      </c>
      <c r="J2743" s="223" t="str">
        <f>IFERROR(__xludf.DUMMYFUNCTION("""COMPUTED_VALUE"""),"Monthly")</f>
        <v>Monthly</v>
      </c>
      <c r="K2743" s="317">
        <f>IFERROR(__xludf.DUMMYFUNCTION("""COMPUTED_VALUE"""),2023.05)</f>
        <v>2023.05</v>
      </c>
      <c r="L2743" s="298"/>
      <c r="M2743" s="223"/>
      <c r="N2743" s="223"/>
      <c r="O2743" s="223"/>
      <c r="P2743" s="223"/>
      <c r="Q2743" s="223"/>
      <c r="R2743" s="223"/>
      <c r="S2743" s="223"/>
      <c r="T2743" s="223"/>
      <c r="U2743" s="223"/>
      <c r="V2743" s="223"/>
      <c r="W2743" s="223"/>
      <c r="X2743" s="223"/>
      <c r="Y2743" s="223"/>
      <c r="Z2743" s="223"/>
    </row>
    <row r="2744">
      <c r="A2744" s="223" t="str">
        <f>IFERROR(__xludf.DUMMYFUNCTION("""COMPUTED_VALUE"""),"Howard Fine Jewellers : Ongoing PPC and SEO Support")</f>
        <v>Howard Fine Jewellers : Ongoing PPC and SEO Support</v>
      </c>
      <c r="B2744" s="223" t="str">
        <f>IFERROR(__xludf.DUMMYFUNCTION("""COMPUTED_VALUE"""),"Howard Fine Jewellers")</f>
        <v>Howard Fine Jewellers</v>
      </c>
      <c r="C2744" s="223" t="str">
        <f>IFERROR(__xludf.DUMMYFUNCTION("""COMPUTED_VALUE"""),"Ongoing PPC and SEO Support")</f>
        <v>Ongoing PPC and SEO Support</v>
      </c>
      <c r="D2744" s="316">
        <f>IFERROR(__xludf.DUMMYFUNCTION("""COMPUTED_VALUE"""),45077.0)</f>
        <v>45077</v>
      </c>
      <c r="E2744" s="298"/>
      <c r="F2744" s="298"/>
      <c r="G2744" s="298"/>
      <c r="H2744" s="223"/>
      <c r="I2744" s="298">
        <f>IFERROR(__xludf.DUMMYFUNCTION("""COMPUTED_VALUE"""),300.0)</f>
        <v>300</v>
      </c>
      <c r="J2744" s="223" t="str">
        <f>IFERROR(__xludf.DUMMYFUNCTION("""COMPUTED_VALUE"""),"Monthly")</f>
        <v>Monthly</v>
      </c>
      <c r="K2744" s="317">
        <f>IFERROR(__xludf.DUMMYFUNCTION("""COMPUTED_VALUE"""),2023.05)</f>
        <v>2023.05</v>
      </c>
      <c r="L2744" s="298"/>
      <c r="M2744" s="223"/>
      <c r="N2744" s="223"/>
      <c r="O2744" s="223"/>
      <c r="P2744" s="223"/>
      <c r="Q2744" s="223"/>
      <c r="R2744" s="223"/>
      <c r="S2744" s="223"/>
      <c r="T2744" s="223"/>
      <c r="U2744" s="223"/>
      <c r="V2744" s="223"/>
      <c r="W2744" s="223"/>
      <c r="X2744" s="223"/>
      <c r="Y2744" s="223"/>
      <c r="Z2744" s="223"/>
    </row>
    <row r="2745">
      <c r="A2745" s="223" t="str">
        <f>IFERROR(__xludf.DUMMYFUNCTION("""COMPUTED_VALUE"""),"WhistleBlower Security : Monthly PPC and SEO")</f>
        <v>WhistleBlower Security : Monthly PPC and SEO</v>
      </c>
      <c r="B2745" s="223" t="str">
        <f>IFERROR(__xludf.DUMMYFUNCTION("""COMPUTED_VALUE"""),"WhistleBlower Security")</f>
        <v>WhistleBlower Security</v>
      </c>
      <c r="C2745" s="223" t="str">
        <f>IFERROR(__xludf.DUMMYFUNCTION("""COMPUTED_VALUE"""),"Monthly PPC and SEO")</f>
        <v>Monthly PPC and SEO</v>
      </c>
      <c r="D2745" s="316">
        <f>IFERROR(__xludf.DUMMYFUNCTION("""COMPUTED_VALUE"""),45077.0)</f>
        <v>45077</v>
      </c>
      <c r="E2745" s="298"/>
      <c r="F2745" s="298"/>
      <c r="G2745" s="298"/>
      <c r="H2745" s="223"/>
      <c r="I2745" s="298">
        <f>IFERROR(__xludf.DUMMYFUNCTION("""COMPUTED_VALUE"""),627.5)</f>
        <v>627.5</v>
      </c>
      <c r="J2745" s="223" t="str">
        <f>IFERROR(__xludf.DUMMYFUNCTION("""COMPUTED_VALUE"""),"Monthly")</f>
        <v>Monthly</v>
      </c>
      <c r="K2745" s="317">
        <f>IFERROR(__xludf.DUMMYFUNCTION("""COMPUTED_VALUE"""),2023.05)</f>
        <v>2023.05</v>
      </c>
      <c r="L2745" s="298"/>
      <c r="M2745" s="223"/>
      <c r="N2745" s="223"/>
      <c r="O2745" s="223"/>
      <c r="P2745" s="223"/>
      <c r="Q2745" s="223"/>
      <c r="R2745" s="223"/>
      <c r="S2745" s="223"/>
      <c r="T2745" s="223"/>
      <c r="U2745" s="223"/>
      <c r="V2745" s="223"/>
      <c r="W2745" s="223"/>
      <c r="X2745" s="223"/>
      <c r="Y2745" s="223"/>
      <c r="Z2745" s="223"/>
    </row>
    <row r="2746">
      <c r="A2746" s="223" t="str">
        <f>IFERROR(__xludf.DUMMYFUNCTION("""COMPUTED_VALUE"""),"Maker House : Website Review")</f>
        <v>Maker House : Website Review</v>
      </c>
      <c r="B2746" s="223" t="str">
        <f>IFERROR(__xludf.DUMMYFUNCTION("""COMPUTED_VALUE"""),"Maker House")</f>
        <v>Maker House</v>
      </c>
      <c r="C2746" s="223" t="str">
        <f>IFERROR(__xludf.DUMMYFUNCTION("""COMPUTED_VALUE"""),"Website Review")</f>
        <v>Website Review</v>
      </c>
      <c r="D2746" s="316">
        <f>IFERROR(__xludf.DUMMYFUNCTION("""COMPUTED_VALUE"""),45077.0)</f>
        <v>45077</v>
      </c>
      <c r="E2746" s="298"/>
      <c r="F2746" s="298"/>
      <c r="G2746" s="298"/>
      <c r="H2746" s="223"/>
      <c r="I2746" s="298">
        <f>IFERROR(__xludf.DUMMYFUNCTION("""COMPUTED_VALUE"""),500.0)</f>
        <v>500</v>
      </c>
      <c r="J2746" s="223" t="str">
        <f>IFERROR(__xludf.DUMMYFUNCTION("""COMPUTED_VALUE"""),"Fixed Project")</f>
        <v>Fixed Project</v>
      </c>
      <c r="K2746" s="317">
        <f>IFERROR(__xludf.DUMMYFUNCTION("""COMPUTED_VALUE"""),2023.0)</f>
        <v>2023</v>
      </c>
      <c r="L2746" s="298"/>
      <c r="M2746" s="223"/>
      <c r="N2746" s="223"/>
      <c r="O2746" s="223"/>
      <c r="P2746" s="223"/>
      <c r="Q2746" s="223"/>
      <c r="R2746" s="223"/>
      <c r="S2746" s="223"/>
      <c r="T2746" s="223"/>
      <c r="U2746" s="223"/>
      <c r="V2746" s="223"/>
      <c r="W2746" s="223"/>
      <c r="X2746" s="223"/>
      <c r="Y2746" s="223"/>
      <c r="Z2746" s="223"/>
    </row>
    <row r="2747">
      <c r="A2747" s="223" t="str">
        <f>IFERROR(__xludf.DUMMYFUNCTION("""COMPUTED_VALUE"""),"McAllister Marketing : Copernic PPC / SEO")</f>
        <v>McAllister Marketing : Copernic PPC / SEO</v>
      </c>
      <c r="B2747" s="223" t="str">
        <f>IFERROR(__xludf.DUMMYFUNCTION("""COMPUTED_VALUE"""),"McAllister Marketing")</f>
        <v>McAllister Marketing</v>
      </c>
      <c r="C2747" s="223" t="str">
        <f>IFERROR(__xludf.DUMMYFUNCTION("""COMPUTED_VALUE"""),"Copernic PPC / SEO")</f>
        <v>Copernic PPC / SEO</v>
      </c>
      <c r="D2747" s="316">
        <f>IFERROR(__xludf.DUMMYFUNCTION("""COMPUTED_VALUE"""),45077.0)</f>
        <v>45077</v>
      </c>
      <c r="E2747" s="298"/>
      <c r="F2747" s="298"/>
      <c r="G2747" s="298"/>
      <c r="H2747" s="223"/>
      <c r="I2747" s="298">
        <f>IFERROR(__xludf.DUMMYFUNCTION("""COMPUTED_VALUE"""),265.0)</f>
        <v>265</v>
      </c>
      <c r="J2747" s="223" t="str">
        <f>IFERROR(__xludf.DUMMYFUNCTION("""COMPUTED_VALUE"""),"Monthly")</f>
        <v>Monthly</v>
      </c>
      <c r="K2747" s="317">
        <f>IFERROR(__xludf.DUMMYFUNCTION("""COMPUTED_VALUE"""),2023.05)</f>
        <v>2023.05</v>
      </c>
      <c r="L2747" s="298"/>
      <c r="M2747" s="223"/>
      <c r="N2747" s="223"/>
      <c r="O2747" s="223"/>
      <c r="P2747" s="223"/>
      <c r="Q2747" s="223"/>
      <c r="R2747" s="223"/>
      <c r="S2747" s="223"/>
      <c r="T2747" s="223"/>
      <c r="U2747" s="223"/>
      <c r="V2747" s="223"/>
      <c r="W2747" s="223"/>
      <c r="X2747" s="223"/>
      <c r="Y2747" s="223"/>
      <c r="Z2747" s="223"/>
    </row>
    <row r="2748">
      <c r="A2748" s="223" t="str">
        <f>IFERROR(__xludf.DUMMYFUNCTION("""COMPUTED_VALUE"""),"Ultimate Tools : Monthly SEO &amp; PPC Management")</f>
        <v>Ultimate Tools : Monthly SEO &amp; PPC Management</v>
      </c>
      <c r="B2748" s="223" t="str">
        <f>IFERROR(__xludf.DUMMYFUNCTION("""COMPUTED_VALUE"""),"Ultimate Tools")</f>
        <v>Ultimate Tools</v>
      </c>
      <c r="C2748" s="223" t="str">
        <f>IFERROR(__xludf.DUMMYFUNCTION("""COMPUTED_VALUE"""),"Monthly SEO &amp; PPC Management")</f>
        <v>Monthly SEO &amp; PPC Management</v>
      </c>
      <c r="D2748" s="316">
        <f>IFERROR(__xludf.DUMMYFUNCTION("""COMPUTED_VALUE"""),45077.0)</f>
        <v>45077</v>
      </c>
      <c r="E2748" s="298"/>
      <c r="F2748" s="298"/>
      <c r="G2748" s="298"/>
      <c r="H2748" s="223"/>
      <c r="I2748" s="298">
        <f>IFERROR(__xludf.DUMMYFUNCTION("""COMPUTED_VALUE"""),200.0)</f>
        <v>200</v>
      </c>
      <c r="J2748" s="223" t="str">
        <f>IFERROR(__xludf.DUMMYFUNCTION("""COMPUTED_VALUE"""),"Monthly")</f>
        <v>Monthly</v>
      </c>
      <c r="K2748" s="317">
        <f>IFERROR(__xludf.DUMMYFUNCTION("""COMPUTED_VALUE"""),2023.05)</f>
        <v>2023.05</v>
      </c>
      <c r="L2748" s="298"/>
      <c r="M2748" s="223"/>
      <c r="N2748" s="223"/>
      <c r="O2748" s="223"/>
      <c r="P2748" s="223"/>
      <c r="Q2748" s="223"/>
      <c r="R2748" s="223"/>
      <c r="S2748" s="223"/>
      <c r="T2748" s="223"/>
      <c r="U2748" s="223"/>
      <c r="V2748" s="223"/>
      <c r="W2748" s="223"/>
      <c r="X2748" s="223"/>
      <c r="Y2748" s="223"/>
      <c r="Z2748" s="223"/>
    </row>
    <row r="2749">
      <c r="A2749" s="223" t="str">
        <f>IFERROR(__xludf.DUMMYFUNCTION("""COMPUTED_VALUE"""),"PlusROI : Overhead")</f>
        <v>PlusROI : Overhead</v>
      </c>
      <c r="B2749" s="223" t="str">
        <f>IFERROR(__xludf.DUMMYFUNCTION("""COMPUTED_VALUE"""),"PlusROI")</f>
        <v>PlusROI</v>
      </c>
      <c r="C2749" s="223" t="str">
        <f>IFERROR(__xludf.DUMMYFUNCTION("""COMPUTED_VALUE"""),"Overhead")</f>
        <v>Overhead</v>
      </c>
      <c r="D2749" s="316">
        <f>IFERROR(__xludf.DUMMYFUNCTION("""COMPUTED_VALUE"""),45092.0)</f>
        <v>45092</v>
      </c>
      <c r="E2749" s="298"/>
      <c r="F2749" s="298"/>
      <c r="G2749" s="298"/>
      <c r="H2749" s="223"/>
      <c r="I2749" s="298">
        <f>IFERROR(__xludf.DUMMYFUNCTION("""COMPUTED_VALUE"""),3.13)</f>
        <v>3.13</v>
      </c>
      <c r="J2749" s="223" t="str">
        <f>IFERROR(__xludf.DUMMYFUNCTION("""COMPUTED_VALUE"""),"Hourly")</f>
        <v>Hourly</v>
      </c>
      <c r="K2749" s="317">
        <f>IFERROR(__xludf.DUMMYFUNCTION("""COMPUTED_VALUE"""),2023.0)</f>
        <v>2023</v>
      </c>
      <c r="L2749" s="298"/>
      <c r="M2749" s="223"/>
      <c r="N2749" s="223"/>
      <c r="O2749" s="223"/>
      <c r="P2749" s="223"/>
      <c r="Q2749" s="223"/>
      <c r="R2749" s="223"/>
      <c r="S2749" s="223"/>
      <c r="T2749" s="223"/>
      <c r="U2749" s="223"/>
      <c r="V2749" s="223"/>
      <c r="W2749" s="223"/>
      <c r="X2749" s="223"/>
      <c r="Y2749" s="223"/>
      <c r="Z2749" s="223"/>
    </row>
    <row r="2750">
      <c r="A2750" s="223" t="str">
        <f>IFERROR(__xludf.DUMMYFUNCTION("""COMPUTED_VALUE"""),"PlusROI : Overhead")</f>
        <v>PlusROI : Overhead</v>
      </c>
      <c r="B2750" s="223" t="str">
        <f>IFERROR(__xludf.DUMMYFUNCTION("""COMPUTED_VALUE"""),"PlusROI")</f>
        <v>PlusROI</v>
      </c>
      <c r="C2750" s="223" t="str">
        <f>IFERROR(__xludf.DUMMYFUNCTION("""COMPUTED_VALUE"""),"Overhead")</f>
        <v>Overhead</v>
      </c>
      <c r="D2750" s="316">
        <f>IFERROR(__xludf.DUMMYFUNCTION("""COMPUTED_VALUE"""),45092.0)</f>
        <v>45092</v>
      </c>
      <c r="E2750" s="298"/>
      <c r="F2750" s="298"/>
      <c r="G2750" s="298"/>
      <c r="H2750" s="223"/>
      <c r="I2750" s="298">
        <f>IFERROR(__xludf.DUMMYFUNCTION("""COMPUTED_VALUE"""),135.87)</f>
        <v>135.87</v>
      </c>
      <c r="J2750" s="223" t="str">
        <f>IFERROR(__xludf.DUMMYFUNCTION("""COMPUTED_VALUE"""),"Hourly")</f>
        <v>Hourly</v>
      </c>
      <c r="K2750" s="317">
        <f>IFERROR(__xludf.DUMMYFUNCTION("""COMPUTED_VALUE"""),2023.0)</f>
        <v>2023</v>
      </c>
      <c r="L2750" s="298"/>
      <c r="M2750" s="223"/>
      <c r="N2750" s="223"/>
      <c r="O2750" s="223"/>
      <c r="P2750" s="223"/>
      <c r="Q2750" s="223"/>
      <c r="R2750" s="223"/>
      <c r="S2750" s="223"/>
      <c r="T2750" s="223"/>
      <c r="U2750" s="223"/>
      <c r="V2750" s="223"/>
      <c r="W2750" s="223"/>
      <c r="X2750" s="223"/>
      <c r="Y2750" s="223"/>
      <c r="Z2750" s="223"/>
    </row>
    <row r="2751">
      <c r="A2751" s="223" t="str">
        <f>IFERROR(__xludf.DUMMYFUNCTION("""COMPUTED_VALUE"""),"PlusROI : Overhead")</f>
        <v>PlusROI : Overhead</v>
      </c>
      <c r="B2751" s="223" t="str">
        <f>IFERROR(__xludf.DUMMYFUNCTION("""COMPUTED_VALUE"""),"PlusROI")</f>
        <v>PlusROI</v>
      </c>
      <c r="C2751" s="223" t="str">
        <f>IFERROR(__xludf.DUMMYFUNCTION("""COMPUTED_VALUE"""),"Overhead")</f>
        <v>Overhead</v>
      </c>
      <c r="D2751" s="316">
        <f>IFERROR(__xludf.DUMMYFUNCTION("""COMPUTED_VALUE"""),45092.0)</f>
        <v>45092</v>
      </c>
      <c r="E2751" s="298"/>
      <c r="F2751" s="298"/>
      <c r="G2751" s="298"/>
      <c r="H2751" s="223"/>
      <c r="I2751" s="298">
        <f>IFERROR(__xludf.DUMMYFUNCTION("""COMPUTED_VALUE"""),14.92)</f>
        <v>14.92</v>
      </c>
      <c r="J2751" s="223" t="str">
        <f>IFERROR(__xludf.DUMMYFUNCTION("""COMPUTED_VALUE"""),"Hourly")</f>
        <v>Hourly</v>
      </c>
      <c r="K2751" s="317">
        <f>IFERROR(__xludf.DUMMYFUNCTION("""COMPUTED_VALUE"""),2023.0)</f>
        <v>2023</v>
      </c>
      <c r="L2751" s="298"/>
      <c r="M2751" s="223"/>
      <c r="N2751" s="223"/>
      <c r="O2751" s="223"/>
      <c r="P2751" s="223"/>
      <c r="Q2751" s="223"/>
      <c r="R2751" s="223"/>
      <c r="S2751" s="223"/>
      <c r="T2751" s="223"/>
      <c r="U2751" s="223"/>
      <c r="V2751" s="223"/>
      <c r="W2751" s="223"/>
      <c r="X2751" s="223"/>
      <c r="Y2751" s="223"/>
      <c r="Z2751" s="223"/>
    </row>
    <row r="2752">
      <c r="A2752" s="223" t="str">
        <f>IFERROR(__xludf.DUMMYFUNCTION("""COMPUTED_VALUE"""),"PlusROI : Marketing")</f>
        <v>PlusROI : Marketing</v>
      </c>
      <c r="B2752" s="223" t="str">
        <f>IFERROR(__xludf.DUMMYFUNCTION("""COMPUTED_VALUE"""),"PlusROI")</f>
        <v>PlusROI</v>
      </c>
      <c r="C2752" s="223" t="str">
        <f>IFERROR(__xludf.DUMMYFUNCTION("""COMPUTED_VALUE"""),"Marketing")</f>
        <v>Marketing</v>
      </c>
      <c r="D2752" s="316">
        <f>IFERROR(__xludf.DUMMYFUNCTION("""COMPUTED_VALUE"""),45092.0)</f>
        <v>45092</v>
      </c>
      <c r="E2752" s="298"/>
      <c r="F2752" s="298"/>
      <c r="G2752" s="298"/>
      <c r="H2752" s="223"/>
      <c r="I2752" s="298">
        <f>IFERROR(__xludf.DUMMYFUNCTION("""COMPUTED_VALUE"""),40.75)</f>
        <v>40.75</v>
      </c>
      <c r="J2752" s="223" t="str">
        <f>IFERROR(__xludf.DUMMYFUNCTION("""COMPUTED_VALUE"""),"Hourly")</f>
        <v>Hourly</v>
      </c>
      <c r="K2752" s="317">
        <f>IFERROR(__xludf.DUMMYFUNCTION("""COMPUTED_VALUE"""),2023.0)</f>
        <v>2023</v>
      </c>
      <c r="L2752" s="298"/>
      <c r="M2752" s="223"/>
      <c r="N2752" s="223"/>
      <c r="O2752" s="223"/>
      <c r="P2752" s="223"/>
      <c r="Q2752" s="223"/>
      <c r="R2752" s="223"/>
      <c r="S2752" s="223"/>
      <c r="T2752" s="223"/>
      <c r="U2752" s="223"/>
      <c r="V2752" s="223"/>
      <c r="W2752" s="223"/>
      <c r="X2752" s="223"/>
      <c r="Y2752" s="223"/>
      <c r="Z2752" s="223"/>
    </row>
    <row r="2753">
      <c r="A2753" s="223" t="str">
        <f>IFERROR(__xludf.DUMMYFUNCTION("""COMPUTED_VALUE"""),"PlusROI : Overhead")</f>
        <v>PlusROI : Overhead</v>
      </c>
      <c r="B2753" s="223" t="str">
        <f>IFERROR(__xludf.DUMMYFUNCTION("""COMPUTED_VALUE"""),"PlusROI")</f>
        <v>PlusROI</v>
      </c>
      <c r="C2753" s="223" t="str">
        <f>IFERROR(__xludf.DUMMYFUNCTION("""COMPUTED_VALUE"""),"Overhead")</f>
        <v>Overhead</v>
      </c>
      <c r="D2753" s="316">
        <f>IFERROR(__xludf.DUMMYFUNCTION("""COMPUTED_VALUE"""),45092.0)</f>
        <v>45092</v>
      </c>
      <c r="E2753" s="298"/>
      <c r="F2753" s="298"/>
      <c r="G2753" s="298"/>
      <c r="H2753" s="223"/>
      <c r="I2753" s="298">
        <f>IFERROR(__xludf.DUMMYFUNCTION("""COMPUTED_VALUE"""),69.89)</f>
        <v>69.89</v>
      </c>
      <c r="J2753" s="223" t="str">
        <f>IFERROR(__xludf.DUMMYFUNCTION("""COMPUTED_VALUE"""),"Hourly")</f>
        <v>Hourly</v>
      </c>
      <c r="K2753" s="317">
        <f>IFERROR(__xludf.DUMMYFUNCTION("""COMPUTED_VALUE"""),2023.0)</f>
        <v>2023</v>
      </c>
      <c r="L2753" s="298"/>
      <c r="M2753" s="223"/>
      <c r="N2753" s="223"/>
      <c r="O2753" s="223"/>
      <c r="P2753" s="223"/>
      <c r="Q2753" s="223"/>
      <c r="R2753" s="223"/>
      <c r="S2753" s="223"/>
      <c r="T2753" s="223"/>
      <c r="U2753" s="223"/>
      <c r="V2753" s="223"/>
      <c r="W2753" s="223"/>
      <c r="X2753" s="223"/>
      <c r="Y2753" s="223"/>
      <c r="Z2753" s="223"/>
    </row>
    <row r="2754">
      <c r="A2754" s="223" t="str">
        <f>IFERROR(__xludf.DUMMYFUNCTION("""COMPUTED_VALUE"""),"PlusROI : Marketing")</f>
        <v>PlusROI : Marketing</v>
      </c>
      <c r="B2754" s="223" t="str">
        <f>IFERROR(__xludf.DUMMYFUNCTION("""COMPUTED_VALUE"""),"PlusROI")</f>
        <v>PlusROI</v>
      </c>
      <c r="C2754" s="223" t="str">
        <f>IFERROR(__xludf.DUMMYFUNCTION("""COMPUTED_VALUE"""),"Marketing")</f>
        <v>Marketing</v>
      </c>
      <c r="D2754" s="316">
        <f>IFERROR(__xludf.DUMMYFUNCTION("""COMPUTED_VALUE"""),45092.0)</f>
        <v>45092</v>
      </c>
      <c r="E2754" s="298"/>
      <c r="F2754" s="298"/>
      <c r="G2754" s="298"/>
      <c r="H2754" s="223"/>
      <c r="I2754" s="298">
        <f>IFERROR(__xludf.DUMMYFUNCTION("""COMPUTED_VALUE"""),131.33)</f>
        <v>131.33</v>
      </c>
      <c r="J2754" s="223" t="str">
        <f>IFERROR(__xludf.DUMMYFUNCTION("""COMPUTED_VALUE"""),"Hourly")</f>
        <v>Hourly</v>
      </c>
      <c r="K2754" s="317">
        <f>IFERROR(__xludf.DUMMYFUNCTION("""COMPUTED_VALUE"""),2023.0)</f>
        <v>2023</v>
      </c>
      <c r="L2754" s="298"/>
      <c r="M2754" s="223"/>
      <c r="N2754" s="223"/>
      <c r="O2754" s="223"/>
      <c r="P2754" s="223"/>
      <c r="Q2754" s="223"/>
      <c r="R2754" s="223"/>
      <c r="S2754" s="223"/>
      <c r="T2754" s="223"/>
      <c r="U2754" s="223"/>
      <c r="V2754" s="223"/>
      <c r="W2754" s="223"/>
      <c r="X2754" s="223"/>
      <c r="Y2754" s="223"/>
      <c r="Z2754" s="223"/>
    </row>
    <row r="2755">
      <c r="A2755" s="223" t="str">
        <f>IFERROR(__xludf.DUMMYFUNCTION("""COMPUTED_VALUE"""),"Tuscany : Monthly Services")</f>
        <v>Tuscany : Monthly Services</v>
      </c>
      <c r="B2755" s="223" t="str">
        <f>IFERROR(__xludf.DUMMYFUNCTION("""COMPUTED_VALUE"""),"Tuscany")</f>
        <v>Tuscany</v>
      </c>
      <c r="C2755" s="223" t="str">
        <f>IFERROR(__xludf.DUMMYFUNCTION("""COMPUTED_VALUE"""),"Monthly Services")</f>
        <v>Monthly Services</v>
      </c>
      <c r="D2755" s="316">
        <f>IFERROR(__xludf.DUMMYFUNCTION("""COMPUTED_VALUE"""),45059.0)</f>
        <v>45059</v>
      </c>
      <c r="E2755" s="298"/>
      <c r="F2755" s="298"/>
      <c r="G2755" s="298"/>
      <c r="H2755" s="223"/>
      <c r="I2755" s="298">
        <f>IFERROR(__xludf.DUMMYFUNCTION("""COMPUTED_VALUE"""),750.0)</f>
        <v>750</v>
      </c>
      <c r="J2755" s="223" t="str">
        <f>IFERROR(__xludf.DUMMYFUNCTION("""COMPUTED_VALUE"""),"Monthly")</f>
        <v>Monthly</v>
      </c>
      <c r="K2755" s="317">
        <f>IFERROR(__xludf.DUMMYFUNCTION("""COMPUTED_VALUE"""),2023.05)</f>
        <v>2023.05</v>
      </c>
      <c r="L2755" s="298"/>
      <c r="M2755" s="223"/>
      <c r="N2755" s="223"/>
      <c r="O2755" s="223"/>
      <c r="P2755" s="223"/>
      <c r="Q2755" s="223"/>
      <c r="R2755" s="223"/>
      <c r="S2755" s="223"/>
      <c r="T2755" s="223"/>
      <c r="U2755" s="223"/>
      <c r="V2755" s="223"/>
      <c r="W2755" s="223"/>
      <c r="X2755" s="223"/>
      <c r="Y2755" s="223"/>
      <c r="Z2755" s="223"/>
    </row>
    <row r="2756">
      <c r="A2756" s="223" t="str">
        <f>IFERROR(__xludf.DUMMYFUNCTION("""COMPUTED_VALUE"""),"Venetian : Monthly Services")</f>
        <v>Venetian : Monthly Services</v>
      </c>
      <c r="B2756" s="223" t="str">
        <f>IFERROR(__xludf.DUMMYFUNCTION("""COMPUTED_VALUE"""),"Venetian")</f>
        <v>Venetian</v>
      </c>
      <c r="C2756" s="223" t="str">
        <f>IFERROR(__xludf.DUMMYFUNCTION("""COMPUTED_VALUE"""),"Monthly Services")</f>
        <v>Monthly Services</v>
      </c>
      <c r="D2756" s="316">
        <f>IFERROR(__xludf.DUMMYFUNCTION("""COMPUTED_VALUE"""),45059.0)</f>
        <v>45059</v>
      </c>
      <c r="E2756" s="298"/>
      <c r="F2756" s="298"/>
      <c r="G2756" s="298"/>
      <c r="H2756" s="223"/>
      <c r="I2756" s="298">
        <f>IFERROR(__xludf.DUMMYFUNCTION("""COMPUTED_VALUE"""),750.0)</f>
        <v>750</v>
      </c>
      <c r="J2756" s="223" t="str">
        <f>IFERROR(__xludf.DUMMYFUNCTION("""COMPUTED_VALUE"""),"Monthly")</f>
        <v>Monthly</v>
      </c>
      <c r="K2756" s="317">
        <f>IFERROR(__xludf.DUMMYFUNCTION("""COMPUTED_VALUE"""),2023.05)</f>
        <v>2023.05</v>
      </c>
      <c r="L2756" s="298"/>
      <c r="M2756" s="223"/>
      <c r="N2756" s="223"/>
      <c r="O2756" s="223"/>
      <c r="P2756" s="223"/>
      <c r="Q2756" s="223"/>
      <c r="R2756" s="223"/>
      <c r="S2756" s="223"/>
      <c r="T2756" s="223"/>
      <c r="U2756" s="223"/>
      <c r="V2756" s="223"/>
      <c r="W2756" s="223"/>
      <c r="X2756" s="223"/>
      <c r="Y2756" s="223"/>
      <c r="Z2756" s="223"/>
    </row>
    <row r="2757">
      <c r="A2757" s="223" t="str">
        <f>IFERROR(__xludf.DUMMYFUNCTION("""COMPUTED_VALUE"""),"PlusROI : Overhead")</f>
        <v>PlusROI : Overhead</v>
      </c>
      <c r="B2757" s="223" t="str">
        <f>IFERROR(__xludf.DUMMYFUNCTION("""COMPUTED_VALUE"""),"PlusROI")</f>
        <v>PlusROI</v>
      </c>
      <c r="C2757" s="223" t="str">
        <f>IFERROR(__xludf.DUMMYFUNCTION("""COMPUTED_VALUE"""),"Overhead")</f>
        <v>Overhead</v>
      </c>
      <c r="D2757" s="316">
        <f>IFERROR(__xludf.DUMMYFUNCTION("""COMPUTED_VALUE"""),45071.0)</f>
        <v>45071</v>
      </c>
      <c r="E2757" s="298"/>
      <c r="F2757" s="298"/>
      <c r="G2757" s="298"/>
      <c r="H2757" s="223"/>
      <c r="I2757" s="298">
        <f>IFERROR(__xludf.DUMMYFUNCTION("""COMPUTED_VALUE"""),68.35)</f>
        <v>68.35</v>
      </c>
      <c r="J2757" s="223" t="str">
        <f>IFERROR(__xludf.DUMMYFUNCTION("""COMPUTED_VALUE"""),"Hourly")</f>
        <v>Hourly</v>
      </c>
      <c r="K2757" s="317">
        <f>IFERROR(__xludf.DUMMYFUNCTION("""COMPUTED_VALUE"""),2023.0)</f>
        <v>2023</v>
      </c>
      <c r="L2757" s="298"/>
      <c r="M2757" s="223"/>
      <c r="N2757" s="223"/>
      <c r="O2757" s="223"/>
      <c r="P2757" s="223"/>
      <c r="Q2757" s="223"/>
      <c r="R2757" s="223"/>
      <c r="S2757" s="223"/>
      <c r="T2757" s="223"/>
      <c r="U2757" s="223"/>
      <c r="V2757" s="223"/>
      <c r="W2757" s="223"/>
      <c r="X2757" s="223"/>
      <c r="Y2757" s="223"/>
      <c r="Z2757" s="223"/>
    </row>
    <row r="2758">
      <c r="A2758" s="223" t="str">
        <f>IFERROR(__xludf.DUMMYFUNCTION("""COMPUTED_VALUE"""),"Tuscany : Monthly Services")</f>
        <v>Tuscany : Monthly Services</v>
      </c>
      <c r="B2758" s="223" t="str">
        <f>IFERROR(__xludf.DUMMYFUNCTION("""COMPUTED_VALUE"""),"Tuscany")</f>
        <v>Tuscany</v>
      </c>
      <c r="C2758" s="223" t="str">
        <f>IFERROR(__xludf.DUMMYFUNCTION("""COMPUTED_VALUE"""),"Monthly Services")</f>
        <v>Monthly Services</v>
      </c>
      <c r="D2758" s="316">
        <f>IFERROR(__xludf.DUMMYFUNCTION("""COMPUTED_VALUE"""),45072.0)</f>
        <v>45072</v>
      </c>
      <c r="E2758" s="298"/>
      <c r="F2758" s="298"/>
      <c r="G2758" s="298"/>
      <c r="H2758" s="223"/>
      <c r="I2758" s="298">
        <f>IFERROR(__xludf.DUMMYFUNCTION("""COMPUTED_VALUE"""),750.0)</f>
        <v>750</v>
      </c>
      <c r="J2758" s="223" t="str">
        <f>IFERROR(__xludf.DUMMYFUNCTION("""COMPUTED_VALUE"""),"Monthly")</f>
        <v>Monthly</v>
      </c>
      <c r="K2758" s="317">
        <f>IFERROR(__xludf.DUMMYFUNCTION("""COMPUTED_VALUE"""),2023.05)</f>
        <v>2023.05</v>
      </c>
      <c r="L2758" s="298"/>
      <c r="M2758" s="223"/>
      <c r="N2758" s="223"/>
      <c r="O2758" s="223"/>
      <c r="P2758" s="223"/>
      <c r="Q2758" s="223"/>
      <c r="R2758" s="223"/>
      <c r="S2758" s="223"/>
      <c r="T2758" s="223"/>
      <c r="U2758" s="223"/>
      <c r="V2758" s="223"/>
      <c r="W2758" s="223"/>
      <c r="X2758" s="223"/>
      <c r="Y2758" s="223"/>
      <c r="Z2758" s="223"/>
    </row>
    <row r="2759">
      <c r="A2759" s="223" t="str">
        <f>IFERROR(__xludf.DUMMYFUNCTION("""COMPUTED_VALUE"""),"Venetian : Monthly Services")</f>
        <v>Venetian : Monthly Services</v>
      </c>
      <c r="B2759" s="223" t="str">
        <f>IFERROR(__xludf.DUMMYFUNCTION("""COMPUTED_VALUE"""),"Venetian")</f>
        <v>Venetian</v>
      </c>
      <c r="C2759" s="223" t="str">
        <f>IFERROR(__xludf.DUMMYFUNCTION("""COMPUTED_VALUE"""),"Monthly Services")</f>
        <v>Monthly Services</v>
      </c>
      <c r="D2759" s="316">
        <f>IFERROR(__xludf.DUMMYFUNCTION("""COMPUTED_VALUE"""),45072.0)</f>
        <v>45072</v>
      </c>
      <c r="E2759" s="298"/>
      <c r="F2759" s="298"/>
      <c r="G2759" s="298"/>
      <c r="H2759" s="223"/>
      <c r="I2759" s="298">
        <f>IFERROR(__xludf.DUMMYFUNCTION("""COMPUTED_VALUE"""),750.0)</f>
        <v>750</v>
      </c>
      <c r="J2759" s="223" t="str">
        <f>IFERROR(__xludf.DUMMYFUNCTION("""COMPUTED_VALUE"""),"Monthly")</f>
        <v>Monthly</v>
      </c>
      <c r="K2759" s="317">
        <f>IFERROR(__xludf.DUMMYFUNCTION("""COMPUTED_VALUE"""),2023.05)</f>
        <v>2023.05</v>
      </c>
      <c r="L2759" s="298"/>
      <c r="M2759" s="223"/>
      <c r="N2759" s="223"/>
      <c r="O2759" s="223"/>
      <c r="P2759" s="223"/>
      <c r="Q2759" s="223"/>
      <c r="R2759" s="223"/>
      <c r="S2759" s="223"/>
      <c r="T2759" s="223"/>
      <c r="U2759" s="223"/>
      <c r="V2759" s="223"/>
      <c r="W2759" s="223"/>
      <c r="X2759" s="223"/>
      <c r="Y2759" s="223"/>
      <c r="Z2759" s="223"/>
    </row>
    <row r="2760">
      <c r="A2760" s="223" t="str">
        <f>IFERROR(__xludf.DUMMYFUNCTION("""COMPUTED_VALUE"""),"Tuscany : Monthly Services")</f>
        <v>Tuscany : Monthly Services</v>
      </c>
      <c r="B2760" s="223" t="str">
        <f>IFERROR(__xludf.DUMMYFUNCTION("""COMPUTED_VALUE"""),"Tuscany")</f>
        <v>Tuscany</v>
      </c>
      <c r="C2760" s="223" t="str">
        <f>IFERROR(__xludf.DUMMYFUNCTION("""COMPUTED_VALUE"""),"Monthly Services")</f>
        <v>Monthly Services</v>
      </c>
      <c r="D2760" s="316">
        <f>IFERROR(__xludf.DUMMYFUNCTION("""COMPUTED_VALUE"""),45078.0)</f>
        <v>45078</v>
      </c>
      <c r="E2760" s="298"/>
      <c r="F2760" s="298"/>
      <c r="G2760" s="298"/>
      <c r="H2760" s="223"/>
      <c r="I2760" s="298">
        <f>IFERROR(__xludf.DUMMYFUNCTION("""COMPUTED_VALUE"""),240.94)</f>
        <v>240.94</v>
      </c>
      <c r="J2760" s="223" t="str">
        <f>IFERROR(__xludf.DUMMYFUNCTION("""COMPUTED_VALUE"""),"Monthly")</f>
        <v>Monthly</v>
      </c>
      <c r="K2760" s="317">
        <f>IFERROR(__xludf.DUMMYFUNCTION("""COMPUTED_VALUE"""),2023.06)</f>
        <v>2023.06</v>
      </c>
      <c r="L2760" s="298"/>
      <c r="M2760" s="223"/>
      <c r="N2760" s="223"/>
      <c r="O2760" s="223"/>
      <c r="P2760" s="223"/>
      <c r="Q2760" s="223"/>
      <c r="R2760" s="223"/>
      <c r="S2760" s="223"/>
      <c r="T2760" s="223"/>
      <c r="U2760" s="223"/>
      <c r="V2760" s="223"/>
      <c r="W2760" s="223"/>
      <c r="X2760" s="223"/>
      <c r="Y2760" s="223"/>
      <c r="Z2760" s="223"/>
    </row>
    <row r="2761">
      <c r="A2761" s="223" t="str">
        <f>IFERROR(__xludf.DUMMYFUNCTION("""COMPUTED_VALUE"""),"Venetian : Monthly Services")</f>
        <v>Venetian : Monthly Services</v>
      </c>
      <c r="B2761" s="223" t="str">
        <f>IFERROR(__xludf.DUMMYFUNCTION("""COMPUTED_VALUE"""),"Venetian")</f>
        <v>Venetian</v>
      </c>
      <c r="C2761" s="223" t="str">
        <f>IFERROR(__xludf.DUMMYFUNCTION("""COMPUTED_VALUE"""),"Monthly Services")</f>
        <v>Monthly Services</v>
      </c>
      <c r="D2761" s="316">
        <f>IFERROR(__xludf.DUMMYFUNCTION("""COMPUTED_VALUE"""),45078.0)</f>
        <v>45078</v>
      </c>
      <c r="E2761" s="298"/>
      <c r="F2761" s="298"/>
      <c r="G2761" s="298"/>
      <c r="H2761" s="223"/>
      <c r="I2761" s="298">
        <f>IFERROR(__xludf.DUMMYFUNCTION("""COMPUTED_VALUE"""),269.11)</f>
        <v>269.11</v>
      </c>
      <c r="J2761" s="223" t="str">
        <f>IFERROR(__xludf.DUMMYFUNCTION("""COMPUTED_VALUE"""),"Monthly")</f>
        <v>Monthly</v>
      </c>
      <c r="K2761" s="317">
        <f>IFERROR(__xludf.DUMMYFUNCTION("""COMPUTED_VALUE"""),2023.06)</f>
        <v>2023.06</v>
      </c>
      <c r="L2761" s="298"/>
      <c r="M2761" s="223"/>
      <c r="N2761" s="223"/>
      <c r="O2761" s="223"/>
      <c r="P2761" s="223"/>
      <c r="Q2761" s="223"/>
      <c r="R2761" s="223"/>
      <c r="S2761" s="223"/>
      <c r="T2761" s="223"/>
      <c r="U2761" s="223"/>
      <c r="V2761" s="223"/>
      <c r="W2761" s="223"/>
      <c r="X2761" s="223"/>
      <c r="Y2761" s="223"/>
      <c r="Z2761" s="223"/>
    </row>
    <row r="2762">
      <c r="A2762" s="223" t="str">
        <f>IFERROR(__xludf.DUMMYFUNCTION("""COMPUTED_VALUE"""),"Spraggs : Monthly Services")</f>
        <v>Spraggs : Monthly Services</v>
      </c>
      <c r="B2762" s="223" t="str">
        <f>IFERROR(__xludf.DUMMYFUNCTION("""COMPUTED_VALUE"""),"Spraggs")</f>
        <v>Spraggs</v>
      </c>
      <c r="C2762" s="223" t="str">
        <f>IFERROR(__xludf.DUMMYFUNCTION("""COMPUTED_VALUE"""),"Monthly Services")</f>
        <v>Monthly Services</v>
      </c>
      <c r="D2762" s="316">
        <f>IFERROR(__xludf.DUMMYFUNCTION("""COMPUTED_VALUE"""),45071.0)</f>
        <v>45071</v>
      </c>
      <c r="E2762" s="298"/>
      <c r="F2762" s="298"/>
      <c r="G2762" s="298"/>
      <c r="H2762" s="223"/>
      <c r="I2762" s="298">
        <f>IFERROR(__xludf.DUMMYFUNCTION("""COMPUTED_VALUE"""),76.93)</f>
        <v>76.93</v>
      </c>
      <c r="J2762" s="223" t="str">
        <f>IFERROR(__xludf.DUMMYFUNCTION("""COMPUTED_VALUE"""),"Monthly")</f>
        <v>Monthly</v>
      </c>
      <c r="K2762" s="317">
        <f>IFERROR(__xludf.DUMMYFUNCTION("""COMPUTED_VALUE"""),2023.05)</f>
        <v>2023.05</v>
      </c>
      <c r="L2762" s="298"/>
      <c r="M2762" s="223"/>
      <c r="N2762" s="223"/>
      <c r="O2762" s="223"/>
      <c r="P2762" s="223"/>
      <c r="Q2762" s="223"/>
      <c r="R2762" s="223"/>
      <c r="S2762" s="223"/>
      <c r="T2762" s="223"/>
      <c r="U2762" s="223"/>
      <c r="V2762" s="223"/>
      <c r="W2762" s="223"/>
      <c r="X2762" s="223"/>
      <c r="Y2762" s="223"/>
      <c r="Z2762" s="223"/>
    </row>
    <row r="2763">
      <c r="A2763" s="223" t="str">
        <f>IFERROR(__xludf.DUMMYFUNCTION("""COMPUTED_VALUE"""),"Anook Athletics : Monthly Services")</f>
        <v>Anook Athletics : Monthly Services</v>
      </c>
      <c r="B2763" s="223" t="str">
        <f>IFERROR(__xludf.DUMMYFUNCTION("""COMPUTED_VALUE"""),"Anook Athletics")</f>
        <v>Anook Athletics</v>
      </c>
      <c r="C2763" s="223" t="str">
        <f>IFERROR(__xludf.DUMMYFUNCTION("""COMPUTED_VALUE"""),"Monthly Services")</f>
        <v>Monthly Services</v>
      </c>
      <c r="D2763" s="316">
        <f>IFERROR(__xludf.DUMMYFUNCTION("""COMPUTED_VALUE"""),45076.0)</f>
        <v>45076</v>
      </c>
      <c r="E2763" s="298"/>
      <c r="F2763" s="298"/>
      <c r="G2763" s="298"/>
      <c r="H2763" s="223"/>
      <c r="I2763" s="298">
        <f>IFERROR(__xludf.DUMMYFUNCTION("""COMPUTED_VALUE"""),107.12500000000001)</f>
        <v>107.125</v>
      </c>
      <c r="J2763" s="223" t="str">
        <f>IFERROR(__xludf.DUMMYFUNCTION("""COMPUTED_VALUE"""),"Monthly")</f>
        <v>Monthly</v>
      </c>
      <c r="K2763" s="317">
        <f>IFERROR(__xludf.DUMMYFUNCTION("""COMPUTED_VALUE"""),2023.05)</f>
        <v>2023.05</v>
      </c>
      <c r="L2763" s="298"/>
      <c r="M2763" s="223"/>
      <c r="N2763" s="223"/>
      <c r="O2763" s="223"/>
      <c r="P2763" s="223"/>
      <c r="Q2763" s="223"/>
      <c r="R2763" s="223"/>
      <c r="S2763" s="223"/>
      <c r="T2763" s="223"/>
      <c r="U2763" s="223"/>
      <c r="V2763" s="223"/>
      <c r="W2763" s="223"/>
      <c r="X2763" s="223"/>
      <c r="Y2763" s="223"/>
      <c r="Z2763" s="223"/>
    </row>
    <row r="2764">
      <c r="A2764" s="223" t="str">
        <f>IFERROR(__xludf.DUMMYFUNCTION("""COMPUTED_VALUE"""),"ASASoft : Other Projects")</f>
        <v>ASASoft : Other Projects</v>
      </c>
      <c r="B2764" s="223" t="str">
        <f>IFERROR(__xludf.DUMMYFUNCTION("""COMPUTED_VALUE"""),"ASASoft")</f>
        <v>ASASoft</v>
      </c>
      <c r="C2764" s="223" t="str">
        <f>IFERROR(__xludf.DUMMYFUNCTION("""COMPUTED_VALUE"""),"Other Projects")</f>
        <v>Other Projects</v>
      </c>
      <c r="D2764" s="316">
        <f>IFERROR(__xludf.DUMMYFUNCTION("""COMPUTED_VALUE"""),45076.0)</f>
        <v>45076</v>
      </c>
      <c r="E2764" s="298"/>
      <c r="F2764" s="298"/>
      <c r="G2764" s="298"/>
      <c r="H2764" s="223"/>
      <c r="I2764" s="298">
        <f>IFERROR(__xludf.DUMMYFUNCTION("""COMPUTED_VALUE"""),25.277777777777775)</f>
        <v>25.27777778</v>
      </c>
      <c r="J2764" s="223" t="str">
        <f>IFERROR(__xludf.DUMMYFUNCTION("""COMPUTED_VALUE"""),"Fixed Project")</f>
        <v>Fixed Project</v>
      </c>
      <c r="K2764" s="317">
        <f>IFERROR(__xludf.DUMMYFUNCTION("""COMPUTED_VALUE"""),2023.0)</f>
        <v>2023</v>
      </c>
      <c r="L2764" s="298"/>
      <c r="M2764" s="223"/>
      <c r="N2764" s="223"/>
      <c r="O2764" s="223"/>
      <c r="P2764" s="223"/>
      <c r="Q2764" s="223"/>
      <c r="R2764" s="223"/>
      <c r="S2764" s="223"/>
      <c r="T2764" s="223"/>
      <c r="U2764" s="223"/>
      <c r="V2764" s="223"/>
      <c r="W2764" s="223"/>
      <c r="X2764" s="223"/>
      <c r="Y2764" s="223"/>
      <c r="Z2764" s="223"/>
    </row>
    <row r="2765">
      <c r="A2765" s="223" t="str">
        <f>IFERROR(__xludf.DUMMYFUNCTION("""COMPUTED_VALUE"""),"Booginhead : Monthly Services")</f>
        <v>Booginhead : Monthly Services</v>
      </c>
      <c r="B2765" s="223" t="str">
        <f>IFERROR(__xludf.DUMMYFUNCTION("""COMPUTED_VALUE"""),"Booginhead")</f>
        <v>Booginhead</v>
      </c>
      <c r="C2765" s="223" t="str">
        <f>IFERROR(__xludf.DUMMYFUNCTION("""COMPUTED_VALUE"""),"Monthly Services")</f>
        <v>Monthly Services</v>
      </c>
      <c r="D2765" s="316">
        <f>IFERROR(__xludf.DUMMYFUNCTION("""COMPUTED_VALUE"""),45076.0)</f>
        <v>45076</v>
      </c>
      <c r="E2765" s="298"/>
      <c r="F2765" s="298"/>
      <c r="G2765" s="298"/>
      <c r="H2765" s="223"/>
      <c r="I2765" s="298">
        <f>IFERROR(__xludf.DUMMYFUNCTION("""COMPUTED_VALUE"""),147.93055555555554)</f>
        <v>147.9305556</v>
      </c>
      <c r="J2765" s="223" t="str">
        <f>IFERROR(__xludf.DUMMYFUNCTION("""COMPUTED_VALUE"""),"Monthly")</f>
        <v>Monthly</v>
      </c>
      <c r="K2765" s="317">
        <f>IFERROR(__xludf.DUMMYFUNCTION("""COMPUTED_VALUE"""),2023.05)</f>
        <v>2023.05</v>
      </c>
      <c r="L2765" s="298"/>
      <c r="M2765" s="223"/>
      <c r="N2765" s="223"/>
      <c r="O2765" s="223"/>
      <c r="P2765" s="223"/>
      <c r="Q2765" s="223"/>
      <c r="R2765" s="223"/>
      <c r="S2765" s="223"/>
      <c r="T2765" s="223"/>
      <c r="U2765" s="223"/>
      <c r="V2765" s="223"/>
      <c r="W2765" s="223"/>
      <c r="X2765" s="223"/>
      <c r="Y2765" s="223"/>
      <c r="Z2765" s="223"/>
    </row>
    <row r="2766">
      <c r="A2766" s="223" t="str">
        <f>IFERROR(__xludf.DUMMYFUNCTION("""COMPUTED_VALUE"""),"Cobble Beach : GA4 Upgrade")</f>
        <v>Cobble Beach : GA4 Upgrade</v>
      </c>
      <c r="B2766" s="223" t="str">
        <f>IFERROR(__xludf.DUMMYFUNCTION("""COMPUTED_VALUE"""),"Cobble Beach")</f>
        <v>Cobble Beach</v>
      </c>
      <c r="C2766" s="223" t="str">
        <f>IFERROR(__xludf.DUMMYFUNCTION("""COMPUTED_VALUE"""),"GA4 Upgrade")</f>
        <v>GA4 Upgrade</v>
      </c>
      <c r="D2766" s="316">
        <f>IFERROR(__xludf.DUMMYFUNCTION("""COMPUTED_VALUE"""),45076.0)</f>
        <v>45076</v>
      </c>
      <c r="E2766" s="298"/>
      <c r="F2766" s="298"/>
      <c r="G2766" s="298"/>
      <c r="H2766" s="223"/>
      <c r="I2766" s="298">
        <f>IFERROR(__xludf.DUMMYFUNCTION("""COMPUTED_VALUE"""),87.21527777777779)</f>
        <v>87.21527778</v>
      </c>
      <c r="J2766" s="223" t="str">
        <f>IFERROR(__xludf.DUMMYFUNCTION("""COMPUTED_VALUE"""),"Fixed Project")</f>
        <v>Fixed Project</v>
      </c>
      <c r="K2766" s="317">
        <f>IFERROR(__xludf.DUMMYFUNCTION("""COMPUTED_VALUE"""),2023.0)</f>
        <v>2023</v>
      </c>
      <c r="L2766" s="298"/>
      <c r="M2766" s="223"/>
      <c r="N2766" s="223"/>
      <c r="O2766" s="223"/>
      <c r="P2766" s="223"/>
      <c r="Q2766" s="223"/>
      <c r="R2766" s="223"/>
      <c r="S2766" s="223"/>
      <c r="T2766" s="223"/>
      <c r="U2766" s="223"/>
      <c r="V2766" s="223"/>
      <c r="W2766" s="223"/>
      <c r="X2766" s="223"/>
      <c r="Y2766" s="223"/>
      <c r="Z2766" s="223"/>
    </row>
    <row r="2767">
      <c r="A2767" s="223" t="str">
        <f>IFERROR(__xludf.DUMMYFUNCTION("""COMPUTED_VALUE"""),"ESKO Pacific : Website Rebuild")</f>
        <v>ESKO Pacific : Website Rebuild</v>
      </c>
      <c r="B2767" s="223" t="str">
        <f>IFERROR(__xludf.DUMMYFUNCTION("""COMPUTED_VALUE"""),"ESKO Pacific")</f>
        <v>ESKO Pacific</v>
      </c>
      <c r="C2767" s="223" t="str">
        <f>IFERROR(__xludf.DUMMYFUNCTION("""COMPUTED_VALUE"""),"Website Rebuild")</f>
        <v>Website Rebuild</v>
      </c>
      <c r="D2767" s="316">
        <f>IFERROR(__xludf.DUMMYFUNCTION("""COMPUTED_VALUE"""),45076.0)</f>
        <v>45076</v>
      </c>
      <c r="E2767" s="298"/>
      <c r="F2767" s="298"/>
      <c r="G2767" s="298"/>
      <c r="H2767" s="223"/>
      <c r="I2767" s="298">
        <f>IFERROR(__xludf.DUMMYFUNCTION("""COMPUTED_VALUE"""),9.881944444444445)</f>
        <v>9.881944444</v>
      </c>
      <c r="J2767" s="223" t="str">
        <f>IFERROR(__xludf.DUMMYFUNCTION("""COMPUTED_VALUE"""),"Fixed Project")</f>
        <v>Fixed Project</v>
      </c>
      <c r="K2767" s="317">
        <f>IFERROR(__xludf.DUMMYFUNCTION("""COMPUTED_VALUE"""),2023.0)</f>
        <v>2023</v>
      </c>
      <c r="L2767" s="298"/>
      <c r="M2767" s="223"/>
      <c r="N2767" s="223"/>
      <c r="O2767" s="223"/>
      <c r="P2767" s="223"/>
      <c r="Q2767" s="223"/>
      <c r="R2767" s="223"/>
      <c r="S2767" s="223"/>
      <c r="T2767" s="223"/>
      <c r="U2767" s="223"/>
      <c r="V2767" s="223"/>
      <c r="W2767" s="223"/>
      <c r="X2767" s="223"/>
      <c r="Y2767" s="223"/>
      <c r="Z2767" s="223"/>
    </row>
    <row r="2768">
      <c r="A2768" s="223" t="str">
        <f>IFERROR(__xludf.DUMMYFUNCTION("""COMPUTED_VALUE"""),"Crisp Media : Genus Capital Managment Support")</f>
        <v>Crisp Media : Genus Capital Managment Support</v>
      </c>
      <c r="B2768" s="223" t="str">
        <f>IFERROR(__xludf.DUMMYFUNCTION("""COMPUTED_VALUE"""),"Crisp Media")</f>
        <v>Crisp Media</v>
      </c>
      <c r="C2768" s="223" t="str">
        <f>IFERROR(__xludf.DUMMYFUNCTION("""COMPUTED_VALUE"""),"Genus Capital Managment Support")</f>
        <v>Genus Capital Managment Support</v>
      </c>
      <c r="D2768" s="316">
        <f>IFERROR(__xludf.DUMMYFUNCTION("""COMPUTED_VALUE"""),45076.0)</f>
        <v>45076</v>
      </c>
      <c r="E2768" s="298"/>
      <c r="F2768" s="298"/>
      <c r="G2768" s="298"/>
      <c r="H2768" s="223"/>
      <c r="I2768" s="298">
        <f>IFERROR(__xludf.DUMMYFUNCTION("""COMPUTED_VALUE"""),157.31944444444446)</f>
        <v>157.3194444</v>
      </c>
      <c r="J2768" s="223" t="str">
        <f>IFERROR(__xludf.DUMMYFUNCTION("""COMPUTED_VALUE"""),"Fixed Project")</f>
        <v>Fixed Project</v>
      </c>
      <c r="K2768" s="317">
        <f>IFERROR(__xludf.DUMMYFUNCTION("""COMPUTED_VALUE"""),2023.0)</f>
        <v>2023</v>
      </c>
      <c r="L2768" s="298"/>
      <c r="M2768" s="223"/>
      <c r="N2768" s="223"/>
      <c r="O2768" s="223"/>
      <c r="P2768" s="223"/>
      <c r="Q2768" s="223"/>
      <c r="R2768" s="223"/>
      <c r="S2768" s="223"/>
      <c r="T2768" s="223"/>
      <c r="U2768" s="223"/>
      <c r="V2768" s="223"/>
      <c r="W2768" s="223"/>
      <c r="X2768" s="223"/>
      <c r="Y2768" s="223"/>
      <c r="Z2768" s="223"/>
    </row>
    <row r="2769">
      <c r="A2769" s="223" t="str">
        <f>IFERROR(__xludf.DUMMYFUNCTION("""COMPUTED_VALUE"""),"Continuity Programs Inc. : 3 Month Google Ads Camapign")</f>
        <v>Continuity Programs Inc. : 3 Month Google Ads Camapign</v>
      </c>
      <c r="B2769" s="223" t="str">
        <f>IFERROR(__xludf.DUMMYFUNCTION("""COMPUTED_VALUE"""),"Continuity Programs Inc.")</f>
        <v>Continuity Programs Inc.</v>
      </c>
      <c r="C2769" s="223" t="str">
        <f>IFERROR(__xludf.DUMMYFUNCTION("""COMPUTED_VALUE"""),"3 Month Google Ads Camapign")</f>
        <v>3 Month Google Ads Camapign</v>
      </c>
      <c r="D2769" s="316">
        <f>IFERROR(__xludf.DUMMYFUNCTION("""COMPUTED_VALUE"""),45076.0)</f>
        <v>45076</v>
      </c>
      <c r="E2769" s="298"/>
      <c r="F2769" s="298"/>
      <c r="G2769" s="298"/>
      <c r="H2769" s="223"/>
      <c r="I2769" s="298">
        <f>IFERROR(__xludf.DUMMYFUNCTION("""COMPUTED_VALUE"""),34.708333333333336)</f>
        <v>34.70833333</v>
      </c>
      <c r="J2769" s="223" t="str">
        <f>IFERROR(__xludf.DUMMYFUNCTION("""COMPUTED_VALUE"""),"Fixed Project")</f>
        <v>Fixed Project</v>
      </c>
      <c r="K2769" s="317">
        <f>IFERROR(__xludf.DUMMYFUNCTION("""COMPUTED_VALUE"""),2023.0)</f>
        <v>2023</v>
      </c>
      <c r="L2769" s="298"/>
      <c r="M2769" s="223"/>
      <c r="N2769" s="223"/>
      <c r="O2769" s="223"/>
      <c r="P2769" s="223"/>
      <c r="Q2769" s="223"/>
      <c r="R2769" s="223"/>
      <c r="S2769" s="223"/>
      <c r="T2769" s="223"/>
      <c r="U2769" s="223"/>
      <c r="V2769" s="223"/>
      <c r="W2769" s="223"/>
      <c r="X2769" s="223"/>
      <c r="Y2769" s="223"/>
      <c r="Z2769" s="223"/>
    </row>
    <row r="2770">
      <c r="A2770" s="223" t="str">
        <f>IFERROR(__xludf.DUMMYFUNCTION("""COMPUTED_VALUE"""),"Hastings House : Monthly Services")</f>
        <v>Hastings House : Monthly Services</v>
      </c>
      <c r="B2770" s="223" t="str">
        <f>IFERROR(__xludf.DUMMYFUNCTION("""COMPUTED_VALUE"""),"Hastings House")</f>
        <v>Hastings House</v>
      </c>
      <c r="C2770" s="223" t="str">
        <f>IFERROR(__xludf.DUMMYFUNCTION("""COMPUTED_VALUE"""),"Monthly Services")</f>
        <v>Monthly Services</v>
      </c>
      <c r="D2770" s="316">
        <f>IFERROR(__xludf.DUMMYFUNCTION("""COMPUTED_VALUE"""),45076.0)</f>
        <v>45076</v>
      </c>
      <c r="E2770" s="298"/>
      <c r="F2770" s="298"/>
      <c r="G2770" s="298"/>
      <c r="H2770" s="223"/>
      <c r="I2770" s="298">
        <f>IFERROR(__xludf.DUMMYFUNCTION("""COMPUTED_VALUE"""),115.91666666666667)</f>
        <v>115.9166667</v>
      </c>
      <c r="J2770" s="223" t="str">
        <f>IFERROR(__xludf.DUMMYFUNCTION("""COMPUTED_VALUE"""),"Monthly")</f>
        <v>Monthly</v>
      </c>
      <c r="K2770" s="317">
        <f>IFERROR(__xludf.DUMMYFUNCTION("""COMPUTED_VALUE"""),2023.05)</f>
        <v>2023.05</v>
      </c>
      <c r="L2770" s="298"/>
      <c r="M2770" s="223"/>
      <c r="N2770" s="223"/>
      <c r="O2770" s="223"/>
      <c r="P2770" s="223"/>
      <c r="Q2770" s="223"/>
      <c r="R2770" s="223"/>
      <c r="S2770" s="223"/>
      <c r="T2770" s="223"/>
      <c r="U2770" s="223"/>
      <c r="V2770" s="223"/>
      <c r="W2770" s="223"/>
      <c r="X2770" s="223"/>
      <c r="Y2770" s="223"/>
      <c r="Z2770" s="223"/>
    </row>
    <row r="2771">
      <c r="A2771" s="223" t="str">
        <f>IFERROR(__xludf.DUMMYFUNCTION("""COMPUTED_VALUE"""),"The Palms : 10 Hour General Support Block")</f>
        <v>The Palms : 10 Hour General Support Block</v>
      </c>
      <c r="B2771" s="223" t="str">
        <f>IFERROR(__xludf.DUMMYFUNCTION("""COMPUTED_VALUE"""),"The Palms")</f>
        <v>The Palms</v>
      </c>
      <c r="C2771" s="223" t="str">
        <f>IFERROR(__xludf.DUMMYFUNCTION("""COMPUTED_VALUE"""),"10 Hour General Support Block")</f>
        <v>10 Hour General Support Block</v>
      </c>
      <c r="D2771" s="316">
        <f>IFERROR(__xludf.DUMMYFUNCTION("""COMPUTED_VALUE"""),45076.0)</f>
        <v>45076</v>
      </c>
      <c r="E2771" s="298"/>
      <c r="F2771" s="298"/>
      <c r="G2771" s="298"/>
      <c r="H2771" s="223"/>
      <c r="I2771" s="298">
        <f>IFERROR(__xludf.DUMMYFUNCTION("""COMPUTED_VALUE"""),195.107777777778)</f>
        <v>195.1077778</v>
      </c>
      <c r="J2771" s="223" t="str">
        <f>IFERROR(__xludf.DUMMYFUNCTION("""COMPUTED_VALUE"""),"Fixed Project")</f>
        <v>Fixed Project</v>
      </c>
      <c r="K2771" s="317">
        <f>IFERROR(__xludf.DUMMYFUNCTION("""COMPUTED_VALUE"""),2023.0)</f>
        <v>2023</v>
      </c>
      <c r="L2771" s="298"/>
      <c r="M2771" s="223"/>
      <c r="N2771" s="223"/>
      <c r="O2771" s="223"/>
      <c r="P2771" s="223"/>
      <c r="Q2771" s="223"/>
      <c r="R2771" s="223"/>
      <c r="S2771" s="223"/>
      <c r="T2771" s="223"/>
      <c r="U2771" s="223"/>
      <c r="V2771" s="223"/>
      <c r="W2771" s="223"/>
      <c r="X2771" s="223"/>
      <c r="Y2771" s="223"/>
      <c r="Z2771" s="223"/>
    </row>
    <row r="2772">
      <c r="A2772" s="223" t="str">
        <f>IFERROR(__xludf.DUMMYFUNCTION("""COMPUTED_VALUE"""),"The Sands : 10 Hour General Support Block")</f>
        <v>The Sands : 10 Hour General Support Block</v>
      </c>
      <c r="B2772" s="223" t="str">
        <f>IFERROR(__xludf.DUMMYFUNCTION("""COMPUTED_VALUE"""),"The Sands")</f>
        <v>The Sands</v>
      </c>
      <c r="C2772" s="223" t="str">
        <f>IFERROR(__xludf.DUMMYFUNCTION("""COMPUTED_VALUE"""),"10 Hour General Support Block")</f>
        <v>10 Hour General Support Block</v>
      </c>
      <c r="D2772" s="316">
        <f>IFERROR(__xludf.DUMMYFUNCTION("""COMPUTED_VALUE"""),45076.0)</f>
        <v>45076</v>
      </c>
      <c r="E2772" s="298"/>
      <c r="F2772" s="298"/>
      <c r="G2772" s="298"/>
      <c r="H2772" s="223"/>
      <c r="I2772" s="298">
        <f>IFERROR(__xludf.DUMMYFUNCTION("""COMPUTED_VALUE"""),74.04)</f>
        <v>74.04</v>
      </c>
      <c r="J2772" s="223" t="str">
        <f>IFERROR(__xludf.DUMMYFUNCTION("""COMPUTED_VALUE"""),"Fixed Project")</f>
        <v>Fixed Project</v>
      </c>
      <c r="K2772" s="317">
        <f>IFERROR(__xludf.DUMMYFUNCTION("""COMPUTED_VALUE"""),2023.0)</f>
        <v>2023</v>
      </c>
      <c r="L2772" s="298"/>
      <c r="M2772" s="223"/>
      <c r="N2772" s="223"/>
      <c r="O2772" s="223"/>
      <c r="P2772" s="223"/>
      <c r="Q2772" s="223"/>
      <c r="R2772" s="223"/>
      <c r="S2772" s="223"/>
      <c r="T2772" s="223"/>
      <c r="U2772" s="223"/>
      <c r="V2772" s="223"/>
      <c r="W2772" s="223"/>
      <c r="X2772" s="223"/>
      <c r="Y2772" s="223"/>
      <c r="Z2772" s="223"/>
    </row>
    <row r="2773">
      <c r="A2773" s="223" t="str">
        <f>IFERROR(__xludf.DUMMYFUNCTION("""COMPUTED_VALUE"""),"Ideon : Website")</f>
        <v>Ideon : Website</v>
      </c>
      <c r="B2773" s="223" t="str">
        <f>IFERROR(__xludf.DUMMYFUNCTION("""COMPUTED_VALUE"""),"Ideon")</f>
        <v>Ideon</v>
      </c>
      <c r="C2773" s="223" t="str">
        <f>IFERROR(__xludf.DUMMYFUNCTION("""COMPUTED_VALUE"""),"Website")</f>
        <v>Website</v>
      </c>
      <c r="D2773" s="316">
        <f>IFERROR(__xludf.DUMMYFUNCTION("""COMPUTED_VALUE"""),45076.0)</f>
        <v>45076</v>
      </c>
      <c r="E2773" s="298"/>
      <c r="F2773" s="298"/>
      <c r="G2773" s="298"/>
      <c r="H2773" s="223"/>
      <c r="I2773" s="298">
        <f>IFERROR(__xludf.DUMMYFUNCTION("""COMPUTED_VALUE"""),2067.235246349974)</f>
        <v>2067.235246</v>
      </c>
      <c r="J2773" s="223" t="str">
        <f>IFERROR(__xludf.DUMMYFUNCTION("""COMPUTED_VALUE"""),"Fixed Project")</f>
        <v>Fixed Project</v>
      </c>
      <c r="K2773" s="317">
        <f>IFERROR(__xludf.DUMMYFUNCTION("""COMPUTED_VALUE"""),2023.0)</f>
        <v>2023</v>
      </c>
      <c r="L2773" s="298"/>
      <c r="M2773" s="223"/>
      <c r="N2773" s="223"/>
      <c r="O2773" s="223"/>
      <c r="P2773" s="223"/>
      <c r="Q2773" s="223"/>
      <c r="R2773" s="223"/>
      <c r="S2773" s="223"/>
      <c r="T2773" s="223"/>
      <c r="U2773" s="223"/>
      <c r="V2773" s="223"/>
      <c r="W2773" s="223"/>
      <c r="X2773" s="223"/>
      <c r="Y2773" s="223"/>
      <c r="Z2773" s="223"/>
    </row>
    <row r="2774">
      <c r="A2774" s="223" t="str">
        <f>IFERROR(__xludf.DUMMYFUNCTION("""COMPUTED_VALUE"""),"Ideon : 5 Hour Support Block")</f>
        <v>Ideon : 5 Hour Support Block</v>
      </c>
      <c r="B2774" s="223" t="str">
        <f>IFERROR(__xludf.DUMMYFUNCTION("""COMPUTED_VALUE"""),"Ideon")</f>
        <v>Ideon</v>
      </c>
      <c r="C2774" s="223" t="str">
        <f>IFERROR(__xludf.DUMMYFUNCTION("""COMPUTED_VALUE"""),"5 Hour Support Block")</f>
        <v>5 Hour Support Block</v>
      </c>
      <c r="D2774" s="316">
        <f>IFERROR(__xludf.DUMMYFUNCTION("""COMPUTED_VALUE"""),45076.0)</f>
        <v>45076</v>
      </c>
      <c r="E2774" s="298"/>
      <c r="F2774" s="298"/>
      <c r="G2774" s="298"/>
      <c r="H2774" s="223"/>
      <c r="I2774" s="298">
        <f>IFERROR(__xludf.DUMMYFUNCTION("""COMPUTED_VALUE"""),19.458333333333336)</f>
        <v>19.45833333</v>
      </c>
      <c r="J2774" s="223" t="str">
        <f>IFERROR(__xludf.DUMMYFUNCTION("""COMPUTED_VALUE"""),"Fixed Project")</f>
        <v>Fixed Project</v>
      </c>
      <c r="K2774" s="317">
        <f>IFERROR(__xludf.DUMMYFUNCTION("""COMPUTED_VALUE"""),2023.0)</f>
        <v>2023</v>
      </c>
      <c r="L2774" s="298"/>
      <c r="M2774" s="223"/>
      <c r="N2774" s="223"/>
      <c r="O2774" s="223"/>
      <c r="P2774" s="223"/>
      <c r="Q2774" s="223"/>
      <c r="R2774" s="223"/>
      <c r="S2774" s="223"/>
      <c r="T2774" s="223"/>
      <c r="U2774" s="223"/>
      <c r="V2774" s="223"/>
      <c r="W2774" s="223"/>
      <c r="X2774" s="223"/>
      <c r="Y2774" s="223"/>
      <c r="Z2774" s="223"/>
    </row>
    <row r="2775">
      <c r="A2775" s="223" t="str">
        <f>IFERROR(__xludf.DUMMYFUNCTION("""COMPUTED_VALUE"""),"Markey Machine : General Support Retainer")</f>
        <v>Markey Machine : General Support Retainer</v>
      </c>
      <c r="B2775" s="223" t="str">
        <f>IFERROR(__xludf.DUMMYFUNCTION("""COMPUTED_VALUE"""),"Markey Machine")</f>
        <v>Markey Machine</v>
      </c>
      <c r="C2775" s="223" t="str">
        <f>IFERROR(__xludf.DUMMYFUNCTION("""COMPUTED_VALUE"""),"General Support Retainer")</f>
        <v>General Support Retainer</v>
      </c>
      <c r="D2775" s="316">
        <f>IFERROR(__xludf.DUMMYFUNCTION("""COMPUTED_VALUE"""),45076.0)</f>
        <v>45076</v>
      </c>
      <c r="E2775" s="298"/>
      <c r="F2775" s="298"/>
      <c r="G2775" s="298"/>
      <c r="H2775" s="223"/>
      <c r="I2775" s="298">
        <f>IFERROR(__xludf.DUMMYFUNCTION("""COMPUTED_VALUE"""),7.222222222222221)</f>
        <v>7.222222222</v>
      </c>
      <c r="J2775" s="223" t="str">
        <f>IFERROR(__xludf.DUMMYFUNCTION("""COMPUTED_VALUE"""),"Monthly")</f>
        <v>Monthly</v>
      </c>
      <c r="K2775" s="317">
        <f>IFERROR(__xludf.DUMMYFUNCTION("""COMPUTED_VALUE"""),2023.05)</f>
        <v>2023.05</v>
      </c>
      <c r="L2775" s="298"/>
      <c r="M2775" s="223"/>
      <c r="N2775" s="223"/>
      <c r="O2775" s="223"/>
      <c r="P2775" s="223"/>
      <c r="Q2775" s="223"/>
      <c r="R2775" s="223"/>
      <c r="S2775" s="223"/>
      <c r="T2775" s="223"/>
      <c r="U2775" s="223"/>
      <c r="V2775" s="223"/>
      <c r="W2775" s="223"/>
      <c r="X2775" s="223"/>
      <c r="Y2775" s="223"/>
      <c r="Z2775" s="223"/>
    </row>
    <row r="2776">
      <c r="A2776" s="223" t="str">
        <f>IFERROR(__xludf.DUMMYFUNCTION("""COMPUTED_VALUE"""),"Moloco : Monthly PPC")</f>
        <v>Moloco : Monthly PPC</v>
      </c>
      <c r="B2776" s="223" t="str">
        <f>IFERROR(__xludf.DUMMYFUNCTION("""COMPUTED_VALUE"""),"Moloco")</f>
        <v>Moloco</v>
      </c>
      <c r="C2776" s="223" t="str">
        <f>IFERROR(__xludf.DUMMYFUNCTION("""COMPUTED_VALUE"""),"Monthly PPC")</f>
        <v>Monthly PPC</v>
      </c>
      <c r="D2776" s="316">
        <f>IFERROR(__xludf.DUMMYFUNCTION("""COMPUTED_VALUE"""),45076.0)</f>
        <v>45076</v>
      </c>
      <c r="E2776" s="298"/>
      <c r="F2776" s="298"/>
      <c r="G2776" s="298"/>
      <c r="H2776" s="223"/>
      <c r="I2776" s="298">
        <f>IFERROR(__xludf.DUMMYFUNCTION("""COMPUTED_VALUE"""),75.04166666666667)</f>
        <v>75.04166667</v>
      </c>
      <c r="J2776" s="223" t="str">
        <f>IFERROR(__xludf.DUMMYFUNCTION("""COMPUTED_VALUE"""),"Monthly")</f>
        <v>Monthly</v>
      </c>
      <c r="K2776" s="317">
        <f>IFERROR(__xludf.DUMMYFUNCTION("""COMPUTED_VALUE"""),2023.05)</f>
        <v>2023.05</v>
      </c>
      <c r="L2776" s="298"/>
      <c r="M2776" s="223"/>
      <c r="N2776" s="223"/>
      <c r="O2776" s="223"/>
      <c r="P2776" s="223"/>
      <c r="Q2776" s="223"/>
      <c r="R2776" s="223"/>
      <c r="S2776" s="223"/>
      <c r="T2776" s="223"/>
      <c r="U2776" s="223"/>
      <c r="V2776" s="223"/>
      <c r="W2776" s="223"/>
      <c r="X2776" s="223"/>
      <c r="Y2776" s="223"/>
      <c r="Z2776" s="223"/>
    </row>
    <row r="2777">
      <c r="A2777" s="223" t="str">
        <f>IFERROR(__xludf.DUMMYFUNCTION("""COMPUTED_VALUE"""),"PlusROI : Admin")</f>
        <v>PlusROI : Admin</v>
      </c>
      <c r="B2777" s="223" t="str">
        <f>IFERROR(__xludf.DUMMYFUNCTION("""COMPUTED_VALUE"""),"PlusROI")</f>
        <v>PlusROI</v>
      </c>
      <c r="C2777" s="223" t="str">
        <f>IFERROR(__xludf.DUMMYFUNCTION("""COMPUTED_VALUE"""),"Admin")</f>
        <v>Admin</v>
      </c>
      <c r="D2777" s="316">
        <f>IFERROR(__xludf.DUMMYFUNCTION("""COMPUTED_VALUE"""),45076.0)</f>
        <v>45076</v>
      </c>
      <c r="E2777" s="298"/>
      <c r="F2777" s="298"/>
      <c r="G2777" s="298"/>
      <c r="H2777" s="223"/>
      <c r="I2777" s="298">
        <f>IFERROR(__xludf.DUMMYFUNCTION("""COMPUTED_VALUE"""),808.5624999999999)</f>
        <v>808.5625</v>
      </c>
      <c r="J2777" s="223" t="str">
        <f>IFERROR(__xludf.DUMMYFUNCTION("""COMPUTED_VALUE"""),"Hourly")</f>
        <v>Hourly</v>
      </c>
      <c r="K2777" s="317">
        <f>IFERROR(__xludf.DUMMYFUNCTION("""COMPUTED_VALUE"""),2023.0)</f>
        <v>2023</v>
      </c>
      <c r="L2777" s="298"/>
      <c r="M2777" s="223"/>
      <c r="N2777" s="223"/>
      <c r="O2777" s="223"/>
      <c r="P2777" s="223"/>
      <c r="Q2777" s="223"/>
      <c r="R2777" s="223"/>
      <c r="S2777" s="223"/>
      <c r="T2777" s="223"/>
      <c r="U2777" s="223"/>
      <c r="V2777" s="223"/>
      <c r="W2777" s="223"/>
      <c r="X2777" s="223"/>
      <c r="Y2777" s="223"/>
      <c r="Z2777" s="223"/>
    </row>
    <row r="2778">
      <c r="A2778" s="223" t="str">
        <f>IFERROR(__xludf.DUMMYFUNCTION("""COMPUTED_VALUE"""),"Rama Meditation Society : Monthly Hosting &amp; Updates")</f>
        <v>Rama Meditation Society : Monthly Hosting &amp; Updates</v>
      </c>
      <c r="B2778" s="223" t="str">
        <f>IFERROR(__xludf.DUMMYFUNCTION("""COMPUTED_VALUE"""),"Rama Meditation Society")</f>
        <v>Rama Meditation Society</v>
      </c>
      <c r="C2778" s="223" t="str">
        <f>IFERROR(__xludf.DUMMYFUNCTION("""COMPUTED_VALUE"""),"Monthly Hosting &amp; Updates")</f>
        <v>Monthly Hosting &amp; Updates</v>
      </c>
      <c r="D2778" s="316">
        <f>IFERROR(__xludf.DUMMYFUNCTION("""COMPUTED_VALUE"""),45076.0)</f>
        <v>45076</v>
      </c>
      <c r="E2778" s="298"/>
      <c r="F2778" s="298"/>
      <c r="G2778" s="298"/>
      <c r="H2778" s="223"/>
      <c r="I2778" s="298">
        <f>IFERROR(__xludf.DUMMYFUNCTION("""COMPUTED_VALUE"""),126.77777777777774)</f>
        <v>126.7777778</v>
      </c>
      <c r="J2778" s="223" t="str">
        <f>IFERROR(__xludf.DUMMYFUNCTION("""COMPUTED_VALUE"""),"Monthly")</f>
        <v>Monthly</v>
      </c>
      <c r="K2778" s="317">
        <f>IFERROR(__xludf.DUMMYFUNCTION("""COMPUTED_VALUE"""),2023.05)</f>
        <v>2023.05</v>
      </c>
      <c r="L2778" s="298"/>
      <c r="M2778" s="223"/>
      <c r="N2778" s="223"/>
      <c r="O2778" s="223"/>
      <c r="P2778" s="223"/>
      <c r="Q2778" s="223"/>
      <c r="R2778" s="223"/>
      <c r="S2778" s="223"/>
      <c r="T2778" s="223"/>
      <c r="U2778" s="223"/>
      <c r="V2778" s="223"/>
      <c r="W2778" s="223"/>
      <c r="X2778" s="223"/>
      <c r="Y2778" s="223"/>
      <c r="Z2778" s="223"/>
    </row>
    <row r="2779">
      <c r="A2779" s="223" t="str">
        <f>IFERROR(__xludf.DUMMYFUNCTION("""COMPUTED_VALUE"""),"Sacred Deathcare : Maintainance Retainer")</f>
        <v>Sacred Deathcare : Maintainance Retainer</v>
      </c>
      <c r="B2779" s="223" t="str">
        <f>IFERROR(__xludf.DUMMYFUNCTION("""COMPUTED_VALUE"""),"Sacred Deathcare")</f>
        <v>Sacred Deathcare</v>
      </c>
      <c r="C2779" s="223" t="str">
        <f>IFERROR(__xludf.DUMMYFUNCTION("""COMPUTED_VALUE"""),"Maintainance Retainer")</f>
        <v>Maintainance Retainer</v>
      </c>
      <c r="D2779" s="316">
        <f>IFERROR(__xludf.DUMMYFUNCTION("""COMPUTED_VALUE"""),45076.0)</f>
        <v>45076</v>
      </c>
      <c r="E2779" s="298"/>
      <c r="F2779" s="298"/>
      <c r="G2779" s="298"/>
      <c r="H2779" s="223"/>
      <c r="I2779" s="298">
        <f>IFERROR(__xludf.DUMMYFUNCTION("""COMPUTED_VALUE"""),33.40277777777778)</f>
        <v>33.40277778</v>
      </c>
      <c r="J2779" s="223" t="str">
        <f>IFERROR(__xludf.DUMMYFUNCTION("""COMPUTED_VALUE"""),"Monthly")</f>
        <v>Monthly</v>
      </c>
      <c r="K2779" s="317">
        <f>IFERROR(__xludf.DUMMYFUNCTION("""COMPUTED_VALUE"""),2023.05)</f>
        <v>2023.05</v>
      </c>
      <c r="L2779" s="298"/>
      <c r="M2779" s="223"/>
      <c r="N2779" s="223"/>
      <c r="O2779" s="223"/>
      <c r="P2779" s="223"/>
      <c r="Q2779" s="223"/>
      <c r="R2779" s="223"/>
      <c r="S2779" s="223"/>
      <c r="T2779" s="223"/>
      <c r="U2779" s="223"/>
      <c r="V2779" s="223"/>
      <c r="W2779" s="223"/>
      <c r="X2779" s="223"/>
      <c r="Y2779" s="223"/>
      <c r="Z2779" s="223"/>
    </row>
    <row r="2780">
      <c r="A2780" s="223" t="str">
        <f>IFERROR(__xludf.DUMMYFUNCTION("""COMPUTED_VALUE"""),"Tofino Resort + Marina : 5 Hour Support Block")</f>
        <v>Tofino Resort + Marina : 5 Hour Support Block</v>
      </c>
      <c r="B2780" s="223" t="str">
        <f>IFERROR(__xludf.DUMMYFUNCTION("""COMPUTED_VALUE"""),"Tofino Resort + Marina")</f>
        <v>Tofino Resort + Marina</v>
      </c>
      <c r="C2780" s="223" t="str">
        <f>IFERROR(__xludf.DUMMYFUNCTION("""COMPUTED_VALUE"""),"5 Hour Support Block")</f>
        <v>5 Hour Support Block</v>
      </c>
      <c r="D2780" s="316">
        <f>IFERROR(__xludf.DUMMYFUNCTION("""COMPUTED_VALUE"""),45076.0)</f>
        <v>45076</v>
      </c>
      <c r="E2780" s="298"/>
      <c r="F2780" s="298"/>
      <c r="G2780" s="298"/>
      <c r="H2780" s="223"/>
      <c r="I2780" s="298">
        <f>IFERROR(__xludf.DUMMYFUNCTION("""COMPUTED_VALUE"""),73.38194444444446)</f>
        <v>73.38194444</v>
      </c>
      <c r="J2780" s="223" t="str">
        <f>IFERROR(__xludf.DUMMYFUNCTION("""COMPUTED_VALUE"""),"Fixed Project")</f>
        <v>Fixed Project</v>
      </c>
      <c r="K2780" s="317">
        <f>IFERROR(__xludf.DUMMYFUNCTION("""COMPUTED_VALUE"""),2023.0)</f>
        <v>2023</v>
      </c>
      <c r="L2780" s="298"/>
      <c r="M2780" s="223"/>
      <c r="N2780" s="223"/>
      <c r="O2780" s="223"/>
      <c r="P2780" s="223"/>
      <c r="Q2780" s="223"/>
      <c r="R2780" s="223"/>
      <c r="S2780" s="223"/>
      <c r="T2780" s="223"/>
      <c r="U2780" s="223"/>
      <c r="V2780" s="223"/>
      <c r="W2780" s="223"/>
      <c r="X2780" s="223"/>
      <c r="Y2780" s="223"/>
      <c r="Z2780" s="223"/>
    </row>
    <row r="2781">
      <c r="A2781" s="223" t="str">
        <f>IFERROR(__xludf.DUMMYFUNCTION("""COMPUTED_VALUE"""),"Tuscany : Monthly Services")</f>
        <v>Tuscany : Monthly Services</v>
      </c>
      <c r="B2781" s="223" t="str">
        <f>IFERROR(__xludf.DUMMYFUNCTION("""COMPUTED_VALUE"""),"Tuscany")</f>
        <v>Tuscany</v>
      </c>
      <c r="C2781" s="223" t="str">
        <f>IFERROR(__xludf.DUMMYFUNCTION("""COMPUTED_VALUE"""),"Monthly Services")</f>
        <v>Monthly Services</v>
      </c>
      <c r="D2781" s="316">
        <f>IFERROR(__xludf.DUMMYFUNCTION("""COMPUTED_VALUE"""),45076.0)</f>
        <v>45076</v>
      </c>
      <c r="E2781" s="298"/>
      <c r="F2781" s="298"/>
      <c r="G2781" s="298"/>
      <c r="H2781" s="223"/>
      <c r="I2781" s="298">
        <f>IFERROR(__xludf.DUMMYFUNCTION("""COMPUTED_VALUE"""),143.5902777777778)</f>
        <v>143.5902778</v>
      </c>
      <c r="J2781" s="223" t="str">
        <f>IFERROR(__xludf.DUMMYFUNCTION("""COMPUTED_VALUE"""),"Monthly")</f>
        <v>Monthly</v>
      </c>
      <c r="K2781" s="317">
        <f>IFERROR(__xludf.DUMMYFUNCTION("""COMPUTED_VALUE"""),2023.05)</f>
        <v>2023.05</v>
      </c>
      <c r="L2781" s="298"/>
      <c r="M2781" s="223"/>
      <c r="N2781" s="223"/>
      <c r="O2781" s="223"/>
      <c r="P2781" s="223"/>
      <c r="Q2781" s="223"/>
      <c r="R2781" s="223"/>
      <c r="S2781" s="223"/>
      <c r="T2781" s="223"/>
      <c r="U2781" s="223"/>
      <c r="V2781" s="223"/>
      <c r="W2781" s="223"/>
      <c r="X2781" s="223"/>
      <c r="Y2781" s="223"/>
      <c r="Z2781" s="223"/>
    </row>
    <row r="2782">
      <c r="A2782" s="223" t="str">
        <f>IFERROR(__xludf.DUMMYFUNCTION("""COMPUTED_VALUE"""),"Venetian : Monthly Services")</f>
        <v>Venetian : Monthly Services</v>
      </c>
      <c r="B2782" s="223" t="str">
        <f>IFERROR(__xludf.DUMMYFUNCTION("""COMPUTED_VALUE"""),"Venetian")</f>
        <v>Venetian</v>
      </c>
      <c r="C2782" s="223" t="str">
        <f>IFERROR(__xludf.DUMMYFUNCTION("""COMPUTED_VALUE"""),"Monthly Services")</f>
        <v>Monthly Services</v>
      </c>
      <c r="D2782" s="316">
        <f>IFERROR(__xludf.DUMMYFUNCTION("""COMPUTED_VALUE"""),45076.0)</f>
        <v>45076</v>
      </c>
      <c r="E2782" s="298"/>
      <c r="F2782" s="298"/>
      <c r="G2782" s="298"/>
      <c r="H2782" s="223"/>
      <c r="I2782" s="298">
        <f>IFERROR(__xludf.DUMMYFUNCTION("""COMPUTED_VALUE"""),167.58333333333331)</f>
        <v>167.5833333</v>
      </c>
      <c r="J2782" s="223" t="str">
        <f>IFERROR(__xludf.DUMMYFUNCTION("""COMPUTED_VALUE"""),"Monthly")</f>
        <v>Monthly</v>
      </c>
      <c r="K2782" s="317">
        <f>IFERROR(__xludf.DUMMYFUNCTION("""COMPUTED_VALUE"""),2023.05)</f>
        <v>2023.05</v>
      </c>
      <c r="L2782" s="298"/>
      <c r="M2782" s="223"/>
      <c r="N2782" s="223"/>
      <c r="O2782" s="223"/>
      <c r="P2782" s="223"/>
      <c r="Q2782" s="223"/>
      <c r="R2782" s="223"/>
      <c r="S2782" s="223"/>
      <c r="T2782" s="223"/>
      <c r="U2782" s="223"/>
      <c r="V2782" s="223"/>
      <c r="W2782" s="223"/>
      <c r="X2782" s="223"/>
      <c r="Y2782" s="223"/>
      <c r="Z2782" s="223"/>
    </row>
    <row r="2783">
      <c r="A2783" s="223" t="str">
        <f>IFERROR(__xludf.DUMMYFUNCTION("""COMPUTED_VALUE"""),"WhistleBlower Security : Monthly PPC and SEO")</f>
        <v>WhistleBlower Security : Monthly PPC and SEO</v>
      </c>
      <c r="B2783" s="223" t="str">
        <f>IFERROR(__xludf.DUMMYFUNCTION("""COMPUTED_VALUE"""),"WhistleBlower Security")</f>
        <v>WhistleBlower Security</v>
      </c>
      <c r="C2783" s="223" t="str">
        <f>IFERROR(__xludf.DUMMYFUNCTION("""COMPUTED_VALUE"""),"Monthly PPC and SEO")</f>
        <v>Monthly PPC and SEO</v>
      </c>
      <c r="D2783" s="316">
        <f>IFERROR(__xludf.DUMMYFUNCTION("""COMPUTED_VALUE"""),45076.0)</f>
        <v>45076</v>
      </c>
      <c r="E2783" s="298"/>
      <c r="F2783" s="298"/>
      <c r="G2783" s="298"/>
      <c r="H2783" s="223"/>
      <c r="I2783" s="298">
        <f>IFERROR(__xludf.DUMMYFUNCTION("""COMPUTED_VALUE"""),169.51000000000002)</f>
        <v>169.51</v>
      </c>
      <c r="J2783" s="223" t="str">
        <f>IFERROR(__xludf.DUMMYFUNCTION("""COMPUTED_VALUE"""),"Monthly")</f>
        <v>Monthly</v>
      </c>
      <c r="K2783" s="317">
        <f>IFERROR(__xludf.DUMMYFUNCTION("""COMPUTED_VALUE"""),2023.05)</f>
        <v>2023.05</v>
      </c>
      <c r="L2783" s="298"/>
      <c r="M2783" s="223"/>
      <c r="N2783" s="223"/>
      <c r="O2783" s="223"/>
      <c r="P2783" s="223"/>
      <c r="Q2783" s="223"/>
      <c r="R2783" s="223"/>
      <c r="S2783" s="223"/>
      <c r="T2783" s="223"/>
      <c r="U2783" s="223"/>
      <c r="V2783" s="223"/>
      <c r="W2783" s="223"/>
      <c r="X2783" s="223"/>
      <c r="Y2783" s="223"/>
      <c r="Z2783" s="223"/>
    </row>
    <row r="2784">
      <c r="A2784" s="223" t="str">
        <f>IFERROR(__xludf.DUMMYFUNCTION("""COMPUTED_VALUE"""),"Red Seal : Grant Project")</f>
        <v>Red Seal : Grant Project</v>
      </c>
      <c r="B2784" s="223" t="str">
        <f>IFERROR(__xludf.DUMMYFUNCTION("""COMPUTED_VALUE"""),"Red Seal")</f>
        <v>Red Seal</v>
      </c>
      <c r="C2784" s="223" t="str">
        <f>IFERROR(__xludf.DUMMYFUNCTION("""COMPUTED_VALUE"""),"Grant Project")</f>
        <v>Grant Project</v>
      </c>
      <c r="D2784" s="316">
        <f>IFERROR(__xludf.DUMMYFUNCTION("""COMPUTED_VALUE"""),45076.0)</f>
        <v>45076</v>
      </c>
      <c r="E2784" s="298"/>
      <c r="F2784" s="298"/>
      <c r="G2784" s="298"/>
      <c r="H2784" s="223"/>
      <c r="I2784" s="298">
        <f>IFERROR(__xludf.DUMMYFUNCTION("""COMPUTED_VALUE"""),264.3472222222222)</f>
        <v>264.3472222</v>
      </c>
      <c r="J2784" s="223" t="str">
        <f>IFERROR(__xludf.DUMMYFUNCTION("""COMPUTED_VALUE"""),"Fixed Project")</f>
        <v>Fixed Project</v>
      </c>
      <c r="K2784" s="317">
        <f>IFERROR(__xludf.DUMMYFUNCTION("""COMPUTED_VALUE"""),2023.0)</f>
        <v>2023</v>
      </c>
      <c r="L2784" s="298"/>
      <c r="M2784" s="223"/>
      <c r="N2784" s="223"/>
      <c r="O2784" s="223"/>
      <c r="P2784" s="223"/>
      <c r="Q2784" s="223"/>
      <c r="R2784" s="223"/>
      <c r="S2784" s="223"/>
      <c r="T2784" s="223"/>
      <c r="U2784" s="223"/>
      <c r="V2784" s="223"/>
      <c r="W2784" s="223"/>
      <c r="X2784" s="223"/>
      <c r="Y2784" s="223"/>
      <c r="Z2784" s="223"/>
    </row>
    <row r="2785">
      <c r="A2785" s="223" t="str">
        <f>IFERROR(__xludf.DUMMYFUNCTION("""COMPUTED_VALUE"""),"PlusROI : Marketing")</f>
        <v>PlusROI : Marketing</v>
      </c>
      <c r="B2785" s="223" t="str">
        <f>IFERROR(__xludf.DUMMYFUNCTION("""COMPUTED_VALUE"""),"PlusROI")</f>
        <v>PlusROI</v>
      </c>
      <c r="C2785" s="223" t="str">
        <f>IFERROR(__xludf.DUMMYFUNCTION("""COMPUTED_VALUE"""),"Marketing")</f>
        <v>Marketing</v>
      </c>
      <c r="D2785" s="316">
        <f>IFERROR(__xludf.DUMMYFUNCTION("""COMPUTED_VALUE"""),45076.0)</f>
        <v>45076</v>
      </c>
      <c r="E2785" s="298"/>
      <c r="F2785" s="298"/>
      <c r="G2785" s="298"/>
      <c r="H2785" s="223"/>
      <c r="I2785" s="298">
        <f>IFERROR(__xludf.DUMMYFUNCTION("""COMPUTED_VALUE"""),64.50694444444444)</f>
        <v>64.50694444</v>
      </c>
      <c r="J2785" s="223" t="str">
        <f>IFERROR(__xludf.DUMMYFUNCTION("""COMPUTED_VALUE"""),"Hourly")</f>
        <v>Hourly</v>
      </c>
      <c r="K2785" s="317">
        <f>IFERROR(__xludf.DUMMYFUNCTION("""COMPUTED_VALUE"""),2023.0)</f>
        <v>2023</v>
      </c>
      <c r="L2785" s="298"/>
      <c r="M2785" s="223"/>
      <c r="N2785" s="223"/>
      <c r="O2785" s="223"/>
      <c r="P2785" s="223"/>
      <c r="Q2785" s="223"/>
      <c r="R2785" s="223"/>
      <c r="S2785" s="223"/>
      <c r="T2785" s="223"/>
      <c r="U2785" s="223"/>
      <c r="V2785" s="223"/>
      <c r="W2785" s="223"/>
      <c r="X2785" s="223"/>
      <c r="Y2785" s="223"/>
      <c r="Z2785" s="223"/>
    </row>
    <row r="2786">
      <c r="A2786" s="223" t="str">
        <f>IFERROR(__xludf.DUMMYFUNCTION("""COMPUTED_VALUE"""),"PMDI : Monthly Services")</f>
        <v>PMDI : Monthly Services</v>
      </c>
      <c r="B2786" s="223" t="str">
        <f>IFERROR(__xludf.DUMMYFUNCTION("""COMPUTED_VALUE"""),"PMDI")</f>
        <v>PMDI</v>
      </c>
      <c r="C2786" s="223" t="str">
        <f>IFERROR(__xludf.DUMMYFUNCTION("""COMPUTED_VALUE"""),"Monthly Services")</f>
        <v>Monthly Services</v>
      </c>
      <c r="D2786" s="316">
        <f>IFERROR(__xludf.DUMMYFUNCTION("""COMPUTED_VALUE"""),45076.0)</f>
        <v>45076</v>
      </c>
      <c r="E2786" s="298"/>
      <c r="F2786" s="298"/>
      <c r="G2786" s="298"/>
      <c r="H2786" s="223"/>
      <c r="I2786" s="298">
        <f>IFERROR(__xludf.DUMMYFUNCTION("""COMPUTED_VALUE"""),50.63888888888889)</f>
        <v>50.63888889</v>
      </c>
      <c r="J2786" s="223" t="str">
        <f>IFERROR(__xludf.DUMMYFUNCTION("""COMPUTED_VALUE"""),"Monthly")</f>
        <v>Monthly</v>
      </c>
      <c r="K2786" s="317">
        <f>IFERROR(__xludf.DUMMYFUNCTION("""COMPUTED_VALUE"""),2023.05)</f>
        <v>2023.05</v>
      </c>
      <c r="L2786" s="298"/>
      <c r="M2786" s="223"/>
      <c r="N2786" s="223"/>
      <c r="O2786" s="223"/>
      <c r="P2786" s="223"/>
      <c r="Q2786" s="223"/>
      <c r="R2786" s="223"/>
      <c r="S2786" s="223"/>
      <c r="T2786" s="223"/>
      <c r="U2786" s="223"/>
      <c r="V2786" s="223"/>
      <c r="W2786" s="223"/>
      <c r="X2786" s="223"/>
      <c r="Y2786" s="223"/>
      <c r="Z2786" s="223"/>
    </row>
    <row r="2787">
      <c r="A2787" s="223" t="str">
        <f>IFERROR(__xludf.DUMMYFUNCTION("""COMPUTED_VALUE"""),"Continuity Programs Inc. : Other Projects")</f>
        <v>Continuity Programs Inc. : Other Projects</v>
      </c>
      <c r="B2787" s="223" t="str">
        <f>IFERROR(__xludf.DUMMYFUNCTION("""COMPUTED_VALUE"""),"Continuity Programs Inc.")</f>
        <v>Continuity Programs Inc.</v>
      </c>
      <c r="C2787" s="223" t="str">
        <f>IFERROR(__xludf.DUMMYFUNCTION("""COMPUTED_VALUE"""),"Other Projects")</f>
        <v>Other Projects</v>
      </c>
      <c r="D2787" s="316">
        <f>IFERROR(__xludf.DUMMYFUNCTION("""COMPUTED_VALUE"""),45107.0)</f>
        <v>45107</v>
      </c>
      <c r="E2787" s="298"/>
      <c r="F2787" s="298"/>
      <c r="G2787" s="298"/>
      <c r="H2787" s="223"/>
      <c r="I2787" s="298">
        <f>IFERROR(__xludf.DUMMYFUNCTION("""COMPUTED_VALUE"""),650.0)</f>
        <v>650</v>
      </c>
      <c r="J2787" s="223" t="str">
        <f>IFERROR(__xludf.DUMMYFUNCTION("""COMPUTED_VALUE"""),"Fixed Project")</f>
        <v>Fixed Project</v>
      </c>
      <c r="K2787" s="317">
        <f>IFERROR(__xludf.DUMMYFUNCTION("""COMPUTED_VALUE"""),2023.0)</f>
        <v>2023</v>
      </c>
      <c r="L2787" s="298"/>
      <c r="M2787" s="223"/>
      <c r="N2787" s="223"/>
      <c r="O2787" s="223"/>
      <c r="P2787" s="223"/>
      <c r="Q2787" s="223"/>
      <c r="R2787" s="223"/>
      <c r="S2787" s="223"/>
      <c r="T2787" s="223"/>
      <c r="U2787" s="223"/>
      <c r="V2787" s="223"/>
      <c r="W2787" s="223"/>
      <c r="X2787" s="223"/>
      <c r="Y2787" s="223"/>
      <c r="Z2787" s="223"/>
    </row>
    <row r="2788">
      <c r="A2788" s="223" t="str">
        <f>IFERROR(__xludf.DUMMYFUNCTION("""COMPUTED_VALUE"""),"Big Hammer Wines : Monthly PPC")</f>
        <v>Big Hammer Wines : Monthly PPC</v>
      </c>
      <c r="B2788" s="223" t="str">
        <f>IFERROR(__xludf.DUMMYFUNCTION("""COMPUTED_VALUE"""),"Big Hammer Wines")</f>
        <v>Big Hammer Wines</v>
      </c>
      <c r="C2788" s="223" t="str">
        <f>IFERROR(__xludf.DUMMYFUNCTION("""COMPUTED_VALUE"""),"Monthly PPC")</f>
        <v>Monthly PPC</v>
      </c>
      <c r="D2788" s="316">
        <f>IFERROR(__xludf.DUMMYFUNCTION("""COMPUTED_VALUE"""),45107.0)</f>
        <v>45107</v>
      </c>
      <c r="E2788" s="298"/>
      <c r="F2788" s="298"/>
      <c r="G2788" s="298"/>
      <c r="H2788" s="223"/>
      <c r="I2788" s="298">
        <f>IFERROR(__xludf.DUMMYFUNCTION("""COMPUTED_VALUE"""),262.5)</f>
        <v>262.5</v>
      </c>
      <c r="J2788" s="223" t="str">
        <f>IFERROR(__xludf.DUMMYFUNCTION("""COMPUTED_VALUE"""),"Monthly")</f>
        <v>Monthly</v>
      </c>
      <c r="K2788" s="317">
        <f>IFERROR(__xludf.DUMMYFUNCTION("""COMPUTED_VALUE"""),2023.06)</f>
        <v>2023.06</v>
      </c>
      <c r="L2788" s="298"/>
      <c r="M2788" s="223"/>
      <c r="N2788" s="223"/>
      <c r="O2788" s="223"/>
      <c r="P2788" s="223"/>
      <c r="Q2788" s="223"/>
      <c r="R2788" s="223"/>
      <c r="S2788" s="223"/>
      <c r="T2788" s="223"/>
      <c r="U2788" s="223"/>
      <c r="V2788" s="223"/>
      <c r="W2788" s="223"/>
      <c r="X2788" s="223"/>
      <c r="Y2788" s="223"/>
      <c r="Z2788" s="223"/>
    </row>
    <row r="2789">
      <c r="A2789" s="223" t="str">
        <f>IFERROR(__xludf.DUMMYFUNCTION("""COMPUTED_VALUE"""),"PMDI : Monthly Services")</f>
        <v>PMDI : Monthly Services</v>
      </c>
      <c r="B2789" s="223" t="str">
        <f>IFERROR(__xludf.DUMMYFUNCTION("""COMPUTED_VALUE"""),"PMDI")</f>
        <v>PMDI</v>
      </c>
      <c r="C2789" s="223" t="str">
        <f>IFERROR(__xludf.DUMMYFUNCTION("""COMPUTED_VALUE"""),"Monthly Services")</f>
        <v>Monthly Services</v>
      </c>
      <c r="D2789" s="316">
        <f>IFERROR(__xludf.DUMMYFUNCTION("""COMPUTED_VALUE"""),45107.0)</f>
        <v>45107</v>
      </c>
      <c r="E2789" s="298"/>
      <c r="F2789" s="298"/>
      <c r="G2789" s="298"/>
      <c r="H2789" s="223"/>
      <c r="I2789" s="298">
        <f>IFERROR(__xludf.DUMMYFUNCTION("""COMPUTED_VALUE"""),150.0)</f>
        <v>150</v>
      </c>
      <c r="J2789" s="223" t="str">
        <f>IFERROR(__xludf.DUMMYFUNCTION("""COMPUTED_VALUE"""),"Monthly")</f>
        <v>Monthly</v>
      </c>
      <c r="K2789" s="317">
        <f>IFERROR(__xludf.DUMMYFUNCTION("""COMPUTED_VALUE"""),2023.06)</f>
        <v>2023.06</v>
      </c>
      <c r="L2789" s="298"/>
      <c r="M2789" s="223"/>
      <c r="N2789" s="223"/>
      <c r="O2789" s="223"/>
      <c r="P2789" s="223"/>
      <c r="Q2789" s="223"/>
      <c r="R2789" s="223"/>
      <c r="S2789" s="223"/>
      <c r="T2789" s="223"/>
      <c r="U2789" s="223"/>
      <c r="V2789" s="223"/>
      <c r="W2789" s="223"/>
      <c r="X2789" s="223"/>
      <c r="Y2789" s="223"/>
      <c r="Z2789" s="223"/>
    </row>
    <row r="2790">
      <c r="A2790" s="223" t="str">
        <f>IFERROR(__xludf.DUMMYFUNCTION("""COMPUTED_VALUE"""),"Anook Athletics : Monthly Services")</f>
        <v>Anook Athletics : Monthly Services</v>
      </c>
      <c r="B2790" s="223" t="str">
        <f>IFERROR(__xludf.DUMMYFUNCTION("""COMPUTED_VALUE"""),"Anook Athletics")</f>
        <v>Anook Athletics</v>
      </c>
      <c r="C2790" s="223" t="str">
        <f>IFERROR(__xludf.DUMMYFUNCTION("""COMPUTED_VALUE"""),"Monthly Services")</f>
        <v>Monthly Services</v>
      </c>
      <c r="D2790" s="316">
        <f>IFERROR(__xludf.DUMMYFUNCTION("""COMPUTED_VALUE"""),45107.0)</f>
        <v>45107</v>
      </c>
      <c r="E2790" s="298"/>
      <c r="F2790" s="298"/>
      <c r="G2790" s="298"/>
      <c r="H2790" s="223"/>
      <c r="I2790" s="298">
        <f>IFERROR(__xludf.DUMMYFUNCTION("""COMPUTED_VALUE"""),300.0)</f>
        <v>300</v>
      </c>
      <c r="J2790" s="223" t="str">
        <f>IFERROR(__xludf.DUMMYFUNCTION("""COMPUTED_VALUE"""),"Monthly")</f>
        <v>Monthly</v>
      </c>
      <c r="K2790" s="317">
        <f>IFERROR(__xludf.DUMMYFUNCTION("""COMPUTED_VALUE"""),2023.06)</f>
        <v>2023.06</v>
      </c>
      <c r="L2790" s="298"/>
      <c r="M2790" s="223"/>
      <c r="N2790" s="223"/>
      <c r="O2790" s="223"/>
      <c r="P2790" s="223"/>
      <c r="Q2790" s="223"/>
      <c r="R2790" s="223"/>
      <c r="S2790" s="223"/>
      <c r="T2790" s="223"/>
      <c r="U2790" s="223"/>
      <c r="V2790" s="223"/>
      <c r="W2790" s="223"/>
      <c r="X2790" s="223"/>
      <c r="Y2790" s="223"/>
      <c r="Z2790" s="223"/>
    </row>
    <row r="2791">
      <c r="A2791" s="223" t="str">
        <f>IFERROR(__xludf.DUMMYFUNCTION("""COMPUTED_VALUE"""),"Wallack's Art Supplies : Monthly Services")</f>
        <v>Wallack's Art Supplies : Monthly Services</v>
      </c>
      <c r="B2791" s="223" t="str">
        <f>IFERROR(__xludf.DUMMYFUNCTION("""COMPUTED_VALUE"""),"Wallack's Art Supplies")</f>
        <v>Wallack's Art Supplies</v>
      </c>
      <c r="C2791" s="223" t="str">
        <f>IFERROR(__xludf.DUMMYFUNCTION("""COMPUTED_VALUE"""),"Monthly Services")</f>
        <v>Monthly Services</v>
      </c>
      <c r="D2791" s="316">
        <f>IFERROR(__xludf.DUMMYFUNCTION("""COMPUTED_VALUE"""),45107.0)</f>
        <v>45107</v>
      </c>
      <c r="E2791" s="298"/>
      <c r="F2791" s="298"/>
      <c r="G2791" s="298"/>
      <c r="H2791" s="223"/>
      <c r="I2791" s="298">
        <f>IFERROR(__xludf.DUMMYFUNCTION("""COMPUTED_VALUE"""),287.5)</f>
        <v>287.5</v>
      </c>
      <c r="J2791" s="223" t="str">
        <f>IFERROR(__xludf.DUMMYFUNCTION("""COMPUTED_VALUE"""),"Monthly")</f>
        <v>Monthly</v>
      </c>
      <c r="K2791" s="317">
        <f>IFERROR(__xludf.DUMMYFUNCTION("""COMPUTED_VALUE"""),2023.06)</f>
        <v>2023.06</v>
      </c>
      <c r="L2791" s="298"/>
      <c r="M2791" s="223"/>
      <c r="N2791" s="223"/>
      <c r="O2791" s="223"/>
      <c r="P2791" s="223"/>
      <c r="Q2791" s="223"/>
      <c r="R2791" s="223"/>
      <c r="S2791" s="223"/>
      <c r="T2791" s="223"/>
      <c r="U2791" s="223"/>
      <c r="V2791" s="223"/>
      <c r="W2791" s="223"/>
      <c r="X2791" s="223"/>
      <c r="Y2791" s="223"/>
      <c r="Z2791" s="223"/>
    </row>
    <row r="2792">
      <c r="A2792" s="223" t="str">
        <f>IFERROR(__xludf.DUMMYFUNCTION("""COMPUTED_VALUE"""),"MortgagePal : Monthly Services")</f>
        <v>MortgagePal : Monthly Services</v>
      </c>
      <c r="B2792" s="223" t="str">
        <f>IFERROR(__xludf.DUMMYFUNCTION("""COMPUTED_VALUE"""),"MortgagePal")</f>
        <v>MortgagePal</v>
      </c>
      <c r="C2792" s="223" t="str">
        <f>IFERROR(__xludf.DUMMYFUNCTION("""COMPUTED_VALUE"""),"Monthly Services")</f>
        <v>Monthly Services</v>
      </c>
      <c r="D2792" s="316">
        <f>IFERROR(__xludf.DUMMYFUNCTION("""COMPUTED_VALUE"""),45107.0)</f>
        <v>45107</v>
      </c>
      <c r="E2792" s="298"/>
      <c r="F2792" s="298"/>
      <c r="G2792" s="298"/>
      <c r="H2792" s="223"/>
      <c r="I2792" s="298">
        <f>IFERROR(__xludf.DUMMYFUNCTION("""COMPUTED_VALUE"""),212.5)</f>
        <v>212.5</v>
      </c>
      <c r="J2792" s="223" t="str">
        <f>IFERROR(__xludf.DUMMYFUNCTION("""COMPUTED_VALUE"""),"Monthly")</f>
        <v>Monthly</v>
      </c>
      <c r="K2792" s="317">
        <f>IFERROR(__xludf.DUMMYFUNCTION("""COMPUTED_VALUE"""),2023.06)</f>
        <v>2023.06</v>
      </c>
      <c r="L2792" s="298"/>
      <c r="M2792" s="223"/>
      <c r="N2792" s="223"/>
      <c r="O2792" s="223"/>
      <c r="P2792" s="223"/>
      <c r="Q2792" s="223"/>
      <c r="R2792" s="223"/>
      <c r="S2792" s="223"/>
      <c r="T2792" s="223"/>
      <c r="U2792" s="223"/>
      <c r="V2792" s="223"/>
      <c r="W2792" s="223"/>
      <c r="X2792" s="223"/>
      <c r="Y2792" s="223"/>
      <c r="Z2792" s="223"/>
    </row>
    <row r="2793">
      <c r="A2793" s="223" t="str">
        <f>IFERROR(__xludf.DUMMYFUNCTION("""COMPUTED_VALUE"""),"Service First : Monthly Services")</f>
        <v>Service First : Monthly Services</v>
      </c>
      <c r="B2793" s="223" t="str">
        <f>IFERROR(__xludf.DUMMYFUNCTION("""COMPUTED_VALUE"""),"Service First")</f>
        <v>Service First</v>
      </c>
      <c r="C2793" s="223" t="str">
        <f>IFERROR(__xludf.DUMMYFUNCTION("""COMPUTED_VALUE"""),"Monthly Services")</f>
        <v>Monthly Services</v>
      </c>
      <c r="D2793" s="316">
        <f>IFERROR(__xludf.DUMMYFUNCTION("""COMPUTED_VALUE"""),45107.0)</f>
        <v>45107</v>
      </c>
      <c r="E2793" s="298"/>
      <c r="F2793" s="298"/>
      <c r="G2793" s="298"/>
      <c r="H2793" s="223"/>
      <c r="I2793" s="298">
        <f>IFERROR(__xludf.DUMMYFUNCTION("""COMPUTED_VALUE"""),137.5)</f>
        <v>137.5</v>
      </c>
      <c r="J2793" s="223" t="str">
        <f>IFERROR(__xludf.DUMMYFUNCTION("""COMPUTED_VALUE"""),"Monthly")</f>
        <v>Monthly</v>
      </c>
      <c r="K2793" s="317">
        <f>IFERROR(__xludf.DUMMYFUNCTION("""COMPUTED_VALUE"""),2023.06)</f>
        <v>2023.06</v>
      </c>
      <c r="L2793" s="298"/>
      <c r="M2793" s="223"/>
      <c r="N2793" s="223"/>
      <c r="O2793" s="223"/>
      <c r="P2793" s="223"/>
      <c r="Q2793" s="223"/>
      <c r="R2793" s="223"/>
      <c r="S2793" s="223"/>
      <c r="T2793" s="223"/>
      <c r="U2793" s="223"/>
      <c r="V2793" s="223"/>
      <c r="W2793" s="223"/>
      <c r="X2793" s="223"/>
      <c r="Y2793" s="223"/>
      <c r="Z2793" s="223"/>
    </row>
    <row r="2794">
      <c r="A2794" s="223" t="str">
        <f>IFERROR(__xludf.DUMMYFUNCTION("""COMPUTED_VALUE"""),"HSJ Lawyers : Monthly Services")</f>
        <v>HSJ Lawyers : Monthly Services</v>
      </c>
      <c r="B2794" s="223" t="str">
        <f>IFERROR(__xludf.DUMMYFUNCTION("""COMPUTED_VALUE"""),"HSJ Lawyers")</f>
        <v>HSJ Lawyers</v>
      </c>
      <c r="C2794" s="223" t="str">
        <f>IFERROR(__xludf.DUMMYFUNCTION("""COMPUTED_VALUE"""),"Monthly Services")</f>
        <v>Monthly Services</v>
      </c>
      <c r="D2794" s="316">
        <f>IFERROR(__xludf.DUMMYFUNCTION("""COMPUTED_VALUE"""),45107.0)</f>
        <v>45107</v>
      </c>
      <c r="E2794" s="298"/>
      <c r="F2794" s="298"/>
      <c r="G2794" s="298"/>
      <c r="H2794" s="223"/>
      <c r="I2794" s="298">
        <f>IFERROR(__xludf.DUMMYFUNCTION("""COMPUTED_VALUE"""),262.5)</f>
        <v>262.5</v>
      </c>
      <c r="J2794" s="223" t="str">
        <f>IFERROR(__xludf.DUMMYFUNCTION("""COMPUTED_VALUE"""),"Monthly")</f>
        <v>Monthly</v>
      </c>
      <c r="K2794" s="317">
        <f>IFERROR(__xludf.DUMMYFUNCTION("""COMPUTED_VALUE"""),2023.06)</f>
        <v>2023.06</v>
      </c>
      <c r="L2794" s="298"/>
      <c r="M2794" s="223"/>
      <c r="N2794" s="223"/>
      <c r="O2794" s="223"/>
      <c r="P2794" s="223"/>
      <c r="Q2794" s="223"/>
      <c r="R2794" s="223"/>
      <c r="S2794" s="223"/>
      <c r="T2794" s="223"/>
      <c r="U2794" s="223"/>
      <c r="V2794" s="223"/>
      <c r="W2794" s="223"/>
      <c r="X2794" s="223"/>
      <c r="Y2794" s="223"/>
      <c r="Z2794" s="223"/>
    </row>
    <row r="2795">
      <c r="A2795" s="223" t="str">
        <f>IFERROR(__xludf.DUMMYFUNCTION("""COMPUTED_VALUE"""),"Spraggs : Monthly Services")</f>
        <v>Spraggs : Monthly Services</v>
      </c>
      <c r="B2795" s="223" t="str">
        <f>IFERROR(__xludf.DUMMYFUNCTION("""COMPUTED_VALUE"""),"Spraggs")</f>
        <v>Spraggs</v>
      </c>
      <c r="C2795" s="223" t="str">
        <f>IFERROR(__xludf.DUMMYFUNCTION("""COMPUTED_VALUE"""),"Monthly Services")</f>
        <v>Monthly Services</v>
      </c>
      <c r="D2795" s="316">
        <f>IFERROR(__xludf.DUMMYFUNCTION("""COMPUTED_VALUE"""),45107.0)</f>
        <v>45107</v>
      </c>
      <c r="E2795" s="298"/>
      <c r="F2795" s="298"/>
      <c r="G2795" s="298"/>
      <c r="H2795" s="223"/>
      <c r="I2795" s="298">
        <f>IFERROR(__xludf.DUMMYFUNCTION("""COMPUTED_VALUE"""),300.0)</f>
        <v>300</v>
      </c>
      <c r="J2795" s="223" t="str">
        <f>IFERROR(__xludf.DUMMYFUNCTION("""COMPUTED_VALUE"""),"Monthly")</f>
        <v>Monthly</v>
      </c>
      <c r="K2795" s="317">
        <f>IFERROR(__xludf.DUMMYFUNCTION("""COMPUTED_VALUE"""),2023.06)</f>
        <v>2023.06</v>
      </c>
      <c r="L2795" s="298"/>
      <c r="M2795" s="223"/>
      <c r="N2795" s="223"/>
      <c r="O2795" s="223"/>
      <c r="P2795" s="223"/>
      <c r="Q2795" s="223"/>
      <c r="R2795" s="223"/>
      <c r="S2795" s="223"/>
      <c r="T2795" s="223"/>
      <c r="U2795" s="223"/>
      <c r="V2795" s="223"/>
      <c r="W2795" s="223"/>
      <c r="X2795" s="223"/>
      <c r="Y2795" s="223"/>
      <c r="Z2795" s="223"/>
    </row>
    <row r="2796">
      <c r="A2796" s="223" t="str">
        <f>IFERROR(__xludf.DUMMYFUNCTION("""COMPUTED_VALUE"""),"Crisp Media : Monthly Genus Google PPC Mgmt")</f>
        <v>Crisp Media : Monthly Genus Google PPC Mgmt</v>
      </c>
      <c r="B2796" s="223" t="str">
        <f>IFERROR(__xludf.DUMMYFUNCTION("""COMPUTED_VALUE"""),"Crisp Media")</f>
        <v>Crisp Media</v>
      </c>
      <c r="C2796" s="223" t="str">
        <f>IFERROR(__xludf.DUMMYFUNCTION("""COMPUTED_VALUE"""),"Monthly Genus Google PPC Mgmt")</f>
        <v>Monthly Genus Google PPC Mgmt</v>
      </c>
      <c r="D2796" s="316">
        <f>IFERROR(__xludf.DUMMYFUNCTION("""COMPUTED_VALUE"""),45107.0)</f>
        <v>45107</v>
      </c>
      <c r="E2796" s="298"/>
      <c r="F2796" s="298"/>
      <c r="G2796" s="298"/>
      <c r="H2796" s="223"/>
      <c r="I2796" s="298">
        <f>IFERROR(__xludf.DUMMYFUNCTION("""COMPUTED_VALUE"""),175.0)</f>
        <v>175</v>
      </c>
      <c r="J2796" s="223" t="str">
        <f>IFERROR(__xludf.DUMMYFUNCTION("""COMPUTED_VALUE"""),"Monthly")</f>
        <v>Monthly</v>
      </c>
      <c r="K2796" s="317">
        <f>IFERROR(__xludf.DUMMYFUNCTION("""COMPUTED_VALUE"""),2023.06)</f>
        <v>2023.06</v>
      </c>
      <c r="L2796" s="298"/>
      <c r="M2796" s="223"/>
      <c r="N2796" s="223"/>
      <c r="O2796" s="223"/>
      <c r="P2796" s="223"/>
      <c r="Q2796" s="223"/>
      <c r="R2796" s="223"/>
      <c r="S2796" s="223"/>
      <c r="T2796" s="223"/>
      <c r="U2796" s="223"/>
      <c r="V2796" s="223"/>
      <c r="W2796" s="223"/>
      <c r="X2796" s="223"/>
      <c r="Y2796" s="223"/>
      <c r="Z2796" s="223"/>
    </row>
    <row r="2797">
      <c r="A2797" s="223" t="str">
        <f>IFERROR(__xludf.DUMMYFUNCTION("""COMPUTED_VALUE"""),"Terra Insights : Monthly PPC")</f>
        <v>Terra Insights : Monthly PPC</v>
      </c>
      <c r="B2797" s="223" t="str">
        <f>IFERROR(__xludf.DUMMYFUNCTION("""COMPUTED_VALUE"""),"Terra Insights")</f>
        <v>Terra Insights</v>
      </c>
      <c r="C2797" s="223" t="str">
        <f>IFERROR(__xludf.DUMMYFUNCTION("""COMPUTED_VALUE"""),"Monthly PPC")</f>
        <v>Monthly PPC</v>
      </c>
      <c r="D2797" s="316">
        <f>IFERROR(__xludf.DUMMYFUNCTION("""COMPUTED_VALUE"""),45107.0)</f>
        <v>45107</v>
      </c>
      <c r="E2797" s="298"/>
      <c r="F2797" s="298"/>
      <c r="G2797" s="298"/>
      <c r="H2797" s="223"/>
      <c r="I2797" s="298">
        <f>IFERROR(__xludf.DUMMYFUNCTION("""COMPUTED_VALUE"""),450.0)</f>
        <v>450</v>
      </c>
      <c r="J2797" s="223" t="str">
        <f>IFERROR(__xludf.DUMMYFUNCTION("""COMPUTED_VALUE"""),"Monthly")</f>
        <v>Monthly</v>
      </c>
      <c r="K2797" s="317">
        <f>IFERROR(__xludf.DUMMYFUNCTION("""COMPUTED_VALUE"""),2023.06)</f>
        <v>2023.06</v>
      </c>
      <c r="L2797" s="298"/>
      <c r="M2797" s="223"/>
      <c r="N2797" s="223"/>
      <c r="O2797" s="223"/>
      <c r="P2797" s="223"/>
      <c r="Q2797" s="223"/>
      <c r="R2797" s="223"/>
      <c r="S2797" s="223"/>
      <c r="T2797" s="223"/>
      <c r="U2797" s="223"/>
      <c r="V2797" s="223"/>
      <c r="W2797" s="223"/>
      <c r="X2797" s="223"/>
      <c r="Y2797" s="223"/>
      <c r="Z2797" s="223"/>
    </row>
    <row r="2798">
      <c r="A2798" s="223" t="str">
        <f>IFERROR(__xludf.DUMMYFUNCTION("""COMPUTED_VALUE"""),"PlusROI : Marketing")</f>
        <v>PlusROI : Marketing</v>
      </c>
      <c r="B2798" s="223" t="str">
        <f>IFERROR(__xludf.DUMMYFUNCTION("""COMPUTED_VALUE"""),"PlusROI")</f>
        <v>PlusROI</v>
      </c>
      <c r="C2798" s="223" t="str">
        <f>IFERROR(__xludf.DUMMYFUNCTION("""COMPUTED_VALUE"""),"Marketing")</f>
        <v>Marketing</v>
      </c>
      <c r="D2798" s="316">
        <f>IFERROR(__xludf.DUMMYFUNCTION("""COMPUTED_VALUE"""),45107.0)</f>
        <v>45107</v>
      </c>
      <c r="E2798" s="298"/>
      <c r="F2798" s="298"/>
      <c r="G2798" s="298"/>
      <c r="H2798" s="223"/>
      <c r="I2798" s="298">
        <f>IFERROR(__xludf.DUMMYFUNCTION("""COMPUTED_VALUE"""),256.0)</f>
        <v>256</v>
      </c>
      <c r="J2798" s="223" t="str">
        <f>IFERROR(__xludf.DUMMYFUNCTION("""COMPUTED_VALUE"""),"Hourly")</f>
        <v>Hourly</v>
      </c>
      <c r="K2798" s="317">
        <f>IFERROR(__xludf.DUMMYFUNCTION("""COMPUTED_VALUE"""),2023.0)</f>
        <v>2023</v>
      </c>
      <c r="L2798" s="298"/>
      <c r="M2798" s="223"/>
      <c r="N2798" s="223"/>
      <c r="O2798" s="223"/>
      <c r="P2798" s="223"/>
      <c r="Q2798" s="223"/>
      <c r="R2798" s="223"/>
      <c r="S2798" s="223"/>
      <c r="T2798" s="223"/>
      <c r="U2798" s="223"/>
      <c r="V2798" s="223"/>
      <c r="W2798" s="223"/>
      <c r="X2798" s="223"/>
      <c r="Y2798" s="223"/>
      <c r="Z2798" s="223"/>
    </row>
    <row r="2799">
      <c r="A2799" s="223" t="str">
        <f>IFERROR(__xludf.DUMMYFUNCTION("""COMPUTED_VALUE"""),"Booginhead : Monthly Services")</f>
        <v>Booginhead : Monthly Services</v>
      </c>
      <c r="B2799" s="223" t="str">
        <f>IFERROR(__xludf.DUMMYFUNCTION("""COMPUTED_VALUE"""),"Booginhead")</f>
        <v>Booginhead</v>
      </c>
      <c r="C2799" s="223" t="str">
        <f>IFERROR(__xludf.DUMMYFUNCTION("""COMPUTED_VALUE"""),"Monthly Services")</f>
        <v>Monthly Services</v>
      </c>
      <c r="D2799" s="316">
        <f>IFERROR(__xludf.DUMMYFUNCTION("""COMPUTED_VALUE"""),45107.0)</f>
        <v>45107</v>
      </c>
      <c r="E2799" s="298"/>
      <c r="F2799" s="298"/>
      <c r="G2799" s="298"/>
      <c r="H2799" s="223"/>
      <c r="I2799" s="298">
        <f>IFERROR(__xludf.DUMMYFUNCTION("""COMPUTED_VALUE"""),400.0)</f>
        <v>400</v>
      </c>
      <c r="J2799" s="223" t="str">
        <f>IFERROR(__xludf.DUMMYFUNCTION("""COMPUTED_VALUE"""),"Monthly")</f>
        <v>Monthly</v>
      </c>
      <c r="K2799" s="317">
        <f>IFERROR(__xludf.DUMMYFUNCTION("""COMPUTED_VALUE"""),2023.06)</f>
        <v>2023.06</v>
      </c>
      <c r="L2799" s="298"/>
      <c r="M2799" s="223"/>
      <c r="N2799" s="223"/>
      <c r="O2799" s="223"/>
      <c r="P2799" s="223"/>
      <c r="Q2799" s="223"/>
      <c r="R2799" s="223"/>
      <c r="S2799" s="223"/>
      <c r="T2799" s="223"/>
      <c r="U2799" s="223"/>
      <c r="V2799" s="223"/>
      <c r="W2799" s="223"/>
      <c r="X2799" s="223"/>
      <c r="Y2799" s="223"/>
      <c r="Z2799" s="223"/>
    </row>
    <row r="2800">
      <c r="A2800" s="223" t="str">
        <f>IFERROR(__xludf.DUMMYFUNCTION("""COMPUTED_VALUE"""),"Hastings House : Monthly Services")</f>
        <v>Hastings House : Monthly Services</v>
      </c>
      <c r="B2800" s="223" t="str">
        <f>IFERROR(__xludf.DUMMYFUNCTION("""COMPUTED_VALUE"""),"Hastings House")</f>
        <v>Hastings House</v>
      </c>
      <c r="C2800" s="223" t="str">
        <f>IFERROR(__xludf.DUMMYFUNCTION("""COMPUTED_VALUE"""),"Monthly Services")</f>
        <v>Monthly Services</v>
      </c>
      <c r="D2800" s="316">
        <f>IFERROR(__xludf.DUMMYFUNCTION("""COMPUTED_VALUE"""),45107.0)</f>
        <v>45107</v>
      </c>
      <c r="E2800" s="298"/>
      <c r="F2800" s="298"/>
      <c r="G2800" s="298"/>
      <c r="H2800" s="223"/>
      <c r="I2800" s="298">
        <f>IFERROR(__xludf.DUMMYFUNCTION("""COMPUTED_VALUE"""),287.5)</f>
        <v>287.5</v>
      </c>
      <c r="J2800" s="223" t="str">
        <f>IFERROR(__xludf.DUMMYFUNCTION("""COMPUTED_VALUE"""),"Monthly")</f>
        <v>Monthly</v>
      </c>
      <c r="K2800" s="317">
        <f>IFERROR(__xludf.DUMMYFUNCTION("""COMPUTED_VALUE"""),2023.06)</f>
        <v>2023.06</v>
      </c>
      <c r="L2800" s="298"/>
      <c r="M2800" s="223"/>
      <c r="N2800" s="223"/>
      <c r="O2800" s="223"/>
      <c r="P2800" s="223"/>
      <c r="Q2800" s="223"/>
      <c r="R2800" s="223"/>
      <c r="S2800" s="223"/>
      <c r="T2800" s="223"/>
      <c r="U2800" s="223"/>
      <c r="V2800" s="223"/>
      <c r="W2800" s="223"/>
      <c r="X2800" s="223"/>
      <c r="Y2800" s="223"/>
      <c r="Z2800" s="223"/>
    </row>
    <row r="2801">
      <c r="A2801" s="223" t="str">
        <f>IFERROR(__xludf.DUMMYFUNCTION("""COMPUTED_VALUE"""),"Howard Fine Jewellers : Ongoing PPC and SEO Support")</f>
        <v>Howard Fine Jewellers : Ongoing PPC and SEO Support</v>
      </c>
      <c r="B2801" s="223" t="str">
        <f>IFERROR(__xludf.DUMMYFUNCTION("""COMPUTED_VALUE"""),"Howard Fine Jewellers")</f>
        <v>Howard Fine Jewellers</v>
      </c>
      <c r="C2801" s="223" t="str">
        <f>IFERROR(__xludf.DUMMYFUNCTION("""COMPUTED_VALUE"""),"Ongoing PPC and SEO Support")</f>
        <v>Ongoing PPC and SEO Support</v>
      </c>
      <c r="D2801" s="316">
        <f>IFERROR(__xludf.DUMMYFUNCTION("""COMPUTED_VALUE"""),45107.0)</f>
        <v>45107</v>
      </c>
      <c r="E2801" s="298"/>
      <c r="F2801" s="298"/>
      <c r="G2801" s="298"/>
      <c r="H2801" s="223"/>
      <c r="I2801" s="298">
        <f>IFERROR(__xludf.DUMMYFUNCTION("""COMPUTED_VALUE"""),200.0)</f>
        <v>200</v>
      </c>
      <c r="J2801" s="223" t="str">
        <f>IFERROR(__xludf.DUMMYFUNCTION("""COMPUTED_VALUE"""),"Monthly")</f>
        <v>Monthly</v>
      </c>
      <c r="K2801" s="317">
        <f>IFERROR(__xludf.DUMMYFUNCTION("""COMPUTED_VALUE"""),2023.06)</f>
        <v>2023.06</v>
      </c>
      <c r="L2801" s="298"/>
      <c r="M2801" s="223"/>
      <c r="N2801" s="223"/>
      <c r="O2801" s="223"/>
      <c r="P2801" s="223"/>
      <c r="Q2801" s="223"/>
      <c r="R2801" s="223"/>
      <c r="S2801" s="223"/>
      <c r="T2801" s="223"/>
      <c r="U2801" s="223"/>
      <c r="V2801" s="223"/>
      <c r="W2801" s="223"/>
      <c r="X2801" s="223"/>
      <c r="Y2801" s="223"/>
      <c r="Z2801" s="223"/>
    </row>
    <row r="2802">
      <c r="A2802" s="223" t="str">
        <f>IFERROR(__xludf.DUMMYFUNCTION("""COMPUTED_VALUE"""),"Luxe Bridal LLC : Monthly PPC")</f>
        <v>Luxe Bridal LLC : Monthly PPC</v>
      </c>
      <c r="B2802" s="223" t="str">
        <f>IFERROR(__xludf.DUMMYFUNCTION("""COMPUTED_VALUE"""),"Luxe Bridal LLC")</f>
        <v>Luxe Bridal LLC</v>
      </c>
      <c r="C2802" s="223" t="str">
        <f>IFERROR(__xludf.DUMMYFUNCTION("""COMPUTED_VALUE"""),"Monthly PPC")</f>
        <v>Monthly PPC</v>
      </c>
      <c r="D2802" s="316">
        <f>IFERROR(__xludf.DUMMYFUNCTION("""COMPUTED_VALUE"""),45107.0)</f>
        <v>45107</v>
      </c>
      <c r="E2802" s="298"/>
      <c r="F2802" s="298"/>
      <c r="G2802" s="298"/>
      <c r="H2802" s="223"/>
      <c r="I2802" s="298">
        <f>IFERROR(__xludf.DUMMYFUNCTION("""COMPUTED_VALUE"""),70.0)</f>
        <v>70</v>
      </c>
      <c r="J2802" s="223" t="str">
        <f>IFERROR(__xludf.DUMMYFUNCTION("""COMPUTED_VALUE"""),"Monthly")</f>
        <v>Monthly</v>
      </c>
      <c r="K2802" s="317">
        <f>IFERROR(__xludf.DUMMYFUNCTION("""COMPUTED_VALUE"""),2023.06)</f>
        <v>2023.06</v>
      </c>
      <c r="L2802" s="298"/>
      <c r="M2802" s="223"/>
      <c r="N2802" s="223"/>
      <c r="O2802" s="223"/>
      <c r="P2802" s="223"/>
      <c r="Q2802" s="223"/>
      <c r="R2802" s="223"/>
      <c r="S2802" s="223"/>
      <c r="T2802" s="223"/>
      <c r="U2802" s="223"/>
      <c r="V2802" s="223"/>
      <c r="W2802" s="223"/>
      <c r="X2802" s="223"/>
      <c r="Y2802" s="223"/>
      <c r="Z2802" s="223"/>
    </row>
    <row r="2803">
      <c r="A2803" s="223" t="str">
        <f>IFERROR(__xludf.DUMMYFUNCTION("""COMPUTED_VALUE"""),"Luxe Bridal LLC (LJM) : Monthly PPC")</f>
        <v>Luxe Bridal LLC (LJM) : Monthly PPC</v>
      </c>
      <c r="B2803" s="223" t="str">
        <f>IFERROR(__xludf.DUMMYFUNCTION("""COMPUTED_VALUE"""),"Luxe Bridal LLC (LJM)")</f>
        <v>Luxe Bridal LLC (LJM)</v>
      </c>
      <c r="C2803" s="223" t="str">
        <f>IFERROR(__xludf.DUMMYFUNCTION("""COMPUTED_VALUE"""),"Monthly PPC")</f>
        <v>Monthly PPC</v>
      </c>
      <c r="D2803" s="316">
        <f>IFERROR(__xludf.DUMMYFUNCTION("""COMPUTED_VALUE"""),45107.0)</f>
        <v>45107</v>
      </c>
      <c r="E2803" s="298"/>
      <c r="F2803" s="298"/>
      <c r="G2803" s="298"/>
      <c r="H2803" s="223"/>
      <c r="I2803" s="298">
        <f>IFERROR(__xludf.DUMMYFUNCTION("""COMPUTED_VALUE"""),30.0)</f>
        <v>30</v>
      </c>
      <c r="J2803" s="223" t="str">
        <f>IFERROR(__xludf.DUMMYFUNCTION("""COMPUTED_VALUE"""),"Monthly")</f>
        <v>Monthly</v>
      </c>
      <c r="K2803" s="317">
        <f>IFERROR(__xludf.DUMMYFUNCTION("""COMPUTED_VALUE"""),2023.06)</f>
        <v>2023.06</v>
      </c>
      <c r="L2803" s="298"/>
      <c r="M2803" s="223"/>
      <c r="N2803" s="223"/>
      <c r="O2803" s="223"/>
      <c r="P2803" s="223"/>
      <c r="Q2803" s="223"/>
      <c r="R2803" s="223"/>
      <c r="S2803" s="223"/>
      <c r="T2803" s="223"/>
      <c r="U2803" s="223"/>
      <c r="V2803" s="223"/>
      <c r="W2803" s="223"/>
      <c r="X2803" s="223"/>
      <c r="Y2803" s="223"/>
      <c r="Z2803" s="223"/>
    </row>
    <row r="2804">
      <c r="A2804" s="223" t="str">
        <f>IFERROR(__xludf.DUMMYFUNCTION("""COMPUTED_VALUE"""),"Luxe Bridal LLC : Monthly PPC")</f>
        <v>Luxe Bridal LLC : Monthly PPC</v>
      </c>
      <c r="B2804" s="223" t="str">
        <f>IFERROR(__xludf.DUMMYFUNCTION("""COMPUTED_VALUE"""),"Luxe Bridal LLC")</f>
        <v>Luxe Bridal LLC</v>
      </c>
      <c r="C2804" s="223" t="str">
        <f>IFERROR(__xludf.DUMMYFUNCTION("""COMPUTED_VALUE"""),"Monthly PPC")</f>
        <v>Monthly PPC</v>
      </c>
      <c r="D2804" s="316">
        <f>IFERROR(__xludf.DUMMYFUNCTION("""COMPUTED_VALUE"""),45107.0)</f>
        <v>45107</v>
      </c>
      <c r="E2804" s="298"/>
      <c r="F2804" s="298"/>
      <c r="G2804" s="298"/>
      <c r="H2804" s="223"/>
      <c r="I2804" s="298">
        <f>IFERROR(__xludf.DUMMYFUNCTION("""COMPUTED_VALUE"""),350.0)</f>
        <v>350</v>
      </c>
      <c r="J2804" s="223" t="str">
        <f>IFERROR(__xludf.DUMMYFUNCTION("""COMPUTED_VALUE"""),"Monthly")</f>
        <v>Monthly</v>
      </c>
      <c r="K2804" s="317">
        <f>IFERROR(__xludf.DUMMYFUNCTION("""COMPUTED_VALUE"""),2023.06)</f>
        <v>2023.06</v>
      </c>
      <c r="L2804" s="298"/>
      <c r="M2804" s="223"/>
      <c r="N2804" s="223"/>
      <c r="O2804" s="223"/>
      <c r="P2804" s="223"/>
      <c r="Q2804" s="223"/>
      <c r="R2804" s="223"/>
      <c r="S2804" s="223"/>
      <c r="T2804" s="223"/>
      <c r="U2804" s="223"/>
      <c r="V2804" s="223"/>
      <c r="W2804" s="223"/>
      <c r="X2804" s="223"/>
      <c r="Y2804" s="223"/>
      <c r="Z2804" s="223"/>
    </row>
    <row r="2805">
      <c r="A2805" s="223" t="str">
        <f>IFERROR(__xludf.DUMMYFUNCTION("""COMPUTED_VALUE"""),"Luxe Bridal LLC (LJM) : Monthly PPC")</f>
        <v>Luxe Bridal LLC (LJM) : Monthly PPC</v>
      </c>
      <c r="B2805" s="223" t="str">
        <f>IFERROR(__xludf.DUMMYFUNCTION("""COMPUTED_VALUE"""),"Luxe Bridal LLC (LJM)")</f>
        <v>Luxe Bridal LLC (LJM)</v>
      </c>
      <c r="C2805" s="223" t="str">
        <f>IFERROR(__xludf.DUMMYFUNCTION("""COMPUTED_VALUE"""),"Monthly PPC")</f>
        <v>Monthly PPC</v>
      </c>
      <c r="D2805" s="316">
        <f>IFERROR(__xludf.DUMMYFUNCTION("""COMPUTED_VALUE"""),45107.0)</f>
        <v>45107</v>
      </c>
      <c r="E2805" s="298"/>
      <c r="F2805" s="298"/>
      <c r="G2805" s="298"/>
      <c r="H2805" s="223"/>
      <c r="I2805" s="298">
        <f>IFERROR(__xludf.DUMMYFUNCTION("""COMPUTED_VALUE"""),150.0)</f>
        <v>150</v>
      </c>
      <c r="J2805" s="223" t="str">
        <f>IFERROR(__xludf.DUMMYFUNCTION("""COMPUTED_VALUE"""),"Monthly")</f>
        <v>Monthly</v>
      </c>
      <c r="K2805" s="317">
        <f>IFERROR(__xludf.DUMMYFUNCTION("""COMPUTED_VALUE"""),2023.06)</f>
        <v>2023.06</v>
      </c>
      <c r="L2805" s="298"/>
      <c r="M2805" s="223"/>
      <c r="N2805" s="223"/>
      <c r="O2805" s="223"/>
      <c r="P2805" s="223"/>
      <c r="Q2805" s="223"/>
      <c r="R2805" s="223"/>
      <c r="S2805" s="223"/>
      <c r="T2805" s="223"/>
      <c r="U2805" s="223"/>
      <c r="V2805" s="223"/>
      <c r="W2805" s="223"/>
      <c r="X2805" s="223"/>
      <c r="Y2805" s="223"/>
      <c r="Z2805" s="223"/>
    </row>
    <row r="2806">
      <c r="A2806" s="223" t="str">
        <f>IFERROR(__xludf.DUMMYFUNCTION("""COMPUTED_VALUE"""),"GreenLane Offroad : Monthly Ads Support")</f>
        <v>GreenLane Offroad : Monthly Ads Support</v>
      </c>
      <c r="B2806" s="223" t="str">
        <f>IFERROR(__xludf.DUMMYFUNCTION("""COMPUTED_VALUE"""),"GreenLane Offroad")</f>
        <v>GreenLane Offroad</v>
      </c>
      <c r="C2806" s="223" t="str">
        <f>IFERROR(__xludf.DUMMYFUNCTION("""COMPUTED_VALUE"""),"Monthly Ads Support")</f>
        <v>Monthly Ads Support</v>
      </c>
      <c r="D2806" s="316">
        <f>IFERROR(__xludf.DUMMYFUNCTION("""COMPUTED_VALUE"""),45107.0)</f>
        <v>45107</v>
      </c>
      <c r="E2806" s="298"/>
      <c r="F2806" s="298"/>
      <c r="G2806" s="298"/>
      <c r="H2806" s="223"/>
      <c r="I2806" s="298">
        <f>IFERROR(__xludf.DUMMYFUNCTION("""COMPUTED_VALUE"""),362.5)</f>
        <v>362.5</v>
      </c>
      <c r="J2806" s="223" t="str">
        <f>IFERROR(__xludf.DUMMYFUNCTION("""COMPUTED_VALUE"""),"Monthly")</f>
        <v>Monthly</v>
      </c>
      <c r="K2806" s="317">
        <f>IFERROR(__xludf.DUMMYFUNCTION("""COMPUTED_VALUE"""),2023.06)</f>
        <v>2023.06</v>
      </c>
      <c r="L2806" s="298"/>
      <c r="M2806" s="223"/>
      <c r="N2806" s="223"/>
      <c r="O2806" s="223"/>
      <c r="P2806" s="223"/>
      <c r="Q2806" s="223"/>
      <c r="R2806" s="223"/>
      <c r="S2806" s="223"/>
      <c r="T2806" s="223"/>
      <c r="U2806" s="223"/>
      <c r="V2806" s="223"/>
      <c r="W2806" s="223"/>
      <c r="X2806" s="223"/>
      <c r="Y2806" s="223"/>
      <c r="Z2806" s="223"/>
    </row>
    <row r="2807">
      <c r="A2807" s="223" t="str">
        <f>IFERROR(__xludf.DUMMYFUNCTION("""COMPUTED_VALUE"""),"Ultimate Tools : Monthly SEO &amp; PPC Management")</f>
        <v>Ultimate Tools : Monthly SEO &amp; PPC Management</v>
      </c>
      <c r="B2807" s="223" t="str">
        <f>IFERROR(__xludf.DUMMYFUNCTION("""COMPUTED_VALUE"""),"Ultimate Tools")</f>
        <v>Ultimate Tools</v>
      </c>
      <c r="C2807" s="223" t="str">
        <f>IFERROR(__xludf.DUMMYFUNCTION("""COMPUTED_VALUE"""),"Monthly SEO &amp; PPC Management")</f>
        <v>Monthly SEO &amp; PPC Management</v>
      </c>
      <c r="D2807" s="316">
        <f>IFERROR(__xludf.DUMMYFUNCTION("""COMPUTED_VALUE"""),45107.0)</f>
        <v>45107</v>
      </c>
      <c r="E2807" s="298"/>
      <c r="F2807" s="298"/>
      <c r="G2807" s="298"/>
      <c r="H2807" s="223"/>
      <c r="I2807" s="298">
        <f>IFERROR(__xludf.DUMMYFUNCTION("""COMPUTED_VALUE"""),550.0)</f>
        <v>550</v>
      </c>
      <c r="J2807" s="223" t="str">
        <f>IFERROR(__xludf.DUMMYFUNCTION("""COMPUTED_VALUE"""),"Monthly")</f>
        <v>Monthly</v>
      </c>
      <c r="K2807" s="317">
        <f>IFERROR(__xludf.DUMMYFUNCTION("""COMPUTED_VALUE"""),2023.06)</f>
        <v>2023.06</v>
      </c>
      <c r="L2807" s="298"/>
      <c r="M2807" s="223"/>
      <c r="N2807" s="223"/>
      <c r="O2807" s="223"/>
      <c r="P2807" s="223"/>
      <c r="Q2807" s="223"/>
      <c r="R2807" s="223"/>
      <c r="S2807" s="223"/>
      <c r="T2807" s="223"/>
      <c r="U2807" s="223"/>
      <c r="V2807" s="223"/>
      <c r="W2807" s="223"/>
      <c r="X2807" s="223"/>
      <c r="Y2807" s="223"/>
      <c r="Z2807" s="223"/>
    </row>
    <row r="2808">
      <c r="A2808" s="223" t="str">
        <f>IFERROR(__xludf.DUMMYFUNCTION("""COMPUTED_VALUE"""),"PlusROI : Marketing")</f>
        <v>PlusROI : Marketing</v>
      </c>
      <c r="B2808" s="223" t="str">
        <f>IFERROR(__xludf.DUMMYFUNCTION("""COMPUTED_VALUE"""),"PlusROI")</f>
        <v>PlusROI</v>
      </c>
      <c r="C2808" s="223" t="str">
        <f>IFERROR(__xludf.DUMMYFUNCTION("""COMPUTED_VALUE"""),"Marketing")</f>
        <v>Marketing</v>
      </c>
      <c r="D2808" s="316">
        <f>IFERROR(__xludf.DUMMYFUNCTION("""COMPUTED_VALUE"""),45107.0)</f>
        <v>45107</v>
      </c>
      <c r="E2808" s="298"/>
      <c r="F2808" s="298"/>
      <c r="G2808" s="298"/>
      <c r="H2808" s="223"/>
      <c r="I2808" s="298">
        <f>IFERROR(__xludf.DUMMYFUNCTION("""COMPUTED_VALUE"""),110.0)</f>
        <v>110</v>
      </c>
      <c r="J2808" s="223" t="str">
        <f>IFERROR(__xludf.DUMMYFUNCTION("""COMPUTED_VALUE"""),"Hourly")</f>
        <v>Hourly</v>
      </c>
      <c r="K2808" s="317">
        <f>IFERROR(__xludf.DUMMYFUNCTION("""COMPUTED_VALUE"""),2023.0)</f>
        <v>2023</v>
      </c>
      <c r="L2808" s="298"/>
      <c r="M2808" s="223"/>
      <c r="N2808" s="223"/>
      <c r="O2808" s="223"/>
      <c r="P2808" s="223"/>
      <c r="Q2808" s="223"/>
      <c r="R2808" s="223"/>
      <c r="S2808" s="223"/>
      <c r="T2808" s="223"/>
      <c r="U2808" s="223"/>
      <c r="V2808" s="223"/>
      <c r="W2808" s="223"/>
      <c r="X2808" s="223"/>
      <c r="Y2808" s="223"/>
      <c r="Z2808" s="223"/>
    </row>
    <row r="2809">
      <c r="A2809" s="223" t="str">
        <f>IFERROR(__xludf.DUMMYFUNCTION("""COMPUTED_VALUE"""),"Spraggs : Monthly Services")</f>
        <v>Spraggs : Monthly Services</v>
      </c>
      <c r="B2809" s="223" t="str">
        <f>IFERROR(__xludf.DUMMYFUNCTION("""COMPUTED_VALUE"""),"Spraggs")</f>
        <v>Spraggs</v>
      </c>
      <c r="C2809" s="223" t="str">
        <f>IFERROR(__xludf.DUMMYFUNCTION("""COMPUTED_VALUE"""),"Monthly Services")</f>
        <v>Monthly Services</v>
      </c>
      <c r="D2809" s="316">
        <f>IFERROR(__xludf.DUMMYFUNCTION("""COMPUTED_VALUE"""),45107.0)</f>
        <v>45107</v>
      </c>
      <c r="E2809" s="298"/>
      <c r="F2809" s="298"/>
      <c r="G2809" s="298"/>
      <c r="H2809" s="223"/>
      <c r="I2809" s="298">
        <f>IFERROR(__xludf.DUMMYFUNCTION("""COMPUTED_VALUE"""),275.0)</f>
        <v>275</v>
      </c>
      <c r="J2809" s="223" t="str">
        <f>IFERROR(__xludf.DUMMYFUNCTION("""COMPUTED_VALUE"""),"Monthly")</f>
        <v>Monthly</v>
      </c>
      <c r="K2809" s="317">
        <f>IFERROR(__xludf.DUMMYFUNCTION("""COMPUTED_VALUE"""),2023.06)</f>
        <v>2023.06</v>
      </c>
      <c r="L2809" s="298"/>
      <c r="M2809" s="223"/>
      <c r="N2809" s="223"/>
      <c r="O2809" s="223"/>
      <c r="P2809" s="223"/>
      <c r="Q2809" s="223"/>
      <c r="R2809" s="223"/>
      <c r="S2809" s="223"/>
      <c r="T2809" s="223"/>
      <c r="U2809" s="223"/>
      <c r="V2809" s="223"/>
      <c r="W2809" s="223"/>
      <c r="X2809" s="223"/>
      <c r="Y2809" s="223"/>
      <c r="Z2809" s="223"/>
    </row>
    <row r="2810">
      <c r="A2810" s="223" t="str">
        <f>IFERROR(__xludf.DUMMYFUNCTION("""COMPUTED_VALUE"""),"MortgagePal : Monthly Services")</f>
        <v>MortgagePal : Monthly Services</v>
      </c>
      <c r="B2810" s="223" t="str">
        <f>IFERROR(__xludf.DUMMYFUNCTION("""COMPUTED_VALUE"""),"MortgagePal")</f>
        <v>MortgagePal</v>
      </c>
      <c r="C2810" s="223" t="str">
        <f>IFERROR(__xludf.DUMMYFUNCTION("""COMPUTED_VALUE"""),"Monthly Services")</f>
        <v>Monthly Services</v>
      </c>
      <c r="D2810" s="316">
        <f>IFERROR(__xludf.DUMMYFUNCTION("""COMPUTED_VALUE"""),45107.0)</f>
        <v>45107</v>
      </c>
      <c r="E2810" s="298"/>
      <c r="F2810" s="298"/>
      <c r="G2810" s="298"/>
      <c r="H2810" s="223"/>
      <c r="I2810" s="298">
        <f>IFERROR(__xludf.DUMMYFUNCTION("""COMPUTED_VALUE"""),45.0)</f>
        <v>45</v>
      </c>
      <c r="J2810" s="223" t="str">
        <f>IFERROR(__xludf.DUMMYFUNCTION("""COMPUTED_VALUE"""),"Monthly")</f>
        <v>Monthly</v>
      </c>
      <c r="K2810" s="317">
        <f>IFERROR(__xludf.DUMMYFUNCTION("""COMPUTED_VALUE"""),2023.06)</f>
        <v>2023.06</v>
      </c>
      <c r="L2810" s="298"/>
      <c r="M2810" s="223"/>
      <c r="N2810" s="223"/>
      <c r="O2810" s="223"/>
      <c r="P2810" s="223"/>
      <c r="Q2810" s="223"/>
      <c r="R2810" s="223"/>
      <c r="S2810" s="223"/>
      <c r="T2810" s="223"/>
      <c r="U2810" s="223"/>
      <c r="V2810" s="223"/>
      <c r="W2810" s="223"/>
      <c r="X2810" s="223"/>
      <c r="Y2810" s="223"/>
      <c r="Z2810" s="223"/>
    </row>
    <row r="2811">
      <c r="A2811" s="223" t="str">
        <f>IFERROR(__xludf.DUMMYFUNCTION("""COMPUTED_VALUE"""),"Service First : Monthly Services")</f>
        <v>Service First : Monthly Services</v>
      </c>
      <c r="B2811" s="223" t="str">
        <f>IFERROR(__xludf.DUMMYFUNCTION("""COMPUTED_VALUE"""),"Service First")</f>
        <v>Service First</v>
      </c>
      <c r="C2811" s="223" t="str">
        <f>IFERROR(__xludf.DUMMYFUNCTION("""COMPUTED_VALUE"""),"Monthly Services")</f>
        <v>Monthly Services</v>
      </c>
      <c r="D2811" s="316">
        <f>IFERROR(__xludf.DUMMYFUNCTION("""COMPUTED_VALUE"""),45107.0)</f>
        <v>45107</v>
      </c>
      <c r="E2811" s="298"/>
      <c r="F2811" s="298"/>
      <c r="G2811" s="298"/>
      <c r="H2811" s="223"/>
      <c r="I2811" s="298">
        <f>IFERROR(__xludf.DUMMYFUNCTION("""COMPUTED_VALUE"""),30.0)</f>
        <v>30</v>
      </c>
      <c r="J2811" s="223" t="str">
        <f>IFERROR(__xludf.DUMMYFUNCTION("""COMPUTED_VALUE"""),"Monthly")</f>
        <v>Monthly</v>
      </c>
      <c r="K2811" s="317">
        <f>IFERROR(__xludf.DUMMYFUNCTION("""COMPUTED_VALUE"""),2023.06)</f>
        <v>2023.06</v>
      </c>
      <c r="L2811" s="298"/>
      <c r="M2811" s="223"/>
      <c r="N2811" s="223"/>
      <c r="O2811" s="223"/>
      <c r="P2811" s="223"/>
      <c r="Q2811" s="223"/>
      <c r="R2811" s="223"/>
      <c r="S2811" s="223"/>
      <c r="T2811" s="223"/>
      <c r="U2811" s="223"/>
      <c r="V2811" s="223"/>
      <c r="W2811" s="223"/>
      <c r="X2811" s="223"/>
      <c r="Y2811" s="223"/>
      <c r="Z2811" s="223"/>
    </row>
    <row r="2812">
      <c r="A2812" s="223" t="str">
        <f>IFERROR(__xludf.DUMMYFUNCTION("""COMPUTED_VALUE"""),"HSJ Lawyers : Monthly Services")</f>
        <v>HSJ Lawyers : Monthly Services</v>
      </c>
      <c r="B2812" s="223" t="str">
        <f>IFERROR(__xludf.DUMMYFUNCTION("""COMPUTED_VALUE"""),"HSJ Lawyers")</f>
        <v>HSJ Lawyers</v>
      </c>
      <c r="C2812" s="223" t="str">
        <f>IFERROR(__xludf.DUMMYFUNCTION("""COMPUTED_VALUE"""),"Monthly Services")</f>
        <v>Monthly Services</v>
      </c>
      <c r="D2812" s="316">
        <f>IFERROR(__xludf.DUMMYFUNCTION("""COMPUTED_VALUE"""),45107.0)</f>
        <v>45107</v>
      </c>
      <c r="E2812" s="298"/>
      <c r="F2812" s="298"/>
      <c r="G2812" s="298"/>
      <c r="H2812" s="223"/>
      <c r="I2812" s="298">
        <f>IFERROR(__xludf.DUMMYFUNCTION("""COMPUTED_VALUE"""),90.0)</f>
        <v>90</v>
      </c>
      <c r="J2812" s="223" t="str">
        <f>IFERROR(__xludf.DUMMYFUNCTION("""COMPUTED_VALUE"""),"Monthly")</f>
        <v>Monthly</v>
      </c>
      <c r="K2812" s="317">
        <f>IFERROR(__xludf.DUMMYFUNCTION("""COMPUTED_VALUE"""),2023.06)</f>
        <v>2023.06</v>
      </c>
      <c r="L2812" s="298"/>
      <c r="M2812" s="223"/>
      <c r="N2812" s="223"/>
      <c r="O2812" s="223"/>
      <c r="P2812" s="223"/>
      <c r="Q2812" s="223"/>
      <c r="R2812" s="223"/>
      <c r="S2812" s="223"/>
      <c r="T2812" s="223"/>
      <c r="U2812" s="223"/>
      <c r="V2812" s="223"/>
      <c r="W2812" s="223"/>
      <c r="X2812" s="223"/>
      <c r="Y2812" s="223"/>
      <c r="Z2812" s="223"/>
    </row>
    <row r="2813">
      <c r="A2813" s="223" t="str">
        <f>IFERROR(__xludf.DUMMYFUNCTION("""COMPUTED_VALUE"""),"Booginhead : Monthly Services")</f>
        <v>Booginhead : Monthly Services</v>
      </c>
      <c r="B2813" s="223" t="str">
        <f>IFERROR(__xludf.DUMMYFUNCTION("""COMPUTED_VALUE"""),"Booginhead")</f>
        <v>Booginhead</v>
      </c>
      <c r="C2813" s="223" t="str">
        <f>IFERROR(__xludf.DUMMYFUNCTION("""COMPUTED_VALUE"""),"Monthly Services")</f>
        <v>Monthly Services</v>
      </c>
      <c r="D2813" s="316">
        <f>IFERROR(__xludf.DUMMYFUNCTION("""COMPUTED_VALUE"""),45107.0)</f>
        <v>45107</v>
      </c>
      <c r="E2813" s="298"/>
      <c r="F2813" s="298"/>
      <c r="G2813" s="298"/>
      <c r="H2813" s="223"/>
      <c r="I2813" s="298">
        <f>IFERROR(__xludf.DUMMYFUNCTION("""COMPUTED_VALUE"""),260.0)</f>
        <v>260</v>
      </c>
      <c r="J2813" s="223" t="str">
        <f>IFERROR(__xludf.DUMMYFUNCTION("""COMPUTED_VALUE"""),"Monthly")</f>
        <v>Monthly</v>
      </c>
      <c r="K2813" s="317">
        <f>IFERROR(__xludf.DUMMYFUNCTION("""COMPUTED_VALUE"""),2023.06)</f>
        <v>2023.06</v>
      </c>
      <c r="L2813" s="298"/>
      <c r="M2813" s="223"/>
      <c r="N2813" s="223"/>
      <c r="O2813" s="223"/>
      <c r="P2813" s="223"/>
      <c r="Q2813" s="223"/>
      <c r="R2813" s="223"/>
      <c r="S2813" s="223"/>
      <c r="T2813" s="223"/>
      <c r="U2813" s="223"/>
      <c r="V2813" s="223"/>
      <c r="W2813" s="223"/>
      <c r="X2813" s="223"/>
      <c r="Y2813" s="223"/>
      <c r="Z2813" s="223"/>
    </row>
    <row r="2814">
      <c r="A2814" s="223" t="str">
        <f>IFERROR(__xludf.DUMMYFUNCTION("""COMPUTED_VALUE"""),"Hastings House : Monthly Services")</f>
        <v>Hastings House : Monthly Services</v>
      </c>
      <c r="B2814" s="223" t="str">
        <f>IFERROR(__xludf.DUMMYFUNCTION("""COMPUTED_VALUE"""),"Hastings House")</f>
        <v>Hastings House</v>
      </c>
      <c r="C2814" s="223" t="str">
        <f>IFERROR(__xludf.DUMMYFUNCTION("""COMPUTED_VALUE"""),"Monthly Services")</f>
        <v>Monthly Services</v>
      </c>
      <c r="D2814" s="316">
        <f>IFERROR(__xludf.DUMMYFUNCTION("""COMPUTED_VALUE"""),45107.0)</f>
        <v>45107</v>
      </c>
      <c r="E2814" s="298"/>
      <c r="F2814" s="298"/>
      <c r="G2814" s="298"/>
      <c r="H2814" s="223"/>
      <c r="I2814" s="298">
        <f>IFERROR(__xludf.DUMMYFUNCTION("""COMPUTED_VALUE"""),135.0)</f>
        <v>135</v>
      </c>
      <c r="J2814" s="223" t="str">
        <f>IFERROR(__xludf.DUMMYFUNCTION("""COMPUTED_VALUE"""),"Monthly")</f>
        <v>Monthly</v>
      </c>
      <c r="K2814" s="317">
        <f>IFERROR(__xludf.DUMMYFUNCTION("""COMPUTED_VALUE"""),2023.06)</f>
        <v>2023.06</v>
      </c>
      <c r="L2814" s="298"/>
      <c r="M2814" s="223"/>
      <c r="N2814" s="223"/>
      <c r="O2814" s="223"/>
      <c r="P2814" s="223"/>
      <c r="Q2814" s="223"/>
      <c r="R2814" s="223"/>
      <c r="S2814" s="223"/>
      <c r="T2814" s="223"/>
      <c r="U2814" s="223"/>
      <c r="V2814" s="223"/>
      <c r="W2814" s="223"/>
      <c r="X2814" s="223"/>
      <c r="Y2814" s="223"/>
      <c r="Z2814" s="223"/>
    </row>
    <row r="2815">
      <c r="A2815" s="223" t="str">
        <f>IFERROR(__xludf.DUMMYFUNCTION("""COMPUTED_VALUE"""),"TisBest : Monthly Services")</f>
        <v>TisBest : Monthly Services</v>
      </c>
      <c r="B2815" s="223" t="str">
        <f>IFERROR(__xludf.DUMMYFUNCTION("""COMPUTED_VALUE"""),"TisBest")</f>
        <v>TisBest</v>
      </c>
      <c r="C2815" s="223" t="str">
        <f>IFERROR(__xludf.DUMMYFUNCTION("""COMPUTED_VALUE"""),"Monthly Services")</f>
        <v>Monthly Services</v>
      </c>
      <c r="D2815" s="316">
        <f>IFERROR(__xludf.DUMMYFUNCTION("""COMPUTED_VALUE"""),45107.0)</f>
        <v>45107</v>
      </c>
      <c r="E2815" s="298"/>
      <c r="F2815" s="298"/>
      <c r="G2815" s="298"/>
      <c r="H2815" s="223"/>
      <c r="I2815" s="298">
        <f>IFERROR(__xludf.DUMMYFUNCTION("""COMPUTED_VALUE"""),200.0)</f>
        <v>200</v>
      </c>
      <c r="J2815" s="223" t="str">
        <f>IFERROR(__xludf.DUMMYFUNCTION("""COMPUTED_VALUE"""),"Monthly")</f>
        <v>Monthly</v>
      </c>
      <c r="K2815" s="317">
        <f>IFERROR(__xludf.DUMMYFUNCTION("""COMPUTED_VALUE"""),2023.06)</f>
        <v>2023.06</v>
      </c>
      <c r="L2815" s="298"/>
      <c r="M2815" s="223"/>
      <c r="N2815" s="223"/>
      <c r="O2815" s="223"/>
      <c r="P2815" s="223"/>
      <c r="Q2815" s="223"/>
      <c r="R2815" s="223"/>
      <c r="S2815" s="223"/>
      <c r="T2815" s="223"/>
      <c r="U2815" s="223"/>
      <c r="V2815" s="223"/>
      <c r="W2815" s="223"/>
      <c r="X2815" s="223"/>
      <c r="Y2815" s="223"/>
      <c r="Z2815" s="223"/>
    </row>
    <row r="2816">
      <c r="A2816" s="223" t="str">
        <f>IFERROR(__xludf.DUMMYFUNCTION("""COMPUTED_VALUE"""),"Wallack's Art Supplies : Monthly Services")</f>
        <v>Wallack's Art Supplies : Monthly Services</v>
      </c>
      <c r="B2816" s="223" t="str">
        <f>IFERROR(__xludf.DUMMYFUNCTION("""COMPUTED_VALUE"""),"Wallack's Art Supplies")</f>
        <v>Wallack's Art Supplies</v>
      </c>
      <c r="C2816" s="223" t="str">
        <f>IFERROR(__xludf.DUMMYFUNCTION("""COMPUTED_VALUE"""),"Monthly Services")</f>
        <v>Monthly Services</v>
      </c>
      <c r="D2816" s="316">
        <f>IFERROR(__xludf.DUMMYFUNCTION("""COMPUTED_VALUE"""),45107.0)</f>
        <v>45107</v>
      </c>
      <c r="E2816" s="298"/>
      <c r="F2816" s="298"/>
      <c r="G2816" s="298"/>
      <c r="H2816" s="223"/>
      <c r="I2816" s="298">
        <f>IFERROR(__xludf.DUMMYFUNCTION("""COMPUTED_VALUE"""),75.0)</f>
        <v>75</v>
      </c>
      <c r="J2816" s="223" t="str">
        <f>IFERROR(__xludf.DUMMYFUNCTION("""COMPUTED_VALUE"""),"Monthly")</f>
        <v>Monthly</v>
      </c>
      <c r="K2816" s="317">
        <f>IFERROR(__xludf.DUMMYFUNCTION("""COMPUTED_VALUE"""),2023.06)</f>
        <v>2023.06</v>
      </c>
      <c r="L2816" s="298"/>
      <c r="M2816" s="223"/>
      <c r="N2816" s="223"/>
      <c r="O2816" s="223"/>
      <c r="P2816" s="223"/>
      <c r="Q2816" s="223"/>
      <c r="R2816" s="223"/>
      <c r="S2816" s="223"/>
      <c r="T2816" s="223"/>
      <c r="U2816" s="223"/>
      <c r="V2816" s="223"/>
      <c r="W2816" s="223"/>
      <c r="X2816" s="223"/>
      <c r="Y2816" s="223"/>
      <c r="Z2816" s="223"/>
    </row>
    <row r="2817">
      <c r="A2817" s="223" t="str">
        <f>IFERROR(__xludf.DUMMYFUNCTION("""COMPUTED_VALUE"""),"PMDI : Monthly Services")</f>
        <v>PMDI : Monthly Services</v>
      </c>
      <c r="B2817" s="223" t="str">
        <f>IFERROR(__xludf.DUMMYFUNCTION("""COMPUTED_VALUE"""),"PMDI")</f>
        <v>PMDI</v>
      </c>
      <c r="C2817" s="223" t="str">
        <f>IFERROR(__xludf.DUMMYFUNCTION("""COMPUTED_VALUE"""),"Monthly Services")</f>
        <v>Monthly Services</v>
      </c>
      <c r="D2817" s="316">
        <f>IFERROR(__xludf.DUMMYFUNCTION("""COMPUTED_VALUE"""),45107.0)</f>
        <v>45107</v>
      </c>
      <c r="E2817" s="298"/>
      <c r="F2817" s="298"/>
      <c r="G2817" s="298"/>
      <c r="H2817" s="223"/>
      <c r="I2817" s="298">
        <f>IFERROR(__xludf.DUMMYFUNCTION("""COMPUTED_VALUE"""),30.0)</f>
        <v>30</v>
      </c>
      <c r="J2817" s="223" t="str">
        <f>IFERROR(__xludf.DUMMYFUNCTION("""COMPUTED_VALUE"""),"Monthly")</f>
        <v>Monthly</v>
      </c>
      <c r="K2817" s="317">
        <f>IFERROR(__xludf.DUMMYFUNCTION("""COMPUTED_VALUE"""),2023.06)</f>
        <v>2023.06</v>
      </c>
      <c r="L2817" s="298"/>
      <c r="M2817" s="223"/>
      <c r="N2817" s="223"/>
      <c r="O2817" s="223"/>
      <c r="P2817" s="223"/>
      <c r="Q2817" s="223"/>
      <c r="R2817" s="223"/>
      <c r="S2817" s="223"/>
      <c r="T2817" s="223"/>
      <c r="U2817" s="223"/>
      <c r="V2817" s="223"/>
      <c r="W2817" s="223"/>
      <c r="X2817" s="223"/>
      <c r="Y2817" s="223"/>
      <c r="Z2817" s="223"/>
    </row>
    <row r="2818">
      <c r="A2818" s="223" t="str">
        <f>IFERROR(__xludf.DUMMYFUNCTION("""COMPUTED_VALUE"""),"Tofino Resort + Marina : Monthly Services")</f>
        <v>Tofino Resort + Marina : Monthly Services</v>
      </c>
      <c r="B2818" s="223" t="str">
        <f>IFERROR(__xludf.DUMMYFUNCTION("""COMPUTED_VALUE"""),"Tofino Resort + Marina")</f>
        <v>Tofino Resort + Marina</v>
      </c>
      <c r="C2818" s="223" t="str">
        <f>IFERROR(__xludf.DUMMYFUNCTION("""COMPUTED_VALUE"""),"Monthly Services")</f>
        <v>Monthly Services</v>
      </c>
      <c r="D2818" s="316">
        <f>IFERROR(__xludf.DUMMYFUNCTION("""COMPUTED_VALUE"""),45107.0)</f>
        <v>45107</v>
      </c>
      <c r="E2818" s="298"/>
      <c r="F2818" s="298"/>
      <c r="G2818" s="298"/>
      <c r="H2818" s="223"/>
      <c r="I2818" s="298">
        <f>IFERROR(__xludf.DUMMYFUNCTION("""COMPUTED_VALUE"""),300.0)</f>
        <v>300</v>
      </c>
      <c r="J2818" s="223" t="str">
        <f>IFERROR(__xludf.DUMMYFUNCTION("""COMPUTED_VALUE"""),"Monthly")</f>
        <v>Monthly</v>
      </c>
      <c r="K2818" s="317">
        <f>IFERROR(__xludf.DUMMYFUNCTION("""COMPUTED_VALUE"""),2023.06)</f>
        <v>2023.06</v>
      </c>
      <c r="L2818" s="298"/>
      <c r="M2818" s="223"/>
      <c r="N2818" s="223"/>
      <c r="O2818" s="223"/>
      <c r="P2818" s="223"/>
      <c r="Q2818" s="223"/>
      <c r="R2818" s="223"/>
      <c r="S2818" s="223"/>
      <c r="T2818" s="223"/>
      <c r="U2818" s="223"/>
      <c r="V2818" s="223"/>
      <c r="W2818" s="223"/>
      <c r="X2818" s="223"/>
      <c r="Y2818" s="223"/>
      <c r="Z2818" s="223"/>
    </row>
    <row r="2819">
      <c r="A2819" s="223" t="str">
        <f>IFERROR(__xludf.DUMMYFUNCTION("""COMPUTED_VALUE"""),"Anook Athletics : Monthly Services")</f>
        <v>Anook Athletics : Monthly Services</v>
      </c>
      <c r="B2819" s="223" t="str">
        <f>IFERROR(__xludf.DUMMYFUNCTION("""COMPUTED_VALUE"""),"Anook Athletics")</f>
        <v>Anook Athletics</v>
      </c>
      <c r="C2819" s="223" t="str">
        <f>IFERROR(__xludf.DUMMYFUNCTION("""COMPUTED_VALUE"""),"Monthly Services")</f>
        <v>Monthly Services</v>
      </c>
      <c r="D2819" s="316">
        <f>IFERROR(__xludf.DUMMYFUNCTION("""COMPUTED_VALUE"""),45107.0)</f>
        <v>45107</v>
      </c>
      <c r="E2819" s="298"/>
      <c r="F2819" s="298"/>
      <c r="G2819" s="298"/>
      <c r="H2819" s="223"/>
      <c r="I2819" s="298">
        <f>IFERROR(__xludf.DUMMYFUNCTION("""COMPUTED_VALUE"""),75.0)</f>
        <v>75</v>
      </c>
      <c r="J2819" s="223" t="str">
        <f>IFERROR(__xludf.DUMMYFUNCTION("""COMPUTED_VALUE"""),"Monthly")</f>
        <v>Monthly</v>
      </c>
      <c r="K2819" s="317">
        <f>IFERROR(__xludf.DUMMYFUNCTION("""COMPUTED_VALUE"""),2023.06)</f>
        <v>2023.06</v>
      </c>
      <c r="L2819" s="298"/>
      <c r="M2819" s="223"/>
      <c r="N2819" s="223"/>
      <c r="O2819" s="223"/>
      <c r="P2819" s="223"/>
      <c r="Q2819" s="223"/>
      <c r="R2819" s="223"/>
      <c r="S2819" s="223"/>
      <c r="T2819" s="223"/>
      <c r="U2819" s="223"/>
      <c r="V2819" s="223"/>
      <c r="W2819" s="223"/>
      <c r="X2819" s="223"/>
      <c r="Y2819" s="223"/>
      <c r="Z2819" s="223"/>
    </row>
    <row r="2820">
      <c r="A2820" s="223" t="str">
        <f>IFERROR(__xludf.DUMMYFUNCTION("""COMPUTED_VALUE"""),"New Growth Ecommerce Inc : Monthly Services")</f>
        <v>New Growth Ecommerce Inc : Monthly Services</v>
      </c>
      <c r="B2820" s="223" t="str">
        <f>IFERROR(__xludf.DUMMYFUNCTION("""COMPUTED_VALUE"""),"New Growth Ecommerce Inc")</f>
        <v>New Growth Ecommerce Inc</v>
      </c>
      <c r="C2820" s="223" t="str">
        <f>IFERROR(__xludf.DUMMYFUNCTION("""COMPUTED_VALUE"""),"Monthly Services")</f>
        <v>Monthly Services</v>
      </c>
      <c r="D2820" s="316">
        <f>IFERROR(__xludf.DUMMYFUNCTION("""COMPUTED_VALUE"""),45107.0)</f>
        <v>45107</v>
      </c>
      <c r="E2820" s="298"/>
      <c r="F2820" s="298"/>
      <c r="G2820" s="298"/>
      <c r="H2820" s="223"/>
      <c r="I2820" s="298">
        <f>IFERROR(__xludf.DUMMYFUNCTION("""COMPUTED_VALUE"""),1860.0)</f>
        <v>1860</v>
      </c>
      <c r="J2820" s="223" t="str">
        <f>IFERROR(__xludf.DUMMYFUNCTION("""COMPUTED_VALUE"""),"Monthly")</f>
        <v>Monthly</v>
      </c>
      <c r="K2820" s="317">
        <f>IFERROR(__xludf.DUMMYFUNCTION("""COMPUTED_VALUE"""),2023.06)</f>
        <v>2023.06</v>
      </c>
      <c r="L2820" s="298"/>
      <c r="M2820" s="223"/>
      <c r="N2820" s="223"/>
      <c r="O2820" s="223"/>
      <c r="P2820" s="223"/>
      <c r="Q2820" s="223"/>
      <c r="R2820" s="223"/>
      <c r="S2820" s="223"/>
      <c r="T2820" s="223"/>
      <c r="U2820" s="223"/>
      <c r="V2820" s="223"/>
      <c r="W2820" s="223"/>
      <c r="X2820" s="223"/>
      <c r="Y2820" s="223"/>
      <c r="Z2820" s="223"/>
    </row>
    <row r="2821">
      <c r="A2821" s="223" t="str">
        <f>IFERROR(__xludf.DUMMYFUNCTION("""COMPUTED_VALUE"""),"Crisp Media : Monthly Genus Google PPC Mgmt")</f>
        <v>Crisp Media : Monthly Genus Google PPC Mgmt</v>
      </c>
      <c r="B2821" s="223" t="str">
        <f>IFERROR(__xludf.DUMMYFUNCTION("""COMPUTED_VALUE"""),"Crisp Media")</f>
        <v>Crisp Media</v>
      </c>
      <c r="C2821" s="223" t="str">
        <f>IFERROR(__xludf.DUMMYFUNCTION("""COMPUTED_VALUE"""),"Monthly Genus Google PPC Mgmt")</f>
        <v>Monthly Genus Google PPC Mgmt</v>
      </c>
      <c r="D2821" s="316">
        <f>IFERROR(__xludf.DUMMYFUNCTION("""COMPUTED_VALUE"""),45107.0)</f>
        <v>45107</v>
      </c>
      <c r="E2821" s="298"/>
      <c r="F2821" s="298"/>
      <c r="G2821" s="298"/>
      <c r="H2821" s="223"/>
      <c r="I2821" s="298">
        <f>IFERROR(__xludf.DUMMYFUNCTION("""COMPUTED_VALUE"""),45.0)</f>
        <v>45</v>
      </c>
      <c r="J2821" s="223" t="str">
        <f>IFERROR(__xludf.DUMMYFUNCTION("""COMPUTED_VALUE"""),"Monthly")</f>
        <v>Monthly</v>
      </c>
      <c r="K2821" s="317">
        <f>IFERROR(__xludf.DUMMYFUNCTION("""COMPUTED_VALUE"""),2023.06)</f>
        <v>2023.06</v>
      </c>
      <c r="L2821" s="298"/>
      <c r="M2821" s="223"/>
      <c r="N2821" s="223"/>
      <c r="O2821" s="223"/>
      <c r="P2821" s="223"/>
      <c r="Q2821" s="223"/>
      <c r="R2821" s="223"/>
      <c r="S2821" s="223"/>
      <c r="T2821" s="223"/>
      <c r="U2821" s="223"/>
      <c r="V2821" s="223"/>
      <c r="W2821" s="223"/>
      <c r="X2821" s="223"/>
      <c r="Y2821" s="223"/>
      <c r="Z2821" s="223"/>
    </row>
    <row r="2822">
      <c r="A2822" s="223" t="str">
        <f>IFERROR(__xludf.DUMMYFUNCTION("""COMPUTED_VALUE"""),"Howard Fine Jewellers : Ongoing PPC and SEO Support")</f>
        <v>Howard Fine Jewellers : Ongoing PPC and SEO Support</v>
      </c>
      <c r="B2822" s="223" t="str">
        <f>IFERROR(__xludf.DUMMYFUNCTION("""COMPUTED_VALUE"""),"Howard Fine Jewellers")</f>
        <v>Howard Fine Jewellers</v>
      </c>
      <c r="C2822" s="223" t="str">
        <f>IFERROR(__xludf.DUMMYFUNCTION("""COMPUTED_VALUE"""),"Ongoing PPC and SEO Support")</f>
        <v>Ongoing PPC and SEO Support</v>
      </c>
      <c r="D2822" s="316">
        <f>IFERROR(__xludf.DUMMYFUNCTION("""COMPUTED_VALUE"""),45107.0)</f>
        <v>45107</v>
      </c>
      <c r="E2822" s="298"/>
      <c r="F2822" s="298"/>
      <c r="G2822" s="298"/>
      <c r="H2822" s="223"/>
      <c r="I2822" s="298">
        <f>IFERROR(__xludf.DUMMYFUNCTION("""COMPUTED_VALUE"""),100.0)</f>
        <v>100</v>
      </c>
      <c r="J2822" s="223" t="str">
        <f>IFERROR(__xludf.DUMMYFUNCTION("""COMPUTED_VALUE"""),"Monthly")</f>
        <v>Monthly</v>
      </c>
      <c r="K2822" s="317">
        <f>IFERROR(__xludf.DUMMYFUNCTION("""COMPUTED_VALUE"""),2023.06)</f>
        <v>2023.06</v>
      </c>
      <c r="L2822" s="298"/>
      <c r="M2822" s="223"/>
      <c r="N2822" s="223"/>
      <c r="O2822" s="223"/>
      <c r="P2822" s="223"/>
      <c r="Q2822" s="223"/>
      <c r="R2822" s="223"/>
      <c r="S2822" s="223"/>
      <c r="T2822" s="223"/>
      <c r="U2822" s="223"/>
      <c r="V2822" s="223"/>
      <c r="W2822" s="223"/>
      <c r="X2822" s="223"/>
      <c r="Y2822" s="223"/>
      <c r="Z2822" s="223"/>
    </row>
    <row r="2823">
      <c r="A2823" s="223" t="str">
        <f>IFERROR(__xludf.DUMMYFUNCTION("""COMPUTED_VALUE"""),"Big Hammer Wines : Monthly PPC")</f>
        <v>Big Hammer Wines : Monthly PPC</v>
      </c>
      <c r="B2823" s="223" t="str">
        <f>IFERROR(__xludf.DUMMYFUNCTION("""COMPUTED_VALUE"""),"Big Hammer Wines")</f>
        <v>Big Hammer Wines</v>
      </c>
      <c r="C2823" s="223" t="str">
        <f>IFERROR(__xludf.DUMMYFUNCTION("""COMPUTED_VALUE"""),"Monthly PPC")</f>
        <v>Monthly PPC</v>
      </c>
      <c r="D2823" s="316">
        <f>IFERROR(__xludf.DUMMYFUNCTION("""COMPUTED_VALUE"""),45107.0)</f>
        <v>45107</v>
      </c>
      <c r="E2823" s="298"/>
      <c r="F2823" s="298"/>
      <c r="G2823" s="298"/>
      <c r="H2823" s="223"/>
      <c r="I2823" s="298">
        <f>IFERROR(__xludf.DUMMYFUNCTION("""COMPUTED_VALUE"""),60.0)</f>
        <v>60</v>
      </c>
      <c r="J2823" s="223" t="str">
        <f>IFERROR(__xludf.DUMMYFUNCTION("""COMPUTED_VALUE"""),"Monthly")</f>
        <v>Monthly</v>
      </c>
      <c r="K2823" s="317">
        <f>IFERROR(__xludf.DUMMYFUNCTION("""COMPUTED_VALUE"""),2023.06)</f>
        <v>2023.06</v>
      </c>
      <c r="L2823" s="298"/>
      <c r="M2823" s="223"/>
      <c r="N2823" s="223"/>
      <c r="O2823" s="223"/>
      <c r="P2823" s="223"/>
      <c r="Q2823" s="223"/>
      <c r="R2823" s="223"/>
      <c r="S2823" s="223"/>
      <c r="T2823" s="223"/>
      <c r="U2823" s="223"/>
      <c r="V2823" s="223"/>
      <c r="W2823" s="223"/>
      <c r="X2823" s="223"/>
      <c r="Y2823" s="223"/>
      <c r="Z2823" s="223"/>
    </row>
    <row r="2824">
      <c r="A2824" s="223" t="str">
        <f>IFERROR(__xludf.DUMMYFUNCTION("""COMPUTED_VALUE"""),"Classic LifeCare : Monthly Google Ads (PPC) Management")</f>
        <v>Classic LifeCare : Monthly Google Ads (PPC) Management</v>
      </c>
      <c r="B2824" s="223" t="str">
        <f>IFERROR(__xludf.DUMMYFUNCTION("""COMPUTED_VALUE"""),"Classic LifeCare")</f>
        <v>Classic LifeCare</v>
      </c>
      <c r="C2824" s="223" t="str">
        <f>IFERROR(__xludf.DUMMYFUNCTION("""COMPUTED_VALUE"""),"Monthly Google Ads (PPC) Management")</f>
        <v>Monthly Google Ads (PPC) Management</v>
      </c>
      <c r="D2824" s="316">
        <f>IFERROR(__xludf.DUMMYFUNCTION("""COMPUTED_VALUE"""),45107.0)</f>
        <v>45107</v>
      </c>
      <c r="E2824" s="298"/>
      <c r="F2824" s="298"/>
      <c r="G2824" s="298"/>
      <c r="H2824" s="223"/>
      <c r="I2824" s="298">
        <f>IFERROR(__xludf.DUMMYFUNCTION("""COMPUTED_VALUE"""),322.5)</f>
        <v>322.5</v>
      </c>
      <c r="J2824" s="223" t="str">
        <f>IFERROR(__xludf.DUMMYFUNCTION("""COMPUTED_VALUE"""),"Monthly")</f>
        <v>Monthly</v>
      </c>
      <c r="K2824" s="317">
        <f>IFERROR(__xludf.DUMMYFUNCTION("""COMPUTED_VALUE"""),2023.06)</f>
        <v>2023.06</v>
      </c>
      <c r="L2824" s="298"/>
      <c r="M2824" s="223"/>
      <c r="N2824" s="223"/>
      <c r="O2824" s="223"/>
      <c r="P2824" s="223"/>
      <c r="Q2824" s="223"/>
      <c r="R2824" s="223"/>
      <c r="S2824" s="223"/>
      <c r="T2824" s="223"/>
      <c r="U2824" s="223"/>
      <c r="V2824" s="223"/>
      <c r="W2824" s="223"/>
      <c r="X2824" s="223"/>
      <c r="Y2824" s="223"/>
      <c r="Z2824" s="223"/>
    </row>
    <row r="2825">
      <c r="A2825" s="223" t="str">
        <f>IFERROR(__xludf.DUMMYFUNCTION("""COMPUTED_VALUE"""),"McAllister Marketing : Copernic PPC / SEO")</f>
        <v>McAllister Marketing : Copernic PPC / SEO</v>
      </c>
      <c r="B2825" s="223" t="str">
        <f>IFERROR(__xludf.DUMMYFUNCTION("""COMPUTED_VALUE"""),"McAllister Marketing")</f>
        <v>McAllister Marketing</v>
      </c>
      <c r="C2825" s="223" t="str">
        <f>IFERROR(__xludf.DUMMYFUNCTION("""COMPUTED_VALUE"""),"Copernic PPC / SEO")</f>
        <v>Copernic PPC / SEO</v>
      </c>
      <c r="D2825" s="316">
        <f>IFERROR(__xludf.DUMMYFUNCTION("""COMPUTED_VALUE"""),45107.0)</f>
        <v>45107</v>
      </c>
      <c r="E2825" s="298"/>
      <c r="F2825" s="298"/>
      <c r="G2825" s="298"/>
      <c r="H2825" s="223"/>
      <c r="I2825" s="298">
        <f>IFERROR(__xludf.DUMMYFUNCTION("""COMPUTED_VALUE"""),500.0)</f>
        <v>500</v>
      </c>
      <c r="J2825" s="223" t="str">
        <f>IFERROR(__xludf.DUMMYFUNCTION("""COMPUTED_VALUE"""),"Monthly")</f>
        <v>Monthly</v>
      </c>
      <c r="K2825" s="317">
        <f>IFERROR(__xludf.DUMMYFUNCTION("""COMPUTED_VALUE"""),2023.06)</f>
        <v>2023.06</v>
      </c>
      <c r="L2825" s="298"/>
      <c r="M2825" s="223"/>
      <c r="N2825" s="223"/>
      <c r="O2825" s="223"/>
      <c r="P2825" s="223"/>
      <c r="Q2825" s="223"/>
      <c r="R2825" s="223"/>
      <c r="S2825" s="223"/>
      <c r="T2825" s="223"/>
      <c r="U2825" s="223"/>
      <c r="V2825" s="223"/>
      <c r="W2825" s="223"/>
      <c r="X2825" s="223"/>
      <c r="Y2825" s="223"/>
      <c r="Z2825" s="223"/>
    </row>
    <row r="2826">
      <c r="A2826" s="223" t="str">
        <f>IFERROR(__xludf.DUMMYFUNCTION("""COMPUTED_VALUE"""),"Terra Insights : Monthly PPC")</f>
        <v>Terra Insights : Monthly PPC</v>
      </c>
      <c r="B2826" s="223" t="str">
        <f>IFERROR(__xludf.DUMMYFUNCTION("""COMPUTED_VALUE"""),"Terra Insights")</f>
        <v>Terra Insights</v>
      </c>
      <c r="C2826" s="223" t="str">
        <f>IFERROR(__xludf.DUMMYFUNCTION("""COMPUTED_VALUE"""),"Monthly PPC")</f>
        <v>Monthly PPC</v>
      </c>
      <c r="D2826" s="316">
        <f>IFERROR(__xludf.DUMMYFUNCTION("""COMPUTED_VALUE"""),45107.0)</f>
        <v>45107</v>
      </c>
      <c r="E2826" s="298"/>
      <c r="F2826" s="298"/>
      <c r="G2826" s="298"/>
      <c r="H2826" s="223"/>
      <c r="I2826" s="298">
        <f>IFERROR(__xludf.DUMMYFUNCTION("""COMPUTED_VALUE"""),330.0)</f>
        <v>330</v>
      </c>
      <c r="J2826" s="223" t="str">
        <f>IFERROR(__xludf.DUMMYFUNCTION("""COMPUTED_VALUE"""),"Monthly")</f>
        <v>Monthly</v>
      </c>
      <c r="K2826" s="317">
        <f>IFERROR(__xludf.DUMMYFUNCTION("""COMPUTED_VALUE"""),2023.06)</f>
        <v>2023.06</v>
      </c>
      <c r="L2826" s="298"/>
      <c r="M2826" s="223"/>
      <c r="N2826" s="223"/>
      <c r="O2826" s="223"/>
      <c r="P2826" s="223"/>
      <c r="Q2826" s="223"/>
      <c r="R2826" s="223"/>
      <c r="S2826" s="223"/>
      <c r="T2826" s="223"/>
      <c r="U2826" s="223"/>
      <c r="V2826" s="223"/>
      <c r="W2826" s="223"/>
      <c r="X2826" s="223"/>
      <c r="Y2826" s="223"/>
      <c r="Z2826" s="223"/>
    </row>
    <row r="2827">
      <c r="A2827" s="223" t="str">
        <f>IFERROR(__xludf.DUMMYFUNCTION("""COMPUTED_VALUE"""),"Luxe Bridal LLC : Monthly PPC")</f>
        <v>Luxe Bridal LLC : Monthly PPC</v>
      </c>
      <c r="B2827" s="223" t="str">
        <f>IFERROR(__xludf.DUMMYFUNCTION("""COMPUTED_VALUE"""),"Luxe Bridal LLC")</f>
        <v>Luxe Bridal LLC</v>
      </c>
      <c r="C2827" s="223" t="str">
        <f>IFERROR(__xludf.DUMMYFUNCTION("""COMPUTED_VALUE"""),"Monthly PPC")</f>
        <v>Monthly PPC</v>
      </c>
      <c r="D2827" s="316">
        <f>IFERROR(__xludf.DUMMYFUNCTION("""COMPUTED_VALUE"""),45107.0)</f>
        <v>45107</v>
      </c>
      <c r="E2827" s="298"/>
      <c r="F2827" s="298"/>
      <c r="G2827" s="298"/>
      <c r="H2827" s="223"/>
      <c r="I2827" s="298">
        <f>IFERROR(__xludf.DUMMYFUNCTION("""COMPUTED_VALUE"""),420.0)</f>
        <v>420</v>
      </c>
      <c r="J2827" s="223" t="str">
        <f>IFERROR(__xludf.DUMMYFUNCTION("""COMPUTED_VALUE"""),"Monthly")</f>
        <v>Monthly</v>
      </c>
      <c r="K2827" s="317">
        <f>IFERROR(__xludf.DUMMYFUNCTION("""COMPUTED_VALUE"""),2023.06)</f>
        <v>2023.06</v>
      </c>
      <c r="L2827" s="298"/>
      <c r="M2827" s="223"/>
      <c r="N2827" s="223"/>
      <c r="O2827" s="223"/>
      <c r="P2827" s="223"/>
      <c r="Q2827" s="223"/>
      <c r="R2827" s="223"/>
      <c r="S2827" s="223"/>
      <c r="T2827" s="223"/>
      <c r="U2827" s="223"/>
      <c r="V2827" s="223"/>
      <c r="W2827" s="223"/>
      <c r="X2827" s="223"/>
      <c r="Y2827" s="223"/>
      <c r="Z2827" s="223"/>
    </row>
    <row r="2828">
      <c r="A2828" s="223" t="str">
        <f>IFERROR(__xludf.DUMMYFUNCTION("""COMPUTED_VALUE"""),"Luxe Bridal LLC (LJM) : Monthly PPC")</f>
        <v>Luxe Bridal LLC (LJM) : Monthly PPC</v>
      </c>
      <c r="B2828" s="223" t="str">
        <f>IFERROR(__xludf.DUMMYFUNCTION("""COMPUTED_VALUE"""),"Luxe Bridal LLC (LJM)")</f>
        <v>Luxe Bridal LLC (LJM)</v>
      </c>
      <c r="C2828" s="223" t="str">
        <f>IFERROR(__xludf.DUMMYFUNCTION("""COMPUTED_VALUE"""),"Monthly PPC")</f>
        <v>Monthly PPC</v>
      </c>
      <c r="D2828" s="316">
        <f>IFERROR(__xludf.DUMMYFUNCTION("""COMPUTED_VALUE"""),45107.0)</f>
        <v>45107</v>
      </c>
      <c r="E2828" s="298"/>
      <c r="F2828" s="298"/>
      <c r="G2828" s="298"/>
      <c r="H2828" s="223"/>
      <c r="I2828" s="298">
        <f>IFERROR(__xludf.DUMMYFUNCTION("""COMPUTED_VALUE"""),210.0)</f>
        <v>210</v>
      </c>
      <c r="J2828" s="223" t="str">
        <f>IFERROR(__xludf.DUMMYFUNCTION("""COMPUTED_VALUE"""),"Monthly")</f>
        <v>Monthly</v>
      </c>
      <c r="K2828" s="317">
        <f>IFERROR(__xludf.DUMMYFUNCTION("""COMPUTED_VALUE"""),2023.06)</f>
        <v>2023.06</v>
      </c>
      <c r="L2828" s="298"/>
      <c r="M2828" s="223"/>
      <c r="N2828" s="223"/>
      <c r="O2828" s="223"/>
      <c r="P2828" s="223"/>
      <c r="Q2828" s="223"/>
      <c r="R2828" s="223"/>
      <c r="S2828" s="223"/>
      <c r="T2828" s="223"/>
      <c r="U2828" s="223"/>
      <c r="V2828" s="223"/>
      <c r="W2828" s="223"/>
      <c r="X2828" s="223"/>
      <c r="Y2828" s="223"/>
      <c r="Z2828" s="223"/>
    </row>
    <row r="2829">
      <c r="A2829" s="223" t="str">
        <f>IFERROR(__xludf.DUMMYFUNCTION("""COMPUTED_VALUE"""),"WhistleBlower Security : Monthly PPC and SEO")</f>
        <v>WhistleBlower Security : Monthly PPC and SEO</v>
      </c>
      <c r="B2829" s="223" t="str">
        <f>IFERROR(__xludf.DUMMYFUNCTION("""COMPUTED_VALUE"""),"WhistleBlower Security")</f>
        <v>WhistleBlower Security</v>
      </c>
      <c r="C2829" s="223" t="str">
        <f>IFERROR(__xludf.DUMMYFUNCTION("""COMPUTED_VALUE"""),"Monthly PPC and SEO")</f>
        <v>Monthly PPC and SEO</v>
      </c>
      <c r="D2829" s="316">
        <f>IFERROR(__xludf.DUMMYFUNCTION("""COMPUTED_VALUE"""),45107.0)</f>
        <v>45107</v>
      </c>
      <c r="E2829" s="298"/>
      <c r="F2829" s="298"/>
      <c r="G2829" s="298"/>
      <c r="H2829" s="223"/>
      <c r="I2829" s="298">
        <f>IFERROR(__xludf.DUMMYFUNCTION("""COMPUTED_VALUE"""),375.0)</f>
        <v>375</v>
      </c>
      <c r="J2829" s="223" t="str">
        <f>IFERROR(__xludf.DUMMYFUNCTION("""COMPUTED_VALUE"""),"Monthly")</f>
        <v>Monthly</v>
      </c>
      <c r="K2829" s="317">
        <f>IFERROR(__xludf.DUMMYFUNCTION("""COMPUTED_VALUE"""),2023.06)</f>
        <v>2023.06</v>
      </c>
      <c r="L2829" s="298"/>
      <c r="M2829" s="223"/>
      <c r="N2829" s="223"/>
      <c r="O2829" s="223"/>
      <c r="P2829" s="223"/>
      <c r="Q2829" s="223"/>
      <c r="R2829" s="223"/>
      <c r="S2829" s="223"/>
      <c r="T2829" s="223"/>
      <c r="U2829" s="223"/>
      <c r="V2829" s="223"/>
      <c r="W2829" s="223"/>
      <c r="X2829" s="223"/>
      <c r="Y2829" s="223"/>
      <c r="Z2829" s="223"/>
    </row>
    <row r="2830">
      <c r="A2830" s="223" t="str">
        <f>IFERROR(__xludf.DUMMYFUNCTION("""COMPUTED_VALUE"""),"Microassist : 3 Month Initial PPC Project")</f>
        <v>Microassist : 3 Month Initial PPC Project</v>
      </c>
      <c r="B2830" s="223" t="str">
        <f>IFERROR(__xludf.DUMMYFUNCTION("""COMPUTED_VALUE"""),"Microassist")</f>
        <v>Microassist</v>
      </c>
      <c r="C2830" s="223" t="str">
        <f>IFERROR(__xludf.DUMMYFUNCTION("""COMPUTED_VALUE"""),"3 Month Initial PPC Project")</f>
        <v>3 Month Initial PPC Project</v>
      </c>
      <c r="D2830" s="316">
        <f>IFERROR(__xludf.DUMMYFUNCTION("""COMPUTED_VALUE"""),45107.0)</f>
        <v>45107</v>
      </c>
      <c r="E2830" s="298"/>
      <c r="F2830" s="298"/>
      <c r="G2830" s="298"/>
      <c r="H2830" s="223"/>
      <c r="I2830" s="298">
        <f>IFERROR(__xludf.DUMMYFUNCTION("""COMPUTED_VALUE"""),400.0)</f>
        <v>400</v>
      </c>
      <c r="J2830" s="223" t="str">
        <f>IFERROR(__xludf.DUMMYFUNCTION("""COMPUTED_VALUE"""),"Fixed Project")</f>
        <v>Fixed Project</v>
      </c>
      <c r="K2830" s="317">
        <f>IFERROR(__xludf.DUMMYFUNCTION("""COMPUTED_VALUE"""),2023.0)</f>
        <v>2023</v>
      </c>
      <c r="L2830" s="298"/>
      <c r="M2830" s="223"/>
      <c r="N2830" s="223"/>
      <c r="O2830" s="223"/>
      <c r="P2830" s="223"/>
      <c r="Q2830" s="223"/>
      <c r="R2830" s="223"/>
      <c r="S2830" s="223"/>
      <c r="T2830" s="223"/>
      <c r="U2830" s="223"/>
      <c r="V2830" s="223"/>
      <c r="W2830" s="223"/>
      <c r="X2830" s="223"/>
      <c r="Y2830" s="223"/>
      <c r="Z2830" s="223"/>
    </row>
    <row r="2831">
      <c r="A2831" s="223" t="str">
        <f>IFERROR(__xludf.DUMMYFUNCTION("""COMPUTED_VALUE"""),"Tuscany : Monthly Services")</f>
        <v>Tuscany : Monthly Services</v>
      </c>
      <c r="B2831" s="223" t="str">
        <f>IFERROR(__xludf.DUMMYFUNCTION("""COMPUTED_VALUE"""),"Tuscany")</f>
        <v>Tuscany</v>
      </c>
      <c r="C2831" s="223" t="str">
        <f>IFERROR(__xludf.DUMMYFUNCTION("""COMPUTED_VALUE"""),"Monthly Services")</f>
        <v>Monthly Services</v>
      </c>
      <c r="D2831" s="316">
        <f>IFERROR(__xludf.DUMMYFUNCTION("""COMPUTED_VALUE"""),45107.0)</f>
        <v>45107</v>
      </c>
      <c r="E2831" s="298"/>
      <c r="F2831" s="298"/>
      <c r="G2831" s="298"/>
      <c r="H2831" s="223"/>
      <c r="I2831" s="298">
        <f>IFERROR(__xludf.DUMMYFUNCTION("""COMPUTED_VALUE"""),662.5)</f>
        <v>662.5</v>
      </c>
      <c r="J2831" s="223" t="str">
        <f>IFERROR(__xludf.DUMMYFUNCTION("""COMPUTED_VALUE"""),"Monthly")</f>
        <v>Monthly</v>
      </c>
      <c r="K2831" s="317">
        <f>IFERROR(__xludf.DUMMYFUNCTION("""COMPUTED_VALUE"""),2023.06)</f>
        <v>2023.06</v>
      </c>
      <c r="L2831" s="298"/>
      <c r="M2831" s="223"/>
      <c r="N2831" s="223"/>
      <c r="O2831" s="223"/>
      <c r="P2831" s="223"/>
      <c r="Q2831" s="223"/>
      <c r="R2831" s="223"/>
      <c r="S2831" s="223"/>
      <c r="T2831" s="223"/>
      <c r="U2831" s="223"/>
      <c r="V2831" s="223"/>
      <c r="W2831" s="223"/>
      <c r="X2831" s="223"/>
      <c r="Y2831" s="223"/>
      <c r="Z2831" s="223"/>
    </row>
    <row r="2832">
      <c r="A2832" s="223" t="str">
        <f>IFERROR(__xludf.DUMMYFUNCTION("""COMPUTED_VALUE"""),"Venetian : Monthly Services")</f>
        <v>Venetian : Monthly Services</v>
      </c>
      <c r="B2832" s="223" t="str">
        <f>IFERROR(__xludf.DUMMYFUNCTION("""COMPUTED_VALUE"""),"Venetian")</f>
        <v>Venetian</v>
      </c>
      <c r="C2832" s="223" t="str">
        <f>IFERROR(__xludf.DUMMYFUNCTION("""COMPUTED_VALUE"""),"Monthly Services")</f>
        <v>Monthly Services</v>
      </c>
      <c r="D2832" s="316">
        <f>IFERROR(__xludf.DUMMYFUNCTION("""COMPUTED_VALUE"""),45107.0)</f>
        <v>45107</v>
      </c>
      <c r="E2832" s="298"/>
      <c r="F2832" s="298"/>
      <c r="G2832" s="298"/>
      <c r="H2832" s="223"/>
      <c r="I2832" s="298">
        <f>IFERROR(__xludf.DUMMYFUNCTION("""COMPUTED_VALUE"""),662.5)</f>
        <v>662.5</v>
      </c>
      <c r="J2832" s="223" t="str">
        <f>IFERROR(__xludf.DUMMYFUNCTION("""COMPUTED_VALUE"""),"Monthly")</f>
        <v>Monthly</v>
      </c>
      <c r="K2832" s="317">
        <f>IFERROR(__xludf.DUMMYFUNCTION("""COMPUTED_VALUE"""),2023.06)</f>
        <v>2023.06</v>
      </c>
      <c r="L2832" s="298"/>
      <c r="M2832" s="223"/>
      <c r="N2832" s="223"/>
      <c r="O2832" s="223"/>
      <c r="P2832" s="223"/>
      <c r="Q2832" s="223"/>
      <c r="R2832" s="223"/>
      <c r="S2832" s="223"/>
      <c r="T2832" s="223"/>
      <c r="U2832" s="223"/>
      <c r="V2832" s="223"/>
      <c r="W2832" s="223"/>
      <c r="X2832" s="223"/>
      <c r="Y2832" s="223"/>
      <c r="Z2832" s="223"/>
    </row>
    <row r="2833">
      <c r="A2833" s="223" t="str">
        <f>IFERROR(__xludf.DUMMYFUNCTION("""COMPUTED_VALUE"""),"Spraggs : Monthly Services")</f>
        <v>Spraggs : Monthly Services</v>
      </c>
      <c r="B2833" s="223" t="str">
        <f>IFERROR(__xludf.DUMMYFUNCTION("""COMPUTED_VALUE"""),"Spraggs")</f>
        <v>Spraggs</v>
      </c>
      <c r="C2833" s="223" t="str">
        <f>IFERROR(__xludf.DUMMYFUNCTION("""COMPUTED_VALUE"""),"Monthly Services")</f>
        <v>Monthly Services</v>
      </c>
      <c r="D2833" s="316">
        <f>IFERROR(__xludf.DUMMYFUNCTION("""COMPUTED_VALUE"""),45107.0)</f>
        <v>45107</v>
      </c>
      <c r="E2833" s="298"/>
      <c r="F2833" s="298"/>
      <c r="G2833" s="298"/>
      <c r="H2833" s="223"/>
      <c r="I2833" s="298">
        <f>IFERROR(__xludf.DUMMYFUNCTION("""COMPUTED_VALUE"""),662.5)</f>
        <v>662.5</v>
      </c>
      <c r="J2833" s="223" t="str">
        <f>IFERROR(__xludf.DUMMYFUNCTION("""COMPUTED_VALUE"""),"Monthly")</f>
        <v>Monthly</v>
      </c>
      <c r="K2833" s="317">
        <f>IFERROR(__xludf.DUMMYFUNCTION("""COMPUTED_VALUE"""),2023.06)</f>
        <v>2023.06</v>
      </c>
      <c r="L2833" s="298"/>
      <c r="M2833" s="223"/>
      <c r="N2833" s="223"/>
      <c r="O2833" s="223"/>
      <c r="P2833" s="223"/>
      <c r="Q2833" s="223"/>
      <c r="R2833" s="223"/>
      <c r="S2833" s="223"/>
      <c r="T2833" s="223"/>
      <c r="U2833" s="223"/>
      <c r="V2833" s="223"/>
      <c r="W2833" s="223"/>
      <c r="X2833" s="223"/>
      <c r="Y2833" s="223"/>
      <c r="Z2833" s="223"/>
    </row>
    <row r="2834">
      <c r="A2834" s="223" t="str">
        <f>IFERROR(__xludf.DUMMYFUNCTION("""COMPUTED_VALUE"""),"TisBest : Monthly Services")</f>
        <v>TisBest : Monthly Services</v>
      </c>
      <c r="B2834" s="223" t="str">
        <f>IFERROR(__xludf.DUMMYFUNCTION("""COMPUTED_VALUE"""),"TisBest")</f>
        <v>TisBest</v>
      </c>
      <c r="C2834" s="223" t="str">
        <f>IFERROR(__xludf.DUMMYFUNCTION("""COMPUTED_VALUE"""),"Monthly Services")</f>
        <v>Monthly Services</v>
      </c>
      <c r="D2834" s="316">
        <f>IFERROR(__xludf.DUMMYFUNCTION("""COMPUTED_VALUE"""),45107.0)</f>
        <v>45107</v>
      </c>
      <c r="E2834" s="298"/>
      <c r="F2834" s="298"/>
      <c r="G2834" s="298"/>
      <c r="H2834" s="223"/>
      <c r="I2834" s="298">
        <f>IFERROR(__xludf.DUMMYFUNCTION("""COMPUTED_VALUE"""),825.0)</f>
        <v>825</v>
      </c>
      <c r="J2834" s="223" t="str">
        <f>IFERROR(__xludf.DUMMYFUNCTION("""COMPUTED_VALUE"""),"Monthly")</f>
        <v>Monthly</v>
      </c>
      <c r="K2834" s="317">
        <f>IFERROR(__xludf.DUMMYFUNCTION("""COMPUTED_VALUE"""),2023.06)</f>
        <v>2023.06</v>
      </c>
      <c r="L2834" s="298"/>
      <c r="M2834" s="223"/>
      <c r="N2834" s="223"/>
      <c r="O2834" s="223"/>
      <c r="P2834" s="223"/>
      <c r="Q2834" s="223"/>
      <c r="R2834" s="223"/>
      <c r="S2834" s="223"/>
      <c r="T2834" s="223"/>
      <c r="U2834" s="223"/>
      <c r="V2834" s="223"/>
      <c r="W2834" s="223"/>
      <c r="X2834" s="223"/>
      <c r="Y2834" s="223"/>
      <c r="Z2834" s="223"/>
    </row>
    <row r="2835">
      <c r="A2835" s="223" t="str">
        <f>IFERROR(__xludf.DUMMYFUNCTION("""COMPUTED_VALUE"""),"Tofino Resort + Marina : Monthly Services")</f>
        <v>Tofino Resort + Marina : Monthly Services</v>
      </c>
      <c r="B2835" s="223" t="str">
        <f>IFERROR(__xludf.DUMMYFUNCTION("""COMPUTED_VALUE"""),"Tofino Resort + Marina")</f>
        <v>Tofino Resort + Marina</v>
      </c>
      <c r="C2835" s="223" t="str">
        <f>IFERROR(__xludf.DUMMYFUNCTION("""COMPUTED_VALUE"""),"Monthly Services")</f>
        <v>Monthly Services</v>
      </c>
      <c r="D2835" s="316">
        <f>IFERROR(__xludf.DUMMYFUNCTION("""COMPUTED_VALUE"""),45107.0)</f>
        <v>45107</v>
      </c>
      <c r="E2835" s="298"/>
      <c r="F2835" s="298"/>
      <c r="G2835" s="298"/>
      <c r="H2835" s="223"/>
      <c r="I2835" s="298">
        <f>IFERROR(__xludf.DUMMYFUNCTION("""COMPUTED_VALUE"""),450.0)</f>
        <v>450</v>
      </c>
      <c r="J2835" s="223" t="str">
        <f>IFERROR(__xludf.DUMMYFUNCTION("""COMPUTED_VALUE"""),"Monthly")</f>
        <v>Monthly</v>
      </c>
      <c r="K2835" s="317">
        <f>IFERROR(__xludf.DUMMYFUNCTION("""COMPUTED_VALUE"""),2023.06)</f>
        <v>2023.06</v>
      </c>
      <c r="L2835" s="298"/>
      <c r="M2835" s="223"/>
      <c r="N2835" s="223"/>
      <c r="O2835" s="223"/>
      <c r="P2835" s="223"/>
      <c r="Q2835" s="223"/>
      <c r="R2835" s="223"/>
      <c r="S2835" s="223"/>
      <c r="T2835" s="223"/>
      <c r="U2835" s="223"/>
      <c r="V2835" s="223"/>
      <c r="W2835" s="223"/>
      <c r="X2835" s="223"/>
      <c r="Y2835" s="223"/>
      <c r="Z2835" s="223"/>
    </row>
    <row r="2836">
      <c r="A2836" s="223" t="str">
        <f>IFERROR(__xludf.DUMMYFUNCTION("""COMPUTED_VALUE"""),"Red Ear Research : Website")</f>
        <v>Red Ear Research : Website</v>
      </c>
      <c r="B2836" s="223" t="str">
        <f>IFERROR(__xludf.DUMMYFUNCTION("""COMPUTED_VALUE"""),"Red Ear Research")</f>
        <v>Red Ear Research</v>
      </c>
      <c r="C2836" s="223" t="str">
        <f>IFERROR(__xludf.DUMMYFUNCTION("""COMPUTED_VALUE"""),"Website")</f>
        <v>Website</v>
      </c>
      <c r="D2836" s="316">
        <f>IFERROR(__xludf.DUMMYFUNCTION("""COMPUTED_VALUE"""),45107.0)</f>
        <v>45107</v>
      </c>
      <c r="E2836" s="298"/>
      <c r="F2836" s="298"/>
      <c r="G2836" s="298"/>
      <c r="H2836" s="223"/>
      <c r="I2836" s="298">
        <f>IFERROR(__xludf.DUMMYFUNCTION("""COMPUTED_VALUE"""),250.0)</f>
        <v>250</v>
      </c>
      <c r="J2836" s="223" t="str">
        <f>IFERROR(__xludf.DUMMYFUNCTION("""COMPUTED_VALUE"""),"Fixed Project")</f>
        <v>Fixed Project</v>
      </c>
      <c r="K2836" s="317">
        <f>IFERROR(__xludf.DUMMYFUNCTION("""COMPUTED_VALUE"""),2023.0)</f>
        <v>2023</v>
      </c>
      <c r="L2836" s="298"/>
      <c r="M2836" s="223"/>
      <c r="N2836" s="223"/>
      <c r="O2836" s="223"/>
      <c r="P2836" s="223"/>
      <c r="Q2836" s="223"/>
      <c r="R2836" s="223"/>
      <c r="S2836" s="223"/>
      <c r="T2836" s="223"/>
      <c r="U2836" s="223"/>
      <c r="V2836" s="223"/>
      <c r="W2836" s="223"/>
      <c r="X2836" s="223"/>
      <c r="Y2836" s="223"/>
      <c r="Z2836" s="223"/>
    </row>
    <row r="2837">
      <c r="A2837" s="223" t="str">
        <f>IFERROR(__xludf.DUMMYFUNCTION("""COMPUTED_VALUE"""),"OA Region 6 : Monthly Services")</f>
        <v>OA Region 6 : Monthly Services</v>
      </c>
      <c r="B2837" s="223" t="str">
        <f>IFERROR(__xludf.DUMMYFUNCTION("""COMPUTED_VALUE"""),"OA Region 6")</f>
        <v>OA Region 6</v>
      </c>
      <c r="C2837" s="223" t="str">
        <f>IFERROR(__xludf.DUMMYFUNCTION("""COMPUTED_VALUE"""),"Monthly Services")</f>
        <v>Monthly Services</v>
      </c>
      <c r="D2837" s="316">
        <f>IFERROR(__xludf.DUMMYFUNCTION("""COMPUTED_VALUE"""),45107.0)</f>
        <v>45107</v>
      </c>
      <c r="E2837" s="298"/>
      <c r="F2837" s="298"/>
      <c r="G2837" s="298"/>
      <c r="H2837" s="223"/>
      <c r="I2837" s="298">
        <f>IFERROR(__xludf.DUMMYFUNCTION("""COMPUTED_VALUE"""),150.0)</f>
        <v>150</v>
      </c>
      <c r="J2837" s="223" t="str">
        <f>IFERROR(__xludf.DUMMYFUNCTION("""COMPUTED_VALUE"""),"Monthly")</f>
        <v>Monthly</v>
      </c>
      <c r="K2837" s="317">
        <f>IFERROR(__xludf.DUMMYFUNCTION("""COMPUTED_VALUE"""),2023.06)</f>
        <v>2023.06</v>
      </c>
      <c r="L2837" s="298"/>
      <c r="M2837" s="223"/>
      <c r="N2837" s="223"/>
      <c r="O2837" s="223"/>
      <c r="P2837" s="223"/>
      <c r="Q2837" s="223"/>
      <c r="R2837" s="223"/>
      <c r="S2837" s="223"/>
      <c r="T2837" s="223"/>
      <c r="U2837" s="223"/>
      <c r="V2837" s="223"/>
      <c r="W2837" s="223"/>
      <c r="X2837" s="223"/>
      <c r="Y2837" s="223"/>
      <c r="Z2837" s="223"/>
    </row>
    <row r="2838">
      <c r="A2838" s="223" t="str">
        <f>IFERROR(__xludf.DUMMYFUNCTION("""COMPUTED_VALUE"""),"Availed Technologies : Monthly Services")</f>
        <v>Availed Technologies : Monthly Services</v>
      </c>
      <c r="B2838" s="223" t="str">
        <f>IFERROR(__xludf.DUMMYFUNCTION("""COMPUTED_VALUE"""),"Availed Technologies")</f>
        <v>Availed Technologies</v>
      </c>
      <c r="C2838" s="223" t="str">
        <f>IFERROR(__xludf.DUMMYFUNCTION("""COMPUTED_VALUE"""),"Monthly Services")</f>
        <v>Monthly Services</v>
      </c>
      <c r="D2838" s="316">
        <f>IFERROR(__xludf.DUMMYFUNCTION("""COMPUTED_VALUE"""),45107.0)</f>
        <v>45107</v>
      </c>
      <c r="E2838" s="298"/>
      <c r="F2838" s="298"/>
      <c r="G2838" s="298"/>
      <c r="H2838" s="223"/>
      <c r="I2838" s="298">
        <f>IFERROR(__xludf.DUMMYFUNCTION("""COMPUTED_VALUE"""),387.5)</f>
        <v>387.5</v>
      </c>
      <c r="J2838" s="223" t="str">
        <f>IFERROR(__xludf.DUMMYFUNCTION("""COMPUTED_VALUE"""),"Monthly")</f>
        <v>Monthly</v>
      </c>
      <c r="K2838" s="317">
        <f>IFERROR(__xludf.DUMMYFUNCTION("""COMPUTED_VALUE"""),2023.06)</f>
        <v>2023.06</v>
      </c>
      <c r="L2838" s="298"/>
      <c r="M2838" s="223"/>
      <c r="N2838" s="223"/>
      <c r="O2838" s="223"/>
      <c r="P2838" s="223"/>
      <c r="Q2838" s="223"/>
      <c r="R2838" s="223"/>
      <c r="S2838" s="223"/>
      <c r="T2838" s="223"/>
      <c r="U2838" s="223"/>
      <c r="V2838" s="223"/>
      <c r="W2838" s="223"/>
      <c r="X2838" s="223"/>
      <c r="Y2838" s="223"/>
      <c r="Z2838" s="223"/>
    </row>
    <row r="2839">
      <c r="A2839" s="223" t="str">
        <f>IFERROR(__xludf.DUMMYFUNCTION("""COMPUTED_VALUE"""),"Community Financials : Monthly Services")</f>
        <v>Community Financials : Monthly Services</v>
      </c>
      <c r="B2839" s="223" t="str">
        <f>IFERROR(__xludf.DUMMYFUNCTION("""COMPUTED_VALUE"""),"Community Financials")</f>
        <v>Community Financials</v>
      </c>
      <c r="C2839" s="223" t="str">
        <f>IFERROR(__xludf.DUMMYFUNCTION("""COMPUTED_VALUE"""),"Monthly Services")</f>
        <v>Monthly Services</v>
      </c>
      <c r="D2839" s="316">
        <f>IFERROR(__xludf.DUMMYFUNCTION("""COMPUTED_VALUE"""),45107.0)</f>
        <v>45107</v>
      </c>
      <c r="E2839" s="298"/>
      <c r="F2839" s="298"/>
      <c r="G2839" s="298"/>
      <c r="H2839" s="223"/>
      <c r="I2839" s="298">
        <f>IFERROR(__xludf.DUMMYFUNCTION("""COMPUTED_VALUE"""),350.0)</f>
        <v>350</v>
      </c>
      <c r="J2839" s="223" t="str">
        <f>IFERROR(__xludf.DUMMYFUNCTION("""COMPUTED_VALUE"""),"Monthly")</f>
        <v>Monthly</v>
      </c>
      <c r="K2839" s="317">
        <f>IFERROR(__xludf.DUMMYFUNCTION("""COMPUTED_VALUE"""),2023.06)</f>
        <v>2023.06</v>
      </c>
      <c r="L2839" s="298"/>
      <c r="M2839" s="223"/>
      <c r="N2839" s="223"/>
      <c r="O2839" s="223"/>
      <c r="P2839" s="223"/>
      <c r="Q2839" s="223"/>
      <c r="R2839" s="223"/>
      <c r="S2839" s="223"/>
      <c r="T2839" s="223"/>
      <c r="U2839" s="223"/>
      <c r="V2839" s="223"/>
      <c r="W2839" s="223"/>
      <c r="X2839" s="223"/>
      <c r="Y2839" s="223"/>
      <c r="Z2839" s="223"/>
    </row>
    <row r="2840">
      <c r="A2840" s="223" t="str">
        <f>IFERROR(__xludf.DUMMYFUNCTION("""COMPUTED_VALUE"""),"Howard Fine Jewellers : Ongoing PPC and SEO Support")</f>
        <v>Howard Fine Jewellers : Ongoing PPC and SEO Support</v>
      </c>
      <c r="B2840" s="223" t="str">
        <f>IFERROR(__xludf.DUMMYFUNCTION("""COMPUTED_VALUE"""),"Howard Fine Jewellers")</f>
        <v>Howard Fine Jewellers</v>
      </c>
      <c r="C2840" s="223" t="str">
        <f>IFERROR(__xludf.DUMMYFUNCTION("""COMPUTED_VALUE"""),"Ongoing PPC and SEO Support")</f>
        <v>Ongoing PPC and SEO Support</v>
      </c>
      <c r="D2840" s="316">
        <f>IFERROR(__xludf.DUMMYFUNCTION("""COMPUTED_VALUE"""),45107.0)</f>
        <v>45107</v>
      </c>
      <c r="E2840" s="298"/>
      <c r="F2840" s="298"/>
      <c r="G2840" s="298"/>
      <c r="H2840" s="223"/>
      <c r="I2840" s="298">
        <f>IFERROR(__xludf.DUMMYFUNCTION("""COMPUTED_VALUE"""),300.0)</f>
        <v>300</v>
      </c>
      <c r="J2840" s="223" t="str">
        <f>IFERROR(__xludf.DUMMYFUNCTION("""COMPUTED_VALUE"""),"Monthly")</f>
        <v>Monthly</v>
      </c>
      <c r="K2840" s="317">
        <f>IFERROR(__xludf.DUMMYFUNCTION("""COMPUTED_VALUE"""),2023.06)</f>
        <v>2023.06</v>
      </c>
      <c r="L2840" s="298"/>
      <c r="M2840" s="223"/>
      <c r="N2840" s="223"/>
      <c r="O2840" s="223"/>
      <c r="P2840" s="223"/>
      <c r="Q2840" s="223"/>
      <c r="R2840" s="223"/>
      <c r="S2840" s="223"/>
      <c r="T2840" s="223"/>
      <c r="U2840" s="223"/>
      <c r="V2840" s="223"/>
      <c r="W2840" s="223"/>
      <c r="X2840" s="223"/>
      <c r="Y2840" s="223"/>
      <c r="Z2840" s="223"/>
    </row>
    <row r="2841">
      <c r="A2841" s="223" t="str">
        <f>IFERROR(__xludf.DUMMYFUNCTION("""COMPUTED_VALUE"""),"WhistleBlower Security : Monthly PPC and SEO")</f>
        <v>WhistleBlower Security : Monthly PPC and SEO</v>
      </c>
      <c r="B2841" s="223" t="str">
        <f>IFERROR(__xludf.DUMMYFUNCTION("""COMPUTED_VALUE"""),"WhistleBlower Security")</f>
        <v>WhistleBlower Security</v>
      </c>
      <c r="C2841" s="223" t="str">
        <f>IFERROR(__xludf.DUMMYFUNCTION("""COMPUTED_VALUE"""),"Monthly PPC and SEO")</f>
        <v>Monthly PPC and SEO</v>
      </c>
      <c r="D2841" s="316">
        <f>IFERROR(__xludf.DUMMYFUNCTION("""COMPUTED_VALUE"""),45107.0)</f>
        <v>45107</v>
      </c>
      <c r="E2841" s="298"/>
      <c r="F2841" s="298"/>
      <c r="G2841" s="298"/>
      <c r="H2841" s="223"/>
      <c r="I2841" s="298">
        <f>IFERROR(__xludf.DUMMYFUNCTION("""COMPUTED_VALUE"""),552.5)</f>
        <v>552.5</v>
      </c>
      <c r="J2841" s="223" t="str">
        <f>IFERROR(__xludf.DUMMYFUNCTION("""COMPUTED_VALUE"""),"Monthly")</f>
        <v>Monthly</v>
      </c>
      <c r="K2841" s="317">
        <f>IFERROR(__xludf.DUMMYFUNCTION("""COMPUTED_VALUE"""),2023.06)</f>
        <v>2023.06</v>
      </c>
      <c r="L2841" s="298"/>
      <c r="M2841" s="223"/>
      <c r="N2841" s="223"/>
      <c r="O2841" s="223"/>
      <c r="P2841" s="223"/>
      <c r="Q2841" s="223"/>
      <c r="R2841" s="223"/>
      <c r="S2841" s="223"/>
      <c r="T2841" s="223"/>
      <c r="U2841" s="223"/>
      <c r="V2841" s="223"/>
      <c r="W2841" s="223"/>
      <c r="X2841" s="223"/>
      <c r="Y2841" s="223"/>
      <c r="Z2841" s="223"/>
    </row>
    <row r="2842">
      <c r="A2842" s="223" t="str">
        <f>IFERROR(__xludf.DUMMYFUNCTION("""COMPUTED_VALUE"""),"McAllister Marketing : Copernic PPC / SEO")</f>
        <v>McAllister Marketing : Copernic PPC / SEO</v>
      </c>
      <c r="B2842" s="223" t="str">
        <f>IFERROR(__xludf.DUMMYFUNCTION("""COMPUTED_VALUE"""),"McAllister Marketing")</f>
        <v>McAllister Marketing</v>
      </c>
      <c r="C2842" s="223" t="str">
        <f>IFERROR(__xludf.DUMMYFUNCTION("""COMPUTED_VALUE"""),"Copernic PPC / SEO")</f>
        <v>Copernic PPC / SEO</v>
      </c>
      <c r="D2842" s="316">
        <f>IFERROR(__xludf.DUMMYFUNCTION("""COMPUTED_VALUE"""),45107.0)</f>
        <v>45107</v>
      </c>
      <c r="E2842" s="298"/>
      <c r="F2842" s="298"/>
      <c r="G2842" s="298"/>
      <c r="H2842" s="223"/>
      <c r="I2842" s="298">
        <f>IFERROR(__xludf.DUMMYFUNCTION("""COMPUTED_VALUE"""),265.0)</f>
        <v>265</v>
      </c>
      <c r="J2842" s="223" t="str">
        <f>IFERROR(__xludf.DUMMYFUNCTION("""COMPUTED_VALUE"""),"Monthly")</f>
        <v>Monthly</v>
      </c>
      <c r="K2842" s="317">
        <f>IFERROR(__xludf.DUMMYFUNCTION("""COMPUTED_VALUE"""),2023.06)</f>
        <v>2023.06</v>
      </c>
      <c r="L2842" s="298"/>
      <c r="M2842" s="223"/>
      <c r="N2842" s="223"/>
      <c r="O2842" s="223"/>
      <c r="P2842" s="223"/>
      <c r="Q2842" s="223"/>
      <c r="R2842" s="223"/>
      <c r="S2842" s="223"/>
      <c r="T2842" s="223"/>
      <c r="U2842" s="223"/>
      <c r="V2842" s="223"/>
      <c r="W2842" s="223"/>
      <c r="X2842" s="223"/>
      <c r="Y2842" s="223"/>
      <c r="Z2842" s="223"/>
    </row>
    <row r="2843">
      <c r="A2843" s="223" t="str">
        <f>IFERROR(__xludf.DUMMYFUNCTION("""COMPUTED_VALUE"""),"Ultimate Tools : Monthly SEO &amp; PPC Management")</f>
        <v>Ultimate Tools : Monthly SEO &amp; PPC Management</v>
      </c>
      <c r="B2843" s="223" t="str">
        <f>IFERROR(__xludf.DUMMYFUNCTION("""COMPUTED_VALUE"""),"Ultimate Tools")</f>
        <v>Ultimate Tools</v>
      </c>
      <c r="C2843" s="223" t="str">
        <f>IFERROR(__xludf.DUMMYFUNCTION("""COMPUTED_VALUE"""),"Monthly SEO &amp; PPC Management")</f>
        <v>Monthly SEO &amp; PPC Management</v>
      </c>
      <c r="D2843" s="316">
        <f>IFERROR(__xludf.DUMMYFUNCTION("""COMPUTED_VALUE"""),45107.0)</f>
        <v>45107</v>
      </c>
      <c r="E2843" s="298"/>
      <c r="F2843" s="298"/>
      <c r="G2843" s="298"/>
      <c r="H2843" s="223"/>
      <c r="I2843" s="298">
        <f>IFERROR(__xludf.DUMMYFUNCTION("""COMPUTED_VALUE"""),200.0)</f>
        <v>200</v>
      </c>
      <c r="J2843" s="223" t="str">
        <f>IFERROR(__xludf.DUMMYFUNCTION("""COMPUTED_VALUE"""),"Monthly")</f>
        <v>Monthly</v>
      </c>
      <c r="K2843" s="317">
        <f>IFERROR(__xludf.DUMMYFUNCTION("""COMPUTED_VALUE"""),2023.06)</f>
        <v>2023.06</v>
      </c>
      <c r="L2843" s="298"/>
      <c r="M2843" s="223"/>
      <c r="N2843" s="223"/>
      <c r="O2843" s="223"/>
      <c r="P2843" s="223"/>
      <c r="Q2843" s="223"/>
      <c r="R2843" s="223"/>
      <c r="S2843" s="223"/>
      <c r="T2843" s="223"/>
      <c r="U2843" s="223"/>
      <c r="V2843" s="223"/>
      <c r="W2843" s="223"/>
      <c r="X2843" s="223"/>
      <c r="Y2843" s="223"/>
      <c r="Z2843" s="223"/>
    </row>
    <row r="2844">
      <c r="A2844" s="223" t="str">
        <f>IFERROR(__xludf.DUMMYFUNCTION("""COMPUTED_VALUE"""),"Limbic Media : Grant Project")</f>
        <v>Limbic Media : Grant Project</v>
      </c>
      <c r="B2844" s="223" t="str">
        <f>IFERROR(__xludf.DUMMYFUNCTION("""COMPUTED_VALUE"""),"Limbic Media")</f>
        <v>Limbic Media</v>
      </c>
      <c r="C2844" s="223" t="str">
        <f>IFERROR(__xludf.DUMMYFUNCTION("""COMPUTED_VALUE"""),"Grant Project")</f>
        <v>Grant Project</v>
      </c>
      <c r="D2844" s="316">
        <f>IFERROR(__xludf.DUMMYFUNCTION("""COMPUTED_VALUE"""),45107.0)</f>
        <v>45107</v>
      </c>
      <c r="E2844" s="298"/>
      <c r="F2844" s="298"/>
      <c r="G2844" s="298"/>
      <c r="H2844" s="223"/>
      <c r="I2844" s="298">
        <f>IFERROR(__xludf.DUMMYFUNCTION("""COMPUTED_VALUE"""),315.0)</f>
        <v>315</v>
      </c>
      <c r="J2844" s="223" t="str">
        <f>IFERROR(__xludf.DUMMYFUNCTION("""COMPUTED_VALUE"""),"Fixed Project")</f>
        <v>Fixed Project</v>
      </c>
      <c r="K2844" s="317">
        <f>IFERROR(__xludf.DUMMYFUNCTION("""COMPUTED_VALUE"""),2023.0)</f>
        <v>2023</v>
      </c>
      <c r="L2844" s="298"/>
      <c r="M2844" s="223"/>
      <c r="N2844" s="223"/>
      <c r="O2844" s="223"/>
      <c r="P2844" s="223"/>
      <c r="Q2844" s="223"/>
      <c r="R2844" s="223"/>
      <c r="S2844" s="223"/>
      <c r="T2844" s="223"/>
      <c r="U2844" s="223"/>
      <c r="V2844" s="223"/>
      <c r="W2844" s="223"/>
      <c r="X2844" s="223"/>
      <c r="Y2844" s="223"/>
      <c r="Z2844" s="223"/>
    </row>
    <row r="2845">
      <c r="A2845" s="223" t="str">
        <f>IFERROR(__xludf.DUMMYFUNCTION("""COMPUTED_VALUE"""),"PlusROI : Admin")</f>
        <v>PlusROI : Admin</v>
      </c>
      <c r="B2845" s="223" t="str">
        <f>IFERROR(__xludf.DUMMYFUNCTION("""COMPUTED_VALUE"""),"PlusROI")</f>
        <v>PlusROI</v>
      </c>
      <c r="C2845" s="223" t="str">
        <f>IFERROR(__xludf.DUMMYFUNCTION("""COMPUTED_VALUE"""),"Admin")</f>
        <v>Admin</v>
      </c>
      <c r="D2845" s="316">
        <f>IFERROR(__xludf.DUMMYFUNCTION("""COMPUTED_VALUE"""),45123.0)</f>
        <v>45123</v>
      </c>
      <c r="E2845" s="298"/>
      <c r="F2845" s="298"/>
      <c r="G2845" s="298"/>
      <c r="H2845" s="223"/>
      <c r="I2845" s="298">
        <f>IFERROR(__xludf.DUMMYFUNCTION("""COMPUTED_VALUE"""),3.13)</f>
        <v>3.13</v>
      </c>
      <c r="J2845" s="223" t="str">
        <f>IFERROR(__xludf.DUMMYFUNCTION("""COMPUTED_VALUE"""),"Hourly")</f>
        <v>Hourly</v>
      </c>
      <c r="K2845" s="317">
        <f>IFERROR(__xludf.DUMMYFUNCTION("""COMPUTED_VALUE"""),2023.0)</f>
        <v>2023</v>
      </c>
      <c r="L2845" s="298"/>
      <c r="M2845" s="223"/>
      <c r="N2845" s="223"/>
      <c r="O2845" s="223"/>
      <c r="P2845" s="223"/>
      <c r="Q2845" s="223"/>
      <c r="R2845" s="223"/>
      <c r="S2845" s="223"/>
      <c r="T2845" s="223"/>
      <c r="U2845" s="223"/>
      <c r="V2845" s="223"/>
      <c r="W2845" s="223"/>
      <c r="X2845" s="223"/>
      <c r="Y2845" s="223"/>
      <c r="Z2845" s="223"/>
    </row>
    <row r="2846">
      <c r="A2846" s="223" t="str">
        <f>IFERROR(__xludf.DUMMYFUNCTION("""COMPUTED_VALUE"""),"PlusROI : Admin")</f>
        <v>PlusROI : Admin</v>
      </c>
      <c r="B2846" s="223" t="str">
        <f>IFERROR(__xludf.DUMMYFUNCTION("""COMPUTED_VALUE"""),"PlusROI")</f>
        <v>PlusROI</v>
      </c>
      <c r="C2846" s="223" t="str">
        <f>IFERROR(__xludf.DUMMYFUNCTION("""COMPUTED_VALUE"""),"Admin")</f>
        <v>Admin</v>
      </c>
      <c r="D2846" s="316">
        <f>IFERROR(__xludf.DUMMYFUNCTION("""COMPUTED_VALUE"""),45123.0)</f>
        <v>45123</v>
      </c>
      <c r="E2846" s="298"/>
      <c r="F2846" s="298"/>
      <c r="G2846" s="298"/>
      <c r="H2846" s="223"/>
      <c r="I2846" s="298">
        <f>IFERROR(__xludf.DUMMYFUNCTION("""COMPUTED_VALUE"""),135.93)</f>
        <v>135.93</v>
      </c>
      <c r="J2846" s="223" t="str">
        <f>IFERROR(__xludf.DUMMYFUNCTION("""COMPUTED_VALUE"""),"Hourly")</f>
        <v>Hourly</v>
      </c>
      <c r="K2846" s="317">
        <f>IFERROR(__xludf.DUMMYFUNCTION("""COMPUTED_VALUE"""),2023.0)</f>
        <v>2023</v>
      </c>
      <c r="L2846" s="298"/>
      <c r="M2846" s="223"/>
      <c r="N2846" s="223"/>
      <c r="O2846" s="223"/>
      <c r="P2846" s="223"/>
      <c r="Q2846" s="223"/>
      <c r="R2846" s="223"/>
      <c r="S2846" s="223"/>
      <c r="T2846" s="223"/>
      <c r="U2846" s="223"/>
      <c r="V2846" s="223"/>
      <c r="W2846" s="223"/>
      <c r="X2846" s="223"/>
      <c r="Y2846" s="223"/>
      <c r="Z2846" s="223"/>
    </row>
    <row r="2847">
      <c r="A2847" s="223" t="str">
        <f>IFERROR(__xludf.DUMMYFUNCTION("""COMPUTED_VALUE"""),"PlusROI : Marketing")</f>
        <v>PlusROI : Marketing</v>
      </c>
      <c r="B2847" s="223" t="str">
        <f>IFERROR(__xludf.DUMMYFUNCTION("""COMPUTED_VALUE"""),"PlusROI")</f>
        <v>PlusROI</v>
      </c>
      <c r="C2847" s="223" t="str">
        <f>IFERROR(__xludf.DUMMYFUNCTION("""COMPUTED_VALUE"""),"Marketing")</f>
        <v>Marketing</v>
      </c>
      <c r="D2847" s="316">
        <f>IFERROR(__xludf.DUMMYFUNCTION("""COMPUTED_VALUE"""),45123.0)</f>
        <v>45123</v>
      </c>
      <c r="E2847" s="298"/>
      <c r="F2847" s="298"/>
      <c r="G2847" s="298"/>
      <c r="H2847" s="223"/>
      <c r="I2847" s="298">
        <f>IFERROR(__xludf.DUMMYFUNCTION("""COMPUTED_VALUE"""),277.77)</f>
        <v>277.77</v>
      </c>
      <c r="J2847" s="223" t="str">
        <f>IFERROR(__xludf.DUMMYFUNCTION("""COMPUTED_VALUE"""),"Hourly")</f>
        <v>Hourly</v>
      </c>
      <c r="K2847" s="317">
        <f>IFERROR(__xludf.DUMMYFUNCTION("""COMPUTED_VALUE"""),2023.0)</f>
        <v>2023</v>
      </c>
      <c r="L2847" s="298"/>
      <c r="M2847" s="223"/>
      <c r="N2847" s="223"/>
      <c r="O2847" s="223"/>
      <c r="P2847" s="223"/>
      <c r="Q2847" s="223"/>
      <c r="R2847" s="223"/>
      <c r="S2847" s="223"/>
      <c r="T2847" s="223"/>
      <c r="U2847" s="223"/>
      <c r="V2847" s="223"/>
      <c r="W2847" s="223"/>
      <c r="X2847" s="223"/>
      <c r="Y2847" s="223"/>
      <c r="Z2847" s="223"/>
    </row>
    <row r="2848">
      <c r="A2848" s="223" t="str">
        <f>IFERROR(__xludf.DUMMYFUNCTION("""COMPUTED_VALUE"""),"PlusROI : Admin")</f>
        <v>PlusROI : Admin</v>
      </c>
      <c r="B2848" s="223" t="str">
        <f>IFERROR(__xludf.DUMMYFUNCTION("""COMPUTED_VALUE"""),"PlusROI")</f>
        <v>PlusROI</v>
      </c>
      <c r="C2848" s="223" t="str">
        <f>IFERROR(__xludf.DUMMYFUNCTION("""COMPUTED_VALUE"""),"Admin")</f>
        <v>Admin</v>
      </c>
      <c r="D2848" s="316">
        <f>IFERROR(__xludf.DUMMYFUNCTION("""COMPUTED_VALUE"""),45123.0)</f>
        <v>45123</v>
      </c>
      <c r="E2848" s="298"/>
      <c r="F2848" s="298"/>
      <c r="G2848" s="298"/>
      <c r="H2848" s="223"/>
      <c r="I2848" s="298">
        <f>IFERROR(__xludf.DUMMYFUNCTION("""COMPUTED_VALUE"""),14.67)</f>
        <v>14.67</v>
      </c>
      <c r="J2848" s="223" t="str">
        <f>IFERROR(__xludf.DUMMYFUNCTION("""COMPUTED_VALUE"""),"Hourly")</f>
        <v>Hourly</v>
      </c>
      <c r="K2848" s="317">
        <f>IFERROR(__xludf.DUMMYFUNCTION("""COMPUTED_VALUE"""),2023.0)</f>
        <v>2023</v>
      </c>
      <c r="L2848" s="298"/>
      <c r="M2848" s="223"/>
      <c r="N2848" s="223"/>
      <c r="O2848" s="223"/>
      <c r="P2848" s="223"/>
      <c r="Q2848" s="223"/>
      <c r="R2848" s="223"/>
      <c r="S2848" s="223"/>
      <c r="T2848" s="223"/>
      <c r="U2848" s="223"/>
      <c r="V2848" s="223"/>
      <c r="W2848" s="223"/>
      <c r="X2848" s="223"/>
      <c r="Y2848" s="223"/>
      <c r="Z2848" s="223"/>
    </row>
    <row r="2849">
      <c r="A2849" s="223" t="str">
        <f>IFERROR(__xludf.DUMMYFUNCTION("""COMPUTED_VALUE"""),"PlusROI : Marketing")</f>
        <v>PlusROI : Marketing</v>
      </c>
      <c r="B2849" s="223" t="str">
        <f>IFERROR(__xludf.DUMMYFUNCTION("""COMPUTED_VALUE"""),"PlusROI")</f>
        <v>PlusROI</v>
      </c>
      <c r="C2849" s="223" t="str">
        <f>IFERROR(__xludf.DUMMYFUNCTION("""COMPUTED_VALUE"""),"Marketing")</f>
        <v>Marketing</v>
      </c>
      <c r="D2849" s="316">
        <f>IFERROR(__xludf.DUMMYFUNCTION("""COMPUTED_VALUE"""),45123.0)</f>
        <v>45123</v>
      </c>
      <c r="E2849" s="298"/>
      <c r="F2849" s="298"/>
      <c r="G2849" s="298"/>
      <c r="H2849" s="223"/>
      <c r="I2849" s="298">
        <f>IFERROR(__xludf.DUMMYFUNCTION("""COMPUTED_VALUE"""),144.6)</f>
        <v>144.6</v>
      </c>
      <c r="J2849" s="223" t="str">
        <f>IFERROR(__xludf.DUMMYFUNCTION("""COMPUTED_VALUE"""),"Hourly")</f>
        <v>Hourly</v>
      </c>
      <c r="K2849" s="317">
        <f>IFERROR(__xludf.DUMMYFUNCTION("""COMPUTED_VALUE"""),2023.0)</f>
        <v>2023</v>
      </c>
      <c r="L2849" s="298"/>
      <c r="M2849" s="223"/>
      <c r="N2849" s="223"/>
      <c r="O2849" s="223"/>
      <c r="P2849" s="223"/>
      <c r="Q2849" s="223"/>
      <c r="R2849" s="223"/>
      <c r="S2849" s="223"/>
      <c r="T2849" s="223"/>
      <c r="U2849" s="223"/>
      <c r="V2849" s="223"/>
      <c r="W2849" s="223"/>
      <c r="X2849" s="223"/>
      <c r="Y2849" s="223"/>
      <c r="Z2849" s="223"/>
    </row>
    <row r="2850">
      <c r="A2850" s="223" t="str">
        <f>IFERROR(__xludf.DUMMYFUNCTION("""COMPUTED_VALUE"""),"PlusROI : Marketing")</f>
        <v>PlusROI : Marketing</v>
      </c>
      <c r="B2850" s="223" t="str">
        <f>IFERROR(__xludf.DUMMYFUNCTION("""COMPUTED_VALUE"""),"PlusROI")</f>
        <v>PlusROI</v>
      </c>
      <c r="C2850" s="223" t="str">
        <f>IFERROR(__xludf.DUMMYFUNCTION("""COMPUTED_VALUE"""),"Marketing")</f>
        <v>Marketing</v>
      </c>
      <c r="D2850" s="316">
        <f>IFERROR(__xludf.DUMMYFUNCTION("""COMPUTED_VALUE"""),45123.0)</f>
        <v>45123</v>
      </c>
      <c r="E2850" s="298"/>
      <c r="F2850" s="298"/>
      <c r="G2850" s="298"/>
      <c r="H2850" s="223"/>
      <c r="I2850" s="298">
        <f>IFERROR(__xludf.DUMMYFUNCTION("""COMPUTED_VALUE"""),39.37)</f>
        <v>39.37</v>
      </c>
      <c r="J2850" s="223" t="str">
        <f>IFERROR(__xludf.DUMMYFUNCTION("""COMPUTED_VALUE"""),"Hourly")</f>
        <v>Hourly</v>
      </c>
      <c r="K2850" s="317">
        <f>IFERROR(__xludf.DUMMYFUNCTION("""COMPUTED_VALUE"""),2023.0)</f>
        <v>2023</v>
      </c>
      <c r="L2850" s="298"/>
      <c r="M2850" s="223"/>
      <c r="N2850" s="223"/>
      <c r="O2850" s="223"/>
      <c r="P2850" s="223"/>
      <c r="Q2850" s="223"/>
      <c r="R2850" s="223"/>
      <c r="S2850" s="223"/>
      <c r="T2850" s="223"/>
      <c r="U2850" s="223"/>
      <c r="V2850" s="223"/>
      <c r="W2850" s="223"/>
      <c r="X2850" s="223"/>
      <c r="Y2850" s="223"/>
      <c r="Z2850" s="223"/>
    </row>
    <row r="2851">
      <c r="A2851" s="223" t="str">
        <f>IFERROR(__xludf.DUMMYFUNCTION("""COMPUTED_VALUE"""),"PlusROI : Admin")</f>
        <v>PlusROI : Admin</v>
      </c>
      <c r="B2851" s="223" t="str">
        <f>IFERROR(__xludf.DUMMYFUNCTION("""COMPUTED_VALUE"""),"PlusROI")</f>
        <v>PlusROI</v>
      </c>
      <c r="C2851" s="223" t="str">
        <f>IFERROR(__xludf.DUMMYFUNCTION("""COMPUTED_VALUE"""),"Admin")</f>
        <v>Admin</v>
      </c>
      <c r="D2851" s="316">
        <f>IFERROR(__xludf.DUMMYFUNCTION("""COMPUTED_VALUE"""),45123.0)</f>
        <v>45123</v>
      </c>
      <c r="E2851" s="298"/>
      <c r="F2851" s="298"/>
      <c r="G2851" s="298"/>
      <c r="H2851" s="223"/>
      <c r="I2851" s="298">
        <f>IFERROR(__xludf.DUMMYFUNCTION("""COMPUTED_VALUE"""),69.89)</f>
        <v>69.89</v>
      </c>
      <c r="J2851" s="223" t="str">
        <f>IFERROR(__xludf.DUMMYFUNCTION("""COMPUTED_VALUE"""),"Hourly")</f>
        <v>Hourly</v>
      </c>
      <c r="K2851" s="317">
        <f>IFERROR(__xludf.DUMMYFUNCTION("""COMPUTED_VALUE"""),2023.0)</f>
        <v>2023</v>
      </c>
      <c r="L2851" s="298"/>
      <c r="M2851" s="223"/>
      <c r="N2851" s="223"/>
      <c r="O2851" s="223"/>
      <c r="P2851" s="223"/>
      <c r="Q2851" s="223"/>
      <c r="R2851" s="223"/>
      <c r="S2851" s="223"/>
      <c r="T2851" s="223"/>
      <c r="U2851" s="223"/>
      <c r="V2851" s="223"/>
      <c r="W2851" s="223"/>
      <c r="X2851" s="223"/>
      <c r="Y2851" s="223"/>
      <c r="Z2851" s="223"/>
    </row>
    <row r="2852">
      <c r="A2852" s="223" t="str">
        <f>IFERROR(__xludf.DUMMYFUNCTION("""COMPUTED_VALUE"""),"PlusROI : Admin")</f>
        <v>PlusROI : Admin</v>
      </c>
      <c r="B2852" s="223" t="str">
        <f>IFERROR(__xludf.DUMMYFUNCTION("""COMPUTED_VALUE"""),"PlusROI")</f>
        <v>PlusROI</v>
      </c>
      <c r="C2852" s="223" t="str">
        <f>IFERROR(__xludf.DUMMYFUNCTION("""COMPUTED_VALUE"""),"Admin")</f>
        <v>Admin</v>
      </c>
      <c r="D2852" s="316">
        <f>IFERROR(__xludf.DUMMYFUNCTION("""COMPUTED_VALUE"""),45123.0)</f>
        <v>45123</v>
      </c>
      <c r="E2852" s="298"/>
      <c r="F2852" s="298"/>
      <c r="G2852" s="298"/>
      <c r="H2852" s="223"/>
      <c r="I2852" s="298">
        <f>IFERROR(__xludf.DUMMYFUNCTION("""COMPUTED_VALUE"""),3.13)</f>
        <v>3.13</v>
      </c>
      <c r="J2852" s="223" t="str">
        <f>IFERROR(__xludf.DUMMYFUNCTION("""COMPUTED_VALUE"""),"Hourly")</f>
        <v>Hourly</v>
      </c>
      <c r="K2852" s="317">
        <f>IFERROR(__xludf.DUMMYFUNCTION("""COMPUTED_VALUE"""),2023.0)</f>
        <v>2023</v>
      </c>
      <c r="L2852" s="298"/>
      <c r="M2852" s="223"/>
      <c r="N2852" s="223"/>
      <c r="O2852" s="223"/>
      <c r="P2852" s="223"/>
      <c r="Q2852" s="223"/>
      <c r="R2852" s="223"/>
      <c r="S2852" s="223"/>
      <c r="T2852" s="223"/>
      <c r="U2852" s="223"/>
      <c r="V2852" s="223"/>
      <c r="W2852" s="223"/>
      <c r="X2852" s="223"/>
      <c r="Y2852" s="223"/>
      <c r="Z2852" s="223"/>
    </row>
    <row r="2853">
      <c r="A2853" s="223" t="str">
        <f>IFERROR(__xludf.DUMMYFUNCTION("""COMPUTED_VALUE"""),"PlusROI : Admin")</f>
        <v>PlusROI : Admin</v>
      </c>
      <c r="B2853" s="223" t="str">
        <f>IFERROR(__xludf.DUMMYFUNCTION("""COMPUTED_VALUE"""),"PlusROI")</f>
        <v>PlusROI</v>
      </c>
      <c r="C2853" s="223" t="str">
        <f>IFERROR(__xludf.DUMMYFUNCTION("""COMPUTED_VALUE"""),"Admin")</f>
        <v>Admin</v>
      </c>
      <c r="D2853" s="316">
        <f>IFERROR(__xludf.DUMMYFUNCTION("""COMPUTED_VALUE"""),45123.0)</f>
        <v>45123</v>
      </c>
      <c r="E2853" s="298"/>
      <c r="F2853" s="298"/>
      <c r="G2853" s="298"/>
      <c r="H2853" s="223"/>
      <c r="I2853" s="298">
        <f>IFERROR(__xludf.DUMMYFUNCTION("""COMPUTED_VALUE"""),152.17)</f>
        <v>152.17</v>
      </c>
      <c r="J2853" s="223" t="str">
        <f>IFERROR(__xludf.DUMMYFUNCTION("""COMPUTED_VALUE"""),"Hourly")</f>
        <v>Hourly</v>
      </c>
      <c r="K2853" s="317">
        <f>IFERROR(__xludf.DUMMYFUNCTION("""COMPUTED_VALUE"""),2023.0)</f>
        <v>2023</v>
      </c>
      <c r="L2853" s="298"/>
      <c r="M2853" s="223"/>
      <c r="N2853" s="223"/>
      <c r="O2853" s="223"/>
      <c r="P2853" s="223"/>
      <c r="Q2853" s="223"/>
      <c r="R2853" s="223"/>
      <c r="S2853" s="223"/>
      <c r="T2853" s="223"/>
      <c r="U2853" s="223"/>
      <c r="V2853" s="223"/>
      <c r="W2853" s="223"/>
      <c r="X2853" s="223"/>
      <c r="Y2853" s="223"/>
      <c r="Z2853" s="223"/>
    </row>
    <row r="2854">
      <c r="A2854" s="223" t="str">
        <f>IFERROR(__xludf.DUMMYFUNCTION("""COMPUTED_VALUE"""),"Anook Athletics : Monthly Services")</f>
        <v>Anook Athletics : Monthly Services</v>
      </c>
      <c r="B2854" s="223" t="str">
        <f>IFERROR(__xludf.DUMMYFUNCTION("""COMPUTED_VALUE"""),"Anook Athletics")</f>
        <v>Anook Athletics</v>
      </c>
      <c r="C2854" s="223" t="str">
        <f>IFERROR(__xludf.DUMMYFUNCTION("""COMPUTED_VALUE"""),"Monthly Services")</f>
        <v>Monthly Services</v>
      </c>
      <c r="D2854" s="316">
        <f>IFERROR(__xludf.DUMMYFUNCTION("""COMPUTED_VALUE"""),45107.0)</f>
        <v>45107</v>
      </c>
      <c r="E2854" s="298"/>
      <c r="F2854" s="298"/>
      <c r="G2854" s="298"/>
      <c r="H2854" s="223"/>
      <c r="I2854" s="298">
        <f>IFERROR(__xludf.DUMMYFUNCTION("""COMPUTED_VALUE"""),2.21)</f>
        <v>2.21</v>
      </c>
      <c r="J2854" s="223" t="str">
        <f>IFERROR(__xludf.DUMMYFUNCTION("""COMPUTED_VALUE"""),"Monthly")</f>
        <v>Monthly</v>
      </c>
      <c r="K2854" s="317">
        <f>IFERROR(__xludf.DUMMYFUNCTION("""COMPUTED_VALUE"""),2023.06)</f>
        <v>2023.06</v>
      </c>
      <c r="L2854" s="298"/>
      <c r="M2854" s="223"/>
      <c r="N2854" s="223"/>
      <c r="O2854" s="223"/>
      <c r="P2854" s="223"/>
      <c r="Q2854" s="223"/>
      <c r="R2854" s="223"/>
      <c r="S2854" s="223"/>
      <c r="T2854" s="223"/>
      <c r="U2854" s="223"/>
      <c r="V2854" s="223"/>
      <c r="W2854" s="223"/>
      <c r="X2854" s="223"/>
      <c r="Y2854" s="223"/>
      <c r="Z2854" s="223"/>
    </row>
    <row r="2855">
      <c r="A2855" s="223" t="str">
        <f>IFERROR(__xludf.DUMMYFUNCTION("""COMPUTED_VALUE"""),"ASASoft : 5 Hour General Support")</f>
        <v>ASASoft : 5 Hour General Support</v>
      </c>
      <c r="B2855" s="223" t="str">
        <f>IFERROR(__xludf.DUMMYFUNCTION("""COMPUTED_VALUE"""),"ASASoft")</f>
        <v>ASASoft</v>
      </c>
      <c r="C2855" s="223" t="str">
        <f>IFERROR(__xludf.DUMMYFUNCTION("""COMPUTED_VALUE"""),"5 Hour General Support")</f>
        <v>5 Hour General Support</v>
      </c>
      <c r="D2855" s="316">
        <f>IFERROR(__xludf.DUMMYFUNCTION("""COMPUTED_VALUE"""),45107.0)</f>
        <v>45107</v>
      </c>
      <c r="E2855" s="298"/>
      <c r="F2855" s="298"/>
      <c r="G2855" s="298"/>
      <c r="H2855" s="223"/>
      <c r="I2855" s="298">
        <f>IFERROR(__xludf.DUMMYFUNCTION("""COMPUTED_VALUE"""),75.03)</f>
        <v>75.03</v>
      </c>
      <c r="J2855" s="223" t="str">
        <f>IFERROR(__xludf.DUMMYFUNCTION("""COMPUTED_VALUE"""),"Fixed Project")</f>
        <v>Fixed Project</v>
      </c>
      <c r="K2855" s="317">
        <f>IFERROR(__xludf.DUMMYFUNCTION("""COMPUTED_VALUE"""),2023.0)</f>
        <v>2023</v>
      </c>
      <c r="L2855" s="298"/>
      <c r="M2855" s="223"/>
      <c r="N2855" s="223"/>
      <c r="O2855" s="223"/>
      <c r="P2855" s="223"/>
      <c r="Q2855" s="223"/>
      <c r="R2855" s="223"/>
      <c r="S2855" s="223"/>
      <c r="T2855" s="223"/>
      <c r="U2855" s="223"/>
      <c r="V2855" s="223"/>
      <c r="W2855" s="223"/>
      <c r="X2855" s="223"/>
      <c r="Y2855" s="223"/>
      <c r="Z2855" s="223"/>
    </row>
    <row r="2856">
      <c r="A2856" s="223" t="str">
        <f>IFERROR(__xludf.DUMMYFUNCTION("""COMPUTED_VALUE"""),"Availed Technologies : Monthly Services")</f>
        <v>Availed Technologies : Monthly Services</v>
      </c>
      <c r="B2856" s="223" t="str">
        <f>IFERROR(__xludf.DUMMYFUNCTION("""COMPUTED_VALUE"""),"Availed Technologies")</f>
        <v>Availed Technologies</v>
      </c>
      <c r="C2856" s="223" t="str">
        <f>IFERROR(__xludf.DUMMYFUNCTION("""COMPUTED_VALUE"""),"Monthly Services")</f>
        <v>Monthly Services</v>
      </c>
      <c r="D2856" s="316">
        <f>IFERROR(__xludf.DUMMYFUNCTION("""COMPUTED_VALUE"""),45107.0)</f>
        <v>45107</v>
      </c>
      <c r="E2856" s="298"/>
      <c r="F2856" s="298"/>
      <c r="G2856" s="298"/>
      <c r="H2856" s="223"/>
      <c r="I2856" s="298">
        <f>IFERROR(__xludf.DUMMYFUNCTION("""COMPUTED_VALUE"""),76.22)</f>
        <v>76.22</v>
      </c>
      <c r="J2856" s="223" t="str">
        <f>IFERROR(__xludf.DUMMYFUNCTION("""COMPUTED_VALUE"""),"Monthly")</f>
        <v>Monthly</v>
      </c>
      <c r="K2856" s="317">
        <f>IFERROR(__xludf.DUMMYFUNCTION("""COMPUTED_VALUE"""),2023.06)</f>
        <v>2023.06</v>
      </c>
      <c r="L2856" s="298"/>
      <c r="M2856" s="223"/>
      <c r="N2856" s="223"/>
      <c r="O2856" s="223"/>
      <c r="P2856" s="223"/>
      <c r="Q2856" s="223"/>
      <c r="R2856" s="223"/>
      <c r="S2856" s="223"/>
      <c r="T2856" s="223"/>
      <c r="U2856" s="223"/>
      <c r="V2856" s="223"/>
      <c r="W2856" s="223"/>
      <c r="X2856" s="223"/>
      <c r="Y2856" s="223"/>
      <c r="Z2856" s="223"/>
    </row>
    <row r="2857">
      <c r="A2857" s="223" t="str">
        <f>IFERROR(__xludf.DUMMYFUNCTION("""COMPUTED_VALUE"""),"Community Financials : Monthly Services")</f>
        <v>Community Financials : Monthly Services</v>
      </c>
      <c r="B2857" s="223" t="str">
        <f>IFERROR(__xludf.DUMMYFUNCTION("""COMPUTED_VALUE"""),"Community Financials")</f>
        <v>Community Financials</v>
      </c>
      <c r="C2857" s="223" t="str">
        <f>IFERROR(__xludf.DUMMYFUNCTION("""COMPUTED_VALUE"""),"Monthly Services")</f>
        <v>Monthly Services</v>
      </c>
      <c r="D2857" s="316">
        <f>IFERROR(__xludf.DUMMYFUNCTION("""COMPUTED_VALUE"""),45107.0)</f>
        <v>45107</v>
      </c>
      <c r="E2857" s="298"/>
      <c r="F2857" s="298"/>
      <c r="G2857" s="298"/>
      <c r="H2857" s="223"/>
      <c r="I2857" s="298">
        <f>IFERROR(__xludf.DUMMYFUNCTION("""COMPUTED_VALUE"""),189.19)</f>
        <v>189.19</v>
      </c>
      <c r="J2857" s="223" t="str">
        <f>IFERROR(__xludf.DUMMYFUNCTION("""COMPUTED_VALUE"""),"Monthly")</f>
        <v>Monthly</v>
      </c>
      <c r="K2857" s="317">
        <f>IFERROR(__xludf.DUMMYFUNCTION("""COMPUTED_VALUE"""),2023.06)</f>
        <v>2023.06</v>
      </c>
      <c r="L2857" s="298"/>
      <c r="M2857" s="223"/>
      <c r="N2857" s="223"/>
      <c r="O2857" s="223"/>
      <c r="P2857" s="223"/>
      <c r="Q2857" s="223"/>
      <c r="R2857" s="223"/>
      <c r="S2857" s="223"/>
      <c r="T2857" s="223"/>
      <c r="U2857" s="223"/>
      <c r="V2857" s="223"/>
      <c r="W2857" s="223"/>
      <c r="X2857" s="223"/>
      <c r="Y2857" s="223"/>
      <c r="Z2857" s="223"/>
    </row>
    <row r="2858">
      <c r="A2858" s="223" t="str">
        <f>IFERROR(__xludf.DUMMYFUNCTION("""COMPUTED_VALUE"""),"Community Financials : Monthly Services")</f>
        <v>Community Financials : Monthly Services</v>
      </c>
      <c r="B2858" s="223" t="str">
        <f>IFERROR(__xludf.DUMMYFUNCTION("""COMPUTED_VALUE"""),"Community Financials")</f>
        <v>Community Financials</v>
      </c>
      <c r="C2858" s="223" t="str">
        <f>IFERROR(__xludf.DUMMYFUNCTION("""COMPUTED_VALUE"""),"Monthly Services")</f>
        <v>Monthly Services</v>
      </c>
      <c r="D2858" s="316">
        <f>IFERROR(__xludf.DUMMYFUNCTION("""COMPUTED_VALUE"""),45107.0)</f>
        <v>45107</v>
      </c>
      <c r="E2858" s="298"/>
      <c r="F2858" s="298"/>
      <c r="G2858" s="298"/>
      <c r="H2858" s="223"/>
      <c r="I2858" s="298">
        <f>IFERROR(__xludf.DUMMYFUNCTION("""COMPUTED_VALUE"""),25.6)</f>
        <v>25.6</v>
      </c>
      <c r="J2858" s="223" t="str">
        <f>IFERROR(__xludf.DUMMYFUNCTION("""COMPUTED_VALUE"""),"Monthly")</f>
        <v>Monthly</v>
      </c>
      <c r="K2858" s="317">
        <f>IFERROR(__xludf.DUMMYFUNCTION("""COMPUTED_VALUE"""),2023.06)</f>
        <v>2023.06</v>
      </c>
      <c r="L2858" s="298"/>
      <c r="M2858" s="223"/>
      <c r="N2858" s="223"/>
      <c r="O2858" s="223"/>
      <c r="P2858" s="223"/>
      <c r="Q2858" s="223"/>
      <c r="R2858" s="223"/>
      <c r="S2858" s="223"/>
      <c r="T2858" s="223"/>
      <c r="U2858" s="223"/>
      <c r="V2858" s="223"/>
      <c r="W2858" s="223"/>
      <c r="X2858" s="223"/>
      <c r="Y2858" s="223"/>
      <c r="Z2858" s="223"/>
    </row>
    <row r="2859">
      <c r="A2859" s="223" t="str">
        <f>IFERROR(__xludf.DUMMYFUNCTION("""COMPUTED_VALUE"""),"Crisp Media : Client GA4 Upgrades")</f>
        <v>Crisp Media : Client GA4 Upgrades</v>
      </c>
      <c r="B2859" s="223" t="str">
        <f>IFERROR(__xludf.DUMMYFUNCTION("""COMPUTED_VALUE"""),"Crisp Media")</f>
        <v>Crisp Media</v>
      </c>
      <c r="C2859" s="223" t="str">
        <f>IFERROR(__xludf.DUMMYFUNCTION("""COMPUTED_VALUE"""),"Client GA4 Upgrades")</f>
        <v>Client GA4 Upgrades</v>
      </c>
      <c r="D2859" s="316">
        <f>IFERROR(__xludf.DUMMYFUNCTION("""COMPUTED_VALUE"""),45107.0)</f>
        <v>45107</v>
      </c>
      <c r="E2859" s="298"/>
      <c r="F2859" s="298"/>
      <c r="G2859" s="298"/>
      <c r="H2859" s="223"/>
      <c r="I2859" s="298">
        <f>IFERROR(__xludf.DUMMYFUNCTION("""COMPUTED_VALUE"""),217.81)</f>
        <v>217.81</v>
      </c>
      <c r="J2859" s="223" t="str">
        <f>IFERROR(__xludf.DUMMYFUNCTION("""COMPUTED_VALUE"""),"Fixed Project")</f>
        <v>Fixed Project</v>
      </c>
      <c r="K2859" s="317">
        <f>IFERROR(__xludf.DUMMYFUNCTION("""COMPUTED_VALUE"""),2023.0)</f>
        <v>2023</v>
      </c>
      <c r="L2859" s="298"/>
      <c r="M2859" s="223"/>
      <c r="N2859" s="223"/>
      <c r="O2859" s="223"/>
      <c r="P2859" s="223"/>
      <c r="Q2859" s="223"/>
      <c r="R2859" s="223"/>
      <c r="S2859" s="223"/>
      <c r="T2859" s="223"/>
      <c r="U2859" s="223"/>
      <c r="V2859" s="223"/>
      <c r="W2859" s="223"/>
      <c r="X2859" s="223"/>
      <c r="Y2859" s="223"/>
      <c r="Z2859" s="223"/>
    </row>
    <row r="2860">
      <c r="A2860" s="223" t="str">
        <f>IFERROR(__xludf.DUMMYFUNCTION("""COMPUTED_VALUE"""),"Red Ear Research : Website")</f>
        <v>Red Ear Research : Website</v>
      </c>
      <c r="B2860" s="223" t="str">
        <f>IFERROR(__xludf.DUMMYFUNCTION("""COMPUTED_VALUE"""),"Red Ear Research")</f>
        <v>Red Ear Research</v>
      </c>
      <c r="C2860" s="223" t="str">
        <f>IFERROR(__xludf.DUMMYFUNCTION("""COMPUTED_VALUE"""),"Website")</f>
        <v>Website</v>
      </c>
      <c r="D2860" s="316">
        <f>IFERROR(__xludf.DUMMYFUNCTION("""COMPUTED_VALUE"""),45107.0)</f>
        <v>45107</v>
      </c>
      <c r="E2860" s="298"/>
      <c r="F2860" s="298"/>
      <c r="G2860" s="298"/>
      <c r="H2860" s="223"/>
      <c r="I2860" s="298">
        <f>IFERROR(__xludf.DUMMYFUNCTION("""COMPUTED_VALUE"""),154.41)</f>
        <v>154.41</v>
      </c>
      <c r="J2860" s="223" t="str">
        <f>IFERROR(__xludf.DUMMYFUNCTION("""COMPUTED_VALUE"""),"Fixed Project")</f>
        <v>Fixed Project</v>
      </c>
      <c r="K2860" s="317">
        <f>IFERROR(__xludf.DUMMYFUNCTION("""COMPUTED_VALUE"""),2023.0)</f>
        <v>2023</v>
      </c>
      <c r="L2860" s="298"/>
      <c r="M2860" s="223"/>
      <c r="N2860" s="223"/>
      <c r="O2860" s="223"/>
      <c r="P2860" s="223"/>
      <c r="Q2860" s="223"/>
      <c r="R2860" s="223"/>
      <c r="S2860" s="223"/>
      <c r="T2860" s="223"/>
      <c r="U2860" s="223"/>
      <c r="V2860" s="223"/>
      <c r="W2860" s="223"/>
      <c r="X2860" s="223"/>
      <c r="Y2860" s="223"/>
      <c r="Z2860" s="223"/>
    </row>
    <row r="2861">
      <c r="A2861" s="223" t="str">
        <f>IFERROR(__xludf.DUMMYFUNCTION("""COMPUTED_VALUE"""),"Crisp Media : Genus Capital Managment Support")</f>
        <v>Crisp Media : Genus Capital Managment Support</v>
      </c>
      <c r="B2861" s="223" t="str">
        <f>IFERROR(__xludf.DUMMYFUNCTION("""COMPUTED_VALUE"""),"Crisp Media")</f>
        <v>Crisp Media</v>
      </c>
      <c r="C2861" s="223" t="str">
        <f>IFERROR(__xludf.DUMMYFUNCTION("""COMPUTED_VALUE"""),"Genus Capital Managment Support")</f>
        <v>Genus Capital Managment Support</v>
      </c>
      <c r="D2861" s="316">
        <f>IFERROR(__xludf.DUMMYFUNCTION("""COMPUTED_VALUE"""),45107.0)</f>
        <v>45107</v>
      </c>
      <c r="E2861" s="298"/>
      <c r="F2861" s="298"/>
      <c r="G2861" s="298"/>
      <c r="H2861" s="223"/>
      <c r="I2861" s="298">
        <f>IFERROR(__xludf.DUMMYFUNCTION("""COMPUTED_VALUE"""),56.81)</f>
        <v>56.81</v>
      </c>
      <c r="J2861" s="223" t="str">
        <f>IFERROR(__xludf.DUMMYFUNCTION("""COMPUTED_VALUE"""),"Fixed Project")</f>
        <v>Fixed Project</v>
      </c>
      <c r="K2861" s="317">
        <f>IFERROR(__xludf.DUMMYFUNCTION("""COMPUTED_VALUE"""),2023.0)</f>
        <v>2023</v>
      </c>
      <c r="L2861" s="298"/>
      <c r="M2861" s="223"/>
      <c r="N2861" s="223"/>
      <c r="O2861" s="223"/>
      <c r="P2861" s="223"/>
      <c r="Q2861" s="223"/>
      <c r="R2861" s="223"/>
      <c r="S2861" s="223"/>
      <c r="T2861" s="223"/>
      <c r="U2861" s="223"/>
      <c r="V2861" s="223"/>
      <c r="W2861" s="223"/>
      <c r="X2861" s="223"/>
      <c r="Y2861" s="223"/>
      <c r="Z2861" s="223"/>
    </row>
    <row r="2862">
      <c r="A2862" s="223" t="str">
        <f>IFERROR(__xludf.DUMMYFUNCTION("""COMPUTED_VALUE"""),"Ergo Eco : Grant Project")</f>
        <v>Ergo Eco : Grant Project</v>
      </c>
      <c r="B2862" s="223" t="str">
        <f>IFERROR(__xludf.DUMMYFUNCTION("""COMPUTED_VALUE"""),"Ergo Eco")</f>
        <v>Ergo Eco</v>
      </c>
      <c r="C2862" s="223" t="str">
        <f>IFERROR(__xludf.DUMMYFUNCTION("""COMPUTED_VALUE"""),"Grant Project")</f>
        <v>Grant Project</v>
      </c>
      <c r="D2862" s="316">
        <f>IFERROR(__xludf.DUMMYFUNCTION("""COMPUTED_VALUE"""),45107.0)</f>
        <v>45107</v>
      </c>
      <c r="E2862" s="298"/>
      <c r="F2862" s="298"/>
      <c r="G2862" s="298"/>
      <c r="H2862" s="223"/>
      <c r="I2862" s="298">
        <f>IFERROR(__xludf.DUMMYFUNCTION("""COMPUTED_VALUE"""),100.05)</f>
        <v>100.05</v>
      </c>
      <c r="J2862" s="223" t="str">
        <f>IFERROR(__xludf.DUMMYFUNCTION("""COMPUTED_VALUE"""),"Fixed Project")</f>
        <v>Fixed Project</v>
      </c>
      <c r="K2862" s="317">
        <f>IFERROR(__xludf.DUMMYFUNCTION("""COMPUTED_VALUE"""),2023.0)</f>
        <v>2023</v>
      </c>
      <c r="L2862" s="298"/>
      <c r="M2862" s="223"/>
      <c r="N2862" s="223"/>
      <c r="O2862" s="223"/>
      <c r="P2862" s="223"/>
      <c r="Q2862" s="223"/>
      <c r="R2862" s="223"/>
      <c r="S2862" s="223"/>
      <c r="T2862" s="223"/>
      <c r="U2862" s="223"/>
      <c r="V2862" s="223"/>
      <c r="W2862" s="223"/>
      <c r="X2862" s="223"/>
      <c r="Y2862" s="223"/>
      <c r="Z2862" s="223"/>
    </row>
    <row r="2863">
      <c r="A2863" s="223" t="str">
        <f>IFERROR(__xludf.DUMMYFUNCTION("""COMPUTED_VALUE"""),"The Shore Club : 10 Hour General Support Block")</f>
        <v>The Shore Club : 10 Hour General Support Block</v>
      </c>
      <c r="B2863" s="223" t="str">
        <f>IFERROR(__xludf.DUMMYFUNCTION("""COMPUTED_VALUE"""),"The Shore Club")</f>
        <v>The Shore Club</v>
      </c>
      <c r="C2863" s="223" t="str">
        <f>IFERROR(__xludf.DUMMYFUNCTION("""COMPUTED_VALUE"""),"10 Hour General Support Block")</f>
        <v>10 Hour General Support Block</v>
      </c>
      <c r="D2863" s="316">
        <f>IFERROR(__xludf.DUMMYFUNCTION("""COMPUTED_VALUE"""),45107.0)</f>
        <v>45107</v>
      </c>
      <c r="E2863" s="298"/>
      <c r="F2863" s="298"/>
      <c r="G2863" s="298"/>
      <c r="H2863" s="223"/>
      <c r="I2863" s="298">
        <f>IFERROR(__xludf.DUMMYFUNCTION("""COMPUTED_VALUE"""),36.7)</f>
        <v>36.7</v>
      </c>
      <c r="J2863" s="223" t="str">
        <f>IFERROR(__xludf.DUMMYFUNCTION("""COMPUTED_VALUE"""),"Fixed Project")</f>
        <v>Fixed Project</v>
      </c>
      <c r="K2863" s="317">
        <f>IFERROR(__xludf.DUMMYFUNCTION("""COMPUTED_VALUE"""),2023.0)</f>
        <v>2023</v>
      </c>
      <c r="L2863" s="298"/>
      <c r="M2863" s="223"/>
      <c r="N2863" s="223"/>
      <c r="O2863" s="223"/>
      <c r="P2863" s="223"/>
      <c r="Q2863" s="223"/>
      <c r="R2863" s="223"/>
      <c r="S2863" s="223"/>
      <c r="T2863" s="223"/>
      <c r="U2863" s="223"/>
      <c r="V2863" s="223"/>
      <c r="W2863" s="223"/>
      <c r="X2863" s="223"/>
      <c r="Y2863" s="223"/>
      <c r="Z2863" s="223"/>
    </row>
    <row r="2864">
      <c r="A2864" s="223" t="str">
        <f>IFERROR(__xludf.DUMMYFUNCTION("""COMPUTED_VALUE"""),"The Palms : 10 Hour General Support Block")</f>
        <v>The Palms : 10 Hour General Support Block</v>
      </c>
      <c r="B2864" s="223" t="str">
        <f>IFERROR(__xludf.DUMMYFUNCTION("""COMPUTED_VALUE"""),"The Palms")</f>
        <v>The Palms</v>
      </c>
      <c r="C2864" s="223" t="str">
        <f>IFERROR(__xludf.DUMMYFUNCTION("""COMPUTED_VALUE"""),"10 Hour General Support Block")</f>
        <v>10 Hour General Support Block</v>
      </c>
      <c r="D2864" s="316">
        <f>IFERROR(__xludf.DUMMYFUNCTION("""COMPUTED_VALUE"""),45107.0)</f>
        <v>45107</v>
      </c>
      <c r="E2864" s="298"/>
      <c r="F2864" s="298"/>
      <c r="G2864" s="298"/>
      <c r="H2864" s="223"/>
      <c r="I2864" s="298">
        <f>IFERROR(__xludf.DUMMYFUNCTION("""COMPUTED_VALUE"""),773.89)</f>
        <v>773.89</v>
      </c>
      <c r="J2864" s="223" t="str">
        <f>IFERROR(__xludf.DUMMYFUNCTION("""COMPUTED_VALUE"""),"Fixed Project")</f>
        <v>Fixed Project</v>
      </c>
      <c r="K2864" s="317">
        <f>IFERROR(__xludf.DUMMYFUNCTION("""COMPUTED_VALUE"""),2023.0)</f>
        <v>2023</v>
      </c>
      <c r="L2864" s="298"/>
      <c r="M2864" s="223"/>
      <c r="N2864" s="223"/>
      <c r="O2864" s="223"/>
      <c r="P2864" s="223"/>
      <c r="Q2864" s="223"/>
      <c r="R2864" s="223"/>
      <c r="S2864" s="223"/>
      <c r="T2864" s="223"/>
      <c r="U2864" s="223"/>
      <c r="V2864" s="223"/>
      <c r="W2864" s="223"/>
      <c r="X2864" s="223"/>
      <c r="Y2864" s="223"/>
      <c r="Z2864" s="223"/>
    </row>
    <row r="2865">
      <c r="A2865" s="223" t="str">
        <f>IFERROR(__xludf.DUMMYFUNCTION("""COMPUTED_VALUE"""),"Howard Fine Jewellers : Ongoing PPC and SEO Support")</f>
        <v>Howard Fine Jewellers : Ongoing PPC and SEO Support</v>
      </c>
      <c r="B2865" s="223" t="str">
        <f>IFERROR(__xludf.DUMMYFUNCTION("""COMPUTED_VALUE"""),"Howard Fine Jewellers")</f>
        <v>Howard Fine Jewellers</v>
      </c>
      <c r="C2865" s="223" t="str">
        <f>IFERROR(__xludf.DUMMYFUNCTION("""COMPUTED_VALUE"""),"Ongoing PPC and SEO Support")</f>
        <v>Ongoing PPC and SEO Support</v>
      </c>
      <c r="D2865" s="316">
        <f>IFERROR(__xludf.DUMMYFUNCTION("""COMPUTED_VALUE"""),45107.0)</f>
        <v>45107</v>
      </c>
      <c r="E2865" s="298"/>
      <c r="F2865" s="298"/>
      <c r="G2865" s="298"/>
      <c r="H2865" s="223"/>
      <c r="I2865" s="298">
        <f>IFERROR(__xludf.DUMMYFUNCTION("""COMPUTED_VALUE"""),78.08)</f>
        <v>78.08</v>
      </c>
      <c r="J2865" s="223" t="str">
        <f>IFERROR(__xludf.DUMMYFUNCTION("""COMPUTED_VALUE"""),"Monthly")</f>
        <v>Monthly</v>
      </c>
      <c r="K2865" s="317">
        <f>IFERROR(__xludf.DUMMYFUNCTION("""COMPUTED_VALUE"""),2023.06)</f>
        <v>2023.06</v>
      </c>
      <c r="L2865" s="298"/>
      <c r="M2865" s="223"/>
      <c r="N2865" s="223"/>
      <c r="O2865" s="223"/>
      <c r="P2865" s="223"/>
      <c r="Q2865" s="223"/>
      <c r="R2865" s="223"/>
      <c r="S2865" s="223"/>
      <c r="T2865" s="223"/>
      <c r="U2865" s="223"/>
      <c r="V2865" s="223"/>
      <c r="W2865" s="223"/>
      <c r="X2865" s="223"/>
      <c r="Y2865" s="223"/>
      <c r="Z2865" s="223"/>
    </row>
    <row r="2866">
      <c r="A2866" s="223" t="str">
        <f>IFERROR(__xludf.DUMMYFUNCTION("""COMPUTED_VALUE"""),"HSJ Lawyers : Monthly Services")</f>
        <v>HSJ Lawyers : Monthly Services</v>
      </c>
      <c r="B2866" s="223" t="str">
        <f>IFERROR(__xludf.DUMMYFUNCTION("""COMPUTED_VALUE"""),"HSJ Lawyers")</f>
        <v>HSJ Lawyers</v>
      </c>
      <c r="C2866" s="223" t="str">
        <f>IFERROR(__xludf.DUMMYFUNCTION("""COMPUTED_VALUE"""),"Monthly Services")</f>
        <v>Monthly Services</v>
      </c>
      <c r="D2866" s="316">
        <f>IFERROR(__xludf.DUMMYFUNCTION("""COMPUTED_VALUE"""),45107.0)</f>
        <v>45107</v>
      </c>
      <c r="E2866" s="298"/>
      <c r="F2866" s="298"/>
      <c r="G2866" s="298"/>
      <c r="H2866" s="223"/>
      <c r="I2866" s="298">
        <f>IFERROR(__xludf.DUMMYFUNCTION("""COMPUTED_VALUE"""),38.59)</f>
        <v>38.59</v>
      </c>
      <c r="J2866" s="223" t="str">
        <f>IFERROR(__xludf.DUMMYFUNCTION("""COMPUTED_VALUE"""),"Monthly")</f>
        <v>Monthly</v>
      </c>
      <c r="K2866" s="317">
        <f>IFERROR(__xludf.DUMMYFUNCTION("""COMPUTED_VALUE"""),2023.06)</f>
        <v>2023.06</v>
      </c>
      <c r="L2866" s="298"/>
      <c r="M2866" s="223"/>
      <c r="N2866" s="223"/>
      <c r="O2866" s="223"/>
      <c r="P2866" s="223"/>
      <c r="Q2866" s="223"/>
      <c r="R2866" s="223"/>
      <c r="S2866" s="223"/>
      <c r="T2866" s="223"/>
      <c r="U2866" s="223"/>
      <c r="V2866" s="223"/>
      <c r="W2866" s="223"/>
      <c r="X2866" s="223"/>
      <c r="Y2866" s="223"/>
      <c r="Z2866" s="223"/>
    </row>
    <row r="2867">
      <c r="A2867" s="223" t="str">
        <f>IFERROR(__xludf.DUMMYFUNCTION("""COMPUTED_VALUE"""),"Ideon : Website")</f>
        <v>Ideon : Website</v>
      </c>
      <c r="B2867" s="223" t="str">
        <f>IFERROR(__xludf.DUMMYFUNCTION("""COMPUTED_VALUE"""),"Ideon")</f>
        <v>Ideon</v>
      </c>
      <c r="C2867" s="223" t="str">
        <f>IFERROR(__xludf.DUMMYFUNCTION("""COMPUTED_VALUE"""),"Website")</f>
        <v>Website</v>
      </c>
      <c r="D2867" s="316">
        <f>IFERROR(__xludf.DUMMYFUNCTION("""COMPUTED_VALUE"""),45107.0)</f>
        <v>45107</v>
      </c>
      <c r="E2867" s="298"/>
      <c r="F2867" s="298"/>
      <c r="G2867" s="298"/>
      <c r="H2867" s="223"/>
      <c r="I2867" s="298">
        <f>IFERROR(__xludf.DUMMYFUNCTION("""COMPUTED_VALUE"""),574.71)</f>
        <v>574.71</v>
      </c>
      <c r="J2867" s="223" t="str">
        <f>IFERROR(__xludf.DUMMYFUNCTION("""COMPUTED_VALUE"""),"Fixed Project")</f>
        <v>Fixed Project</v>
      </c>
      <c r="K2867" s="317">
        <f>IFERROR(__xludf.DUMMYFUNCTION("""COMPUTED_VALUE"""),2023.0)</f>
        <v>2023</v>
      </c>
      <c r="L2867" s="298"/>
      <c r="M2867" s="223"/>
      <c r="N2867" s="223"/>
      <c r="O2867" s="223"/>
      <c r="P2867" s="223"/>
      <c r="Q2867" s="223"/>
      <c r="R2867" s="223"/>
      <c r="S2867" s="223"/>
      <c r="T2867" s="223"/>
      <c r="U2867" s="223"/>
      <c r="V2867" s="223"/>
      <c r="W2867" s="223"/>
      <c r="X2867" s="223"/>
      <c r="Y2867" s="223"/>
      <c r="Z2867" s="223"/>
    </row>
    <row r="2868">
      <c r="A2868" s="223" t="str">
        <f>IFERROR(__xludf.DUMMYFUNCTION("""COMPUTED_VALUE"""),"Ideon : 5 Hour Support Block")</f>
        <v>Ideon : 5 Hour Support Block</v>
      </c>
      <c r="B2868" s="223" t="str">
        <f>IFERROR(__xludf.DUMMYFUNCTION("""COMPUTED_VALUE"""),"Ideon")</f>
        <v>Ideon</v>
      </c>
      <c r="C2868" s="223" t="str">
        <f>IFERROR(__xludf.DUMMYFUNCTION("""COMPUTED_VALUE"""),"5 Hour Support Block")</f>
        <v>5 Hour Support Block</v>
      </c>
      <c r="D2868" s="316">
        <f>IFERROR(__xludf.DUMMYFUNCTION("""COMPUTED_VALUE"""),45107.0)</f>
        <v>45107</v>
      </c>
      <c r="E2868" s="298"/>
      <c r="F2868" s="298"/>
      <c r="G2868" s="298"/>
      <c r="H2868" s="223"/>
      <c r="I2868" s="298">
        <f>IFERROR(__xludf.DUMMYFUNCTION("""COMPUTED_VALUE"""),82.26)</f>
        <v>82.26</v>
      </c>
      <c r="J2868" s="223" t="str">
        <f>IFERROR(__xludf.DUMMYFUNCTION("""COMPUTED_VALUE"""),"Fixed Project")</f>
        <v>Fixed Project</v>
      </c>
      <c r="K2868" s="317">
        <f>IFERROR(__xludf.DUMMYFUNCTION("""COMPUTED_VALUE"""),2023.0)</f>
        <v>2023</v>
      </c>
      <c r="L2868" s="298"/>
      <c r="M2868" s="223"/>
      <c r="N2868" s="223"/>
      <c r="O2868" s="223"/>
      <c r="P2868" s="223"/>
      <c r="Q2868" s="223"/>
      <c r="R2868" s="223"/>
      <c r="S2868" s="223"/>
      <c r="T2868" s="223"/>
      <c r="U2868" s="223"/>
      <c r="V2868" s="223"/>
      <c r="W2868" s="223"/>
      <c r="X2868" s="223"/>
      <c r="Y2868" s="223"/>
      <c r="Z2868" s="223"/>
    </row>
    <row r="2869">
      <c r="A2869" s="223" t="str">
        <f>IFERROR(__xludf.DUMMYFUNCTION("""COMPUTED_VALUE"""),"Limbic Media : Grant Project")</f>
        <v>Limbic Media : Grant Project</v>
      </c>
      <c r="B2869" s="223" t="str">
        <f>IFERROR(__xludf.DUMMYFUNCTION("""COMPUTED_VALUE"""),"Limbic Media")</f>
        <v>Limbic Media</v>
      </c>
      <c r="C2869" s="223" t="str">
        <f>IFERROR(__xludf.DUMMYFUNCTION("""COMPUTED_VALUE"""),"Grant Project")</f>
        <v>Grant Project</v>
      </c>
      <c r="D2869" s="316">
        <f>IFERROR(__xludf.DUMMYFUNCTION("""COMPUTED_VALUE"""),45107.0)</f>
        <v>45107</v>
      </c>
      <c r="E2869" s="298"/>
      <c r="F2869" s="298"/>
      <c r="G2869" s="298"/>
      <c r="H2869" s="223"/>
      <c r="I2869" s="298">
        <f>IFERROR(__xludf.DUMMYFUNCTION("""COMPUTED_VALUE"""),136.96)</f>
        <v>136.96</v>
      </c>
      <c r="J2869" s="223" t="str">
        <f>IFERROR(__xludf.DUMMYFUNCTION("""COMPUTED_VALUE"""),"Fixed Project")</f>
        <v>Fixed Project</v>
      </c>
      <c r="K2869" s="317">
        <f>IFERROR(__xludf.DUMMYFUNCTION("""COMPUTED_VALUE"""),2023.0)</f>
        <v>2023</v>
      </c>
      <c r="L2869" s="298"/>
      <c r="M2869" s="223"/>
      <c r="N2869" s="223"/>
      <c r="O2869" s="223"/>
      <c r="P2869" s="223"/>
      <c r="Q2869" s="223"/>
      <c r="R2869" s="223"/>
      <c r="S2869" s="223"/>
      <c r="T2869" s="223"/>
      <c r="U2869" s="223"/>
      <c r="V2869" s="223"/>
      <c r="W2869" s="223"/>
      <c r="X2869" s="223"/>
      <c r="Y2869" s="223"/>
      <c r="Z2869" s="223"/>
    </row>
    <row r="2870">
      <c r="A2870" s="223" t="str">
        <f>IFERROR(__xludf.DUMMYFUNCTION("""COMPUTED_VALUE"""),"McAllister Marketing : GA4 Upgrades")</f>
        <v>McAllister Marketing : GA4 Upgrades</v>
      </c>
      <c r="B2870" s="223" t="str">
        <f>IFERROR(__xludf.DUMMYFUNCTION("""COMPUTED_VALUE"""),"McAllister Marketing")</f>
        <v>McAllister Marketing</v>
      </c>
      <c r="C2870" s="223" t="str">
        <f>IFERROR(__xludf.DUMMYFUNCTION("""COMPUTED_VALUE"""),"GA4 Upgrades")</f>
        <v>GA4 Upgrades</v>
      </c>
      <c r="D2870" s="316">
        <f>IFERROR(__xludf.DUMMYFUNCTION("""COMPUTED_VALUE"""),45107.0)</f>
        <v>45107</v>
      </c>
      <c r="E2870" s="298"/>
      <c r="F2870" s="298"/>
      <c r="G2870" s="298"/>
      <c r="H2870" s="223"/>
      <c r="I2870" s="298">
        <f>IFERROR(__xludf.DUMMYFUNCTION("""COMPUTED_VALUE"""),375.14)</f>
        <v>375.14</v>
      </c>
      <c r="J2870" s="223" t="str">
        <f>IFERROR(__xludf.DUMMYFUNCTION("""COMPUTED_VALUE"""),"Fixed Project")</f>
        <v>Fixed Project</v>
      </c>
      <c r="K2870" s="317">
        <f>IFERROR(__xludf.DUMMYFUNCTION("""COMPUTED_VALUE"""),2023.0)</f>
        <v>2023</v>
      </c>
      <c r="L2870" s="298"/>
      <c r="M2870" s="223"/>
      <c r="N2870" s="223"/>
      <c r="O2870" s="223"/>
      <c r="P2870" s="223"/>
      <c r="Q2870" s="223"/>
      <c r="R2870" s="223"/>
      <c r="S2870" s="223"/>
      <c r="T2870" s="223"/>
      <c r="U2870" s="223"/>
      <c r="V2870" s="223"/>
      <c r="W2870" s="223"/>
      <c r="X2870" s="223"/>
      <c r="Y2870" s="223"/>
      <c r="Z2870" s="223"/>
    </row>
    <row r="2871">
      <c r="A2871" s="223" t="str">
        <f>IFERROR(__xludf.DUMMYFUNCTION("""COMPUTED_VALUE"""),"Moloco : Monthly PPC")</f>
        <v>Moloco : Monthly PPC</v>
      </c>
      <c r="B2871" s="223" t="str">
        <f>IFERROR(__xludf.DUMMYFUNCTION("""COMPUTED_VALUE"""),"Moloco")</f>
        <v>Moloco</v>
      </c>
      <c r="C2871" s="223" t="str">
        <f>IFERROR(__xludf.DUMMYFUNCTION("""COMPUTED_VALUE"""),"Monthly PPC")</f>
        <v>Monthly PPC</v>
      </c>
      <c r="D2871" s="316">
        <f>IFERROR(__xludf.DUMMYFUNCTION("""COMPUTED_VALUE"""),45107.0)</f>
        <v>45107</v>
      </c>
      <c r="E2871" s="298"/>
      <c r="F2871" s="298"/>
      <c r="G2871" s="298"/>
      <c r="H2871" s="223"/>
      <c r="I2871" s="298">
        <f>IFERROR(__xludf.DUMMYFUNCTION("""COMPUTED_VALUE"""),3.12)</f>
        <v>3.12</v>
      </c>
      <c r="J2871" s="223" t="str">
        <f>IFERROR(__xludf.DUMMYFUNCTION("""COMPUTED_VALUE"""),"Monthly")</f>
        <v>Monthly</v>
      </c>
      <c r="K2871" s="317">
        <f>IFERROR(__xludf.DUMMYFUNCTION("""COMPUTED_VALUE"""),2023.06)</f>
        <v>2023.06</v>
      </c>
      <c r="L2871" s="298"/>
      <c r="M2871" s="223"/>
      <c r="N2871" s="223"/>
      <c r="O2871" s="223"/>
      <c r="P2871" s="223"/>
      <c r="Q2871" s="223"/>
      <c r="R2871" s="223"/>
      <c r="S2871" s="223"/>
      <c r="T2871" s="223"/>
      <c r="U2871" s="223"/>
      <c r="V2871" s="223"/>
      <c r="W2871" s="223"/>
      <c r="X2871" s="223"/>
      <c r="Y2871" s="223"/>
      <c r="Z2871" s="223"/>
    </row>
    <row r="2872">
      <c r="A2872" s="223" t="str">
        <f>IFERROR(__xludf.DUMMYFUNCTION("""COMPUTED_VALUE"""),"MortgagePal : Monthly Services")</f>
        <v>MortgagePal : Monthly Services</v>
      </c>
      <c r="B2872" s="223" t="str">
        <f>IFERROR(__xludf.DUMMYFUNCTION("""COMPUTED_VALUE"""),"MortgagePal")</f>
        <v>MortgagePal</v>
      </c>
      <c r="C2872" s="223" t="str">
        <f>IFERROR(__xludf.DUMMYFUNCTION("""COMPUTED_VALUE"""),"Monthly Services")</f>
        <v>Monthly Services</v>
      </c>
      <c r="D2872" s="316">
        <f>IFERROR(__xludf.DUMMYFUNCTION("""COMPUTED_VALUE"""),45107.0)</f>
        <v>45107</v>
      </c>
      <c r="E2872" s="298"/>
      <c r="F2872" s="298"/>
      <c r="G2872" s="298"/>
      <c r="H2872" s="223"/>
      <c r="I2872" s="298">
        <f>IFERROR(__xludf.DUMMYFUNCTION("""COMPUTED_VALUE"""),76.67)</f>
        <v>76.67</v>
      </c>
      <c r="J2872" s="223" t="str">
        <f>IFERROR(__xludf.DUMMYFUNCTION("""COMPUTED_VALUE"""),"Monthly")</f>
        <v>Monthly</v>
      </c>
      <c r="K2872" s="317">
        <f>IFERROR(__xludf.DUMMYFUNCTION("""COMPUTED_VALUE"""),2023.06)</f>
        <v>2023.06</v>
      </c>
      <c r="L2872" s="298"/>
      <c r="M2872" s="223"/>
      <c r="N2872" s="223"/>
      <c r="O2872" s="223"/>
      <c r="P2872" s="223"/>
      <c r="Q2872" s="223"/>
      <c r="R2872" s="223"/>
      <c r="S2872" s="223"/>
      <c r="T2872" s="223"/>
      <c r="U2872" s="223"/>
      <c r="V2872" s="223"/>
      <c r="W2872" s="223"/>
      <c r="X2872" s="223"/>
      <c r="Y2872" s="223"/>
      <c r="Z2872" s="223"/>
    </row>
    <row r="2873">
      <c r="A2873" s="223" t="str">
        <f>IFERROR(__xludf.DUMMYFUNCTION("""COMPUTED_VALUE"""),"PlusROI : Admin")</f>
        <v>PlusROI : Admin</v>
      </c>
      <c r="B2873" s="223" t="str">
        <f>IFERROR(__xludf.DUMMYFUNCTION("""COMPUTED_VALUE"""),"PlusROI")</f>
        <v>PlusROI</v>
      </c>
      <c r="C2873" s="223" t="str">
        <f>IFERROR(__xludf.DUMMYFUNCTION("""COMPUTED_VALUE"""),"Admin")</f>
        <v>Admin</v>
      </c>
      <c r="D2873" s="316">
        <f>IFERROR(__xludf.DUMMYFUNCTION("""COMPUTED_VALUE"""),45107.0)</f>
        <v>45107</v>
      </c>
      <c r="E2873" s="298"/>
      <c r="F2873" s="298"/>
      <c r="G2873" s="298"/>
      <c r="H2873" s="223"/>
      <c r="I2873" s="298">
        <f>IFERROR(__xludf.DUMMYFUNCTION("""COMPUTED_VALUE"""),515.51)</f>
        <v>515.51</v>
      </c>
      <c r="J2873" s="223" t="str">
        <f>IFERROR(__xludf.DUMMYFUNCTION("""COMPUTED_VALUE"""),"Hourly")</f>
        <v>Hourly</v>
      </c>
      <c r="K2873" s="317">
        <f>IFERROR(__xludf.DUMMYFUNCTION("""COMPUTED_VALUE"""),2023.0)</f>
        <v>2023</v>
      </c>
      <c r="L2873" s="298"/>
      <c r="M2873" s="223"/>
      <c r="N2873" s="223"/>
      <c r="O2873" s="223"/>
      <c r="P2873" s="223"/>
      <c r="Q2873" s="223"/>
      <c r="R2873" s="223"/>
      <c r="S2873" s="223"/>
      <c r="T2873" s="223"/>
      <c r="U2873" s="223"/>
      <c r="V2873" s="223"/>
      <c r="W2873" s="223"/>
      <c r="X2873" s="223"/>
      <c r="Y2873" s="223"/>
      <c r="Z2873" s="223"/>
    </row>
    <row r="2874">
      <c r="A2874" s="223" t="str">
        <f>IFERROR(__xludf.DUMMYFUNCTION("""COMPUTED_VALUE"""),"PlusROI : Marketing")</f>
        <v>PlusROI : Marketing</v>
      </c>
      <c r="B2874" s="223" t="str">
        <f>IFERROR(__xludf.DUMMYFUNCTION("""COMPUTED_VALUE"""),"PlusROI")</f>
        <v>PlusROI</v>
      </c>
      <c r="C2874" s="223" t="str">
        <f>IFERROR(__xludf.DUMMYFUNCTION("""COMPUTED_VALUE"""),"Marketing")</f>
        <v>Marketing</v>
      </c>
      <c r="D2874" s="316">
        <f>IFERROR(__xludf.DUMMYFUNCTION("""COMPUTED_VALUE"""),45107.0)</f>
        <v>45107</v>
      </c>
      <c r="E2874" s="298"/>
      <c r="F2874" s="298"/>
      <c r="G2874" s="298"/>
      <c r="H2874" s="223"/>
      <c r="I2874" s="298">
        <f>IFERROR(__xludf.DUMMYFUNCTION("""COMPUTED_VALUE"""),25.84)</f>
        <v>25.84</v>
      </c>
      <c r="J2874" s="223" t="str">
        <f>IFERROR(__xludf.DUMMYFUNCTION("""COMPUTED_VALUE"""),"Hourly")</f>
        <v>Hourly</v>
      </c>
      <c r="K2874" s="317">
        <f>IFERROR(__xludf.DUMMYFUNCTION("""COMPUTED_VALUE"""),2023.0)</f>
        <v>2023</v>
      </c>
      <c r="L2874" s="298"/>
      <c r="M2874" s="223"/>
      <c r="N2874" s="223"/>
      <c r="O2874" s="223"/>
      <c r="P2874" s="223"/>
      <c r="Q2874" s="223"/>
      <c r="R2874" s="223"/>
      <c r="S2874" s="223"/>
      <c r="T2874" s="223"/>
      <c r="U2874" s="223"/>
      <c r="V2874" s="223"/>
      <c r="W2874" s="223"/>
      <c r="X2874" s="223"/>
      <c r="Y2874" s="223"/>
      <c r="Z2874" s="223"/>
    </row>
    <row r="2875">
      <c r="A2875" s="223" t="str">
        <f>IFERROR(__xludf.DUMMYFUNCTION("""COMPUTED_VALUE"""),"PMDI : Monthly Services")</f>
        <v>PMDI : Monthly Services</v>
      </c>
      <c r="B2875" s="223" t="str">
        <f>IFERROR(__xludf.DUMMYFUNCTION("""COMPUTED_VALUE"""),"PMDI")</f>
        <v>PMDI</v>
      </c>
      <c r="C2875" s="223" t="str">
        <f>IFERROR(__xludf.DUMMYFUNCTION("""COMPUTED_VALUE"""),"Monthly Services")</f>
        <v>Monthly Services</v>
      </c>
      <c r="D2875" s="316">
        <f>IFERROR(__xludf.DUMMYFUNCTION("""COMPUTED_VALUE"""),45107.0)</f>
        <v>45107</v>
      </c>
      <c r="E2875" s="298"/>
      <c r="F2875" s="298"/>
      <c r="G2875" s="298"/>
      <c r="H2875" s="223"/>
      <c r="I2875" s="298">
        <f>IFERROR(__xludf.DUMMYFUNCTION("""COMPUTED_VALUE"""),125.05)</f>
        <v>125.05</v>
      </c>
      <c r="J2875" s="223" t="str">
        <f>IFERROR(__xludf.DUMMYFUNCTION("""COMPUTED_VALUE"""),"Monthly")</f>
        <v>Monthly</v>
      </c>
      <c r="K2875" s="317">
        <f>IFERROR(__xludf.DUMMYFUNCTION("""COMPUTED_VALUE"""),2023.06)</f>
        <v>2023.06</v>
      </c>
      <c r="L2875" s="298"/>
      <c r="M2875" s="223"/>
      <c r="N2875" s="223"/>
      <c r="O2875" s="223"/>
      <c r="P2875" s="223"/>
      <c r="Q2875" s="223"/>
      <c r="R2875" s="223"/>
      <c r="S2875" s="223"/>
      <c r="T2875" s="223"/>
      <c r="U2875" s="223"/>
      <c r="V2875" s="223"/>
      <c r="W2875" s="223"/>
      <c r="X2875" s="223"/>
      <c r="Y2875" s="223"/>
      <c r="Z2875" s="223"/>
    </row>
    <row r="2876">
      <c r="A2876" s="223" t="str">
        <f>IFERROR(__xludf.DUMMYFUNCTION("""COMPUTED_VALUE"""),"Service First : Website")</f>
        <v>Service First : Website</v>
      </c>
      <c r="B2876" s="223" t="str">
        <f>IFERROR(__xludf.DUMMYFUNCTION("""COMPUTED_VALUE"""),"Service First")</f>
        <v>Service First</v>
      </c>
      <c r="C2876" s="223" t="str">
        <f>IFERROR(__xludf.DUMMYFUNCTION("""COMPUTED_VALUE"""),"Website")</f>
        <v>Website</v>
      </c>
      <c r="D2876" s="316">
        <f>IFERROR(__xludf.DUMMYFUNCTION("""COMPUTED_VALUE"""),45107.0)</f>
        <v>45107</v>
      </c>
      <c r="E2876" s="298"/>
      <c r="F2876" s="298"/>
      <c r="G2876" s="298"/>
      <c r="H2876" s="223"/>
      <c r="I2876" s="298">
        <f>IFERROR(__xludf.DUMMYFUNCTION("""COMPUTED_VALUE"""),110.4)</f>
        <v>110.4</v>
      </c>
      <c r="J2876" s="223" t="str">
        <f>IFERROR(__xludf.DUMMYFUNCTION("""COMPUTED_VALUE"""),"Fixed Project")</f>
        <v>Fixed Project</v>
      </c>
      <c r="K2876" s="317">
        <f>IFERROR(__xludf.DUMMYFUNCTION("""COMPUTED_VALUE"""),2023.0)</f>
        <v>2023</v>
      </c>
      <c r="L2876" s="298"/>
      <c r="M2876" s="223"/>
      <c r="N2876" s="223"/>
      <c r="O2876" s="223"/>
      <c r="P2876" s="223"/>
      <c r="Q2876" s="223"/>
      <c r="R2876" s="223"/>
      <c r="S2876" s="223"/>
      <c r="T2876" s="223"/>
      <c r="U2876" s="223"/>
      <c r="V2876" s="223"/>
      <c r="W2876" s="223"/>
      <c r="X2876" s="223"/>
      <c r="Y2876" s="223"/>
      <c r="Z2876" s="223"/>
    </row>
    <row r="2877">
      <c r="A2877" s="223" t="str">
        <f>IFERROR(__xludf.DUMMYFUNCTION("""COMPUTED_VALUE"""),"Spraggs : Monthly Services")</f>
        <v>Spraggs : Monthly Services</v>
      </c>
      <c r="B2877" s="223" t="str">
        <f>IFERROR(__xludf.DUMMYFUNCTION("""COMPUTED_VALUE"""),"Spraggs")</f>
        <v>Spraggs</v>
      </c>
      <c r="C2877" s="223" t="str">
        <f>IFERROR(__xludf.DUMMYFUNCTION("""COMPUTED_VALUE"""),"Monthly Services")</f>
        <v>Monthly Services</v>
      </c>
      <c r="D2877" s="316">
        <f>IFERROR(__xludf.DUMMYFUNCTION("""COMPUTED_VALUE"""),45107.0)</f>
        <v>45107</v>
      </c>
      <c r="E2877" s="298"/>
      <c r="F2877" s="298"/>
      <c r="G2877" s="298"/>
      <c r="H2877" s="223"/>
      <c r="I2877" s="298">
        <f>IFERROR(__xludf.DUMMYFUNCTION("""COMPUTED_VALUE"""),133.27)</f>
        <v>133.27</v>
      </c>
      <c r="J2877" s="223" t="str">
        <f>IFERROR(__xludf.DUMMYFUNCTION("""COMPUTED_VALUE"""),"Monthly")</f>
        <v>Monthly</v>
      </c>
      <c r="K2877" s="317">
        <f>IFERROR(__xludf.DUMMYFUNCTION("""COMPUTED_VALUE"""),2023.06)</f>
        <v>2023.06</v>
      </c>
      <c r="L2877" s="298"/>
      <c r="M2877" s="223"/>
      <c r="N2877" s="223"/>
      <c r="O2877" s="223"/>
      <c r="P2877" s="223"/>
      <c r="Q2877" s="223"/>
      <c r="R2877" s="223"/>
      <c r="S2877" s="223"/>
      <c r="T2877" s="223"/>
      <c r="U2877" s="223"/>
      <c r="V2877" s="223"/>
      <c r="W2877" s="223"/>
      <c r="X2877" s="223"/>
      <c r="Y2877" s="223"/>
      <c r="Z2877" s="223"/>
    </row>
    <row r="2878">
      <c r="A2878" s="223" t="str">
        <f>IFERROR(__xludf.DUMMYFUNCTION("""COMPUTED_VALUE"""),"The Academy : GA4 Upgrade")</f>
        <v>The Academy : GA4 Upgrade</v>
      </c>
      <c r="B2878" s="223" t="str">
        <f>IFERROR(__xludf.DUMMYFUNCTION("""COMPUTED_VALUE"""),"The Academy")</f>
        <v>The Academy</v>
      </c>
      <c r="C2878" s="223" t="str">
        <f>IFERROR(__xludf.DUMMYFUNCTION("""COMPUTED_VALUE"""),"GA4 Upgrade")</f>
        <v>GA4 Upgrade</v>
      </c>
      <c r="D2878" s="316">
        <f>IFERROR(__xludf.DUMMYFUNCTION("""COMPUTED_VALUE"""),45107.0)</f>
        <v>45107</v>
      </c>
      <c r="E2878" s="298"/>
      <c r="F2878" s="298"/>
      <c r="G2878" s="298"/>
      <c r="H2878" s="223"/>
      <c r="I2878" s="298">
        <f>IFERROR(__xludf.DUMMYFUNCTION("""COMPUTED_VALUE"""),155.85)</f>
        <v>155.85</v>
      </c>
      <c r="J2878" s="223" t="str">
        <f>IFERROR(__xludf.DUMMYFUNCTION("""COMPUTED_VALUE"""),"Fixed Project")</f>
        <v>Fixed Project</v>
      </c>
      <c r="K2878" s="317">
        <f>IFERROR(__xludf.DUMMYFUNCTION("""COMPUTED_VALUE"""),2023.0)</f>
        <v>2023</v>
      </c>
      <c r="L2878" s="298"/>
      <c r="M2878" s="223"/>
      <c r="N2878" s="223"/>
      <c r="O2878" s="223"/>
      <c r="P2878" s="223"/>
      <c r="Q2878" s="223"/>
      <c r="R2878" s="223"/>
      <c r="S2878" s="223"/>
      <c r="T2878" s="223"/>
      <c r="U2878" s="223"/>
      <c r="V2878" s="223"/>
      <c r="W2878" s="223"/>
      <c r="X2878" s="223"/>
      <c r="Y2878" s="223"/>
      <c r="Z2878" s="223"/>
    </row>
    <row r="2879">
      <c r="A2879" s="223" t="str">
        <f>IFERROR(__xludf.DUMMYFUNCTION("""COMPUTED_VALUE"""),"The Sands : 10 Hour General Support Block")</f>
        <v>The Sands : 10 Hour General Support Block</v>
      </c>
      <c r="B2879" s="223" t="str">
        <f>IFERROR(__xludf.DUMMYFUNCTION("""COMPUTED_VALUE"""),"The Sands")</f>
        <v>The Sands</v>
      </c>
      <c r="C2879" s="223" t="str">
        <f>IFERROR(__xludf.DUMMYFUNCTION("""COMPUTED_VALUE"""),"10 Hour General Support Block")</f>
        <v>10 Hour General Support Block</v>
      </c>
      <c r="D2879" s="316">
        <f>IFERROR(__xludf.DUMMYFUNCTION("""COMPUTED_VALUE"""),45107.0)</f>
        <v>45107</v>
      </c>
      <c r="E2879" s="298"/>
      <c r="F2879" s="298"/>
      <c r="G2879" s="298"/>
      <c r="H2879" s="223"/>
      <c r="I2879" s="298">
        <f>IFERROR(__xludf.DUMMYFUNCTION("""COMPUTED_VALUE"""),41.93)</f>
        <v>41.93</v>
      </c>
      <c r="J2879" s="223" t="str">
        <f>IFERROR(__xludf.DUMMYFUNCTION("""COMPUTED_VALUE"""),"Fixed Project")</f>
        <v>Fixed Project</v>
      </c>
      <c r="K2879" s="317">
        <f>IFERROR(__xludf.DUMMYFUNCTION("""COMPUTED_VALUE"""),2023.0)</f>
        <v>2023</v>
      </c>
      <c r="L2879" s="298"/>
      <c r="M2879" s="223"/>
      <c r="N2879" s="223"/>
      <c r="O2879" s="223"/>
      <c r="P2879" s="223"/>
      <c r="Q2879" s="223"/>
      <c r="R2879" s="223"/>
      <c r="S2879" s="223"/>
      <c r="T2879" s="223"/>
      <c r="U2879" s="223"/>
      <c r="V2879" s="223"/>
      <c r="W2879" s="223"/>
      <c r="X2879" s="223"/>
      <c r="Y2879" s="223"/>
      <c r="Z2879" s="223"/>
    </row>
    <row r="2880">
      <c r="A2880" s="223" t="str">
        <f>IFERROR(__xludf.DUMMYFUNCTION("""COMPUTED_VALUE"""),"The Sands : 10 Hour General Support Block")</f>
        <v>The Sands : 10 Hour General Support Block</v>
      </c>
      <c r="B2880" s="223" t="str">
        <f>IFERROR(__xludf.DUMMYFUNCTION("""COMPUTED_VALUE"""),"The Sands")</f>
        <v>The Sands</v>
      </c>
      <c r="C2880" s="223" t="str">
        <f>IFERROR(__xludf.DUMMYFUNCTION("""COMPUTED_VALUE"""),"10 Hour General Support Block")</f>
        <v>10 Hour General Support Block</v>
      </c>
      <c r="D2880" s="316">
        <f>IFERROR(__xludf.DUMMYFUNCTION("""COMPUTED_VALUE"""),45107.0)</f>
        <v>45107</v>
      </c>
      <c r="E2880" s="298"/>
      <c r="F2880" s="298"/>
      <c r="G2880" s="298"/>
      <c r="H2880" s="223"/>
      <c r="I2880" s="298">
        <f>IFERROR(__xludf.DUMMYFUNCTION("""COMPUTED_VALUE"""),3.56)</f>
        <v>3.56</v>
      </c>
      <c r="J2880" s="223" t="str">
        <f>IFERROR(__xludf.DUMMYFUNCTION("""COMPUTED_VALUE"""),"Fixed Project")</f>
        <v>Fixed Project</v>
      </c>
      <c r="K2880" s="317">
        <f>IFERROR(__xludf.DUMMYFUNCTION("""COMPUTED_VALUE"""),2023.0)</f>
        <v>2023</v>
      </c>
      <c r="L2880" s="298"/>
      <c r="M2880" s="223"/>
      <c r="N2880" s="223"/>
      <c r="O2880" s="223"/>
      <c r="P2880" s="223"/>
      <c r="Q2880" s="223"/>
      <c r="R2880" s="223"/>
      <c r="S2880" s="223"/>
      <c r="T2880" s="223"/>
      <c r="U2880" s="223"/>
      <c r="V2880" s="223"/>
      <c r="W2880" s="223"/>
      <c r="X2880" s="223"/>
      <c r="Y2880" s="223"/>
      <c r="Z2880" s="223"/>
    </row>
    <row r="2881">
      <c r="A2881" s="223" t="str">
        <f>IFERROR(__xludf.DUMMYFUNCTION("""COMPUTED_VALUE"""),"The Shore Club : 10 Hour General Support Block")</f>
        <v>The Shore Club : 10 Hour General Support Block</v>
      </c>
      <c r="B2881" s="223" t="str">
        <f>IFERROR(__xludf.DUMMYFUNCTION("""COMPUTED_VALUE"""),"The Shore Club")</f>
        <v>The Shore Club</v>
      </c>
      <c r="C2881" s="223" t="str">
        <f>IFERROR(__xludf.DUMMYFUNCTION("""COMPUTED_VALUE"""),"10 Hour General Support Block")</f>
        <v>10 Hour General Support Block</v>
      </c>
      <c r="D2881" s="316">
        <f>IFERROR(__xludf.DUMMYFUNCTION("""COMPUTED_VALUE"""),45107.0)</f>
        <v>45107</v>
      </c>
      <c r="E2881" s="298"/>
      <c r="F2881" s="298"/>
      <c r="G2881" s="298"/>
      <c r="H2881" s="223"/>
      <c r="I2881" s="298">
        <f>IFERROR(__xludf.DUMMYFUNCTION("""COMPUTED_VALUE"""),39.77)</f>
        <v>39.77</v>
      </c>
      <c r="J2881" s="223" t="str">
        <f>IFERROR(__xludf.DUMMYFUNCTION("""COMPUTED_VALUE"""),"Fixed Project")</f>
        <v>Fixed Project</v>
      </c>
      <c r="K2881" s="317">
        <f>IFERROR(__xludf.DUMMYFUNCTION("""COMPUTED_VALUE"""),2023.0)</f>
        <v>2023</v>
      </c>
      <c r="L2881" s="298"/>
      <c r="M2881" s="223"/>
      <c r="N2881" s="223"/>
      <c r="O2881" s="223"/>
      <c r="P2881" s="223"/>
      <c r="Q2881" s="223"/>
      <c r="R2881" s="223"/>
      <c r="S2881" s="223"/>
      <c r="T2881" s="223"/>
      <c r="U2881" s="223"/>
      <c r="V2881" s="223"/>
      <c r="W2881" s="223"/>
      <c r="X2881" s="223"/>
      <c r="Y2881" s="223"/>
      <c r="Z2881" s="223"/>
    </row>
    <row r="2882">
      <c r="A2882" s="223" t="str">
        <f>IFERROR(__xludf.DUMMYFUNCTION("""COMPUTED_VALUE"""),"Tofino Resort + Marina : 5 Hour Support Block")</f>
        <v>Tofino Resort + Marina : 5 Hour Support Block</v>
      </c>
      <c r="B2882" s="223" t="str">
        <f>IFERROR(__xludf.DUMMYFUNCTION("""COMPUTED_VALUE"""),"Tofino Resort + Marina")</f>
        <v>Tofino Resort + Marina</v>
      </c>
      <c r="C2882" s="223" t="str">
        <f>IFERROR(__xludf.DUMMYFUNCTION("""COMPUTED_VALUE"""),"5 Hour Support Block")</f>
        <v>5 Hour Support Block</v>
      </c>
      <c r="D2882" s="316">
        <f>IFERROR(__xludf.DUMMYFUNCTION("""COMPUTED_VALUE"""),45107.0)</f>
        <v>45107</v>
      </c>
      <c r="E2882" s="298"/>
      <c r="F2882" s="298"/>
      <c r="G2882" s="298"/>
      <c r="H2882" s="223"/>
      <c r="I2882" s="298">
        <f>IFERROR(__xludf.DUMMYFUNCTION("""COMPUTED_VALUE"""),261.56)</f>
        <v>261.56</v>
      </c>
      <c r="J2882" s="223" t="str">
        <f>IFERROR(__xludf.DUMMYFUNCTION("""COMPUTED_VALUE"""),"Fixed Project")</f>
        <v>Fixed Project</v>
      </c>
      <c r="K2882" s="317">
        <f>IFERROR(__xludf.DUMMYFUNCTION("""COMPUTED_VALUE"""),2023.0)</f>
        <v>2023</v>
      </c>
      <c r="L2882" s="298"/>
      <c r="M2882" s="223"/>
      <c r="N2882" s="223"/>
      <c r="O2882" s="223"/>
      <c r="P2882" s="223"/>
      <c r="Q2882" s="223"/>
      <c r="R2882" s="223"/>
      <c r="S2882" s="223"/>
      <c r="T2882" s="223"/>
      <c r="U2882" s="223"/>
      <c r="V2882" s="223"/>
      <c r="W2882" s="223"/>
      <c r="X2882" s="223"/>
      <c r="Y2882" s="223"/>
      <c r="Z2882" s="223"/>
    </row>
    <row r="2883">
      <c r="A2883" s="223" t="str">
        <f>IFERROR(__xludf.DUMMYFUNCTION("""COMPUTED_VALUE"""),"Venetian : Monthly Services")</f>
        <v>Venetian : Monthly Services</v>
      </c>
      <c r="B2883" s="223" t="str">
        <f>IFERROR(__xludf.DUMMYFUNCTION("""COMPUTED_VALUE"""),"Venetian")</f>
        <v>Venetian</v>
      </c>
      <c r="C2883" s="223" t="str">
        <f>IFERROR(__xludf.DUMMYFUNCTION("""COMPUTED_VALUE"""),"Monthly Services")</f>
        <v>Monthly Services</v>
      </c>
      <c r="D2883" s="316">
        <f>IFERROR(__xludf.DUMMYFUNCTION("""COMPUTED_VALUE"""),45107.0)</f>
        <v>45107</v>
      </c>
      <c r="E2883" s="298"/>
      <c r="F2883" s="298"/>
      <c r="G2883" s="298"/>
      <c r="H2883" s="223"/>
      <c r="I2883" s="298">
        <f>IFERROR(__xludf.DUMMYFUNCTION("""COMPUTED_VALUE"""),29.3)</f>
        <v>29.3</v>
      </c>
      <c r="J2883" s="223" t="str">
        <f>IFERROR(__xludf.DUMMYFUNCTION("""COMPUTED_VALUE"""),"Monthly")</f>
        <v>Monthly</v>
      </c>
      <c r="K2883" s="317">
        <f>IFERROR(__xludf.DUMMYFUNCTION("""COMPUTED_VALUE"""),2023.06)</f>
        <v>2023.06</v>
      </c>
      <c r="L2883" s="298"/>
      <c r="M2883" s="223"/>
      <c r="N2883" s="223"/>
      <c r="O2883" s="223"/>
      <c r="P2883" s="223"/>
      <c r="Q2883" s="223"/>
      <c r="R2883" s="223"/>
      <c r="S2883" s="223"/>
      <c r="T2883" s="223"/>
      <c r="U2883" s="223"/>
      <c r="V2883" s="223"/>
      <c r="W2883" s="223"/>
      <c r="X2883" s="223"/>
      <c r="Y2883" s="223"/>
      <c r="Z2883" s="223"/>
    </row>
    <row r="2884">
      <c r="A2884" s="223" t="str">
        <f>IFERROR(__xludf.DUMMYFUNCTION("""COMPUTED_VALUE"""),"WhistleBlower Security : Monthly PPC and SEO")</f>
        <v>WhistleBlower Security : Monthly PPC and SEO</v>
      </c>
      <c r="B2884" s="223" t="str">
        <f>IFERROR(__xludf.DUMMYFUNCTION("""COMPUTED_VALUE"""),"WhistleBlower Security")</f>
        <v>WhistleBlower Security</v>
      </c>
      <c r="C2884" s="223" t="str">
        <f>IFERROR(__xludf.DUMMYFUNCTION("""COMPUTED_VALUE"""),"Monthly PPC and SEO")</f>
        <v>Monthly PPC and SEO</v>
      </c>
      <c r="D2884" s="316">
        <f>IFERROR(__xludf.DUMMYFUNCTION("""COMPUTED_VALUE"""),45107.0)</f>
        <v>45107</v>
      </c>
      <c r="E2884" s="298"/>
      <c r="F2884" s="298"/>
      <c r="G2884" s="298"/>
      <c r="H2884" s="223"/>
      <c r="I2884" s="298">
        <f>IFERROR(__xludf.DUMMYFUNCTION("""COMPUTED_VALUE"""),61.23)</f>
        <v>61.23</v>
      </c>
      <c r="J2884" s="223" t="str">
        <f>IFERROR(__xludf.DUMMYFUNCTION("""COMPUTED_VALUE"""),"Monthly")</f>
        <v>Monthly</v>
      </c>
      <c r="K2884" s="317">
        <f>IFERROR(__xludf.DUMMYFUNCTION("""COMPUTED_VALUE"""),2023.06)</f>
        <v>2023.06</v>
      </c>
      <c r="L2884" s="298"/>
      <c r="M2884" s="223"/>
      <c r="N2884" s="223"/>
      <c r="O2884" s="223"/>
      <c r="P2884" s="223"/>
      <c r="Q2884" s="223"/>
      <c r="R2884" s="223"/>
      <c r="S2884" s="223"/>
      <c r="T2884" s="223"/>
      <c r="U2884" s="223"/>
      <c r="V2884" s="223"/>
      <c r="W2884" s="223"/>
      <c r="X2884" s="223"/>
      <c r="Y2884" s="223"/>
      <c r="Z2884" s="223"/>
    </row>
    <row r="2885">
      <c r="A2885" s="223" t="str">
        <f>IFERROR(__xludf.DUMMYFUNCTION("""COMPUTED_VALUE"""),"Venetian : Monthly Services")</f>
        <v>Venetian : Monthly Services</v>
      </c>
      <c r="B2885" s="223" t="str">
        <f>IFERROR(__xludf.DUMMYFUNCTION("""COMPUTED_VALUE"""),"Venetian")</f>
        <v>Venetian</v>
      </c>
      <c r="C2885" s="223" t="str">
        <f>IFERROR(__xludf.DUMMYFUNCTION("""COMPUTED_VALUE"""),"Monthly Services")</f>
        <v>Monthly Services</v>
      </c>
      <c r="D2885" s="316">
        <f>IFERROR(__xludf.DUMMYFUNCTION("""COMPUTED_VALUE"""),45095.0)</f>
        <v>45095</v>
      </c>
      <c r="E2885" s="298"/>
      <c r="F2885" s="298"/>
      <c r="G2885" s="298"/>
      <c r="H2885" s="223"/>
      <c r="I2885" s="298">
        <f>IFERROR(__xludf.DUMMYFUNCTION("""COMPUTED_VALUE"""),750.0)</f>
        <v>750</v>
      </c>
      <c r="J2885" s="223" t="str">
        <f>IFERROR(__xludf.DUMMYFUNCTION("""COMPUTED_VALUE"""),"Monthly")</f>
        <v>Monthly</v>
      </c>
      <c r="K2885" s="317">
        <f>IFERROR(__xludf.DUMMYFUNCTION("""COMPUTED_VALUE"""),2023.06)</f>
        <v>2023.06</v>
      </c>
      <c r="L2885" s="298">
        <f>IFERROR(__xludf.DUMMYFUNCTION("""COMPUTED_VALUE"""),750.0)</f>
        <v>750</v>
      </c>
      <c r="M2885" s="223"/>
      <c r="N2885" s="223"/>
      <c r="O2885" s="223"/>
      <c r="P2885" s="223"/>
      <c r="Q2885" s="223"/>
      <c r="R2885" s="223"/>
      <c r="S2885" s="223"/>
      <c r="T2885" s="223"/>
      <c r="U2885" s="223"/>
      <c r="V2885" s="223"/>
      <c r="W2885" s="223"/>
      <c r="X2885" s="223"/>
      <c r="Y2885" s="223"/>
      <c r="Z2885" s="223"/>
    </row>
    <row r="2886">
      <c r="A2886" s="223" t="str">
        <f>IFERROR(__xludf.DUMMYFUNCTION("""COMPUTED_VALUE"""),"Tuscany : Monthly Services")</f>
        <v>Tuscany : Monthly Services</v>
      </c>
      <c r="B2886" s="223" t="str">
        <f>IFERROR(__xludf.DUMMYFUNCTION("""COMPUTED_VALUE"""),"Tuscany")</f>
        <v>Tuscany</v>
      </c>
      <c r="C2886" s="223" t="str">
        <f>IFERROR(__xludf.DUMMYFUNCTION("""COMPUTED_VALUE"""),"Monthly Services")</f>
        <v>Monthly Services</v>
      </c>
      <c r="D2886" s="316">
        <f>IFERROR(__xludf.DUMMYFUNCTION("""COMPUTED_VALUE"""),45095.0)</f>
        <v>45095</v>
      </c>
      <c r="E2886" s="298"/>
      <c r="F2886" s="298"/>
      <c r="G2886" s="298"/>
      <c r="H2886" s="223"/>
      <c r="I2886" s="298">
        <f>IFERROR(__xludf.DUMMYFUNCTION("""COMPUTED_VALUE"""),750.0)</f>
        <v>750</v>
      </c>
      <c r="J2886" s="223" t="str">
        <f>IFERROR(__xludf.DUMMYFUNCTION("""COMPUTED_VALUE"""),"Monthly")</f>
        <v>Monthly</v>
      </c>
      <c r="K2886" s="317">
        <f>IFERROR(__xludf.DUMMYFUNCTION("""COMPUTED_VALUE"""),2023.06)</f>
        <v>2023.06</v>
      </c>
      <c r="L2886" s="298">
        <f>IFERROR(__xludf.DUMMYFUNCTION("""COMPUTED_VALUE"""),750.0)</f>
        <v>750</v>
      </c>
      <c r="M2886" s="223"/>
      <c r="N2886" s="223"/>
      <c r="O2886" s="223"/>
      <c r="P2886" s="223"/>
      <c r="Q2886" s="223"/>
      <c r="R2886" s="223"/>
      <c r="S2886" s="223"/>
      <c r="T2886" s="223"/>
      <c r="U2886" s="223"/>
      <c r="V2886" s="223"/>
      <c r="W2886" s="223"/>
      <c r="X2886" s="223"/>
      <c r="Y2886" s="223"/>
      <c r="Z2886" s="223"/>
    </row>
    <row r="2887">
      <c r="A2887" s="223" t="str">
        <f>IFERROR(__xludf.DUMMYFUNCTION("""COMPUTED_VALUE"""),"Spraggs : Monthly Services")</f>
        <v>Spraggs : Monthly Services</v>
      </c>
      <c r="B2887" s="223" t="str">
        <f>IFERROR(__xludf.DUMMYFUNCTION("""COMPUTED_VALUE"""),"Spraggs")</f>
        <v>Spraggs</v>
      </c>
      <c r="C2887" s="223" t="str">
        <f>IFERROR(__xludf.DUMMYFUNCTION("""COMPUTED_VALUE"""),"Monthly Services")</f>
        <v>Monthly Services</v>
      </c>
      <c r="D2887" s="316">
        <f>IFERROR(__xludf.DUMMYFUNCTION("""COMPUTED_VALUE"""),45102.0)</f>
        <v>45102</v>
      </c>
      <c r="E2887" s="298"/>
      <c r="F2887" s="298"/>
      <c r="G2887" s="298"/>
      <c r="H2887" s="223"/>
      <c r="I2887" s="298">
        <f>IFERROR(__xludf.DUMMYFUNCTION("""COMPUTED_VALUE"""),88.68)</f>
        <v>88.68</v>
      </c>
      <c r="J2887" s="223" t="str">
        <f>IFERROR(__xludf.DUMMYFUNCTION("""COMPUTED_VALUE"""),"Monthly")</f>
        <v>Monthly</v>
      </c>
      <c r="K2887" s="317">
        <f>IFERROR(__xludf.DUMMYFUNCTION("""COMPUTED_VALUE"""),2023.06)</f>
        <v>2023.06</v>
      </c>
      <c r="L2887" s="298">
        <f>IFERROR(__xludf.DUMMYFUNCTION("""COMPUTED_VALUE"""),88.68)</f>
        <v>88.68</v>
      </c>
      <c r="M2887" s="223"/>
      <c r="N2887" s="223"/>
      <c r="O2887" s="223"/>
      <c r="P2887" s="223"/>
      <c r="Q2887" s="223"/>
      <c r="R2887" s="223"/>
      <c r="S2887" s="223"/>
      <c r="T2887" s="223"/>
      <c r="U2887" s="223"/>
      <c r="V2887" s="223"/>
      <c r="W2887" s="223"/>
      <c r="X2887" s="223"/>
      <c r="Y2887" s="223"/>
      <c r="Z2887" s="223"/>
    </row>
    <row r="2888">
      <c r="A2888" s="223" t="str">
        <f>IFERROR(__xludf.DUMMYFUNCTION("""COMPUTED_VALUE"""),"Venetian : Monthly Services")</f>
        <v>Venetian : Monthly Services</v>
      </c>
      <c r="B2888" s="223" t="str">
        <f>IFERROR(__xludf.DUMMYFUNCTION("""COMPUTED_VALUE"""),"Venetian")</f>
        <v>Venetian</v>
      </c>
      <c r="C2888" s="223" t="str">
        <f>IFERROR(__xludf.DUMMYFUNCTION("""COMPUTED_VALUE"""),"Monthly Services")</f>
        <v>Monthly Services</v>
      </c>
      <c r="D2888" s="316">
        <f>IFERROR(__xludf.DUMMYFUNCTION("""COMPUTED_VALUE"""),45108.0)</f>
        <v>45108</v>
      </c>
      <c r="E2888" s="298"/>
      <c r="F2888" s="298"/>
      <c r="G2888" s="298"/>
      <c r="H2888" s="223"/>
      <c r="I2888" s="298">
        <f>IFERROR(__xludf.DUMMYFUNCTION("""COMPUTED_VALUE"""),556.75)</f>
        <v>556.75</v>
      </c>
      <c r="J2888" s="223" t="str">
        <f>IFERROR(__xludf.DUMMYFUNCTION("""COMPUTED_VALUE"""),"Monthly")</f>
        <v>Monthly</v>
      </c>
      <c r="K2888" s="317">
        <f>IFERROR(__xludf.DUMMYFUNCTION("""COMPUTED_VALUE"""),2023.07)</f>
        <v>2023.07</v>
      </c>
      <c r="L2888" s="298">
        <f>IFERROR(__xludf.DUMMYFUNCTION("""COMPUTED_VALUE"""),556.75)</f>
        <v>556.75</v>
      </c>
      <c r="M2888" s="223"/>
      <c r="N2888" s="223"/>
      <c r="O2888" s="223"/>
      <c r="P2888" s="223"/>
      <c r="Q2888" s="223"/>
      <c r="R2888" s="223"/>
      <c r="S2888" s="223"/>
      <c r="T2888" s="223"/>
      <c r="U2888" s="223"/>
      <c r="V2888" s="223"/>
      <c r="W2888" s="223"/>
      <c r="X2888" s="223"/>
      <c r="Y2888" s="223"/>
      <c r="Z2888" s="223"/>
    </row>
    <row r="2889">
      <c r="A2889" s="223" t="str">
        <f>IFERROR(__xludf.DUMMYFUNCTION("""COMPUTED_VALUE"""),"Tuscany : Monthly Services")</f>
        <v>Tuscany : Monthly Services</v>
      </c>
      <c r="B2889" s="223" t="str">
        <f>IFERROR(__xludf.DUMMYFUNCTION("""COMPUTED_VALUE"""),"Tuscany")</f>
        <v>Tuscany</v>
      </c>
      <c r="C2889" s="223" t="str">
        <f>IFERROR(__xludf.DUMMYFUNCTION("""COMPUTED_VALUE"""),"Monthly Services")</f>
        <v>Monthly Services</v>
      </c>
      <c r="D2889" s="316">
        <f>IFERROR(__xludf.DUMMYFUNCTION("""COMPUTED_VALUE"""),45108.0)</f>
        <v>45108</v>
      </c>
      <c r="E2889" s="298"/>
      <c r="F2889" s="298"/>
      <c r="G2889" s="298"/>
      <c r="H2889" s="223"/>
      <c r="I2889" s="298">
        <f>IFERROR(__xludf.DUMMYFUNCTION("""COMPUTED_VALUE"""),551.57)</f>
        <v>551.57</v>
      </c>
      <c r="J2889" s="223" t="str">
        <f>IFERROR(__xludf.DUMMYFUNCTION("""COMPUTED_VALUE"""),"Monthly")</f>
        <v>Monthly</v>
      </c>
      <c r="K2889" s="317">
        <f>IFERROR(__xludf.DUMMYFUNCTION("""COMPUTED_VALUE"""),2023.07)</f>
        <v>2023.07</v>
      </c>
      <c r="L2889" s="298">
        <f>IFERROR(__xludf.DUMMYFUNCTION("""COMPUTED_VALUE"""),551.57)</f>
        <v>551.57</v>
      </c>
      <c r="M2889" s="223"/>
      <c r="N2889" s="223"/>
      <c r="O2889" s="223"/>
      <c r="P2889" s="223"/>
      <c r="Q2889" s="223"/>
      <c r="R2889" s="223"/>
      <c r="S2889" s="223"/>
      <c r="T2889" s="223"/>
      <c r="U2889" s="223"/>
      <c r="V2889" s="223"/>
      <c r="W2889" s="223"/>
      <c r="X2889" s="223"/>
      <c r="Y2889" s="223"/>
      <c r="Z2889" s="223"/>
    </row>
    <row r="2890">
      <c r="A2890" s="223" t="str">
        <f>IFERROR(__xludf.DUMMYFUNCTION("""COMPUTED_VALUE"""),"Hastings House : Monthly Services")</f>
        <v>Hastings House : Monthly Services</v>
      </c>
      <c r="B2890" s="223" t="str">
        <f>IFERROR(__xludf.DUMMYFUNCTION("""COMPUTED_VALUE"""),"Hastings House")</f>
        <v>Hastings House</v>
      </c>
      <c r="C2890" s="223" t="str">
        <f>IFERROR(__xludf.DUMMYFUNCTION("""COMPUTED_VALUE"""),"Monthly Services")</f>
        <v>Monthly Services</v>
      </c>
      <c r="D2890" s="316">
        <f>IFERROR(__xludf.DUMMYFUNCTION("""COMPUTED_VALUE"""),45077.0)</f>
        <v>45077</v>
      </c>
      <c r="E2890" s="298"/>
      <c r="F2890" s="298"/>
      <c r="G2890" s="298"/>
      <c r="H2890" s="223"/>
      <c r="I2890" s="298">
        <f>IFERROR(__xludf.DUMMYFUNCTION("""COMPUTED_VALUE"""),350.0)</f>
        <v>350</v>
      </c>
      <c r="J2890" s="223" t="str">
        <f>IFERROR(__xludf.DUMMYFUNCTION("""COMPUTED_VALUE"""),"Monthly")</f>
        <v>Monthly</v>
      </c>
      <c r="K2890" s="317">
        <f>IFERROR(__xludf.DUMMYFUNCTION("""COMPUTED_VALUE"""),2023.05)</f>
        <v>2023.05</v>
      </c>
      <c r="L2890" s="298"/>
      <c r="M2890" s="223"/>
      <c r="N2890" s="223"/>
      <c r="O2890" s="223"/>
      <c r="P2890" s="223"/>
      <c r="Q2890" s="223"/>
      <c r="R2890" s="223"/>
      <c r="S2890" s="223"/>
      <c r="T2890" s="223"/>
      <c r="U2890" s="223"/>
      <c r="V2890" s="223"/>
      <c r="W2890" s="223"/>
      <c r="X2890" s="223"/>
      <c r="Y2890" s="223"/>
      <c r="Z2890" s="223"/>
    </row>
    <row r="2891">
      <c r="A2891" s="223" t="str">
        <f>IFERROR(__xludf.DUMMYFUNCTION("""COMPUTED_VALUE"""),"Hastings House : Monthly Services")</f>
        <v>Hastings House : Monthly Services</v>
      </c>
      <c r="B2891" s="223" t="str">
        <f>IFERROR(__xludf.DUMMYFUNCTION("""COMPUTED_VALUE"""),"Hastings House")</f>
        <v>Hastings House</v>
      </c>
      <c r="C2891" s="223" t="str">
        <f>IFERROR(__xludf.DUMMYFUNCTION("""COMPUTED_VALUE"""),"Monthly Services")</f>
        <v>Monthly Services</v>
      </c>
      <c r="D2891" s="316">
        <f>IFERROR(__xludf.DUMMYFUNCTION("""COMPUTED_VALUE"""),45107.0)</f>
        <v>45107</v>
      </c>
      <c r="E2891" s="298"/>
      <c r="F2891" s="298"/>
      <c r="G2891" s="298"/>
      <c r="H2891" s="223"/>
      <c r="I2891" s="298">
        <f>IFERROR(__xludf.DUMMYFUNCTION("""COMPUTED_VALUE"""),350.0)</f>
        <v>350</v>
      </c>
      <c r="J2891" s="223" t="str">
        <f>IFERROR(__xludf.DUMMYFUNCTION("""COMPUTED_VALUE"""),"Monthly")</f>
        <v>Monthly</v>
      </c>
      <c r="K2891" s="317">
        <f>IFERROR(__xludf.DUMMYFUNCTION("""COMPUTED_VALUE"""),2023.06)</f>
        <v>2023.06</v>
      </c>
      <c r="L2891" s="298"/>
      <c r="M2891" s="223"/>
      <c r="N2891" s="223"/>
      <c r="O2891" s="223"/>
      <c r="P2891" s="223"/>
      <c r="Q2891" s="223"/>
      <c r="R2891" s="223"/>
      <c r="S2891" s="223"/>
      <c r="T2891" s="223"/>
      <c r="U2891" s="223"/>
      <c r="V2891" s="223"/>
      <c r="W2891" s="223"/>
      <c r="X2891" s="223"/>
      <c r="Y2891" s="223"/>
      <c r="Z2891" s="223"/>
    </row>
    <row r="2892">
      <c r="A2892" s="223" t="str">
        <f>IFERROR(__xludf.DUMMYFUNCTION("""COMPUTED_VALUE"""),"Acton ADU : Web Presence, SEO &amp; CRO Audit")</f>
        <v>Acton ADU : Web Presence, SEO &amp; CRO Audit</v>
      </c>
      <c r="B2892" s="223" t="str">
        <f>IFERROR(__xludf.DUMMYFUNCTION("""COMPUTED_VALUE"""),"Acton ADU")</f>
        <v>Acton ADU</v>
      </c>
      <c r="C2892" s="223" t="str">
        <f>IFERROR(__xludf.DUMMYFUNCTION("""COMPUTED_VALUE"""),"Web Presence, SEO &amp; CRO Audit")</f>
        <v>Web Presence, SEO &amp; CRO Audit</v>
      </c>
      <c r="D2892" s="316">
        <f>IFERROR(__xludf.DUMMYFUNCTION("""COMPUTED_VALUE"""),45138.0)</f>
        <v>45138</v>
      </c>
      <c r="E2892" s="298"/>
      <c r="F2892" s="298"/>
      <c r="G2892" s="298"/>
      <c r="H2892" s="223"/>
      <c r="I2892" s="298">
        <f>IFERROR(__xludf.DUMMYFUNCTION("""COMPUTED_VALUE"""),750.0)</f>
        <v>750</v>
      </c>
      <c r="J2892" s="223" t="str">
        <f>IFERROR(__xludf.DUMMYFUNCTION("""COMPUTED_VALUE"""),"Fixed Project")</f>
        <v>Fixed Project</v>
      </c>
      <c r="K2892" s="317">
        <f>IFERROR(__xludf.DUMMYFUNCTION("""COMPUTED_VALUE"""),2023.0)</f>
        <v>2023</v>
      </c>
      <c r="L2892" s="298"/>
      <c r="M2892" s="223"/>
      <c r="N2892" s="223"/>
      <c r="O2892" s="223"/>
      <c r="P2892" s="223"/>
      <c r="Q2892" s="223"/>
      <c r="R2892" s="223"/>
      <c r="S2892" s="223"/>
      <c r="T2892" s="223"/>
      <c r="U2892" s="223"/>
      <c r="V2892" s="223"/>
      <c r="W2892" s="223"/>
      <c r="X2892" s="223"/>
      <c r="Y2892" s="223"/>
      <c r="Z2892" s="223"/>
    </row>
    <row r="2893">
      <c r="A2893" s="223" t="str">
        <f>IFERROR(__xludf.DUMMYFUNCTION("""COMPUTED_VALUE"""),"Booginhead : Monthly Services")</f>
        <v>Booginhead : Monthly Services</v>
      </c>
      <c r="B2893" s="223" t="str">
        <f>IFERROR(__xludf.DUMMYFUNCTION("""COMPUTED_VALUE"""),"Booginhead")</f>
        <v>Booginhead</v>
      </c>
      <c r="C2893" s="223" t="str">
        <f>IFERROR(__xludf.DUMMYFUNCTION("""COMPUTED_VALUE"""),"Monthly Services")</f>
        <v>Monthly Services</v>
      </c>
      <c r="D2893" s="316">
        <f>IFERROR(__xludf.DUMMYFUNCTION("""COMPUTED_VALUE"""),45138.0)</f>
        <v>45138</v>
      </c>
      <c r="E2893" s="298"/>
      <c r="F2893" s="298"/>
      <c r="G2893" s="298"/>
      <c r="H2893" s="223"/>
      <c r="I2893" s="298">
        <f>IFERROR(__xludf.DUMMYFUNCTION("""COMPUTED_VALUE"""),400.0)</f>
        <v>400</v>
      </c>
      <c r="J2893" s="223" t="str">
        <f>IFERROR(__xludf.DUMMYFUNCTION("""COMPUTED_VALUE"""),"Monthly")</f>
        <v>Monthly</v>
      </c>
      <c r="K2893" s="317">
        <f>IFERROR(__xludf.DUMMYFUNCTION("""COMPUTED_VALUE"""),2023.07)</f>
        <v>2023.07</v>
      </c>
      <c r="L2893" s="298"/>
      <c r="M2893" s="223"/>
      <c r="N2893" s="223"/>
      <c r="O2893" s="223"/>
      <c r="P2893" s="223"/>
      <c r="Q2893" s="223"/>
      <c r="R2893" s="223"/>
      <c r="S2893" s="223"/>
      <c r="T2893" s="223"/>
      <c r="U2893" s="223"/>
      <c r="V2893" s="223"/>
      <c r="W2893" s="223"/>
      <c r="X2893" s="223"/>
      <c r="Y2893" s="223"/>
      <c r="Z2893" s="223"/>
    </row>
    <row r="2894">
      <c r="A2894" s="223" t="str">
        <f>IFERROR(__xludf.DUMMYFUNCTION("""COMPUTED_VALUE"""),"Hastings House : Monthly Services")</f>
        <v>Hastings House : Monthly Services</v>
      </c>
      <c r="B2894" s="223" t="str">
        <f>IFERROR(__xludf.DUMMYFUNCTION("""COMPUTED_VALUE"""),"Hastings House")</f>
        <v>Hastings House</v>
      </c>
      <c r="C2894" s="223" t="str">
        <f>IFERROR(__xludf.DUMMYFUNCTION("""COMPUTED_VALUE"""),"Monthly Services")</f>
        <v>Monthly Services</v>
      </c>
      <c r="D2894" s="316">
        <f>IFERROR(__xludf.DUMMYFUNCTION("""COMPUTED_VALUE"""),45138.0)</f>
        <v>45138</v>
      </c>
      <c r="E2894" s="298"/>
      <c r="F2894" s="298"/>
      <c r="G2894" s="298"/>
      <c r="H2894" s="223"/>
      <c r="I2894" s="298">
        <f>IFERROR(__xludf.DUMMYFUNCTION("""COMPUTED_VALUE"""),287.5)</f>
        <v>287.5</v>
      </c>
      <c r="J2894" s="223" t="str">
        <f>IFERROR(__xludf.DUMMYFUNCTION("""COMPUTED_VALUE"""),"Monthly")</f>
        <v>Monthly</v>
      </c>
      <c r="K2894" s="317">
        <f>IFERROR(__xludf.DUMMYFUNCTION("""COMPUTED_VALUE"""),2023.07)</f>
        <v>2023.07</v>
      </c>
      <c r="L2894" s="298"/>
      <c r="M2894" s="223"/>
      <c r="N2894" s="223"/>
      <c r="O2894" s="223"/>
      <c r="P2894" s="223"/>
      <c r="Q2894" s="223"/>
      <c r="R2894" s="223"/>
      <c r="S2894" s="223"/>
      <c r="T2894" s="223"/>
      <c r="U2894" s="223"/>
      <c r="V2894" s="223"/>
      <c r="W2894" s="223"/>
      <c r="X2894" s="223"/>
      <c r="Y2894" s="223"/>
      <c r="Z2894" s="223"/>
    </row>
    <row r="2895">
      <c r="A2895" s="223" t="str">
        <f>IFERROR(__xludf.DUMMYFUNCTION("""COMPUTED_VALUE"""),"Howard Fine Jewellers : Ongoing PPC and SEO Support")</f>
        <v>Howard Fine Jewellers : Ongoing PPC and SEO Support</v>
      </c>
      <c r="B2895" s="223" t="str">
        <f>IFERROR(__xludf.DUMMYFUNCTION("""COMPUTED_VALUE"""),"Howard Fine Jewellers")</f>
        <v>Howard Fine Jewellers</v>
      </c>
      <c r="C2895" s="223" t="str">
        <f>IFERROR(__xludf.DUMMYFUNCTION("""COMPUTED_VALUE"""),"Ongoing PPC and SEO Support")</f>
        <v>Ongoing PPC and SEO Support</v>
      </c>
      <c r="D2895" s="316">
        <f>IFERROR(__xludf.DUMMYFUNCTION("""COMPUTED_VALUE"""),45138.0)</f>
        <v>45138</v>
      </c>
      <c r="E2895" s="298"/>
      <c r="F2895" s="298"/>
      <c r="G2895" s="298"/>
      <c r="H2895" s="223"/>
      <c r="I2895" s="298">
        <f>IFERROR(__xludf.DUMMYFUNCTION("""COMPUTED_VALUE"""),200.0)</f>
        <v>200</v>
      </c>
      <c r="J2895" s="223" t="str">
        <f>IFERROR(__xludf.DUMMYFUNCTION("""COMPUTED_VALUE"""),"Monthly")</f>
        <v>Monthly</v>
      </c>
      <c r="K2895" s="317">
        <f>IFERROR(__xludf.DUMMYFUNCTION("""COMPUTED_VALUE"""),2023.07)</f>
        <v>2023.07</v>
      </c>
      <c r="L2895" s="298"/>
      <c r="M2895" s="223"/>
      <c r="N2895" s="223"/>
      <c r="O2895" s="223"/>
      <c r="P2895" s="223"/>
      <c r="Q2895" s="223"/>
      <c r="R2895" s="223"/>
      <c r="S2895" s="223"/>
      <c r="T2895" s="223"/>
      <c r="U2895" s="223"/>
      <c r="V2895" s="223"/>
      <c r="W2895" s="223"/>
      <c r="X2895" s="223"/>
      <c r="Y2895" s="223"/>
      <c r="Z2895" s="223"/>
    </row>
    <row r="2896">
      <c r="A2896" s="223" t="str">
        <f>IFERROR(__xludf.DUMMYFUNCTION("""COMPUTED_VALUE"""),"Luxe Bridal LLC : Monthly PPC")</f>
        <v>Luxe Bridal LLC : Monthly PPC</v>
      </c>
      <c r="B2896" s="223" t="str">
        <f>IFERROR(__xludf.DUMMYFUNCTION("""COMPUTED_VALUE"""),"Luxe Bridal LLC")</f>
        <v>Luxe Bridal LLC</v>
      </c>
      <c r="C2896" s="223" t="str">
        <f>IFERROR(__xludf.DUMMYFUNCTION("""COMPUTED_VALUE"""),"Monthly PPC")</f>
        <v>Monthly PPC</v>
      </c>
      <c r="D2896" s="316">
        <f>IFERROR(__xludf.DUMMYFUNCTION("""COMPUTED_VALUE"""),45138.0)</f>
        <v>45138</v>
      </c>
      <c r="E2896" s="298"/>
      <c r="F2896" s="298"/>
      <c r="G2896" s="298"/>
      <c r="H2896" s="223"/>
      <c r="I2896" s="298">
        <f>IFERROR(__xludf.DUMMYFUNCTION("""COMPUTED_VALUE"""),420.0)</f>
        <v>420</v>
      </c>
      <c r="J2896" s="223" t="str">
        <f>IFERROR(__xludf.DUMMYFUNCTION("""COMPUTED_VALUE"""),"Monthly")</f>
        <v>Monthly</v>
      </c>
      <c r="K2896" s="317">
        <f>IFERROR(__xludf.DUMMYFUNCTION("""COMPUTED_VALUE"""),2023.07)</f>
        <v>2023.07</v>
      </c>
      <c r="L2896" s="298"/>
      <c r="M2896" s="223"/>
      <c r="N2896" s="223"/>
      <c r="O2896" s="223"/>
      <c r="P2896" s="223"/>
      <c r="Q2896" s="223"/>
      <c r="R2896" s="223"/>
      <c r="S2896" s="223"/>
      <c r="T2896" s="223"/>
      <c r="U2896" s="223"/>
      <c r="V2896" s="223"/>
      <c r="W2896" s="223"/>
      <c r="X2896" s="223"/>
      <c r="Y2896" s="223"/>
      <c r="Z2896" s="223"/>
    </row>
    <row r="2897">
      <c r="A2897" s="223" t="str">
        <f>IFERROR(__xludf.DUMMYFUNCTION("""COMPUTED_VALUE"""),"Luxe Bridal LLC (LJM) : Monthly PPC")</f>
        <v>Luxe Bridal LLC (LJM) : Monthly PPC</v>
      </c>
      <c r="B2897" s="223" t="str">
        <f>IFERROR(__xludf.DUMMYFUNCTION("""COMPUTED_VALUE"""),"Luxe Bridal LLC (LJM)")</f>
        <v>Luxe Bridal LLC (LJM)</v>
      </c>
      <c r="C2897" s="223" t="str">
        <f>IFERROR(__xludf.DUMMYFUNCTION("""COMPUTED_VALUE"""),"Monthly PPC")</f>
        <v>Monthly PPC</v>
      </c>
      <c r="D2897" s="316">
        <f>IFERROR(__xludf.DUMMYFUNCTION("""COMPUTED_VALUE"""),45138.0)</f>
        <v>45138</v>
      </c>
      <c r="E2897" s="298"/>
      <c r="F2897" s="298"/>
      <c r="G2897" s="298"/>
      <c r="H2897" s="223"/>
      <c r="I2897" s="298">
        <f>IFERROR(__xludf.DUMMYFUNCTION("""COMPUTED_VALUE"""),180.0)</f>
        <v>180</v>
      </c>
      <c r="J2897" s="223" t="str">
        <f>IFERROR(__xludf.DUMMYFUNCTION("""COMPUTED_VALUE"""),"Monthly")</f>
        <v>Monthly</v>
      </c>
      <c r="K2897" s="317">
        <f>IFERROR(__xludf.DUMMYFUNCTION("""COMPUTED_VALUE"""),2023.07)</f>
        <v>2023.07</v>
      </c>
      <c r="L2897" s="298"/>
      <c r="M2897" s="223"/>
      <c r="N2897" s="223"/>
      <c r="O2897" s="223"/>
      <c r="P2897" s="223"/>
      <c r="Q2897" s="223"/>
      <c r="R2897" s="223"/>
      <c r="S2897" s="223"/>
      <c r="T2897" s="223"/>
      <c r="U2897" s="223"/>
      <c r="V2897" s="223"/>
      <c r="W2897" s="223"/>
      <c r="X2897" s="223"/>
      <c r="Y2897" s="223"/>
      <c r="Z2897" s="223"/>
    </row>
    <row r="2898">
      <c r="A2898" s="223" t="str">
        <f>IFERROR(__xludf.DUMMYFUNCTION("""COMPUTED_VALUE"""),"GreenLane Offroad : Monthly Ads Support")</f>
        <v>GreenLane Offroad : Monthly Ads Support</v>
      </c>
      <c r="B2898" s="223" t="str">
        <f>IFERROR(__xludf.DUMMYFUNCTION("""COMPUTED_VALUE"""),"GreenLane Offroad")</f>
        <v>GreenLane Offroad</v>
      </c>
      <c r="C2898" s="223" t="str">
        <f>IFERROR(__xludf.DUMMYFUNCTION("""COMPUTED_VALUE"""),"Monthly Ads Support")</f>
        <v>Monthly Ads Support</v>
      </c>
      <c r="D2898" s="316">
        <f>IFERROR(__xludf.DUMMYFUNCTION("""COMPUTED_VALUE"""),45138.0)</f>
        <v>45138</v>
      </c>
      <c r="E2898" s="298"/>
      <c r="F2898" s="298"/>
      <c r="G2898" s="298"/>
      <c r="H2898" s="223"/>
      <c r="I2898" s="298">
        <f>IFERROR(__xludf.DUMMYFUNCTION("""COMPUTED_VALUE"""),362.5)</f>
        <v>362.5</v>
      </c>
      <c r="J2898" s="223" t="str">
        <f>IFERROR(__xludf.DUMMYFUNCTION("""COMPUTED_VALUE"""),"Monthly")</f>
        <v>Monthly</v>
      </c>
      <c r="K2898" s="317">
        <f>IFERROR(__xludf.DUMMYFUNCTION("""COMPUTED_VALUE"""),2023.07)</f>
        <v>2023.07</v>
      </c>
      <c r="L2898" s="298"/>
      <c r="M2898" s="223"/>
      <c r="N2898" s="223"/>
      <c r="O2898" s="223"/>
      <c r="P2898" s="223"/>
      <c r="Q2898" s="223"/>
      <c r="R2898" s="223"/>
      <c r="S2898" s="223"/>
      <c r="T2898" s="223"/>
      <c r="U2898" s="223"/>
      <c r="V2898" s="223"/>
      <c r="W2898" s="223"/>
      <c r="X2898" s="223"/>
      <c r="Y2898" s="223"/>
      <c r="Z2898" s="223"/>
    </row>
    <row r="2899">
      <c r="A2899" s="223" t="str">
        <f>IFERROR(__xludf.DUMMYFUNCTION("""COMPUTED_VALUE"""),"Ultimate Tools : Monthly SEO &amp; PPC Management")</f>
        <v>Ultimate Tools : Monthly SEO &amp; PPC Management</v>
      </c>
      <c r="B2899" s="223" t="str">
        <f>IFERROR(__xludf.DUMMYFUNCTION("""COMPUTED_VALUE"""),"Ultimate Tools")</f>
        <v>Ultimate Tools</v>
      </c>
      <c r="C2899" s="223" t="str">
        <f>IFERROR(__xludf.DUMMYFUNCTION("""COMPUTED_VALUE"""),"Monthly SEO &amp; PPC Management")</f>
        <v>Monthly SEO &amp; PPC Management</v>
      </c>
      <c r="D2899" s="316">
        <f>IFERROR(__xludf.DUMMYFUNCTION("""COMPUTED_VALUE"""),45138.0)</f>
        <v>45138</v>
      </c>
      <c r="E2899" s="298"/>
      <c r="F2899" s="298"/>
      <c r="G2899" s="298"/>
      <c r="H2899" s="223"/>
      <c r="I2899" s="298">
        <f>IFERROR(__xludf.DUMMYFUNCTION("""COMPUTED_VALUE"""),550.0)</f>
        <v>550</v>
      </c>
      <c r="J2899" s="223" t="str">
        <f>IFERROR(__xludf.DUMMYFUNCTION("""COMPUTED_VALUE"""),"Monthly")</f>
        <v>Monthly</v>
      </c>
      <c r="K2899" s="317">
        <f>IFERROR(__xludf.DUMMYFUNCTION("""COMPUTED_VALUE"""),2023.07)</f>
        <v>2023.07</v>
      </c>
      <c r="L2899" s="298"/>
      <c r="M2899" s="223"/>
      <c r="N2899" s="223"/>
      <c r="O2899" s="223"/>
      <c r="P2899" s="223"/>
      <c r="Q2899" s="223"/>
      <c r="R2899" s="223"/>
      <c r="S2899" s="223"/>
      <c r="T2899" s="223"/>
      <c r="U2899" s="223"/>
      <c r="V2899" s="223"/>
      <c r="W2899" s="223"/>
      <c r="X2899" s="223"/>
      <c r="Y2899" s="223"/>
      <c r="Z2899" s="223"/>
    </row>
    <row r="2900">
      <c r="A2900" s="223" t="str">
        <f>IFERROR(__xludf.DUMMYFUNCTION("""COMPUTED_VALUE"""),"Service First : Website")</f>
        <v>Service First : Website</v>
      </c>
      <c r="B2900" s="223" t="str">
        <f>IFERROR(__xludf.DUMMYFUNCTION("""COMPUTED_VALUE"""),"Service First")</f>
        <v>Service First</v>
      </c>
      <c r="C2900" s="223" t="str">
        <f>IFERROR(__xludf.DUMMYFUNCTION("""COMPUTED_VALUE"""),"Website")</f>
        <v>Website</v>
      </c>
      <c r="D2900" s="316">
        <f>IFERROR(__xludf.DUMMYFUNCTION("""COMPUTED_VALUE"""),45138.0)</f>
        <v>45138</v>
      </c>
      <c r="E2900" s="298"/>
      <c r="F2900" s="298"/>
      <c r="G2900" s="298"/>
      <c r="H2900" s="223"/>
      <c r="I2900" s="298">
        <f>IFERROR(__xludf.DUMMYFUNCTION("""COMPUTED_VALUE"""),1037.5)</f>
        <v>1037.5</v>
      </c>
      <c r="J2900" s="223" t="str">
        <f>IFERROR(__xludf.DUMMYFUNCTION("""COMPUTED_VALUE"""),"Fixed Project")</f>
        <v>Fixed Project</v>
      </c>
      <c r="K2900" s="317">
        <f>IFERROR(__xludf.DUMMYFUNCTION("""COMPUTED_VALUE"""),2023.0)</f>
        <v>2023</v>
      </c>
      <c r="L2900" s="298"/>
      <c r="M2900" s="223"/>
      <c r="N2900" s="223"/>
      <c r="O2900" s="223"/>
      <c r="P2900" s="223"/>
      <c r="Q2900" s="223"/>
      <c r="R2900" s="223"/>
      <c r="S2900" s="223"/>
      <c r="T2900" s="223"/>
      <c r="U2900" s="223"/>
      <c r="V2900" s="223"/>
      <c r="W2900" s="223"/>
      <c r="X2900" s="223"/>
      <c r="Y2900" s="223"/>
      <c r="Z2900" s="223"/>
    </row>
    <row r="2901">
      <c r="A2901" s="223" t="str">
        <f>IFERROR(__xludf.DUMMYFUNCTION("""COMPUTED_VALUE"""),"MortgagePal : Monthly Services")</f>
        <v>MortgagePal : Monthly Services</v>
      </c>
      <c r="B2901" s="223" t="str">
        <f>IFERROR(__xludf.DUMMYFUNCTION("""COMPUTED_VALUE"""),"MortgagePal")</f>
        <v>MortgagePal</v>
      </c>
      <c r="C2901" s="223" t="str">
        <f>IFERROR(__xludf.DUMMYFUNCTION("""COMPUTED_VALUE"""),"Monthly Services")</f>
        <v>Monthly Services</v>
      </c>
      <c r="D2901" s="316">
        <f>IFERROR(__xludf.DUMMYFUNCTION("""COMPUTED_VALUE"""),45138.0)</f>
        <v>45138</v>
      </c>
      <c r="E2901" s="298"/>
      <c r="F2901" s="298"/>
      <c r="G2901" s="298"/>
      <c r="H2901" s="223"/>
      <c r="I2901" s="298">
        <f>IFERROR(__xludf.DUMMYFUNCTION("""COMPUTED_VALUE"""),212.5)</f>
        <v>212.5</v>
      </c>
      <c r="J2901" s="223" t="str">
        <f>IFERROR(__xludf.DUMMYFUNCTION("""COMPUTED_VALUE"""),"Monthly")</f>
        <v>Monthly</v>
      </c>
      <c r="K2901" s="317">
        <f>IFERROR(__xludf.DUMMYFUNCTION("""COMPUTED_VALUE"""),2023.07)</f>
        <v>2023.07</v>
      </c>
      <c r="L2901" s="298"/>
      <c r="M2901" s="223"/>
      <c r="N2901" s="223"/>
      <c r="O2901" s="223"/>
      <c r="P2901" s="223"/>
      <c r="Q2901" s="223"/>
      <c r="R2901" s="223"/>
      <c r="S2901" s="223"/>
      <c r="T2901" s="223"/>
      <c r="U2901" s="223"/>
      <c r="V2901" s="223"/>
      <c r="W2901" s="223"/>
      <c r="X2901" s="223"/>
      <c r="Y2901" s="223"/>
      <c r="Z2901" s="223"/>
    </row>
    <row r="2902">
      <c r="A2902" s="223" t="str">
        <f>IFERROR(__xludf.DUMMYFUNCTION("""COMPUTED_VALUE"""),"Wallack's Art Supplies : Monthly Services")</f>
        <v>Wallack's Art Supplies : Monthly Services</v>
      </c>
      <c r="B2902" s="223" t="str">
        <f>IFERROR(__xludf.DUMMYFUNCTION("""COMPUTED_VALUE"""),"Wallack's Art Supplies")</f>
        <v>Wallack's Art Supplies</v>
      </c>
      <c r="C2902" s="223" t="str">
        <f>IFERROR(__xludf.DUMMYFUNCTION("""COMPUTED_VALUE"""),"Monthly Services")</f>
        <v>Monthly Services</v>
      </c>
      <c r="D2902" s="316">
        <f>IFERROR(__xludf.DUMMYFUNCTION("""COMPUTED_VALUE"""),45138.0)</f>
        <v>45138</v>
      </c>
      <c r="E2902" s="298"/>
      <c r="F2902" s="298"/>
      <c r="G2902" s="298"/>
      <c r="H2902" s="223"/>
      <c r="I2902" s="298">
        <f>IFERROR(__xludf.DUMMYFUNCTION("""COMPUTED_VALUE"""),287.5)</f>
        <v>287.5</v>
      </c>
      <c r="J2902" s="223" t="str">
        <f>IFERROR(__xludf.DUMMYFUNCTION("""COMPUTED_VALUE"""),"Monthly")</f>
        <v>Monthly</v>
      </c>
      <c r="K2902" s="317">
        <f>IFERROR(__xludf.DUMMYFUNCTION("""COMPUTED_VALUE"""),2023.07)</f>
        <v>2023.07</v>
      </c>
      <c r="L2902" s="298"/>
      <c r="M2902" s="223"/>
      <c r="N2902" s="223"/>
      <c r="O2902" s="223"/>
      <c r="P2902" s="223"/>
      <c r="Q2902" s="223"/>
      <c r="R2902" s="223"/>
      <c r="S2902" s="223"/>
      <c r="T2902" s="223"/>
      <c r="U2902" s="223"/>
      <c r="V2902" s="223"/>
      <c r="W2902" s="223"/>
      <c r="X2902" s="223"/>
      <c r="Y2902" s="223"/>
      <c r="Z2902" s="223"/>
    </row>
    <row r="2903">
      <c r="A2903" s="223" t="str">
        <f>IFERROR(__xludf.DUMMYFUNCTION("""COMPUTED_VALUE"""),"Anook Athletics : Monthly Services")</f>
        <v>Anook Athletics : Monthly Services</v>
      </c>
      <c r="B2903" s="223" t="str">
        <f>IFERROR(__xludf.DUMMYFUNCTION("""COMPUTED_VALUE"""),"Anook Athletics")</f>
        <v>Anook Athletics</v>
      </c>
      <c r="C2903" s="223" t="str">
        <f>IFERROR(__xludf.DUMMYFUNCTION("""COMPUTED_VALUE"""),"Monthly Services")</f>
        <v>Monthly Services</v>
      </c>
      <c r="D2903" s="316">
        <f>IFERROR(__xludf.DUMMYFUNCTION("""COMPUTED_VALUE"""),45138.0)</f>
        <v>45138</v>
      </c>
      <c r="E2903" s="298"/>
      <c r="F2903" s="298"/>
      <c r="G2903" s="298"/>
      <c r="H2903" s="223"/>
      <c r="I2903" s="298">
        <f>IFERROR(__xludf.DUMMYFUNCTION("""COMPUTED_VALUE"""),300.0)</f>
        <v>300</v>
      </c>
      <c r="J2903" s="223" t="str">
        <f>IFERROR(__xludf.DUMMYFUNCTION("""COMPUTED_VALUE"""),"Monthly")</f>
        <v>Monthly</v>
      </c>
      <c r="K2903" s="317">
        <f>IFERROR(__xludf.DUMMYFUNCTION("""COMPUTED_VALUE"""),2023.07)</f>
        <v>2023.07</v>
      </c>
      <c r="L2903" s="298"/>
      <c r="M2903" s="223"/>
      <c r="N2903" s="223"/>
      <c r="O2903" s="223"/>
      <c r="P2903" s="223"/>
      <c r="Q2903" s="223"/>
      <c r="R2903" s="223"/>
      <c r="S2903" s="223"/>
      <c r="T2903" s="223"/>
      <c r="U2903" s="223"/>
      <c r="V2903" s="223"/>
      <c r="W2903" s="223"/>
      <c r="X2903" s="223"/>
      <c r="Y2903" s="223"/>
      <c r="Z2903" s="223"/>
    </row>
    <row r="2904">
      <c r="A2904" s="223" t="str">
        <f>IFERROR(__xludf.DUMMYFUNCTION("""COMPUTED_VALUE"""),"PMDI : Monthly Services")</f>
        <v>PMDI : Monthly Services</v>
      </c>
      <c r="B2904" s="223" t="str">
        <f>IFERROR(__xludf.DUMMYFUNCTION("""COMPUTED_VALUE"""),"PMDI")</f>
        <v>PMDI</v>
      </c>
      <c r="C2904" s="223" t="str">
        <f>IFERROR(__xludf.DUMMYFUNCTION("""COMPUTED_VALUE"""),"Monthly Services")</f>
        <v>Monthly Services</v>
      </c>
      <c r="D2904" s="316">
        <f>IFERROR(__xludf.DUMMYFUNCTION("""COMPUTED_VALUE"""),45138.0)</f>
        <v>45138</v>
      </c>
      <c r="E2904" s="298"/>
      <c r="F2904" s="298"/>
      <c r="G2904" s="298"/>
      <c r="H2904" s="223"/>
      <c r="I2904" s="298">
        <f>IFERROR(__xludf.DUMMYFUNCTION("""COMPUTED_VALUE"""),150.0)</f>
        <v>150</v>
      </c>
      <c r="J2904" s="223" t="str">
        <f>IFERROR(__xludf.DUMMYFUNCTION("""COMPUTED_VALUE"""),"Monthly")</f>
        <v>Monthly</v>
      </c>
      <c r="K2904" s="317">
        <f>IFERROR(__xludf.DUMMYFUNCTION("""COMPUTED_VALUE"""),2023.07)</f>
        <v>2023.07</v>
      </c>
      <c r="L2904" s="298"/>
      <c r="M2904" s="223"/>
      <c r="N2904" s="223"/>
      <c r="O2904" s="223"/>
      <c r="P2904" s="223"/>
      <c r="Q2904" s="223"/>
      <c r="R2904" s="223"/>
      <c r="S2904" s="223"/>
      <c r="T2904" s="223"/>
      <c r="U2904" s="223"/>
      <c r="V2904" s="223"/>
      <c r="W2904" s="223"/>
      <c r="X2904" s="223"/>
      <c r="Y2904" s="223"/>
      <c r="Z2904" s="223"/>
    </row>
    <row r="2905">
      <c r="A2905" s="223" t="str">
        <f>IFERROR(__xludf.DUMMYFUNCTION("""COMPUTED_VALUE"""),"Big Hammer Wines : Monthly PPC")</f>
        <v>Big Hammer Wines : Monthly PPC</v>
      </c>
      <c r="B2905" s="223" t="str">
        <f>IFERROR(__xludf.DUMMYFUNCTION("""COMPUTED_VALUE"""),"Big Hammer Wines")</f>
        <v>Big Hammer Wines</v>
      </c>
      <c r="C2905" s="223" t="str">
        <f>IFERROR(__xludf.DUMMYFUNCTION("""COMPUTED_VALUE"""),"Monthly PPC")</f>
        <v>Monthly PPC</v>
      </c>
      <c r="D2905" s="316">
        <f>IFERROR(__xludf.DUMMYFUNCTION("""COMPUTED_VALUE"""),45138.0)</f>
        <v>45138</v>
      </c>
      <c r="E2905" s="298"/>
      <c r="F2905" s="298"/>
      <c r="G2905" s="298"/>
      <c r="H2905" s="223"/>
      <c r="I2905" s="298">
        <f>IFERROR(__xludf.DUMMYFUNCTION("""COMPUTED_VALUE"""),262.5)</f>
        <v>262.5</v>
      </c>
      <c r="J2905" s="223" t="str">
        <f>IFERROR(__xludf.DUMMYFUNCTION("""COMPUTED_VALUE"""),"Monthly")</f>
        <v>Monthly</v>
      </c>
      <c r="K2905" s="317">
        <f>IFERROR(__xludf.DUMMYFUNCTION("""COMPUTED_VALUE"""),2023.07)</f>
        <v>2023.07</v>
      </c>
      <c r="L2905" s="298"/>
      <c r="M2905" s="223"/>
      <c r="N2905" s="223"/>
      <c r="O2905" s="223"/>
      <c r="P2905" s="223"/>
      <c r="Q2905" s="223"/>
      <c r="R2905" s="223"/>
      <c r="S2905" s="223"/>
      <c r="T2905" s="223"/>
      <c r="U2905" s="223"/>
      <c r="V2905" s="223"/>
      <c r="W2905" s="223"/>
      <c r="X2905" s="223"/>
      <c r="Y2905" s="223"/>
      <c r="Z2905" s="223"/>
    </row>
    <row r="2906">
      <c r="A2906" s="223" t="str">
        <f>IFERROR(__xludf.DUMMYFUNCTION("""COMPUTED_VALUE"""),"Halo Programs : Monthly PPC")</f>
        <v>Halo Programs : Monthly PPC</v>
      </c>
      <c r="B2906" s="223" t="str">
        <f>IFERROR(__xludf.DUMMYFUNCTION("""COMPUTED_VALUE"""),"Halo Programs")</f>
        <v>Halo Programs</v>
      </c>
      <c r="C2906" s="223" t="str">
        <f>IFERROR(__xludf.DUMMYFUNCTION("""COMPUTED_VALUE"""),"Monthly PPC")</f>
        <v>Monthly PPC</v>
      </c>
      <c r="D2906" s="316">
        <f>IFERROR(__xludf.DUMMYFUNCTION("""COMPUTED_VALUE"""),45138.0)</f>
        <v>45138</v>
      </c>
      <c r="E2906" s="298"/>
      <c r="F2906" s="298"/>
      <c r="G2906" s="298"/>
      <c r="H2906" s="223"/>
      <c r="I2906" s="298">
        <f>IFERROR(__xludf.DUMMYFUNCTION("""COMPUTED_VALUE"""),225.0)</f>
        <v>225</v>
      </c>
      <c r="J2906" s="223" t="str">
        <f>IFERROR(__xludf.DUMMYFUNCTION("""COMPUTED_VALUE"""),"Monthly")</f>
        <v>Monthly</v>
      </c>
      <c r="K2906" s="317">
        <f>IFERROR(__xludf.DUMMYFUNCTION("""COMPUTED_VALUE"""),2023.07)</f>
        <v>2023.07</v>
      </c>
      <c r="L2906" s="298"/>
      <c r="M2906" s="223"/>
      <c r="N2906" s="223"/>
      <c r="O2906" s="223"/>
      <c r="P2906" s="223"/>
      <c r="Q2906" s="223"/>
      <c r="R2906" s="223"/>
      <c r="S2906" s="223"/>
      <c r="T2906" s="223"/>
      <c r="U2906" s="223"/>
      <c r="V2906" s="223"/>
      <c r="W2906" s="223"/>
      <c r="X2906" s="223"/>
      <c r="Y2906" s="223"/>
      <c r="Z2906" s="223"/>
    </row>
    <row r="2907">
      <c r="A2907" s="223" t="str">
        <f>IFERROR(__xludf.DUMMYFUNCTION("""COMPUTED_VALUE"""),"Spraggs : Monthly Services")</f>
        <v>Spraggs : Monthly Services</v>
      </c>
      <c r="B2907" s="223" t="str">
        <f>IFERROR(__xludf.DUMMYFUNCTION("""COMPUTED_VALUE"""),"Spraggs")</f>
        <v>Spraggs</v>
      </c>
      <c r="C2907" s="223" t="str">
        <f>IFERROR(__xludf.DUMMYFUNCTION("""COMPUTED_VALUE"""),"Monthly Services")</f>
        <v>Monthly Services</v>
      </c>
      <c r="D2907" s="316">
        <f>IFERROR(__xludf.DUMMYFUNCTION("""COMPUTED_VALUE"""),45138.0)</f>
        <v>45138</v>
      </c>
      <c r="E2907" s="298"/>
      <c r="F2907" s="298"/>
      <c r="G2907" s="298"/>
      <c r="H2907" s="223"/>
      <c r="I2907" s="298">
        <f>IFERROR(__xludf.DUMMYFUNCTION("""COMPUTED_VALUE"""),275.0)</f>
        <v>275</v>
      </c>
      <c r="J2907" s="223" t="str">
        <f>IFERROR(__xludf.DUMMYFUNCTION("""COMPUTED_VALUE"""),"Monthly")</f>
        <v>Monthly</v>
      </c>
      <c r="K2907" s="317">
        <f>IFERROR(__xludf.DUMMYFUNCTION("""COMPUTED_VALUE"""),2023.07)</f>
        <v>2023.07</v>
      </c>
      <c r="L2907" s="298"/>
      <c r="M2907" s="223"/>
      <c r="N2907" s="223"/>
      <c r="O2907" s="223"/>
      <c r="P2907" s="223"/>
      <c r="Q2907" s="223"/>
      <c r="R2907" s="223"/>
      <c r="S2907" s="223"/>
      <c r="T2907" s="223"/>
      <c r="U2907" s="223"/>
      <c r="V2907" s="223"/>
      <c r="W2907" s="223"/>
      <c r="X2907" s="223"/>
      <c r="Y2907" s="223"/>
      <c r="Z2907" s="223"/>
    </row>
    <row r="2908">
      <c r="A2908" s="223" t="str">
        <f>IFERROR(__xludf.DUMMYFUNCTION("""COMPUTED_VALUE"""),"MortgagePal : Monthly Services")</f>
        <v>MortgagePal : Monthly Services</v>
      </c>
      <c r="B2908" s="223" t="str">
        <f>IFERROR(__xludf.DUMMYFUNCTION("""COMPUTED_VALUE"""),"MortgagePal")</f>
        <v>MortgagePal</v>
      </c>
      <c r="C2908" s="223" t="str">
        <f>IFERROR(__xludf.DUMMYFUNCTION("""COMPUTED_VALUE"""),"Monthly Services")</f>
        <v>Monthly Services</v>
      </c>
      <c r="D2908" s="316">
        <f>IFERROR(__xludf.DUMMYFUNCTION("""COMPUTED_VALUE"""),45138.0)</f>
        <v>45138</v>
      </c>
      <c r="E2908" s="298"/>
      <c r="F2908" s="298"/>
      <c r="G2908" s="298"/>
      <c r="H2908" s="223"/>
      <c r="I2908" s="298">
        <f>IFERROR(__xludf.DUMMYFUNCTION("""COMPUTED_VALUE"""),45.0)</f>
        <v>45</v>
      </c>
      <c r="J2908" s="223" t="str">
        <f>IFERROR(__xludf.DUMMYFUNCTION("""COMPUTED_VALUE"""),"Monthly")</f>
        <v>Monthly</v>
      </c>
      <c r="K2908" s="317">
        <f>IFERROR(__xludf.DUMMYFUNCTION("""COMPUTED_VALUE"""),2023.07)</f>
        <v>2023.07</v>
      </c>
      <c r="L2908" s="298"/>
      <c r="M2908" s="223"/>
      <c r="N2908" s="223"/>
      <c r="O2908" s="223"/>
      <c r="P2908" s="223"/>
      <c r="Q2908" s="223"/>
      <c r="R2908" s="223"/>
      <c r="S2908" s="223"/>
      <c r="T2908" s="223"/>
      <c r="U2908" s="223"/>
      <c r="V2908" s="223"/>
      <c r="W2908" s="223"/>
      <c r="X2908" s="223"/>
      <c r="Y2908" s="223"/>
      <c r="Z2908" s="223"/>
    </row>
    <row r="2909">
      <c r="A2909" s="223" t="str">
        <f>IFERROR(__xludf.DUMMYFUNCTION("""COMPUTED_VALUE"""),"Service First : Monthly Services")</f>
        <v>Service First : Monthly Services</v>
      </c>
      <c r="B2909" s="223" t="str">
        <f>IFERROR(__xludf.DUMMYFUNCTION("""COMPUTED_VALUE"""),"Service First")</f>
        <v>Service First</v>
      </c>
      <c r="C2909" s="223" t="str">
        <f>IFERROR(__xludf.DUMMYFUNCTION("""COMPUTED_VALUE"""),"Monthly Services")</f>
        <v>Monthly Services</v>
      </c>
      <c r="D2909" s="316">
        <f>IFERROR(__xludf.DUMMYFUNCTION("""COMPUTED_VALUE"""),45138.0)</f>
        <v>45138</v>
      </c>
      <c r="E2909" s="298"/>
      <c r="F2909" s="298"/>
      <c r="G2909" s="298"/>
      <c r="H2909" s="223"/>
      <c r="I2909" s="298">
        <f>IFERROR(__xludf.DUMMYFUNCTION("""COMPUTED_VALUE"""),30.0)</f>
        <v>30</v>
      </c>
      <c r="J2909" s="223" t="str">
        <f>IFERROR(__xludf.DUMMYFUNCTION("""COMPUTED_VALUE"""),"Monthly")</f>
        <v>Monthly</v>
      </c>
      <c r="K2909" s="317">
        <f>IFERROR(__xludf.DUMMYFUNCTION("""COMPUTED_VALUE"""),2023.07)</f>
        <v>2023.07</v>
      </c>
      <c r="L2909" s="298"/>
      <c r="M2909" s="223"/>
      <c r="N2909" s="223"/>
      <c r="O2909" s="223"/>
      <c r="P2909" s="223"/>
      <c r="Q2909" s="223"/>
      <c r="R2909" s="223"/>
      <c r="S2909" s="223"/>
      <c r="T2909" s="223"/>
      <c r="U2909" s="223"/>
      <c r="V2909" s="223"/>
      <c r="W2909" s="223"/>
      <c r="X2909" s="223"/>
      <c r="Y2909" s="223"/>
      <c r="Z2909" s="223"/>
    </row>
    <row r="2910">
      <c r="A2910" s="223" t="str">
        <f>IFERROR(__xludf.DUMMYFUNCTION("""COMPUTED_VALUE"""),"HSJ Lawyers : Monthly Services")</f>
        <v>HSJ Lawyers : Monthly Services</v>
      </c>
      <c r="B2910" s="223" t="str">
        <f>IFERROR(__xludf.DUMMYFUNCTION("""COMPUTED_VALUE"""),"HSJ Lawyers")</f>
        <v>HSJ Lawyers</v>
      </c>
      <c r="C2910" s="223" t="str">
        <f>IFERROR(__xludf.DUMMYFUNCTION("""COMPUTED_VALUE"""),"Monthly Services")</f>
        <v>Monthly Services</v>
      </c>
      <c r="D2910" s="316">
        <f>IFERROR(__xludf.DUMMYFUNCTION("""COMPUTED_VALUE"""),45138.0)</f>
        <v>45138</v>
      </c>
      <c r="E2910" s="298"/>
      <c r="F2910" s="298"/>
      <c r="G2910" s="298"/>
      <c r="H2910" s="223"/>
      <c r="I2910" s="298">
        <f>IFERROR(__xludf.DUMMYFUNCTION("""COMPUTED_VALUE"""),90.0)</f>
        <v>90</v>
      </c>
      <c r="J2910" s="223" t="str">
        <f>IFERROR(__xludf.DUMMYFUNCTION("""COMPUTED_VALUE"""),"Monthly")</f>
        <v>Monthly</v>
      </c>
      <c r="K2910" s="317">
        <f>IFERROR(__xludf.DUMMYFUNCTION("""COMPUTED_VALUE"""),2023.07)</f>
        <v>2023.07</v>
      </c>
      <c r="L2910" s="298"/>
      <c r="M2910" s="223"/>
      <c r="N2910" s="223"/>
      <c r="O2910" s="223"/>
      <c r="P2910" s="223"/>
      <c r="Q2910" s="223"/>
      <c r="R2910" s="223"/>
      <c r="S2910" s="223"/>
      <c r="T2910" s="223"/>
      <c r="U2910" s="223"/>
      <c r="V2910" s="223"/>
      <c r="W2910" s="223"/>
      <c r="X2910" s="223"/>
      <c r="Y2910" s="223"/>
      <c r="Z2910" s="223"/>
    </row>
    <row r="2911">
      <c r="A2911" s="223" t="str">
        <f>IFERROR(__xludf.DUMMYFUNCTION("""COMPUTED_VALUE"""),"Booginhead : Monthly Services")</f>
        <v>Booginhead : Monthly Services</v>
      </c>
      <c r="B2911" s="223" t="str">
        <f>IFERROR(__xludf.DUMMYFUNCTION("""COMPUTED_VALUE"""),"Booginhead")</f>
        <v>Booginhead</v>
      </c>
      <c r="C2911" s="223" t="str">
        <f>IFERROR(__xludf.DUMMYFUNCTION("""COMPUTED_VALUE"""),"Monthly Services")</f>
        <v>Monthly Services</v>
      </c>
      <c r="D2911" s="316">
        <f>IFERROR(__xludf.DUMMYFUNCTION("""COMPUTED_VALUE"""),45138.0)</f>
        <v>45138</v>
      </c>
      <c r="E2911" s="298"/>
      <c r="F2911" s="298"/>
      <c r="G2911" s="298"/>
      <c r="H2911" s="223"/>
      <c r="I2911" s="298">
        <f>IFERROR(__xludf.DUMMYFUNCTION("""COMPUTED_VALUE"""),260.0)</f>
        <v>260</v>
      </c>
      <c r="J2911" s="223" t="str">
        <f>IFERROR(__xludf.DUMMYFUNCTION("""COMPUTED_VALUE"""),"Monthly")</f>
        <v>Monthly</v>
      </c>
      <c r="K2911" s="317">
        <f>IFERROR(__xludf.DUMMYFUNCTION("""COMPUTED_VALUE"""),2023.07)</f>
        <v>2023.07</v>
      </c>
      <c r="L2911" s="298"/>
      <c r="M2911" s="223"/>
      <c r="N2911" s="223"/>
      <c r="O2911" s="223"/>
      <c r="P2911" s="223"/>
      <c r="Q2911" s="223"/>
      <c r="R2911" s="223"/>
      <c r="S2911" s="223"/>
      <c r="T2911" s="223"/>
      <c r="U2911" s="223"/>
      <c r="V2911" s="223"/>
      <c r="W2911" s="223"/>
      <c r="X2911" s="223"/>
      <c r="Y2911" s="223"/>
      <c r="Z2911" s="223"/>
    </row>
    <row r="2912">
      <c r="A2912" s="223" t="str">
        <f>IFERROR(__xludf.DUMMYFUNCTION("""COMPUTED_VALUE"""),"Hastings House : Monthly Services")</f>
        <v>Hastings House : Monthly Services</v>
      </c>
      <c r="B2912" s="223" t="str">
        <f>IFERROR(__xludf.DUMMYFUNCTION("""COMPUTED_VALUE"""),"Hastings House")</f>
        <v>Hastings House</v>
      </c>
      <c r="C2912" s="223" t="str">
        <f>IFERROR(__xludf.DUMMYFUNCTION("""COMPUTED_VALUE"""),"Monthly Services")</f>
        <v>Monthly Services</v>
      </c>
      <c r="D2912" s="316">
        <f>IFERROR(__xludf.DUMMYFUNCTION("""COMPUTED_VALUE"""),45138.0)</f>
        <v>45138</v>
      </c>
      <c r="E2912" s="298"/>
      <c r="F2912" s="298"/>
      <c r="G2912" s="298"/>
      <c r="H2912" s="223"/>
      <c r="I2912" s="298">
        <f>IFERROR(__xludf.DUMMYFUNCTION("""COMPUTED_VALUE"""),135.0)</f>
        <v>135</v>
      </c>
      <c r="J2912" s="223" t="str">
        <f>IFERROR(__xludf.DUMMYFUNCTION("""COMPUTED_VALUE"""),"Monthly")</f>
        <v>Monthly</v>
      </c>
      <c r="K2912" s="317">
        <f>IFERROR(__xludf.DUMMYFUNCTION("""COMPUTED_VALUE"""),2023.07)</f>
        <v>2023.07</v>
      </c>
      <c r="L2912" s="298"/>
      <c r="M2912" s="223"/>
      <c r="N2912" s="223"/>
      <c r="O2912" s="223"/>
      <c r="P2912" s="223"/>
      <c r="Q2912" s="223"/>
      <c r="R2912" s="223"/>
      <c r="S2912" s="223"/>
      <c r="T2912" s="223"/>
      <c r="U2912" s="223"/>
      <c r="V2912" s="223"/>
      <c r="W2912" s="223"/>
      <c r="X2912" s="223"/>
      <c r="Y2912" s="223"/>
      <c r="Z2912" s="223"/>
    </row>
    <row r="2913">
      <c r="A2913" s="223" t="str">
        <f>IFERROR(__xludf.DUMMYFUNCTION("""COMPUTED_VALUE"""),"TisBest : Monthly Services")</f>
        <v>TisBest : Monthly Services</v>
      </c>
      <c r="B2913" s="223" t="str">
        <f>IFERROR(__xludf.DUMMYFUNCTION("""COMPUTED_VALUE"""),"TisBest")</f>
        <v>TisBest</v>
      </c>
      <c r="C2913" s="223" t="str">
        <f>IFERROR(__xludf.DUMMYFUNCTION("""COMPUTED_VALUE"""),"Monthly Services")</f>
        <v>Monthly Services</v>
      </c>
      <c r="D2913" s="316">
        <f>IFERROR(__xludf.DUMMYFUNCTION("""COMPUTED_VALUE"""),45138.0)</f>
        <v>45138</v>
      </c>
      <c r="E2913" s="298"/>
      <c r="F2913" s="298"/>
      <c r="G2913" s="298"/>
      <c r="H2913" s="223"/>
      <c r="I2913" s="298">
        <f>IFERROR(__xludf.DUMMYFUNCTION("""COMPUTED_VALUE"""),200.0)</f>
        <v>200</v>
      </c>
      <c r="J2913" s="223" t="str">
        <f>IFERROR(__xludf.DUMMYFUNCTION("""COMPUTED_VALUE"""),"Monthly")</f>
        <v>Monthly</v>
      </c>
      <c r="K2913" s="317">
        <f>IFERROR(__xludf.DUMMYFUNCTION("""COMPUTED_VALUE"""),2023.07)</f>
        <v>2023.07</v>
      </c>
      <c r="L2913" s="298"/>
      <c r="M2913" s="223"/>
      <c r="N2913" s="223"/>
      <c r="O2913" s="223"/>
      <c r="P2913" s="223"/>
      <c r="Q2913" s="223"/>
      <c r="R2913" s="223"/>
      <c r="S2913" s="223"/>
      <c r="T2913" s="223"/>
      <c r="U2913" s="223"/>
      <c r="V2913" s="223"/>
      <c r="W2913" s="223"/>
      <c r="X2913" s="223"/>
      <c r="Y2913" s="223"/>
      <c r="Z2913" s="223"/>
    </row>
    <row r="2914">
      <c r="A2914" s="223" t="str">
        <f>IFERROR(__xludf.DUMMYFUNCTION("""COMPUTED_VALUE"""),"Wallack's Art Supplies : Monthly Services")</f>
        <v>Wallack's Art Supplies : Monthly Services</v>
      </c>
      <c r="B2914" s="223" t="str">
        <f>IFERROR(__xludf.DUMMYFUNCTION("""COMPUTED_VALUE"""),"Wallack's Art Supplies")</f>
        <v>Wallack's Art Supplies</v>
      </c>
      <c r="C2914" s="223" t="str">
        <f>IFERROR(__xludf.DUMMYFUNCTION("""COMPUTED_VALUE"""),"Monthly Services")</f>
        <v>Monthly Services</v>
      </c>
      <c r="D2914" s="316">
        <f>IFERROR(__xludf.DUMMYFUNCTION("""COMPUTED_VALUE"""),45138.0)</f>
        <v>45138</v>
      </c>
      <c r="E2914" s="298"/>
      <c r="F2914" s="298"/>
      <c r="G2914" s="298"/>
      <c r="H2914" s="223"/>
      <c r="I2914" s="298">
        <f>IFERROR(__xludf.DUMMYFUNCTION("""COMPUTED_VALUE"""),75.0)</f>
        <v>75</v>
      </c>
      <c r="J2914" s="223" t="str">
        <f>IFERROR(__xludf.DUMMYFUNCTION("""COMPUTED_VALUE"""),"Monthly")</f>
        <v>Monthly</v>
      </c>
      <c r="K2914" s="317">
        <f>IFERROR(__xludf.DUMMYFUNCTION("""COMPUTED_VALUE"""),2023.07)</f>
        <v>2023.07</v>
      </c>
      <c r="L2914" s="298"/>
      <c r="M2914" s="223"/>
      <c r="N2914" s="223"/>
      <c r="O2914" s="223"/>
      <c r="P2914" s="223"/>
      <c r="Q2914" s="223"/>
      <c r="R2914" s="223"/>
      <c r="S2914" s="223"/>
      <c r="T2914" s="223"/>
      <c r="U2914" s="223"/>
      <c r="V2914" s="223"/>
      <c r="W2914" s="223"/>
      <c r="X2914" s="223"/>
      <c r="Y2914" s="223"/>
      <c r="Z2914" s="223"/>
    </row>
    <row r="2915">
      <c r="A2915" s="223" t="str">
        <f>IFERROR(__xludf.DUMMYFUNCTION("""COMPUTED_VALUE"""),"PMDI : Monthly Services")</f>
        <v>PMDI : Monthly Services</v>
      </c>
      <c r="B2915" s="223" t="str">
        <f>IFERROR(__xludf.DUMMYFUNCTION("""COMPUTED_VALUE"""),"PMDI")</f>
        <v>PMDI</v>
      </c>
      <c r="C2915" s="223" t="str">
        <f>IFERROR(__xludf.DUMMYFUNCTION("""COMPUTED_VALUE"""),"Monthly Services")</f>
        <v>Monthly Services</v>
      </c>
      <c r="D2915" s="316">
        <f>IFERROR(__xludf.DUMMYFUNCTION("""COMPUTED_VALUE"""),45138.0)</f>
        <v>45138</v>
      </c>
      <c r="E2915" s="298"/>
      <c r="F2915" s="298"/>
      <c r="G2915" s="298"/>
      <c r="H2915" s="223"/>
      <c r="I2915" s="298">
        <f>IFERROR(__xludf.DUMMYFUNCTION("""COMPUTED_VALUE"""),30.0)</f>
        <v>30</v>
      </c>
      <c r="J2915" s="223" t="str">
        <f>IFERROR(__xludf.DUMMYFUNCTION("""COMPUTED_VALUE"""),"Monthly")</f>
        <v>Monthly</v>
      </c>
      <c r="K2915" s="317">
        <f>IFERROR(__xludf.DUMMYFUNCTION("""COMPUTED_VALUE"""),2023.07)</f>
        <v>2023.07</v>
      </c>
      <c r="L2915" s="298"/>
      <c r="M2915" s="223"/>
      <c r="N2915" s="223"/>
      <c r="O2915" s="223"/>
      <c r="P2915" s="223"/>
      <c r="Q2915" s="223"/>
      <c r="R2915" s="223"/>
      <c r="S2915" s="223"/>
      <c r="T2915" s="223"/>
      <c r="U2915" s="223"/>
      <c r="V2915" s="223"/>
      <c r="W2915" s="223"/>
      <c r="X2915" s="223"/>
      <c r="Y2915" s="223"/>
      <c r="Z2915" s="223"/>
    </row>
    <row r="2916">
      <c r="A2916" s="223" t="str">
        <f>IFERROR(__xludf.DUMMYFUNCTION("""COMPUTED_VALUE"""),"Tofino Resort + Marina : Monthly Services")</f>
        <v>Tofino Resort + Marina : Monthly Services</v>
      </c>
      <c r="B2916" s="223" t="str">
        <f>IFERROR(__xludf.DUMMYFUNCTION("""COMPUTED_VALUE"""),"Tofino Resort + Marina")</f>
        <v>Tofino Resort + Marina</v>
      </c>
      <c r="C2916" s="223" t="str">
        <f>IFERROR(__xludf.DUMMYFUNCTION("""COMPUTED_VALUE"""),"Monthly Services")</f>
        <v>Monthly Services</v>
      </c>
      <c r="D2916" s="316">
        <f>IFERROR(__xludf.DUMMYFUNCTION("""COMPUTED_VALUE"""),45138.0)</f>
        <v>45138</v>
      </c>
      <c r="E2916" s="298"/>
      <c r="F2916" s="298"/>
      <c r="G2916" s="298"/>
      <c r="H2916" s="223"/>
      <c r="I2916" s="298">
        <f>IFERROR(__xludf.DUMMYFUNCTION("""COMPUTED_VALUE"""),300.0)</f>
        <v>300</v>
      </c>
      <c r="J2916" s="223" t="str">
        <f>IFERROR(__xludf.DUMMYFUNCTION("""COMPUTED_VALUE"""),"Monthly")</f>
        <v>Monthly</v>
      </c>
      <c r="K2916" s="317">
        <f>IFERROR(__xludf.DUMMYFUNCTION("""COMPUTED_VALUE"""),2023.07)</f>
        <v>2023.07</v>
      </c>
      <c r="L2916" s="298"/>
      <c r="M2916" s="223"/>
      <c r="N2916" s="223"/>
      <c r="O2916" s="223"/>
      <c r="P2916" s="223"/>
      <c r="Q2916" s="223"/>
      <c r="R2916" s="223"/>
      <c r="S2916" s="223"/>
      <c r="T2916" s="223"/>
      <c r="U2916" s="223"/>
      <c r="V2916" s="223"/>
      <c r="W2916" s="223"/>
      <c r="X2916" s="223"/>
      <c r="Y2916" s="223"/>
      <c r="Z2916" s="223"/>
    </row>
    <row r="2917">
      <c r="A2917" s="223" t="str">
        <f>IFERROR(__xludf.DUMMYFUNCTION("""COMPUTED_VALUE"""),"Anook Athletics : Monthly Services")</f>
        <v>Anook Athletics : Monthly Services</v>
      </c>
      <c r="B2917" s="223" t="str">
        <f>IFERROR(__xludf.DUMMYFUNCTION("""COMPUTED_VALUE"""),"Anook Athletics")</f>
        <v>Anook Athletics</v>
      </c>
      <c r="C2917" s="223" t="str">
        <f>IFERROR(__xludf.DUMMYFUNCTION("""COMPUTED_VALUE"""),"Monthly Services")</f>
        <v>Monthly Services</v>
      </c>
      <c r="D2917" s="316">
        <f>IFERROR(__xludf.DUMMYFUNCTION("""COMPUTED_VALUE"""),45138.0)</f>
        <v>45138</v>
      </c>
      <c r="E2917" s="298"/>
      <c r="F2917" s="298"/>
      <c r="G2917" s="298"/>
      <c r="H2917" s="223"/>
      <c r="I2917" s="298">
        <f>IFERROR(__xludf.DUMMYFUNCTION("""COMPUTED_VALUE"""),75.0)</f>
        <v>75</v>
      </c>
      <c r="J2917" s="223" t="str">
        <f>IFERROR(__xludf.DUMMYFUNCTION("""COMPUTED_VALUE"""),"Monthly")</f>
        <v>Monthly</v>
      </c>
      <c r="K2917" s="317">
        <f>IFERROR(__xludf.DUMMYFUNCTION("""COMPUTED_VALUE"""),2023.07)</f>
        <v>2023.07</v>
      </c>
      <c r="L2917" s="298"/>
      <c r="M2917" s="223"/>
      <c r="N2917" s="223"/>
      <c r="O2917" s="223"/>
      <c r="P2917" s="223"/>
      <c r="Q2917" s="223"/>
      <c r="R2917" s="223"/>
      <c r="S2917" s="223"/>
      <c r="T2917" s="223"/>
      <c r="U2917" s="223"/>
      <c r="V2917" s="223"/>
      <c r="W2917" s="223"/>
      <c r="X2917" s="223"/>
      <c r="Y2917" s="223"/>
      <c r="Z2917" s="223"/>
    </row>
    <row r="2918">
      <c r="A2918" s="223" t="str">
        <f>IFERROR(__xludf.DUMMYFUNCTION("""COMPUTED_VALUE"""),"New Growth Ecommerce Inc : Monthly Services")</f>
        <v>New Growth Ecommerce Inc : Monthly Services</v>
      </c>
      <c r="B2918" s="223" t="str">
        <f>IFERROR(__xludf.DUMMYFUNCTION("""COMPUTED_VALUE"""),"New Growth Ecommerce Inc")</f>
        <v>New Growth Ecommerce Inc</v>
      </c>
      <c r="C2918" s="223" t="str">
        <f>IFERROR(__xludf.DUMMYFUNCTION("""COMPUTED_VALUE"""),"Monthly Services")</f>
        <v>Monthly Services</v>
      </c>
      <c r="D2918" s="316">
        <f>IFERROR(__xludf.DUMMYFUNCTION("""COMPUTED_VALUE"""),45138.0)</f>
        <v>45138</v>
      </c>
      <c r="E2918" s="298"/>
      <c r="F2918" s="298"/>
      <c r="G2918" s="298"/>
      <c r="H2918" s="223"/>
      <c r="I2918" s="298">
        <f>IFERROR(__xludf.DUMMYFUNCTION("""COMPUTED_VALUE"""),1860.0)</f>
        <v>1860</v>
      </c>
      <c r="J2918" s="223" t="str">
        <f>IFERROR(__xludf.DUMMYFUNCTION("""COMPUTED_VALUE"""),"Monthly")</f>
        <v>Monthly</v>
      </c>
      <c r="K2918" s="317">
        <f>IFERROR(__xludf.DUMMYFUNCTION("""COMPUTED_VALUE"""),2023.07)</f>
        <v>2023.07</v>
      </c>
      <c r="L2918" s="298"/>
      <c r="M2918" s="223"/>
      <c r="N2918" s="223"/>
      <c r="O2918" s="223"/>
      <c r="P2918" s="223"/>
      <c r="Q2918" s="223"/>
      <c r="R2918" s="223"/>
      <c r="S2918" s="223"/>
      <c r="T2918" s="223"/>
      <c r="U2918" s="223"/>
      <c r="V2918" s="223"/>
      <c r="W2918" s="223"/>
      <c r="X2918" s="223"/>
      <c r="Y2918" s="223"/>
      <c r="Z2918" s="223"/>
    </row>
    <row r="2919">
      <c r="A2919" s="223" t="str">
        <f>IFERROR(__xludf.DUMMYFUNCTION("""COMPUTED_VALUE"""),"Crisp Media : Monthly Genus Google PPC Mgmt")</f>
        <v>Crisp Media : Monthly Genus Google PPC Mgmt</v>
      </c>
      <c r="B2919" s="223" t="str">
        <f>IFERROR(__xludf.DUMMYFUNCTION("""COMPUTED_VALUE"""),"Crisp Media")</f>
        <v>Crisp Media</v>
      </c>
      <c r="C2919" s="223" t="str">
        <f>IFERROR(__xludf.DUMMYFUNCTION("""COMPUTED_VALUE"""),"Monthly Genus Google PPC Mgmt")</f>
        <v>Monthly Genus Google PPC Mgmt</v>
      </c>
      <c r="D2919" s="316">
        <f>IFERROR(__xludf.DUMMYFUNCTION("""COMPUTED_VALUE"""),45138.0)</f>
        <v>45138</v>
      </c>
      <c r="E2919" s="298"/>
      <c r="F2919" s="298"/>
      <c r="G2919" s="298"/>
      <c r="H2919" s="223"/>
      <c r="I2919" s="298">
        <f>IFERROR(__xludf.DUMMYFUNCTION("""COMPUTED_VALUE"""),45.0)</f>
        <v>45</v>
      </c>
      <c r="J2919" s="223" t="str">
        <f>IFERROR(__xludf.DUMMYFUNCTION("""COMPUTED_VALUE"""),"Monthly")</f>
        <v>Monthly</v>
      </c>
      <c r="K2919" s="317">
        <f>IFERROR(__xludf.DUMMYFUNCTION("""COMPUTED_VALUE"""),2023.07)</f>
        <v>2023.07</v>
      </c>
      <c r="L2919" s="298"/>
      <c r="M2919" s="223"/>
      <c r="N2919" s="223"/>
      <c r="O2919" s="223"/>
      <c r="P2919" s="223"/>
      <c r="Q2919" s="223"/>
      <c r="R2919" s="223"/>
      <c r="S2919" s="223"/>
      <c r="T2919" s="223"/>
      <c r="U2919" s="223"/>
      <c r="V2919" s="223"/>
      <c r="W2919" s="223"/>
      <c r="X2919" s="223"/>
      <c r="Y2919" s="223"/>
      <c r="Z2919" s="223"/>
    </row>
    <row r="2920">
      <c r="A2920" s="223" t="str">
        <f>IFERROR(__xludf.DUMMYFUNCTION("""COMPUTED_VALUE"""),"Howard Fine Jewellers : Ongoing PPC and SEO Support")</f>
        <v>Howard Fine Jewellers : Ongoing PPC and SEO Support</v>
      </c>
      <c r="B2920" s="223" t="str">
        <f>IFERROR(__xludf.DUMMYFUNCTION("""COMPUTED_VALUE"""),"Howard Fine Jewellers")</f>
        <v>Howard Fine Jewellers</v>
      </c>
      <c r="C2920" s="223" t="str">
        <f>IFERROR(__xludf.DUMMYFUNCTION("""COMPUTED_VALUE"""),"Ongoing PPC and SEO Support")</f>
        <v>Ongoing PPC and SEO Support</v>
      </c>
      <c r="D2920" s="316">
        <f>IFERROR(__xludf.DUMMYFUNCTION("""COMPUTED_VALUE"""),45138.0)</f>
        <v>45138</v>
      </c>
      <c r="E2920" s="298"/>
      <c r="F2920" s="298"/>
      <c r="G2920" s="298"/>
      <c r="H2920" s="223"/>
      <c r="I2920" s="298">
        <f>IFERROR(__xludf.DUMMYFUNCTION("""COMPUTED_VALUE"""),100.0)</f>
        <v>100</v>
      </c>
      <c r="J2920" s="223" t="str">
        <f>IFERROR(__xludf.DUMMYFUNCTION("""COMPUTED_VALUE"""),"Monthly")</f>
        <v>Monthly</v>
      </c>
      <c r="K2920" s="317">
        <f>IFERROR(__xludf.DUMMYFUNCTION("""COMPUTED_VALUE"""),2023.07)</f>
        <v>2023.07</v>
      </c>
      <c r="L2920" s="298"/>
      <c r="M2920" s="223"/>
      <c r="N2920" s="223"/>
      <c r="O2920" s="223"/>
      <c r="P2920" s="223"/>
      <c r="Q2920" s="223"/>
      <c r="R2920" s="223"/>
      <c r="S2920" s="223"/>
      <c r="T2920" s="223"/>
      <c r="U2920" s="223"/>
      <c r="V2920" s="223"/>
      <c r="W2920" s="223"/>
      <c r="X2920" s="223"/>
      <c r="Y2920" s="223"/>
      <c r="Z2920" s="223"/>
    </row>
    <row r="2921">
      <c r="A2921" s="223" t="str">
        <f>IFERROR(__xludf.DUMMYFUNCTION("""COMPUTED_VALUE"""),"Big Hammer Wines : Monthly PPC")</f>
        <v>Big Hammer Wines : Monthly PPC</v>
      </c>
      <c r="B2921" s="223" t="str">
        <f>IFERROR(__xludf.DUMMYFUNCTION("""COMPUTED_VALUE"""),"Big Hammer Wines")</f>
        <v>Big Hammer Wines</v>
      </c>
      <c r="C2921" s="223" t="str">
        <f>IFERROR(__xludf.DUMMYFUNCTION("""COMPUTED_VALUE"""),"Monthly PPC")</f>
        <v>Monthly PPC</v>
      </c>
      <c r="D2921" s="316">
        <f>IFERROR(__xludf.DUMMYFUNCTION("""COMPUTED_VALUE"""),45138.0)</f>
        <v>45138</v>
      </c>
      <c r="E2921" s="298"/>
      <c r="F2921" s="298"/>
      <c r="G2921" s="298"/>
      <c r="H2921" s="223"/>
      <c r="I2921" s="298">
        <f>IFERROR(__xludf.DUMMYFUNCTION("""COMPUTED_VALUE"""),60.0)</f>
        <v>60</v>
      </c>
      <c r="J2921" s="223" t="str">
        <f>IFERROR(__xludf.DUMMYFUNCTION("""COMPUTED_VALUE"""),"Monthly")</f>
        <v>Monthly</v>
      </c>
      <c r="K2921" s="317">
        <f>IFERROR(__xludf.DUMMYFUNCTION("""COMPUTED_VALUE"""),2023.07)</f>
        <v>2023.07</v>
      </c>
      <c r="L2921" s="298"/>
      <c r="M2921" s="223"/>
      <c r="N2921" s="223"/>
      <c r="O2921" s="223"/>
      <c r="P2921" s="223"/>
      <c r="Q2921" s="223"/>
      <c r="R2921" s="223"/>
      <c r="S2921" s="223"/>
      <c r="T2921" s="223"/>
      <c r="U2921" s="223"/>
      <c r="V2921" s="223"/>
      <c r="W2921" s="223"/>
      <c r="X2921" s="223"/>
      <c r="Y2921" s="223"/>
      <c r="Z2921" s="223"/>
    </row>
    <row r="2922">
      <c r="A2922" s="223" t="str">
        <f>IFERROR(__xludf.DUMMYFUNCTION("""COMPUTED_VALUE"""),"Classic LifeCare : Monthly Google Ads (PPC) Management")</f>
        <v>Classic LifeCare : Monthly Google Ads (PPC) Management</v>
      </c>
      <c r="B2922" s="223" t="str">
        <f>IFERROR(__xludf.DUMMYFUNCTION("""COMPUTED_VALUE"""),"Classic LifeCare")</f>
        <v>Classic LifeCare</v>
      </c>
      <c r="C2922" s="223" t="str">
        <f>IFERROR(__xludf.DUMMYFUNCTION("""COMPUTED_VALUE"""),"Monthly Google Ads (PPC) Management")</f>
        <v>Monthly Google Ads (PPC) Management</v>
      </c>
      <c r="D2922" s="316">
        <f>IFERROR(__xludf.DUMMYFUNCTION("""COMPUTED_VALUE"""),45138.0)</f>
        <v>45138</v>
      </c>
      <c r="E2922" s="298"/>
      <c r="F2922" s="298"/>
      <c r="G2922" s="298"/>
      <c r="H2922" s="223"/>
      <c r="I2922" s="298">
        <f>IFERROR(__xludf.DUMMYFUNCTION("""COMPUTED_VALUE"""),322.5)</f>
        <v>322.5</v>
      </c>
      <c r="J2922" s="223" t="str">
        <f>IFERROR(__xludf.DUMMYFUNCTION("""COMPUTED_VALUE"""),"Monthly")</f>
        <v>Monthly</v>
      </c>
      <c r="K2922" s="317">
        <f>IFERROR(__xludf.DUMMYFUNCTION("""COMPUTED_VALUE"""),2023.07)</f>
        <v>2023.07</v>
      </c>
      <c r="L2922" s="298"/>
      <c r="M2922" s="223"/>
      <c r="N2922" s="223"/>
      <c r="O2922" s="223"/>
      <c r="P2922" s="223"/>
      <c r="Q2922" s="223"/>
      <c r="R2922" s="223"/>
      <c r="S2922" s="223"/>
      <c r="T2922" s="223"/>
      <c r="U2922" s="223"/>
      <c r="V2922" s="223"/>
      <c r="W2922" s="223"/>
      <c r="X2922" s="223"/>
      <c r="Y2922" s="223"/>
      <c r="Z2922" s="223"/>
    </row>
    <row r="2923">
      <c r="A2923" s="223" t="str">
        <f>IFERROR(__xludf.DUMMYFUNCTION("""COMPUTED_VALUE"""),"McAllister Marketing : Copernic PPC / SEO")</f>
        <v>McAllister Marketing : Copernic PPC / SEO</v>
      </c>
      <c r="B2923" s="223" t="str">
        <f>IFERROR(__xludf.DUMMYFUNCTION("""COMPUTED_VALUE"""),"McAllister Marketing")</f>
        <v>McAllister Marketing</v>
      </c>
      <c r="C2923" s="223" t="str">
        <f>IFERROR(__xludf.DUMMYFUNCTION("""COMPUTED_VALUE"""),"Copernic PPC / SEO")</f>
        <v>Copernic PPC / SEO</v>
      </c>
      <c r="D2923" s="316">
        <f>IFERROR(__xludf.DUMMYFUNCTION("""COMPUTED_VALUE"""),45138.0)</f>
        <v>45138</v>
      </c>
      <c r="E2923" s="298"/>
      <c r="F2923" s="298"/>
      <c r="G2923" s="298"/>
      <c r="H2923" s="223"/>
      <c r="I2923" s="298">
        <f>IFERROR(__xludf.DUMMYFUNCTION("""COMPUTED_VALUE"""),500.0)</f>
        <v>500</v>
      </c>
      <c r="J2923" s="223" t="str">
        <f>IFERROR(__xludf.DUMMYFUNCTION("""COMPUTED_VALUE"""),"Monthly")</f>
        <v>Monthly</v>
      </c>
      <c r="K2923" s="317">
        <f>IFERROR(__xludf.DUMMYFUNCTION("""COMPUTED_VALUE"""),2023.07)</f>
        <v>2023.07</v>
      </c>
      <c r="L2923" s="298"/>
      <c r="M2923" s="223"/>
      <c r="N2923" s="223"/>
      <c r="O2923" s="223"/>
      <c r="P2923" s="223"/>
      <c r="Q2923" s="223"/>
      <c r="R2923" s="223"/>
      <c r="S2923" s="223"/>
      <c r="T2923" s="223"/>
      <c r="U2923" s="223"/>
      <c r="V2923" s="223"/>
      <c r="W2923" s="223"/>
      <c r="X2923" s="223"/>
      <c r="Y2923" s="223"/>
      <c r="Z2923" s="223"/>
    </row>
    <row r="2924">
      <c r="A2924" s="223" t="str">
        <f>IFERROR(__xludf.DUMMYFUNCTION("""COMPUTED_VALUE"""),"Terra Insights : Monthly PPC")</f>
        <v>Terra Insights : Monthly PPC</v>
      </c>
      <c r="B2924" s="223" t="str">
        <f>IFERROR(__xludf.DUMMYFUNCTION("""COMPUTED_VALUE"""),"Terra Insights")</f>
        <v>Terra Insights</v>
      </c>
      <c r="C2924" s="223" t="str">
        <f>IFERROR(__xludf.DUMMYFUNCTION("""COMPUTED_VALUE"""),"Monthly PPC")</f>
        <v>Monthly PPC</v>
      </c>
      <c r="D2924" s="316">
        <f>IFERROR(__xludf.DUMMYFUNCTION("""COMPUTED_VALUE"""),45138.0)</f>
        <v>45138</v>
      </c>
      <c r="E2924" s="298"/>
      <c r="F2924" s="298"/>
      <c r="G2924" s="298"/>
      <c r="H2924" s="223"/>
      <c r="I2924" s="298">
        <f>IFERROR(__xludf.DUMMYFUNCTION("""COMPUTED_VALUE"""),330.0)</f>
        <v>330</v>
      </c>
      <c r="J2924" s="223" t="str">
        <f>IFERROR(__xludf.DUMMYFUNCTION("""COMPUTED_VALUE"""),"Monthly")</f>
        <v>Monthly</v>
      </c>
      <c r="K2924" s="317">
        <f>IFERROR(__xludf.DUMMYFUNCTION("""COMPUTED_VALUE"""),2023.07)</f>
        <v>2023.07</v>
      </c>
      <c r="L2924" s="298"/>
      <c r="M2924" s="223"/>
      <c r="N2924" s="223"/>
      <c r="O2924" s="223"/>
      <c r="P2924" s="223"/>
      <c r="Q2924" s="223"/>
      <c r="R2924" s="223"/>
      <c r="S2924" s="223"/>
      <c r="T2924" s="223"/>
      <c r="U2924" s="223"/>
      <c r="V2924" s="223"/>
      <c r="W2924" s="223"/>
      <c r="X2924" s="223"/>
      <c r="Y2924" s="223"/>
      <c r="Z2924" s="223"/>
    </row>
    <row r="2925">
      <c r="A2925" s="223" t="str">
        <f>IFERROR(__xludf.DUMMYFUNCTION("""COMPUTED_VALUE"""),"Luxe Bridal LLC : Monthly PPC")</f>
        <v>Luxe Bridal LLC : Monthly PPC</v>
      </c>
      <c r="B2925" s="223" t="str">
        <f>IFERROR(__xludf.DUMMYFUNCTION("""COMPUTED_VALUE"""),"Luxe Bridal LLC")</f>
        <v>Luxe Bridal LLC</v>
      </c>
      <c r="C2925" s="223" t="str">
        <f>IFERROR(__xludf.DUMMYFUNCTION("""COMPUTED_VALUE"""),"Monthly PPC")</f>
        <v>Monthly PPC</v>
      </c>
      <c r="D2925" s="316">
        <f>IFERROR(__xludf.DUMMYFUNCTION("""COMPUTED_VALUE"""),45138.0)</f>
        <v>45138</v>
      </c>
      <c r="E2925" s="298"/>
      <c r="F2925" s="298"/>
      <c r="G2925" s="298"/>
      <c r="H2925" s="223"/>
      <c r="I2925" s="298">
        <f>IFERROR(__xludf.DUMMYFUNCTION("""COMPUTED_VALUE"""),420.0)</f>
        <v>420</v>
      </c>
      <c r="J2925" s="223" t="str">
        <f>IFERROR(__xludf.DUMMYFUNCTION("""COMPUTED_VALUE"""),"Monthly")</f>
        <v>Monthly</v>
      </c>
      <c r="K2925" s="317">
        <f>IFERROR(__xludf.DUMMYFUNCTION("""COMPUTED_VALUE"""),2023.07)</f>
        <v>2023.07</v>
      </c>
      <c r="L2925" s="298"/>
      <c r="M2925" s="223"/>
      <c r="N2925" s="223"/>
      <c r="O2925" s="223"/>
      <c r="P2925" s="223"/>
      <c r="Q2925" s="223"/>
      <c r="R2925" s="223"/>
      <c r="S2925" s="223"/>
      <c r="T2925" s="223"/>
      <c r="U2925" s="223"/>
      <c r="V2925" s="223"/>
      <c r="W2925" s="223"/>
      <c r="X2925" s="223"/>
      <c r="Y2925" s="223"/>
      <c r="Z2925" s="223"/>
    </row>
    <row r="2926">
      <c r="A2926" s="223" t="str">
        <f>IFERROR(__xludf.DUMMYFUNCTION("""COMPUTED_VALUE"""),"Luxe Bridal LLC (LJM) : Monthly PPC")</f>
        <v>Luxe Bridal LLC (LJM) : Monthly PPC</v>
      </c>
      <c r="B2926" s="223" t="str">
        <f>IFERROR(__xludf.DUMMYFUNCTION("""COMPUTED_VALUE"""),"Luxe Bridal LLC (LJM)")</f>
        <v>Luxe Bridal LLC (LJM)</v>
      </c>
      <c r="C2926" s="223" t="str">
        <f>IFERROR(__xludf.DUMMYFUNCTION("""COMPUTED_VALUE"""),"Monthly PPC")</f>
        <v>Monthly PPC</v>
      </c>
      <c r="D2926" s="316">
        <f>IFERROR(__xludf.DUMMYFUNCTION("""COMPUTED_VALUE"""),45138.0)</f>
        <v>45138</v>
      </c>
      <c r="E2926" s="298"/>
      <c r="F2926" s="298"/>
      <c r="G2926" s="298"/>
      <c r="H2926" s="223"/>
      <c r="I2926" s="298">
        <f>IFERROR(__xludf.DUMMYFUNCTION("""COMPUTED_VALUE"""),210.0)</f>
        <v>210</v>
      </c>
      <c r="J2926" s="223" t="str">
        <f>IFERROR(__xludf.DUMMYFUNCTION("""COMPUTED_VALUE"""),"Monthly")</f>
        <v>Monthly</v>
      </c>
      <c r="K2926" s="317">
        <f>IFERROR(__xludf.DUMMYFUNCTION("""COMPUTED_VALUE"""),2023.07)</f>
        <v>2023.07</v>
      </c>
      <c r="L2926" s="298"/>
      <c r="M2926" s="223"/>
      <c r="N2926" s="223"/>
      <c r="O2926" s="223"/>
      <c r="P2926" s="223"/>
      <c r="Q2926" s="223"/>
      <c r="R2926" s="223"/>
      <c r="S2926" s="223"/>
      <c r="T2926" s="223"/>
      <c r="U2926" s="223"/>
      <c r="V2926" s="223"/>
      <c r="W2926" s="223"/>
      <c r="X2926" s="223"/>
      <c r="Y2926" s="223"/>
      <c r="Z2926" s="223"/>
    </row>
    <row r="2927">
      <c r="A2927" s="223" t="str">
        <f>IFERROR(__xludf.DUMMYFUNCTION("""COMPUTED_VALUE"""),"WhistleBlower Security : Monthly PPC and SEO")</f>
        <v>WhistleBlower Security : Monthly PPC and SEO</v>
      </c>
      <c r="B2927" s="223" t="str">
        <f>IFERROR(__xludf.DUMMYFUNCTION("""COMPUTED_VALUE"""),"WhistleBlower Security")</f>
        <v>WhistleBlower Security</v>
      </c>
      <c r="C2927" s="223" t="str">
        <f>IFERROR(__xludf.DUMMYFUNCTION("""COMPUTED_VALUE"""),"Monthly PPC and SEO")</f>
        <v>Monthly PPC and SEO</v>
      </c>
      <c r="D2927" s="316">
        <f>IFERROR(__xludf.DUMMYFUNCTION("""COMPUTED_VALUE"""),45138.0)</f>
        <v>45138</v>
      </c>
      <c r="E2927" s="298"/>
      <c r="F2927" s="298"/>
      <c r="G2927" s="298"/>
      <c r="H2927" s="223"/>
      <c r="I2927" s="298">
        <f>IFERROR(__xludf.DUMMYFUNCTION("""COMPUTED_VALUE"""),375.0)</f>
        <v>375</v>
      </c>
      <c r="J2927" s="223" t="str">
        <f>IFERROR(__xludf.DUMMYFUNCTION("""COMPUTED_VALUE"""),"Monthly")</f>
        <v>Monthly</v>
      </c>
      <c r="K2927" s="317">
        <f>IFERROR(__xludf.DUMMYFUNCTION("""COMPUTED_VALUE"""),2023.07)</f>
        <v>2023.07</v>
      </c>
      <c r="L2927" s="298"/>
      <c r="M2927" s="223"/>
      <c r="N2927" s="223"/>
      <c r="O2927" s="223"/>
      <c r="P2927" s="223"/>
      <c r="Q2927" s="223"/>
      <c r="R2927" s="223"/>
      <c r="S2927" s="223"/>
      <c r="T2927" s="223"/>
      <c r="U2927" s="223"/>
      <c r="V2927" s="223"/>
      <c r="W2927" s="223"/>
      <c r="X2927" s="223"/>
      <c r="Y2927" s="223"/>
      <c r="Z2927" s="223"/>
    </row>
    <row r="2928">
      <c r="A2928" s="223" t="str">
        <f>IFERROR(__xludf.DUMMYFUNCTION("""COMPUTED_VALUE"""),"Microassist : 3 Month Initial PPC Project")</f>
        <v>Microassist : 3 Month Initial PPC Project</v>
      </c>
      <c r="B2928" s="223" t="str">
        <f>IFERROR(__xludf.DUMMYFUNCTION("""COMPUTED_VALUE"""),"Microassist")</f>
        <v>Microassist</v>
      </c>
      <c r="C2928" s="223" t="str">
        <f>IFERROR(__xludf.DUMMYFUNCTION("""COMPUTED_VALUE"""),"3 Month Initial PPC Project")</f>
        <v>3 Month Initial PPC Project</v>
      </c>
      <c r="D2928" s="316">
        <f>IFERROR(__xludf.DUMMYFUNCTION("""COMPUTED_VALUE"""),45138.0)</f>
        <v>45138</v>
      </c>
      <c r="E2928" s="298"/>
      <c r="F2928" s="298"/>
      <c r="G2928" s="298"/>
      <c r="H2928" s="223"/>
      <c r="I2928" s="298">
        <f>IFERROR(__xludf.DUMMYFUNCTION("""COMPUTED_VALUE"""),400.0)</f>
        <v>400</v>
      </c>
      <c r="J2928" s="223" t="str">
        <f>IFERROR(__xludf.DUMMYFUNCTION("""COMPUTED_VALUE"""),"Fixed Project")</f>
        <v>Fixed Project</v>
      </c>
      <c r="K2928" s="317">
        <f>IFERROR(__xludf.DUMMYFUNCTION("""COMPUTED_VALUE"""),2023.0)</f>
        <v>2023</v>
      </c>
      <c r="L2928" s="298"/>
      <c r="M2928" s="223"/>
      <c r="N2928" s="223"/>
      <c r="O2928" s="223"/>
      <c r="P2928" s="223"/>
      <c r="Q2928" s="223"/>
      <c r="R2928" s="223"/>
      <c r="S2928" s="223"/>
      <c r="T2928" s="223"/>
      <c r="U2928" s="223"/>
      <c r="V2928" s="223"/>
      <c r="W2928" s="223"/>
      <c r="X2928" s="223"/>
      <c r="Y2928" s="223"/>
      <c r="Z2928" s="223"/>
    </row>
    <row r="2929">
      <c r="A2929" s="223" t="str">
        <f>IFERROR(__xludf.DUMMYFUNCTION("""COMPUTED_VALUE"""),"Cobble Beach : GA4 Upgrade")</f>
        <v>Cobble Beach : GA4 Upgrade</v>
      </c>
      <c r="B2929" s="223" t="str">
        <f>IFERROR(__xludf.DUMMYFUNCTION("""COMPUTED_VALUE"""),"Cobble Beach")</f>
        <v>Cobble Beach</v>
      </c>
      <c r="C2929" s="223" t="str">
        <f>IFERROR(__xludf.DUMMYFUNCTION("""COMPUTED_VALUE"""),"GA4 Upgrade")</f>
        <v>GA4 Upgrade</v>
      </c>
      <c r="D2929" s="316">
        <f>IFERROR(__xludf.DUMMYFUNCTION("""COMPUTED_VALUE"""),45138.0)</f>
        <v>45138</v>
      </c>
      <c r="E2929" s="298"/>
      <c r="F2929" s="298"/>
      <c r="G2929" s="298"/>
      <c r="H2929" s="223"/>
      <c r="I2929" s="298">
        <f>IFERROR(__xludf.DUMMYFUNCTION("""COMPUTED_VALUE"""),400.0)</f>
        <v>400</v>
      </c>
      <c r="J2929" s="223" t="str">
        <f>IFERROR(__xludf.DUMMYFUNCTION("""COMPUTED_VALUE"""),"Fixed Project")</f>
        <v>Fixed Project</v>
      </c>
      <c r="K2929" s="317">
        <f>IFERROR(__xludf.DUMMYFUNCTION("""COMPUTED_VALUE"""),2023.0)</f>
        <v>2023</v>
      </c>
      <c r="L2929" s="298"/>
      <c r="M2929" s="223"/>
      <c r="N2929" s="223"/>
      <c r="O2929" s="223"/>
      <c r="P2929" s="223"/>
      <c r="Q2929" s="223"/>
      <c r="R2929" s="223"/>
      <c r="S2929" s="223"/>
      <c r="T2929" s="223"/>
      <c r="U2929" s="223"/>
      <c r="V2929" s="223"/>
      <c r="W2929" s="223"/>
      <c r="X2929" s="223"/>
      <c r="Y2929" s="223"/>
      <c r="Z2929" s="223"/>
    </row>
    <row r="2930">
      <c r="A2930" s="223" t="str">
        <f>IFERROR(__xludf.DUMMYFUNCTION("""COMPUTED_VALUE"""),"Spraggs : Monthly Services")</f>
        <v>Spraggs : Monthly Services</v>
      </c>
      <c r="B2930" s="223" t="str">
        <f>IFERROR(__xludf.DUMMYFUNCTION("""COMPUTED_VALUE"""),"Spraggs")</f>
        <v>Spraggs</v>
      </c>
      <c r="C2930" s="223" t="str">
        <f>IFERROR(__xludf.DUMMYFUNCTION("""COMPUTED_VALUE"""),"Monthly Services")</f>
        <v>Monthly Services</v>
      </c>
      <c r="D2930" s="316">
        <f>IFERROR(__xludf.DUMMYFUNCTION("""COMPUTED_VALUE"""),45138.0)</f>
        <v>45138</v>
      </c>
      <c r="E2930" s="298"/>
      <c r="F2930" s="298"/>
      <c r="G2930" s="298"/>
      <c r="H2930" s="223"/>
      <c r="I2930" s="298">
        <f>IFERROR(__xludf.DUMMYFUNCTION("""COMPUTED_VALUE"""),300.0)</f>
        <v>300</v>
      </c>
      <c r="J2930" s="223" t="str">
        <f>IFERROR(__xludf.DUMMYFUNCTION("""COMPUTED_VALUE"""),"Monthly")</f>
        <v>Monthly</v>
      </c>
      <c r="K2930" s="317">
        <f>IFERROR(__xludf.DUMMYFUNCTION("""COMPUTED_VALUE"""),2023.07)</f>
        <v>2023.07</v>
      </c>
      <c r="L2930" s="298"/>
      <c r="M2930" s="223"/>
      <c r="N2930" s="223"/>
      <c r="O2930" s="223"/>
      <c r="P2930" s="223"/>
      <c r="Q2930" s="223"/>
      <c r="R2930" s="223"/>
      <c r="S2930" s="223"/>
      <c r="T2930" s="223"/>
      <c r="U2930" s="223"/>
      <c r="V2930" s="223"/>
      <c r="W2930" s="223"/>
      <c r="X2930" s="223"/>
      <c r="Y2930" s="223"/>
      <c r="Z2930" s="223"/>
    </row>
    <row r="2931">
      <c r="A2931" s="223" t="str">
        <f>IFERROR(__xludf.DUMMYFUNCTION("""COMPUTED_VALUE"""),"Crisp Media : Monthly Genus Google PPC Mgmt")</f>
        <v>Crisp Media : Monthly Genus Google PPC Mgmt</v>
      </c>
      <c r="B2931" s="223" t="str">
        <f>IFERROR(__xludf.DUMMYFUNCTION("""COMPUTED_VALUE"""),"Crisp Media")</f>
        <v>Crisp Media</v>
      </c>
      <c r="C2931" s="223" t="str">
        <f>IFERROR(__xludf.DUMMYFUNCTION("""COMPUTED_VALUE"""),"Monthly Genus Google PPC Mgmt")</f>
        <v>Monthly Genus Google PPC Mgmt</v>
      </c>
      <c r="D2931" s="316">
        <f>IFERROR(__xludf.DUMMYFUNCTION("""COMPUTED_VALUE"""),45138.0)</f>
        <v>45138</v>
      </c>
      <c r="E2931" s="298"/>
      <c r="F2931" s="298"/>
      <c r="G2931" s="298"/>
      <c r="H2931" s="223"/>
      <c r="I2931" s="298">
        <f>IFERROR(__xludf.DUMMYFUNCTION("""COMPUTED_VALUE"""),175.0)</f>
        <v>175</v>
      </c>
      <c r="J2931" s="223" t="str">
        <f>IFERROR(__xludf.DUMMYFUNCTION("""COMPUTED_VALUE"""),"Monthly")</f>
        <v>Monthly</v>
      </c>
      <c r="K2931" s="317">
        <f>IFERROR(__xludf.DUMMYFUNCTION("""COMPUTED_VALUE"""),2023.07)</f>
        <v>2023.07</v>
      </c>
      <c r="L2931" s="298"/>
      <c r="M2931" s="223"/>
      <c r="N2931" s="223"/>
      <c r="O2931" s="223"/>
      <c r="P2931" s="223"/>
      <c r="Q2931" s="223"/>
      <c r="R2931" s="223"/>
      <c r="S2931" s="223"/>
      <c r="T2931" s="223"/>
      <c r="U2931" s="223"/>
      <c r="V2931" s="223"/>
      <c r="W2931" s="223"/>
      <c r="X2931" s="223"/>
      <c r="Y2931" s="223"/>
      <c r="Z2931" s="223"/>
    </row>
    <row r="2932">
      <c r="A2932" s="223" t="str">
        <f>IFERROR(__xludf.DUMMYFUNCTION("""COMPUTED_VALUE"""),"HSJ Lawyers : Monthly Services")</f>
        <v>HSJ Lawyers : Monthly Services</v>
      </c>
      <c r="B2932" s="223" t="str">
        <f>IFERROR(__xludf.DUMMYFUNCTION("""COMPUTED_VALUE"""),"HSJ Lawyers")</f>
        <v>HSJ Lawyers</v>
      </c>
      <c r="C2932" s="223" t="str">
        <f>IFERROR(__xludf.DUMMYFUNCTION("""COMPUTED_VALUE"""),"Monthly Services")</f>
        <v>Monthly Services</v>
      </c>
      <c r="D2932" s="316">
        <f>IFERROR(__xludf.DUMMYFUNCTION("""COMPUTED_VALUE"""),45138.0)</f>
        <v>45138</v>
      </c>
      <c r="E2932" s="298"/>
      <c r="F2932" s="298"/>
      <c r="G2932" s="298"/>
      <c r="H2932" s="223"/>
      <c r="I2932" s="298">
        <f>IFERROR(__xludf.DUMMYFUNCTION("""COMPUTED_VALUE"""),262.5)</f>
        <v>262.5</v>
      </c>
      <c r="J2932" s="223" t="str">
        <f>IFERROR(__xludf.DUMMYFUNCTION("""COMPUTED_VALUE"""),"Monthly")</f>
        <v>Monthly</v>
      </c>
      <c r="K2932" s="317">
        <f>IFERROR(__xludf.DUMMYFUNCTION("""COMPUTED_VALUE"""),2023.07)</f>
        <v>2023.07</v>
      </c>
      <c r="L2932" s="298"/>
      <c r="M2932" s="223"/>
      <c r="N2932" s="223"/>
      <c r="O2932" s="223"/>
      <c r="P2932" s="223"/>
      <c r="Q2932" s="223"/>
      <c r="R2932" s="223"/>
      <c r="S2932" s="223"/>
      <c r="T2932" s="223"/>
      <c r="U2932" s="223"/>
      <c r="V2932" s="223"/>
      <c r="W2932" s="223"/>
      <c r="X2932" s="223"/>
      <c r="Y2932" s="223"/>
      <c r="Z2932" s="223"/>
    </row>
    <row r="2933">
      <c r="A2933" s="223" t="str">
        <f>IFERROR(__xludf.DUMMYFUNCTION("""COMPUTED_VALUE"""),"Terra Insights : Monthly PPC")</f>
        <v>Terra Insights : Monthly PPC</v>
      </c>
      <c r="B2933" s="223" t="str">
        <f>IFERROR(__xludf.DUMMYFUNCTION("""COMPUTED_VALUE"""),"Terra Insights")</f>
        <v>Terra Insights</v>
      </c>
      <c r="C2933" s="223" t="str">
        <f>IFERROR(__xludf.DUMMYFUNCTION("""COMPUTED_VALUE"""),"Monthly PPC")</f>
        <v>Monthly PPC</v>
      </c>
      <c r="D2933" s="316">
        <f>IFERROR(__xludf.DUMMYFUNCTION("""COMPUTED_VALUE"""),45138.0)</f>
        <v>45138</v>
      </c>
      <c r="E2933" s="298"/>
      <c r="F2933" s="298"/>
      <c r="G2933" s="298"/>
      <c r="H2933" s="223"/>
      <c r="I2933" s="298">
        <f>IFERROR(__xludf.DUMMYFUNCTION("""COMPUTED_VALUE"""),450.0)</f>
        <v>450</v>
      </c>
      <c r="J2933" s="223" t="str">
        <f>IFERROR(__xludf.DUMMYFUNCTION("""COMPUTED_VALUE"""),"Monthly")</f>
        <v>Monthly</v>
      </c>
      <c r="K2933" s="317">
        <f>IFERROR(__xludf.DUMMYFUNCTION("""COMPUTED_VALUE"""),2023.07)</f>
        <v>2023.07</v>
      </c>
      <c r="L2933" s="298"/>
      <c r="M2933" s="223"/>
      <c r="N2933" s="223"/>
      <c r="O2933" s="223"/>
      <c r="P2933" s="223"/>
      <c r="Q2933" s="223"/>
      <c r="R2933" s="223"/>
      <c r="S2933" s="223"/>
      <c r="T2933" s="223"/>
      <c r="U2933" s="223"/>
      <c r="V2933" s="223"/>
      <c r="W2933" s="223"/>
      <c r="X2933" s="223"/>
      <c r="Y2933" s="223"/>
      <c r="Z2933" s="223"/>
    </row>
    <row r="2934">
      <c r="A2934" s="223" t="str">
        <f>IFERROR(__xludf.DUMMYFUNCTION("""COMPUTED_VALUE"""),"PlusROI : Marketing")</f>
        <v>PlusROI : Marketing</v>
      </c>
      <c r="B2934" s="223" t="str">
        <f>IFERROR(__xludf.DUMMYFUNCTION("""COMPUTED_VALUE"""),"PlusROI")</f>
        <v>PlusROI</v>
      </c>
      <c r="C2934" s="223" t="str">
        <f>IFERROR(__xludf.DUMMYFUNCTION("""COMPUTED_VALUE"""),"Marketing")</f>
        <v>Marketing</v>
      </c>
      <c r="D2934" s="316">
        <f>IFERROR(__xludf.DUMMYFUNCTION("""COMPUTED_VALUE"""),45138.0)</f>
        <v>45138</v>
      </c>
      <c r="E2934" s="298"/>
      <c r="F2934" s="298"/>
      <c r="G2934" s="298"/>
      <c r="H2934" s="223"/>
      <c r="I2934" s="298">
        <f>IFERROR(__xludf.DUMMYFUNCTION("""COMPUTED_VALUE"""),300.0)</f>
        <v>300</v>
      </c>
      <c r="J2934" s="223" t="str">
        <f>IFERROR(__xludf.DUMMYFUNCTION("""COMPUTED_VALUE"""),"Hourly")</f>
        <v>Hourly</v>
      </c>
      <c r="K2934" s="317">
        <f>IFERROR(__xludf.DUMMYFUNCTION("""COMPUTED_VALUE"""),2023.0)</f>
        <v>2023</v>
      </c>
      <c r="L2934" s="298"/>
      <c r="M2934" s="223"/>
      <c r="N2934" s="223"/>
      <c r="O2934" s="223"/>
      <c r="P2934" s="223"/>
      <c r="Q2934" s="223"/>
      <c r="R2934" s="223"/>
      <c r="S2934" s="223"/>
      <c r="T2934" s="223"/>
      <c r="U2934" s="223"/>
      <c r="V2934" s="223"/>
      <c r="W2934" s="223"/>
      <c r="X2934" s="223"/>
      <c r="Y2934" s="223"/>
      <c r="Z2934" s="223"/>
    </row>
    <row r="2935">
      <c r="A2935" s="223" t="str">
        <f>IFERROR(__xludf.DUMMYFUNCTION("""COMPUTED_VALUE"""),"Tuscany : Monthly Services")</f>
        <v>Tuscany : Monthly Services</v>
      </c>
      <c r="B2935" s="223" t="str">
        <f>IFERROR(__xludf.DUMMYFUNCTION("""COMPUTED_VALUE"""),"Tuscany")</f>
        <v>Tuscany</v>
      </c>
      <c r="C2935" s="223" t="str">
        <f>IFERROR(__xludf.DUMMYFUNCTION("""COMPUTED_VALUE"""),"Monthly Services")</f>
        <v>Monthly Services</v>
      </c>
      <c r="D2935" s="316">
        <f>IFERROR(__xludf.DUMMYFUNCTION("""COMPUTED_VALUE"""),45138.0)</f>
        <v>45138</v>
      </c>
      <c r="E2935" s="298"/>
      <c r="F2935" s="298"/>
      <c r="G2935" s="298"/>
      <c r="H2935" s="223"/>
      <c r="I2935" s="298">
        <f>IFERROR(__xludf.DUMMYFUNCTION("""COMPUTED_VALUE"""),662.5)</f>
        <v>662.5</v>
      </c>
      <c r="J2935" s="223" t="str">
        <f>IFERROR(__xludf.DUMMYFUNCTION("""COMPUTED_VALUE"""),"Monthly")</f>
        <v>Monthly</v>
      </c>
      <c r="K2935" s="317">
        <f>IFERROR(__xludf.DUMMYFUNCTION("""COMPUTED_VALUE"""),2023.07)</f>
        <v>2023.07</v>
      </c>
      <c r="L2935" s="298"/>
      <c r="M2935" s="223"/>
      <c r="N2935" s="223"/>
      <c r="O2935" s="223"/>
      <c r="P2935" s="223"/>
      <c r="Q2935" s="223"/>
      <c r="R2935" s="223"/>
      <c r="S2935" s="223"/>
      <c r="T2935" s="223"/>
      <c r="U2935" s="223"/>
      <c r="V2935" s="223"/>
      <c r="W2935" s="223"/>
      <c r="X2935" s="223"/>
      <c r="Y2935" s="223"/>
      <c r="Z2935" s="223"/>
    </row>
    <row r="2936">
      <c r="A2936" s="223" t="str">
        <f>IFERROR(__xludf.DUMMYFUNCTION("""COMPUTED_VALUE"""),"Venetian : Monthly Services")</f>
        <v>Venetian : Monthly Services</v>
      </c>
      <c r="B2936" s="223" t="str">
        <f>IFERROR(__xludf.DUMMYFUNCTION("""COMPUTED_VALUE"""),"Venetian")</f>
        <v>Venetian</v>
      </c>
      <c r="C2936" s="223" t="str">
        <f>IFERROR(__xludf.DUMMYFUNCTION("""COMPUTED_VALUE"""),"Monthly Services")</f>
        <v>Monthly Services</v>
      </c>
      <c r="D2936" s="316">
        <f>IFERROR(__xludf.DUMMYFUNCTION("""COMPUTED_VALUE"""),45138.0)</f>
        <v>45138</v>
      </c>
      <c r="E2936" s="298"/>
      <c r="F2936" s="298"/>
      <c r="G2936" s="298"/>
      <c r="H2936" s="223"/>
      <c r="I2936" s="298">
        <f>IFERROR(__xludf.DUMMYFUNCTION("""COMPUTED_VALUE"""),662.5)</f>
        <v>662.5</v>
      </c>
      <c r="J2936" s="223" t="str">
        <f>IFERROR(__xludf.DUMMYFUNCTION("""COMPUTED_VALUE"""),"Monthly")</f>
        <v>Monthly</v>
      </c>
      <c r="K2936" s="317">
        <f>IFERROR(__xludf.DUMMYFUNCTION("""COMPUTED_VALUE"""),2023.07)</f>
        <v>2023.07</v>
      </c>
      <c r="L2936" s="298"/>
      <c r="M2936" s="223"/>
      <c r="N2936" s="223"/>
      <c r="O2936" s="223"/>
      <c r="P2936" s="223"/>
      <c r="Q2936" s="223"/>
      <c r="R2936" s="223"/>
      <c r="S2936" s="223"/>
      <c r="T2936" s="223"/>
      <c r="U2936" s="223"/>
      <c r="V2936" s="223"/>
      <c r="W2936" s="223"/>
      <c r="X2936" s="223"/>
      <c r="Y2936" s="223"/>
      <c r="Z2936" s="223"/>
    </row>
    <row r="2937">
      <c r="A2937" s="223" t="str">
        <f>IFERROR(__xludf.DUMMYFUNCTION("""COMPUTED_VALUE"""),"Spraggs : Monthly Services")</f>
        <v>Spraggs : Monthly Services</v>
      </c>
      <c r="B2937" s="223" t="str">
        <f>IFERROR(__xludf.DUMMYFUNCTION("""COMPUTED_VALUE"""),"Spraggs")</f>
        <v>Spraggs</v>
      </c>
      <c r="C2937" s="223" t="str">
        <f>IFERROR(__xludf.DUMMYFUNCTION("""COMPUTED_VALUE"""),"Monthly Services")</f>
        <v>Monthly Services</v>
      </c>
      <c r="D2937" s="316">
        <f>IFERROR(__xludf.DUMMYFUNCTION("""COMPUTED_VALUE"""),45138.0)</f>
        <v>45138</v>
      </c>
      <c r="E2937" s="298"/>
      <c r="F2937" s="298"/>
      <c r="G2937" s="298"/>
      <c r="H2937" s="223"/>
      <c r="I2937" s="298">
        <f>IFERROR(__xludf.DUMMYFUNCTION("""COMPUTED_VALUE"""),662.5)</f>
        <v>662.5</v>
      </c>
      <c r="J2937" s="223" t="str">
        <f>IFERROR(__xludf.DUMMYFUNCTION("""COMPUTED_VALUE"""),"Monthly")</f>
        <v>Monthly</v>
      </c>
      <c r="K2937" s="317">
        <f>IFERROR(__xludf.DUMMYFUNCTION("""COMPUTED_VALUE"""),2023.07)</f>
        <v>2023.07</v>
      </c>
      <c r="L2937" s="298"/>
      <c r="M2937" s="223"/>
      <c r="N2937" s="223"/>
      <c r="O2937" s="223"/>
      <c r="P2937" s="223"/>
      <c r="Q2937" s="223"/>
      <c r="R2937" s="223"/>
      <c r="S2937" s="223"/>
      <c r="T2937" s="223"/>
      <c r="U2937" s="223"/>
      <c r="V2937" s="223"/>
      <c r="W2937" s="223"/>
      <c r="X2937" s="223"/>
      <c r="Y2937" s="223"/>
      <c r="Z2937" s="223"/>
    </row>
    <row r="2938">
      <c r="A2938" s="223" t="str">
        <f>IFERROR(__xludf.DUMMYFUNCTION("""COMPUTED_VALUE"""),"TisBest : Monthly Services")</f>
        <v>TisBest : Monthly Services</v>
      </c>
      <c r="B2938" s="223" t="str">
        <f>IFERROR(__xludf.DUMMYFUNCTION("""COMPUTED_VALUE"""),"TisBest")</f>
        <v>TisBest</v>
      </c>
      <c r="C2938" s="223" t="str">
        <f>IFERROR(__xludf.DUMMYFUNCTION("""COMPUTED_VALUE"""),"Monthly Services")</f>
        <v>Monthly Services</v>
      </c>
      <c r="D2938" s="316">
        <f>IFERROR(__xludf.DUMMYFUNCTION("""COMPUTED_VALUE"""),45138.0)</f>
        <v>45138</v>
      </c>
      <c r="E2938" s="298"/>
      <c r="F2938" s="298"/>
      <c r="G2938" s="298"/>
      <c r="H2938" s="223"/>
      <c r="I2938" s="298">
        <f>IFERROR(__xludf.DUMMYFUNCTION("""COMPUTED_VALUE"""),825.0)</f>
        <v>825</v>
      </c>
      <c r="J2938" s="223" t="str">
        <f>IFERROR(__xludf.DUMMYFUNCTION("""COMPUTED_VALUE"""),"Monthly")</f>
        <v>Monthly</v>
      </c>
      <c r="K2938" s="317">
        <f>IFERROR(__xludf.DUMMYFUNCTION("""COMPUTED_VALUE"""),2023.07)</f>
        <v>2023.07</v>
      </c>
      <c r="L2938" s="298"/>
      <c r="M2938" s="223"/>
      <c r="N2938" s="223"/>
      <c r="O2938" s="223"/>
      <c r="P2938" s="223"/>
      <c r="Q2938" s="223"/>
      <c r="R2938" s="223"/>
      <c r="S2938" s="223"/>
      <c r="T2938" s="223"/>
      <c r="U2938" s="223"/>
      <c r="V2938" s="223"/>
      <c r="W2938" s="223"/>
      <c r="X2938" s="223"/>
      <c r="Y2938" s="223"/>
      <c r="Z2938" s="223"/>
    </row>
    <row r="2939">
      <c r="A2939" s="223" t="str">
        <f>IFERROR(__xludf.DUMMYFUNCTION("""COMPUTED_VALUE"""),"Tofino Resort + Marina : Monthly Services")</f>
        <v>Tofino Resort + Marina : Monthly Services</v>
      </c>
      <c r="B2939" s="223" t="str">
        <f>IFERROR(__xludf.DUMMYFUNCTION("""COMPUTED_VALUE"""),"Tofino Resort + Marina")</f>
        <v>Tofino Resort + Marina</v>
      </c>
      <c r="C2939" s="223" t="str">
        <f>IFERROR(__xludf.DUMMYFUNCTION("""COMPUTED_VALUE"""),"Monthly Services")</f>
        <v>Monthly Services</v>
      </c>
      <c r="D2939" s="316">
        <f>IFERROR(__xludf.DUMMYFUNCTION("""COMPUTED_VALUE"""),45138.0)</f>
        <v>45138</v>
      </c>
      <c r="E2939" s="298"/>
      <c r="F2939" s="298"/>
      <c r="G2939" s="298"/>
      <c r="H2939" s="223"/>
      <c r="I2939" s="298">
        <f>IFERROR(__xludf.DUMMYFUNCTION("""COMPUTED_VALUE"""),450.0)</f>
        <v>450</v>
      </c>
      <c r="J2939" s="223" t="str">
        <f>IFERROR(__xludf.DUMMYFUNCTION("""COMPUTED_VALUE"""),"Monthly")</f>
        <v>Monthly</v>
      </c>
      <c r="K2939" s="317">
        <f>IFERROR(__xludf.DUMMYFUNCTION("""COMPUTED_VALUE"""),2023.07)</f>
        <v>2023.07</v>
      </c>
      <c r="L2939" s="298"/>
      <c r="M2939" s="223"/>
      <c r="N2939" s="223"/>
      <c r="O2939" s="223"/>
      <c r="P2939" s="223"/>
      <c r="Q2939" s="223"/>
      <c r="R2939" s="223"/>
      <c r="S2939" s="223"/>
      <c r="T2939" s="223"/>
      <c r="U2939" s="223"/>
      <c r="V2939" s="223"/>
      <c r="W2939" s="223"/>
      <c r="X2939" s="223"/>
      <c r="Y2939" s="223"/>
      <c r="Z2939" s="223"/>
    </row>
    <row r="2940">
      <c r="A2940" s="223" t="str">
        <f>IFERROR(__xludf.DUMMYFUNCTION("""COMPUTED_VALUE"""),"OA Region 6 : Monthly Services")</f>
        <v>OA Region 6 : Monthly Services</v>
      </c>
      <c r="B2940" s="223" t="str">
        <f>IFERROR(__xludf.DUMMYFUNCTION("""COMPUTED_VALUE"""),"OA Region 6")</f>
        <v>OA Region 6</v>
      </c>
      <c r="C2940" s="223" t="str">
        <f>IFERROR(__xludf.DUMMYFUNCTION("""COMPUTED_VALUE"""),"Monthly Services")</f>
        <v>Monthly Services</v>
      </c>
      <c r="D2940" s="316">
        <f>IFERROR(__xludf.DUMMYFUNCTION("""COMPUTED_VALUE"""),45138.0)</f>
        <v>45138</v>
      </c>
      <c r="E2940" s="298"/>
      <c r="F2940" s="298"/>
      <c r="G2940" s="298"/>
      <c r="H2940" s="223"/>
      <c r="I2940" s="298">
        <f>IFERROR(__xludf.DUMMYFUNCTION("""COMPUTED_VALUE"""),150.0)</f>
        <v>150</v>
      </c>
      <c r="J2940" s="223" t="str">
        <f>IFERROR(__xludf.DUMMYFUNCTION("""COMPUTED_VALUE"""),"Monthly")</f>
        <v>Monthly</v>
      </c>
      <c r="K2940" s="317">
        <f>IFERROR(__xludf.DUMMYFUNCTION("""COMPUTED_VALUE"""),2023.07)</f>
        <v>2023.07</v>
      </c>
      <c r="L2940" s="298"/>
      <c r="M2940" s="223"/>
      <c r="N2940" s="223"/>
      <c r="O2940" s="223"/>
      <c r="P2940" s="223"/>
      <c r="Q2940" s="223"/>
      <c r="R2940" s="223"/>
      <c r="S2940" s="223"/>
      <c r="T2940" s="223"/>
      <c r="U2940" s="223"/>
      <c r="V2940" s="223"/>
      <c r="W2940" s="223"/>
      <c r="X2940" s="223"/>
      <c r="Y2940" s="223"/>
      <c r="Z2940" s="223"/>
    </row>
    <row r="2941">
      <c r="A2941" s="223" t="str">
        <f>IFERROR(__xludf.DUMMYFUNCTION("""COMPUTED_VALUE"""),"Hastings House : Monthly Services")</f>
        <v>Hastings House : Monthly Services</v>
      </c>
      <c r="B2941" s="223" t="str">
        <f>IFERROR(__xludf.DUMMYFUNCTION("""COMPUTED_VALUE"""),"Hastings House")</f>
        <v>Hastings House</v>
      </c>
      <c r="C2941" s="223" t="str">
        <f>IFERROR(__xludf.DUMMYFUNCTION("""COMPUTED_VALUE"""),"Monthly Services")</f>
        <v>Monthly Services</v>
      </c>
      <c r="D2941" s="316">
        <f>IFERROR(__xludf.DUMMYFUNCTION("""COMPUTED_VALUE"""),45138.0)</f>
        <v>45138</v>
      </c>
      <c r="E2941" s="298"/>
      <c r="F2941" s="298"/>
      <c r="G2941" s="298"/>
      <c r="H2941" s="223"/>
      <c r="I2941" s="298">
        <f>IFERROR(__xludf.DUMMYFUNCTION("""COMPUTED_VALUE"""),350.0)</f>
        <v>350</v>
      </c>
      <c r="J2941" s="223" t="str">
        <f>IFERROR(__xludf.DUMMYFUNCTION("""COMPUTED_VALUE"""),"Monthly")</f>
        <v>Monthly</v>
      </c>
      <c r="K2941" s="317">
        <f>IFERROR(__xludf.DUMMYFUNCTION("""COMPUTED_VALUE"""),2023.07)</f>
        <v>2023.07</v>
      </c>
      <c r="L2941" s="298"/>
      <c r="M2941" s="223"/>
      <c r="N2941" s="223"/>
      <c r="O2941" s="223"/>
      <c r="P2941" s="223"/>
      <c r="Q2941" s="223"/>
      <c r="R2941" s="223"/>
      <c r="S2941" s="223"/>
      <c r="T2941" s="223"/>
      <c r="U2941" s="223"/>
      <c r="V2941" s="223"/>
      <c r="W2941" s="223"/>
      <c r="X2941" s="223"/>
      <c r="Y2941" s="223"/>
      <c r="Z2941" s="223"/>
    </row>
    <row r="2942">
      <c r="A2942" s="223" t="str">
        <f>IFERROR(__xludf.DUMMYFUNCTION("""COMPUTED_VALUE"""),"Availed Technologies : Monthly Services")</f>
        <v>Availed Technologies : Monthly Services</v>
      </c>
      <c r="B2942" s="223" t="str">
        <f>IFERROR(__xludf.DUMMYFUNCTION("""COMPUTED_VALUE"""),"Availed Technologies")</f>
        <v>Availed Technologies</v>
      </c>
      <c r="C2942" s="223" t="str">
        <f>IFERROR(__xludf.DUMMYFUNCTION("""COMPUTED_VALUE"""),"Monthly Services")</f>
        <v>Monthly Services</v>
      </c>
      <c r="D2942" s="316">
        <f>IFERROR(__xludf.DUMMYFUNCTION("""COMPUTED_VALUE"""),45138.0)</f>
        <v>45138</v>
      </c>
      <c r="E2942" s="298"/>
      <c r="F2942" s="298"/>
      <c r="G2942" s="298"/>
      <c r="H2942" s="223"/>
      <c r="I2942" s="298">
        <f>IFERROR(__xludf.DUMMYFUNCTION("""COMPUTED_VALUE"""),337.5)</f>
        <v>337.5</v>
      </c>
      <c r="J2942" s="223" t="str">
        <f>IFERROR(__xludf.DUMMYFUNCTION("""COMPUTED_VALUE"""),"Monthly")</f>
        <v>Monthly</v>
      </c>
      <c r="K2942" s="317">
        <f>IFERROR(__xludf.DUMMYFUNCTION("""COMPUTED_VALUE"""),2023.07)</f>
        <v>2023.07</v>
      </c>
      <c r="L2942" s="298"/>
      <c r="M2942" s="223"/>
      <c r="N2942" s="223"/>
      <c r="O2942" s="223"/>
      <c r="P2942" s="223"/>
      <c r="Q2942" s="223"/>
      <c r="R2942" s="223"/>
      <c r="S2942" s="223"/>
      <c r="T2942" s="223"/>
      <c r="U2942" s="223"/>
      <c r="V2942" s="223"/>
      <c r="W2942" s="223"/>
      <c r="X2942" s="223"/>
      <c r="Y2942" s="223"/>
      <c r="Z2942" s="223"/>
    </row>
    <row r="2943">
      <c r="A2943" s="223" t="str">
        <f>IFERROR(__xludf.DUMMYFUNCTION("""COMPUTED_VALUE"""),"Community Financials : Monthly Services")</f>
        <v>Community Financials : Monthly Services</v>
      </c>
      <c r="B2943" s="223" t="str">
        <f>IFERROR(__xludf.DUMMYFUNCTION("""COMPUTED_VALUE"""),"Community Financials")</f>
        <v>Community Financials</v>
      </c>
      <c r="C2943" s="223" t="str">
        <f>IFERROR(__xludf.DUMMYFUNCTION("""COMPUTED_VALUE"""),"Monthly Services")</f>
        <v>Monthly Services</v>
      </c>
      <c r="D2943" s="316">
        <f>IFERROR(__xludf.DUMMYFUNCTION("""COMPUTED_VALUE"""),45138.0)</f>
        <v>45138</v>
      </c>
      <c r="E2943" s="298"/>
      <c r="F2943" s="298"/>
      <c r="G2943" s="298"/>
      <c r="H2943" s="223"/>
      <c r="I2943" s="298">
        <f>IFERROR(__xludf.DUMMYFUNCTION("""COMPUTED_VALUE"""),350.0)</f>
        <v>350</v>
      </c>
      <c r="J2943" s="223" t="str">
        <f>IFERROR(__xludf.DUMMYFUNCTION("""COMPUTED_VALUE"""),"Monthly")</f>
        <v>Monthly</v>
      </c>
      <c r="K2943" s="317">
        <f>IFERROR(__xludf.DUMMYFUNCTION("""COMPUTED_VALUE"""),2023.07)</f>
        <v>2023.07</v>
      </c>
      <c r="L2943" s="298"/>
      <c r="M2943" s="223"/>
      <c r="N2943" s="223"/>
      <c r="O2943" s="223"/>
      <c r="P2943" s="223"/>
      <c r="Q2943" s="223"/>
      <c r="R2943" s="223"/>
      <c r="S2943" s="223"/>
      <c r="T2943" s="223"/>
      <c r="U2943" s="223"/>
      <c r="V2943" s="223"/>
      <c r="W2943" s="223"/>
      <c r="X2943" s="223"/>
      <c r="Y2943" s="223"/>
      <c r="Z2943" s="223"/>
    </row>
    <row r="2944">
      <c r="A2944" s="223" t="str">
        <f>IFERROR(__xludf.DUMMYFUNCTION("""COMPUTED_VALUE"""),"Howard Fine Jewellers : Ongoing PPC and SEO Support")</f>
        <v>Howard Fine Jewellers : Ongoing PPC and SEO Support</v>
      </c>
      <c r="B2944" s="223" t="str">
        <f>IFERROR(__xludf.DUMMYFUNCTION("""COMPUTED_VALUE"""),"Howard Fine Jewellers")</f>
        <v>Howard Fine Jewellers</v>
      </c>
      <c r="C2944" s="223" t="str">
        <f>IFERROR(__xludf.DUMMYFUNCTION("""COMPUTED_VALUE"""),"Ongoing PPC and SEO Support")</f>
        <v>Ongoing PPC and SEO Support</v>
      </c>
      <c r="D2944" s="316">
        <f>IFERROR(__xludf.DUMMYFUNCTION("""COMPUTED_VALUE"""),45138.0)</f>
        <v>45138</v>
      </c>
      <c r="E2944" s="298"/>
      <c r="F2944" s="298"/>
      <c r="G2944" s="298"/>
      <c r="H2944" s="223"/>
      <c r="I2944" s="298">
        <f>IFERROR(__xludf.DUMMYFUNCTION("""COMPUTED_VALUE"""),300.0)</f>
        <v>300</v>
      </c>
      <c r="J2944" s="223" t="str">
        <f>IFERROR(__xludf.DUMMYFUNCTION("""COMPUTED_VALUE"""),"Monthly")</f>
        <v>Monthly</v>
      </c>
      <c r="K2944" s="317">
        <f>IFERROR(__xludf.DUMMYFUNCTION("""COMPUTED_VALUE"""),2023.07)</f>
        <v>2023.07</v>
      </c>
      <c r="L2944" s="298"/>
      <c r="M2944" s="223"/>
      <c r="N2944" s="223"/>
      <c r="O2944" s="223"/>
      <c r="P2944" s="223"/>
      <c r="Q2944" s="223"/>
      <c r="R2944" s="223"/>
      <c r="S2944" s="223"/>
      <c r="T2944" s="223"/>
      <c r="U2944" s="223"/>
      <c r="V2944" s="223"/>
      <c r="W2944" s="223"/>
      <c r="X2944" s="223"/>
      <c r="Y2944" s="223"/>
      <c r="Z2944" s="223"/>
    </row>
    <row r="2945">
      <c r="A2945" s="223" t="str">
        <f>IFERROR(__xludf.DUMMYFUNCTION("""COMPUTED_VALUE"""),"WhistleBlower Security : Monthly PPC and SEO")</f>
        <v>WhistleBlower Security : Monthly PPC and SEO</v>
      </c>
      <c r="B2945" s="223" t="str">
        <f>IFERROR(__xludf.DUMMYFUNCTION("""COMPUTED_VALUE"""),"WhistleBlower Security")</f>
        <v>WhistleBlower Security</v>
      </c>
      <c r="C2945" s="223" t="str">
        <f>IFERROR(__xludf.DUMMYFUNCTION("""COMPUTED_VALUE"""),"Monthly PPC and SEO")</f>
        <v>Monthly PPC and SEO</v>
      </c>
      <c r="D2945" s="316">
        <f>IFERROR(__xludf.DUMMYFUNCTION("""COMPUTED_VALUE"""),45138.0)</f>
        <v>45138</v>
      </c>
      <c r="E2945" s="298"/>
      <c r="F2945" s="298"/>
      <c r="G2945" s="298"/>
      <c r="H2945" s="223"/>
      <c r="I2945" s="298">
        <f>IFERROR(__xludf.DUMMYFUNCTION("""COMPUTED_VALUE"""),337.5)</f>
        <v>337.5</v>
      </c>
      <c r="J2945" s="223" t="str">
        <f>IFERROR(__xludf.DUMMYFUNCTION("""COMPUTED_VALUE"""),"Monthly")</f>
        <v>Monthly</v>
      </c>
      <c r="K2945" s="317">
        <f>IFERROR(__xludf.DUMMYFUNCTION("""COMPUTED_VALUE"""),2023.07)</f>
        <v>2023.07</v>
      </c>
      <c r="L2945" s="298"/>
      <c r="M2945" s="223"/>
      <c r="N2945" s="223"/>
      <c r="O2945" s="223"/>
      <c r="P2945" s="223"/>
      <c r="Q2945" s="223"/>
      <c r="R2945" s="223"/>
      <c r="S2945" s="223"/>
      <c r="T2945" s="223"/>
      <c r="U2945" s="223"/>
      <c r="V2945" s="223"/>
      <c r="W2945" s="223"/>
      <c r="X2945" s="223"/>
      <c r="Y2945" s="223"/>
      <c r="Z2945" s="223"/>
    </row>
    <row r="2946">
      <c r="A2946" s="223" t="str">
        <f>IFERROR(__xludf.DUMMYFUNCTION("""COMPUTED_VALUE"""),"McAllister Marketing : Copernic PPC / SEO")</f>
        <v>McAllister Marketing : Copernic PPC / SEO</v>
      </c>
      <c r="B2946" s="223" t="str">
        <f>IFERROR(__xludf.DUMMYFUNCTION("""COMPUTED_VALUE"""),"McAllister Marketing")</f>
        <v>McAllister Marketing</v>
      </c>
      <c r="C2946" s="223" t="str">
        <f>IFERROR(__xludf.DUMMYFUNCTION("""COMPUTED_VALUE"""),"Copernic PPC / SEO")</f>
        <v>Copernic PPC / SEO</v>
      </c>
      <c r="D2946" s="316">
        <f>IFERROR(__xludf.DUMMYFUNCTION("""COMPUTED_VALUE"""),45138.0)</f>
        <v>45138</v>
      </c>
      <c r="E2946" s="298"/>
      <c r="F2946" s="298"/>
      <c r="G2946" s="298"/>
      <c r="H2946" s="223"/>
      <c r="I2946" s="298">
        <f>IFERROR(__xludf.DUMMYFUNCTION("""COMPUTED_VALUE"""),265.0)</f>
        <v>265</v>
      </c>
      <c r="J2946" s="223" t="str">
        <f>IFERROR(__xludf.DUMMYFUNCTION("""COMPUTED_VALUE"""),"Monthly")</f>
        <v>Monthly</v>
      </c>
      <c r="K2946" s="317">
        <f>IFERROR(__xludf.DUMMYFUNCTION("""COMPUTED_VALUE"""),2023.07)</f>
        <v>2023.07</v>
      </c>
      <c r="L2946" s="298"/>
      <c r="M2946" s="223"/>
      <c r="N2946" s="223"/>
      <c r="O2946" s="223"/>
      <c r="P2946" s="223"/>
      <c r="Q2946" s="223"/>
      <c r="R2946" s="223"/>
      <c r="S2946" s="223"/>
      <c r="T2946" s="223"/>
      <c r="U2946" s="223"/>
      <c r="V2946" s="223"/>
      <c r="W2946" s="223"/>
      <c r="X2946" s="223"/>
      <c r="Y2946" s="223"/>
      <c r="Z2946" s="223"/>
    </row>
    <row r="2947">
      <c r="A2947" s="223" t="str">
        <f>IFERROR(__xludf.DUMMYFUNCTION("""COMPUTED_VALUE"""),"Ultimate Tools : Monthly SEO &amp; PPC Management")</f>
        <v>Ultimate Tools : Monthly SEO &amp; PPC Management</v>
      </c>
      <c r="B2947" s="223" t="str">
        <f>IFERROR(__xludf.DUMMYFUNCTION("""COMPUTED_VALUE"""),"Ultimate Tools")</f>
        <v>Ultimate Tools</v>
      </c>
      <c r="C2947" s="223" t="str">
        <f>IFERROR(__xludf.DUMMYFUNCTION("""COMPUTED_VALUE"""),"Monthly SEO &amp; PPC Management")</f>
        <v>Monthly SEO &amp; PPC Management</v>
      </c>
      <c r="D2947" s="316">
        <f>IFERROR(__xludf.DUMMYFUNCTION("""COMPUTED_VALUE"""),45138.0)</f>
        <v>45138</v>
      </c>
      <c r="E2947" s="298"/>
      <c r="F2947" s="298"/>
      <c r="G2947" s="298"/>
      <c r="H2947" s="223"/>
      <c r="I2947" s="298">
        <f>IFERROR(__xludf.DUMMYFUNCTION("""COMPUTED_VALUE"""),200.0)</f>
        <v>200</v>
      </c>
      <c r="J2947" s="223" t="str">
        <f>IFERROR(__xludf.DUMMYFUNCTION("""COMPUTED_VALUE"""),"Monthly")</f>
        <v>Monthly</v>
      </c>
      <c r="K2947" s="317">
        <f>IFERROR(__xludf.DUMMYFUNCTION("""COMPUTED_VALUE"""),2023.07)</f>
        <v>2023.07</v>
      </c>
      <c r="L2947" s="298"/>
      <c r="M2947" s="223"/>
      <c r="N2947" s="223"/>
      <c r="O2947" s="223"/>
      <c r="P2947" s="223"/>
      <c r="Q2947" s="223"/>
      <c r="R2947" s="223"/>
      <c r="S2947" s="223"/>
      <c r="T2947" s="223"/>
      <c r="U2947" s="223"/>
      <c r="V2947" s="223"/>
      <c r="W2947" s="223"/>
      <c r="X2947" s="223"/>
      <c r="Y2947" s="223"/>
      <c r="Z2947" s="223"/>
    </row>
    <row r="2948">
      <c r="A2948" s="223" t="str">
        <f>IFERROR(__xludf.DUMMYFUNCTION("""COMPUTED_VALUE"""),"Ideon : 5 Hour Support Block")</f>
        <v>Ideon : 5 Hour Support Block</v>
      </c>
      <c r="B2948" s="223" t="str">
        <f>IFERROR(__xludf.DUMMYFUNCTION("""COMPUTED_VALUE"""),"Ideon")</f>
        <v>Ideon</v>
      </c>
      <c r="C2948" s="223" t="str">
        <f>IFERROR(__xludf.DUMMYFUNCTION("""COMPUTED_VALUE"""),"5 Hour Support Block")</f>
        <v>5 Hour Support Block</v>
      </c>
      <c r="D2948" s="316">
        <f>IFERROR(__xludf.DUMMYFUNCTION("""COMPUTED_VALUE"""),45138.0)</f>
        <v>45138</v>
      </c>
      <c r="E2948" s="298"/>
      <c r="F2948" s="298"/>
      <c r="G2948" s="298"/>
      <c r="H2948" s="223"/>
      <c r="I2948" s="298">
        <f>IFERROR(__xludf.DUMMYFUNCTION("""COMPUTED_VALUE"""),350.0)</f>
        <v>350</v>
      </c>
      <c r="J2948" s="223" t="str">
        <f>IFERROR(__xludf.DUMMYFUNCTION("""COMPUTED_VALUE"""),"Fixed Project")</f>
        <v>Fixed Project</v>
      </c>
      <c r="K2948" s="317">
        <f>IFERROR(__xludf.DUMMYFUNCTION("""COMPUTED_VALUE"""),2023.0)</f>
        <v>2023</v>
      </c>
      <c r="L2948" s="298"/>
      <c r="M2948" s="223"/>
      <c r="N2948" s="223"/>
      <c r="O2948" s="223"/>
      <c r="P2948" s="223"/>
      <c r="Q2948" s="223"/>
      <c r="R2948" s="223"/>
      <c r="S2948" s="223"/>
      <c r="T2948" s="223"/>
      <c r="U2948" s="223"/>
      <c r="V2948" s="223"/>
      <c r="W2948" s="223"/>
      <c r="X2948" s="223"/>
      <c r="Y2948" s="223"/>
      <c r="Z2948" s="223"/>
    </row>
    <row r="2949">
      <c r="A2949" s="223" t="str">
        <f>IFERROR(__xludf.DUMMYFUNCTION("""COMPUTED_VALUE"""),"Service First : Website")</f>
        <v>Service First : Website</v>
      </c>
      <c r="B2949" s="223" t="str">
        <f>IFERROR(__xludf.DUMMYFUNCTION("""COMPUTED_VALUE"""),"Service First")</f>
        <v>Service First</v>
      </c>
      <c r="C2949" s="223" t="str">
        <f>IFERROR(__xludf.DUMMYFUNCTION("""COMPUTED_VALUE"""),"Website")</f>
        <v>Website</v>
      </c>
      <c r="D2949" s="316">
        <f>IFERROR(__xludf.DUMMYFUNCTION("""COMPUTED_VALUE"""),45138.0)</f>
        <v>45138</v>
      </c>
      <c r="E2949" s="298"/>
      <c r="F2949" s="298"/>
      <c r="G2949" s="298"/>
      <c r="H2949" s="223"/>
      <c r="I2949" s="298">
        <f>IFERROR(__xludf.DUMMYFUNCTION("""COMPUTED_VALUE"""),1265.0)</f>
        <v>1265</v>
      </c>
      <c r="J2949" s="223" t="str">
        <f>IFERROR(__xludf.DUMMYFUNCTION("""COMPUTED_VALUE"""),"Fixed Project")</f>
        <v>Fixed Project</v>
      </c>
      <c r="K2949" s="317">
        <f>IFERROR(__xludf.DUMMYFUNCTION("""COMPUTED_VALUE"""),2023.0)</f>
        <v>2023</v>
      </c>
      <c r="L2949" s="298"/>
      <c r="M2949" s="223"/>
      <c r="N2949" s="223"/>
      <c r="O2949" s="223"/>
      <c r="P2949" s="223"/>
      <c r="Q2949" s="223"/>
      <c r="R2949" s="223"/>
      <c r="S2949" s="223"/>
      <c r="T2949" s="223"/>
      <c r="U2949" s="223"/>
      <c r="V2949" s="223"/>
      <c r="W2949" s="223"/>
      <c r="X2949" s="223"/>
      <c r="Y2949" s="223"/>
      <c r="Z2949" s="223"/>
    </row>
    <row r="2950">
      <c r="A2950" s="223" t="str">
        <f>IFERROR(__xludf.DUMMYFUNCTION("""COMPUTED_VALUE"""),"PlusROI : Overhead")</f>
        <v>PlusROI : Overhead</v>
      </c>
      <c r="B2950" s="223" t="str">
        <f>IFERROR(__xludf.DUMMYFUNCTION("""COMPUTED_VALUE"""),"PlusROI")</f>
        <v>PlusROI</v>
      </c>
      <c r="C2950" s="223" t="str">
        <f>IFERROR(__xludf.DUMMYFUNCTION("""COMPUTED_VALUE"""),"Overhead")</f>
        <v>Overhead</v>
      </c>
      <c r="D2950" s="316">
        <f>IFERROR(__xludf.DUMMYFUNCTION("""COMPUTED_VALUE"""),45158.0)</f>
        <v>45158</v>
      </c>
      <c r="E2950" s="298"/>
      <c r="F2950" s="298"/>
      <c r="G2950" s="298"/>
      <c r="H2950" s="223"/>
      <c r="I2950" s="298">
        <f>IFERROR(__xludf.DUMMYFUNCTION("""COMPUTED_VALUE"""),14.55)</f>
        <v>14.55</v>
      </c>
      <c r="J2950" s="223" t="str">
        <f>IFERROR(__xludf.DUMMYFUNCTION("""COMPUTED_VALUE"""),"Hourly")</f>
        <v>Hourly</v>
      </c>
      <c r="K2950" s="317">
        <f>IFERROR(__xludf.DUMMYFUNCTION("""COMPUTED_VALUE"""),2023.0)</f>
        <v>2023</v>
      </c>
      <c r="L2950" s="298"/>
      <c r="M2950" s="223"/>
      <c r="N2950" s="223"/>
      <c r="O2950" s="223"/>
      <c r="P2950" s="223"/>
      <c r="Q2950" s="223"/>
      <c r="R2950" s="223"/>
      <c r="S2950" s="223"/>
      <c r="T2950" s="223"/>
      <c r="U2950" s="223"/>
      <c r="V2950" s="223"/>
      <c r="W2950" s="223"/>
      <c r="X2950" s="223"/>
      <c r="Y2950" s="223"/>
      <c r="Z2950" s="223"/>
    </row>
    <row r="2951">
      <c r="A2951" s="223" t="str">
        <f>IFERROR(__xludf.DUMMYFUNCTION("""COMPUTED_VALUE"""),"PlusROI : Marketing")</f>
        <v>PlusROI : Marketing</v>
      </c>
      <c r="B2951" s="223" t="str">
        <f>IFERROR(__xludf.DUMMYFUNCTION("""COMPUTED_VALUE"""),"PlusROI")</f>
        <v>PlusROI</v>
      </c>
      <c r="C2951" s="223" t="str">
        <f>IFERROR(__xludf.DUMMYFUNCTION("""COMPUTED_VALUE"""),"Marketing")</f>
        <v>Marketing</v>
      </c>
      <c r="D2951" s="316">
        <f>IFERROR(__xludf.DUMMYFUNCTION("""COMPUTED_VALUE"""),45158.0)</f>
        <v>45158</v>
      </c>
      <c r="E2951" s="298"/>
      <c r="F2951" s="298"/>
      <c r="G2951" s="298"/>
      <c r="H2951" s="223"/>
      <c r="I2951" s="298">
        <f>IFERROR(__xludf.DUMMYFUNCTION("""COMPUTED_VALUE"""),39.52)</f>
        <v>39.52</v>
      </c>
      <c r="J2951" s="223" t="str">
        <f>IFERROR(__xludf.DUMMYFUNCTION("""COMPUTED_VALUE"""),"Hourly")</f>
        <v>Hourly</v>
      </c>
      <c r="K2951" s="317">
        <f>IFERROR(__xludf.DUMMYFUNCTION("""COMPUTED_VALUE"""),2023.0)</f>
        <v>2023</v>
      </c>
      <c r="L2951" s="298"/>
      <c r="M2951" s="223"/>
      <c r="N2951" s="223"/>
      <c r="O2951" s="223"/>
      <c r="P2951" s="223"/>
      <c r="Q2951" s="223"/>
      <c r="R2951" s="223"/>
      <c r="S2951" s="223"/>
      <c r="T2951" s="223"/>
      <c r="U2951" s="223"/>
      <c r="V2951" s="223"/>
      <c r="W2951" s="223"/>
      <c r="X2951" s="223"/>
      <c r="Y2951" s="223"/>
      <c r="Z2951" s="223"/>
    </row>
    <row r="2952">
      <c r="A2952" s="223" t="str">
        <f>IFERROR(__xludf.DUMMYFUNCTION("""COMPUTED_VALUE"""),"PlusROI : Overhead")</f>
        <v>PlusROI : Overhead</v>
      </c>
      <c r="B2952" s="223" t="str">
        <f>IFERROR(__xludf.DUMMYFUNCTION("""COMPUTED_VALUE"""),"PlusROI")</f>
        <v>PlusROI</v>
      </c>
      <c r="C2952" s="223" t="str">
        <f>IFERROR(__xludf.DUMMYFUNCTION("""COMPUTED_VALUE"""),"Overhead")</f>
        <v>Overhead</v>
      </c>
      <c r="D2952" s="316">
        <f>IFERROR(__xludf.DUMMYFUNCTION("""COMPUTED_VALUE"""),45158.0)</f>
        <v>45158</v>
      </c>
      <c r="E2952" s="298"/>
      <c r="F2952" s="298"/>
      <c r="G2952" s="298"/>
      <c r="H2952" s="223"/>
      <c r="I2952" s="298">
        <f>IFERROR(__xludf.DUMMYFUNCTION("""COMPUTED_VALUE"""),69.89)</f>
        <v>69.89</v>
      </c>
      <c r="J2952" s="223" t="str">
        <f>IFERROR(__xludf.DUMMYFUNCTION("""COMPUTED_VALUE"""),"Hourly")</f>
        <v>Hourly</v>
      </c>
      <c r="K2952" s="317">
        <f>IFERROR(__xludf.DUMMYFUNCTION("""COMPUTED_VALUE"""),2023.0)</f>
        <v>2023</v>
      </c>
      <c r="L2952" s="298"/>
      <c r="M2952" s="223"/>
      <c r="N2952" s="223"/>
      <c r="O2952" s="223"/>
      <c r="P2952" s="223"/>
      <c r="Q2952" s="223"/>
      <c r="R2952" s="223"/>
      <c r="S2952" s="223"/>
      <c r="T2952" s="223"/>
      <c r="U2952" s="223"/>
      <c r="V2952" s="223"/>
      <c r="W2952" s="223"/>
      <c r="X2952" s="223"/>
      <c r="Y2952" s="223"/>
      <c r="Z2952" s="223"/>
    </row>
    <row r="2953">
      <c r="A2953" s="223" t="str">
        <f>IFERROR(__xludf.DUMMYFUNCTION("""COMPUTED_VALUE"""),"PlusROI : Marketing")</f>
        <v>PlusROI : Marketing</v>
      </c>
      <c r="B2953" s="223" t="str">
        <f>IFERROR(__xludf.DUMMYFUNCTION("""COMPUTED_VALUE"""),"PlusROI")</f>
        <v>PlusROI</v>
      </c>
      <c r="C2953" s="223" t="str">
        <f>IFERROR(__xludf.DUMMYFUNCTION("""COMPUTED_VALUE"""),"Marketing")</f>
        <v>Marketing</v>
      </c>
      <c r="D2953" s="316">
        <f>IFERROR(__xludf.DUMMYFUNCTION("""COMPUTED_VALUE"""),45158.0)</f>
        <v>45158</v>
      </c>
      <c r="E2953" s="298"/>
      <c r="F2953" s="298"/>
      <c r="G2953" s="298"/>
      <c r="H2953" s="223"/>
      <c r="I2953" s="298">
        <f>IFERROR(__xludf.DUMMYFUNCTION("""COMPUTED_VALUE"""),639.32)</f>
        <v>639.32</v>
      </c>
      <c r="J2953" s="223" t="str">
        <f>IFERROR(__xludf.DUMMYFUNCTION("""COMPUTED_VALUE"""),"Hourly")</f>
        <v>Hourly</v>
      </c>
      <c r="K2953" s="317">
        <f>IFERROR(__xludf.DUMMYFUNCTION("""COMPUTED_VALUE"""),2023.0)</f>
        <v>2023</v>
      </c>
      <c r="L2953" s="298"/>
      <c r="M2953" s="223"/>
      <c r="N2953" s="223"/>
      <c r="O2953" s="223"/>
      <c r="P2953" s="223"/>
      <c r="Q2953" s="223"/>
      <c r="R2953" s="223"/>
      <c r="S2953" s="223"/>
      <c r="T2953" s="223"/>
      <c r="U2953" s="223"/>
      <c r="V2953" s="223"/>
      <c r="W2953" s="223"/>
      <c r="X2953" s="223"/>
      <c r="Y2953" s="223"/>
      <c r="Z2953" s="223"/>
    </row>
    <row r="2954">
      <c r="A2954" s="223" t="str">
        <f>IFERROR(__xludf.DUMMYFUNCTION("""COMPUTED_VALUE"""),"PlusROI : Marketing")</f>
        <v>PlusROI : Marketing</v>
      </c>
      <c r="B2954" s="223" t="str">
        <f>IFERROR(__xludf.DUMMYFUNCTION("""COMPUTED_VALUE"""),"PlusROI")</f>
        <v>PlusROI</v>
      </c>
      <c r="C2954" s="223" t="str">
        <f>IFERROR(__xludf.DUMMYFUNCTION("""COMPUTED_VALUE"""),"Marketing")</f>
        <v>Marketing</v>
      </c>
      <c r="D2954" s="316">
        <f>IFERROR(__xludf.DUMMYFUNCTION("""COMPUTED_VALUE"""),45158.0)</f>
        <v>45158</v>
      </c>
      <c r="E2954" s="298"/>
      <c r="F2954" s="298"/>
      <c r="G2954" s="298"/>
      <c r="H2954" s="223"/>
      <c r="I2954" s="298">
        <f>IFERROR(__xludf.DUMMYFUNCTION("""COMPUTED_VALUE"""),216.01)</f>
        <v>216.01</v>
      </c>
      <c r="J2954" s="223" t="str">
        <f>IFERROR(__xludf.DUMMYFUNCTION("""COMPUTED_VALUE"""),"Hourly")</f>
        <v>Hourly</v>
      </c>
      <c r="K2954" s="317">
        <f>IFERROR(__xludf.DUMMYFUNCTION("""COMPUTED_VALUE"""),2023.0)</f>
        <v>2023</v>
      </c>
      <c r="L2954" s="298"/>
      <c r="M2954" s="223"/>
      <c r="N2954" s="223"/>
      <c r="O2954" s="223"/>
      <c r="P2954" s="223"/>
      <c r="Q2954" s="223"/>
      <c r="R2954" s="223"/>
      <c r="S2954" s="223"/>
      <c r="T2954" s="223"/>
      <c r="U2954" s="223"/>
      <c r="V2954" s="223"/>
      <c r="W2954" s="223"/>
      <c r="X2954" s="223"/>
      <c r="Y2954" s="223"/>
      <c r="Z2954" s="223"/>
    </row>
    <row r="2955">
      <c r="A2955" s="223" t="str">
        <f>IFERROR(__xludf.DUMMYFUNCTION("""COMPUTED_VALUE"""),"PlusROI : Marketing")</f>
        <v>PlusROI : Marketing</v>
      </c>
      <c r="B2955" s="223" t="str">
        <f>IFERROR(__xludf.DUMMYFUNCTION("""COMPUTED_VALUE"""),"PlusROI")</f>
        <v>PlusROI</v>
      </c>
      <c r="C2955" s="223" t="str">
        <f>IFERROR(__xludf.DUMMYFUNCTION("""COMPUTED_VALUE"""),"Marketing")</f>
        <v>Marketing</v>
      </c>
      <c r="D2955" s="316">
        <f>IFERROR(__xludf.DUMMYFUNCTION("""COMPUTED_VALUE"""),45158.0)</f>
        <v>45158</v>
      </c>
      <c r="E2955" s="298"/>
      <c r="F2955" s="298"/>
      <c r="G2955" s="298"/>
      <c r="H2955" s="223"/>
      <c r="I2955" s="298">
        <f>IFERROR(__xludf.DUMMYFUNCTION("""COMPUTED_VALUE"""),216.27)</f>
        <v>216.27</v>
      </c>
      <c r="J2955" s="223" t="str">
        <f>IFERROR(__xludf.DUMMYFUNCTION("""COMPUTED_VALUE"""),"Hourly")</f>
        <v>Hourly</v>
      </c>
      <c r="K2955" s="317">
        <f>IFERROR(__xludf.DUMMYFUNCTION("""COMPUTED_VALUE"""),2023.0)</f>
        <v>2023</v>
      </c>
      <c r="L2955" s="298"/>
      <c r="M2955" s="223"/>
      <c r="N2955" s="223"/>
      <c r="O2955" s="223"/>
      <c r="P2955" s="223"/>
      <c r="Q2955" s="223"/>
      <c r="R2955" s="223"/>
      <c r="S2955" s="223"/>
      <c r="T2955" s="223"/>
      <c r="U2955" s="223"/>
      <c r="V2955" s="223"/>
      <c r="W2955" s="223"/>
      <c r="X2955" s="223"/>
      <c r="Y2955" s="223"/>
      <c r="Z2955" s="223"/>
    </row>
    <row r="2956">
      <c r="A2956" s="223" t="str">
        <f>IFERROR(__xludf.DUMMYFUNCTION("""COMPUTED_VALUE"""),"Tuscany : Monthly Services")</f>
        <v>Tuscany : Monthly Services</v>
      </c>
      <c r="B2956" s="223" t="str">
        <f>IFERROR(__xludf.DUMMYFUNCTION("""COMPUTED_VALUE"""),"Tuscany")</f>
        <v>Tuscany</v>
      </c>
      <c r="C2956" s="223" t="str">
        <f>IFERROR(__xludf.DUMMYFUNCTION("""COMPUTED_VALUE"""),"Monthly Services")</f>
        <v>Monthly Services</v>
      </c>
      <c r="D2956" s="316">
        <f>IFERROR(__xludf.DUMMYFUNCTION("""COMPUTED_VALUE"""),45124.0)</f>
        <v>45124</v>
      </c>
      <c r="E2956" s="298"/>
      <c r="F2956" s="298"/>
      <c r="G2956" s="298"/>
      <c r="H2956" s="223"/>
      <c r="I2956" s="298">
        <f>IFERROR(__xludf.DUMMYFUNCTION("""COMPUTED_VALUE"""),750.0)</f>
        <v>750</v>
      </c>
      <c r="J2956" s="223" t="str">
        <f>IFERROR(__xludf.DUMMYFUNCTION("""COMPUTED_VALUE"""),"Monthly")</f>
        <v>Monthly</v>
      </c>
      <c r="K2956" s="317">
        <f>IFERROR(__xludf.DUMMYFUNCTION("""COMPUTED_VALUE"""),2023.07)</f>
        <v>2023.07</v>
      </c>
      <c r="L2956" s="298">
        <f>IFERROR(__xludf.DUMMYFUNCTION("""COMPUTED_VALUE"""),750.0)</f>
        <v>750</v>
      </c>
      <c r="M2956" s="223"/>
      <c r="N2956" s="223"/>
      <c r="O2956" s="223"/>
      <c r="P2956" s="223"/>
      <c r="Q2956" s="223"/>
      <c r="R2956" s="223"/>
      <c r="S2956" s="223"/>
      <c r="T2956" s="223"/>
      <c r="U2956" s="223"/>
      <c r="V2956" s="223"/>
      <c r="W2956" s="223"/>
      <c r="X2956" s="223"/>
      <c r="Y2956" s="223"/>
      <c r="Z2956" s="223"/>
    </row>
    <row r="2957">
      <c r="A2957" s="223" t="str">
        <f>IFERROR(__xludf.DUMMYFUNCTION("""COMPUTED_VALUE"""),"Spraggs : Monthly Services")</f>
        <v>Spraggs : Monthly Services</v>
      </c>
      <c r="B2957" s="223" t="str">
        <f>IFERROR(__xludf.DUMMYFUNCTION("""COMPUTED_VALUE"""),"Spraggs")</f>
        <v>Spraggs</v>
      </c>
      <c r="C2957" s="223" t="str">
        <f>IFERROR(__xludf.DUMMYFUNCTION("""COMPUTED_VALUE"""),"Monthly Services")</f>
        <v>Monthly Services</v>
      </c>
      <c r="D2957" s="316">
        <f>IFERROR(__xludf.DUMMYFUNCTION("""COMPUTED_VALUE"""),45115.0)</f>
        <v>45115</v>
      </c>
      <c r="E2957" s="298"/>
      <c r="F2957" s="298"/>
      <c r="G2957" s="298"/>
      <c r="H2957" s="223"/>
      <c r="I2957" s="298">
        <f>IFERROR(__xludf.DUMMYFUNCTION("""COMPUTED_VALUE"""),18.0)</f>
        <v>18</v>
      </c>
      <c r="J2957" s="223" t="str">
        <f>IFERROR(__xludf.DUMMYFUNCTION("""COMPUTED_VALUE"""),"Monthly")</f>
        <v>Monthly</v>
      </c>
      <c r="K2957" s="317">
        <f>IFERROR(__xludf.DUMMYFUNCTION("""COMPUTED_VALUE"""),2023.07)</f>
        <v>2023.07</v>
      </c>
      <c r="L2957" s="298">
        <f>IFERROR(__xludf.DUMMYFUNCTION("""COMPUTED_VALUE"""),18.0)</f>
        <v>18</v>
      </c>
      <c r="M2957" s="223"/>
      <c r="N2957" s="223"/>
      <c r="O2957" s="223"/>
      <c r="P2957" s="223"/>
      <c r="Q2957" s="223"/>
      <c r="R2957" s="223"/>
      <c r="S2957" s="223"/>
      <c r="T2957" s="223"/>
      <c r="U2957" s="223"/>
      <c r="V2957" s="223"/>
      <c r="W2957" s="223"/>
      <c r="X2957" s="223"/>
      <c r="Y2957" s="223"/>
      <c r="Z2957" s="223"/>
    </row>
    <row r="2958">
      <c r="A2958" s="223" t="str">
        <f>IFERROR(__xludf.DUMMYFUNCTION("""COMPUTED_VALUE"""),"Spraggs : Monthly Services")</f>
        <v>Spraggs : Monthly Services</v>
      </c>
      <c r="B2958" s="223" t="str">
        <f>IFERROR(__xludf.DUMMYFUNCTION("""COMPUTED_VALUE"""),"Spraggs")</f>
        <v>Spraggs</v>
      </c>
      <c r="C2958" s="223" t="str">
        <f>IFERROR(__xludf.DUMMYFUNCTION("""COMPUTED_VALUE"""),"Monthly Services")</f>
        <v>Monthly Services</v>
      </c>
      <c r="D2958" s="316">
        <f>IFERROR(__xludf.DUMMYFUNCTION("""COMPUTED_VALUE"""),45117.0)</f>
        <v>45117</v>
      </c>
      <c r="E2958" s="298"/>
      <c r="F2958" s="298"/>
      <c r="G2958" s="298"/>
      <c r="H2958" s="223"/>
      <c r="I2958" s="298">
        <f>IFERROR(__xludf.DUMMYFUNCTION("""COMPUTED_VALUE"""),9.0)</f>
        <v>9</v>
      </c>
      <c r="J2958" s="223" t="str">
        <f>IFERROR(__xludf.DUMMYFUNCTION("""COMPUTED_VALUE"""),"Monthly")</f>
        <v>Monthly</v>
      </c>
      <c r="K2958" s="317">
        <f>IFERROR(__xludf.DUMMYFUNCTION("""COMPUTED_VALUE"""),2023.07)</f>
        <v>2023.07</v>
      </c>
      <c r="L2958" s="298">
        <f>IFERROR(__xludf.DUMMYFUNCTION("""COMPUTED_VALUE"""),9.0)</f>
        <v>9</v>
      </c>
      <c r="M2958" s="223"/>
      <c r="N2958" s="223"/>
      <c r="O2958" s="223"/>
      <c r="P2958" s="223"/>
      <c r="Q2958" s="223"/>
      <c r="R2958" s="223"/>
      <c r="S2958" s="223"/>
      <c r="T2958" s="223"/>
      <c r="U2958" s="223"/>
      <c r="V2958" s="223"/>
      <c r="W2958" s="223"/>
      <c r="X2958" s="223"/>
      <c r="Y2958" s="223"/>
      <c r="Z2958" s="223"/>
    </row>
    <row r="2959">
      <c r="A2959" s="223" t="str">
        <f>IFERROR(__xludf.DUMMYFUNCTION("""COMPUTED_VALUE"""),"Venetian : Monthly Services")</f>
        <v>Venetian : Monthly Services</v>
      </c>
      <c r="B2959" s="223" t="str">
        <f>IFERROR(__xludf.DUMMYFUNCTION("""COMPUTED_VALUE"""),"Venetian")</f>
        <v>Venetian</v>
      </c>
      <c r="C2959" s="223" t="str">
        <f>IFERROR(__xludf.DUMMYFUNCTION("""COMPUTED_VALUE"""),"Monthly Services")</f>
        <v>Monthly Services</v>
      </c>
      <c r="D2959" s="316">
        <f>IFERROR(__xludf.DUMMYFUNCTION("""COMPUTED_VALUE"""),45124.0)</f>
        <v>45124</v>
      </c>
      <c r="E2959" s="298"/>
      <c r="F2959" s="298"/>
      <c r="G2959" s="298"/>
      <c r="H2959" s="223"/>
      <c r="I2959" s="298">
        <f>IFERROR(__xludf.DUMMYFUNCTION("""COMPUTED_VALUE"""),750.0)</f>
        <v>750</v>
      </c>
      <c r="J2959" s="223" t="str">
        <f>IFERROR(__xludf.DUMMYFUNCTION("""COMPUTED_VALUE"""),"Monthly")</f>
        <v>Monthly</v>
      </c>
      <c r="K2959" s="317">
        <f>IFERROR(__xludf.DUMMYFUNCTION("""COMPUTED_VALUE"""),2023.07)</f>
        <v>2023.07</v>
      </c>
      <c r="L2959" s="298">
        <f>IFERROR(__xludf.DUMMYFUNCTION("""COMPUTED_VALUE"""),750.0)</f>
        <v>750</v>
      </c>
      <c r="M2959" s="223"/>
      <c r="N2959" s="223"/>
      <c r="O2959" s="223"/>
      <c r="P2959" s="223"/>
      <c r="Q2959" s="223"/>
      <c r="R2959" s="223"/>
      <c r="S2959" s="223"/>
      <c r="T2959" s="223"/>
      <c r="U2959" s="223"/>
      <c r="V2959" s="223"/>
      <c r="W2959" s="223"/>
      <c r="X2959" s="223"/>
      <c r="Y2959" s="223"/>
      <c r="Z2959" s="223"/>
    </row>
    <row r="2960">
      <c r="A2960" s="223" t="str">
        <f>IFERROR(__xludf.DUMMYFUNCTION("""COMPUTED_VALUE"""),"Spraggs : Monthly Services")</f>
        <v>Spraggs : Monthly Services</v>
      </c>
      <c r="B2960" s="223" t="str">
        <f>IFERROR(__xludf.DUMMYFUNCTION("""COMPUTED_VALUE"""),"Spraggs")</f>
        <v>Spraggs</v>
      </c>
      <c r="C2960" s="223" t="str">
        <f>IFERROR(__xludf.DUMMYFUNCTION("""COMPUTED_VALUE"""),"Monthly Services")</f>
        <v>Monthly Services</v>
      </c>
      <c r="D2960" s="316">
        <f>IFERROR(__xludf.DUMMYFUNCTION("""COMPUTED_VALUE"""),45132.0)</f>
        <v>45132</v>
      </c>
      <c r="E2960" s="298"/>
      <c r="F2960" s="298"/>
      <c r="G2960" s="298"/>
      <c r="H2960" s="223"/>
      <c r="I2960" s="298">
        <f>IFERROR(__xludf.DUMMYFUNCTION("""COMPUTED_VALUE"""),100.0)</f>
        <v>100</v>
      </c>
      <c r="J2960" s="223" t="str">
        <f>IFERROR(__xludf.DUMMYFUNCTION("""COMPUTED_VALUE"""),"Monthly")</f>
        <v>Monthly</v>
      </c>
      <c r="K2960" s="317">
        <f>IFERROR(__xludf.DUMMYFUNCTION("""COMPUTED_VALUE"""),2023.07)</f>
        <v>2023.07</v>
      </c>
      <c r="L2960" s="298">
        <f>IFERROR(__xludf.DUMMYFUNCTION("""COMPUTED_VALUE"""),100.0)</f>
        <v>100</v>
      </c>
      <c r="M2960" s="223"/>
      <c r="N2960" s="223"/>
      <c r="O2960" s="223"/>
      <c r="P2960" s="223"/>
      <c r="Q2960" s="223"/>
      <c r="R2960" s="223"/>
      <c r="S2960" s="223"/>
      <c r="T2960" s="223"/>
      <c r="U2960" s="223"/>
      <c r="V2960" s="223"/>
      <c r="W2960" s="223"/>
      <c r="X2960" s="223"/>
      <c r="Y2960" s="223"/>
      <c r="Z2960" s="223"/>
    </row>
    <row r="2961">
      <c r="A2961" s="223" t="str">
        <f>IFERROR(__xludf.DUMMYFUNCTION("""COMPUTED_VALUE"""),"PlusROI : Admin")</f>
        <v>PlusROI : Admin</v>
      </c>
      <c r="B2961" s="223" t="str">
        <f>IFERROR(__xludf.DUMMYFUNCTION("""COMPUTED_VALUE"""),"PlusROI")</f>
        <v>PlusROI</v>
      </c>
      <c r="C2961" s="223" t="str">
        <f>IFERROR(__xludf.DUMMYFUNCTION("""COMPUTED_VALUE"""),"Admin")</f>
        <v>Admin</v>
      </c>
      <c r="D2961" s="316">
        <f>IFERROR(__xludf.DUMMYFUNCTION("""COMPUTED_VALUE"""),45139.0)</f>
        <v>45139</v>
      </c>
      <c r="E2961" s="298"/>
      <c r="F2961" s="298"/>
      <c r="G2961" s="298"/>
      <c r="H2961" s="223"/>
      <c r="I2961" s="298">
        <f>IFERROR(__xludf.DUMMYFUNCTION("""COMPUTED_VALUE"""),484.55)</f>
        <v>484.55</v>
      </c>
      <c r="J2961" s="223" t="str">
        <f>IFERROR(__xludf.DUMMYFUNCTION("""COMPUTED_VALUE"""),"Hourly")</f>
        <v>Hourly</v>
      </c>
      <c r="K2961" s="317">
        <f>IFERROR(__xludf.DUMMYFUNCTION("""COMPUTED_VALUE"""),2023.0)</f>
        <v>2023</v>
      </c>
      <c r="L2961" s="298"/>
      <c r="M2961" s="223"/>
      <c r="N2961" s="223"/>
      <c r="O2961" s="223"/>
      <c r="P2961" s="223"/>
      <c r="Q2961" s="223"/>
      <c r="R2961" s="223"/>
      <c r="S2961" s="223"/>
      <c r="T2961" s="223"/>
      <c r="U2961" s="223"/>
      <c r="V2961" s="223"/>
      <c r="W2961" s="223"/>
      <c r="X2961" s="223"/>
      <c r="Y2961" s="223"/>
      <c r="Z2961" s="223"/>
    </row>
    <row r="2962">
      <c r="A2962" s="223" t="str">
        <f>IFERROR(__xludf.DUMMYFUNCTION("""COMPUTED_VALUE"""),"Tuscany : Monthly Services")</f>
        <v>Tuscany : Monthly Services</v>
      </c>
      <c r="B2962" s="223" t="str">
        <f>IFERROR(__xludf.DUMMYFUNCTION("""COMPUTED_VALUE"""),"Tuscany")</f>
        <v>Tuscany</v>
      </c>
      <c r="C2962" s="223" t="str">
        <f>IFERROR(__xludf.DUMMYFUNCTION("""COMPUTED_VALUE"""),"Monthly Services")</f>
        <v>Monthly Services</v>
      </c>
      <c r="D2962" s="316">
        <f>IFERROR(__xludf.DUMMYFUNCTION("""COMPUTED_VALUE"""),45139.0)</f>
        <v>45139</v>
      </c>
      <c r="E2962" s="298"/>
      <c r="F2962" s="298"/>
      <c r="G2962" s="298"/>
      <c r="H2962" s="223"/>
      <c r="I2962" s="298">
        <f>IFERROR(__xludf.DUMMYFUNCTION("""COMPUTED_VALUE"""),617.55)</f>
        <v>617.55</v>
      </c>
      <c r="J2962" s="223" t="str">
        <f>IFERROR(__xludf.DUMMYFUNCTION("""COMPUTED_VALUE"""),"Monthly")</f>
        <v>Monthly</v>
      </c>
      <c r="K2962" s="317">
        <f>IFERROR(__xludf.DUMMYFUNCTION("""COMPUTED_VALUE"""),2023.08)</f>
        <v>2023.08</v>
      </c>
      <c r="L2962" s="298">
        <f>IFERROR(__xludf.DUMMYFUNCTION("""COMPUTED_VALUE"""),617.55)</f>
        <v>617.55</v>
      </c>
      <c r="M2962" s="223"/>
      <c r="N2962" s="223"/>
      <c r="O2962" s="223"/>
      <c r="P2962" s="223"/>
      <c r="Q2962" s="223"/>
      <c r="R2962" s="223"/>
      <c r="S2962" s="223"/>
      <c r="T2962" s="223"/>
      <c r="U2962" s="223"/>
      <c r="V2962" s="223"/>
      <c r="W2962" s="223"/>
      <c r="X2962" s="223"/>
      <c r="Y2962" s="223"/>
      <c r="Z2962" s="223"/>
    </row>
    <row r="2963">
      <c r="A2963" s="223" t="str">
        <f>IFERROR(__xludf.DUMMYFUNCTION("""COMPUTED_VALUE"""),"Venetian : Monthly Services")</f>
        <v>Venetian : Monthly Services</v>
      </c>
      <c r="B2963" s="223" t="str">
        <f>IFERROR(__xludf.DUMMYFUNCTION("""COMPUTED_VALUE"""),"Venetian")</f>
        <v>Venetian</v>
      </c>
      <c r="C2963" s="223" t="str">
        <f>IFERROR(__xludf.DUMMYFUNCTION("""COMPUTED_VALUE"""),"Monthly Services")</f>
        <v>Monthly Services</v>
      </c>
      <c r="D2963" s="316">
        <f>IFERROR(__xludf.DUMMYFUNCTION("""COMPUTED_VALUE"""),45139.0)</f>
        <v>45139</v>
      </c>
      <c r="E2963" s="298"/>
      <c r="F2963" s="298"/>
      <c r="G2963" s="298"/>
      <c r="H2963" s="223"/>
      <c r="I2963" s="298">
        <f>IFERROR(__xludf.DUMMYFUNCTION("""COMPUTED_VALUE"""),616.5)</f>
        <v>616.5</v>
      </c>
      <c r="J2963" s="223" t="str">
        <f>IFERROR(__xludf.DUMMYFUNCTION("""COMPUTED_VALUE"""),"Monthly")</f>
        <v>Monthly</v>
      </c>
      <c r="K2963" s="317">
        <f>IFERROR(__xludf.DUMMYFUNCTION("""COMPUTED_VALUE"""),2023.08)</f>
        <v>2023.08</v>
      </c>
      <c r="L2963" s="298">
        <f>IFERROR(__xludf.DUMMYFUNCTION("""COMPUTED_VALUE"""),616.5)</f>
        <v>616.5</v>
      </c>
      <c r="M2963" s="223"/>
      <c r="N2963" s="223"/>
      <c r="O2963" s="223"/>
      <c r="P2963" s="223"/>
      <c r="Q2963" s="223"/>
      <c r="R2963" s="223"/>
      <c r="S2963" s="223"/>
      <c r="T2963" s="223"/>
      <c r="U2963" s="223"/>
      <c r="V2963" s="223"/>
      <c r="W2963" s="223"/>
      <c r="X2963" s="223"/>
      <c r="Y2963" s="223"/>
      <c r="Z2963" s="223"/>
    </row>
    <row r="2964">
      <c r="A2964" s="223" t="str">
        <f>IFERROR(__xludf.DUMMYFUNCTION("""COMPUTED_VALUE"""),"Dinning Hunter : Website Rebuild")</f>
        <v>Dinning Hunter : Website Rebuild</v>
      </c>
      <c r="B2964" s="223" t="str">
        <f>IFERROR(__xludf.DUMMYFUNCTION("""COMPUTED_VALUE"""),"Dinning Hunter")</f>
        <v>Dinning Hunter</v>
      </c>
      <c r="C2964" s="223" t="str">
        <f>IFERROR(__xludf.DUMMYFUNCTION("""COMPUTED_VALUE"""),"Website Rebuild")</f>
        <v>Website Rebuild</v>
      </c>
      <c r="D2964" s="316">
        <f>IFERROR(__xludf.DUMMYFUNCTION("""COMPUTED_VALUE"""),45138.0)</f>
        <v>45138</v>
      </c>
      <c r="E2964" s="298"/>
      <c r="F2964" s="298"/>
      <c r="G2964" s="298"/>
      <c r="H2964" s="223"/>
      <c r="I2964" s="298">
        <f>IFERROR(__xludf.DUMMYFUNCTION("""COMPUTED_VALUE"""),207.67)</f>
        <v>207.67</v>
      </c>
      <c r="J2964" s="223" t="str">
        <f>IFERROR(__xludf.DUMMYFUNCTION("""COMPUTED_VALUE"""),"Fixed Project")</f>
        <v>Fixed Project</v>
      </c>
      <c r="K2964" s="317">
        <f>IFERROR(__xludf.DUMMYFUNCTION("""COMPUTED_VALUE"""),2023.0)</f>
        <v>2023</v>
      </c>
      <c r="L2964" s="298"/>
      <c r="M2964" s="223"/>
      <c r="N2964" s="223"/>
      <c r="O2964" s="223"/>
      <c r="P2964" s="223"/>
      <c r="Q2964" s="223"/>
      <c r="R2964" s="223"/>
      <c r="S2964" s="223"/>
      <c r="T2964" s="223"/>
      <c r="U2964" s="223"/>
      <c r="V2964" s="223"/>
      <c r="W2964" s="223"/>
      <c r="X2964" s="223"/>
      <c r="Y2964" s="223"/>
      <c r="Z2964" s="223"/>
    </row>
    <row r="2965">
      <c r="A2965" s="223" t="str">
        <f>IFERROR(__xludf.DUMMYFUNCTION("""COMPUTED_VALUE"""),"ESKO Pacific : Website Rebuild")</f>
        <v>ESKO Pacific : Website Rebuild</v>
      </c>
      <c r="B2965" s="223" t="str">
        <f>IFERROR(__xludf.DUMMYFUNCTION("""COMPUTED_VALUE"""),"ESKO Pacific")</f>
        <v>ESKO Pacific</v>
      </c>
      <c r="C2965" s="223" t="str">
        <f>IFERROR(__xludf.DUMMYFUNCTION("""COMPUTED_VALUE"""),"Website Rebuild")</f>
        <v>Website Rebuild</v>
      </c>
      <c r="D2965" s="316">
        <f>IFERROR(__xludf.DUMMYFUNCTION("""COMPUTED_VALUE"""),45138.0)</f>
        <v>45138</v>
      </c>
      <c r="E2965" s="298"/>
      <c r="F2965" s="298"/>
      <c r="G2965" s="298"/>
      <c r="H2965" s="223"/>
      <c r="I2965" s="298">
        <f>IFERROR(__xludf.DUMMYFUNCTION("""COMPUTED_VALUE"""),35.61)</f>
        <v>35.61</v>
      </c>
      <c r="J2965" s="223" t="str">
        <f>IFERROR(__xludf.DUMMYFUNCTION("""COMPUTED_VALUE"""),"Fixed Project")</f>
        <v>Fixed Project</v>
      </c>
      <c r="K2965" s="317">
        <f>IFERROR(__xludf.DUMMYFUNCTION("""COMPUTED_VALUE"""),2023.0)</f>
        <v>2023</v>
      </c>
      <c r="L2965" s="298"/>
      <c r="M2965" s="223"/>
      <c r="N2965" s="223"/>
      <c r="O2965" s="223"/>
      <c r="P2965" s="223"/>
      <c r="Q2965" s="223"/>
      <c r="R2965" s="223"/>
      <c r="S2965" s="223"/>
      <c r="T2965" s="223"/>
      <c r="U2965" s="223"/>
      <c r="V2965" s="223"/>
      <c r="W2965" s="223"/>
      <c r="X2965" s="223"/>
      <c r="Y2965" s="223"/>
      <c r="Z2965" s="223"/>
    </row>
    <row r="2966">
      <c r="A2966" s="223" t="str">
        <f>IFERROR(__xludf.DUMMYFUNCTION("""COMPUTED_VALUE"""),"Ergo Eco : Grant Project")</f>
        <v>Ergo Eco : Grant Project</v>
      </c>
      <c r="B2966" s="223" t="str">
        <f>IFERROR(__xludf.DUMMYFUNCTION("""COMPUTED_VALUE"""),"Ergo Eco")</f>
        <v>Ergo Eco</v>
      </c>
      <c r="C2966" s="223" t="str">
        <f>IFERROR(__xludf.DUMMYFUNCTION("""COMPUTED_VALUE"""),"Grant Project")</f>
        <v>Grant Project</v>
      </c>
      <c r="D2966" s="316">
        <f>IFERROR(__xludf.DUMMYFUNCTION("""COMPUTED_VALUE"""),45138.0)</f>
        <v>45138</v>
      </c>
      <c r="E2966" s="298"/>
      <c r="F2966" s="298"/>
      <c r="G2966" s="298"/>
      <c r="H2966" s="223"/>
      <c r="I2966" s="298">
        <f>IFERROR(__xludf.DUMMYFUNCTION("""COMPUTED_VALUE"""),155.92)</f>
        <v>155.92</v>
      </c>
      <c r="J2966" s="223" t="str">
        <f>IFERROR(__xludf.DUMMYFUNCTION("""COMPUTED_VALUE"""),"Fixed Project")</f>
        <v>Fixed Project</v>
      </c>
      <c r="K2966" s="317">
        <f>IFERROR(__xludf.DUMMYFUNCTION("""COMPUTED_VALUE"""),2023.0)</f>
        <v>2023</v>
      </c>
      <c r="L2966" s="298"/>
      <c r="M2966" s="223"/>
      <c r="N2966" s="223"/>
      <c r="O2966" s="223"/>
      <c r="P2966" s="223"/>
      <c r="Q2966" s="223"/>
      <c r="R2966" s="223"/>
      <c r="S2966" s="223"/>
      <c r="T2966" s="223"/>
      <c r="U2966" s="223"/>
      <c r="V2966" s="223"/>
      <c r="W2966" s="223"/>
      <c r="X2966" s="223"/>
      <c r="Y2966" s="223"/>
      <c r="Z2966" s="223"/>
    </row>
    <row r="2967">
      <c r="A2967" s="223" t="str">
        <f>IFERROR(__xludf.DUMMYFUNCTION("""COMPUTED_VALUE"""),"The Shore Club : 10 Hour General Support Block")</f>
        <v>The Shore Club : 10 Hour General Support Block</v>
      </c>
      <c r="B2967" s="223" t="str">
        <f>IFERROR(__xludf.DUMMYFUNCTION("""COMPUTED_VALUE"""),"The Shore Club")</f>
        <v>The Shore Club</v>
      </c>
      <c r="C2967" s="223" t="str">
        <f>IFERROR(__xludf.DUMMYFUNCTION("""COMPUTED_VALUE"""),"10 Hour General Support Block")</f>
        <v>10 Hour General Support Block</v>
      </c>
      <c r="D2967" s="316">
        <f>IFERROR(__xludf.DUMMYFUNCTION("""COMPUTED_VALUE"""),45138.0)</f>
        <v>45138</v>
      </c>
      <c r="E2967" s="298"/>
      <c r="F2967" s="298"/>
      <c r="G2967" s="298"/>
      <c r="H2967" s="223"/>
      <c r="I2967" s="298">
        <f>IFERROR(__xludf.DUMMYFUNCTION("""COMPUTED_VALUE"""),2.96)</f>
        <v>2.96</v>
      </c>
      <c r="J2967" s="223" t="str">
        <f>IFERROR(__xludf.DUMMYFUNCTION("""COMPUTED_VALUE"""),"Fixed Project")</f>
        <v>Fixed Project</v>
      </c>
      <c r="K2967" s="317">
        <f>IFERROR(__xludf.DUMMYFUNCTION("""COMPUTED_VALUE"""),2023.0)</f>
        <v>2023</v>
      </c>
      <c r="L2967" s="298"/>
      <c r="M2967" s="223"/>
      <c r="N2967" s="223"/>
      <c r="O2967" s="223"/>
      <c r="P2967" s="223"/>
      <c r="Q2967" s="223"/>
      <c r="R2967" s="223"/>
      <c r="S2967" s="223"/>
      <c r="T2967" s="223"/>
      <c r="U2967" s="223"/>
      <c r="V2967" s="223"/>
      <c r="W2967" s="223"/>
      <c r="X2967" s="223"/>
      <c r="Y2967" s="223"/>
      <c r="Z2967" s="223"/>
    </row>
    <row r="2968">
      <c r="A2968" s="223" t="str">
        <f>IFERROR(__xludf.DUMMYFUNCTION("""COMPUTED_VALUE"""),"The Palms : Survey Project")</f>
        <v>The Palms : Survey Project</v>
      </c>
      <c r="B2968" s="223" t="str">
        <f>IFERROR(__xludf.DUMMYFUNCTION("""COMPUTED_VALUE"""),"The Palms")</f>
        <v>The Palms</v>
      </c>
      <c r="C2968" s="223" t="str">
        <f>IFERROR(__xludf.DUMMYFUNCTION("""COMPUTED_VALUE"""),"Survey Project")</f>
        <v>Survey Project</v>
      </c>
      <c r="D2968" s="316">
        <f>IFERROR(__xludf.DUMMYFUNCTION("""COMPUTED_VALUE"""),45138.0)</f>
        <v>45138</v>
      </c>
      <c r="E2968" s="298"/>
      <c r="F2968" s="298"/>
      <c r="G2968" s="298"/>
      <c r="H2968" s="223"/>
      <c r="I2968" s="298">
        <f>IFERROR(__xludf.DUMMYFUNCTION("""COMPUTED_VALUE"""),993.92)</f>
        <v>993.92</v>
      </c>
      <c r="J2968" s="223" t="str">
        <f>IFERROR(__xludf.DUMMYFUNCTION("""COMPUTED_VALUE"""),"Fixed Project")</f>
        <v>Fixed Project</v>
      </c>
      <c r="K2968" s="317">
        <f>IFERROR(__xludf.DUMMYFUNCTION("""COMPUTED_VALUE"""),2023.0)</f>
        <v>2023</v>
      </c>
      <c r="L2968" s="298"/>
      <c r="M2968" s="223"/>
      <c r="N2968" s="223"/>
      <c r="O2968" s="223"/>
      <c r="P2968" s="223"/>
      <c r="Q2968" s="223"/>
      <c r="R2968" s="223"/>
      <c r="S2968" s="223"/>
      <c r="T2968" s="223"/>
      <c r="U2968" s="223"/>
      <c r="V2968" s="223"/>
      <c r="W2968" s="223"/>
      <c r="X2968" s="223"/>
      <c r="Y2968" s="223"/>
      <c r="Z2968" s="223"/>
    </row>
    <row r="2969">
      <c r="A2969" s="223" t="str">
        <f>IFERROR(__xludf.DUMMYFUNCTION("""COMPUTED_VALUE"""),"HSJ Lawyers : Monthly Services")</f>
        <v>HSJ Lawyers : Monthly Services</v>
      </c>
      <c r="B2969" s="223" t="str">
        <f>IFERROR(__xludf.DUMMYFUNCTION("""COMPUTED_VALUE"""),"HSJ Lawyers")</f>
        <v>HSJ Lawyers</v>
      </c>
      <c r="C2969" s="223" t="str">
        <f>IFERROR(__xludf.DUMMYFUNCTION("""COMPUTED_VALUE"""),"Monthly Services")</f>
        <v>Monthly Services</v>
      </c>
      <c r="D2969" s="316">
        <f>IFERROR(__xludf.DUMMYFUNCTION("""COMPUTED_VALUE"""),45138.0)</f>
        <v>45138</v>
      </c>
      <c r="E2969" s="298"/>
      <c r="F2969" s="298"/>
      <c r="G2969" s="298"/>
      <c r="H2969" s="223"/>
      <c r="I2969" s="298">
        <f>IFERROR(__xludf.DUMMYFUNCTION("""COMPUTED_VALUE"""),80.53)</f>
        <v>80.53</v>
      </c>
      <c r="J2969" s="223" t="str">
        <f>IFERROR(__xludf.DUMMYFUNCTION("""COMPUTED_VALUE"""),"Monthly")</f>
        <v>Monthly</v>
      </c>
      <c r="K2969" s="317">
        <f>IFERROR(__xludf.DUMMYFUNCTION("""COMPUTED_VALUE"""),2023.07)</f>
        <v>2023.07</v>
      </c>
      <c r="L2969" s="298"/>
      <c r="M2969" s="223"/>
      <c r="N2969" s="223"/>
      <c r="O2969" s="223"/>
      <c r="P2969" s="223"/>
      <c r="Q2969" s="223"/>
      <c r="R2969" s="223"/>
      <c r="S2969" s="223"/>
      <c r="T2969" s="223"/>
      <c r="U2969" s="223"/>
      <c r="V2969" s="223"/>
      <c r="W2969" s="223"/>
      <c r="X2969" s="223"/>
      <c r="Y2969" s="223"/>
      <c r="Z2969" s="223"/>
    </row>
    <row r="2970">
      <c r="A2970" s="223" t="str">
        <f>IFERROR(__xludf.DUMMYFUNCTION("""COMPUTED_VALUE"""),"Limbic Media : Grant Project")</f>
        <v>Limbic Media : Grant Project</v>
      </c>
      <c r="B2970" s="223" t="str">
        <f>IFERROR(__xludf.DUMMYFUNCTION("""COMPUTED_VALUE"""),"Limbic Media")</f>
        <v>Limbic Media</v>
      </c>
      <c r="C2970" s="223" t="str">
        <f>IFERROR(__xludf.DUMMYFUNCTION("""COMPUTED_VALUE"""),"Grant Project")</f>
        <v>Grant Project</v>
      </c>
      <c r="D2970" s="316">
        <f>IFERROR(__xludf.DUMMYFUNCTION("""COMPUTED_VALUE"""),45138.0)</f>
        <v>45138</v>
      </c>
      <c r="E2970" s="298"/>
      <c r="F2970" s="298"/>
      <c r="G2970" s="298"/>
      <c r="H2970" s="223"/>
      <c r="I2970" s="298">
        <f>IFERROR(__xludf.DUMMYFUNCTION("""COMPUTED_VALUE"""),14.73)</f>
        <v>14.73</v>
      </c>
      <c r="J2970" s="223" t="str">
        <f>IFERROR(__xludf.DUMMYFUNCTION("""COMPUTED_VALUE"""),"Fixed Project")</f>
        <v>Fixed Project</v>
      </c>
      <c r="K2970" s="317">
        <f>IFERROR(__xludf.DUMMYFUNCTION("""COMPUTED_VALUE"""),2023.0)</f>
        <v>2023</v>
      </c>
      <c r="L2970" s="298"/>
      <c r="M2970" s="223"/>
      <c r="N2970" s="223"/>
      <c r="O2970" s="223"/>
      <c r="P2970" s="223"/>
      <c r="Q2970" s="223"/>
      <c r="R2970" s="223"/>
      <c r="S2970" s="223"/>
      <c r="T2970" s="223"/>
      <c r="U2970" s="223"/>
      <c r="V2970" s="223"/>
      <c r="W2970" s="223"/>
      <c r="X2970" s="223"/>
      <c r="Y2970" s="223"/>
      <c r="Z2970" s="223"/>
    </row>
    <row r="2971">
      <c r="A2971" s="223" t="str">
        <f>IFERROR(__xludf.DUMMYFUNCTION("""COMPUTED_VALUE"""),"PlusROI : Admin")</f>
        <v>PlusROI : Admin</v>
      </c>
      <c r="B2971" s="223" t="str">
        <f>IFERROR(__xludf.DUMMYFUNCTION("""COMPUTED_VALUE"""),"PlusROI")</f>
        <v>PlusROI</v>
      </c>
      <c r="C2971" s="223" t="str">
        <f>IFERROR(__xludf.DUMMYFUNCTION("""COMPUTED_VALUE"""),"Admin")</f>
        <v>Admin</v>
      </c>
      <c r="D2971" s="316">
        <f>IFERROR(__xludf.DUMMYFUNCTION("""COMPUTED_VALUE"""),45138.0)</f>
        <v>45138</v>
      </c>
      <c r="E2971" s="298"/>
      <c r="F2971" s="298"/>
      <c r="G2971" s="298"/>
      <c r="H2971" s="223"/>
      <c r="I2971" s="298">
        <f>IFERROR(__xludf.DUMMYFUNCTION("""COMPUTED_VALUE"""),795.79)</f>
        <v>795.79</v>
      </c>
      <c r="J2971" s="223" t="str">
        <f>IFERROR(__xludf.DUMMYFUNCTION("""COMPUTED_VALUE"""),"Hourly")</f>
        <v>Hourly</v>
      </c>
      <c r="K2971" s="317">
        <f>IFERROR(__xludf.DUMMYFUNCTION("""COMPUTED_VALUE"""),2023.0)</f>
        <v>2023</v>
      </c>
      <c r="L2971" s="298"/>
      <c r="M2971" s="223"/>
      <c r="N2971" s="223"/>
      <c r="O2971" s="223"/>
      <c r="P2971" s="223"/>
      <c r="Q2971" s="223"/>
      <c r="R2971" s="223"/>
      <c r="S2971" s="223"/>
      <c r="T2971" s="223"/>
      <c r="U2971" s="223"/>
      <c r="V2971" s="223"/>
      <c r="W2971" s="223"/>
      <c r="X2971" s="223"/>
      <c r="Y2971" s="223"/>
      <c r="Z2971" s="223"/>
    </row>
    <row r="2972">
      <c r="A2972" s="223" t="str">
        <f>IFERROR(__xludf.DUMMYFUNCTION("""COMPUTED_VALUE"""),"Sacred Deathcare : Maintainance Retainer")</f>
        <v>Sacred Deathcare : Maintainance Retainer</v>
      </c>
      <c r="B2972" s="223" t="str">
        <f>IFERROR(__xludf.DUMMYFUNCTION("""COMPUTED_VALUE"""),"Sacred Deathcare")</f>
        <v>Sacred Deathcare</v>
      </c>
      <c r="C2972" s="223" t="str">
        <f>IFERROR(__xludf.DUMMYFUNCTION("""COMPUTED_VALUE"""),"Maintainance Retainer")</f>
        <v>Maintainance Retainer</v>
      </c>
      <c r="D2972" s="316">
        <f>IFERROR(__xludf.DUMMYFUNCTION("""COMPUTED_VALUE"""),45138.0)</f>
        <v>45138</v>
      </c>
      <c r="E2972" s="298"/>
      <c r="F2972" s="298"/>
      <c r="G2972" s="298"/>
      <c r="H2972" s="223"/>
      <c r="I2972" s="298">
        <f>IFERROR(__xludf.DUMMYFUNCTION("""COMPUTED_VALUE"""),6.65)</f>
        <v>6.65</v>
      </c>
      <c r="J2972" s="223" t="str">
        <f>IFERROR(__xludf.DUMMYFUNCTION("""COMPUTED_VALUE"""),"Monthly")</f>
        <v>Monthly</v>
      </c>
      <c r="K2972" s="317">
        <f>IFERROR(__xludf.DUMMYFUNCTION("""COMPUTED_VALUE"""),2023.07)</f>
        <v>2023.07</v>
      </c>
      <c r="L2972" s="298"/>
      <c r="M2972" s="223"/>
      <c r="N2972" s="223"/>
      <c r="O2972" s="223"/>
      <c r="P2972" s="223"/>
      <c r="Q2972" s="223"/>
      <c r="R2972" s="223"/>
      <c r="S2972" s="223"/>
      <c r="T2972" s="223"/>
      <c r="U2972" s="223"/>
      <c r="V2972" s="223"/>
      <c r="W2972" s="223"/>
      <c r="X2972" s="223"/>
      <c r="Y2972" s="223"/>
      <c r="Z2972" s="223"/>
    </row>
    <row r="2973">
      <c r="A2973" s="223" t="str">
        <f>IFERROR(__xludf.DUMMYFUNCTION("""COMPUTED_VALUE"""),"Service First : Website")</f>
        <v>Service First : Website</v>
      </c>
      <c r="B2973" s="223" t="str">
        <f>IFERROR(__xludf.DUMMYFUNCTION("""COMPUTED_VALUE"""),"Service First")</f>
        <v>Service First</v>
      </c>
      <c r="C2973" s="223" t="str">
        <f>IFERROR(__xludf.DUMMYFUNCTION("""COMPUTED_VALUE"""),"Website")</f>
        <v>Website</v>
      </c>
      <c r="D2973" s="316">
        <f>IFERROR(__xludf.DUMMYFUNCTION("""COMPUTED_VALUE"""),45138.0)</f>
        <v>45138</v>
      </c>
      <c r="E2973" s="298"/>
      <c r="F2973" s="298"/>
      <c r="G2973" s="298"/>
      <c r="H2973" s="223"/>
      <c r="I2973" s="298">
        <f>IFERROR(__xludf.DUMMYFUNCTION("""COMPUTED_VALUE"""),1492.62)</f>
        <v>1492.62</v>
      </c>
      <c r="J2973" s="223" t="str">
        <f>IFERROR(__xludf.DUMMYFUNCTION("""COMPUTED_VALUE"""),"Fixed Project")</f>
        <v>Fixed Project</v>
      </c>
      <c r="K2973" s="317">
        <f>IFERROR(__xludf.DUMMYFUNCTION("""COMPUTED_VALUE"""),2023.0)</f>
        <v>2023</v>
      </c>
      <c r="L2973" s="298"/>
      <c r="M2973" s="223"/>
      <c r="N2973" s="223"/>
      <c r="O2973" s="223"/>
      <c r="P2973" s="223"/>
      <c r="Q2973" s="223"/>
      <c r="R2973" s="223"/>
      <c r="S2973" s="223"/>
      <c r="T2973" s="223"/>
      <c r="U2973" s="223"/>
      <c r="V2973" s="223"/>
      <c r="W2973" s="223"/>
      <c r="X2973" s="223"/>
      <c r="Y2973" s="223"/>
      <c r="Z2973" s="223"/>
    </row>
    <row r="2974">
      <c r="A2974" s="223" t="str">
        <f>IFERROR(__xludf.DUMMYFUNCTION("""COMPUTED_VALUE"""),"Spraggs : Monthly Services")</f>
        <v>Spraggs : Monthly Services</v>
      </c>
      <c r="B2974" s="223" t="str">
        <f>IFERROR(__xludf.DUMMYFUNCTION("""COMPUTED_VALUE"""),"Spraggs")</f>
        <v>Spraggs</v>
      </c>
      <c r="C2974" s="223" t="str">
        <f>IFERROR(__xludf.DUMMYFUNCTION("""COMPUTED_VALUE"""),"Monthly Services")</f>
        <v>Monthly Services</v>
      </c>
      <c r="D2974" s="316">
        <f>IFERROR(__xludf.DUMMYFUNCTION("""COMPUTED_VALUE"""),45138.0)</f>
        <v>45138</v>
      </c>
      <c r="E2974" s="298"/>
      <c r="F2974" s="298"/>
      <c r="G2974" s="298"/>
      <c r="H2974" s="223"/>
      <c r="I2974" s="298">
        <f>IFERROR(__xludf.DUMMYFUNCTION("""COMPUTED_VALUE"""),2.64)</f>
        <v>2.64</v>
      </c>
      <c r="J2974" s="223" t="str">
        <f>IFERROR(__xludf.DUMMYFUNCTION("""COMPUTED_VALUE"""),"Monthly")</f>
        <v>Monthly</v>
      </c>
      <c r="K2974" s="317">
        <f>IFERROR(__xludf.DUMMYFUNCTION("""COMPUTED_VALUE"""),2023.07)</f>
        <v>2023.07</v>
      </c>
      <c r="L2974" s="298"/>
      <c r="M2974" s="223"/>
      <c r="N2974" s="223"/>
      <c r="O2974" s="223"/>
      <c r="P2974" s="223"/>
      <c r="Q2974" s="223"/>
      <c r="R2974" s="223"/>
      <c r="S2974" s="223"/>
      <c r="T2974" s="223"/>
      <c r="U2974" s="223"/>
      <c r="V2974" s="223"/>
      <c r="W2974" s="223"/>
      <c r="X2974" s="223"/>
      <c r="Y2974" s="223"/>
      <c r="Z2974" s="223"/>
    </row>
    <row r="2975">
      <c r="A2975" s="223" t="str">
        <f>IFERROR(__xludf.DUMMYFUNCTION("""COMPUTED_VALUE"""),"The Palms : 10 Hour General Support Block")</f>
        <v>The Palms : 10 Hour General Support Block</v>
      </c>
      <c r="B2975" s="223" t="str">
        <f>IFERROR(__xludf.DUMMYFUNCTION("""COMPUTED_VALUE"""),"The Palms")</f>
        <v>The Palms</v>
      </c>
      <c r="C2975" s="223" t="str">
        <f>IFERROR(__xludf.DUMMYFUNCTION("""COMPUTED_VALUE"""),"10 Hour General Support Block")</f>
        <v>10 Hour General Support Block</v>
      </c>
      <c r="D2975" s="316">
        <f>IFERROR(__xludf.DUMMYFUNCTION("""COMPUTED_VALUE"""),45138.0)</f>
        <v>45138</v>
      </c>
      <c r="E2975" s="298"/>
      <c r="F2975" s="298"/>
      <c r="G2975" s="298"/>
      <c r="H2975" s="223"/>
      <c r="I2975" s="298">
        <f>IFERROR(__xludf.DUMMYFUNCTION("""COMPUTED_VALUE"""),178.19)</f>
        <v>178.19</v>
      </c>
      <c r="J2975" s="223" t="str">
        <f>IFERROR(__xludf.DUMMYFUNCTION("""COMPUTED_VALUE"""),"Fixed Project")</f>
        <v>Fixed Project</v>
      </c>
      <c r="K2975" s="317">
        <f>IFERROR(__xludf.DUMMYFUNCTION("""COMPUTED_VALUE"""),2023.0)</f>
        <v>2023</v>
      </c>
      <c r="L2975" s="298"/>
      <c r="M2975" s="223"/>
      <c r="N2975" s="223"/>
      <c r="O2975" s="223"/>
      <c r="P2975" s="223"/>
      <c r="Q2975" s="223"/>
      <c r="R2975" s="223"/>
      <c r="S2975" s="223"/>
      <c r="T2975" s="223"/>
      <c r="U2975" s="223"/>
      <c r="V2975" s="223"/>
      <c r="W2975" s="223"/>
      <c r="X2975" s="223"/>
      <c r="Y2975" s="223"/>
      <c r="Z2975" s="223"/>
    </row>
    <row r="2976">
      <c r="A2976" s="223" t="str">
        <f>IFERROR(__xludf.DUMMYFUNCTION("""COMPUTED_VALUE"""),"The Sands : 10 Hour General Support Block")</f>
        <v>The Sands : 10 Hour General Support Block</v>
      </c>
      <c r="B2976" s="223" t="str">
        <f>IFERROR(__xludf.DUMMYFUNCTION("""COMPUTED_VALUE"""),"The Sands")</f>
        <v>The Sands</v>
      </c>
      <c r="C2976" s="223" t="str">
        <f>IFERROR(__xludf.DUMMYFUNCTION("""COMPUTED_VALUE"""),"10 Hour General Support Block")</f>
        <v>10 Hour General Support Block</v>
      </c>
      <c r="D2976" s="316">
        <f>IFERROR(__xludf.DUMMYFUNCTION("""COMPUTED_VALUE"""),45138.0)</f>
        <v>45138</v>
      </c>
      <c r="E2976" s="298"/>
      <c r="F2976" s="298"/>
      <c r="G2976" s="298"/>
      <c r="H2976" s="223"/>
      <c r="I2976" s="298">
        <f>IFERROR(__xludf.DUMMYFUNCTION("""COMPUTED_VALUE"""),5.56)</f>
        <v>5.56</v>
      </c>
      <c r="J2976" s="223" t="str">
        <f>IFERROR(__xludf.DUMMYFUNCTION("""COMPUTED_VALUE"""),"Fixed Project")</f>
        <v>Fixed Project</v>
      </c>
      <c r="K2976" s="317">
        <f>IFERROR(__xludf.DUMMYFUNCTION("""COMPUTED_VALUE"""),2023.0)</f>
        <v>2023</v>
      </c>
      <c r="L2976" s="298"/>
      <c r="M2976" s="223"/>
      <c r="N2976" s="223"/>
      <c r="O2976" s="223"/>
      <c r="P2976" s="223"/>
      <c r="Q2976" s="223"/>
      <c r="R2976" s="223"/>
      <c r="S2976" s="223"/>
      <c r="T2976" s="223"/>
      <c r="U2976" s="223"/>
      <c r="V2976" s="223"/>
      <c r="W2976" s="223"/>
      <c r="X2976" s="223"/>
      <c r="Y2976" s="223"/>
      <c r="Z2976" s="223"/>
    </row>
    <row r="2977">
      <c r="A2977" s="223" t="str">
        <f>IFERROR(__xludf.DUMMYFUNCTION("""COMPUTED_VALUE"""),"Tuscany : Monthly Services")</f>
        <v>Tuscany : Monthly Services</v>
      </c>
      <c r="B2977" s="223" t="str">
        <f>IFERROR(__xludf.DUMMYFUNCTION("""COMPUTED_VALUE"""),"Tuscany")</f>
        <v>Tuscany</v>
      </c>
      <c r="C2977" s="223" t="str">
        <f>IFERROR(__xludf.DUMMYFUNCTION("""COMPUTED_VALUE"""),"Monthly Services")</f>
        <v>Monthly Services</v>
      </c>
      <c r="D2977" s="316">
        <f>IFERROR(__xludf.DUMMYFUNCTION("""COMPUTED_VALUE"""),45138.0)</f>
        <v>45138</v>
      </c>
      <c r="E2977" s="298"/>
      <c r="F2977" s="298"/>
      <c r="G2977" s="298"/>
      <c r="H2977" s="223"/>
      <c r="I2977" s="298">
        <f>IFERROR(__xludf.DUMMYFUNCTION("""COMPUTED_VALUE"""),43.15)</f>
        <v>43.15</v>
      </c>
      <c r="J2977" s="223" t="str">
        <f>IFERROR(__xludf.DUMMYFUNCTION("""COMPUTED_VALUE"""),"Monthly")</f>
        <v>Monthly</v>
      </c>
      <c r="K2977" s="317">
        <f>IFERROR(__xludf.DUMMYFUNCTION("""COMPUTED_VALUE"""),2023.07)</f>
        <v>2023.07</v>
      </c>
      <c r="L2977" s="298"/>
      <c r="M2977" s="223"/>
      <c r="N2977" s="223"/>
      <c r="O2977" s="223"/>
      <c r="P2977" s="223"/>
      <c r="Q2977" s="223"/>
      <c r="R2977" s="223"/>
      <c r="S2977" s="223"/>
      <c r="T2977" s="223"/>
      <c r="U2977" s="223"/>
      <c r="V2977" s="223"/>
      <c r="W2977" s="223"/>
      <c r="X2977" s="223"/>
      <c r="Y2977" s="223"/>
      <c r="Z2977" s="223"/>
    </row>
    <row r="2978">
      <c r="A2978" s="223" t="str">
        <f>IFERROR(__xludf.DUMMYFUNCTION("""COMPUTED_VALUE"""),"Venetian : Monthly Services")</f>
        <v>Venetian : Monthly Services</v>
      </c>
      <c r="B2978" s="223" t="str">
        <f>IFERROR(__xludf.DUMMYFUNCTION("""COMPUTED_VALUE"""),"Venetian")</f>
        <v>Venetian</v>
      </c>
      <c r="C2978" s="223" t="str">
        <f>IFERROR(__xludf.DUMMYFUNCTION("""COMPUTED_VALUE"""),"Monthly Services")</f>
        <v>Monthly Services</v>
      </c>
      <c r="D2978" s="316">
        <f>IFERROR(__xludf.DUMMYFUNCTION("""COMPUTED_VALUE"""),45138.0)</f>
        <v>45138</v>
      </c>
      <c r="E2978" s="298"/>
      <c r="F2978" s="298"/>
      <c r="G2978" s="298"/>
      <c r="H2978" s="223"/>
      <c r="I2978" s="298">
        <f>IFERROR(__xludf.DUMMYFUNCTION("""COMPUTED_VALUE"""),5.63)</f>
        <v>5.63</v>
      </c>
      <c r="J2978" s="223" t="str">
        <f>IFERROR(__xludf.DUMMYFUNCTION("""COMPUTED_VALUE"""),"Monthly")</f>
        <v>Monthly</v>
      </c>
      <c r="K2978" s="317">
        <f>IFERROR(__xludf.DUMMYFUNCTION("""COMPUTED_VALUE"""),2023.07)</f>
        <v>2023.07</v>
      </c>
      <c r="L2978" s="298"/>
      <c r="M2978" s="223"/>
      <c r="N2978" s="223"/>
      <c r="O2978" s="223"/>
      <c r="P2978" s="223"/>
      <c r="Q2978" s="223"/>
      <c r="R2978" s="223"/>
      <c r="S2978" s="223"/>
      <c r="T2978" s="223"/>
      <c r="U2978" s="223"/>
      <c r="V2978" s="223"/>
      <c r="W2978" s="223"/>
      <c r="X2978" s="223"/>
      <c r="Y2978" s="223"/>
      <c r="Z2978" s="223"/>
    </row>
    <row r="2979">
      <c r="A2979" s="223" t="str">
        <f>IFERROR(__xludf.DUMMYFUNCTION("""COMPUTED_VALUE"""),"Acton ADU : Web Presence, SEO &amp; CRO Audit")</f>
        <v>Acton ADU : Web Presence, SEO &amp; CRO Audit</v>
      </c>
      <c r="B2979" s="223" t="str">
        <f>IFERROR(__xludf.DUMMYFUNCTION("""COMPUTED_VALUE"""),"Acton ADU")</f>
        <v>Acton ADU</v>
      </c>
      <c r="C2979" s="223" t="str">
        <f>IFERROR(__xludf.DUMMYFUNCTION("""COMPUTED_VALUE"""),"Web Presence, SEO &amp; CRO Audit")</f>
        <v>Web Presence, SEO &amp; CRO Audit</v>
      </c>
      <c r="D2979" s="316">
        <f>IFERROR(__xludf.DUMMYFUNCTION("""COMPUTED_VALUE"""),45169.0)</f>
        <v>45169</v>
      </c>
      <c r="E2979" s="298"/>
      <c r="F2979" s="298"/>
      <c r="G2979" s="298"/>
      <c r="H2979" s="223"/>
      <c r="I2979" s="298">
        <f>IFERROR(__xludf.DUMMYFUNCTION("""COMPUTED_VALUE"""),750.0)</f>
        <v>750</v>
      </c>
      <c r="J2979" s="223" t="str">
        <f>IFERROR(__xludf.DUMMYFUNCTION("""COMPUTED_VALUE"""),"Fixed Project")</f>
        <v>Fixed Project</v>
      </c>
      <c r="K2979" s="317">
        <f>IFERROR(__xludf.DUMMYFUNCTION("""COMPUTED_VALUE"""),2023.0)</f>
        <v>2023</v>
      </c>
      <c r="L2979" s="298"/>
      <c r="M2979" s="223"/>
      <c r="N2979" s="223"/>
      <c r="O2979" s="223"/>
      <c r="P2979" s="223"/>
      <c r="Q2979" s="223"/>
      <c r="R2979" s="223"/>
      <c r="S2979" s="223"/>
      <c r="T2979" s="223"/>
      <c r="U2979" s="223"/>
      <c r="V2979" s="223"/>
      <c r="W2979" s="223"/>
      <c r="X2979" s="223"/>
      <c r="Y2979" s="223"/>
      <c r="Z2979" s="223"/>
    </row>
    <row r="2980">
      <c r="A2980" s="223" t="str">
        <f>IFERROR(__xludf.DUMMYFUNCTION("""COMPUTED_VALUE"""),"Service First : Monthly Services")</f>
        <v>Service First : Monthly Services</v>
      </c>
      <c r="B2980" s="223" t="str">
        <f>IFERROR(__xludf.DUMMYFUNCTION("""COMPUTED_VALUE"""),"Service First")</f>
        <v>Service First</v>
      </c>
      <c r="C2980" s="223" t="str">
        <f>IFERROR(__xludf.DUMMYFUNCTION("""COMPUTED_VALUE"""),"Monthly Services")</f>
        <v>Monthly Services</v>
      </c>
      <c r="D2980" s="316">
        <f>IFERROR(__xludf.DUMMYFUNCTION("""COMPUTED_VALUE"""),45169.0)</f>
        <v>45169</v>
      </c>
      <c r="E2980" s="298"/>
      <c r="F2980" s="298"/>
      <c r="G2980" s="298"/>
      <c r="H2980" s="223"/>
      <c r="I2980" s="298">
        <f>IFERROR(__xludf.DUMMYFUNCTION("""COMPUTED_VALUE"""),137.5)</f>
        <v>137.5</v>
      </c>
      <c r="J2980" s="223" t="str">
        <f>IFERROR(__xludf.DUMMYFUNCTION("""COMPUTED_VALUE"""),"Monthly")</f>
        <v>Monthly</v>
      </c>
      <c r="K2980" s="317">
        <f>IFERROR(__xludf.DUMMYFUNCTION("""COMPUTED_VALUE"""),2023.08)</f>
        <v>2023.08</v>
      </c>
      <c r="L2980" s="298"/>
      <c r="M2980" s="223"/>
      <c r="N2980" s="223"/>
      <c r="O2980" s="223"/>
      <c r="P2980" s="223"/>
      <c r="Q2980" s="223"/>
      <c r="R2980" s="223"/>
      <c r="S2980" s="223"/>
      <c r="T2980" s="223"/>
      <c r="U2980" s="223"/>
      <c r="V2980" s="223"/>
      <c r="W2980" s="223"/>
      <c r="X2980" s="223"/>
      <c r="Y2980" s="223"/>
      <c r="Z2980" s="223"/>
    </row>
    <row r="2981">
      <c r="A2981" s="223" t="str">
        <f>IFERROR(__xludf.DUMMYFUNCTION("""COMPUTED_VALUE"""),"MortgagePal : Monthly Services")</f>
        <v>MortgagePal : Monthly Services</v>
      </c>
      <c r="B2981" s="223" t="str">
        <f>IFERROR(__xludf.DUMMYFUNCTION("""COMPUTED_VALUE"""),"MortgagePal")</f>
        <v>MortgagePal</v>
      </c>
      <c r="C2981" s="223" t="str">
        <f>IFERROR(__xludf.DUMMYFUNCTION("""COMPUTED_VALUE"""),"Monthly Services")</f>
        <v>Monthly Services</v>
      </c>
      <c r="D2981" s="316">
        <f>IFERROR(__xludf.DUMMYFUNCTION("""COMPUTED_VALUE"""),45169.0)</f>
        <v>45169</v>
      </c>
      <c r="E2981" s="298"/>
      <c r="F2981" s="298"/>
      <c r="G2981" s="298"/>
      <c r="H2981" s="223"/>
      <c r="I2981" s="298">
        <f>IFERROR(__xludf.DUMMYFUNCTION("""COMPUTED_VALUE"""),212.5)</f>
        <v>212.5</v>
      </c>
      <c r="J2981" s="223" t="str">
        <f>IFERROR(__xludf.DUMMYFUNCTION("""COMPUTED_VALUE"""),"Monthly")</f>
        <v>Monthly</v>
      </c>
      <c r="K2981" s="317">
        <f>IFERROR(__xludf.DUMMYFUNCTION("""COMPUTED_VALUE"""),2023.08)</f>
        <v>2023.08</v>
      </c>
      <c r="L2981" s="298"/>
      <c r="M2981" s="223"/>
      <c r="N2981" s="223"/>
      <c r="O2981" s="223"/>
      <c r="P2981" s="223"/>
      <c r="Q2981" s="223"/>
      <c r="R2981" s="223"/>
      <c r="S2981" s="223"/>
      <c r="T2981" s="223"/>
      <c r="U2981" s="223"/>
      <c r="V2981" s="223"/>
      <c r="W2981" s="223"/>
      <c r="X2981" s="223"/>
      <c r="Y2981" s="223"/>
      <c r="Z2981" s="223"/>
    </row>
    <row r="2982">
      <c r="A2982" s="223" t="str">
        <f>IFERROR(__xludf.DUMMYFUNCTION("""COMPUTED_VALUE"""),"Wallack's Art Supplies : Monthly Services")</f>
        <v>Wallack's Art Supplies : Monthly Services</v>
      </c>
      <c r="B2982" s="223" t="str">
        <f>IFERROR(__xludf.DUMMYFUNCTION("""COMPUTED_VALUE"""),"Wallack's Art Supplies")</f>
        <v>Wallack's Art Supplies</v>
      </c>
      <c r="C2982" s="223" t="str">
        <f>IFERROR(__xludf.DUMMYFUNCTION("""COMPUTED_VALUE"""),"Monthly Services")</f>
        <v>Monthly Services</v>
      </c>
      <c r="D2982" s="316">
        <f>IFERROR(__xludf.DUMMYFUNCTION("""COMPUTED_VALUE"""),45169.0)</f>
        <v>45169</v>
      </c>
      <c r="E2982" s="298"/>
      <c r="F2982" s="298"/>
      <c r="G2982" s="298"/>
      <c r="H2982" s="223"/>
      <c r="I2982" s="298">
        <f>IFERROR(__xludf.DUMMYFUNCTION("""COMPUTED_VALUE"""),287.5)</f>
        <v>287.5</v>
      </c>
      <c r="J2982" s="223" t="str">
        <f>IFERROR(__xludf.DUMMYFUNCTION("""COMPUTED_VALUE"""),"Monthly")</f>
        <v>Monthly</v>
      </c>
      <c r="K2982" s="317">
        <f>IFERROR(__xludf.DUMMYFUNCTION("""COMPUTED_VALUE"""),2023.08)</f>
        <v>2023.08</v>
      </c>
      <c r="L2982" s="298"/>
      <c r="M2982" s="223"/>
      <c r="N2982" s="223"/>
      <c r="O2982" s="223"/>
      <c r="P2982" s="223"/>
      <c r="Q2982" s="223"/>
      <c r="R2982" s="223"/>
      <c r="S2982" s="223"/>
      <c r="T2982" s="223"/>
      <c r="U2982" s="223"/>
      <c r="V2982" s="223"/>
      <c r="W2982" s="223"/>
      <c r="X2982" s="223"/>
      <c r="Y2982" s="223"/>
      <c r="Z2982" s="223"/>
    </row>
    <row r="2983">
      <c r="A2983" s="223" t="str">
        <f>IFERROR(__xludf.DUMMYFUNCTION("""COMPUTED_VALUE"""),"Anook Athletics : Monthly Services")</f>
        <v>Anook Athletics : Monthly Services</v>
      </c>
      <c r="B2983" s="223" t="str">
        <f>IFERROR(__xludf.DUMMYFUNCTION("""COMPUTED_VALUE"""),"Anook Athletics")</f>
        <v>Anook Athletics</v>
      </c>
      <c r="C2983" s="223" t="str">
        <f>IFERROR(__xludf.DUMMYFUNCTION("""COMPUTED_VALUE"""),"Monthly Services")</f>
        <v>Monthly Services</v>
      </c>
      <c r="D2983" s="316">
        <f>IFERROR(__xludf.DUMMYFUNCTION("""COMPUTED_VALUE"""),45169.0)</f>
        <v>45169</v>
      </c>
      <c r="E2983" s="298"/>
      <c r="F2983" s="298"/>
      <c r="G2983" s="298"/>
      <c r="H2983" s="223"/>
      <c r="I2983" s="298">
        <f>IFERROR(__xludf.DUMMYFUNCTION("""COMPUTED_VALUE"""),300.0)</f>
        <v>300</v>
      </c>
      <c r="J2983" s="223" t="str">
        <f>IFERROR(__xludf.DUMMYFUNCTION("""COMPUTED_VALUE"""),"Monthly")</f>
        <v>Monthly</v>
      </c>
      <c r="K2983" s="317">
        <f>IFERROR(__xludf.DUMMYFUNCTION("""COMPUTED_VALUE"""),2023.08)</f>
        <v>2023.08</v>
      </c>
      <c r="L2983" s="298"/>
      <c r="M2983" s="223"/>
      <c r="N2983" s="223"/>
      <c r="O2983" s="223"/>
      <c r="P2983" s="223"/>
      <c r="Q2983" s="223"/>
      <c r="R2983" s="223"/>
      <c r="S2983" s="223"/>
      <c r="T2983" s="223"/>
      <c r="U2983" s="223"/>
      <c r="V2983" s="223"/>
      <c r="W2983" s="223"/>
      <c r="X2983" s="223"/>
      <c r="Y2983" s="223"/>
      <c r="Z2983" s="223"/>
    </row>
    <row r="2984">
      <c r="A2984" s="223" t="str">
        <f>IFERROR(__xludf.DUMMYFUNCTION("""COMPUTED_VALUE"""),"PMDI : Monthly Services")</f>
        <v>PMDI : Monthly Services</v>
      </c>
      <c r="B2984" s="223" t="str">
        <f>IFERROR(__xludf.DUMMYFUNCTION("""COMPUTED_VALUE"""),"PMDI")</f>
        <v>PMDI</v>
      </c>
      <c r="C2984" s="223" t="str">
        <f>IFERROR(__xludf.DUMMYFUNCTION("""COMPUTED_VALUE"""),"Monthly Services")</f>
        <v>Monthly Services</v>
      </c>
      <c r="D2984" s="316">
        <f>IFERROR(__xludf.DUMMYFUNCTION("""COMPUTED_VALUE"""),45169.0)</f>
        <v>45169</v>
      </c>
      <c r="E2984" s="298"/>
      <c r="F2984" s="298"/>
      <c r="G2984" s="298"/>
      <c r="H2984" s="223"/>
      <c r="I2984" s="298">
        <f>IFERROR(__xludf.DUMMYFUNCTION("""COMPUTED_VALUE"""),150.0)</f>
        <v>150</v>
      </c>
      <c r="J2984" s="223" t="str">
        <f>IFERROR(__xludf.DUMMYFUNCTION("""COMPUTED_VALUE"""),"Monthly")</f>
        <v>Monthly</v>
      </c>
      <c r="K2984" s="317">
        <f>IFERROR(__xludf.DUMMYFUNCTION("""COMPUTED_VALUE"""),2023.08)</f>
        <v>2023.08</v>
      </c>
      <c r="L2984" s="298"/>
      <c r="M2984" s="223"/>
      <c r="N2984" s="223"/>
      <c r="O2984" s="223"/>
      <c r="P2984" s="223"/>
      <c r="Q2984" s="223"/>
      <c r="R2984" s="223"/>
      <c r="S2984" s="223"/>
      <c r="T2984" s="223"/>
      <c r="U2984" s="223"/>
      <c r="V2984" s="223"/>
      <c r="W2984" s="223"/>
      <c r="X2984" s="223"/>
      <c r="Y2984" s="223"/>
      <c r="Z2984" s="223"/>
    </row>
    <row r="2985">
      <c r="A2985" s="223" t="str">
        <f>IFERROR(__xludf.DUMMYFUNCTION("""COMPUTED_VALUE"""),"Big Hammer Wines : Monthly PPC")</f>
        <v>Big Hammer Wines : Monthly PPC</v>
      </c>
      <c r="B2985" s="223" t="str">
        <f>IFERROR(__xludf.DUMMYFUNCTION("""COMPUTED_VALUE"""),"Big Hammer Wines")</f>
        <v>Big Hammer Wines</v>
      </c>
      <c r="C2985" s="223" t="str">
        <f>IFERROR(__xludf.DUMMYFUNCTION("""COMPUTED_VALUE"""),"Monthly PPC")</f>
        <v>Monthly PPC</v>
      </c>
      <c r="D2985" s="316">
        <f>IFERROR(__xludf.DUMMYFUNCTION("""COMPUTED_VALUE"""),45169.0)</f>
        <v>45169</v>
      </c>
      <c r="E2985" s="298"/>
      <c r="F2985" s="298"/>
      <c r="G2985" s="298"/>
      <c r="H2985" s="223"/>
      <c r="I2985" s="298">
        <f>IFERROR(__xludf.DUMMYFUNCTION("""COMPUTED_VALUE"""),262.5)</f>
        <v>262.5</v>
      </c>
      <c r="J2985" s="223" t="str">
        <f>IFERROR(__xludf.DUMMYFUNCTION("""COMPUTED_VALUE"""),"Monthly")</f>
        <v>Monthly</v>
      </c>
      <c r="K2985" s="317">
        <f>IFERROR(__xludf.DUMMYFUNCTION("""COMPUTED_VALUE"""),2023.08)</f>
        <v>2023.08</v>
      </c>
      <c r="L2985" s="298"/>
      <c r="M2985" s="223"/>
      <c r="N2985" s="223"/>
      <c r="O2985" s="223"/>
      <c r="P2985" s="223"/>
      <c r="Q2985" s="223"/>
      <c r="R2985" s="223"/>
      <c r="S2985" s="223"/>
      <c r="T2985" s="223"/>
      <c r="U2985" s="223"/>
      <c r="V2985" s="223"/>
      <c r="W2985" s="223"/>
      <c r="X2985" s="223"/>
      <c r="Y2985" s="223"/>
      <c r="Z2985" s="223"/>
    </row>
    <row r="2986">
      <c r="A2986" s="223" t="str">
        <f>IFERROR(__xludf.DUMMYFUNCTION("""COMPUTED_VALUE"""),"Halo Programs : Monthly PPC")</f>
        <v>Halo Programs : Monthly PPC</v>
      </c>
      <c r="B2986" s="223" t="str">
        <f>IFERROR(__xludf.DUMMYFUNCTION("""COMPUTED_VALUE"""),"Halo Programs")</f>
        <v>Halo Programs</v>
      </c>
      <c r="C2986" s="223" t="str">
        <f>IFERROR(__xludf.DUMMYFUNCTION("""COMPUTED_VALUE"""),"Monthly PPC")</f>
        <v>Monthly PPC</v>
      </c>
      <c r="D2986" s="316">
        <f>IFERROR(__xludf.DUMMYFUNCTION("""COMPUTED_VALUE"""),45169.0)</f>
        <v>45169</v>
      </c>
      <c r="E2986" s="298"/>
      <c r="F2986" s="298"/>
      <c r="G2986" s="298"/>
      <c r="H2986" s="223"/>
      <c r="I2986" s="298">
        <f>IFERROR(__xludf.DUMMYFUNCTION("""COMPUTED_VALUE"""),225.0)</f>
        <v>225</v>
      </c>
      <c r="J2986" s="223" t="str">
        <f>IFERROR(__xludf.DUMMYFUNCTION("""COMPUTED_VALUE"""),"Monthly")</f>
        <v>Monthly</v>
      </c>
      <c r="K2986" s="317">
        <f>IFERROR(__xludf.DUMMYFUNCTION("""COMPUTED_VALUE"""),2023.08)</f>
        <v>2023.08</v>
      </c>
      <c r="L2986" s="298"/>
      <c r="M2986" s="223"/>
      <c r="N2986" s="223"/>
      <c r="O2986" s="223"/>
      <c r="P2986" s="223"/>
      <c r="Q2986" s="223"/>
      <c r="R2986" s="223"/>
      <c r="S2986" s="223"/>
      <c r="T2986" s="223"/>
      <c r="U2986" s="223"/>
      <c r="V2986" s="223"/>
      <c r="W2986" s="223"/>
      <c r="X2986" s="223"/>
      <c r="Y2986" s="223"/>
      <c r="Z2986" s="223"/>
    </row>
    <row r="2987">
      <c r="A2987" s="223" t="str">
        <f>IFERROR(__xludf.DUMMYFUNCTION("""COMPUTED_VALUE"""),"Ultimate Tools : Monthly SEO &amp; PPC Management")</f>
        <v>Ultimate Tools : Monthly SEO &amp; PPC Management</v>
      </c>
      <c r="B2987" s="223" t="str">
        <f>IFERROR(__xludf.DUMMYFUNCTION("""COMPUTED_VALUE"""),"Ultimate Tools")</f>
        <v>Ultimate Tools</v>
      </c>
      <c r="C2987" s="223" t="str">
        <f>IFERROR(__xludf.DUMMYFUNCTION("""COMPUTED_VALUE"""),"Monthly SEO &amp; PPC Management")</f>
        <v>Monthly SEO &amp; PPC Management</v>
      </c>
      <c r="D2987" s="316">
        <f>IFERROR(__xludf.DUMMYFUNCTION("""COMPUTED_VALUE"""),45169.0)</f>
        <v>45169</v>
      </c>
      <c r="E2987" s="298"/>
      <c r="F2987" s="298"/>
      <c r="G2987" s="298"/>
      <c r="H2987" s="223"/>
      <c r="I2987" s="298">
        <f>IFERROR(__xludf.DUMMYFUNCTION("""COMPUTED_VALUE"""),550.0)</f>
        <v>550</v>
      </c>
      <c r="J2987" s="223" t="str">
        <f>IFERROR(__xludf.DUMMYFUNCTION("""COMPUTED_VALUE"""),"Monthly")</f>
        <v>Monthly</v>
      </c>
      <c r="K2987" s="317">
        <f>IFERROR(__xludf.DUMMYFUNCTION("""COMPUTED_VALUE"""),2023.08)</f>
        <v>2023.08</v>
      </c>
      <c r="L2987" s="298"/>
      <c r="M2987" s="223"/>
      <c r="N2987" s="223"/>
      <c r="O2987" s="223"/>
      <c r="P2987" s="223"/>
      <c r="Q2987" s="223"/>
      <c r="R2987" s="223"/>
      <c r="S2987" s="223"/>
      <c r="T2987" s="223"/>
      <c r="U2987" s="223"/>
      <c r="V2987" s="223"/>
      <c r="W2987" s="223"/>
      <c r="X2987" s="223"/>
      <c r="Y2987" s="223"/>
      <c r="Z2987" s="223"/>
    </row>
    <row r="2988">
      <c r="A2988" s="223" t="str">
        <f>IFERROR(__xludf.DUMMYFUNCTION("""COMPUTED_VALUE"""),"GreenLane Offroad : Monthly Ads Support")</f>
        <v>GreenLane Offroad : Monthly Ads Support</v>
      </c>
      <c r="B2988" s="223" t="str">
        <f>IFERROR(__xludf.DUMMYFUNCTION("""COMPUTED_VALUE"""),"GreenLane Offroad")</f>
        <v>GreenLane Offroad</v>
      </c>
      <c r="C2988" s="223" t="str">
        <f>IFERROR(__xludf.DUMMYFUNCTION("""COMPUTED_VALUE"""),"Monthly Ads Support")</f>
        <v>Monthly Ads Support</v>
      </c>
      <c r="D2988" s="316">
        <f>IFERROR(__xludf.DUMMYFUNCTION("""COMPUTED_VALUE"""),45169.0)</f>
        <v>45169</v>
      </c>
      <c r="E2988" s="298"/>
      <c r="F2988" s="298"/>
      <c r="G2988" s="298"/>
      <c r="H2988" s="223"/>
      <c r="I2988" s="298">
        <f>IFERROR(__xludf.DUMMYFUNCTION("""COMPUTED_VALUE"""),250.0)</f>
        <v>250</v>
      </c>
      <c r="J2988" s="223" t="str">
        <f>IFERROR(__xludf.DUMMYFUNCTION("""COMPUTED_VALUE"""),"Monthly")</f>
        <v>Monthly</v>
      </c>
      <c r="K2988" s="317">
        <f>IFERROR(__xludf.DUMMYFUNCTION("""COMPUTED_VALUE"""),2023.08)</f>
        <v>2023.08</v>
      </c>
      <c r="L2988" s="298"/>
      <c r="M2988" s="223"/>
      <c r="N2988" s="223"/>
      <c r="O2988" s="223"/>
      <c r="P2988" s="223"/>
      <c r="Q2988" s="223"/>
      <c r="R2988" s="223"/>
      <c r="S2988" s="223"/>
      <c r="T2988" s="223"/>
      <c r="U2988" s="223"/>
      <c r="V2988" s="223"/>
      <c r="W2988" s="223"/>
      <c r="X2988" s="223"/>
      <c r="Y2988" s="223"/>
      <c r="Z2988" s="223"/>
    </row>
    <row r="2989">
      <c r="K2989" s="317"/>
    </row>
    <row r="2990">
      <c r="K2990" s="317"/>
    </row>
    <row r="2991">
      <c r="K2991" s="317"/>
    </row>
    <row r="2992">
      <c r="K2992" s="317"/>
    </row>
    <row r="2993">
      <c r="K2993" s="317"/>
    </row>
    <row r="2994">
      <c r="K2994" s="317"/>
    </row>
    <row r="2995">
      <c r="K2995" s="317"/>
    </row>
    <row r="2996">
      <c r="K2996" s="317"/>
    </row>
    <row r="2997">
      <c r="K2997" s="317"/>
    </row>
    <row r="2998">
      <c r="K2998" s="317"/>
    </row>
    <row r="2999">
      <c r="K2999" s="317"/>
    </row>
    <row r="3000">
      <c r="K3000" s="317"/>
    </row>
    <row r="3001">
      <c r="K3001" s="317"/>
    </row>
    <row r="3002">
      <c r="K3002" s="317"/>
    </row>
    <row r="3003">
      <c r="K3003" s="317"/>
    </row>
    <row r="3004">
      <c r="K3004" s="317"/>
    </row>
    <row r="3005">
      <c r="K3005" s="317"/>
    </row>
    <row r="3006">
      <c r="K3006" s="317"/>
    </row>
    <row r="3007">
      <c r="K3007" s="317"/>
    </row>
    <row r="3008">
      <c r="K3008" s="317"/>
    </row>
    <row r="3009">
      <c r="K3009" s="317"/>
    </row>
    <row r="3010">
      <c r="K3010" s="317"/>
    </row>
    <row r="3011">
      <c r="K3011" s="317"/>
    </row>
    <row r="3012">
      <c r="K3012" s="317"/>
    </row>
    <row r="3013">
      <c r="K3013" s="317"/>
    </row>
    <row r="3014">
      <c r="K3014" s="317"/>
    </row>
    <row r="3015">
      <c r="K3015" s="317"/>
    </row>
    <row r="3016">
      <c r="K3016" s="317"/>
    </row>
    <row r="3017">
      <c r="K3017" s="317"/>
    </row>
    <row r="3018">
      <c r="K3018" s="317"/>
    </row>
    <row r="3019">
      <c r="K3019" s="317"/>
    </row>
    <row r="3020">
      <c r="K3020" s="317"/>
    </row>
    <row r="3021">
      <c r="K3021" s="317"/>
    </row>
    <row r="3022">
      <c r="K3022" s="317"/>
    </row>
    <row r="3023">
      <c r="K3023" s="317"/>
    </row>
    <row r="3024">
      <c r="K3024" s="317"/>
    </row>
    <row r="3025">
      <c r="K3025" s="317"/>
    </row>
    <row r="3026">
      <c r="K3026" s="317"/>
    </row>
    <row r="3027">
      <c r="K3027" s="317"/>
    </row>
    <row r="3028">
      <c r="K3028" s="317"/>
    </row>
    <row r="3029">
      <c r="K3029" s="317"/>
    </row>
    <row r="3030">
      <c r="K3030" s="317"/>
    </row>
    <row r="3031">
      <c r="K3031" s="317"/>
    </row>
    <row r="3032">
      <c r="K3032" s="317"/>
    </row>
    <row r="3033">
      <c r="K3033" s="317"/>
    </row>
    <row r="3034">
      <c r="K3034" s="317"/>
    </row>
    <row r="3035">
      <c r="K3035" s="317"/>
    </row>
    <row r="3036">
      <c r="K3036" s="317"/>
    </row>
    <row r="3037">
      <c r="K3037" s="317"/>
    </row>
    <row r="3038">
      <c r="K3038" s="317"/>
    </row>
    <row r="3039">
      <c r="K3039" s="317"/>
    </row>
    <row r="3040">
      <c r="K3040" s="317"/>
    </row>
    <row r="3041">
      <c r="K3041" s="317"/>
    </row>
    <row r="3042">
      <c r="K3042" s="317"/>
    </row>
    <row r="3043">
      <c r="K3043" s="317"/>
    </row>
    <row r="3044">
      <c r="K3044" s="317"/>
    </row>
    <row r="3045">
      <c r="K3045" s="317"/>
    </row>
    <row r="3046">
      <c r="K3046" s="317"/>
    </row>
    <row r="3047">
      <c r="K3047" s="317"/>
    </row>
    <row r="3048">
      <c r="K3048" s="317"/>
    </row>
    <row r="3049">
      <c r="K3049" s="317"/>
    </row>
    <row r="3050">
      <c r="K3050" s="317"/>
    </row>
    <row r="3051">
      <c r="K3051" s="317"/>
    </row>
    <row r="3052">
      <c r="K3052" s="317"/>
    </row>
    <row r="3053">
      <c r="K3053" s="317"/>
    </row>
    <row r="3054">
      <c r="K3054" s="317"/>
    </row>
    <row r="3055">
      <c r="K3055" s="317"/>
    </row>
    <row r="3056">
      <c r="K3056" s="317"/>
    </row>
    <row r="3057">
      <c r="K3057" s="317"/>
    </row>
    <row r="3058">
      <c r="K3058" s="317"/>
    </row>
    <row r="3059">
      <c r="K3059" s="317"/>
    </row>
    <row r="3060">
      <c r="K3060" s="317"/>
    </row>
    <row r="3061">
      <c r="K3061" s="317"/>
    </row>
    <row r="3062">
      <c r="K3062" s="317"/>
    </row>
    <row r="3063">
      <c r="K3063" s="317"/>
    </row>
    <row r="3064">
      <c r="K3064" s="317"/>
    </row>
    <row r="3065">
      <c r="K3065" s="317"/>
    </row>
    <row r="3066">
      <c r="K3066" s="317"/>
    </row>
    <row r="3067">
      <c r="K3067" s="317"/>
    </row>
    <row r="3068">
      <c r="K3068" s="317"/>
    </row>
    <row r="3069">
      <c r="K3069" s="317"/>
    </row>
    <row r="3070">
      <c r="K3070" s="317"/>
    </row>
    <row r="3071">
      <c r="K3071" s="317"/>
    </row>
    <row r="3072">
      <c r="K3072" s="317"/>
    </row>
    <row r="3073">
      <c r="K3073" s="317"/>
    </row>
    <row r="3074">
      <c r="K3074" s="317"/>
    </row>
    <row r="3075">
      <c r="K3075" s="317"/>
    </row>
    <row r="3076">
      <c r="K3076" s="317"/>
    </row>
    <row r="3077">
      <c r="K3077" s="317"/>
    </row>
    <row r="3078">
      <c r="K3078" s="317"/>
    </row>
    <row r="3079">
      <c r="K3079" s="317"/>
    </row>
    <row r="3080">
      <c r="K3080" s="317"/>
    </row>
    <row r="3081">
      <c r="K3081" s="317"/>
    </row>
    <row r="3082">
      <c r="K3082" s="317"/>
    </row>
    <row r="3083">
      <c r="K3083" s="317"/>
    </row>
    <row r="3084">
      <c r="K3084" s="317"/>
    </row>
    <row r="3085">
      <c r="K3085" s="317"/>
    </row>
    <row r="3086">
      <c r="K3086" s="317"/>
    </row>
    <row r="3087">
      <c r="K3087" s="317"/>
    </row>
    <row r="3088">
      <c r="K3088" s="317"/>
    </row>
    <row r="3089">
      <c r="K3089" s="317"/>
    </row>
    <row r="3090">
      <c r="K3090" s="317"/>
    </row>
    <row r="3091">
      <c r="K3091" s="317"/>
    </row>
    <row r="3092">
      <c r="K3092" s="317"/>
    </row>
    <row r="3093">
      <c r="K3093" s="317"/>
    </row>
    <row r="3094">
      <c r="K3094" s="317"/>
    </row>
    <row r="3095">
      <c r="K3095" s="317"/>
    </row>
    <row r="3096">
      <c r="K3096" s="317"/>
    </row>
    <row r="3097">
      <c r="K3097" s="317"/>
    </row>
    <row r="3098">
      <c r="K3098" s="317"/>
    </row>
    <row r="3099">
      <c r="K3099" s="317"/>
    </row>
    <row r="3100">
      <c r="K3100" s="317"/>
    </row>
    <row r="3101">
      <c r="K3101" s="317"/>
    </row>
    <row r="3102">
      <c r="K3102" s="317"/>
    </row>
    <row r="3103">
      <c r="K3103" s="317"/>
    </row>
    <row r="3104">
      <c r="K3104" s="317"/>
    </row>
    <row r="3105">
      <c r="K3105" s="317"/>
    </row>
    <row r="3106">
      <c r="K3106" s="317"/>
    </row>
    <row r="3107">
      <c r="K3107" s="317"/>
    </row>
    <row r="3108">
      <c r="K3108" s="317"/>
    </row>
    <row r="3109">
      <c r="K3109" s="317"/>
    </row>
    <row r="3110">
      <c r="K3110" s="317"/>
    </row>
    <row r="3111">
      <c r="K3111" s="317"/>
    </row>
    <row r="3112">
      <c r="K3112" s="317"/>
    </row>
    <row r="3113">
      <c r="K3113" s="317"/>
    </row>
    <row r="3114">
      <c r="K3114" s="317"/>
    </row>
    <row r="3115">
      <c r="K3115" s="317"/>
    </row>
    <row r="3116">
      <c r="K3116" s="317"/>
    </row>
    <row r="3117">
      <c r="K3117" s="317"/>
    </row>
    <row r="3118">
      <c r="K3118" s="317"/>
    </row>
    <row r="3119">
      <c r="K3119" s="317"/>
    </row>
    <row r="3120">
      <c r="K3120" s="317"/>
    </row>
    <row r="3121">
      <c r="K3121" s="317"/>
    </row>
    <row r="3122">
      <c r="K3122" s="317"/>
    </row>
    <row r="3123">
      <c r="K3123" s="317"/>
    </row>
    <row r="3124">
      <c r="K3124" s="317"/>
    </row>
    <row r="3125">
      <c r="K3125" s="317"/>
    </row>
    <row r="3126">
      <c r="K3126" s="317"/>
    </row>
    <row r="3127">
      <c r="K3127" s="317"/>
    </row>
    <row r="3128">
      <c r="K3128" s="317"/>
    </row>
    <row r="3129">
      <c r="K3129" s="317"/>
    </row>
    <row r="3130">
      <c r="K3130" s="317"/>
    </row>
    <row r="3131">
      <c r="K3131" s="317"/>
    </row>
    <row r="3132">
      <c r="K3132" s="317"/>
    </row>
    <row r="3133">
      <c r="K3133" s="317"/>
    </row>
    <row r="3134">
      <c r="K3134" s="317"/>
    </row>
    <row r="3135">
      <c r="K3135" s="317"/>
    </row>
    <row r="3136">
      <c r="K3136" s="317"/>
    </row>
    <row r="3137">
      <c r="K3137" s="317"/>
    </row>
    <row r="3138">
      <c r="K3138" s="317"/>
    </row>
    <row r="3139">
      <c r="K3139" s="317"/>
    </row>
    <row r="3140">
      <c r="K3140" s="317"/>
    </row>
    <row r="3141">
      <c r="K3141" s="317"/>
    </row>
    <row r="3142">
      <c r="K3142" s="317"/>
    </row>
    <row r="3143">
      <c r="K3143" s="317"/>
    </row>
    <row r="3144">
      <c r="K3144" s="317"/>
    </row>
    <row r="3145">
      <c r="K3145" s="317"/>
    </row>
    <row r="3146">
      <c r="K3146" s="317"/>
    </row>
    <row r="3147">
      <c r="K3147" s="317"/>
    </row>
    <row r="3148">
      <c r="K3148" s="317"/>
    </row>
    <row r="3149">
      <c r="K3149" s="317"/>
    </row>
    <row r="3150">
      <c r="K3150" s="317"/>
    </row>
    <row r="3151">
      <c r="K3151" s="317"/>
    </row>
    <row r="3152">
      <c r="K3152" s="317"/>
    </row>
    <row r="3153">
      <c r="K3153" s="317"/>
    </row>
    <row r="3154">
      <c r="K3154" s="317"/>
    </row>
    <row r="3155">
      <c r="K3155" s="317"/>
    </row>
    <row r="3156">
      <c r="K3156" s="317"/>
    </row>
    <row r="3157">
      <c r="K3157" s="317"/>
    </row>
    <row r="3158">
      <c r="K3158" s="317"/>
    </row>
    <row r="3159">
      <c r="K3159" s="317"/>
    </row>
    <row r="3160">
      <c r="K3160" s="317"/>
    </row>
    <row r="3161">
      <c r="K3161" s="317"/>
    </row>
    <row r="3162">
      <c r="K3162" s="317"/>
    </row>
    <row r="3163">
      <c r="K3163" s="317"/>
    </row>
    <row r="3164">
      <c r="K3164" s="317"/>
    </row>
    <row r="3165">
      <c r="K3165" s="317"/>
    </row>
    <row r="3166">
      <c r="K3166" s="317"/>
    </row>
    <row r="3167">
      <c r="K3167" s="317"/>
    </row>
    <row r="3168">
      <c r="K3168" s="317"/>
    </row>
    <row r="3169">
      <c r="K3169" s="317"/>
    </row>
    <row r="3170">
      <c r="K3170" s="317"/>
    </row>
    <row r="3171">
      <c r="K3171" s="317"/>
    </row>
    <row r="3172">
      <c r="K3172" s="317"/>
    </row>
    <row r="3173">
      <c r="K3173" s="317"/>
    </row>
    <row r="3174">
      <c r="K3174" s="317"/>
    </row>
    <row r="3175">
      <c r="K3175" s="317"/>
    </row>
    <row r="3176">
      <c r="K3176" s="317"/>
    </row>
    <row r="3177">
      <c r="K3177" s="317"/>
    </row>
    <row r="3178">
      <c r="K3178" s="317"/>
    </row>
    <row r="3179">
      <c r="K3179" s="317"/>
    </row>
    <row r="3180">
      <c r="K3180" s="317"/>
    </row>
    <row r="3181">
      <c r="K3181" s="317"/>
    </row>
    <row r="3182">
      <c r="K3182" s="317"/>
    </row>
    <row r="3183">
      <c r="K3183" s="317"/>
    </row>
    <row r="3184">
      <c r="K3184" s="317"/>
    </row>
    <row r="3185">
      <c r="K3185" s="317"/>
    </row>
    <row r="3186">
      <c r="K3186" s="317"/>
    </row>
    <row r="3187">
      <c r="K3187" s="317"/>
    </row>
    <row r="3188">
      <c r="K3188" s="317"/>
    </row>
    <row r="3189">
      <c r="K3189" s="317"/>
    </row>
    <row r="3190">
      <c r="K3190" s="317"/>
    </row>
    <row r="3191">
      <c r="K3191" s="317"/>
    </row>
    <row r="3192">
      <c r="K3192" s="317"/>
    </row>
    <row r="3193">
      <c r="K3193" s="317"/>
    </row>
    <row r="3194">
      <c r="K3194" s="317"/>
    </row>
    <row r="3195">
      <c r="K3195" s="317"/>
    </row>
    <row r="3196">
      <c r="K3196" s="317"/>
    </row>
    <row r="3197">
      <c r="K3197" s="317"/>
    </row>
    <row r="3198">
      <c r="K3198" s="317"/>
    </row>
    <row r="3199">
      <c r="K3199" s="317"/>
    </row>
    <row r="3200">
      <c r="K3200" s="317"/>
    </row>
    <row r="3201">
      <c r="K3201" s="317"/>
    </row>
    <row r="3202">
      <c r="K3202" s="317"/>
    </row>
    <row r="3203">
      <c r="K3203" s="317"/>
    </row>
    <row r="3204">
      <c r="K3204" s="317"/>
    </row>
    <row r="3205">
      <c r="K3205" s="317"/>
    </row>
    <row r="3206">
      <c r="K3206" s="317"/>
    </row>
    <row r="3207">
      <c r="K3207" s="317"/>
    </row>
    <row r="3208">
      <c r="K3208" s="317"/>
    </row>
    <row r="3209">
      <c r="K3209" s="317"/>
    </row>
    <row r="3210">
      <c r="K3210" s="317"/>
    </row>
    <row r="3211">
      <c r="K3211" s="317"/>
    </row>
    <row r="3212">
      <c r="K3212" s="317"/>
    </row>
    <row r="3213">
      <c r="K3213" s="317"/>
    </row>
    <row r="3214">
      <c r="K3214" s="317"/>
    </row>
    <row r="3215">
      <c r="K3215" s="317"/>
    </row>
    <row r="3216">
      <c r="K3216" s="317"/>
    </row>
    <row r="3217">
      <c r="K3217" s="317"/>
    </row>
    <row r="3218">
      <c r="K3218" s="317"/>
    </row>
    <row r="3219">
      <c r="K3219" s="317"/>
    </row>
    <row r="3220">
      <c r="K3220" s="317"/>
    </row>
    <row r="3221">
      <c r="K3221" s="317"/>
    </row>
    <row r="3222">
      <c r="K3222" s="317"/>
    </row>
    <row r="3223">
      <c r="K3223" s="317"/>
    </row>
    <row r="3224">
      <c r="K3224" s="317"/>
    </row>
    <row r="3225">
      <c r="K3225" s="317"/>
    </row>
    <row r="3226">
      <c r="K3226" s="317"/>
    </row>
    <row r="3227">
      <c r="K3227" s="317"/>
    </row>
    <row r="3228">
      <c r="K3228" s="317"/>
    </row>
    <row r="3229">
      <c r="K3229" s="317"/>
    </row>
    <row r="3230">
      <c r="K3230" s="317"/>
    </row>
    <row r="3231">
      <c r="K3231" s="317"/>
    </row>
    <row r="3232">
      <c r="K3232" s="317"/>
    </row>
    <row r="3233">
      <c r="K3233" s="317"/>
    </row>
    <row r="3234">
      <c r="K3234" s="317"/>
    </row>
    <row r="3235">
      <c r="K3235" s="317"/>
    </row>
    <row r="3236">
      <c r="K3236" s="317"/>
    </row>
    <row r="3237">
      <c r="K3237" s="317"/>
    </row>
    <row r="3238">
      <c r="K3238" s="317"/>
    </row>
    <row r="3239">
      <c r="K3239" s="317"/>
    </row>
    <row r="3240">
      <c r="K3240" s="317"/>
    </row>
    <row r="3241">
      <c r="K3241" s="317"/>
    </row>
    <row r="3242">
      <c r="K3242" s="317"/>
    </row>
    <row r="3243">
      <c r="K3243" s="317"/>
    </row>
    <row r="3244">
      <c r="K3244" s="317"/>
    </row>
    <row r="3245">
      <c r="K3245" s="317"/>
    </row>
    <row r="3246">
      <c r="K3246" s="317"/>
    </row>
    <row r="3247">
      <c r="K3247" s="317"/>
    </row>
    <row r="3248">
      <c r="K3248" s="317"/>
    </row>
    <row r="3249">
      <c r="K3249" s="317"/>
    </row>
    <row r="3250">
      <c r="K3250" s="317"/>
    </row>
    <row r="3251">
      <c r="K3251" s="317"/>
    </row>
    <row r="3252">
      <c r="K3252" s="317"/>
    </row>
    <row r="3253">
      <c r="K3253" s="317"/>
    </row>
    <row r="3254">
      <c r="K3254" s="317"/>
    </row>
    <row r="3255">
      <c r="K3255" s="317"/>
    </row>
    <row r="3256">
      <c r="K3256" s="317"/>
    </row>
    <row r="3257">
      <c r="K3257" s="317"/>
    </row>
    <row r="3258">
      <c r="K3258" s="317"/>
    </row>
    <row r="3259">
      <c r="K3259" s="317"/>
    </row>
    <row r="3260">
      <c r="K3260" s="317"/>
    </row>
    <row r="3261">
      <c r="K3261" s="317"/>
    </row>
    <row r="3262">
      <c r="K3262" s="317"/>
    </row>
    <row r="3263">
      <c r="K3263" s="317"/>
    </row>
    <row r="3264">
      <c r="K3264" s="317"/>
    </row>
    <row r="3265">
      <c r="K3265" s="317"/>
    </row>
    <row r="3266">
      <c r="K3266" s="317"/>
    </row>
    <row r="3267">
      <c r="K3267" s="317"/>
    </row>
    <row r="3268">
      <c r="K3268" s="317"/>
    </row>
    <row r="3269">
      <c r="K3269" s="317"/>
    </row>
    <row r="3270">
      <c r="K3270" s="317"/>
    </row>
    <row r="3271">
      <c r="K3271" s="317"/>
    </row>
    <row r="3272">
      <c r="K3272" s="317"/>
    </row>
    <row r="3273">
      <c r="K3273" s="317"/>
    </row>
    <row r="3274">
      <c r="K3274" s="317"/>
    </row>
    <row r="3275">
      <c r="K3275" s="317"/>
    </row>
    <row r="3276">
      <c r="K3276" s="317"/>
    </row>
    <row r="3277">
      <c r="K3277" s="317"/>
    </row>
    <row r="3278">
      <c r="K3278" s="317"/>
    </row>
    <row r="3279">
      <c r="K3279" s="317"/>
    </row>
    <row r="3280">
      <c r="K3280" s="317"/>
    </row>
    <row r="3281">
      <c r="K3281" s="317"/>
    </row>
    <row r="3282">
      <c r="K3282" s="317"/>
    </row>
    <row r="3283">
      <c r="K3283" s="317"/>
    </row>
    <row r="3284">
      <c r="K3284" s="317"/>
    </row>
    <row r="3285">
      <c r="K3285" s="317"/>
    </row>
    <row r="3286">
      <c r="K3286" s="317"/>
    </row>
    <row r="3287">
      <c r="K3287" s="317"/>
    </row>
    <row r="3288">
      <c r="K3288" s="317"/>
    </row>
    <row r="3289">
      <c r="K3289" s="317"/>
    </row>
    <row r="3290">
      <c r="K3290" s="317"/>
    </row>
    <row r="3291">
      <c r="K3291" s="317"/>
    </row>
    <row r="3292">
      <c r="K3292" s="317"/>
    </row>
    <row r="3293">
      <c r="K3293" s="317"/>
    </row>
    <row r="3294">
      <c r="K3294" s="317"/>
    </row>
    <row r="3295">
      <c r="K3295" s="317"/>
    </row>
    <row r="3296">
      <c r="K3296" s="317"/>
    </row>
    <row r="3297">
      <c r="K3297" s="317"/>
    </row>
    <row r="3298">
      <c r="K3298" s="317"/>
    </row>
    <row r="3299">
      <c r="K3299" s="317"/>
    </row>
    <row r="3300">
      <c r="K3300" s="317"/>
    </row>
    <row r="3301">
      <c r="K3301" s="317"/>
    </row>
    <row r="3302">
      <c r="K3302" s="317"/>
    </row>
    <row r="3303">
      <c r="K3303" s="317"/>
    </row>
    <row r="3304">
      <c r="K3304" s="317"/>
    </row>
    <row r="3305">
      <c r="K3305" s="317"/>
    </row>
    <row r="3306">
      <c r="K3306" s="317"/>
    </row>
    <row r="3307">
      <c r="K3307" s="317"/>
    </row>
    <row r="3308">
      <c r="K3308" s="317"/>
    </row>
    <row r="3309">
      <c r="K3309" s="317"/>
    </row>
    <row r="3310">
      <c r="K3310" s="317"/>
    </row>
    <row r="3311">
      <c r="K3311" s="317"/>
    </row>
    <row r="3312">
      <c r="K3312" s="317"/>
    </row>
    <row r="3313">
      <c r="K3313" s="317"/>
    </row>
    <row r="3314">
      <c r="K3314" s="317"/>
    </row>
    <row r="3315">
      <c r="K3315" s="317"/>
    </row>
    <row r="3316">
      <c r="K3316" s="317"/>
    </row>
    <row r="3317">
      <c r="K3317" s="317"/>
    </row>
    <row r="3318">
      <c r="K3318" s="317"/>
    </row>
    <row r="3319">
      <c r="K3319" s="317"/>
    </row>
    <row r="3320">
      <c r="K3320" s="317"/>
    </row>
    <row r="3321">
      <c r="K3321" s="317"/>
    </row>
    <row r="3322">
      <c r="K3322" s="317"/>
    </row>
    <row r="3323">
      <c r="K3323" s="317"/>
    </row>
    <row r="3324">
      <c r="K3324" s="317"/>
    </row>
    <row r="3325">
      <c r="K3325" s="317"/>
    </row>
    <row r="3326">
      <c r="K3326" s="317"/>
    </row>
    <row r="3327">
      <c r="K3327" s="317"/>
    </row>
    <row r="3328">
      <c r="K3328" s="317"/>
    </row>
    <row r="3329">
      <c r="K3329" s="317"/>
    </row>
    <row r="3330">
      <c r="K3330" s="317"/>
    </row>
    <row r="3331">
      <c r="K3331" s="317"/>
    </row>
    <row r="3332">
      <c r="K3332" s="317"/>
    </row>
    <row r="3333">
      <c r="K3333" s="317"/>
    </row>
    <row r="3334">
      <c r="K3334" s="317"/>
    </row>
    <row r="3335">
      <c r="K3335" s="317"/>
    </row>
    <row r="3336">
      <c r="K3336" s="317"/>
    </row>
    <row r="3337">
      <c r="K3337" s="317"/>
    </row>
    <row r="3338">
      <c r="K3338" s="317"/>
    </row>
    <row r="3339">
      <c r="K3339" s="317"/>
    </row>
    <row r="3340">
      <c r="K3340" s="317"/>
    </row>
    <row r="3341">
      <c r="K3341" s="317"/>
    </row>
    <row r="3342">
      <c r="K3342" s="317"/>
    </row>
    <row r="3343">
      <c r="K3343" s="317"/>
    </row>
    <row r="3344">
      <c r="K3344" s="317"/>
    </row>
    <row r="3345">
      <c r="K3345" s="317"/>
    </row>
    <row r="3346">
      <c r="K3346" s="317"/>
    </row>
    <row r="3347">
      <c r="K3347" s="317"/>
    </row>
    <row r="3348">
      <c r="K3348" s="317"/>
    </row>
    <row r="3349">
      <c r="K3349" s="317"/>
    </row>
    <row r="3350">
      <c r="K3350" s="317"/>
    </row>
    <row r="3351">
      <c r="K3351" s="317"/>
    </row>
    <row r="3352">
      <c r="K3352" s="317"/>
    </row>
    <row r="3353">
      <c r="K3353" s="317"/>
    </row>
    <row r="3354">
      <c r="K3354" s="317"/>
    </row>
    <row r="3355">
      <c r="K3355" s="317"/>
    </row>
    <row r="3356">
      <c r="K3356" s="317"/>
    </row>
    <row r="3357">
      <c r="K3357" s="317"/>
    </row>
    <row r="3358">
      <c r="K3358" s="317"/>
    </row>
    <row r="3359">
      <c r="K3359" s="317"/>
    </row>
    <row r="3360">
      <c r="K3360" s="317"/>
    </row>
    <row r="3361">
      <c r="K3361" s="317"/>
    </row>
    <row r="3362">
      <c r="K3362" s="317"/>
    </row>
    <row r="3363">
      <c r="K3363" s="317"/>
    </row>
    <row r="3364">
      <c r="K3364" s="317"/>
    </row>
    <row r="3365">
      <c r="K3365" s="317"/>
    </row>
    <row r="3366">
      <c r="K3366" s="317"/>
    </row>
    <row r="3367">
      <c r="K3367" s="317"/>
    </row>
    <row r="3368">
      <c r="K3368" s="317"/>
    </row>
    <row r="3369">
      <c r="K3369" s="317"/>
    </row>
    <row r="3370">
      <c r="K3370" s="317"/>
    </row>
    <row r="3371">
      <c r="K3371" s="317"/>
    </row>
    <row r="3372">
      <c r="K3372" s="317"/>
    </row>
    <row r="3373">
      <c r="K3373" s="317"/>
    </row>
    <row r="3374">
      <c r="K3374" s="317"/>
    </row>
    <row r="3375">
      <c r="K3375" s="317"/>
    </row>
    <row r="3376">
      <c r="K3376" s="317"/>
    </row>
    <row r="3377">
      <c r="K3377" s="317"/>
    </row>
    <row r="3378">
      <c r="K3378" s="317"/>
    </row>
    <row r="3379">
      <c r="K3379" s="317"/>
    </row>
    <row r="3380">
      <c r="K3380" s="317"/>
    </row>
    <row r="3381">
      <c r="K3381" s="317"/>
    </row>
    <row r="3382">
      <c r="K3382" s="317"/>
    </row>
    <row r="3383">
      <c r="K3383" s="317"/>
    </row>
    <row r="3384">
      <c r="K3384" s="317"/>
    </row>
    <row r="3385">
      <c r="K3385" s="317"/>
    </row>
    <row r="3386">
      <c r="K3386" s="317"/>
    </row>
    <row r="3387">
      <c r="K3387" s="317"/>
    </row>
    <row r="3388">
      <c r="K3388" s="317"/>
    </row>
    <row r="3389">
      <c r="K3389" s="317"/>
    </row>
    <row r="3390">
      <c r="K3390" s="317"/>
    </row>
    <row r="3391">
      <c r="K3391" s="317"/>
    </row>
    <row r="3392">
      <c r="K3392" s="317"/>
    </row>
    <row r="3393">
      <c r="K3393" s="317"/>
    </row>
    <row r="3394">
      <c r="K3394" s="317"/>
    </row>
    <row r="3395">
      <c r="K3395" s="317"/>
    </row>
    <row r="3396">
      <c r="K3396" s="317"/>
    </row>
    <row r="3397">
      <c r="K3397" s="317"/>
    </row>
    <row r="3398">
      <c r="K3398" s="317"/>
    </row>
    <row r="3399">
      <c r="K3399" s="317"/>
    </row>
    <row r="3400">
      <c r="K3400" s="317"/>
    </row>
    <row r="3401">
      <c r="K3401" s="317"/>
    </row>
    <row r="3402">
      <c r="K3402" s="317"/>
    </row>
    <row r="3403">
      <c r="K3403" s="317"/>
    </row>
    <row r="3404">
      <c r="K3404" s="317"/>
    </row>
    <row r="3405">
      <c r="K3405" s="317"/>
    </row>
    <row r="3406">
      <c r="K3406" s="317"/>
    </row>
    <row r="3407">
      <c r="K3407" s="317"/>
    </row>
    <row r="3408">
      <c r="K3408" s="317"/>
    </row>
    <row r="3409">
      <c r="K3409" s="317"/>
    </row>
    <row r="3410">
      <c r="K3410" s="317"/>
    </row>
    <row r="3411">
      <c r="K3411" s="317"/>
    </row>
    <row r="3412">
      <c r="K3412" s="317"/>
    </row>
    <row r="3413">
      <c r="K3413" s="317"/>
    </row>
    <row r="3414">
      <c r="K3414" s="317"/>
    </row>
    <row r="3415">
      <c r="K3415" s="317"/>
    </row>
    <row r="3416">
      <c r="K3416" s="317"/>
    </row>
    <row r="3417">
      <c r="K3417" s="317"/>
    </row>
    <row r="3418">
      <c r="K3418" s="317"/>
    </row>
    <row r="3419">
      <c r="K3419" s="317"/>
    </row>
    <row r="3420">
      <c r="K3420" s="317"/>
    </row>
    <row r="3421">
      <c r="K3421" s="317"/>
    </row>
    <row r="3422">
      <c r="K3422" s="317"/>
    </row>
    <row r="3423">
      <c r="K3423" s="317"/>
    </row>
    <row r="3424">
      <c r="K3424" s="317"/>
    </row>
    <row r="3425">
      <c r="K3425" s="317"/>
    </row>
    <row r="3426">
      <c r="K3426" s="317"/>
    </row>
    <row r="3427">
      <c r="K3427" s="317"/>
    </row>
    <row r="3428">
      <c r="K3428" s="317"/>
    </row>
    <row r="3429">
      <c r="K3429" s="317"/>
    </row>
    <row r="3430">
      <c r="K3430" s="317"/>
    </row>
    <row r="3431">
      <c r="K3431" s="317"/>
    </row>
    <row r="3432">
      <c r="K3432" s="317"/>
    </row>
    <row r="3433">
      <c r="K3433" s="317"/>
    </row>
    <row r="3434">
      <c r="K3434" s="317"/>
    </row>
    <row r="3435">
      <c r="K3435" s="317"/>
    </row>
    <row r="3436">
      <c r="K3436" s="317"/>
    </row>
    <row r="3437">
      <c r="K3437" s="317"/>
    </row>
    <row r="3438">
      <c r="K3438" s="317"/>
    </row>
    <row r="3439">
      <c r="K3439" s="317"/>
    </row>
    <row r="3440">
      <c r="K3440" s="317"/>
    </row>
    <row r="3441">
      <c r="K3441" s="317"/>
    </row>
    <row r="3442">
      <c r="K3442" s="317"/>
    </row>
    <row r="3443">
      <c r="K3443" s="317"/>
    </row>
    <row r="3444">
      <c r="K3444" s="317"/>
    </row>
    <row r="3445">
      <c r="K3445" s="317"/>
    </row>
    <row r="3446">
      <c r="K3446" s="317"/>
    </row>
    <row r="3447">
      <c r="K3447" s="317"/>
    </row>
    <row r="3448">
      <c r="K3448" s="317"/>
    </row>
    <row r="3449">
      <c r="K3449" s="317"/>
    </row>
    <row r="3450">
      <c r="K3450" s="317"/>
    </row>
    <row r="3451">
      <c r="K3451" s="317"/>
    </row>
    <row r="3452">
      <c r="K3452" s="317"/>
    </row>
    <row r="3453">
      <c r="K3453" s="317"/>
    </row>
    <row r="3454">
      <c r="K3454" s="317"/>
    </row>
    <row r="3455">
      <c r="K3455" s="317"/>
    </row>
    <row r="3456">
      <c r="K3456" s="317"/>
    </row>
    <row r="3457">
      <c r="K3457" s="317"/>
    </row>
    <row r="3458">
      <c r="K3458" s="317"/>
    </row>
    <row r="3459">
      <c r="K3459" s="317"/>
    </row>
    <row r="3460">
      <c r="K3460" s="317"/>
    </row>
    <row r="3461">
      <c r="K3461" s="317"/>
    </row>
    <row r="3462">
      <c r="K3462" s="317"/>
    </row>
    <row r="3463">
      <c r="K3463" s="317"/>
    </row>
    <row r="3464">
      <c r="K3464" s="317"/>
    </row>
    <row r="3465">
      <c r="K3465" s="317"/>
    </row>
    <row r="3466">
      <c r="K3466" s="317"/>
    </row>
    <row r="3467">
      <c r="K3467" s="317"/>
    </row>
    <row r="3468">
      <c r="K3468" s="317"/>
    </row>
    <row r="3469">
      <c r="K3469" s="317"/>
    </row>
    <row r="3470">
      <c r="K3470" s="317"/>
    </row>
    <row r="3471">
      <c r="K3471" s="317"/>
    </row>
    <row r="3472">
      <c r="K3472" s="317"/>
    </row>
    <row r="3473">
      <c r="K3473" s="317"/>
    </row>
    <row r="3474">
      <c r="K3474" s="317"/>
    </row>
    <row r="3475">
      <c r="K3475" s="317"/>
    </row>
    <row r="3476">
      <c r="K3476" s="317"/>
    </row>
    <row r="3477">
      <c r="K3477" s="317"/>
    </row>
    <row r="3478">
      <c r="K3478" s="317"/>
    </row>
    <row r="3479">
      <c r="K3479" s="317"/>
    </row>
    <row r="3480">
      <c r="K3480" s="317"/>
    </row>
    <row r="3481">
      <c r="K3481" s="317"/>
    </row>
    <row r="3482">
      <c r="K3482" s="317"/>
    </row>
    <row r="3483">
      <c r="K3483" s="317"/>
    </row>
    <row r="3484">
      <c r="K3484" s="317"/>
    </row>
    <row r="3485">
      <c r="K3485" s="317"/>
    </row>
    <row r="3486">
      <c r="K3486" s="317"/>
    </row>
    <row r="3487">
      <c r="K3487" s="317"/>
    </row>
    <row r="3488">
      <c r="K3488" s="317"/>
    </row>
    <row r="3489">
      <c r="K3489" s="317"/>
    </row>
    <row r="3490">
      <c r="K3490" s="317"/>
    </row>
    <row r="3491">
      <c r="K3491" s="317"/>
    </row>
    <row r="3492">
      <c r="K3492" s="317"/>
    </row>
    <row r="3493">
      <c r="K3493" s="317"/>
    </row>
    <row r="3494">
      <c r="K3494" s="317"/>
    </row>
    <row r="3495">
      <c r="K3495" s="317"/>
    </row>
    <row r="3496">
      <c r="K3496" s="317"/>
    </row>
    <row r="3497">
      <c r="K3497" s="317"/>
    </row>
    <row r="3498">
      <c r="K3498" s="317"/>
    </row>
    <row r="3499">
      <c r="K3499" s="317"/>
    </row>
    <row r="3500">
      <c r="K3500" s="317"/>
    </row>
    <row r="3501">
      <c r="K3501" s="317"/>
    </row>
    <row r="3502">
      <c r="K3502" s="317"/>
    </row>
    <row r="3503">
      <c r="K3503" s="317"/>
    </row>
    <row r="3504">
      <c r="K3504" s="317"/>
    </row>
    <row r="3505">
      <c r="K3505" s="317"/>
    </row>
    <row r="3506">
      <c r="K3506" s="317"/>
    </row>
    <row r="3507">
      <c r="K3507" s="317"/>
    </row>
    <row r="3508">
      <c r="K3508" s="317"/>
    </row>
    <row r="3509">
      <c r="K3509" s="317"/>
    </row>
    <row r="3510">
      <c r="K3510" s="317"/>
    </row>
    <row r="3511">
      <c r="K3511" s="317"/>
    </row>
    <row r="3512">
      <c r="K3512" s="317"/>
    </row>
    <row r="3513">
      <c r="K3513" s="317"/>
    </row>
    <row r="3514">
      <c r="K3514" s="317"/>
    </row>
    <row r="3515">
      <c r="K3515" s="317"/>
    </row>
    <row r="3516">
      <c r="K3516" s="317"/>
    </row>
    <row r="3517">
      <c r="K3517" s="317"/>
    </row>
    <row r="3518">
      <c r="K3518" s="317"/>
    </row>
    <row r="3519">
      <c r="K3519" s="317"/>
    </row>
    <row r="3520">
      <c r="K3520" s="317"/>
    </row>
    <row r="3521">
      <c r="K3521" s="317"/>
    </row>
    <row r="3522">
      <c r="K3522" s="317"/>
    </row>
    <row r="3523">
      <c r="K3523" s="317"/>
    </row>
    <row r="3524">
      <c r="K3524" s="317"/>
    </row>
    <row r="3525">
      <c r="K3525" s="317"/>
    </row>
    <row r="3526">
      <c r="K3526" s="317"/>
    </row>
    <row r="3527">
      <c r="K3527" s="317"/>
    </row>
    <row r="3528">
      <c r="K3528" s="317"/>
    </row>
    <row r="3529">
      <c r="K3529" s="317"/>
    </row>
    <row r="3530">
      <c r="K3530" s="317"/>
    </row>
    <row r="3531">
      <c r="K3531" s="317"/>
    </row>
    <row r="3532">
      <c r="K3532" s="317"/>
    </row>
    <row r="3533">
      <c r="K3533" s="317"/>
    </row>
    <row r="3534">
      <c r="K3534" s="317"/>
    </row>
    <row r="3535">
      <c r="K3535" s="317"/>
    </row>
    <row r="3536">
      <c r="K3536" s="317"/>
    </row>
    <row r="3537">
      <c r="K3537" s="317"/>
    </row>
    <row r="3538">
      <c r="K3538" s="317"/>
    </row>
    <row r="3539">
      <c r="K3539" s="317"/>
    </row>
    <row r="3540">
      <c r="K3540" s="317"/>
    </row>
    <row r="3541">
      <c r="K3541" s="317"/>
    </row>
    <row r="3542">
      <c r="K3542" s="317"/>
    </row>
    <row r="3543">
      <c r="K3543" s="317"/>
    </row>
    <row r="3544">
      <c r="K3544" s="317"/>
    </row>
    <row r="3545">
      <c r="K3545" s="317"/>
    </row>
    <row r="3546">
      <c r="K3546" s="317"/>
    </row>
    <row r="3547">
      <c r="K3547" s="317"/>
    </row>
    <row r="3548">
      <c r="K3548" s="317"/>
    </row>
    <row r="3549">
      <c r="K3549" s="317"/>
    </row>
    <row r="3550">
      <c r="K3550" s="317"/>
    </row>
    <row r="3551">
      <c r="K3551" s="317"/>
    </row>
    <row r="3552">
      <c r="K3552" s="317"/>
    </row>
    <row r="3553">
      <c r="K3553" s="317"/>
    </row>
    <row r="3554">
      <c r="K3554" s="317"/>
    </row>
    <row r="3555">
      <c r="K3555" s="317"/>
    </row>
    <row r="3556">
      <c r="K3556" s="317"/>
    </row>
    <row r="3557">
      <c r="K3557" s="317"/>
    </row>
    <row r="3558">
      <c r="K3558" s="317"/>
    </row>
    <row r="3559">
      <c r="K3559" s="317"/>
    </row>
    <row r="3560">
      <c r="K3560" s="317"/>
    </row>
    <row r="3561">
      <c r="K3561" s="317"/>
    </row>
    <row r="3562">
      <c r="K3562" s="317"/>
    </row>
    <row r="3563">
      <c r="K3563" s="317"/>
    </row>
    <row r="3564">
      <c r="K3564" s="317"/>
    </row>
    <row r="3565">
      <c r="K3565" s="317"/>
    </row>
    <row r="3566">
      <c r="K3566" s="317"/>
    </row>
    <row r="3567">
      <c r="K3567" s="317"/>
    </row>
    <row r="3568">
      <c r="K3568" s="317"/>
    </row>
    <row r="3569">
      <c r="K3569" s="317"/>
    </row>
    <row r="3570">
      <c r="K3570" s="317"/>
    </row>
    <row r="3571">
      <c r="K3571" s="317"/>
    </row>
    <row r="3572">
      <c r="K3572" s="317"/>
    </row>
    <row r="3573">
      <c r="K3573" s="317"/>
    </row>
    <row r="3574">
      <c r="K3574" s="317"/>
    </row>
    <row r="3575">
      <c r="K3575" s="317"/>
    </row>
    <row r="3576">
      <c r="K3576" s="317"/>
    </row>
    <row r="3577">
      <c r="K3577" s="317"/>
    </row>
    <row r="3578">
      <c r="K3578" s="317"/>
    </row>
    <row r="3579">
      <c r="K3579" s="317"/>
    </row>
    <row r="3580">
      <c r="K3580" s="317"/>
    </row>
    <row r="3581">
      <c r="K3581" s="317"/>
    </row>
    <row r="3582">
      <c r="K3582" s="317"/>
    </row>
    <row r="3583">
      <c r="K3583" s="317"/>
    </row>
    <row r="3584">
      <c r="K3584" s="317"/>
    </row>
    <row r="3585">
      <c r="K3585" s="317"/>
    </row>
    <row r="3586">
      <c r="K3586" s="317"/>
    </row>
    <row r="3587">
      <c r="K3587" s="317"/>
    </row>
    <row r="3588">
      <c r="K3588" s="317"/>
    </row>
    <row r="3589">
      <c r="K3589" s="317"/>
    </row>
    <row r="3590">
      <c r="K3590" s="317"/>
    </row>
    <row r="3591">
      <c r="K3591" s="317"/>
    </row>
    <row r="3592">
      <c r="K3592" s="317"/>
    </row>
    <row r="3593">
      <c r="K3593" s="317"/>
    </row>
    <row r="3594">
      <c r="K3594" s="317"/>
    </row>
    <row r="3595">
      <c r="K3595" s="317"/>
    </row>
    <row r="3596">
      <c r="K3596" s="317"/>
    </row>
    <row r="3597">
      <c r="K3597" s="317"/>
    </row>
    <row r="3598">
      <c r="K3598" s="317"/>
    </row>
    <row r="3599">
      <c r="K3599" s="317"/>
    </row>
    <row r="3600">
      <c r="K3600" s="317"/>
    </row>
    <row r="3601">
      <c r="K3601" s="317"/>
    </row>
    <row r="3602">
      <c r="K3602" s="317"/>
    </row>
    <row r="3603">
      <c r="K3603" s="317"/>
    </row>
    <row r="3604">
      <c r="K3604" s="317"/>
    </row>
    <row r="3605">
      <c r="K3605" s="317"/>
    </row>
    <row r="3606">
      <c r="K3606" s="317"/>
    </row>
    <row r="3607">
      <c r="K3607" s="317"/>
    </row>
    <row r="3608">
      <c r="K3608" s="317"/>
    </row>
    <row r="3609">
      <c r="K3609" s="317"/>
    </row>
    <row r="3610">
      <c r="K3610" s="317"/>
    </row>
    <row r="3611">
      <c r="K3611" s="317"/>
    </row>
    <row r="3612">
      <c r="K3612" s="317"/>
    </row>
    <row r="3613">
      <c r="K3613" s="317"/>
    </row>
    <row r="3614">
      <c r="K3614" s="317"/>
    </row>
    <row r="3615">
      <c r="K3615" s="317"/>
    </row>
    <row r="3616">
      <c r="K3616" s="317"/>
    </row>
    <row r="3617">
      <c r="K3617" s="317"/>
    </row>
    <row r="3618">
      <c r="K3618" s="317"/>
    </row>
    <row r="3619">
      <c r="K3619" s="317"/>
    </row>
    <row r="3620">
      <c r="K3620" s="317"/>
    </row>
    <row r="3621">
      <c r="K3621" s="317"/>
    </row>
    <row r="3622">
      <c r="K3622" s="317"/>
    </row>
    <row r="3623">
      <c r="K3623" s="317"/>
    </row>
    <row r="3624">
      <c r="K3624" s="317"/>
    </row>
    <row r="3625">
      <c r="K3625" s="317"/>
    </row>
    <row r="3626">
      <c r="K3626" s="317"/>
    </row>
    <row r="3627">
      <c r="K3627" s="317"/>
    </row>
    <row r="3628">
      <c r="K3628" s="317"/>
    </row>
    <row r="3629">
      <c r="K3629" s="317"/>
    </row>
    <row r="3630">
      <c r="K3630" s="317"/>
    </row>
    <row r="3631">
      <c r="K3631" s="317"/>
    </row>
    <row r="3632">
      <c r="K3632" s="317"/>
    </row>
    <row r="3633">
      <c r="K3633" s="317"/>
    </row>
    <row r="3634">
      <c r="K3634" s="317"/>
    </row>
    <row r="3635">
      <c r="K3635" s="317"/>
    </row>
    <row r="3636">
      <c r="K3636" s="317"/>
    </row>
    <row r="3637">
      <c r="K3637" s="317"/>
    </row>
    <row r="3638">
      <c r="K3638" s="317"/>
    </row>
    <row r="3639">
      <c r="K3639" s="317"/>
    </row>
    <row r="3640">
      <c r="K3640" s="317"/>
    </row>
    <row r="3641">
      <c r="K3641" s="317"/>
    </row>
    <row r="3642">
      <c r="K3642" s="317"/>
    </row>
    <row r="3643">
      <c r="K3643" s="317"/>
    </row>
    <row r="3644">
      <c r="K3644" s="317"/>
    </row>
    <row r="3645">
      <c r="K3645" s="317"/>
    </row>
    <row r="3646">
      <c r="K3646" s="317"/>
    </row>
    <row r="3647">
      <c r="K3647" s="317"/>
    </row>
    <row r="3648">
      <c r="K3648" s="317"/>
    </row>
    <row r="3649">
      <c r="K3649" s="317"/>
    </row>
    <row r="3650">
      <c r="K3650" s="317"/>
    </row>
    <row r="3651">
      <c r="K3651" s="317"/>
    </row>
    <row r="3652">
      <c r="K3652" s="317"/>
    </row>
    <row r="3653">
      <c r="K3653" s="317"/>
    </row>
    <row r="3654">
      <c r="K3654" s="317"/>
    </row>
    <row r="3655">
      <c r="K3655" s="317"/>
    </row>
    <row r="3656">
      <c r="K3656" s="317"/>
    </row>
    <row r="3657">
      <c r="K3657" s="317"/>
    </row>
    <row r="3658">
      <c r="K3658" s="317"/>
    </row>
    <row r="3659">
      <c r="K3659" s="317"/>
    </row>
    <row r="3660">
      <c r="K3660" s="317"/>
    </row>
    <row r="3661">
      <c r="K3661" s="317"/>
    </row>
    <row r="3662">
      <c r="K3662" s="317"/>
    </row>
    <row r="3663">
      <c r="K3663" s="317"/>
    </row>
    <row r="3664">
      <c r="K3664" s="317"/>
    </row>
    <row r="3665">
      <c r="K3665" s="317"/>
    </row>
    <row r="3666">
      <c r="K3666" s="317"/>
    </row>
    <row r="3667">
      <c r="K3667" s="317"/>
    </row>
    <row r="3668">
      <c r="K3668" s="317"/>
    </row>
    <row r="3669">
      <c r="K3669" s="317"/>
    </row>
    <row r="3670">
      <c r="K3670" s="317"/>
    </row>
    <row r="3671">
      <c r="K3671" s="317"/>
    </row>
    <row r="3672">
      <c r="K3672" s="317"/>
    </row>
    <row r="3673">
      <c r="K3673" s="317"/>
    </row>
    <row r="3674">
      <c r="K3674" s="317"/>
    </row>
    <row r="3675">
      <c r="K3675" s="317"/>
    </row>
    <row r="3676">
      <c r="K3676" s="317"/>
    </row>
    <row r="3677">
      <c r="K3677" s="317"/>
    </row>
    <row r="3678">
      <c r="K3678" s="317"/>
    </row>
    <row r="3679">
      <c r="K3679" s="317"/>
    </row>
    <row r="3680">
      <c r="K3680" s="317"/>
    </row>
    <row r="3681">
      <c r="K3681" s="317"/>
    </row>
    <row r="3682">
      <c r="K3682" s="317"/>
    </row>
    <row r="3683">
      <c r="K3683" s="317"/>
    </row>
    <row r="3684">
      <c r="K3684" s="317"/>
    </row>
    <row r="3685">
      <c r="K3685" s="317"/>
    </row>
    <row r="3686">
      <c r="K3686" s="317"/>
    </row>
    <row r="3687">
      <c r="K3687" s="317"/>
    </row>
    <row r="3688">
      <c r="K3688" s="317"/>
    </row>
    <row r="3689">
      <c r="K3689" s="317"/>
    </row>
    <row r="3690">
      <c r="K3690" s="317"/>
    </row>
    <row r="3691">
      <c r="K3691" s="317"/>
    </row>
    <row r="3692">
      <c r="K3692" s="317"/>
    </row>
    <row r="3693">
      <c r="K3693" s="317"/>
    </row>
    <row r="3694">
      <c r="K3694" s="317"/>
    </row>
    <row r="3695">
      <c r="K3695" s="317"/>
    </row>
    <row r="3696">
      <c r="K3696" s="317"/>
    </row>
    <row r="3697">
      <c r="K3697" s="317"/>
    </row>
    <row r="3698">
      <c r="K3698" s="317"/>
    </row>
    <row r="3699">
      <c r="K3699" s="317"/>
    </row>
    <row r="3700">
      <c r="K3700" s="317"/>
    </row>
    <row r="3701">
      <c r="K3701" s="317"/>
    </row>
    <row r="3702">
      <c r="K3702" s="317"/>
    </row>
    <row r="3703">
      <c r="K3703" s="317"/>
    </row>
    <row r="3704">
      <c r="K3704" s="317"/>
    </row>
    <row r="3705">
      <c r="K3705" s="317"/>
    </row>
    <row r="3706">
      <c r="K3706" s="317"/>
    </row>
    <row r="3707">
      <c r="K3707" s="317"/>
    </row>
    <row r="3708">
      <c r="K3708" s="317"/>
    </row>
    <row r="3709">
      <c r="K3709" s="317"/>
    </row>
    <row r="3710">
      <c r="K3710" s="317"/>
    </row>
    <row r="3711">
      <c r="K3711" s="317"/>
    </row>
    <row r="3712">
      <c r="K3712" s="317"/>
    </row>
    <row r="3713">
      <c r="K3713" s="317"/>
    </row>
    <row r="3714">
      <c r="K3714" s="317"/>
    </row>
    <row r="3715">
      <c r="K3715" s="317"/>
    </row>
    <row r="3716">
      <c r="K3716" s="317"/>
    </row>
    <row r="3717">
      <c r="K3717" s="317"/>
    </row>
    <row r="3718">
      <c r="K3718" s="317"/>
    </row>
    <row r="3719">
      <c r="K3719" s="317"/>
    </row>
    <row r="3720">
      <c r="K3720" s="317"/>
    </row>
    <row r="3721">
      <c r="K3721" s="317"/>
    </row>
    <row r="3722">
      <c r="K3722" s="317"/>
    </row>
    <row r="3723">
      <c r="K3723" s="317"/>
    </row>
    <row r="3724">
      <c r="K3724" s="317"/>
    </row>
    <row r="3725">
      <c r="K3725" s="317"/>
    </row>
    <row r="3726">
      <c r="K3726" s="317"/>
    </row>
    <row r="3727">
      <c r="K3727" s="317"/>
    </row>
    <row r="3728">
      <c r="K3728" s="317"/>
    </row>
    <row r="3729">
      <c r="K3729" s="317"/>
    </row>
    <row r="3730">
      <c r="K3730" s="317"/>
    </row>
    <row r="3731">
      <c r="K3731" s="317"/>
    </row>
    <row r="3732">
      <c r="K3732" s="317"/>
    </row>
    <row r="3733">
      <c r="K3733" s="317"/>
    </row>
    <row r="3734">
      <c r="K3734" s="317"/>
    </row>
    <row r="3735">
      <c r="K3735" s="317"/>
    </row>
    <row r="3736">
      <c r="K3736" s="317"/>
    </row>
    <row r="3737">
      <c r="K3737" s="317"/>
    </row>
    <row r="3738">
      <c r="K3738" s="317"/>
    </row>
    <row r="3739">
      <c r="K3739" s="317"/>
    </row>
    <row r="3740">
      <c r="K3740" s="317"/>
    </row>
    <row r="3741">
      <c r="K3741" s="317"/>
    </row>
    <row r="3742">
      <c r="K3742" s="317"/>
    </row>
    <row r="3743">
      <c r="K3743" s="317"/>
    </row>
    <row r="3744">
      <c r="K3744" s="317"/>
    </row>
    <row r="3745">
      <c r="K3745" s="317"/>
    </row>
    <row r="3746">
      <c r="K3746" s="317"/>
    </row>
    <row r="3747">
      <c r="K3747" s="317"/>
    </row>
    <row r="3748">
      <c r="K3748" s="317"/>
    </row>
    <row r="3749">
      <c r="K3749" s="317"/>
    </row>
    <row r="3750">
      <c r="K3750" s="317"/>
    </row>
    <row r="3751">
      <c r="K3751" s="317"/>
    </row>
    <row r="3752">
      <c r="K3752" s="317"/>
    </row>
    <row r="3753">
      <c r="K3753" s="317"/>
    </row>
    <row r="3754">
      <c r="K3754" s="317"/>
    </row>
    <row r="3755">
      <c r="K3755" s="317"/>
    </row>
    <row r="3756">
      <c r="K3756" s="317"/>
    </row>
    <row r="3757">
      <c r="K3757" s="317"/>
    </row>
    <row r="3758">
      <c r="K3758" s="317"/>
    </row>
    <row r="3759">
      <c r="K3759" s="317"/>
    </row>
    <row r="3760">
      <c r="K3760" s="317"/>
    </row>
    <row r="3761">
      <c r="K3761" s="317"/>
    </row>
    <row r="3762">
      <c r="K3762" s="317"/>
    </row>
    <row r="3763">
      <c r="K3763" s="317"/>
    </row>
    <row r="3764">
      <c r="K3764" s="317"/>
    </row>
    <row r="3765">
      <c r="K3765" s="317"/>
    </row>
    <row r="3766">
      <c r="K3766" s="317"/>
    </row>
    <row r="3767">
      <c r="K3767" s="317"/>
    </row>
    <row r="3768">
      <c r="K3768" s="317"/>
    </row>
    <row r="3769">
      <c r="K3769" s="317"/>
    </row>
    <row r="3770">
      <c r="K3770" s="317"/>
    </row>
    <row r="3771">
      <c r="K3771" s="317"/>
    </row>
    <row r="3772">
      <c r="K3772" s="317"/>
    </row>
    <row r="3773">
      <c r="K3773" s="317"/>
    </row>
    <row r="3774">
      <c r="K3774" s="317"/>
    </row>
    <row r="3775">
      <c r="K3775" s="317"/>
    </row>
    <row r="3776">
      <c r="K3776" s="317"/>
    </row>
    <row r="3777">
      <c r="K3777" s="317"/>
    </row>
    <row r="3778">
      <c r="K3778" s="317"/>
    </row>
    <row r="3779">
      <c r="K3779" s="317"/>
    </row>
    <row r="3780">
      <c r="K3780" s="317"/>
    </row>
    <row r="3781">
      <c r="K3781" s="317"/>
    </row>
    <row r="3782">
      <c r="K3782" s="317"/>
    </row>
    <row r="3783">
      <c r="K3783" s="317"/>
    </row>
    <row r="3784">
      <c r="K3784" s="317"/>
    </row>
    <row r="3785">
      <c r="K3785" s="317"/>
    </row>
    <row r="3786">
      <c r="K3786" s="317"/>
    </row>
    <row r="3787">
      <c r="K3787" s="317"/>
    </row>
    <row r="3788">
      <c r="K3788" s="317"/>
    </row>
    <row r="3789">
      <c r="K3789" s="317"/>
    </row>
    <row r="3790">
      <c r="K3790" s="317"/>
    </row>
    <row r="3791">
      <c r="K3791" s="317"/>
    </row>
    <row r="3792">
      <c r="K3792" s="317"/>
    </row>
    <row r="3793">
      <c r="K3793" s="317"/>
    </row>
    <row r="3794">
      <c r="K3794" s="317"/>
    </row>
    <row r="3795">
      <c r="K3795" s="317"/>
    </row>
    <row r="3796">
      <c r="K3796" s="317"/>
    </row>
    <row r="3797">
      <c r="K3797" s="317"/>
    </row>
    <row r="3798">
      <c r="K3798" s="317"/>
    </row>
    <row r="3799">
      <c r="K3799" s="317"/>
    </row>
    <row r="3800">
      <c r="K3800" s="317"/>
    </row>
    <row r="3801">
      <c r="K3801" s="317"/>
    </row>
    <row r="3802">
      <c r="K3802" s="317"/>
    </row>
    <row r="3803">
      <c r="K3803" s="317"/>
    </row>
    <row r="3804">
      <c r="K3804" s="317"/>
    </row>
    <row r="3805">
      <c r="K3805" s="317"/>
    </row>
    <row r="3806">
      <c r="K3806" s="317"/>
    </row>
    <row r="3807">
      <c r="K3807" s="317"/>
    </row>
    <row r="3808">
      <c r="K3808" s="317"/>
    </row>
    <row r="3809">
      <c r="K3809" s="317"/>
    </row>
    <row r="3810">
      <c r="K3810" s="317"/>
    </row>
    <row r="3811">
      <c r="K3811" s="317"/>
    </row>
    <row r="3812">
      <c r="K3812" s="317"/>
    </row>
    <row r="3813">
      <c r="K3813" s="317"/>
    </row>
    <row r="3814">
      <c r="K3814" s="317"/>
    </row>
    <row r="3815">
      <c r="K3815" s="317"/>
    </row>
    <row r="3816">
      <c r="K3816" s="317"/>
    </row>
    <row r="3817">
      <c r="K3817" s="317"/>
    </row>
    <row r="3818">
      <c r="K3818" s="317"/>
    </row>
    <row r="3819">
      <c r="K3819" s="317"/>
    </row>
    <row r="3820">
      <c r="K3820" s="317"/>
    </row>
    <row r="3821">
      <c r="K3821" s="317"/>
    </row>
    <row r="3822">
      <c r="K3822" s="317"/>
    </row>
    <row r="3823">
      <c r="K3823" s="317"/>
    </row>
    <row r="3824">
      <c r="K3824" s="317"/>
    </row>
    <row r="3825">
      <c r="K3825" s="317"/>
    </row>
    <row r="3826">
      <c r="K3826" s="317"/>
    </row>
    <row r="3827">
      <c r="K3827" s="317"/>
    </row>
    <row r="3828">
      <c r="K3828" s="317"/>
    </row>
    <row r="3829">
      <c r="K3829" s="317"/>
    </row>
    <row r="3830">
      <c r="K3830" s="317"/>
    </row>
    <row r="3831">
      <c r="K3831" s="317"/>
    </row>
    <row r="3832">
      <c r="K3832" s="317"/>
    </row>
    <row r="3833">
      <c r="K3833" s="317"/>
    </row>
    <row r="3834">
      <c r="K3834" s="317"/>
    </row>
    <row r="3835">
      <c r="K3835" s="317"/>
    </row>
    <row r="3836">
      <c r="K3836" s="317"/>
    </row>
    <row r="3837">
      <c r="K3837" s="317"/>
    </row>
    <row r="3838">
      <c r="K3838" s="317"/>
    </row>
    <row r="3839">
      <c r="K3839" s="317"/>
    </row>
    <row r="3840">
      <c r="K3840" s="317"/>
    </row>
    <row r="3841">
      <c r="K3841" s="317"/>
    </row>
    <row r="3842">
      <c r="K3842" s="317"/>
    </row>
    <row r="3843">
      <c r="K3843" s="317"/>
    </row>
    <row r="3844">
      <c r="K3844" s="317"/>
    </row>
    <row r="3845">
      <c r="K3845" s="317"/>
    </row>
    <row r="3846">
      <c r="K3846" s="317"/>
    </row>
    <row r="3847">
      <c r="K3847" s="317"/>
    </row>
    <row r="3848">
      <c r="K3848" s="317"/>
    </row>
    <row r="3849">
      <c r="K3849" s="317"/>
    </row>
    <row r="3850">
      <c r="K3850" s="317"/>
    </row>
    <row r="3851">
      <c r="K3851" s="317"/>
    </row>
    <row r="3852">
      <c r="K3852" s="317"/>
    </row>
    <row r="3853">
      <c r="K3853" s="317"/>
    </row>
    <row r="3854">
      <c r="K3854" s="317"/>
    </row>
    <row r="3855">
      <c r="K3855" s="317"/>
    </row>
    <row r="3856">
      <c r="K3856" s="317"/>
    </row>
    <row r="3857">
      <c r="K3857" s="317"/>
    </row>
    <row r="3858">
      <c r="K3858" s="317"/>
    </row>
    <row r="3859">
      <c r="K3859" s="317"/>
    </row>
    <row r="3860">
      <c r="K3860" s="317"/>
    </row>
    <row r="3861">
      <c r="K3861" s="317"/>
    </row>
    <row r="3862">
      <c r="K3862" s="317"/>
    </row>
    <row r="3863">
      <c r="K3863" s="317"/>
    </row>
    <row r="3864">
      <c r="K3864" s="317"/>
    </row>
    <row r="3865">
      <c r="K3865" s="317"/>
    </row>
    <row r="3866">
      <c r="K3866" s="317"/>
    </row>
    <row r="3867">
      <c r="K3867" s="317"/>
    </row>
    <row r="3868">
      <c r="K3868" s="317"/>
    </row>
    <row r="3869">
      <c r="K3869" s="317"/>
    </row>
    <row r="3870">
      <c r="K3870" s="317"/>
    </row>
    <row r="3871">
      <c r="K3871" s="317"/>
    </row>
    <row r="3872">
      <c r="K3872" s="317"/>
    </row>
    <row r="3873">
      <c r="K3873" s="317"/>
    </row>
    <row r="3874">
      <c r="K3874" s="317"/>
    </row>
    <row r="3875">
      <c r="K3875" s="317"/>
    </row>
    <row r="3876">
      <c r="K3876" s="317"/>
    </row>
    <row r="3877">
      <c r="K3877" s="317"/>
    </row>
    <row r="3878">
      <c r="K3878" s="317"/>
    </row>
    <row r="3879">
      <c r="K3879" s="317"/>
    </row>
    <row r="3880">
      <c r="K3880" s="317"/>
    </row>
    <row r="3881">
      <c r="K3881" s="317"/>
    </row>
    <row r="3882">
      <c r="K3882" s="317"/>
    </row>
    <row r="3883">
      <c r="K3883" s="317"/>
    </row>
    <row r="3884">
      <c r="K3884" s="317"/>
    </row>
    <row r="3885">
      <c r="K3885" s="317"/>
    </row>
    <row r="3886">
      <c r="K3886" s="317"/>
    </row>
    <row r="3887">
      <c r="K3887" s="317"/>
    </row>
    <row r="3888">
      <c r="K3888" s="317"/>
    </row>
    <row r="3889">
      <c r="K3889" s="317"/>
    </row>
    <row r="3890">
      <c r="K3890" s="317"/>
    </row>
    <row r="3891">
      <c r="K3891" s="317"/>
    </row>
    <row r="3892">
      <c r="K3892" s="317"/>
    </row>
    <row r="3893">
      <c r="K3893" s="317"/>
    </row>
    <row r="3894">
      <c r="K3894" s="317"/>
    </row>
    <row r="3895">
      <c r="K3895" s="317"/>
    </row>
    <row r="3896">
      <c r="K3896" s="317"/>
    </row>
    <row r="3897">
      <c r="K3897" s="317"/>
    </row>
    <row r="3898">
      <c r="K3898" s="317"/>
    </row>
    <row r="3899">
      <c r="K3899" s="317"/>
    </row>
    <row r="3900">
      <c r="K3900" s="317"/>
    </row>
    <row r="3901">
      <c r="K3901" s="317"/>
    </row>
    <row r="3902">
      <c r="K3902" s="317"/>
    </row>
    <row r="3903">
      <c r="K3903" s="317"/>
    </row>
    <row r="3904">
      <c r="K3904" s="317"/>
    </row>
    <row r="3905">
      <c r="K3905" s="317"/>
    </row>
    <row r="3906">
      <c r="K3906" s="317"/>
    </row>
    <row r="3907">
      <c r="K3907" s="317"/>
    </row>
    <row r="3908">
      <c r="K3908" s="317"/>
    </row>
    <row r="3909">
      <c r="K3909" s="317"/>
    </row>
    <row r="3910">
      <c r="K3910" s="317"/>
    </row>
    <row r="3911">
      <c r="K3911" s="317"/>
    </row>
    <row r="3912">
      <c r="K3912" s="317"/>
    </row>
    <row r="3913">
      <c r="K3913" s="317"/>
    </row>
    <row r="3914">
      <c r="K3914" s="317"/>
    </row>
    <row r="3915">
      <c r="K3915" s="317"/>
    </row>
    <row r="3916">
      <c r="K3916" s="317"/>
    </row>
    <row r="3917">
      <c r="K3917" s="317"/>
    </row>
    <row r="3918">
      <c r="K3918" s="317"/>
    </row>
    <row r="3919">
      <c r="K3919" s="317"/>
    </row>
    <row r="3920">
      <c r="K3920" s="317"/>
    </row>
    <row r="3921">
      <c r="K3921" s="317"/>
    </row>
    <row r="3922">
      <c r="K3922" s="317"/>
    </row>
    <row r="3923">
      <c r="K3923" s="317"/>
    </row>
    <row r="3924">
      <c r="K3924" s="317"/>
    </row>
    <row r="3925">
      <c r="K3925" s="317"/>
    </row>
    <row r="3926">
      <c r="K3926" s="317"/>
    </row>
    <row r="3927">
      <c r="K3927" s="317"/>
    </row>
    <row r="3928">
      <c r="K3928" s="317"/>
    </row>
    <row r="3929">
      <c r="K3929" s="317"/>
    </row>
    <row r="3930">
      <c r="K3930" s="317"/>
    </row>
    <row r="3931">
      <c r="K3931" s="317"/>
    </row>
    <row r="3932">
      <c r="K3932" s="317"/>
    </row>
    <row r="3933">
      <c r="K3933" s="317"/>
    </row>
    <row r="3934">
      <c r="K3934" s="317"/>
    </row>
    <row r="3935">
      <c r="K3935" s="317"/>
    </row>
    <row r="3936">
      <c r="K3936" s="317"/>
    </row>
    <row r="3937">
      <c r="K3937" s="317"/>
    </row>
    <row r="3938">
      <c r="K3938" s="317"/>
    </row>
    <row r="3939">
      <c r="K3939" s="317"/>
    </row>
    <row r="3940">
      <c r="K3940" s="317"/>
    </row>
    <row r="3941">
      <c r="K3941" s="317"/>
    </row>
    <row r="3942">
      <c r="K3942" s="317"/>
    </row>
    <row r="3943">
      <c r="K3943" s="317"/>
    </row>
    <row r="3944">
      <c r="K3944" s="317"/>
    </row>
    <row r="3945">
      <c r="K3945" s="317"/>
    </row>
    <row r="3946">
      <c r="K3946" s="317"/>
    </row>
    <row r="3947">
      <c r="K3947" s="317"/>
    </row>
    <row r="3948">
      <c r="K3948" s="317"/>
    </row>
    <row r="3949">
      <c r="K3949" s="317"/>
    </row>
    <row r="3950">
      <c r="K3950" s="317"/>
    </row>
    <row r="3951">
      <c r="K3951" s="317"/>
    </row>
    <row r="3952">
      <c r="K3952" s="317"/>
    </row>
    <row r="3953">
      <c r="K3953" s="317"/>
    </row>
    <row r="3954">
      <c r="K3954" s="317"/>
    </row>
    <row r="3955">
      <c r="K3955" s="317"/>
    </row>
    <row r="3956">
      <c r="K3956" s="317"/>
    </row>
    <row r="3957">
      <c r="K3957" s="317"/>
    </row>
    <row r="3958">
      <c r="K3958" s="317"/>
    </row>
    <row r="3959">
      <c r="K3959" s="317"/>
    </row>
    <row r="3960">
      <c r="K3960" s="317"/>
    </row>
    <row r="3961">
      <c r="K3961" s="317"/>
    </row>
    <row r="3962">
      <c r="K3962" s="317"/>
    </row>
    <row r="3963">
      <c r="K3963" s="317"/>
    </row>
    <row r="3964">
      <c r="K3964" s="317"/>
    </row>
    <row r="3965">
      <c r="K3965" s="317"/>
    </row>
    <row r="3966">
      <c r="K3966" s="317"/>
    </row>
    <row r="3967">
      <c r="K3967" s="317"/>
    </row>
    <row r="3968">
      <c r="K3968" s="317"/>
    </row>
    <row r="3969">
      <c r="K3969" s="317"/>
    </row>
    <row r="3970">
      <c r="K3970" s="317"/>
    </row>
    <row r="3971">
      <c r="K3971" s="317"/>
    </row>
    <row r="3972">
      <c r="K3972" s="317"/>
    </row>
    <row r="3973">
      <c r="K3973" s="317"/>
    </row>
    <row r="3974">
      <c r="K3974" s="317"/>
    </row>
    <row r="3975">
      <c r="K3975" s="317"/>
    </row>
    <row r="3976">
      <c r="K3976" s="317"/>
    </row>
    <row r="3977">
      <c r="K3977" s="317"/>
    </row>
    <row r="3978">
      <c r="K3978" s="317"/>
    </row>
    <row r="3979">
      <c r="K3979" s="317"/>
    </row>
    <row r="3980">
      <c r="K3980" s="317"/>
    </row>
    <row r="3981">
      <c r="K3981" s="317"/>
    </row>
    <row r="3982">
      <c r="K3982" s="317"/>
    </row>
    <row r="3983">
      <c r="K3983" s="317"/>
    </row>
    <row r="3984">
      <c r="K3984" s="317"/>
    </row>
    <row r="3985">
      <c r="K3985" s="317"/>
    </row>
    <row r="3986">
      <c r="K3986" s="317"/>
    </row>
    <row r="3987">
      <c r="K3987" s="317"/>
    </row>
    <row r="3988">
      <c r="K3988" s="317"/>
    </row>
    <row r="3989">
      <c r="K3989" s="317"/>
    </row>
    <row r="3990">
      <c r="K3990" s="317"/>
    </row>
    <row r="3991">
      <c r="K3991" s="317"/>
    </row>
    <row r="3992">
      <c r="K3992" s="317"/>
    </row>
    <row r="3993">
      <c r="K3993" s="317"/>
    </row>
    <row r="3994">
      <c r="K3994" s="317"/>
    </row>
    <row r="3995">
      <c r="K3995" s="317"/>
    </row>
    <row r="3996">
      <c r="K3996" s="317"/>
    </row>
    <row r="3997">
      <c r="K3997" s="317"/>
    </row>
    <row r="3998">
      <c r="K3998" s="317"/>
    </row>
    <row r="3999">
      <c r="K3999" s="317"/>
    </row>
    <row r="4000">
      <c r="K4000" s="317"/>
    </row>
    <row r="4001">
      <c r="K4001" s="317"/>
    </row>
    <row r="4002">
      <c r="K4002" s="317"/>
    </row>
    <row r="4003">
      <c r="K4003" s="317"/>
    </row>
    <row r="4004">
      <c r="K4004" s="317"/>
    </row>
    <row r="4005">
      <c r="K4005" s="317"/>
    </row>
    <row r="4006">
      <c r="K4006" s="317"/>
    </row>
    <row r="4007">
      <c r="K4007" s="317"/>
    </row>
    <row r="4008">
      <c r="K4008" s="317"/>
    </row>
    <row r="4009">
      <c r="K4009" s="317"/>
    </row>
    <row r="4010">
      <c r="K4010" s="317"/>
    </row>
    <row r="4011">
      <c r="K4011" s="317"/>
    </row>
    <row r="4012">
      <c r="K4012" s="317"/>
    </row>
    <row r="4013">
      <c r="K4013" s="317"/>
    </row>
    <row r="4014">
      <c r="K4014" s="317"/>
    </row>
    <row r="4015">
      <c r="K4015" s="317"/>
    </row>
    <row r="4016">
      <c r="K4016" s="317"/>
    </row>
    <row r="4017">
      <c r="K4017" s="317"/>
    </row>
    <row r="4018">
      <c r="K4018" s="317"/>
    </row>
    <row r="4019">
      <c r="K4019" s="317"/>
    </row>
    <row r="4020">
      <c r="K4020" s="317"/>
    </row>
    <row r="4021">
      <c r="K4021" s="317"/>
    </row>
    <row r="4022">
      <c r="K4022" s="317"/>
    </row>
    <row r="4023">
      <c r="K4023" s="317"/>
    </row>
    <row r="4024">
      <c r="K4024" s="317"/>
    </row>
    <row r="4025">
      <c r="K4025" s="317"/>
    </row>
    <row r="4026">
      <c r="K4026" s="317"/>
    </row>
    <row r="4027">
      <c r="K4027" s="317"/>
    </row>
    <row r="4028">
      <c r="K4028" s="317"/>
    </row>
    <row r="4029">
      <c r="K4029" s="317"/>
    </row>
    <row r="4030">
      <c r="K4030" s="317"/>
    </row>
    <row r="4031">
      <c r="K4031" s="317"/>
    </row>
    <row r="4032">
      <c r="K4032" s="317"/>
    </row>
    <row r="4033">
      <c r="K4033" s="317"/>
    </row>
    <row r="4034">
      <c r="K4034" s="317"/>
    </row>
    <row r="4035">
      <c r="K4035" s="317"/>
    </row>
    <row r="4036">
      <c r="K4036" s="317"/>
    </row>
    <row r="4037">
      <c r="K4037" s="317"/>
    </row>
    <row r="4038">
      <c r="K4038" s="317"/>
    </row>
    <row r="4039">
      <c r="K4039" s="317"/>
    </row>
    <row r="4040">
      <c r="K4040" s="317"/>
    </row>
    <row r="4041">
      <c r="K4041" s="317"/>
    </row>
    <row r="4042">
      <c r="K4042" s="317"/>
    </row>
    <row r="4043">
      <c r="K4043" s="317"/>
    </row>
    <row r="4044">
      <c r="K4044" s="317"/>
    </row>
    <row r="4045">
      <c r="K4045" s="317"/>
    </row>
    <row r="4046">
      <c r="K4046" s="317"/>
    </row>
    <row r="4047">
      <c r="K4047" s="317"/>
    </row>
    <row r="4048">
      <c r="K4048" s="317"/>
    </row>
    <row r="4049">
      <c r="K4049" s="317"/>
    </row>
    <row r="4050">
      <c r="K4050" s="317"/>
    </row>
    <row r="4051">
      <c r="K4051" s="317"/>
    </row>
    <row r="4052">
      <c r="K4052" s="317"/>
    </row>
    <row r="4053">
      <c r="K4053" s="317"/>
    </row>
    <row r="4054">
      <c r="K4054" s="317"/>
    </row>
    <row r="4055">
      <c r="K4055" s="317"/>
    </row>
    <row r="4056">
      <c r="K4056" s="317"/>
    </row>
    <row r="4057">
      <c r="K4057" s="317"/>
    </row>
    <row r="4058">
      <c r="K4058" s="317"/>
    </row>
    <row r="4059">
      <c r="K4059" s="317"/>
    </row>
    <row r="4060">
      <c r="K4060" s="317"/>
    </row>
    <row r="4061">
      <c r="K4061" s="317"/>
    </row>
    <row r="4062">
      <c r="K4062" s="317"/>
    </row>
    <row r="4063">
      <c r="K4063" s="317"/>
    </row>
    <row r="4064">
      <c r="K4064" s="317"/>
    </row>
    <row r="4065">
      <c r="K4065" s="317"/>
    </row>
    <row r="4066">
      <c r="K4066" s="317"/>
    </row>
    <row r="4067">
      <c r="K4067" s="317"/>
    </row>
    <row r="4068">
      <c r="K4068" s="317"/>
    </row>
    <row r="4069">
      <c r="K4069" s="317"/>
    </row>
    <row r="4070">
      <c r="K4070" s="317"/>
    </row>
    <row r="4071">
      <c r="K4071" s="317"/>
    </row>
    <row r="4072">
      <c r="K4072" s="317"/>
    </row>
    <row r="4073">
      <c r="K4073" s="317"/>
    </row>
    <row r="4074">
      <c r="K4074" s="317"/>
    </row>
    <row r="4075">
      <c r="K4075" s="317"/>
    </row>
    <row r="4076">
      <c r="K4076" s="317"/>
    </row>
    <row r="4077">
      <c r="K4077" s="317"/>
    </row>
    <row r="4078">
      <c r="K4078" s="317"/>
    </row>
    <row r="4079">
      <c r="K4079" s="317"/>
    </row>
    <row r="4080">
      <c r="K4080" s="317"/>
    </row>
    <row r="4081">
      <c r="K4081" s="317"/>
    </row>
    <row r="4082">
      <c r="K4082" s="317"/>
    </row>
    <row r="4083">
      <c r="K4083" s="317"/>
    </row>
    <row r="4084">
      <c r="K4084" s="317"/>
    </row>
    <row r="4085">
      <c r="K4085" s="317"/>
    </row>
    <row r="4086">
      <c r="K4086" s="317"/>
    </row>
    <row r="4087">
      <c r="K4087" s="317"/>
    </row>
    <row r="4088">
      <c r="K4088" s="317"/>
    </row>
    <row r="4089">
      <c r="K4089" s="317"/>
    </row>
    <row r="4090">
      <c r="K4090" s="317"/>
    </row>
    <row r="4091">
      <c r="K4091" s="317"/>
    </row>
    <row r="4092">
      <c r="K4092" s="317"/>
    </row>
    <row r="4093">
      <c r="K4093" s="317"/>
    </row>
    <row r="4094">
      <c r="K4094" s="317"/>
    </row>
    <row r="4095">
      <c r="K4095" s="317"/>
    </row>
    <row r="4096">
      <c r="K4096" s="317"/>
    </row>
    <row r="4097">
      <c r="K4097" s="317"/>
    </row>
    <row r="4098">
      <c r="K4098" s="317"/>
    </row>
    <row r="4099">
      <c r="K4099" s="317"/>
    </row>
    <row r="4100">
      <c r="K4100" s="317"/>
    </row>
    <row r="4101">
      <c r="K4101" s="317"/>
    </row>
    <row r="4102">
      <c r="K4102" s="317"/>
    </row>
    <row r="4103">
      <c r="K4103" s="317"/>
    </row>
    <row r="4104">
      <c r="K4104" s="317"/>
    </row>
    <row r="4105">
      <c r="K4105" s="317"/>
    </row>
    <row r="4106">
      <c r="K4106" s="317"/>
    </row>
    <row r="4107">
      <c r="K4107" s="317"/>
    </row>
    <row r="4108">
      <c r="K4108" s="317"/>
    </row>
    <row r="4109">
      <c r="K4109" s="317"/>
    </row>
    <row r="4110">
      <c r="K4110" s="317"/>
    </row>
    <row r="4111">
      <c r="K4111" s="317"/>
    </row>
    <row r="4112">
      <c r="K4112" s="317"/>
    </row>
    <row r="4113">
      <c r="K4113" s="317"/>
    </row>
    <row r="4114">
      <c r="K4114" s="317"/>
    </row>
    <row r="4115">
      <c r="K4115" s="317"/>
    </row>
    <row r="4116">
      <c r="K4116" s="317"/>
    </row>
    <row r="4117">
      <c r="K4117" s="317"/>
    </row>
    <row r="4118">
      <c r="K4118" s="317"/>
    </row>
    <row r="4119">
      <c r="K4119" s="317"/>
    </row>
    <row r="4120">
      <c r="K4120" s="317"/>
    </row>
    <row r="4121">
      <c r="K4121" s="317"/>
    </row>
    <row r="4122">
      <c r="K4122" s="317"/>
    </row>
    <row r="4123">
      <c r="K4123" s="317"/>
    </row>
    <row r="4124">
      <c r="K4124" s="317"/>
    </row>
    <row r="4125">
      <c r="K4125" s="317"/>
    </row>
    <row r="4126">
      <c r="K4126" s="317"/>
    </row>
    <row r="4127">
      <c r="K4127" s="317"/>
    </row>
    <row r="4128">
      <c r="K4128" s="317"/>
    </row>
    <row r="4129">
      <c r="K4129" s="317"/>
    </row>
    <row r="4130">
      <c r="K4130" s="317"/>
    </row>
    <row r="4131">
      <c r="K4131" s="317"/>
    </row>
    <row r="4132">
      <c r="K4132" s="317"/>
    </row>
    <row r="4133">
      <c r="K4133" s="317"/>
    </row>
    <row r="4134">
      <c r="K4134" s="317"/>
    </row>
    <row r="4135">
      <c r="K4135" s="317"/>
    </row>
    <row r="4136">
      <c r="K4136" s="317"/>
    </row>
    <row r="4137">
      <c r="K4137" s="317"/>
    </row>
    <row r="4138">
      <c r="K4138" s="317"/>
    </row>
    <row r="4139">
      <c r="K4139" s="317"/>
    </row>
    <row r="4140">
      <c r="K4140" s="317"/>
    </row>
    <row r="4141">
      <c r="K4141" s="317"/>
    </row>
    <row r="4142">
      <c r="K4142" s="317"/>
    </row>
    <row r="4143">
      <c r="K4143" s="317"/>
    </row>
    <row r="4144">
      <c r="K4144" s="317"/>
    </row>
    <row r="4145">
      <c r="K4145" s="317"/>
    </row>
    <row r="4146">
      <c r="K4146" s="317"/>
    </row>
    <row r="4147">
      <c r="K4147" s="317"/>
    </row>
    <row r="4148">
      <c r="K4148" s="317"/>
    </row>
    <row r="4149">
      <c r="K4149" s="317"/>
    </row>
    <row r="4150">
      <c r="K4150" s="317"/>
    </row>
    <row r="4151">
      <c r="K4151" s="317"/>
    </row>
    <row r="4152">
      <c r="K4152" s="317"/>
    </row>
    <row r="4153">
      <c r="K4153" s="317"/>
    </row>
    <row r="4154">
      <c r="K4154" s="317"/>
    </row>
    <row r="4155">
      <c r="K4155" s="317"/>
    </row>
    <row r="4156">
      <c r="K4156" s="317"/>
    </row>
    <row r="4157">
      <c r="K4157" s="317"/>
    </row>
    <row r="4158">
      <c r="K4158" s="317"/>
    </row>
    <row r="4159">
      <c r="K4159" s="317"/>
    </row>
    <row r="4160">
      <c r="K4160" s="317"/>
    </row>
    <row r="4161">
      <c r="K4161" s="317"/>
    </row>
    <row r="4162">
      <c r="K4162" s="317"/>
    </row>
    <row r="4163">
      <c r="K4163" s="317"/>
    </row>
    <row r="4164">
      <c r="K4164" s="317"/>
    </row>
    <row r="4165">
      <c r="K4165" s="317"/>
    </row>
    <row r="4166">
      <c r="K4166" s="317"/>
    </row>
    <row r="4167">
      <c r="K4167" s="317"/>
    </row>
    <row r="4168">
      <c r="K4168" s="317"/>
    </row>
    <row r="4169">
      <c r="K4169" s="317"/>
    </row>
    <row r="4170">
      <c r="K4170" s="317"/>
    </row>
    <row r="4171">
      <c r="K4171" s="317"/>
    </row>
    <row r="4172">
      <c r="K4172" s="317"/>
    </row>
    <row r="4173">
      <c r="K4173" s="317"/>
    </row>
    <row r="4174">
      <c r="K4174" s="317"/>
    </row>
    <row r="4175">
      <c r="K4175" s="317"/>
    </row>
    <row r="4176">
      <c r="K4176" s="317"/>
    </row>
    <row r="4177">
      <c r="K4177" s="317"/>
    </row>
    <row r="4178">
      <c r="K4178" s="317"/>
    </row>
    <row r="4179">
      <c r="K4179" s="317"/>
    </row>
    <row r="4180">
      <c r="K4180" s="317"/>
    </row>
    <row r="4181">
      <c r="K4181" s="317"/>
    </row>
    <row r="4182">
      <c r="K4182" s="317"/>
    </row>
    <row r="4183">
      <c r="K4183" s="317"/>
    </row>
    <row r="4184">
      <c r="K4184" s="317"/>
    </row>
    <row r="4185">
      <c r="K4185" s="317"/>
    </row>
    <row r="4186">
      <c r="K4186" s="317"/>
    </row>
    <row r="4187">
      <c r="K4187" s="317"/>
    </row>
    <row r="4188">
      <c r="K4188" s="317"/>
    </row>
    <row r="4189">
      <c r="K4189" s="317"/>
    </row>
    <row r="4190">
      <c r="K4190" s="317"/>
    </row>
    <row r="4191">
      <c r="K4191" s="317"/>
    </row>
    <row r="4192">
      <c r="K4192" s="317"/>
    </row>
    <row r="4193">
      <c r="K4193" s="317"/>
    </row>
    <row r="4194">
      <c r="K4194" s="317"/>
    </row>
    <row r="4195">
      <c r="K4195" s="317"/>
    </row>
    <row r="4196">
      <c r="K4196" s="317"/>
    </row>
    <row r="4197">
      <c r="K4197" s="317"/>
    </row>
    <row r="4198">
      <c r="K4198" s="317"/>
    </row>
    <row r="4199">
      <c r="K4199" s="317"/>
    </row>
    <row r="4200">
      <c r="K4200" s="317"/>
    </row>
    <row r="4201">
      <c r="K4201" s="317"/>
    </row>
    <row r="4202">
      <c r="K4202" s="317"/>
    </row>
    <row r="4203">
      <c r="K4203" s="317"/>
    </row>
    <row r="4204">
      <c r="K4204" s="317"/>
    </row>
    <row r="4205">
      <c r="K4205" s="317"/>
    </row>
    <row r="4206">
      <c r="K4206" s="317"/>
    </row>
    <row r="4207">
      <c r="K4207" s="317"/>
    </row>
    <row r="4208">
      <c r="K4208" s="317"/>
    </row>
    <row r="4209">
      <c r="K4209" s="317"/>
    </row>
    <row r="4210">
      <c r="K4210" s="317"/>
    </row>
    <row r="4211">
      <c r="K4211" s="317"/>
    </row>
    <row r="4212">
      <c r="K4212" s="317"/>
    </row>
    <row r="4213">
      <c r="K4213" s="317"/>
    </row>
    <row r="4214">
      <c r="K4214" s="317"/>
    </row>
    <row r="4215">
      <c r="K4215" s="317"/>
    </row>
    <row r="4216">
      <c r="K4216" s="317"/>
    </row>
    <row r="4217">
      <c r="K4217" s="317"/>
    </row>
    <row r="4218">
      <c r="K4218" s="317"/>
    </row>
    <row r="4219">
      <c r="K4219" s="317"/>
    </row>
    <row r="4220">
      <c r="K4220" s="317"/>
    </row>
    <row r="4221">
      <c r="K4221" s="317"/>
    </row>
    <row r="4222">
      <c r="K4222" s="317"/>
    </row>
    <row r="4223">
      <c r="K4223" s="317"/>
    </row>
    <row r="4224">
      <c r="K4224" s="317"/>
    </row>
    <row r="4225">
      <c r="K4225" s="317"/>
    </row>
    <row r="4226">
      <c r="K4226" s="317"/>
    </row>
    <row r="4227">
      <c r="K4227" s="317"/>
    </row>
    <row r="4228">
      <c r="K4228" s="317"/>
    </row>
    <row r="4229">
      <c r="K4229" s="317"/>
    </row>
    <row r="4230">
      <c r="K4230" s="317"/>
    </row>
    <row r="4231">
      <c r="K4231" s="317"/>
    </row>
    <row r="4232">
      <c r="K4232" s="317"/>
    </row>
    <row r="4233">
      <c r="K4233" s="317"/>
    </row>
    <row r="4234">
      <c r="K4234" s="317"/>
    </row>
    <row r="4235">
      <c r="K4235" s="317"/>
    </row>
    <row r="4236">
      <c r="K4236" s="317"/>
    </row>
    <row r="4237">
      <c r="K4237" s="317"/>
    </row>
    <row r="4238">
      <c r="K4238" s="317"/>
    </row>
    <row r="4239">
      <c r="K4239" s="317"/>
    </row>
    <row r="4240">
      <c r="K4240" s="317"/>
    </row>
    <row r="4241">
      <c r="K4241" s="317"/>
    </row>
    <row r="4242">
      <c r="K4242" s="317"/>
    </row>
    <row r="4243">
      <c r="K4243" s="317"/>
    </row>
    <row r="4244">
      <c r="K4244" s="317"/>
    </row>
    <row r="4245">
      <c r="K4245" s="317"/>
    </row>
    <row r="4246">
      <c r="K4246" s="317"/>
    </row>
    <row r="4247">
      <c r="K4247" s="317"/>
    </row>
    <row r="4248">
      <c r="K4248" s="317"/>
    </row>
    <row r="4249">
      <c r="K4249" s="317"/>
    </row>
    <row r="4250">
      <c r="K4250" s="317"/>
    </row>
    <row r="4251">
      <c r="K4251" s="317"/>
    </row>
    <row r="4252">
      <c r="K4252" s="317"/>
    </row>
    <row r="4253">
      <c r="K4253" s="317"/>
    </row>
    <row r="4254">
      <c r="K4254" s="317"/>
    </row>
    <row r="4255">
      <c r="K4255" s="317"/>
    </row>
    <row r="4256">
      <c r="K4256" s="317"/>
    </row>
    <row r="4257">
      <c r="K4257" s="317"/>
    </row>
    <row r="4258">
      <c r="K4258" s="317"/>
    </row>
    <row r="4259">
      <c r="K4259" s="317"/>
    </row>
    <row r="4260">
      <c r="K4260" s="317"/>
    </row>
    <row r="4261">
      <c r="K4261" s="317"/>
    </row>
    <row r="4262">
      <c r="K4262" s="317"/>
    </row>
    <row r="4263">
      <c r="K4263" s="317"/>
    </row>
    <row r="4264">
      <c r="K4264" s="317"/>
    </row>
    <row r="4265">
      <c r="K4265" s="317"/>
    </row>
    <row r="4266">
      <c r="K4266" s="317"/>
    </row>
    <row r="4267">
      <c r="K4267" s="317"/>
    </row>
    <row r="4268">
      <c r="K4268" s="317"/>
    </row>
    <row r="4269">
      <c r="K4269" s="317"/>
    </row>
    <row r="4270">
      <c r="K4270" s="317"/>
    </row>
    <row r="4271">
      <c r="K4271" s="317"/>
    </row>
    <row r="4272">
      <c r="K4272" s="317"/>
    </row>
    <row r="4273">
      <c r="K4273" s="317"/>
    </row>
    <row r="4274">
      <c r="K4274" s="317"/>
    </row>
    <row r="4275">
      <c r="K4275" s="317"/>
    </row>
    <row r="4276">
      <c r="K4276" s="317"/>
    </row>
    <row r="4277">
      <c r="K4277" s="317"/>
    </row>
    <row r="4278">
      <c r="K4278" s="317"/>
    </row>
    <row r="4279">
      <c r="K4279" s="317"/>
    </row>
    <row r="4280">
      <c r="K4280" s="317"/>
    </row>
    <row r="4281">
      <c r="K4281" s="317"/>
    </row>
    <row r="4282">
      <c r="K4282" s="317"/>
    </row>
    <row r="4283">
      <c r="K4283" s="317"/>
    </row>
    <row r="4284">
      <c r="K4284" s="317"/>
    </row>
    <row r="4285">
      <c r="K4285" s="317"/>
    </row>
    <row r="4286">
      <c r="K4286" s="317"/>
    </row>
    <row r="4287">
      <c r="K4287" s="317"/>
    </row>
    <row r="4288">
      <c r="K4288" s="317"/>
    </row>
    <row r="4289">
      <c r="K4289" s="317"/>
    </row>
    <row r="4290">
      <c r="K4290" s="317"/>
    </row>
    <row r="4291">
      <c r="K4291" s="317"/>
    </row>
    <row r="4292">
      <c r="K4292" s="317"/>
    </row>
    <row r="4293">
      <c r="K4293" s="317"/>
    </row>
    <row r="4294">
      <c r="K4294" s="317"/>
    </row>
    <row r="4295">
      <c r="K4295" s="317"/>
    </row>
    <row r="4296">
      <c r="K4296" s="317"/>
    </row>
    <row r="4297">
      <c r="K4297" s="317"/>
    </row>
    <row r="4298">
      <c r="K4298" s="317"/>
    </row>
    <row r="4299">
      <c r="K4299" s="317"/>
    </row>
    <row r="4300">
      <c r="K4300" s="317"/>
    </row>
    <row r="4301">
      <c r="K4301" s="317"/>
    </row>
    <row r="4302">
      <c r="K4302" s="317"/>
    </row>
    <row r="4303">
      <c r="K4303" s="317"/>
    </row>
    <row r="4304">
      <c r="K4304" s="317"/>
    </row>
    <row r="4305">
      <c r="K4305" s="317"/>
    </row>
    <row r="4306">
      <c r="K4306" s="317"/>
    </row>
    <row r="4307">
      <c r="K4307" s="317"/>
    </row>
    <row r="4308">
      <c r="K4308" s="317"/>
    </row>
    <row r="4309">
      <c r="K4309" s="317"/>
    </row>
    <row r="4310">
      <c r="K4310" s="317"/>
    </row>
    <row r="4311">
      <c r="K4311" s="317"/>
    </row>
    <row r="4312">
      <c r="K4312" s="317"/>
    </row>
    <row r="4313">
      <c r="K4313" s="317"/>
    </row>
    <row r="4314">
      <c r="K4314" s="317"/>
    </row>
    <row r="4315">
      <c r="K4315" s="317"/>
    </row>
    <row r="4316">
      <c r="K4316" s="317"/>
    </row>
    <row r="4317">
      <c r="K4317" s="317"/>
    </row>
    <row r="4318">
      <c r="K4318" s="317"/>
    </row>
    <row r="4319">
      <c r="K4319" s="317"/>
    </row>
    <row r="4320">
      <c r="K4320" s="317"/>
    </row>
    <row r="4321">
      <c r="K4321" s="317"/>
    </row>
    <row r="4322">
      <c r="K4322" s="317"/>
    </row>
    <row r="4323">
      <c r="K4323" s="317"/>
    </row>
    <row r="4324">
      <c r="K4324" s="317"/>
    </row>
    <row r="4325">
      <c r="K4325" s="317"/>
    </row>
    <row r="4326">
      <c r="K4326" s="317"/>
    </row>
    <row r="4327">
      <c r="K4327" s="317"/>
    </row>
    <row r="4328">
      <c r="K4328" s="317"/>
    </row>
    <row r="4329">
      <c r="K4329" s="317"/>
    </row>
    <row r="4330">
      <c r="K4330" s="317"/>
    </row>
    <row r="4331">
      <c r="K4331" s="317"/>
    </row>
    <row r="4332">
      <c r="K4332" s="317"/>
    </row>
    <row r="4333">
      <c r="K4333" s="317"/>
    </row>
    <row r="4334">
      <c r="K4334" s="317"/>
    </row>
    <row r="4335">
      <c r="K4335" s="317"/>
    </row>
    <row r="4336">
      <c r="K4336" s="317"/>
    </row>
    <row r="4337">
      <c r="K4337" s="317"/>
    </row>
    <row r="4338">
      <c r="K4338" s="317"/>
    </row>
    <row r="4339">
      <c r="K4339" s="317"/>
    </row>
    <row r="4340">
      <c r="K4340" s="317"/>
    </row>
    <row r="4341">
      <c r="K4341" s="317"/>
    </row>
    <row r="4342">
      <c r="K4342" s="317"/>
    </row>
    <row r="4343">
      <c r="K4343" s="317"/>
    </row>
    <row r="4344">
      <c r="K4344" s="317"/>
    </row>
    <row r="4345">
      <c r="K4345" s="317"/>
    </row>
    <row r="4346">
      <c r="K4346" s="317"/>
    </row>
    <row r="4347">
      <c r="K4347" s="317"/>
    </row>
    <row r="4348">
      <c r="K4348" s="317"/>
    </row>
    <row r="4349">
      <c r="K4349" s="317"/>
    </row>
    <row r="4350">
      <c r="K4350" s="317"/>
    </row>
    <row r="4351">
      <c r="K4351" s="317"/>
    </row>
    <row r="4352">
      <c r="K4352" s="317"/>
    </row>
    <row r="4353">
      <c r="K4353" s="317"/>
    </row>
    <row r="4354">
      <c r="K4354" s="317"/>
    </row>
    <row r="4355">
      <c r="K4355" s="317"/>
    </row>
    <row r="4356">
      <c r="K4356" s="317"/>
    </row>
    <row r="4357">
      <c r="K4357" s="317"/>
    </row>
    <row r="4358">
      <c r="K4358" s="317"/>
    </row>
    <row r="4359">
      <c r="K4359" s="317"/>
    </row>
    <row r="4360">
      <c r="K4360" s="317"/>
    </row>
    <row r="4361">
      <c r="K4361" s="317"/>
    </row>
    <row r="4362">
      <c r="K4362" s="317"/>
    </row>
    <row r="4363">
      <c r="K4363" s="317"/>
    </row>
    <row r="4364">
      <c r="K4364" s="317"/>
    </row>
    <row r="4365">
      <c r="K4365" s="317"/>
    </row>
    <row r="4366">
      <c r="K4366" s="317"/>
    </row>
    <row r="4367">
      <c r="K4367" s="317"/>
    </row>
    <row r="4368">
      <c r="K4368" s="317"/>
    </row>
    <row r="4369">
      <c r="K4369" s="317"/>
    </row>
    <row r="4370">
      <c r="K4370" s="317"/>
    </row>
    <row r="4371">
      <c r="K4371" s="317"/>
    </row>
    <row r="4372">
      <c r="K4372" s="317"/>
    </row>
    <row r="4373">
      <c r="K4373" s="317"/>
    </row>
    <row r="4374">
      <c r="K4374" s="317"/>
    </row>
    <row r="4375">
      <c r="K4375" s="317"/>
    </row>
    <row r="4376">
      <c r="K4376" s="317"/>
    </row>
    <row r="4377">
      <c r="K4377" s="317"/>
    </row>
    <row r="4378">
      <c r="K4378" s="317"/>
    </row>
    <row r="4379">
      <c r="K4379" s="317"/>
    </row>
    <row r="4380">
      <c r="K4380" s="317"/>
    </row>
    <row r="4381">
      <c r="K4381" s="317"/>
    </row>
    <row r="4382">
      <c r="K4382" s="317"/>
    </row>
    <row r="4383">
      <c r="K4383" s="317"/>
    </row>
    <row r="4384">
      <c r="K4384" s="317"/>
    </row>
    <row r="4385">
      <c r="K4385" s="317"/>
    </row>
    <row r="4386">
      <c r="K4386" s="317"/>
    </row>
    <row r="4387">
      <c r="K4387" s="317"/>
    </row>
    <row r="4388">
      <c r="K4388" s="317"/>
    </row>
    <row r="4389">
      <c r="K4389" s="317"/>
    </row>
    <row r="4390">
      <c r="K4390" s="317"/>
    </row>
    <row r="4391">
      <c r="K4391" s="317"/>
    </row>
    <row r="4392">
      <c r="K4392" s="317"/>
    </row>
    <row r="4393">
      <c r="K4393" s="317"/>
    </row>
    <row r="4394">
      <c r="K4394" s="317"/>
    </row>
    <row r="4395">
      <c r="K4395" s="317"/>
    </row>
    <row r="4396">
      <c r="K4396" s="317"/>
    </row>
    <row r="4397">
      <c r="K4397" s="317"/>
    </row>
    <row r="4398">
      <c r="K4398" s="317"/>
    </row>
    <row r="4399">
      <c r="K4399" s="317"/>
    </row>
    <row r="4400">
      <c r="K4400" s="317"/>
    </row>
    <row r="4401">
      <c r="K4401" s="317"/>
    </row>
    <row r="4402">
      <c r="K4402" s="317"/>
    </row>
    <row r="4403">
      <c r="K4403" s="317"/>
    </row>
    <row r="4404">
      <c r="K4404" s="317"/>
    </row>
    <row r="4405">
      <c r="K4405" s="317"/>
    </row>
    <row r="4406">
      <c r="K4406" s="317"/>
    </row>
    <row r="4407">
      <c r="K4407" s="317"/>
    </row>
    <row r="4408">
      <c r="K4408" s="317"/>
    </row>
    <row r="4409">
      <c r="K4409" s="317"/>
    </row>
    <row r="4410">
      <c r="K4410" s="317"/>
    </row>
    <row r="4411">
      <c r="K4411" s="317"/>
    </row>
    <row r="4412">
      <c r="K4412" s="317"/>
    </row>
    <row r="4413">
      <c r="K4413" s="317"/>
    </row>
    <row r="4414">
      <c r="K4414" s="317"/>
    </row>
    <row r="4415">
      <c r="K4415" s="317"/>
    </row>
    <row r="4416">
      <c r="K4416" s="317"/>
    </row>
    <row r="4417">
      <c r="K4417" s="317"/>
    </row>
    <row r="4418">
      <c r="K4418" s="317"/>
    </row>
    <row r="4419">
      <c r="K4419" s="317"/>
    </row>
    <row r="4420">
      <c r="K4420" s="317"/>
    </row>
    <row r="4421">
      <c r="K4421" s="317"/>
    </row>
    <row r="4422">
      <c r="K4422" s="317"/>
    </row>
    <row r="4423">
      <c r="K4423" s="317"/>
    </row>
    <row r="4424">
      <c r="K4424" s="317"/>
    </row>
    <row r="4425">
      <c r="K4425" s="317"/>
    </row>
    <row r="4426">
      <c r="K4426" s="317"/>
    </row>
    <row r="4427">
      <c r="K4427" s="317"/>
    </row>
    <row r="4428">
      <c r="K4428" s="317"/>
    </row>
    <row r="4429">
      <c r="K4429" s="317"/>
    </row>
    <row r="4430">
      <c r="K4430" s="317"/>
    </row>
    <row r="4431">
      <c r="K4431" s="317"/>
    </row>
    <row r="4432">
      <c r="K4432" s="317"/>
    </row>
    <row r="4433">
      <c r="K4433" s="317"/>
    </row>
    <row r="4434">
      <c r="K4434" s="317"/>
    </row>
    <row r="4435">
      <c r="K4435" s="317"/>
    </row>
    <row r="4436">
      <c r="K4436" s="317"/>
    </row>
    <row r="4437">
      <c r="K4437" s="317"/>
    </row>
    <row r="4438">
      <c r="K4438" s="317"/>
    </row>
    <row r="4439">
      <c r="K4439" s="317"/>
    </row>
    <row r="4440">
      <c r="K4440" s="317"/>
    </row>
    <row r="4441">
      <c r="K4441" s="317"/>
    </row>
    <row r="4442">
      <c r="K4442" s="317"/>
    </row>
    <row r="4443">
      <c r="K4443" s="317"/>
    </row>
    <row r="4444">
      <c r="K4444" s="317"/>
    </row>
    <row r="4445">
      <c r="K4445" s="317"/>
    </row>
    <row r="4446">
      <c r="K4446" s="317"/>
    </row>
    <row r="4447">
      <c r="K4447" s="317"/>
    </row>
    <row r="4448">
      <c r="K4448" s="317"/>
    </row>
    <row r="4449">
      <c r="K4449" s="317"/>
    </row>
    <row r="4450">
      <c r="K4450" s="317"/>
    </row>
    <row r="4451">
      <c r="K4451" s="317"/>
    </row>
    <row r="4452">
      <c r="K4452" s="317"/>
    </row>
    <row r="4453">
      <c r="K4453" s="317"/>
    </row>
    <row r="4454">
      <c r="K4454" s="317"/>
    </row>
    <row r="4455">
      <c r="K4455" s="317"/>
    </row>
    <row r="4456">
      <c r="K4456" s="317"/>
    </row>
    <row r="4457">
      <c r="K4457" s="317"/>
    </row>
    <row r="4458">
      <c r="K4458" s="317"/>
    </row>
    <row r="4459">
      <c r="K4459" s="317"/>
    </row>
    <row r="4460">
      <c r="K4460" s="317"/>
    </row>
    <row r="4461">
      <c r="K4461" s="317"/>
    </row>
    <row r="4462">
      <c r="K4462" s="317"/>
    </row>
    <row r="4463">
      <c r="K4463" s="317"/>
    </row>
    <row r="4464">
      <c r="K4464" s="317"/>
    </row>
    <row r="4465">
      <c r="K4465" s="317"/>
    </row>
    <row r="4466">
      <c r="K4466" s="317"/>
    </row>
    <row r="4467">
      <c r="K4467" s="317"/>
    </row>
    <row r="4468">
      <c r="K4468" s="317"/>
    </row>
    <row r="4469">
      <c r="K4469" s="317"/>
    </row>
    <row r="4470">
      <c r="K4470" s="317"/>
    </row>
    <row r="4471">
      <c r="K4471" s="317"/>
    </row>
    <row r="4472">
      <c r="K4472" s="317"/>
    </row>
    <row r="4473">
      <c r="K4473" s="317"/>
    </row>
    <row r="4474">
      <c r="K4474" s="317"/>
    </row>
    <row r="4475">
      <c r="K4475" s="317"/>
    </row>
    <row r="4476">
      <c r="K4476" s="317"/>
    </row>
    <row r="4477">
      <c r="K4477" s="317"/>
    </row>
    <row r="4478">
      <c r="K4478" s="317"/>
    </row>
    <row r="4479">
      <c r="K4479" s="317"/>
    </row>
    <row r="4480">
      <c r="K4480" s="317"/>
    </row>
    <row r="4481">
      <c r="K4481" s="317"/>
    </row>
    <row r="4482">
      <c r="K4482" s="317"/>
    </row>
    <row r="4483">
      <c r="K4483" s="317"/>
    </row>
    <row r="4484">
      <c r="K4484" s="317"/>
    </row>
    <row r="4485">
      <c r="K4485" s="317"/>
    </row>
    <row r="4486">
      <c r="K4486" s="317"/>
    </row>
    <row r="4487">
      <c r="K4487" s="317"/>
    </row>
    <row r="4488">
      <c r="K4488" s="317"/>
    </row>
    <row r="4489">
      <c r="K4489" s="317"/>
    </row>
    <row r="4490">
      <c r="K4490" s="317"/>
    </row>
    <row r="4491">
      <c r="K4491" s="317"/>
    </row>
    <row r="4492">
      <c r="K4492" s="317"/>
    </row>
    <row r="4493">
      <c r="K4493" s="317"/>
    </row>
    <row r="4494">
      <c r="K4494" s="317"/>
    </row>
    <row r="4495">
      <c r="K4495" s="317"/>
    </row>
    <row r="4496">
      <c r="K4496" s="317"/>
    </row>
    <row r="4497">
      <c r="K4497" s="317"/>
    </row>
    <row r="4498">
      <c r="K4498" s="317"/>
    </row>
    <row r="4499">
      <c r="K4499" s="317"/>
    </row>
    <row r="4500">
      <c r="K4500" s="317"/>
    </row>
    <row r="4501">
      <c r="K4501" s="317"/>
    </row>
    <row r="4502">
      <c r="K4502" s="317"/>
    </row>
    <row r="4503">
      <c r="K4503" s="317"/>
    </row>
    <row r="4504">
      <c r="K4504" s="317"/>
    </row>
    <row r="4505">
      <c r="K4505" s="317"/>
    </row>
    <row r="4506">
      <c r="K4506" s="317"/>
    </row>
    <row r="4507">
      <c r="K4507" s="317"/>
    </row>
    <row r="4508">
      <c r="K4508" s="317"/>
    </row>
    <row r="4509">
      <c r="K4509" s="317"/>
    </row>
    <row r="4510">
      <c r="K4510" s="317"/>
    </row>
    <row r="4511">
      <c r="K4511" s="317"/>
    </row>
    <row r="4512">
      <c r="K4512" s="317"/>
    </row>
    <row r="4513">
      <c r="K4513" s="317"/>
    </row>
    <row r="4514">
      <c r="K4514" s="317"/>
    </row>
    <row r="4515">
      <c r="K4515" s="317"/>
    </row>
    <row r="4516">
      <c r="K4516" s="317"/>
    </row>
    <row r="4517">
      <c r="K4517" s="317"/>
    </row>
    <row r="4518">
      <c r="K4518" s="317"/>
    </row>
    <row r="4519">
      <c r="K4519" s="317"/>
    </row>
    <row r="4520">
      <c r="K4520" s="317"/>
    </row>
    <row r="4521">
      <c r="K4521" s="317"/>
    </row>
    <row r="4522">
      <c r="K4522" s="317"/>
    </row>
    <row r="4523">
      <c r="K4523" s="317"/>
    </row>
    <row r="4524">
      <c r="K4524" s="317"/>
    </row>
    <row r="4525">
      <c r="K4525" s="317"/>
    </row>
    <row r="4526">
      <c r="K4526" s="317"/>
    </row>
    <row r="4527">
      <c r="K4527" s="317"/>
    </row>
    <row r="4528">
      <c r="K4528" s="317"/>
    </row>
    <row r="4529">
      <c r="K4529" s="317"/>
    </row>
    <row r="4530">
      <c r="K4530" s="317"/>
    </row>
    <row r="4531">
      <c r="K4531" s="317"/>
    </row>
    <row r="4532">
      <c r="K4532" s="317"/>
    </row>
    <row r="4533">
      <c r="K4533" s="317"/>
    </row>
    <row r="4534">
      <c r="K4534" s="317"/>
    </row>
    <row r="4535">
      <c r="K4535" s="317"/>
    </row>
    <row r="4536">
      <c r="K4536" s="317"/>
    </row>
    <row r="4537">
      <c r="K4537" s="317"/>
    </row>
    <row r="4538">
      <c r="K4538" s="317"/>
    </row>
    <row r="4539">
      <c r="K4539" s="317"/>
    </row>
    <row r="4540">
      <c r="K4540" s="317"/>
    </row>
    <row r="4541">
      <c r="K4541" s="317"/>
    </row>
    <row r="4542">
      <c r="K4542" s="317"/>
    </row>
    <row r="4543">
      <c r="K4543" s="317"/>
    </row>
    <row r="4544">
      <c r="K4544" s="317"/>
    </row>
    <row r="4545">
      <c r="K4545" s="317"/>
    </row>
    <row r="4546">
      <c r="K4546" s="317"/>
    </row>
    <row r="4547">
      <c r="K4547" s="317"/>
    </row>
    <row r="4548">
      <c r="K4548" s="317"/>
    </row>
    <row r="4549">
      <c r="K4549" s="317"/>
    </row>
    <row r="4550">
      <c r="K4550" s="317"/>
    </row>
    <row r="4551">
      <c r="K4551" s="317"/>
    </row>
    <row r="4552">
      <c r="K4552" s="317"/>
    </row>
    <row r="4553">
      <c r="K4553" s="317"/>
    </row>
    <row r="4554">
      <c r="K4554" s="317"/>
    </row>
    <row r="4555">
      <c r="K4555" s="317"/>
    </row>
    <row r="4556">
      <c r="K4556" s="317"/>
    </row>
    <row r="4557">
      <c r="K4557" s="317"/>
    </row>
    <row r="4558">
      <c r="K4558" s="317"/>
    </row>
    <row r="4559">
      <c r="K4559" s="317"/>
    </row>
    <row r="4560">
      <c r="K4560" s="317"/>
    </row>
    <row r="4561">
      <c r="K4561" s="317"/>
    </row>
    <row r="4562">
      <c r="K4562" s="317"/>
    </row>
    <row r="4563">
      <c r="K4563" s="317"/>
    </row>
    <row r="4564">
      <c r="K4564" s="317"/>
    </row>
    <row r="4565">
      <c r="K4565" s="317"/>
    </row>
    <row r="4566">
      <c r="K4566" s="317"/>
    </row>
    <row r="4567">
      <c r="K4567" s="317"/>
    </row>
    <row r="4568">
      <c r="K4568" s="317"/>
    </row>
    <row r="4569">
      <c r="K4569" s="317"/>
    </row>
    <row r="4570">
      <c r="K4570" s="317"/>
    </row>
    <row r="4571">
      <c r="K4571" s="317"/>
    </row>
    <row r="4572">
      <c r="K4572" s="317"/>
    </row>
    <row r="4573">
      <c r="K4573" s="317"/>
    </row>
    <row r="4574">
      <c r="K4574" s="317"/>
    </row>
    <row r="4575">
      <c r="K4575" s="317"/>
    </row>
    <row r="4576">
      <c r="K4576" s="317"/>
    </row>
    <row r="4577">
      <c r="K4577" s="317"/>
    </row>
    <row r="4578">
      <c r="K4578" s="317"/>
    </row>
    <row r="4579">
      <c r="K4579" s="317"/>
    </row>
    <row r="4580">
      <c r="K4580" s="317"/>
    </row>
    <row r="4581">
      <c r="K4581" s="317"/>
    </row>
    <row r="4582">
      <c r="K4582" s="317"/>
    </row>
    <row r="4583">
      <c r="K4583" s="317"/>
    </row>
    <row r="4584">
      <c r="K4584" s="317"/>
    </row>
    <row r="4585">
      <c r="K4585" s="317"/>
    </row>
    <row r="4586">
      <c r="K4586" s="317"/>
    </row>
    <row r="4587">
      <c r="K4587" s="317"/>
    </row>
    <row r="4588">
      <c r="K4588" s="317"/>
    </row>
    <row r="4589">
      <c r="K4589" s="317"/>
    </row>
    <row r="4590">
      <c r="K4590" s="317"/>
    </row>
    <row r="4591">
      <c r="K4591" s="317"/>
    </row>
    <row r="4592">
      <c r="K4592" s="317"/>
    </row>
    <row r="4593">
      <c r="K4593" s="317"/>
    </row>
    <row r="4594">
      <c r="K4594" s="317"/>
    </row>
    <row r="4595">
      <c r="K4595" s="317"/>
    </row>
    <row r="4596">
      <c r="K4596" s="317"/>
    </row>
    <row r="4597">
      <c r="K4597" s="317"/>
    </row>
    <row r="4598">
      <c r="K4598" s="317"/>
    </row>
    <row r="4599">
      <c r="K4599" s="317"/>
    </row>
    <row r="4600">
      <c r="K4600" s="317"/>
    </row>
    <row r="4601">
      <c r="K4601" s="317"/>
    </row>
    <row r="4602">
      <c r="K4602" s="317"/>
    </row>
    <row r="4603">
      <c r="K4603" s="317"/>
    </row>
    <row r="4604">
      <c r="K4604" s="317"/>
    </row>
    <row r="4605">
      <c r="K4605" s="317"/>
    </row>
    <row r="4606">
      <c r="K4606" s="317"/>
    </row>
    <row r="4607">
      <c r="K4607" s="317"/>
    </row>
    <row r="4608">
      <c r="K4608" s="317"/>
    </row>
    <row r="4609">
      <c r="K4609" s="317"/>
    </row>
    <row r="4610">
      <c r="K4610" s="317"/>
    </row>
    <row r="4611">
      <c r="K4611" s="317"/>
    </row>
    <row r="4612">
      <c r="K4612" s="317"/>
    </row>
    <row r="4613">
      <c r="K4613" s="317"/>
    </row>
    <row r="4614">
      <c r="K4614" s="317"/>
    </row>
    <row r="4615">
      <c r="K4615" s="317"/>
    </row>
    <row r="4616">
      <c r="K4616" s="317"/>
    </row>
    <row r="4617">
      <c r="K4617" s="317"/>
    </row>
    <row r="4618">
      <c r="K4618" s="317"/>
    </row>
    <row r="4619">
      <c r="K4619" s="317"/>
    </row>
    <row r="4620">
      <c r="K4620" s="317"/>
    </row>
    <row r="4621">
      <c r="K4621" s="317"/>
    </row>
    <row r="4622">
      <c r="K4622" s="317"/>
    </row>
    <row r="4623">
      <c r="K4623" s="317"/>
    </row>
    <row r="4624">
      <c r="K4624" s="317"/>
    </row>
    <row r="4625">
      <c r="K4625" s="317"/>
    </row>
    <row r="4626">
      <c r="K4626" s="317"/>
    </row>
    <row r="4627">
      <c r="K4627" s="317"/>
    </row>
    <row r="4628">
      <c r="K4628" s="317"/>
    </row>
    <row r="4629">
      <c r="K4629" s="317"/>
    </row>
    <row r="4630">
      <c r="K4630" s="317"/>
    </row>
    <row r="4631">
      <c r="K4631" s="317"/>
    </row>
    <row r="4632">
      <c r="K4632" s="317"/>
    </row>
    <row r="4633">
      <c r="K4633" s="317"/>
    </row>
    <row r="4634">
      <c r="K4634" s="317"/>
    </row>
    <row r="4635">
      <c r="K4635" s="317"/>
    </row>
    <row r="4636">
      <c r="K4636" s="317"/>
    </row>
    <row r="4637">
      <c r="K4637" s="317"/>
    </row>
    <row r="4638">
      <c r="K4638" s="317"/>
    </row>
    <row r="4639">
      <c r="K4639" s="317"/>
    </row>
    <row r="4640">
      <c r="K4640" s="317"/>
    </row>
    <row r="4641">
      <c r="K4641" s="317"/>
    </row>
    <row r="4642">
      <c r="K4642" s="317"/>
    </row>
    <row r="4643">
      <c r="K4643" s="317"/>
    </row>
    <row r="4644">
      <c r="K4644" s="317"/>
    </row>
    <row r="4645">
      <c r="K4645" s="317"/>
    </row>
    <row r="4646">
      <c r="K4646" s="317"/>
    </row>
    <row r="4647">
      <c r="K4647" s="317"/>
    </row>
    <row r="4648">
      <c r="K4648" s="317"/>
    </row>
    <row r="4649">
      <c r="K4649" s="317"/>
    </row>
    <row r="4650">
      <c r="K4650" s="317"/>
    </row>
    <row r="4651">
      <c r="K4651" s="317"/>
    </row>
    <row r="4652">
      <c r="K4652" s="317"/>
    </row>
    <row r="4653">
      <c r="K4653" s="317"/>
    </row>
    <row r="4654">
      <c r="K4654" s="317"/>
    </row>
    <row r="4655">
      <c r="K4655" s="317"/>
    </row>
    <row r="4656">
      <c r="K4656" s="317"/>
    </row>
    <row r="4657">
      <c r="K4657" s="317"/>
    </row>
    <row r="4658">
      <c r="K4658" s="317"/>
    </row>
    <row r="4659">
      <c r="K4659" s="317"/>
    </row>
    <row r="4660">
      <c r="K4660" s="317"/>
    </row>
    <row r="4661">
      <c r="K4661" s="317"/>
    </row>
    <row r="4662">
      <c r="K4662" s="317"/>
    </row>
    <row r="4663">
      <c r="K4663" s="317"/>
    </row>
    <row r="4664">
      <c r="K4664" s="317"/>
    </row>
    <row r="4665">
      <c r="K4665" s="317"/>
    </row>
    <row r="4666">
      <c r="K4666" s="317"/>
    </row>
    <row r="4667">
      <c r="K4667" s="317"/>
    </row>
    <row r="4668">
      <c r="K4668" s="317"/>
    </row>
    <row r="4669">
      <c r="K4669" s="317"/>
    </row>
    <row r="4670">
      <c r="K4670" s="317"/>
    </row>
    <row r="4671">
      <c r="K4671" s="317"/>
    </row>
    <row r="4672">
      <c r="K4672" s="317"/>
    </row>
    <row r="4673">
      <c r="K4673" s="317"/>
    </row>
    <row r="4674">
      <c r="K4674" s="317"/>
    </row>
    <row r="4675">
      <c r="K4675" s="317"/>
    </row>
    <row r="4676">
      <c r="K4676" s="317"/>
    </row>
    <row r="4677">
      <c r="K4677" s="317"/>
    </row>
    <row r="4678">
      <c r="K4678" s="317"/>
    </row>
    <row r="4679">
      <c r="K4679" s="317"/>
    </row>
    <row r="4680">
      <c r="K4680" s="317"/>
    </row>
    <row r="4681">
      <c r="K4681" s="317"/>
    </row>
    <row r="4682">
      <c r="K4682" s="317"/>
    </row>
    <row r="4683">
      <c r="K4683" s="317"/>
    </row>
    <row r="4684">
      <c r="K4684" s="317"/>
    </row>
    <row r="4685">
      <c r="K4685" s="317"/>
    </row>
    <row r="4686">
      <c r="K4686" s="317"/>
    </row>
    <row r="4687">
      <c r="K4687" s="317"/>
    </row>
    <row r="4688">
      <c r="K4688" s="317"/>
    </row>
    <row r="4689">
      <c r="K4689" s="317"/>
    </row>
    <row r="4690">
      <c r="K4690" s="317"/>
    </row>
    <row r="4691">
      <c r="K4691" s="317"/>
    </row>
    <row r="4692">
      <c r="K4692" s="317"/>
    </row>
    <row r="4693">
      <c r="K4693" s="317"/>
    </row>
    <row r="4694">
      <c r="K4694" s="317"/>
    </row>
    <row r="4695">
      <c r="K4695" s="317"/>
    </row>
    <row r="4696">
      <c r="K4696" s="317"/>
    </row>
    <row r="4697">
      <c r="K4697" s="317"/>
    </row>
    <row r="4698">
      <c r="K4698" s="317"/>
    </row>
    <row r="4699">
      <c r="K4699" s="317"/>
    </row>
    <row r="4700">
      <c r="K4700" s="317"/>
    </row>
    <row r="4701">
      <c r="K4701" s="317"/>
    </row>
    <row r="4702">
      <c r="K4702" s="317"/>
    </row>
    <row r="4703">
      <c r="K4703" s="317"/>
    </row>
    <row r="4704">
      <c r="K4704" s="317"/>
    </row>
    <row r="4705">
      <c r="K4705" s="317"/>
    </row>
    <row r="4706">
      <c r="K4706" s="317"/>
    </row>
    <row r="4707">
      <c r="K4707" s="317"/>
    </row>
    <row r="4708">
      <c r="K4708" s="317"/>
    </row>
    <row r="4709">
      <c r="K4709" s="317"/>
    </row>
    <row r="4710">
      <c r="K4710" s="317"/>
    </row>
    <row r="4711">
      <c r="K4711" s="317"/>
    </row>
    <row r="4712">
      <c r="K4712" s="317"/>
    </row>
    <row r="4713">
      <c r="K4713" s="317"/>
    </row>
    <row r="4714">
      <c r="K4714" s="317"/>
    </row>
    <row r="4715">
      <c r="K4715" s="317"/>
    </row>
    <row r="4716">
      <c r="K4716" s="317"/>
    </row>
    <row r="4717">
      <c r="K4717" s="317"/>
    </row>
    <row r="4718">
      <c r="K4718" s="317"/>
    </row>
    <row r="4719">
      <c r="K4719" s="317"/>
    </row>
    <row r="4720">
      <c r="K4720" s="317"/>
    </row>
    <row r="4721">
      <c r="K4721" s="317"/>
    </row>
    <row r="4722">
      <c r="K4722" s="317"/>
    </row>
    <row r="4723">
      <c r="K4723" s="317"/>
    </row>
    <row r="4724">
      <c r="K4724" s="317"/>
    </row>
    <row r="4725">
      <c r="K4725" s="317"/>
    </row>
    <row r="4726">
      <c r="K4726" s="317"/>
    </row>
    <row r="4727">
      <c r="K4727" s="317"/>
    </row>
    <row r="4728">
      <c r="K4728" s="317"/>
    </row>
    <row r="4729">
      <c r="K4729" s="317"/>
    </row>
    <row r="4730">
      <c r="K4730" s="317"/>
    </row>
    <row r="4731">
      <c r="K4731" s="317"/>
    </row>
    <row r="4732">
      <c r="K4732" s="317"/>
    </row>
    <row r="4733">
      <c r="K4733" s="317"/>
    </row>
    <row r="4734">
      <c r="K4734" s="317"/>
    </row>
    <row r="4735">
      <c r="K4735" s="317"/>
    </row>
    <row r="4736">
      <c r="K4736" s="317"/>
    </row>
    <row r="4737">
      <c r="K4737" s="317"/>
    </row>
    <row r="4738">
      <c r="K4738" s="317"/>
    </row>
    <row r="4739">
      <c r="K4739" s="317"/>
    </row>
    <row r="4740">
      <c r="K4740" s="317"/>
    </row>
    <row r="4741">
      <c r="K4741" s="317"/>
    </row>
    <row r="4742">
      <c r="K4742" s="317"/>
    </row>
    <row r="4743">
      <c r="K4743" s="317"/>
    </row>
    <row r="4744">
      <c r="K4744" s="317"/>
    </row>
    <row r="4745">
      <c r="K4745" s="317"/>
    </row>
    <row r="4746">
      <c r="K4746" s="317"/>
    </row>
    <row r="4747">
      <c r="K4747" s="317"/>
    </row>
    <row r="4748">
      <c r="K4748" s="317"/>
    </row>
    <row r="4749">
      <c r="K4749" s="317"/>
    </row>
    <row r="4750">
      <c r="K4750" s="317"/>
    </row>
    <row r="4751">
      <c r="K4751" s="317"/>
    </row>
    <row r="4752">
      <c r="K4752" s="317"/>
    </row>
    <row r="4753">
      <c r="K4753" s="317"/>
    </row>
    <row r="4754">
      <c r="K4754" s="317"/>
    </row>
    <row r="4755">
      <c r="K4755" s="317"/>
    </row>
    <row r="4756">
      <c r="K4756" s="317"/>
    </row>
    <row r="4757">
      <c r="K4757" s="317"/>
    </row>
    <row r="4758">
      <c r="K4758" s="317"/>
    </row>
    <row r="4759">
      <c r="K4759" s="317"/>
    </row>
    <row r="4760">
      <c r="K4760" s="317"/>
    </row>
    <row r="4761">
      <c r="K4761" s="317"/>
    </row>
    <row r="4762">
      <c r="K4762" s="317"/>
    </row>
    <row r="4763">
      <c r="K4763" s="317"/>
    </row>
    <row r="4764">
      <c r="K4764" s="317"/>
    </row>
    <row r="4765">
      <c r="K4765" s="317"/>
    </row>
    <row r="4766">
      <c r="K4766" s="317"/>
    </row>
    <row r="4767">
      <c r="K4767" s="317"/>
    </row>
    <row r="4768">
      <c r="K4768" s="317"/>
    </row>
    <row r="4769">
      <c r="K4769" s="317"/>
    </row>
    <row r="4770">
      <c r="K4770" s="317"/>
    </row>
    <row r="4771">
      <c r="K4771" s="317"/>
    </row>
    <row r="4772">
      <c r="K4772" s="317"/>
    </row>
    <row r="4773">
      <c r="K4773" s="317"/>
    </row>
    <row r="4774">
      <c r="K4774" s="317"/>
    </row>
    <row r="4775">
      <c r="K4775" s="317"/>
    </row>
    <row r="4776">
      <c r="K4776" s="317"/>
    </row>
    <row r="4777">
      <c r="K4777" s="317"/>
    </row>
    <row r="4778">
      <c r="K4778" s="317"/>
    </row>
    <row r="4779">
      <c r="K4779" s="317"/>
    </row>
    <row r="4780">
      <c r="K4780" s="317"/>
    </row>
    <row r="4781">
      <c r="K4781" s="317"/>
    </row>
    <row r="4782">
      <c r="K4782" s="317"/>
    </row>
    <row r="4783">
      <c r="K4783" s="317"/>
    </row>
    <row r="4784">
      <c r="K4784" s="317"/>
    </row>
    <row r="4785">
      <c r="K4785" s="317"/>
    </row>
    <row r="4786">
      <c r="K4786" s="317"/>
    </row>
    <row r="4787">
      <c r="K4787" s="317"/>
    </row>
    <row r="4788">
      <c r="K4788" s="317"/>
    </row>
    <row r="4789">
      <c r="K4789" s="317"/>
    </row>
    <row r="4790">
      <c r="K4790" s="317"/>
    </row>
    <row r="4791">
      <c r="K4791" s="317"/>
    </row>
    <row r="4792">
      <c r="K4792" s="317"/>
    </row>
    <row r="4793">
      <c r="K4793" s="317"/>
    </row>
    <row r="4794">
      <c r="K4794" s="317"/>
    </row>
    <row r="4795">
      <c r="K4795" s="317"/>
    </row>
    <row r="4796">
      <c r="K4796" s="317"/>
    </row>
    <row r="4797">
      <c r="K4797" s="317"/>
    </row>
    <row r="4798">
      <c r="K4798" s="317"/>
    </row>
    <row r="4799">
      <c r="K4799" s="317"/>
    </row>
    <row r="4800">
      <c r="K4800" s="317"/>
    </row>
    <row r="4801">
      <c r="K4801" s="317"/>
    </row>
    <row r="4802">
      <c r="K4802" s="317"/>
    </row>
    <row r="4803">
      <c r="K4803" s="317"/>
    </row>
    <row r="4804">
      <c r="K4804" s="317"/>
    </row>
    <row r="4805">
      <c r="K4805" s="317"/>
    </row>
    <row r="4806">
      <c r="K4806" s="317"/>
    </row>
    <row r="4807">
      <c r="K4807" s="317"/>
    </row>
    <row r="4808">
      <c r="K4808" s="317"/>
    </row>
    <row r="4809">
      <c r="K4809" s="317"/>
    </row>
    <row r="4810">
      <c r="K4810" s="317"/>
    </row>
    <row r="4811">
      <c r="K4811" s="317"/>
    </row>
    <row r="4812">
      <c r="K4812" s="317"/>
    </row>
    <row r="4813">
      <c r="K4813" s="317"/>
    </row>
    <row r="4814">
      <c r="K4814" s="317"/>
    </row>
    <row r="4815">
      <c r="K4815" s="317"/>
    </row>
    <row r="4816">
      <c r="K4816" s="317"/>
    </row>
    <row r="4817">
      <c r="K4817" s="317"/>
    </row>
    <row r="4818">
      <c r="K4818" s="317"/>
    </row>
    <row r="4819">
      <c r="K4819" s="317"/>
    </row>
    <row r="4820">
      <c r="K4820" s="317"/>
    </row>
    <row r="4821">
      <c r="K4821" s="317"/>
    </row>
    <row r="4822">
      <c r="K4822" s="317"/>
    </row>
    <row r="4823">
      <c r="K4823" s="317"/>
    </row>
    <row r="4824">
      <c r="K4824" s="317"/>
    </row>
    <row r="4825">
      <c r="K4825" s="317"/>
    </row>
    <row r="4826">
      <c r="K4826" s="317"/>
    </row>
    <row r="4827">
      <c r="K4827" s="317"/>
    </row>
    <row r="4828">
      <c r="K4828" s="317"/>
    </row>
    <row r="4829">
      <c r="K4829" s="317"/>
    </row>
    <row r="4830">
      <c r="K4830" s="317"/>
    </row>
    <row r="4831">
      <c r="K4831" s="317"/>
    </row>
    <row r="4832">
      <c r="K4832" s="317"/>
    </row>
    <row r="4833">
      <c r="K4833" s="317"/>
    </row>
    <row r="4834">
      <c r="K4834" s="317"/>
    </row>
    <row r="4835">
      <c r="K4835" s="317"/>
    </row>
    <row r="4836">
      <c r="K4836" s="317"/>
    </row>
    <row r="4837">
      <c r="K4837" s="317"/>
    </row>
    <row r="4838">
      <c r="K4838" s="317"/>
    </row>
    <row r="4839">
      <c r="K4839" s="317"/>
    </row>
    <row r="4840">
      <c r="K4840" s="317"/>
    </row>
    <row r="4841">
      <c r="K4841" s="317"/>
    </row>
    <row r="4842">
      <c r="K4842" s="317"/>
    </row>
    <row r="4843">
      <c r="K4843" s="317"/>
    </row>
    <row r="4844">
      <c r="K4844" s="317"/>
    </row>
    <row r="4845">
      <c r="K4845" s="317"/>
    </row>
    <row r="4846">
      <c r="K4846" s="317"/>
    </row>
    <row r="4847">
      <c r="K4847" s="317"/>
    </row>
    <row r="4848">
      <c r="K4848" s="317"/>
    </row>
    <row r="4849">
      <c r="K4849" s="317"/>
    </row>
    <row r="4850">
      <c r="K4850" s="317"/>
    </row>
    <row r="4851">
      <c r="K4851" s="317"/>
    </row>
    <row r="4852">
      <c r="K4852" s="317"/>
    </row>
    <row r="4853">
      <c r="K4853" s="317"/>
    </row>
    <row r="4854">
      <c r="K4854" s="317"/>
    </row>
    <row r="4855">
      <c r="K4855" s="317"/>
    </row>
    <row r="4856">
      <c r="K4856" s="317"/>
    </row>
    <row r="4857">
      <c r="K4857" s="317"/>
    </row>
    <row r="4858">
      <c r="K4858" s="317"/>
    </row>
    <row r="4859">
      <c r="K4859" s="317"/>
    </row>
    <row r="4860">
      <c r="K4860" s="317"/>
    </row>
    <row r="4861">
      <c r="K4861" s="317"/>
    </row>
    <row r="4862">
      <c r="K4862" s="317"/>
    </row>
    <row r="4863">
      <c r="K4863" s="317"/>
    </row>
    <row r="4864">
      <c r="K4864" s="317"/>
    </row>
    <row r="4865">
      <c r="K4865" s="317"/>
    </row>
    <row r="4866">
      <c r="K4866" s="317"/>
    </row>
    <row r="4867">
      <c r="K4867" s="317"/>
    </row>
    <row r="4868">
      <c r="K4868" s="317"/>
    </row>
    <row r="4869">
      <c r="K4869" s="317"/>
    </row>
    <row r="4870">
      <c r="K4870" s="317"/>
    </row>
    <row r="4871">
      <c r="K4871" s="317"/>
    </row>
    <row r="4872">
      <c r="K4872" s="317"/>
    </row>
    <row r="4873">
      <c r="K4873" s="317"/>
    </row>
    <row r="4874">
      <c r="K4874" s="317"/>
    </row>
    <row r="4875">
      <c r="K4875" s="317"/>
    </row>
    <row r="4876">
      <c r="K4876" s="317"/>
    </row>
    <row r="4877">
      <c r="K4877" s="317"/>
    </row>
    <row r="4878">
      <c r="K4878" s="317"/>
    </row>
    <row r="4879">
      <c r="K4879" s="317"/>
    </row>
    <row r="4880">
      <c r="K4880" s="317"/>
    </row>
    <row r="4881">
      <c r="K4881" s="317"/>
    </row>
    <row r="4882">
      <c r="K4882" s="317"/>
    </row>
    <row r="4883">
      <c r="K4883" s="317"/>
    </row>
    <row r="4884">
      <c r="K4884" s="317"/>
    </row>
    <row r="4885">
      <c r="K4885" s="317"/>
    </row>
    <row r="4886">
      <c r="K4886" s="317"/>
    </row>
    <row r="4887">
      <c r="K4887" s="317"/>
    </row>
    <row r="4888">
      <c r="K4888" s="317"/>
    </row>
    <row r="4889">
      <c r="K4889" s="317"/>
    </row>
    <row r="4890">
      <c r="K4890" s="317"/>
    </row>
    <row r="4891">
      <c r="K4891" s="317"/>
    </row>
    <row r="4892">
      <c r="K4892" s="317"/>
    </row>
    <row r="4893">
      <c r="K4893" s="317"/>
    </row>
    <row r="4894">
      <c r="K4894" s="317"/>
    </row>
    <row r="4895">
      <c r="K4895" s="317"/>
    </row>
    <row r="4896">
      <c r="K4896" s="317"/>
    </row>
    <row r="4897">
      <c r="K4897" s="317"/>
    </row>
    <row r="4898">
      <c r="K4898" s="317"/>
    </row>
    <row r="4899">
      <c r="K4899" s="317"/>
    </row>
    <row r="4900">
      <c r="K4900" s="317"/>
    </row>
    <row r="4901">
      <c r="K4901" s="317"/>
    </row>
    <row r="4902">
      <c r="K4902" s="317"/>
    </row>
    <row r="4903">
      <c r="K4903" s="317"/>
    </row>
    <row r="4904">
      <c r="K4904" s="317"/>
    </row>
    <row r="4905">
      <c r="K4905" s="317"/>
    </row>
    <row r="4906">
      <c r="K4906" s="317"/>
    </row>
    <row r="4907">
      <c r="K4907" s="317"/>
    </row>
    <row r="4908">
      <c r="K4908" s="317"/>
    </row>
    <row r="4909">
      <c r="K4909" s="317"/>
    </row>
    <row r="4910">
      <c r="K4910" s="317"/>
    </row>
    <row r="4911">
      <c r="K4911" s="317"/>
    </row>
    <row r="4912">
      <c r="K4912" s="317"/>
    </row>
    <row r="4913">
      <c r="K4913" s="317"/>
    </row>
    <row r="4914">
      <c r="K4914" s="317"/>
    </row>
    <row r="4915">
      <c r="K4915" s="317"/>
    </row>
    <row r="4916">
      <c r="K4916" s="317"/>
    </row>
    <row r="4917">
      <c r="K4917" s="317"/>
    </row>
    <row r="4918">
      <c r="K4918" s="317"/>
    </row>
    <row r="4919">
      <c r="K4919" s="317"/>
    </row>
    <row r="4920">
      <c r="K4920" s="317"/>
    </row>
    <row r="4921">
      <c r="K4921" s="317"/>
    </row>
    <row r="4922">
      <c r="K4922" s="317"/>
    </row>
    <row r="4923">
      <c r="K4923" s="317"/>
    </row>
    <row r="4924">
      <c r="K4924" s="317"/>
    </row>
    <row r="4925">
      <c r="K4925" s="317"/>
    </row>
    <row r="4926">
      <c r="K4926" s="317"/>
    </row>
    <row r="4927">
      <c r="K4927" s="317"/>
    </row>
    <row r="4928">
      <c r="K4928" s="317"/>
    </row>
    <row r="4929">
      <c r="K4929" s="317"/>
    </row>
    <row r="4930">
      <c r="K4930" s="317"/>
    </row>
    <row r="4931">
      <c r="K4931" s="317"/>
    </row>
    <row r="4932">
      <c r="K4932" s="317"/>
    </row>
    <row r="4933">
      <c r="K4933" s="317"/>
    </row>
    <row r="4934">
      <c r="K4934" s="317"/>
    </row>
    <row r="4935">
      <c r="K4935" s="317"/>
    </row>
    <row r="4936">
      <c r="K4936" s="317"/>
    </row>
    <row r="4937">
      <c r="K4937" s="317"/>
    </row>
    <row r="4938">
      <c r="K4938" s="317"/>
    </row>
    <row r="4939">
      <c r="K4939" s="317"/>
    </row>
    <row r="4940">
      <c r="K4940" s="317"/>
    </row>
    <row r="4941">
      <c r="K4941" s="317"/>
    </row>
    <row r="4942">
      <c r="K4942" s="317"/>
    </row>
    <row r="4943">
      <c r="K4943" s="317"/>
    </row>
    <row r="4944">
      <c r="K4944" s="317"/>
    </row>
    <row r="4945">
      <c r="K4945" s="317"/>
    </row>
    <row r="4946">
      <c r="K4946" s="317"/>
    </row>
    <row r="4947">
      <c r="K4947" s="317"/>
    </row>
    <row r="4948">
      <c r="K4948" s="317"/>
    </row>
    <row r="4949">
      <c r="K4949" s="317"/>
    </row>
    <row r="4950">
      <c r="K4950" s="317"/>
    </row>
    <row r="4951">
      <c r="K4951" s="317"/>
    </row>
    <row r="4952">
      <c r="K4952" s="317"/>
    </row>
    <row r="4953">
      <c r="K4953" s="317"/>
    </row>
    <row r="4954">
      <c r="K4954" s="317"/>
    </row>
    <row r="4955">
      <c r="K4955" s="317"/>
    </row>
    <row r="4956">
      <c r="K4956" s="317"/>
    </row>
    <row r="4957">
      <c r="K4957" s="317"/>
    </row>
    <row r="4958">
      <c r="K4958" s="317"/>
    </row>
    <row r="4959">
      <c r="K4959" s="317"/>
    </row>
    <row r="4960">
      <c r="K4960" s="317"/>
    </row>
    <row r="4961">
      <c r="K4961" s="317"/>
    </row>
    <row r="4962">
      <c r="K4962" s="317"/>
    </row>
    <row r="4963">
      <c r="K4963" s="317"/>
    </row>
    <row r="4964">
      <c r="K4964" s="317"/>
    </row>
    <row r="4965">
      <c r="K4965" s="317"/>
    </row>
    <row r="4966">
      <c r="K4966" s="317"/>
    </row>
    <row r="4967">
      <c r="K4967" s="317"/>
    </row>
    <row r="4968">
      <c r="K4968" s="317"/>
    </row>
    <row r="4969">
      <c r="K4969" s="317"/>
    </row>
    <row r="4970">
      <c r="K4970" s="317"/>
    </row>
    <row r="4971">
      <c r="K4971" s="317"/>
    </row>
    <row r="4972">
      <c r="K4972" s="317"/>
    </row>
    <row r="4973">
      <c r="K4973" s="317"/>
    </row>
    <row r="4974">
      <c r="K4974" s="317"/>
    </row>
    <row r="4975">
      <c r="K4975" s="317"/>
    </row>
    <row r="4976">
      <c r="K4976" s="317"/>
    </row>
    <row r="4977">
      <c r="K4977" s="317"/>
    </row>
    <row r="4978">
      <c r="K4978" s="317"/>
    </row>
    <row r="4979">
      <c r="K4979" s="317"/>
    </row>
    <row r="4980">
      <c r="K4980" s="317"/>
    </row>
    <row r="4981">
      <c r="K4981" s="317"/>
    </row>
    <row r="4982">
      <c r="K4982" s="317"/>
    </row>
    <row r="4983">
      <c r="K4983" s="317"/>
    </row>
    <row r="4984">
      <c r="K4984" s="317"/>
    </row>
    <row r="4985">
      <c r="K4985" s="317"/>
    </row>
    <row r="4986">
      <c r="K4986" s="317"/>
    </row>
    <row r="4987">
      <c r="K4987" s="317"/>
    </row>
    <row r="4988">
      <c r="K4988" s="317"/>
    </row>
    <row r="4989">
      <c r="K4989" s="317"/>
    </row>
    <row r="4990">
      <c r="K4990" s="317"/>
    </row>
    <row r="4991">
      <c r="K4991" s="317"/>
    </row>
    <row r="4992">
      <c r="K4992" s="317"/>
    </row>
    <row r="4993">
      <c r="K4993" s="317"/>
    </row>
    <row r="4994">
      <c r="K4994" s="317"/>
    </row>
    <row r="4995">
      <c r="K4995" s="317"/>
    </row>
    <row r="4996">
      <c r="K4996" s="317"/>
    </row>
    <row r="4997">
      <c r="K4997" s="317"/>
    </row>
    <row r="4998">
      <c r="K4998" s="317"/>
    </row>
    <row r="4999">
      <c r="K4999" s="317"/>
    </row>
    <row r="5000">
      <c r="K5000" s="317"/>
    </row>
    <row r="5001">
      <c r="K5001" s="317"/>
    </row>
    <row r="5002">
      <c r="K5002" s="317"/>
    </row>
    <row r="5003">
      <c r="K5003" s="317"/>
    </row>
    <row r="5004">
      <c r="K5004" s="317"/>
    </row>
    <row r="5005">
      <c r="K5005" s="317"/>
    </row>
    <row r="5006">
      <c r="K5006" s="317"/>
    </row>
    <row r="5007">
      <c r="K5007" s="317"/>
    </row>
    <row r="5008">
      <c r="K5008" s="317"/>
    </row>
    <row r="5009">
      <c r="K5009" s="317"/>
    </row>
    <row r="5010">
      <c r="K5010" s="317"/>
    </row>
    <row r="5011">
      <c r="K5011" s="317"/>
    </row>
    <row r="5012">
      <c r="K5012" s="317"/>
    </row>
    <row r="5013">
      <c r="K5013" s="317"/>
    </row>
    <row r="5014">
      <c r="K5014" s="317"/>
    </row>
    <row r="5015">
      <c r="K5015" s="317"/>
    </row>
    <row r="5016">
      <c r="K5016" s="317"/>
    </row>
    <row r="5017">
      <c r="K5017" s="317"/>
    </row>
    <row r="5018">
      <c r="K5018" s="317"/>
    </row>
    <row r="5019">
      <c r="K5019" s="317"/>
    </row>
    <row r="5020">
      <c r="K5020" s="317"/>
    </row>
    <row r="5021">
      <c r="K5021" s="317"/>
    </row>
    <row r="5022">
      <c r="K5022" s="317"/>
    </row>
    <row r="5023">
      <c r="K5023" s="317"/>
    </row>
    <row r="5024">
      <c r="K5024" s="317"/>
    </row>
    <row r="5025">
      <c r="K5025" s="317"/>
    </row>
    <row r="5026">
      <c r="K5026" s="317"/>
    </row>
    <row r="5027">
      <c r="K5027" s="317"/>
    </row>
    <row r="5028">
      <c r="K5028" s="317"/>
    </row>
    <row r="5029">
      <c r="K5029" s="317"/>
    </row>
    <row r="5030">
      <c r="K5030" s="317"/>
    </row>
    <row r="5031">
      <c r="K5031" s="317"/>
    </row>
    <row r="5032">
      <c r="K5032" s="317"/>
    </row>
    <row r="5033">
      <c r="K5033" s="317"/>
    </row>
    <row r="5034">
      <c r="K5034" s="317"/>
    </row>
    <row r="5035">
      <c r="K5035" s="317"/>
    </row>
    <row r="5036">
      <c r="K5036" s="317"/>
    </row>
    <row r="5037">
      <c r="K5037" s="317"/>
    </row>
    <row r="5038">
      <c r="K5038" s="317"/>
    </row>
    <row r="5039">
      <c r="K5039" s="317"/>
    </row>
    <row r="5040">
      <c r="K5040" s="317"/>
    </row>
    <row r="5041">
      <c r="K5041" s="317"/>
    </row>
    <row r="5042">
      <c r="K5042" s="317"/>
    </row>
    <row r="5043">
      <c r="K5043" s="317"/>
    </row>
    <row r="5044">
      <c r="K5044" s="317"/>
    </row>
    <row r="5045">
      <c r="K5045" s="317"/>
    </row>
    <row r="5046">
      <c r="K5046" s="317"/>
    </row>
    <row r="5047">
      <c r="K5047" s="317"/>
    </row>
    <row r="5048">
      <c r="K5048" s="317"/>
    </row>
    <row r="5049">
      <c r="K5049" s="317"/>
    </row>
    <row r="5050">
      <c r="K5050" s="317"/>
    </row>
    <row r="5051">
      <c r="K5051" s="317"/>
    </row>
    <row r="5052">
      <c r="K5052" s="317"/>
    </row>
    <row r="5053">
      <c r="K5053" s="317"/>
    </row>
    <row r="5054">
      <c r="K5054" s="317"/>
    </row>
    <row r="5055">
      <c r="K5055" s="317"/>
    </row>
    <row r="5056">
      <c r="K5056" s="317"/>
    </row>
    <row r="5057">
      <c r="K5057" s="317"/>
    </row>
    <row r="5058">
      <c r="K5058" s="317"/>
    </row>
    <row r="5059">
      <c r="K5059" s="317"/>
    </row>
    <row r="5060">
      <c r="K5060" s="317"/>
    </row>
    <row r="5061">
      <c r="K5061" s="317"/>
    </row>
    <row r="5062">
      <c r="K5062" s="317"/>
    </row>
    <row r="5063">
      <c r="K5063" s="317"/>
    </row>
    <row r="5064">
      <c r="K5064" s="317"/>
    </row>
    <row r="5065">
      <c r="K5065" s="317"/>
    </row>
    <row r="5066">
      <c r="K5066" s="317"/>
    </row>
    <row r="5067">
      <c r="K5067" s="317"/>
    </row>
    <row r="5068">
      <c r="K5068" s="317"/>
    </row>
    <row r="5069">
      <c r="K5069" s="317"/>
    </row>
    <row r="5070">
      <c r="K5070" s="317"/>
    </row>
    <row r="5071">
      <c r="K5071" s="317"/>
    </row>
    <row r="5072">
      <c r="K5072" s="317"/>
    </row>
    <row r="5073">
      <c r="K5073" s="317"/>
    </row>
    <row r="5074">
      <c r="K5074" s="317"/>
    </row>
    <row r="5075">
      <c r="K5075" s="317"/>
    </row>
    <row r="5076">
      <c r="K5076" s="317"/>
    </row>
    <row r="5077">
      <c r="K5077" s="317"/>
    </row>
    <row r="5078">
      <c r="K5078" s="317"/>
    </row>
    <row r="5079">
      <c r="K5079" s="317"/>
    </row>
    <row r="5080">
      <c r="K5080" s="317"/>
    </row>
    <row r="5081">
      <c r="K5081" s="317"/>
    </row>
    <row r="5082">
      <c r="K5082" s="317"/>
    </row>
    <row r="5083">
      <c r="K5083" s="317"/>
    </row>
    <row r="5084">
      <c r="K5084" s="317"/>
    </row>
    <row r="5085">
      <c r="K5085" s="317"/>
    </row>
    <row r="5086">
      <c r="K5086" s="317"/>
    </row>
    <row r="5087">
      <c r="K5087" s="317"/>
    </row>
    <row r="5088">
      <c r="K5088" s="317"/>
    </row>
    <row r="5089">
      <c r="K5089" s="317"/>
    </row>
    <row r="5090">
      <c r="K5090" s="317"/>
    </row>
    <row r="5091">
      <c r="K5091" s="317"/>
    </row>
    <row r="5092">
      <c r="K5092" s="317"/>
    </row>
    <row r="5093">
      <c r="K5093" s="317"/>
    </row>
    <row r="5094">
      <c r="K5094" s="317"/>
    </row>
    <row r="5095">
      <c r="K5095" s="317"/>
    </row>
    <row r="5096">
      <c r="K5096" s="317"/>
    </row>
    <row r="5097">
      <c r="K5097" s="317"/>
    </row>
    <row r="5098">
      <c r="K5098" s="317"/>
    </row>
    <row r="5099">
      <c r="K5099" s="317"/>
    </row>
    <row r="5100">
      <c r="K5100" s="317"/>
    </row>
    <row r="5101">
      <c r="K5101" s="317"/>
    </row>
    <row r="5102">
      <c r="K5102" s="317"/>
    </row>
    <row r="5103">
      <c r="K5103" s="317"/>
    </row>
    <row r="5104">
      <c r="K5104" s="317"/>
    </row>
    <row r="5105">
      <c r="K5105" s="317"/>
    </row>
    <row r="5106">
      <c r="K5106" s="317"/>
    </row>
    <row r="5107">
      <c r="K5107" s="317"/>
    </row>
    <row r="5108">
      <c r="K5108" s="317"/>
    </row>
    <row r="5109">
      <c r="K5109" s="317"/>
    </row>
    <row r="5110">
      <c r="K5110" s="317"/>
    </row>
    <row r="5111">
      <c r="K5111" s="317"/>
    </row>
    <row r="5112">
      <c r="K5112" s="317"/>
    </row>
    <row r="5113">
      <c r="K5113" s="317"/>
    </row>
    <row r="5114">
      <c r="K5114" s="317"/>
    </row>
    <row r="5115">
      <c r="K5115" s="317"/>
    </row>
    <row r="5116">
      <c r="K5116" s="317"/>
    </row>
    <row r="5117">
      <c r="K5117" s="317"/>
    </row>
    <row r="5118">
      <c r="K5118" s="317"/>
    </row>
    <row r="5119">
      <c r="K5119" s="317"/>
    </row>
    <row r="5120">
      <c r="K5120" s="317"/>
    </row>
    <row r="5121">
      <c r="K5121" s="317"/>
    </row>
    <row r="5122">
      <c r="K5122" s="317"/>
    </row>
    <row r="5123">
      <c r="K5123" s="317"/>
    </row>
    <row r="5124">
      <c r="K5124" s="317"/>
    </row>
    <row r="5125">
      <c r="K5125" s="317"/>
    </row>
    <row r="5126">
      <c r="K5126" s="317"/>
    </row>
    <row r="5127">
      <c r="K5127" s="317"/>
    </row>
    <row r="5128">
      <c r="K5128" s="317"/>
    </row>
    <row r="5129">
      <c r="K5129" s="317"/>
    </row>
    <row r="5130">
      <c r="K5130" s="317"/>
    </row>
    <row r="5131">
      <c r="K5131" s="317"/>
    </row>
    <row r="5132">
      <c r="K5132" s="317"/>
    </row>
    <row r="5133">
      <c r="K5133" s="317"/>
    </row>
    <row r="5134">
      <c r="K5134" s="317"/>
    </row>
    <row r="5135">
      <c r="K5135" s="317"/>
    </row>
    <row r="5136">
      <c r="K5136" s="317"/>
    </row>
    <row r="5137">
      <c r="K5137" s="317"/>
    </row>
    <row r="5138">
      <c r="K5138" s="317"/>
    </row>
    <row r="5139">
      <c r="K5139" s="317"/>
    </row>
    <row r="5140">
      <c r="K5140" s="317"/>
    </row>
    <row r="5141">
      <c r="K5141" s="317"/>
    </row>
    <row r="5142">
      <c r="K5142" s="317"/>
    </row>
    <row r="5143">
      <c r="K5143" s="317"/>
    </row>
    <row r="5144">
      <c r="K5144" s="317"/>
    </row>
    <row r="5145">
      <c r="K5145" s="317"/>
    </row>
    <row r="5146">
      <c r="K5146" s="317"/>
    </row>
    <row r="5147">
      <c r="K5147" s="317"/>
    </row>
    <row r="5148">
      <c r="K5148" s="317"/>
    </row>
    <row r="5149">
      <c r="K5149" s="317"/>
    </row>
    <row r="5150">
      <c r="K5150" s="317"/>
    </row>
    <row r="5151">
      <c r="K5151" s="317"/>
    </row>
    <row r="5152">
      <c r="K5152" s="317"/>
    </row>
    <row r="5153">
      <c r="K5153" s="317"/>
    </row>
    <row r="5154">
      <c r="K5154" s="317"/>
    </row>
    <row r="5155">
      <c r="K5155" s="317"/>
    </row>
    <row r="5156">
      <c r="K5156" s="317"/>
    </row>
    <row r="5157">
      <c r="K5157" s="317"/>
    </row>
    <row r="5158">
      <c r="K5158" s="317"/>
    </row>
    <row r="5159">
      <c r="K5159" s="317"/>
    </row>
    <row r="5160">
      <c r="K5160" s="317"/>
    </row>
    <row r="5161">
      <c r="K5161" s="317"/>
    </row>
    <row r="5162">
      <c r="K5162" s="317"/>
    </row>
    <row r="5163">
      <c r="K5163" s="317"/>
    </row>
    <row r="5164">
      <c r="K5164" s="317"/>
    </row>
    <row r="5165">
      <c r="K5165" s="317"/>
    </row>
    <row r="5166">
      <c r="K5166" s="317"/>
    </row>
    <row r="5167">
      <c r="K5167" s="317"/>
    </row>
    <row r="5168">
      <c r="K5168" s="317"/>
    </row>
    <row r="5169">
      <c r="K5169" s="317"/>
    </row>
    <row r="5170">
      <c r="K5170" s="317"/>
    </row>
    <row r="5171">
      <c r="K5171" s="317"/>
    </row>
    <row r="5172">
      <c r="K5172" s="317"/>
    </row>
    <row r="5173">
      <c r="K5173" s="317"/>
    </row>
    <row r="5174">
      <c r="K5174" s="317"/>
    </row>
    <row r="5175">
      <c r="K5175" s="317"/>
    </row>
    <row r="5176">
      <c r="K5176" s="317"/>
    </row>
    <row r="5177">
      <c r="K5177" s="317"/>
    </row>
    <row r="5178">
      <c r="K5178" s="317"/>
    </row>
    <row r="5179">
      <c r="K5179" s="317"/>
    </row>
    <row r="5180">
      <c r="K5180" s="317"/>
    </row>
    <row r="5181">
      <c r="K5181" s="317"/>
    </row>
    <row r="5182">
      <c r="K5182" s="317"/>
    </row>
    <row r="5183">
      <c r="K5183" s="317"/>
    </row>
    <row r="5184">
      <c r="K5184" s="317"/>
    </row>
    <row r="5185">
      <c r="K5185" s="317"/>
    </row>
    <row r="5186">
      <c r="K5186" s="317"/>
    </row>
    <row r="5187">
      <c r="K5187" s="317"/>
    </row>
    <row r="5188">
      <c r="K5188" s="317"/>
    </row>
    <row r="5189">
      <c r="K5189" s="317"/>
    </row>
    <row r="5190">
      <c r="K5190" s="317"/>
    </row>
    <row r="5191">
      <c r="K5191" s="317"/>
    </row>
    <row r="5192">
      <c r="K5192" s="317"/>
    </row>
    <row r="5193">
      <c r="K5193" s="317"/>
    </row>
    <row r="5194">
      <c r="K5194" s="317"/>
    </row>
    <row r="5195">
      <c r="K5195" s="317"/>
    </row>
    <row r="5196">
      <c r="K5196" s="317"/>
    </row>
    <row r="5197">
      <c r="K5197" s="317"/>
    </row>
    <row r="5198">
      <c r="K5198" s="317"/>
    </row>
    <row r="5199">
      <c r="K5199" s="317"/>
    </row>
    <row r="5200">
      <c r="K5200" s="317"/>
    </row>
    <row r="5201">
      <c r="K5201" s="317"/>
    </row>
    <row r="5202">
      <c r="K5202" s="317"/>
    </row>
    <row r="5203">
      <c r="K5203" s="317"/>
    </row>
    <row r="5204">
      <c r="K5204" s="317"/>
    </row>
    <row r="5205">
      <c r="K5205" s="317"/>
    </row>
    <row r="5206">
      <c r="K5206" s="317"/>
    </row>
    <row r="5207">
      <c r="K5207" s="317"/>
    </row>
    <row r="5208">
      <c r="K5208" s="317"/>
    </row>
    <row r="5209">
      <c r="K5209" s="317"/>
    </row>
    <row r="5210">
      <c r="K5210" s="317"/>
    </row>
    <row r="5211">
      <c r="K5211" s="317"/>
    </row>
    <row r="5212">
      <c r="K5212" s="317"/>
    </row>
    <row r="5213">
      <c r="K5213" s="317"/>
    </row>
    <row r="5214">
      <c r="K5214" s="317"/>
    </row>
    <row r="5215">
      <c r="K5215" s="317"/>
    </row>
    <row r="5216">
      <c r="K5216" s="317"/>
    </row>
    <row r="5217">
      <c r="K5217" s="317"/>
    </row>
    <row r="5218">
      <c r="K5218" s="317"/>
    </row>
    <row r="5219">
      <c r="K5219" s="317"/>
    </row>
    <row r="5220">
      <c r="K5220" s="317"/>
    </row>
    <row r="5221">
      <c r="K5221" s="317"/>
    </row>
    <row r="5222">
      <c r="K5222" s="317"/>
    </row>
    <row r="5223">
      <c r="K5223" s="317"/>
    </row>
    <row r="5224">
      <c r="K5224" s="317"/>
    </row>
    <row r="5225">
      <c r="K5225" s="317"/>
    </row>
    <row r="5226">
      <c r="K5226" s="317"/>
    </row>
    <row r="5227">
      <c r="K5227" s="317"/>
    </row>
    <row r="5228">
      <c r="K5228" s="317"/>
    </row>
    <row r="5229">
      <c r="K5229" s="317"/>
    </row>
    <row r="5230">
      <c r="K5230" s="317"/>
    </row>
    <row r="5231">
      <c r="K5231" s="317"/>
    </row>
    <row r="5232">
      <c r="K5232" s="317"/>
    </row>
    <row r="5233">
      <c r="K5233" s="317"/>
    </row>
    <row r="5234">
      <c r="K5234" s="317"/>
    </row>
    <row r="5235">
      <c r="K5235" s="317"/>
    </row>
    <row r="5236">
      <c r="K5236" s="317"/>
    </row>
    <row r="5237">
      <c r="K5237" s="317"/>
    </row>
    <row r="5238">
      <c r="K5238" s="317"/>
    </row>
    <row r="5239">
      <c r="K5239" s="317"/>
    </row>
    <row r="5240">
      <c r="K5240" s="317"/>
    </row>
    <row r="5241">
      <c r="K5241" s="317"/>
    </row>
    <row r="5242">
      <c r="K5242" s="317"/>
    </row>
    <row r="5243">
      <c r="K5243" s="317"/>
    </row>
    <row r="5244">
      <c r="K5244" s="317"/>
    </row>
    <row r="5245">
      <c r="K5245" s="317"/>
    </row>
    <row r="5246">
      <c r="K5246" s="317"/>
    </row>
    <row r="5247">
      <c r="K5247" s="317"/>
    </row>
    <row r="5248">
      <c r="K5248" s="317"/>
    </row>
    <row r="5249">
      <c r="K5249" s="317"/>
    </row>
    <row r="5250">
      <c r="K5250" s="317"/>
    </row>
    <row r="5251">
      <c r="K5251" s="317"/>
    </row>
    <row r="5252">
      <c r="K5252" s="317"/>
    </row>
    <row r="5253">
      <c r="K5253" s="317"/>
    </row>
    <row r="5254">
      <c r="K5254" s="317"/>
    </row>
    <row r="5255">
      <c r="K5255" s="317"/>
    </row>
    <row r="5256">
      <c r="K5256" s="317"/>
    </row>
    <row r="5257">
      <c r="K5257" s="317"/>
    </row>
    <row r="5258">
      <c r="K5258" s="317"/>
    </row>
    <row r="5259">
      <c r="K5259" s="317"/>
    </row>
    <row r="5260">
      <c r="K5260" s="317"/>
    </row>
    <row r="5261">
      <c r="K5261" s="317"/>
    </row>
    <row r="5262">
      <c r="K5262" s="317"/>
    </row>
    <row r="5263">
      <c r="K5263" s="317"/>
    </row>
    <row r="5264">
      <c r="K5264" s="317"/>
    </row>
    <row r="5265">
      <c r="K5265" s="317"/>
    </row>
    <row r="5266">
      <c r="K5266" s="317"/>
    </row>
    <row r="5267">
      <c r="K5267" s="317"/>
    </row>
    <row r="5268">
      <c r="K5268" s="317"/>
    </row>
    <row r="5269">
      <c r="K5269" s="317"/>
    </row>
    <row r="5270">
      <c r="K5270" s="317"/>
    </row>
    <row r="5271">
      <c r="K5271" s="317"/>
    </row>
    <row r="5272">
      <c r="K5272" s="317"/>
    </row>
    <row r="5273">
      <c r="K5273" s="317"/>
    </row>
    <row r="5274">
      <c r="K5274" s="317"/>
    </row>
    <row r="5275">
      <c r="K5275" s="317"/>
    </row>
    <row r="5276">
      <c r="K5276" s="317"/>
    </row>
    <row r="5277">
      <c r="K5277" s="317"/>
    </row>
    <row r="5278">
      <c r="K5278" s="317"/>
    </row>
    <row r="5279">
      <c r="K5279" s="317"/>
    </row>
    <row r="5280">
      <c r="K5280" s="317"/>
    </row>
    <row r="5281">
      <c r="K5281" s="317"/>
    </row>
    <row r="5282">
      <c r="K5282" s="317"/>
    </row>
    <row r="5283">
      <c r="K5283" s="317"/>
    </row>
    <row r="5284">
      <c r="K5284" s="317"/>
    </row>
    <row r="5285">
      <c r="K5285" s="317"/>
    </row>
    <row r="5286">
      <c r="K5286" s="317"/>
    </row>
    <row r="5287">
      <c r="K5287" s="317"/>
    </row>
    <row r="5288">
      <c r="K5288" s="317"/>
    </row>
    <row r="5289">
      <c r="K5289" s="317"/>
    </row>
    <row r="5290">
      <c r="K5290" s="317"/>
    </row>
    <row r="5291">
      <c r="K5291" s="317"/>
    </row>
    <row r="5292">
      <c r="K5292" s="317"/>
    </row>
    <row r="5293">
      <c r="K5293" s="317"/>
    </row>
    <row r="5294">
      <c r="K5294" s="317"/>
    </row>
    <row r="5295">
      <c r="K5295" s="317"/>
    </row>
    <row r="5296">
      <c r="K5296" s="317"/>
    </row>
    <row r="5297">
      <c r="K5297" s="317"/>
    </row>
    <row r="5298">
      <c r="K5298" s="317"/>
    </row>
    <row r="5299">
      <c r="K5299" s="317"/>
    </row>
    <row r="5300">
      <c r="K5300" s="317"/>
    </row>
    <row r="5301">
      <c r="K5301" s="317"/>
    </row>
    <row r="5302">
      <c r="K5302" s="317"/>
    </row>
    <row r="5303">
      <c r="K5303" s="317"/>
    </row>
    <row r="5304">
      <c r="K5304" s="317"/>
    </row>
    <row r="5305">
      <c r="K5305" s="317"/>
    </row>
    <row r="5306">
      <c r="K5306" s="317"/>
    </row>
    <row r="5307">
      <c r="K5307" s="317"/>
    </row>
    <row r="5308">
      <c r="K5308" s="317"/>
    </row>
    <row r="5309">
      <c r="K5309" s="317"/>
    </row>
    <row r="5310">
      <c r="K5310" s="317"/>
    </row>
    <row r="5311">
      <c r="K5311" s="317"/>
    </row>
    <row r="5312">
      <c r="K5312" s="317"/>
    </row>
    <row r="5313">
      <c r="K5313" s="317"/>
    </row>
    <row r="5314">
      <c r="K5314" s="317"/>
    </row>
    <row r="5315">
      <c r="K5315" s="317"/>
    </row>
    <row r="5316">
      <c r="K5316" s="317"/>
    </row>
    <row r="5317">
      <c r="K5317" s="317"/>
    </row>
    <row r="5318">
      <c r="K5318" s="317"/>
    </row>
    <row r="5319">
      <c r="K5319" s="317"/>
    </row>
    <row r="5320">
      <c r="K5320" s="317"/>
    </row>
    <row r="5321">
      <c r="K5321" s="317"/>
    </row>
    <row r="5322">
      <c r="K5322" s="317"/>
    </row>
    <row r="5323">
      <c r="K5323" s="317"/>
    </row>
    <row r="5324">
      <c r="K5324" s="317"/>
    </row>
    <row r="5325">
      <c r="K5325" s="317"/>
    </row>
    <row r="5326">
      <c r="K5326" s="317"/>
    </row>
    <row r="5327">
      <c r="K5327" s="317"/>
    </row>
    <row r="5328">
      <c r="K5328" s="317"/>
    </row>
    <row r="5329">
      <c r="K5329" s="317"/>
    </row>
    <row r="5330">
      <c r="K5330" s="317"/>
    </row>
    <row r="5331">
      <c r="K5331" s="317"/>
    </row>
    <row r="5332">
      <c r="K5332" s="317"/>
    </row>
    <row r="5333">
      <c r="K5333" s="317"/>
    </row>
    <row r="5334">
      <c r="K5334" s="317"/>
    </row>
    <row r="5335">
      <c r="K5335" s="317"/>
    </row>
    <row r="5336">
      <c r="K5336" s="317"/>
    </row>
    <row r="5337">
      <c r="K5337" s="317"/>
    </row>
    <row r="5338">
      <c r="K5338" s="317"/>
    </row>
    <row r="5339">
      <c r="K5339" s="317"/>
    </row>
    <row r="5340">
      <c r="K5340" s="317"/>
    </row>
    <row r="5341">
      <c r="K5341" s="317"/>
    </row>
    <row r="5342">
      <c r="K5342" s="317"/>
    </row>
    <row r="5343">
      <c r="K5343" s="317"/>
    </row>
    <row r="5344">
      <c r="K5344" s="317"/>
    </row>
    <row r="5345">
      <c r="K5345" s="317"/>
    </row>
    <row r="5346">
      <c r="K5346" s="317"/>
    </row>
    <row r="5347">
      <c r="K5347" s="317"/>
    </row>
    <row r="5348">
      <c r="K5348" s="317"/>
    </row>
    <row r="5349">
      <c r="K5349" s="317"/>
    </row>
    <row r="5350">
      <c r="K5350" s="317"/>
    </row>
    <row r="5351">
      <c r="K5351" s="317"/>
    </row>
    <row r="5352">
      <c r="K5352" s="317"/>
    </row>
    <row r="5353">
      <c r="K5353" s="317"/>
    </row>
    <row r="5354">
      <c r="K5354" s="317"/>
    </row>
    <row r="5355">
      <c r="K5355" s="317"/>
    </row>
    <row r="5356">
      <c r="K5356" s="317"/>
    </row>
    <row r="5357">
      <c r="K5357" s="317"/>
    </row>
    <row r="5358">
      <c r="K5358" s="317"/>
    </row>
    <row r="5359">
      <c r="K5359" s="317"/>
    </row>
    <row r="5360">
      <c r="K5360" s="317"/>
    </row>
    <row r="5361">
      <c r="K5361" s="317"/>
    </row>
    <row r="5362">
      <c r="K5362" s="317"/>
    </row>
    <row r="5363">
      <c r="K5363" s="317"/>
    </row>
    <row r="5364">
      <c r="K5364" s="317"/>
    </row>
    <row r="5365">
      <c r="K5365" s="317"/>
    </row>
    <row r="5366">
      <c r="K5366" s="317"/>
    </row>
    <row r="5367">
      <c r="K5367" s="317"/>
    </row>
    <row r="5368">
      <c r="K5368" s="317"/>
    </row>
    <row r="5369">
      <c r="K5369" s="317"/>
    </row>
    <row r="5370">
      <c r="K5370" s="317"/>
    </row>
    <row r="5371">
      <c r="K5371" s="317"/>
    </row>
    <row r="5372">
      <c r="K5372" s="317"/>
    </row>
    <row r="5373">
      <c r="K5373" s="317"/>
    </row>
    <row r="5374">
      <c r="K5374" s="317"/>
    </row>
    <row r="5375">
      <c r="K5375" s="317"/>
    </row>
    <row r="5376">
      <c r="K5376" s="317"/>
    </row>
    <row r="5377">
      <c r="K5377" s="317"/>
    </row>
    <row r="5378">
      <c r="K5378" s="317"/>
    </row>
    <row r="5379">
      <c r="K5379" s="317"/>
    </row>
    <row r="5380">
      <c r="K5380" s="317"/>
    </row>
    <row r="5381">
      <c r="K5381" s="317"/>
    </row>
    <row r="5382">
      <c r="K5382" s="317"/>
    </row>
    <row r="5383">
      <c r="K5383" s="317"/>
    </row>
    <row r="5384">
      <c r="K5384" s="317"/>
    </row>
    <row r="5385">
      <c r="K5385" s="317"/>
    </row>
    <row r="5386">
      <c r="K5386" s="317"/>
    </row>
    <row r="5387">
      <c r="K5387" s="317"/>
    </row>
    <row r="5388">
      <c r="K5388" s="317"/>
    </row>
    <row r="5389">
      <c r="K5389" s="317"/>
    </row>
    <row r="5390">
      <c r="K5390" s="317"/>
    </row>
    <row r="5391">
      <c r="K5391" s="317"/>
    </row>
    <row r="5392">
      <c r="K5392" s="317"/>
    </row>
    <row r="5393">
      <c r="K5393" s="317"/>
    </row>
    <row r="5394">
      <c r="K5394" s="317"/>
    </row>
    <row r="5395">
      <c r="K5395" s="317"/>
    </row>
    <row r="5396">
      <c r="K5396" s="317"/>
    </row>
    <row r="5397">
      <c r="K5397" s="317"/>
    </row>
    <row r="5398">
      <c r="K5398" s="317"/>
    </row>
    <row r="5399">
      <c r="K5399" s="317"/>
    </row>
    <row r="5400">
      <c r="K5400" s="317"/>
    </row>
    <row r="5401">
      <c r="K5401" s="317"/>
    </row>
    <row r="5402">
      <c r="K5402" s="317"/>
    </row>
    <row r="5403">
      <c r="K5403" s="317"/>
    </row>
    <row r="5404">
      <c r="K5404" s="317"/>
    </row>
    <row r="5405">
      <c r="K5405" s="317"/>
    </row>
    <row r="5406">
      <c r="K5406" s="317"/>
    </row>
    <row r="5407">
      <c r="K5407" s="317"/>
    </row>
    <row r="5408">
      <c r="K5408" s="317"/>
    </row>
    <row r="5409">
      <c r="K5409" s="317"/>
    </row>
    <row r="5410">
      <c r="K5410" s="317"/>
    </row>
    <row r="5411">
      <c r="K5411" s="317"/>
    </row>
    <row r="5412">
      <c r="K5412" s="317"/>
    </row>
    <row r="5413">
      <c r="K5413" s="317"/>
    </row>
    <row r="5414">
      <c r="K5414" s="317"/>
    </row>
    <row r="5415">
      <c r="K5415" s="317"/>
    </row>
    <row r="5416">
      <c r="K5416" s="317"/>
    </row>
    <row r="5417">
      <c r="K5417" s="317"/>
    </row>
    <row r="5418">
      <c r="K5418" s="317"/>
    </row>
    <row r="5419">
      <c r="K5419" s="317"/>
    </row>
    <row r="5420">
      <c r="K5420" s="317"/>
    </row>
    <row r="5421">
      <c r="K5421" s="317"/>
    </row>
    <row r="5422">
      <c r="K5422" s="317"/>
    </row>
    <row r="5423">
      <c r="K5423" s="317"/>
    </row>
    <row r="5424">
      <c r="K5424" s="317"/>
    </row>
    <row r="5425">
      <c r="K5425" s="317"/>
    </row>
    <row r="5426">
      <c r="K5426" s="317"/>
    </row>
    <row r="5427">
      <c r="K5427" s="317"/>
    </row>
    <row r="5428">
      <c r="K5428" s="317"/>
    </row>
    <row r="5429">
      <c r="K5429" s="317"/>
    </row>
    <row r="5430">
      <c r="K5430" s="317"/>
    </row>
    <row r="5431">
      <c r="K5431" s="317"/>
    </row>
    <row r="5432">
      <c r="K5432" s="317"/>
    </row>
    <row r="5433">
      <c r="K5433" s="317"/>
    </row>
    <row r="5434">
      <c r="K5434" s="317"/>
    </row>
    <row r="5435">
      <c r="K5435" s="317"/>
    </row>
    <row r="5436">
      <c r="K5436" s="317"/>
    </row>
    <row r="5437">
      <c r="K5437" s="317"/>
    </row>
    <row r="5438">
      <c r="K5438" s="317"/>
    </row>
    <row r="5439">
      <c r="K5439" s="317"/>
    </row>
    <row r="5440">
      <c r="K5440" s="317"/>
    </row>
    <row r="5441">
      <c r="K5441" s="317"/>
    </row>
    <row r="5442">
      <c r="K5442" s="317"/>
    </row>
    <row r="5443">
      <c r="K5443" s="317"/>
    </row>
    <row r="5444">
      <c r="K5444" s="317"/>
    </row>
    <row r="5445">
      <c r="K5445" s="317"/>
    </row>
    <row r="5446">
      <c r="K5446" s="317"/>
    </row>
    <row r="5447">
      <c r="K5447" s="317"/>
    </row>
    <row r="5448">
      <c r="K5448" s="317"/>
    </row>
    <row r="5449">
      <c r="K5449" s="317"/>
    </row>
    <row r="5450">
      <c r="K5450" s="317"/>
    </row>
    <row r="5451">
      <c r="K5451" s="317"/>
    </row>
    <row r="5452">
      <c r="K5452" s="317"/>
    </row>
    <row r="5453">
      <c r="K5453" s="317"/>
    </row>
    <row r="5454">
      <c r="K5454" s="317"/>
    </row>
    <row r="5455">
      <c r="K5455" s="317"/>
    </row>
    <row r="5456">
      <c r="K5456" s="317"/>
    </row>
    <row r="5457">
      <c r="K5457" s="317"/>
    </row>
    <row r="5458">
      <c r="K5458" s="317"/>
    </row>
    <row r="5459">
      <c r="K5459" s="317"/>
    </row>
    <row r="5460">
      <c r="K5460" s="317"/>
    </row>
    <row r="5461">
      <c r="K5461" s="317"/>
    </row>
    <row r="5462">
      <c r="K5462" s="317"/>
    </row>
    <row r="5463">
      <c r="K5463" s="317"/>
    </row>
    <row r="5464">
      <c r="K5464" s="317"/>
    </row>
    <row r="5465">
      <c r="K5465" s="317"/>
    </row>
    <row r="5466">
      <c r="K5466" s="317"/>
    </row>
    <row r="5467">
      <c r="K5467" s="317"/>
    </row>
    <row r="5468">
      <c r="K5468" s="317"/>
    </row>
    <row r="5469">
      <c r="K5469" s="317"/>
    </row>
    <row r="5470">
      <c r="K5470" s="317"/>
    </row>
    <row r="5471">
      <c r="K5471" s="317"/>
    </row>
    <row r="5472">
      <c r="K5472" s="317"/>
    </row>
    <row r="5473">
      <c r="K5473" s="317"/>
    </row>
    <row r="5474">
      <c r="K5474" s="317"/>
    </row>
    <row r="5475">
      <c r="K5475" s="317"/>
    </row>
    <row r="5476">
      <c r="K5476" s="317"/>
    </row>
    <row r="5477">
      <c r="K5477" s="317"/>
    </row>
    <row r="5478">
      <c r="K5478" s="317"/>
    </row>
    <row r="5479">
      <c r="K5479" s="317"/>
    </row>
    <row r="5480">
      <c r="K5480" s="317"/>
    </row>
    <row r="5481">
      <c r="K5481" s="317"/>
    </row>
    <row r="5482">
      <c r="K5482" s="317"/>
    </row>
    <row r="5483">
      <c r="K5483" s="317"/>
    </row>
    <row r="5484">
      <c r="K5484" s="317"/>
    </row>
    <row r="5485">
      <c r="K5485" s="317"/>
    </row>
    <row r="5486">
      <c r="K5486" s="317"/>
    </row>
    <row r="5487">
      <c r="K5487" s="317"/>
    </row>
    <row r="5488">
      <c r="K5488" s="317"/>
    </row>
    <row r="5489">
      <c r="K5489" s="317"/>
    </row>
    <row r="5490">
      <c r="K5490" s="317"/>
    </row>
    <row r="5491">
      <c r="K5491" s="317"/>
    </row>
    <row r="5492">
      <c r="K5492" s="317"/>
    </row>
    <row r="5493">
      <c r="K5493" s="317"/>
    </row>
    <row r="5494">
      <c r="K5494" s="317"/>
    </row>
    <row r="5495">
      <c r="K5495" s="317"/>
    </row>
    <row r="5496">
      <c r="K5496" s="317"/>
    </row>
    <row r="5497">
      <c r="K5497" s="317"/>
    </row>
    <row r="5498">
      <c r="K5498" s="317"/>
    </row>
    <row r="5499">
      <c r="K5499" s="317"/>
    </row>
    <row r="5500">
      <c r="K5500" s="317"/>
    </row>
    <row r="5501">
      <c r="K5501" s="317"/>
    </row>
    <row r="5502">
      <c r="K5502" s="317"/>
    </row>
    <row r="5503">
      <c r="K5503" s="317"/>
    </row>
    <row r="5504">
      <c r="K5504" s="317"/>
    </row>
    <row r="5505">
      <c r="K5505" s="317"/>
    </row>
    <row r="5506">
      <c r="K5506" s="317"/>
    </row>
    <row r="5507">
      <c r="K5507" s="317"/>
    </row>
    <row r="5508">
      <c r="K5508" s="317"/>
    </row>
    <row r="5509">
      <c r="K5509" s="317"/>
    </row>
    <row r="5510">
      <c r="K5510" s="317"/>
    </row>
    <row r="5511">
      <c r="K5511" s="317"/>
    </row>
    <row r="5512">
      <c r="K5512" s="317"/>
    </row>
    <row r="5513">
      <c r="K5513" s="317"/>
    </row>
    <row r="5514">
      <c r="K5514" s="317"/>
    </row>
    <row r="5515">
      <c r="K5515" s="317"/>
    </row>
    <row r="5516">
      <c r="K5516" s="317"/>
    </row>
    <row r="5517">
      <c r="K5517" s="317"/>
    </row>
    <row r="5518">
      <c r="K5518" s="317"/>
    </row>
    <row r="5519">
      <c r="K5519" s="317"/>
    </row>
    <row r="5520">
      <c r="K5520" s="317"/>
    </row>
    <row r="5521">
      <c r="K5521" s="317"/>
    </row>
    <row r="5522">
      <c r="K5522" s="317"/>
    </row>
    <row r="5523">
      <c r="K5523" s="317"/>
    </row>
    <row r="5524">
      <c r="K5524" s="317"/>
    </row>
    <row r="5525">
      <c r="K5525" s="317"/>
    </row>
    <row r="5526">
      <c r="K5526" s="317"/>
    </row>
    <row r="5527">
      <c r="K5527" s="317"/>
    </row>
    <row r="5528">
      <c r="K5528" s="317"/>
    </row>
    <row r="5529">
      <c r="K5529" s="317"/>
    </row>
    <row r="5530">
      <c r="K5530" s="317"/>
    </row>
    <row r="5531">
      <c r="K5531" s="317"/>
    </row>
    <row r="5532">
      <c r="K5532" s="317"/>
    </row>
    <row r="5533">
      <c r="K5533" s="317"/>
    </row>
    <row r="5534">
      <c r="K5534" s="317"/>
    </row>
    <row r="5535">
      <c r="K5535" s="317"/>
    </row>
    <row r="5536">
      <c r="K5536" s="317"/>
    </row>
    <row r="5537">
      <c r="K5537" s="317"/>
    </row>
    <row r="5538">
      <c r="K5538" s="317"/>
    </row>
    <row r="5539">
      <c r="K5539" s="317"/>
    </row>
    <row r="5540">
      <c r="K5540" s="317"/>
    </row>
    <row r="5541">
      <c r="K5541" s="317"/>
    </row>
    <row r="5542">
      <c r="K5542" s="317"/>
    </row>
    <row r="5543">
      <c r="K5543" s="317"/>
    </row>
    <row r="5544">
      <c r="K5544" s="317"/>
    </row>
    <row r="5545">
      <c r="K5545" s="317"/>
    </row>
    <row r="5546">
      <c r="K5546" s="317"/>
    </row>
    <row r="5547">
      <c r="K5547" s="317"/>
    </row>
    <row r="5548">
      <c r="K5548" s="317"/>
    </row>
    <row r="5549">
      <c r="K5549" s="317"/>
    </row>
    <row r="5550">
      <c r="K5550" s="317"/>
    </row>
    <row r="5551">
      <c r="K5551" s="317"/>
    </row>
    <row r="5552">
      <c r="K5552" s="317"/>
    </row>
    <row r="5553">
      <c r="K5553" s="317"/>
    </row>
    <row r="5554">
      <c r="K5554" s="317"/>
    </row>
    <row r="5555">
      <c r="K5555" s="317"/>
    </row>
    <row r="5556">
      <c r="K5556" s="317"/>
    </row>
    <row r="5557">
      <c r="K5557" s="317"/>
    </row>
    <row r="5558">
      <c r="K5558" s="317"/>
    </row>
    <row r="5559">
      <c r="K5559" s="317"/>
    </row>
    <row r="5560">
      <c r="K5560" s="317"/>
    </row>
    <row r="5561">
      <c r="K5561" s="317"/>
    </row>
    <row r="5562">
      <c r="K5562" s="317"/>
    </row>
    <row r="5563">
      <c r="K5563" s="317"/>
    </row>
    <row r="5564">
      <c r="K5564" s="317"/>
    </row>
    <row r="5565">
      <c r="K5565" s="317"/>
    </row>
    <row r="5566">
      <c r="K5566" s="317"/>
    </row>
    <row r="5567">
      <c r="K5567" s="317"/>
    </row>
    <row r="5568">
      <c r="K5568" s="317"/>
    </row>
    <row r="5569">
      <c r="K5569" s="317"/>
    </row>
    <row r="5570">
      <c r="K5570" s="317"/>
    </row>
    <row r="5571">
      <c r="K5571" s="317"/>
    </row>
    <row r="5572">
      <c r="K5572" s="317"/>
    </row>
    <row r="5573">
      <c r="K5573" s="317"/>
    </row>
    <row r="5574">
      <c r="K5574" s="317"/>
    </row>
    <row r="5575">
      <c r="K5575" s="317"/>
    </row>
    <row r="5576">
      <c r="K5576" s="317"/>
    </row>
    <row r="5577">
      <c r="K5577" s="317"/>
    </row>
    <row r="5578">
      <c r="K5578" s="317"/>
    </row>
    <row r="5579">
      <c r="K5579" s="317"/>
    </row>
    <row r="5580">
      <c r="K5580" s="317"/>
    </row>
    <row r="5581">
      <c r="K5581" s="317"/>
    </row>
    <row r="5582">
      <c r="K5582" s="317"/>
    </row>
    <row r="5583">
      <c r="K5583" s="317"/>
    </row>
    <row r="5584">
      <c r="K5584" s="317"/>
    </row>
    <row r="5585">
      <c r="K5585" s="317"/>
    </row>
    <row r="5586">
      <c r="K5586" s="317"/>
    </row>
    <row r="5587">
      <c r="K5587" s="317"/>
    </row>
    <row r="5588">
      <c r="K5588" s="317"/>
    </row>
    <row r="5589">
      <c r="K5589" s="317"/>
    </row>
    <row r="5590">
      <c r="K5590" s="317"/>
    </row>
    <row r="5591">
      <c r="K5591" s="317"/>
    </row>
    <row r="5592">
      <c r="K5592" s="317"/>
    </row>
    <row r="5593">
      <c r="K5593" s="317"/>
    </row>
    <row r="5594">
      <c r="K5594" s="317"/>
    </row>
    <row r="5595">
      <c r="K5595" s="317"/>
    </row>
    <row r="5596">
      <c r="K5596" s="317"/>
    </row>
    <row r="5597">
      <c r="K5597" s="317"/>
    </row>
    <row r="5598">
      <c r="K5598" s="317"/>
    </row>
    <row r="5599">
      <c r="K5599" s="317"/>
    </row>
    <row r="5600">
      <c r="K5600" s="317"/>
    </row>
    <row r="5601">
      <c r="K5601" s="317"/>
    </row>
    <row r="5602">
      <c r="K5602" s="317"/>
    </row>
    <row r="5603">
      <c r="K5603" s="317"/>
    </row>
    <row r="5604">
      <c r="K5604" s="317"/>
    </row>
    <row r="5605">
      <c r="K5605" s="317"/>
    </row>
    <row r="5606">
      <c r="K5606" s="317"/>
    </row>
    <row r="5607">
      <c r="K5607" s="317"/>
    </row>
    <row r="5608">
      <c r="K5608" s="317"/>
    </row>
    <row r="5609">
      <c r="K5609" s="317"/>
    </row>
    <row r="5610">
      <c r="K5610" s="317"/>
    </row>
    <row r="5611">
      <c r="K5611" s="317"/>
    </row>
    <row r="5612">
      <c r="K5612" s="317"/>
    </row>
    <row r="5613">
      <c r="K5613" s="317"/>
    </row>
    <row r="5614">
      <c r="K5614" s="317"/>
    </row>
    <row r="5615">
      <c r="K5615" s="317"/>
    </row>
    <row r="5616">
      <c r="K5616" s="317"/>
    </row>
    <row r="5617">
      <c r="K5617" s="317"/>
    </row>
    <row r="5618">
      <c r="K5618" s="317"/>
    </row>
    <row r="5619">
      <c r="K5619" s="317"/>
    </row>
    <row r="5620">
      <c r="K5620" s="317"/>
    </row>
    <row r="5621">
      <c r="K5621" s="317"/>
    </row>
    <row r="5622">
      <c r="K5622" s="317"/>
    </row>
    <row r="5623">
      <c r="K5623" s="317"/>
    </row>
    <row r="5624">
      <c r="K5624" s="317"/>
    </row>
    <row r="5625">
      <c r="K5625" s="317"/>
    </row>
    <row r="5626">
      <c r="K5626" s="317"/>
    </row>
    <row r="5627">
      <c r="K5627" s="317"/>
    </row>
    <row r="5628">
      <c r="K5628" s="317"/>
    </row>
    <row r="5629">
      <c r="K5629" s="317"/>
    </row>
    <row r="5630">
      <c r="K5630" s="317"/>
    </row>
    <row r="5631">
      <c r="K5631" s="317"/>
    </row>
    <row r="5632">
      <c r="K5632" s="317"/>
    </row>
    <row r="5633">
      <c r="K5633" s="317"/>
    </row>
    <row r="5634">
      <c r="K5634" s="317"/>
    </row>
    <row r="5635">
      <c r="K5635" s="317"/>
    </row>
    <row r="5636">
      <c r="K5636" s="317"/>
    </row>
    <row r="5637">
      <c r="K5637" s="317"/>
    </row>
    <row r="5638">
      <c r="K5638" s="317"/>
    </row>
    <row r="5639">
      <c r="K5639" s="317"/>
    </row>
    <row r="5640">
      <c r="K5640" s="317"/>
    </row>
    <row r="5641">
      <c r="K5641" s="317"/>
    </row>
    <row r="5642">
      <c r="K5642" s="317"/>
    </row>
    <row r="5643">
      <c r="K5643" s="317"/>
    </row>
    <row r="5644">
      <c r="K5644" s="317"/>
    </row>
    <row r="5645">
      <c r="K5645" s="317"/>
    </row>
    <row r="5646">
      <c r="K5646" s="317"/>
    </row>
    <row r="5647">
      <c r="K5647" s="317"/>
    </row>
    <row r="5648">
      <c r="K5648" s="317"/>
    </row>
    <row r="5649">
      <c r="K5649" s="317"/>
    </row>
    <row r="5650">
      <c r="K5650" s="317"/>
    </row>
    <row r="5651">
      <c r="K5651" s="317"/>
    </row>
    <row r="5652">
      <c r="K5652" s="317"/>
    </row>
    <row r="5653">
      <c r="K5653" s="317"/>
    </row>
    <row r="5654">
      <c r="K5654" s="317"/>
    </row>
    <row r="5655">
      <c r="K5655" s="317"/>
    </row>
    <row r="5656">
      <c r="K5656" s="317"/>
    </row>
    <row r="5657">
      <c r="K5657" s="317"/>
    </row>
    <row r="5658">
      <c r="K5658" s="317"/>
    </row>
    <row r="5659">
      <c r="K5659" s="317"/>
    </row>
    <row r="5660">
      <c r="K5660" s="317"/>
    </row>
    <row r="5661">
      <c r="K5661" s="317"/>
    </row>
    <row r="5662">
      <c r="K5662" s="317"/>
    </row>
    <row r="5663">
      <c r="K5663" s="317"/>
    </row>
    <row r="5664">
      <c r="K5664" s="317"/>
    </row>
    <row r="5665">
      <c r="K5665" s="317"/>
    </row>
    <row r="5666">
      <c r="K5666" s="317"/>
    </row>
    <row r="5667">
      <c r="K5667" s="317"/>
    </row>
    <row r="5668">
      <c r="K5668" s="317"/>
    </row>
    <row r="5669">
      <c r="K5669" s="317"/>
    </row>
    <row r="5670">
      <c r="K5670" s="317"/>
    </row>
    <row r="5671">
      <c r="K5671" s="317"/>
    </row>
    <row r="5672">
      <c r="K5672" s="317"/>
    </row>
    <row r="5673">
      <c r="K5673" s="317"/>
    </row>
    <row r="5674">
      <c r="K5674" s="317"/>
    </row>
    <row r="5675">
      <c r="K5675" s="317"/>
    </row>
    <row r="5676">
      <c r="K5676" s="317"/>
    </row>
    <row r="5677">
      <c r="K5677" s="317"/>
    </row>
    <row r="5678">
      <c r="K5678" s="317"/>
    </row>
    <row r="5679">
      <c r="K5679" s="317"/>
    </row>
    <row r="5680">
      <c r="K5680" s="317"/>
    </row>
    <row r="5681">
      <c r="K5681" s="317"/>
    </row>
    <row r="5682">
      <c r="K5682" s="317"/>
    </row>
    <row r="5683">
      <c r="K5683" s="317"/>
    </row>
    <row r="5684">
      <c r="K5684" s="317"/>
    </row>
    <row r="5685">
      <c r="K5685" s="317"/>
    </row>
    <row r="5686">
      <c r="K5686" s="317"/>
    </row>
    <row r="5687">
      <c r="K5687" s="317"/>
    </row>
    <row r="5688">
      <c r="K5688" s="317"/>
    </row>
    <row r="5689">
      <c r="K5689" s="317"/>
    </row>
    <row r="5690">
      <c r="K5690" s="317"/>
    </row>
    <row r="5691">
      <c r="K5691" s="317"/>
    </row>
    <row r="5692">
      <c r="K5692" s="317"/>
    </row>
    <row r="5693">
      <c r="K5693" s="317"/>
    </row>
    <row r="5694">
      <c r="K5694" s="317"/>
    </row>
    <row r="5695">
      <c r="K5695" s="317"/>
    </row>
    <row r="5696">
      <c r="K5696" s="317"/>
    </row>
    <row r="5697">
      <c r="K5697" s="317"/>
    </row>
    <row r="5698">
      <c r="K5698" s="317"/>
    </row>
    <row r="5699">
      <c r="K5699" s="317"/>
    </row>
    <row r="5700">
      <c r="K5700" s="317"/>
    </row>
    <row r="5701">
      <c r="K5701" s="317"/>
    </row>
    <row r="5702">
      <c r="K5702" s="317"/>
    </row>
    <row r="5703">
      <c r="K5703" s="317"/>
    </row>
    <row r="5704">
      <c r="K5704" s="317"/>
    </row>
    <row r="5705">
      <c r="K5705" s="317"/>
    </row>
    <row r="5706">
      <c r="K5706" s="317"/>
    </row>
    <row r="5707">
      <c r="K5707" s="317"/>
    </row>
    <row r="5708">
      <c r="K5708" s="317"/>
    </row>
    <row r="5709">
      <c r="K5709" s="317"/>
    </row>
    <row r="5710">
      <c r="K5710" s="317"/>
    </row>
    <row r="5711">
      <c r="K5711" s="317"/>
    </row>
    <row r="5712">
      <c r="K5712" s="317"/>
    </row>
    <row r="5713">
      <c r="K5713" s="317"/>
    </row>
    <row r="5714">
      <c r="K5714" s="317"/>
    </row>
    <row r="5715">
      <c r="K5715" s="317"/>
    </row>
    <row r="5716">
      <c r="K5716" s="317"/>
    </row>
    <row r="5717">
      <c r="K5717" s="317"/>
    </row>
    <row r="5718">
      <c r="K5718" s="317"/>
    </row>
    <row r="5719">
      <c r="K5719" s="317"/>
    </row>
    <row r="5720">
      <c r="K5720" s="317"/>
    </row>
    <row r="5721">
      <c r="K5721" s="317"/>
    </row>
    <row r="5722">
      <c r="K5722" s="317"/>
    </row>
    <row r="5723">
      <c r="K5723" s="317"/>
    </row>
    <row r="5724">
      <c r="K5724" s="317"/>
    </row>
    <row r="5725">
      <c r="K5725" s="317"/>
    </row>
    <row r="5726">
      <c r="K5726" s="317"/>
    </row>
    <row r="5727">
      <c r="K5727" s="317"/>
    </row>
    <row r="5728">
      <c r="K5728" s="317"/>
    </row>
    <row r="5729">
      <c r="K5729" s="317"/>
    </row>
    <row r="5730">
      <c r="K5730" s="317"/>
    </row>
    <row r="5731">
      <c r="K5731" s="317"/>
    </row>
    <row r="5732">
      <c r="K5732" s="317"/>
    </row>
    <row r="5733">
      <c r="K5733" s="317"/>
    </row>
    <row r="5734">
      <c r="K5734" s="317"/>
    </row>
    <row r="5735">
      <c r="K5735" s="317"/>
    </row>
    <row r="5736">
      <c r="K5736" s="317"/>
    </row>
    <row r="5737">
      <c r="K5737" s="317"/>
    </row>
    <row r="5738">
      <c r="K5738" s="317"/>
    </row>
    <row r="5739">
      <c r="K5739" s="317"/>
    </row>
    <row r="5740">
      <c r="K5740" s="317"/>
    </row>
    <row r="5741">
      <c r="K5741" s="317"/>
    </row>
    <row r="5742">
      <c r="K5742" s="317"/>
    </row>
    <row r="5743">
      <c r="K5743" s="317"/>
    </row>
    <row r="5744">
      <c r="K5744" s="317"/>
    </row>
    <row r="5745">
      <c r="K5745" s="317"/>
    </row>
    <row r="5746">
      <c r="K5746" s="317"/>
    </row>
    <row r="5747">
      <c r="K5747" s="317"/>
    </row>
    <row r="5748">
      <c r="K5748" s="317"/>
    </row>
    <row r="5749">
      <c r="K5749" s="317"/>
    </row>
    <row r="5750">
      <c r="K5750" s="317"/>
    </row>
    <row r="5751">
      <c r="K5751" s="317"/>
    </row>
    <row r="5752">
      <c r="K5752" s="317"/>
    </row>
    <row r="5753">
      <c r="K5753" s="317"/>
    </row>
    <row r="5754">
      <c r="K5754" s="317"/>
    </row>
    <row r="5755">
      <c r="K5755" s="317"/>
    </row>
    <row r="5756">
      <c r="K5756" s="317"/>
    </row>
    <row r="5757">
      <c r="K5757" s="317"/>
    </row>
    <row r="5758">
      <c r="K5758" s="317"/>
    </row>
    <row r="5759">
      <c r="K5759" s="317"/>
    </row>
    <row r="5760">
      <c r="K5760" s="317"/>
    </row>
    <row r="5761">
      <c r="K5761" s="317"/>
    </row>
    <row r="5762">
      <c r="K5762" s="317"/>
    </row>
    <row r="5763">
      <c r="K5763" s="317"/>
    </row>
    <row r="5764">
      <c r="K5764" s="317"/>
    </row>
    <row r="5765">
      <c r="K5765" s="317"/>
    </row>
    <row r="5766">
      <c r="K5766" s="317"/>
    </row>
    <row r="5767">
      <c r="K5767" s="317"/>
    </row>
    <row r="5768">
      <c r="K5768" s="317"/>
    </row>
    <row r="5769">
      <c r="K5769" s="317"/>
    </row>
    <row r="5770">
      <c r="K5770" s="317"/>
    </row>
    <row r="5771">
      <c r="K5771" s="317"/>
    </row>
    <row r="5772">
      <c r="K5772" s="317"/>
    </row>
    <row r="5773">
      <c r="K5773" s="317"/>
    </row>
    <row r="5774">
      <c r="K5774" s="317"/>
    </row>
    <row r="5775">
      <c r="K5775" s="317"/>
    </row>
    <row r="5776">
      <c r="K5776" s="317"/>
    </row>
    <row r="5777">
      <c r="K5777" s="317"/>
    </row>
    <row r="5778">
      <c r="K5778" s="317"/>
    </row>
    <row r="5779">
      <c r="K5779" s="317"/>
    </row>
    <row r="5780">
      <c r="K5780" s="317"/>
    </row>
    <row r="5781">
      <c r="K5781" s="317"/>
    </row>
    <row r="5782">
      <c r="K5782" s="317"/>
    </row>
    <row r="5783">
      <c r="K5783" s="317"/>
    </row>
    <row r="5784">
      <c r="K5784" s="317"/>
    </row>
    <row r="5785">
      <c r="K5785" s="317"/>
    </row>
    <row r="5786">
      <c r="K5786" s="317"/>
    </row>
    <row r="5787">
      <c r="K5787" s="317"/>
    </row>
    <row r="5788">
      <c r="K5788" s="317"/>
    </row>
    <row r="5789">
      <c r="K5789" s="317"/>
    </row>
    <row r="5790">
      <c r="K5790" s="317"/>
    </row>
    <row r="5791">
      <c r="K5791" s="317"/>
    </row>
    <row r="5792">
      <c r="K5792" s="317"/>
    </row>
    <row r="5793">
      <c r="K5793" s="317"/>
    </row>
    <row r="5794">
      <c r="K5794" s="317"/>
    </row>
    <row r="5795">
      <c r="K5795" s="317"/>
    </row>
    <row r="5796">
      <c r="K5796" s="317"/>
    </row>
    <row r="5797">
      <c r="K5797" s="317"/>
    </row>
    <row r="5798">
      <c r="K5798" s="317"/>
    </row>
    <row r="5799">
      <c r="K5799" s="317"/>
    </row>
    <row r="5800">
      <c r="K5800" s="317"/>
    </row>
    <row r="5801">
      <c r="K5801" s="317"/>
    </row>
    <row r="5802">
      <c r="K5802" s="317"/>
    </row>
    <row r="5803">
      <c r="K5803" s="317"/>
    </row>
    <row r="5804">
      <c r="K5804" s="317"/>
    </row>
    <row r="5805">
      <c r="K5805" s="317"/>
    </row>
    <row r="5806">
      <c r="K5806" s="317"/>
    </row>
    <row r="5807">
      <c r="K5807" s="317"/>
    </row>
    <row r="5808">
      <c r="K5808" s="317"/>
    </row>
    <row r="5809">
      <c r="K5809" s="317"/>
    </row>
    <row r="5810">
      <c r="K5810" s="317"/>
    </row>
    <row r="5811">
      <c r="K5811" s="317"/>
    </row>
    <row r="5812">
      <c r="K5812" s="317"/>
    </row>
    <row r="5813">
      <c r="K5813" s="317"/>
    </row>
    <row r="5814">
      <c r="K5814" s="317"/>
    </row>
    <row r="5815">
      <c r="K5815" s="317"/>
    </row>
    <row r="5816">
      <c r="K5816" s="317"/>
    </row>
    <row r="5817">
      <c r="K5817" s="317"/>
    </row>
    <row r="5818">
      <c r="K5818" s="317"/>
    </row>
    <row r="5819">
      <c r="K5819" s="317"/>
    </row>
    <row r="5820">
      <c r="K5820" s="317"/>
    </row>
    <row r="5821">
      <c r="K5821" s="317"/>
    </row>
    <row r="5822">
      <c r="K5822" s="317"/>
    </row>
    <row r="5823">
      <c r="K5823" s="317"/>
    </row>
    <row r="5824">
      <c r="K5824" s="317"/>
    </row>
    <row r="5825">
      <c r="K5825" s="317"/>
    </row>
    <row r="5826">
      <c r="K5826" s="317"/>
    </row>
    <row r="5827">
      <c r="K5827" s="317"/>
    </row>
    <row r="5828">
      <c r="K5828" s="317"/>
    </row>
    <row r="5829">
      <c r="K5829" s="317"/>
    </row>
    <row r="5830">
      <c r="K5830" s="317"/>
    </row>
    <row r="5831">
      <c r="K5831" s="317"/>
    </row>
    <row r="5832">
      <c r="K5832" s="317"/>
    </row>
    <row r="5833">
      <c r="K5833" s="317"/>
    </row>
    <row r="5834">
      <c r="K5834" s="317"/>
    </row>
    <row r="5835">
      <c r="K5835" s="317"/>
    </row>
    <row r="5836">
      <c r="K5836" s="317"/>
    </row>
    <row r="5837">
      <c r="K5837" s="317"/>
    </row>
    <row r="5838">
      <c r="K5838" s="317"/>
    </row>
    <row r="5839">
      <c r="K5839" s="317"/>
    </row>
    <row r="5840">
      <c r="K5840" s="317"/>
    </row>
    <row r="5841">
      <c r="K5841" s="317"/>
    </row>
    <row r="5842">
      <c r="K5842" s="317"/>
    </row>
    <row r="5843">
      <c r="K5843" s="317"/>
    </row>
    <row r="5844">
      <c r="K5844" s="317"/>
    </row>
    <row r="5845">
      <c r="K5845" s="317"/>
    </row>
    <row r="5846">
      <c r="K5846" s="317"/>
    </row>
    <row r="5847">
      <c r="K5847" s="317"/>
    </row>
    <row r="5848">
      <c r="K5848" s="317"/>
    </row>
    <row r="5849">
      <c r="K5849" s="317"/>
    </row>
    <row r="5850">
      <c r="K5850" s="317"/>
    </row>
    <row r="5851">
      <c r="K5851" s="317"/>
    </row>
    <row r="5852">
      <c r="K5852" s="317"/>
    </row>
    <row r="5853">
      <c r="K5853" s="317"/>
    </row>
    <row r="5854">
      <c r="K5854" s="317"/>
    </row>
    <row r="5855">
      <c r="K5855" s="317"/>
    </row>
    <row r="5856">
      <c r="K5856" s="317"/>
    </row>
    <row r="5857">
      <c r="K5857" s="317"/>
    </row>
    <row r="5858">
      <c r="K5858" s="317"/>
    </row>
    <row r="5859">
      <c r="K5859" s="317"/>
    </row>
    <row r="5860">
      <c r="K5860" s="317"/>
    </row>
    <row r="5861">
      <c r="K5861" s="317"/>
    </row>
    <row r="5862">
      <c r="K5862" s="317"/>
    </row>
    <row r="5863">
      <c r="K5863" s="317"/>
    </row>
    <row r="5864">
      <c r="K5864" s="317"/>
    </row>
    <row r="5865">
      <c r="K5865" s="317"/>
    </row>
    <row r="5866">
      <c r="K5866" s="317"/>
    </row>
    <row r="5867">
      <c r="K5867" s="317"/>
    </row>
    <row r="5868">
      <c r="K5868" s="317"/>
    </row>
    <row r="5869">
      <c r="K5869" s="317"/>
    </row>
    <row r="5870">
      <c r="K5870" s="317"/>
    </row>
    <row r="5871">
      <c r="K5871" s="317"/>
    </row>
    <row r="5872">
      <c r="K5872" s="317"/>
    </row>
    <row r="5873">
      <c r="K5873" s="317"/>
    </row>
    <row r="5874">
      <c r="K5874" s="317"/>
    </row>
    <row r="5875">
      <c r="K5875" s="317"/>
    </row>
    <row r="5876">
      <c r="K5876" s="317"/>
    </row>
    <row r="5877">
      <c r="K5877" s="317"/>
    </row>
    <row r="5878">
      <c r="K5878" s="317"/>
    </row>
    <row r="5879">
      <c r="K5879" s="317"/>
    </row>
    <row r="5880">
      <c r="K5880" s="317"/>
    </row>
    <row r="5881">
      <c r="K5881" s="317"/>
    </row>
    <row r="5882">
      <c r="K5882" s="317"/>
    </row>
    <row r="5883">
      <c r="K5883" s="317"/>
    </row>
    <row r="5884">
      <c r="K5884" s="317"/>
    </row>
    <row r="5885">
      <c r="K5885" s="317"/>
    </row>
    <row r="5886">
      <c r="K5886" s="317"/>
    </row>
    <row r="5887">
      <c r="K5887" s="317"/>
    </row>
    <row r="5888">
      <c r="K5888" s="317"/>
    </row>
    <row r="5889">
      <c r="K5889" s="317"/>
    </row>
    <row r="5890">
      <c r="K5890" s="317"/>
    </row>
    <row r="5891">
      <c r="K5891" s="317"/>
    </row>
    <row r="5892">
      <c r="K5892" s="317"/>
    </row>
    <row r="5893">
      <c r="K5893" s="317"/>
    </row>
    <row r="5894">
      <c r="K5894" s="317"/>
    </row>
    <row r="5895">
      <c r="K5895" s="317"/>
    </row>
    <row r="5896">
      <c r="K5896" s="317"/>
    </row>
    <row r="5897">
      <c r="K5897" s="317"/>
    </row>
    <row r="5898">
      <c r="K5898" s="317"/>
    </row>
    <row r="5899">
      <c r="K5899" s="317"/>
    </row>
    <row r="5900">
      <c r="K5900" s="317"/>
    </row>
    <row r="5901">
      <c r="K5901" s="317"/>
    </row>
    <row r="5902">
      <c r="K5902" s="317"/>
    </row>
    <row r="5903">
      <c r="K5903" s="317"/>
    </row>
    <row r="5904">
      <c r="K5904" s="317"/>
    </row>
    <row r="5905">
      <c r="K5905" s="317"/>
    </row>
    <row r="5906">
      <c r="K5906" s="317"/>
    </row>
    <row r="5907">
      <c r="K5907" s="317"/>
    </row>
    <row r="5908">
      <c r="K5908" s="317"/>
    </row>
    <row r="5909">
      <c r="K5909" s="317"/>
    </row>
    <row r="5910">
      <c r="K5910" s="317"/>
    </row>
    <row r="5911">
      <c r="K5911" s="317"/>
    </row>
    <row r="5912">
      <c r="K5912" s="317"/>
    </row>
    <row r="5913">
      <c r="K5913" s="317"/>
    </row>
    <row r="5914">
      <c r="K5914" s="317"/>
    </row>
    <row r="5915">
      <c r="K5915" s="317"/>
    </row>
    <row r="5916">
      <c r="K5916" s="317"/>
    </row>
    <row r="5917">
      <c r="K5917" s="317"/>
    </row>
    <row r="5918">
      <c r="K5918" s="317"/>
    </row>
    <row r="5919">
      <c r="K5919" s="317"/>
    </row>
    <row r="5920">
      <c r="K5920" s="317"/>
    </row>
    <row r="5921">
      <c r="K5921" s="317"/>
    </row>
    <row r="5922">
      <c r="K5922" s="317"/>
    </row>
    <row r="5923">
      <c r="K5923" s="317"/>
    </row>
    <row r="5924">
      <c r="K5924" s="317"/>
    </row>
    <row r="5925">
      <c r="K5925" s="317"/>
    </row>
    <row r="5926">
      <c r="K5926" s="317"/>
    </row>
    <row r="5927">
      <c r="K5927" s="317"/>
    </row>
    <row r="5928">
      <c r="K5928" s="317"/>
    </row>
    <row r="5929">
      <c r="K5929" s="317"/>
    </row>
    <row r="5930">
      <c r="K5930" s="317"/>
    </row>
    <row r="5931">
      <c r="K5931" s="317"/>
    </row>
    <row r="5932">
      <c r="K5932" s="317"/>
    </row>
    <row r="5933">
      <c r="K5933" s="317"/>
    </row>
    <row r="5934">
      <c r="K5934" s="317"/>
    </row>
    <row r="5935">
      <c r="K5935" s="317"/>
    </row>
    <row r="5936">
      <c r="K5936" s="317"/>
    </row>
    <row r="5937">
      <c r="K5937" s="317"/>
    </row>
    <row r="5938">
      <c r="K5938" s="317"/>
    </row>
    <row r="5939">
      <c r="K5939" s="317"/>
    </row>
    <row r="5940">
      <c r="K5940" s="317"/>
    </row>
    <row r="5941">
      <c r="K5941" s="317"/>
    </row>
    <row r="5942">
      <c r="K5942" s="317"/>
    </row>
    <row r="5943">
      <c r="K5943" s="317"/>
    </row>
    <row r="5944">
      <c r="K5944" s="317"/>
    </row>
    <row r="5945">
      <c r="K5945" s="317"/>
    </row>
    <row r="5946">
      <c r="K5946" s="317"/>
    </row>
    <row r="5947">
      <c r="K5947" s="317"/>
    </row>
    <row r="5948">
      <c r="K5948" s="317"/>
    </row>
    <row r="5949">
      <c r="K5949" s="317"/>
    </row>
    <row r="5950">
      <c r="K5950" s="317"/>
    </row>
    <row r="5951">
      <c r="K5951" s="317"/>
    </row>
    <row r="5952">
      <c r="K5952" s="317"/>
    </row>
    <row r="5953">
      <c r="K5953" s="317"/>
    </row>
    <row r="5954">
      <c r="K5954" s="317"/>
    </row>
    <row r="5955">
      <c r="K5955" s="317"/>
    </row>
    <row r="5956">
      <c r="K5956" s="317"/>
    </row>
    <row r="5957">
      <c r="K5957" s="317"/>
    </row>
    <row r="5958">
      <c r="K5958" s="317"/>
    </row>
    <row r="5959">
      <c r="K5959" s="317"/>
    </row>
    <row r="5960">
      <c r="K5960" s="317"/>
    </row>
    <row r="5961">
      <c r="K5961" s="317"/>
    </row>
    <row r="5962">
      <c r="K5962" s="317"/>
    </row>
    <row r="5963">
      <c r="K5963" s="317"/>
    </row>
    <row r="5964">
      <c r="K5964" s="317"/>
    </row>
    <row r="5965">
      <c r="K5965" s="317"/>
    </row>
    <row r="5966">
      <c r="K5966" s="317"/>
    </row>
    <row r="5967">
      <c r="K5967" s="317"/>
    </row>
    <row r="5968">
      <c r="K5968" s="317"/>
    </row>
    <row r="5969">
      <c r="K5969" s="317"/>
    </row>
    <row r="5970">
      <c r="K5970" s="317"/>
    </row>
    <row r="5971">
      <c r="K5971" s="317"/>
    </row>
    <row r="5972">
      <c r="K5972" s="317"/>
    </row>
    <row r="5973">
      <c r="K5973" s="317"/>
    </row>
    <row r="5974">
      <c r="K5974" s="317"/>
    </row>
    <row r="5975">
      <c r="K5975" s="317"/>
    </row>
    <row r="5976">
      <c r="K5976" s="317"/>
    </row>
    <row r="5977">
      <c r="K5977" s="317"/>
    </row>
    <row r="5978">
      <c r="K5978" s="317"/>
    </row>
    <row r="5979">
      <c r="K5979" s="317"/>
    </row>
    <row r="5980">
      <c r="K5980" s="317"/>
    </row>
    <row r="5981">
      <c r="K5981" s="317"/>
    </row>
    <row r="5982">
      <c r="K5982" s="317"/>
    </row>
    <row r="5983">
      <c r="K5983" s="317"/>
    </row>
    <row r="5984">
      <c r="K5984" s="317"/>
    </row>
    <row r="5985">
      <c r="K5985" s="317"/>
    </row>
    <row r="5986">
      <c r="K5986" s="317"/>
    </row>
    <row r="5987">
      <c r="K5987" s="317"/>
    </row>
    <row r="5988">
      <c r="K5988" s="317"/>
    </row>
    <row r="5989">
      <c r="K5989" s="317"/>
    </row>
    <row r="5990">
      <c r="K5990" s="317"/>
    </row>
    <row r="5991">
      <c r="K5991" s="317"/>
    </row>
    <row r="5992">
      <c r="K5992" s="317"/>
    </row>
    <row r="5993">
      <c r="K5993" s="317"/>
    </row>
    <row r="5994">
      <c r="K5994" s="317"/>
    </row>
    <row r="5995">
      <c r="K5995" s="317"/>
    </row>
    <row r="5996">
      <c r="K5996" s="317"/>
    </row>
    <row r="5997">
      <c r="K5997" s="317"/>
    </row>
    <row r="5998">
      <c r="K5998" s="317"/>
    </row>
    <row r="5999">
      <c r="K5999" s="317"/>
    </row>
    <row r="6000">
      <c r="K6000" s="317"/>
    </row>
    <row r="6001">
      <c r="K6001" s="317"/>
    </row>
    <row r="6002">
      <c r="K6002" s="317"/>
    </row>
    <row r="6003">
      <c r="K6003" s="317"/>
    </row>
    <row r="6004">
      <c r="K6004" s="317"/>
    </row>
    <row r="6005">
      <c r="K6005" s="317"/>
    </row>
    <row r="6006">
      <c r="K6006" s="317"/>
    </row>
    <row r="6007">
      <c r="K6007" s="317"/>
    </row>
    <row r="6008">
      <c r="K6008" s="317"/>
    </row>
    <row r="6009">
      <c r="K6009" s="317"/>
    </row>
    <row r="6010">
      <c r="K6010" s="317"/>
    </row>
    <row r="6011">
      <c r="K6011" s="317"/>
    </row>
    <row r="6012">
      <c r="K6012" s="317"/>
    </row>
    <row r="6013">
      <c r="K6013" s="317"/>
    </row>
    <row r="6014">
      <c r="K6014" s="317"/>
    </row>
    <row r="6015">
      <c r="K6015" s="317"/>
    </row>
    <row r="6016">
      <c r="K6016" s="317"/>
    </row>
    <row r="6017">
      <c r="K6017" s="317"/>
    </row>
    <row r="6018">
      <c r="K6018" s="317"/>
    </row>
    <row r="6019">
      <c r="K6019" s="317"/>
    </row>
    <row r="6020">
      <c r="K6020" s="317"/>
    </row>
    <row r="6021">
      <c r="K6021" s="317"/>
    </row>
    <row r="6022">
      <c r="K6022" s="317"/>
    </row>
    <row r="6023">
      <c r="K6023" s="317"/>
    </row>
    <row r="6024">
      <c r="K6024" s="317"/>
    </row>
    <row r="6025">
      <c r="K6025" s="317"/>
    </row>
    <row r="6026">
      <c r="K6026" s="317"/>
    </row>
    <row r="6027">
      <c r="K6027" s="317"/>
    </row>
    <row r="6028">
      <c r="K6028" s="317"/>
    </row>
    <row r="6029">
      <c r="K6029" s="317"/>
    </row>
    <row r="6030">
      <c r="K6030" s="317"/>
    </row>
    <row r="6031">
      <c r="K6031" s="317"/>
    </row>
    <row r="6032">
      <c r="K6032" s="317"/>
    </row>
    <row r="6033">
      <c r="K6033" s="317"/>
    </row>
    <row r="6034">
      <c r="K6034" s="317"/>
    </row>
    <row r="6035">
      <c r="K6035" s="317"/>
    </row>
    <row r="6036">
      <c r="K6036" s="317"/>
    </row>
    <row r="6037">
      <c r="K6037" s="317"/>
    </row>
    <row r="6038">
      <c r="K6038" s="317"/>
    </row>
    <row r="6039">
      <c r="K6039" s="317"/>
    </row>
    <row r="6040">
      <c r="K6040" s="317"/>
    </row>
    <row r="6041">
      <c r="K6041" s="317"/>
    </row>
    <row r="6042">
      <c r="K6042" s="317"/>
    </row>
    <row r="6043">
      <c r="K6043" s="317"/>
    </row>
    <row r="6044">
      <c r="K6044" s="317"/>
    </row>
    <row r="6045">
      <c r="K6045" s="317"/>
    </row>
    <row r="6046">
      <c r="K6046" s="317"/>
    </row>
    <row r="6047">
      <c r="K6047" s="317"/>
    </row>
    <row r="6048">
      <c r="K6048" s="317"/>
    </row>
    <row r="6049">
      <c r="K6049" s="317"/>
    </row>
    <row r="6050">
      <c r="K6050" s="317"/>
    </row>
    <row r="6051">
      <c r="K6051" s="317"/>
    </row>
    <row r="6052">
      <c r="K6052" s="317"/>
    </row>
    <row r="6053">
      <c r="K6053" s="317"/>
    </row>
    <row r="6054">
      <c r="K6054" s="317"/>
    </row>
    <row r="6055">
      <c r="K6055" s="317"/>
    </row>
    <row r="6056">
      <c r="K6056" s="317"/>
    </row>
    <row r="6057">
      <c r="K6057" s="317"/>
    </row>
    <row r="6058">
      <c r="K6058" s="317"/>
    </row>
    <row r="6059">
      <c r="K6059" s="317"/>
    </row>
    <row r="6060">
      <c r="K6060" s="317"/>
    </row>
    <row r="6061">
      <c r="K6061" s="317"/>
    </row>
    <row r="6062">
      <c r="K6062" s="317"/>
    </row>
    <row r="6063">
      <c r="K6063" s="317"/>
    </row>
    <row r="6064">
      <c r="K6064" s="317"/>
    </row>
    <row r="6065">
      <c r="K6065" s="317"/>
    </row>
    <row r="6066">
      <c r="K6066" s="317"/>
    </row>
    <row r="6067">
      <c r="K6067" s="317"/>
    </row>
    <row r="6068">
      <c r="K6068" s="317"/>
    </row>
    <row r="6069">
      <c r="K6069" s="317"/>
    </row>
    <row r="6070">
      <c r="K6070" s="317"/>
    </row>
    <row r="6071">
      <c r="K6071" s="317"/>
    </row>
    <row r="6072">
      <c r="K6072" s="317"/>
    </row>
    <row r="6073">
      <c r="K6073" s="317"/>
    </row>
    <row r="6074">
      <c r="K6074" s="317"/>
    </row>
    <row r="6075">
      <c r="K6075" s="317"/>
    </row>
    <row r="6076">
      <c r="K6076" s="317"/>
    </row>
    <row r="6077">
      <c r="K6077" s="317"/>
    </row>
    <row r="6078">
      <c r="K6078" s="317"/>
    </row>
    <row r="6079">
      <c r="K6079" s="317"/>
    </row>
    <row r="6080">
      <c r="K6080" s="317"/>
    </row>
    <row r="6081">
      <c r="K6081" s="317"/>
    </row>
    <row r="6082">
      <c r="K6082" s="317"/>
    </row>
    <row r="6083">
      <c r="K6083" s="317"/>
    </row>
    <row r="6084">
      <c r="K6084" s="317"/>
    </row>
    <row r="6085">
      <c r="K6085" s="317"/>
    </row>
    <row r="6086">
      <c r="K6086" s="317"/>
    </row>
    <row r="6087">
      <c r="K6087" s="317"/>
    </row>
    <row r="6088">
      <c r="K6088" s="317"/>
    </row>
    <row r="6089">
      <c r="K6089" s="317"/>
    </row>
    <row r="6090">
      <c r="K6090" s="317"/>
    </row>
    <row r="6091">
      <c r="K6091" s="317"/>
    </row>
    <row r="6092">
      <c r="K6092" s="317"/>
    </row>
    <row r="6093">
      <c r="K6093" s="317"/>
    </row>
    <row r="6094">
      <c r="K6094" s="317"/>
    </row>
    <row r="6095">
      <c r="K6095" s="317"/>
    </row>
    <row r="6096">
      <c r="K6096" s="317"/>
    </row>
    <row r="6097">
      <c r="K6097" s="317"/>
    </row>
    <row r="6098">
      <c r="K6098" s="317"/>
    </row>
    <row r="6099">
      <c r="K6099" s="317"/>
    </row>
    <row r="6100">
      <c r="K6100" s="317"/>
    </row>
    <row r="6101">
      <c r="K6101" s="317"/>
    </row>
    <row r="6102">
      <c r="K6102" s="317"/>
    </row>
    <row r="6103">
      <c r="K6103" s="317"/>
    </row>
    <row r="6104">
      <c r="K6104" s="317"/>
    </row>
    <row r="6105">
      <c r="K6105" s="317"/>
    </row>
    <row r="6106">
      <c r="K6106" s="317"/>
    </row>
    <row r="6107">
      <c r="K6107" s="317"/>
    </row>
    <row r="6108">
      <c r="K6108" s="317"/>
    </row>
    <row r="6109">
      <c r="K6109" s="317"/>
    </row>
    <row r="6110">
      <c r="K6110" s="317"/>
    </row>
    <row r="6111">
      <c r="K6111" s="317"/>
    </row>
    <row r="6112">
      <c r="K6112" s="317"/>
    </row>
    <row r="6113">
      <c r="K6113" s="317"/>
    </row>
    <row r="6114">
      <c r="K6114" s="317"/>
    </row>
    <row r="6115">
      <c r="K6115" s="317"/>
    </row>
    <row r="6116">
      <c r="K6116" s="317"/>
    </row>
    <row r="6117">
      <c r="K6117" s="317"/>
    </row>
    <row r="6118">
      <c r="K6118" s="317"/>
    </row>
    <row r="6119">
      <c r="K6119" s="317"/>
    </row>
    <row r="6120">
      <c r="K6120" s="317"/>
    </row>
    <row r="6121">
      <c r="K6121" s="317"/>
    </row>
    <row r="6122">
      <c r="K6122" s="317"/>
    </row>
    <row r="6123">
      <c r="K6123" s="317"/>
    </row>
    <row r="6124">
      <c r="K6124" s="317"/>
    </row>
    <row r="6125">
      <c r="K6125" s="317"/>
    </row>
    <row r="6126">
      <c r="K6126" s="317"/>
    </row>
    <row r="6127">
      <c r="K6127" s="317"/>
    </row>
    <row r="6128">
      <c r="K6128" s="317"/>
    </row>
    <row r="6129">
      <c r="K6129" s="317"/>
    </row>
    <row r="6130">
      <c r="K6130" s="317"/>
    </row>
    <row r="6131">
      <c r="K6131" s="317"/>
    </row>
    <row r="6132">
      <c r="K6132" s="317"/>
    </row>
    <row r="6133">
      <c r="K6133" s="317"/>
    </row>
    <row r="6134">
      <c r="K6134" s="317"/>
    </row>
    <row r="6135">
      <c r="K6135" s="317"/>
    </row>
    <row r="6136">
      <c r="K6136" s="317"/>
    </row>
    <row r="6137">
      <c r="K6137" s="317"/>
    </row>
    <row r="6138">
      <c r="K6138" s="317"/>
    </row>
    <row r="6139">
      <c r="K6139" s="317"/>
    </row>
    <row r="6140">
      <c r="K6140" s="317"/>
    </row>
    <row r="6141">
      <c r="K6141" s="317"/>
    </row>
    <row r="6142">
      <c r="K6142" s="317"/>
    </row>
    <row r="6143">
      <c r="K6143" s="317"/>
    </row>
    <row r="6144">
      <c r="K6144" s="317"/>
    </row>
    <row r="6145">
      <c r="K6145" s="317"/>
    </row>
    <row r="6146">
      <c r="K6146" s="317"/>
    </row>
    <row r="6147">
      <c r="K6147" s="317"/>
    </row>
    <row r="6148">
      <c r="K6148" s="317"/>
    </row>
    <row r="6149">
      <c r="K6149" s="317"/>
    </row>
    <row r="6150">
      <c r="K6150" s="317"/>
    </row>
    <row r="6151">
      <c r="K6151" s="317"/>
    </row>
    <row r="6152">
      <c r="K6152" s="317"/>
    </row>
    <row r="6153">
      <c r="K6153" s="317"/>
    </row>
    <row r="6154">
      <c r="K6154" s="317"/>
    </row>
    <row r="6155">
      <c r="K6155" s="317"/>
    </row>
    <row r="6156">
      <c r="K6156" s="317"/>
    </row>
    <row r="6157">
      <c r="K6157" s="317"/>
    </row>
    <row r="6158">
      <c r="K6158" s="317"/>
    </row>
    <row r="6159">
      <c r="K6159" s="317"/>
    </row>
    <row r="6160">
      <c r="K6160" s="317"/>
    </row>
    <row r="6161">
      <c r="K6161" s="317"/>
    </row>
    <row r="6162">
      <c r="K6162" s="317"/>
    </row>
    <row r="6163">
      <c r="K6163" s="317"/>
    </row>
    <row r="6164">
      <c r="K6164" s="317"/>
    </row>
    <row r="6165">
      <c r="K6165" s="317"/>
    </row>
    <row r="6166">
      <c r="K6166" s="317"/>
    </row>
    <row r="6167">
      <c r="K6167" s="317"/>
    </row>
    <row r="6168">
      <c r="K6168" s="317"/>
    </row>
    <row r="6169">
      <c r="K6169" s="317"/>
    </row>
    <row r="6170">
      <c r="K6170" s="317"/>
    </row>
    <row r="6171">
      <c r="K6171" s="317"/>
    </row>
    <row r="6172">
      <c r="K6172" s="317"/>
    </row>
    <row r="6173">
      <c r="K6173" s="317"/>
    </row>
    <row r="6174">
      <c r="K6174" s="317"/>
    </row>
    <row r="6175">
      <c r="K6175" s="317"/>
    </row>
    <row r="6176">
      <c r="K6176" s="317"/>
    </row>
    <row r="6177">
      <c r="K6177" s="317"/>
    </row>
    <row r="6178">
      <c r="K6178" s="317"/>
    </row>
    <row r="6179">
      <c r="K6179" s="317"/>
    </row>
    <row r="6180">
      <c r="K6180" s="317"/>
    </row>
    <row r="6181">
      <c r="K6181" s="317"/>
    </row>
    <row r="6182">
      <c r="K6182" s="317"/>
    </row>
    <row r="6183">
      <c r="K6183" s="317"/>
    </row>
    <row r="6184">
      <c r="K6184" s="317"/>
    </row>
    <row r="6185">
      <c r="K6185" s="317"/>
    </row>
    <row r="6186">
      <c r="K6186" s="317"/>
    </row>
    <row r="6187">
      <c r="K6187" s="317"/>
    </row>
    <row r="6188">
      <c r="K6188" s="317"/>
    </row>
    <row r="6189">
      <c r="K6189" s="317"/>
    </row>
    <row r="6190">
      <c r="K6190" s="317"/>
    </row>
    <row r="6191">
      <c r="K6191" s="317"/>
    </row>
    <row r="6192">
      <c r="K6192" s="317"/>
    </row>
    <row r="6193">
      <c r="K6193" s="317"/>
    </row>
    <row r="6194">
      <c r="K6194" s="317"/>
    </row>
    <row r="6195">
      <c r="K6195" s="317"/>
    </row>
    <row r="6196">
      <c r="K6196" s="317"/>
    </row>
    <row r="6197">
      <c r="K6197" s="317"/>
    </row>
    <row r="6198">
      <c r="K6198" s="317"/>
    </row>
    <row r="6199">
      <c r="K6199" s="317"/>
    </row>
    <row r="6200">
      <c r="K6200" s="317"/>
    </row>
    <row r="6201">
      <c r="K6201" s="317"/>
    </row>
    <row r="6202">
      <c r="K6202" s="317"/>
    </row>
    <row r="6203">
      <c r="K6203" s="317"/>
    </row>
    <row r="6204">
      <c r="K6204" s="317"/>
    </row>
    <row r="6205">
      <c r="K6205" s="317"/>
    </row>
    <row r="6206">
      <c r="K6206" s="317"/>
    </row>
    <row r="6207">
      <c r="K6207" s="317"/>
    </row>
    <row r="6208">
      <c r="K6208" s="317"/>
    </row>
    <row r="6209">
      <c r="K6209" s="317"/>
    </row>
    <row r="6210">
      <c r="K6210" s="317"/>
    </row>
    <row r="6211">
      <c r="K6211" s="317"/>
    </row>
    <row r="6212">
      <c r="K6212" s="317"/>
    </row>
    <row r="6213">
      <c r="K6213" s="317"/>
    </row>
    <row r="6214">
      <c r="K6214" s="317"/>
    </row>
    <row r="6215">
      <c r="K6215" s="317"/>
    </row>
    <row r="6216">
      <c r="K6216" s="317"/>
    </row>
    <row r="6217">
      <c r="K6217" s="317"/>
    </row>
    <row r="6218">
      <c r="K6218" s="317"/>
    </row>
    <row r="6219">
      <c r="K6219" s="317"/>
    </row>
    <row r="6220">
      <c r="K6220" s="317"/>
    </row>
    <row r="6221">
      <c r="K6221" s="317"/>
    </row>
    <row r="6222">
      <c r="K6222" s="317"/>
    </row>
    <row r="6223">
      <c r="K6223" s="317"/>
    </row>
    <row r="6224">
      <c r="K6224" s="317"/>
    </row>
    <row r="6225">
      <c r="K6225" s="317"/>
    </row>
    <row r="6226">
      <c r="K6226" s="317"/>
    </row>
    <row r="6227">
      <c r="K6227" s="317"/>
    </row>
    <row r="6228">
      <c r="K6228" s="317"/>
    </row>
    <row r="6229">
      <c r="K6229" s="317"/>
    </row>
    <row r="6230">
      <c r="K6230" s="317"/>
    </row>
    <row r="6231">
      <c r="K6231" s="317"/>
    </row>
    <row r="6232">
      <c r="K6232" s="317"/>
    </row>
    <row r="6233">
      <c r="K6233" s="317"/>
    </row>
    <row r="6234">
      <c r="K6234" s="317"/>
    </row>
    <row r="6235">
      <c r="K6235" s="317"/>
    </row>
    <row r="6236">
      <c r="K6236" s="317"/>
    </row>
    <row r="6237">
      <c r="K6237" s="317"/>
    </row>
    <row r="6238">
      <c r="K6238" s="317"/>
    </row>
    <row r="6239">
      <c r="K6239" s="317"/>
    </row>
    <row r="6240">
      <c r="K6240" s="317"/>
    </row>
    <row r="6241">
      <c r="K6241" s="317"/>
    </row>
    <row r="6242">
      <c r="K6242" s="317"/>
    </row>
    <row r="6243">
      <c r="K6243" s="317"/>
    </row>
    <row r="6244">
      <c r="K6244" s="317"/>
    </row>
    <row r="6245">
      <c r="K6245" s="317"/>
    </row>
    <row r="6246">
      <c r="K6246" s="317"/>
    </row>
    <row r="6247">
      <c r="K6247" s="317"/>
    </row>
    <row r="6248">
      <c r="K6248" s="317"/>
    </row>
    <row r="6249">
      <c r="K6249" s="317"/>
    </row>
    <row r="6250">
      <c r="K6250" s="317"/>
    </row>
    <row r="6251">
      <c r="K6251" s="317"/>
    </row>
    <row r="6252">
      <c r="K6252" s="317"/>
    </row>
    <row r="6253">
      <c r="K6253" s="317"/>
    </row>
    <row r="6254">
      <c r="K6254" s="317"/>
    </row>
    <row r="6255">
      <c r="K6255" s="317"/>
    </row>
    <row r="6256">
      <c r="K6256" s="317"/>
    </row>
    <row r="6257">
      <c r="K6257" s="317"/>
    </row>
    <row r="6258">
      <c r="K6258" s="317"/>
    </row>
    <row r="6259">
      <c r="K6259" s="317"/>
    </row>
    <row r="6260">
      <c r="K6260" s="317"/>
    </row>
    <row r="6261">
      <c r="K6261" s="317"/>
    </row>
    <row r="6262">
      <c r="K6262" s="317"/>
    </row>
    <row r="6263">
      <c r="K6263" s="317"/>
    </row>
    <row r="6264">
      <c r="K6264" s="317"/>
    </row>
    <row r="6265">
      <c r="K6265" s="317"/>
    </row>
    <row r="6266">
      <c r="K6266" s="317"/>
    </row>
    <row r="6267">
      <c r="K6267" s="317"/>
    </row>
    <row r="6268">
      <c r="K6268" s="317"/>
    </row>
    <row r="6269">
      <c r="K6269" s="317"/>
    </row>
    <row r="6270">
      <c r="K6270" s="317"/>
    </row>
    <row r="6271">
      <c r="K6271" s="317"/>
    </row>
    <row r="6272">
      <c r="K6272" s="317"/>
    </row>
    <row r="6273">
      <c r="K6273" s="317"/>
    </row>
    <row r="6274">
      <c r="K6274" s="317"/>
    </row>
    <row r="6275">
      <c r="K6275" s="317"/>
    </row>
    <row r="6276">
      <c r="K6276" s="317"/>
    </row>
    <row r="6277">
      <c r="K6277" s="317"/>
    </row>
    <row r="6278">
      <c r="K6278" s="317"/>
    </row>
    <row r="6279">
      <c r="K6279" s="317"/>
    </row>
    <row r="6280">
      <c r="K6280" s="317"/>
    </row>
    <row r="6281">
      <c r="K6281" s="317"/>
    </row>
    <row r="6282">
      <c r="K6282" s="317"/>
    </row>
    <row r="6283">
      <c r="K6283" s="317"/>
    </row>
    <row r="6284">
      <c r="K6284" s="317"/>
    </row>
    <row r="6285">
      <c r="K6285" s="317"/>
    </row>
    <row r="6286">
      <c r="K6286" s="317"/>
    </row>
    <row r="6287">
      <c r="K6287" s="317"/>
    </row>
    <row r="6288">
      <c r="K6288" s="317"/>
    </row>
    <row r="6289">
      <c r="K6289" s="317"/>
    </row>
    <row r="6290">
      <c r="K6290" s="317"/>
    </row>
    <row r="6291">
      <c r="K6291" s="317"/>
    </row>
    <row r="6292">
      <c r="K6292" s="317"/>
    </row>
    <row r="6293">
      <c r="K6293" s="317"/>
    </row>
    <row r="6294">
      <c r="K6294" s="317"/>
    </row>
    <row r="6295">
      <c r="K6295" s="317"/>
    </row>
    <row r="6296">
      <c r="K6296" s="317"/>
    </row>
    <row r="6297">
      <c r="K6297" s="317"/>
    </row>
    <row r="6298">
      <c r="K6298" s="317"/>
    </row>
    <row r="6299">
      <c r="K6299" s="317"/>
    </row>
    <row r="6300">
      <c r="K6300" s="317"/>
    </row>
    <row r="6301">
      <c r="K6301" s="317"/>
    </row>
    <row r="6302">
      <c r="K6302" s="317"/>
    </row>
    <row r="6303">
      <c r="K6303" s="317"/>
    </row>
    <row r="6304">
      <c r="K6304" s="317"/>
    </row>
    <row r="6305">
      <c r="K6305" s="317"/>
    </row>
    <row r="6306">
      <c r="K6306" s="317"/>
    </row>
    <row r="6307">
      <c r="K6307" s="317"/>
    </row>
    <row r="6308">
      <c r="K6308" s="317"/>
    </row>
    <row r="6309">
      <c r="K6309" s="317"/>
    </row>
    <row r="6310">
      <c r="K6310" s="317"/>
    </row>
    <row r="6311">
      <c r="K6311" s="317"/>
    </row>
    <row r="6312">
      <c r="K6312" s="317"/>
    </row>
    <row r="6313">
      <c r="K6313" s="317"/>
    </row>
    <row r="6314">
      <c r="K6314" s="317"/>
    </row>
    <row r="6315">
      <c r="K6315" s="317"/>
    </row>
    <row r="6316">
      <c r="K6316" s="317"/>
    </row>
    <row r="6317">
      <c r="K6317" s="317"/>
    </row>
    <row r="6318">
      <c r="K6318" s="317"/>
    </row>
    <row r="6319">
      <c r="K6319" s="317"/>
    </row>
    <row r="6320">
      <c r="K6320" s="317"/>
    </row>
    <row r="6321">
      <c r="K6321" s="317"/>
    </row>
    <row r="6322">
      <c r="K6322" s="317"/>
    </row>
    <row r="6323">
      <c r="K6323" s="317"/>
    </row>
    <row r="6324">
      <c r="K6324" s="317"/>
    </row>
    <row r="6325">
      <c r="K6325" s="317"/>
    </row>
    <row r="6326">
      <c r="K6326" s="317"/>
    </row>
    <row r="6327">
      <c r="K6327" s="317"/>
    </row>
    <row r="6328">
      <c r="K6328" s="317"/>
    </row>
    <row r="6329">
      <c r="K6329" s="317"/>
    </row>
    <row r="6330">
      <c r="K6330" s="317"/>
    </row>
    <row r="6331">
      <c r="K6331" s="317"/>
    </row>
    <row r="6332">
      <c r="K6332" s="317"/>
    </row>
    <row r="6333">
      <c r="K6333" s="317"/>
    </row>
    <row r="6334">
      <c r="K6334" s="317"/>
    </row>
    <row r="6335">
      <c r="K6335" s="317"/>
    </row>
    <row r="6336">
      <c r="K6336" s="317"/>
    </row>
    <row r="6337">
      <c r="K6337" s="317"/>
    </row>
    <row r="6338">
      <c r="K6338" s="317"/>
    </row>
    <row r="6339">
      <c r="K6339" s="317"/>
    </row>
    <row r="6340">
      <c r="K6340" s="317"/>
    </row>
    <row r="6341">
      <c r="K6341" s="317"/>
    </row>
    <row r="6342">
      <c r="K6342" s="317"/>
    </row>
    <row r="6343">
      <c r="K6343" s="317"/>
    </row>
    <row r="6344">
      <c r="K6344" s="317"/>
    </row>
    <row r="6345">
      <c r="K6345" s="317"/>
    </row>
    <row r="6346">
      <c r="K6346" s="317"/>
    </row>
    <row r="6347">
      <c r="K6347" s="317"/>
    </row>
    <row r="6348">
      <c r="K6348" s="317"/>
    </row>
    <row r="6349">
      <c r="K6349" s="317"/>
    </row>
    <row r="6350">
      <c r="K6350" s="317"/>
    </row>
    <row r="6351">
      <c r="K6351" s="317"/>
    </row>
    <row r="6352">
      <c r="K6352" s="317"/>
    </row>
    <row r="6353">
      <c r="K6353" s="317"/>
    </row>
    <row r="6354">
      <c r="K6354" s="317"/>
    </row>
    <row r="6355">
      <c r="K6355" s="317"/>
    </row>
    <row r="6356">
      <c r="K6356" s="317"/>
    </row>
    <row r="6357">
      <c r="K6357" s="317"/>
    </row>
    <row r="6358">
      <c r="K6358" s="317"/>
    </row>
    <row r="6359">
      <c r="K6359" s="317"/>
    </row>
    <row r="6360">
      <c r="K6360" s="317"/>
    </row>
    <row r="6361">
      <c r="K6361" s="317"/>
    </row>
    <row r="6362">
      <c r="K6362" s="317"/>
    </row>
    <row r="6363">
      <c r="K6363" s="317"/>
    </row>
    <row r="6364">
      <c r="K6364" s="317"/>
    </row>
    <row r="6365">
      <c r="K6365" s="317"/>
    </row>
    <row r="6366">
      <c r="K6366" s="317"/>
    </row>
    <row r="6367">
      <c r="K6367" s="317"/>
    </row>
    <row r="6368">
      <c r="K6368" s="317"/>
    </row>
    <row r="6369">
      <c r="K6369" s="317"/>
    </row>
    <row r="6370">
      <c r="K6370" s="317"/>
    </row>
    <row r="6371">
      <c r="K6371" s="317"/>
    </row>
    <row r="6372">
      <c r="K6372" s="317"/>
    </row>
    <row r="6373">
      <c r="K6373" s="317"/>
    </row>
    <row r="6374">
      <c r="K6374" s="317"/>
    </row>
    <row r="6375">
      <c r="K6375" s="317"/>
    </row>
    <row r="6376">
      <c r="K6376" s="317"/>
    </row>
    <row r="6377">
      <c r="K6377" s="317"/>
    </row>
    <row r="6378">
      <c r="K6378" s="317"/>
    </row>
    <row r="6379">
      <c r="K6379" s="317"/>
    </row>
    <row r="6380">
      <c r="K6380" s="317"/>
    </row>
    <row r="6381">
      <c r="K6381" s="317"/>
    </row>
    <row r="6382">
      <c r="K6382" s="317"/>
    </row>
    <row r="6383">
      <c r="K6383" s="317"/>
    </row>
    <row r="6384">
      <c r="K6384" s="317"/>
    </row>
    <row r="6385">
      <c r="K6385" s="317"/>
    </row>
    <row r="6386">
      <c r="K6386" s="317"/>
    </row>
    <row r="6387">
      <c r="K6387" s="317"/>
    </row>
    <row r="6388">
      <c r="K6388" s="317"/>
    </row>
    <row r="6389">
      <c r="K6389" s="317"/>
    </row>
    <row r="6390">
      <c r="K6390" s="317"/>
    </row>
    <row r="6391">
      <c r="K6391" s="317"/>
    </row>
    <row r="6392">
      <c r="K6392" s="317"/>
    </row>
    <row r="6393">
      <c r="K6393" s="317"/>
    </row>
    <row r="6394">
      <c r="K6394" s="317"/>
    </row>
    <row r="6395">
      <c r="K6395" s="317"/>
    </row>
    <row r="6396">
      <c r="K6396" s="317"/>
    </row>
    <row r="6397">
      <c r="K6397" s="317"/>
    </row>
    <row r="6398">
      <c r="K6398" s="317"/>
    </row>
    <row r="6399">
      <c r="K6399" s="317"/>
    </row>
    <row r="6400">
      <c r="K6400" s="317"/>
    </row>
    <row r="6401">
      <c r="K6401" s="317"/>
    </row>
    <row r="6402">
      <c r="K6402" s="317"/>
    </row>
    <row r="6403">
      <c r="K6403" s="317"/>
    </row>
    <row r="6404">
      <c r="K6404" s="317"/>
    </row>
    <row r="6405">
      <c r="K6405" s="317"/>
    </row>
    <row r="6406">
      <c r="K6406" s="317"/>
    </row>
    <row r="6407">
      <c r="K6407" s="317"/>
    </row>
    <row r="6408">
      <c r="K6408" s="317"/>
    </row>
    <row r="6409">
      <c r="K6409" s="317"/>
    </row>
    <row r="6410">
      <c r="K6410" s="317"/>
    </row>
    <row r="6411">
      <c r="K6411" s="317"/>
    </row>
    <row r="6412">
      <c r="K6412" s="317"/>
    </row>
    <row r="6413">
      <c r="K6413" s="317"/>
    </row>
    <row r="6414">
      <c r="K6414" s="317"/>
    </row>
    <row r="6415">
      <c r="K6415" s="317"/>
    </row>
    <row r="6416">
      <c r="K6416" s="317"/>
    </row>
    <row r="6417">
      <c r="K6417" s="317"/>
    </row>
    <row r="6418">
      <c r="K6418" s="317"/>
    </row>
    <row r="6419">
      <c r="K6419" s="317"/>
    </row>
    <row r="6420">
      <c r="K6420" s="317"/>
    </row>
    <row r="6421">
      <c r="K6421" s="317"/>
    </row>
    <row r="6422">
      <c r="K6422" s="317"/>
    </row>
    <row r="6423">
      <c r="K6423" s="317"/>
    </row>
    <row r="6424">
      <c r="K6424" s="317"/>
    </row>
    <row r="6425">
      <c r="K6425" s="317"/>
    </row>
    <row r="6426">
      <c r="K6426" s="317"/>
    </row>
    <row r="6427">
      <c r="K6427" s="317"/>
    </row>
    <row r="6428">
      <c r="K6428" s="317"/>
    </row>
    <row r="6429">
      <c r="K6429" s="317"/>
    </row>
    <row r="6430">
      <c r="K6430" s="317"/>
    </row>
    <row r="6431">
      <c r="K6431" s="317"/>
    </row>
    <row r="6432">
      <c r="K6432" s="317"/>
    </row>
    <row r="6433">
      <c r="K6433" s="317"/>
    </row>
    <row r="6434">
      <c r="K6434" s="317"/>
    </row>
    <row r="6435">
      <c r="K6435" s="317"/>
    </row>
    <row r="6436">
      <c r="K6436" s="317"/>
    </row>
    <row r="6437">
      <c r="K6437" s="317"/>
    </row>
    <row r="6438">
      <c r="K6438" s="317"/>
    </row>
    <row r="6439">
      <c r="K6439" s="317"/>
    </row>
    <row r="6440">
      <c r="K6440" s="317"/>
    </row>
    <row r="6441">
      <c r="K6441" s="317"/>
    </row>
    <row r="6442">
      <c r="K6442" s="317"/>
    </row>
    <row r="6443">
      <c r="K6443" s="317"/>
    </row>
    <row r="6444">
      <c r="K6444" s="317"/>
    </row>
    <row r="6445">
      <c r="K6445" s="317"/>
    </row>
    <row r="6446">
      <c r="K6446" s="317"/>
    </row>
    <row r="6447">
      <c r="K6447" s="317"/>
    </row>
    <row r="6448">
      <c r="K6448" s="317"/>
    </row>
    <row r="6449">
      <c r="K6449" s="317"/>
    </row>
    <row r="6450">
      <c r="K6450" s="317"/>
    </row>
    <row r="6451">
      <c r="K6451" s="317"/>
    </row>
    <row r="6452">
      <c r="K6452" s="317"/>
    </row>
    <row r="6453">
      <c r="K6453" s="317"/>
    </row>
    <row r="6454">
      <c r="K6454" s="317"/>
    </row>
    <row r="6455">
      <c r="K6455" s="317"/>
    </row>
    <row r="6456">
      <c r="K6456" s="317"/>
    </row>
    <row r="6457">
      <c r="K6457" s="317"/>
    </row>
    <row r="6458">
      <c r="K6458" s="317"/>
    </row>
    <row r="6459">
      <c r="K6459" s="317"/>
    </row>
    <row r="6460">
      <c r="K6460" s="317"/>
    </row>
    <row r="6461">
      <c r="K6461" s="317"/>
    </row>
    <row r="6462">
      <c r="K6462" s="317"/>
    </row>
    <row r="6463">
      <c r="K6463" s="317"/>
    </row>
    <row r="6464">
      <c r="K6464" s="317"/>
    </row>
    <row r="6465">
      <c r="K6465" s="317"/>
    </row>
    <row r="6466">
      <c r="K6466" s="317"/>
    </row>
    <row r="6467">
      <c r="K6467" s="317"/>
    </row>
    <row r="6468">
      <c r="K6468" s="317"/>
    </row>
    <row r="6469">
      <c r="K6469" s="317"/>
    </row>
    <row r="6470">
      <c r="K6470" s="317"/>
    </row>
    <row r="6471">
      <c r="K6471" s="317"/>
    </row>
    <row r="6472">
      <c r="K6472" s="317"/>
    </row>
    <row r="6473">
      <c r="K6473" s="317"/>
    </row>
    <row r="6474">
      <c r="K6474" s="317"/>
    </row>
    <row r="6475">
      <c r="K6475" s="317"/>
    </row>
    <row r="6476">
      <c r="K6476" s="317"/>
    </row>
    <row r="6477">
      <c r="K6477" s="317"/>
    </row>
    <row r="6478">
      <c r="K6478" s="317"/>
    </row>
    <row r="6479">
      <c r="K6479" s="317"/>
    </row>
    <row r="6480">
      <c r="K6480" s="317"/>
    </row>
    <row r="6481">
      <c r="K6481" s="317"/>
    </row>
    <row r="6482">
      <c r="K6482" s="317"/>
    </row>
    <row r="6483">
      <c r="K6483" s="317"/>
    </row>
    <row r="6484">
      <c r="K6484" s="317"/>
    </row>
    <row r="6485">
      <c r="K6485" s="317"/>
    </row>
    <row r="6486">
      <c r="K6486" s="317"/>
    </row>
    <row r="6487">
      <c r="K6487" s="317"/>
    </row>
    <row r="6488">
      <c r="K6488" s="317"/>
    </row>
    <row r="6489">
      <c r="K6489" s="317"/>
    </row>
    <row r="6490">
      <c r="K6490" s="317"/>
    </row>
    <row r="6491">
      <c r="K6491" s="317"/>
    </row>
    <row r="6492">
      <c r="K6492" s="317"/>
    </row>
    <row r="6493">
      <c r="K6493" s="317"/>
    </row>
    <row r="6494">
      <c r="K6494" s="317"/>
    </row>
    <row r="6495">
      <c r="K6495" s="317"/>
    </row>
    <row r="6496">
      <c r="K6496" s="317"/>
    </row>
    <row r="6497">
      <c r="K6497" s="317"/>
    </row>
    <row r="6498">
      <c r="K6498" s="317"/>
    </row>
    <row r="6499">
      <c r="K6499" s="317"/>
    </row>
    <row r="6500">
      <c r="K6500" s="317"/>
    </row>
    <row r="6501">
      <c r="K6501" s="317"/>
    </row>
    <row r="6502">
      <c r="K6502" s="317"/>
    </row>
    <row r="6503">
      <c r="K6503" s="317"/>
    </row>
    <row r="6504">
      <c r="K6504" s="317"/>
    </row>
    <row r="6505">
      <c r="K6505" s="317"/>
    </row>
    <row r="6506">
      <c r="K6506" s="317"/>
    </row>
    <row r="6507">
      <c r="K6507" s="317"/>
    </row>
    <row r="6508">
      <c r="K6508" s="317"/>
    </row>
    <row r="6509">
      <c r="K6509" s="317"/>
    </row>
    <row r="6510">
      <c r="K6510" s="317"/>
    </row>
    <row r="6511">
      <c r="K6511" s="317"/>
    </row>
    <row r="6512">
      <c r="K6512" s="317"/>
    </row>
    <row r="6513">
      <c r="K6513" s="317"/>
    </row>
    <row r="6514">
      <c r="K6514" s="317"/>
    </row>
    <row r="6515">
      <c r="K6515" s="317"/>
    </row>
    <row r="6516">
      <c r="K6516" s="317"/>
    </row>
    <row r="6517">
      <c r="K6517" s="317"/>
    </row>
    <row r="6518">
      <c r="K6518" s="317"/>
    </row>
    <row r="6519">
      <c r="K6519" s="317"/>
    </row>
    <row r="6520">
      <c r="K6520" s="317"/>
    </row>
    <row r="6521">
      <c r="K6521" s="317"/>
    </row>
    <row r="6522">
      <c r="K6522" s="317"/>
    </row>
    <row r="6523">
      <c r="K6523" s="317"/>
    </row>
    <row r="6524">
      <c r="K6524" s="317"/>
    </row>
    <row r="6525">
      <c r="K6525" s="317"/>
    </row>
    <row r="6526">
      <c r="K6526" s="317"/>
    </row>
    <row r="6527">
      <c r="K6527" s="317"/>
    </row>
    <row r="6528">
      <c r="K6528" s="317"/>
    </row>
    <row r="6529">
      <c r="K6529" s="317"/>
    </row>
    <row r="6530">
      <c r="K6530" s="317"/>
    </row>
    <row r="6531">
      <c r="K6531" s="317"/>
    </row>
    <row r="6532">
      <c r="K6532" s="317"/>
    </row>
    <row r="6533">
      <c r="K6533" s="317"/>
    </row>
    <row r="6534">
      <c r="K6534" s="317"/>
    </row>
    <row r="6535">
      <c r="K6535" s="317"/>
    </row>
    <row r="6536">
      <c r="K6536" s="317"/>
    </row>
    <row r="6537">
      <c r="K6537" s="317"/>
    </row>
    <row r="6538">
      <c r="K6538" s="317"/>
    </row>
    <row r="6539">
      <c r="K6539" s="317"/>
    </row>
    <row r="6540">
      <c r="K6540" s="317"/>
    </row>
    <row r="6541">
      <c r="K6541" s="317"/>
    </row>
    <row r="6542">
      <c r="K6542" s="317"/>
    </row>
    <row r="6543">
      <c r="K6543" s="317"/>
    </row>
    <row r="6544">
      <c r="K6544" s="317"/>
    </row>
    <row r="6545">
      <c r="K6545" s="317"/>
    </row>
    <row r="6546">
      <c r="K6546" s="317"/>
    </row>
    <row r="6547">
      <c r="K6547" s="317"/>
    </row>
    <row r="6548">
      <c r="K6548" s="317"/>
    </row>
    <row r="6549">
      <c r="K6549" s="317"/>
    </row>
    <row r="6550">
      <c r="K6550" s="317"/>
    </row>
    <row r="6551">
      <c r="K6551" s="317"/>
    </row>
    <row r="6552">
      <c r="K6552" s="317"/>
    </row>
    <row r="6553">
      <c r="K6553" s="317"/>
    </row>
    <row r="6554">
      <c r="K6554" s="317"/>
    </row>
    <row r="6555">
      <c r="K6555" s="317"/>
    </row>
    <row r="6556">
      <c r="K6556" s="317"/>
    </row>
    <row r="6557">
      <c r="K6557" s="317"/>
    </row>
    <row r="6558">
      <c r="K6558" s="317"/>
    </row>
    <row r="6559">
      <c r="K6559" s="317"/>
    </row>
    <row r="6560">
      <c r="K6560" s="317"/>
    </row>
    <row r="6561">
      <c r="K6561" s="317"/>
    </row>
    <row r="6562">
      <c r="K6562" s="317"/>
    </row>
    <row r="6563">
      <c r="K6563" s="317"/>
    </row>
    <row r="6564">
      <c r="K6564" s="317"/>
    </row>
    <row r="6565">
      <c r="K6565" s="317"/>
    </row>
    <row r="6566">
      <c r="K6566" s="317"/>
    </row>
    <row r="6567">
      <c r="K6567" s="317"/>
    </row>
    <row r="6568">
      <c r="K6568" s="317"/>
    </row>
    <row r="6569">
      <c r="K6569" s="317"/>
    </row>
    <row r="6570">
      <c r="K6570" s="317"/>
    </row>
    <row r="6571">
      <c r="K6571" s="317"/>
    </row>
    <row r="6572">
      <c r="K6572" s="317"/>
    </row>
    <row r="6573">
      <c r="K6573" s="317"/>
    </row>
    <row r="6574">
      <c r="K6574" s="317"/>
    </row>
    <row r="6575">
      <c r="K6575" s="317"/>
    </row>
    <row r="6576">
      <c r="K6576" s="317"/>
    </row>
    <row r="6577">
      <c r="K6577" s="317"/>
    </row>
    <row r="6578">
      <c r="K6578" s="317"/>
    </row>
    <row r="6579">
      <c r="K6579" s="317"/>
    </row>
    <row r="6580">
      <c r="K6580" s="317"/>
    </row>
    <row r="6581">
      <c r="K6581" s="317"/>
    </row>
    <row r="6582">
      <c r="K6582" s="317"/>
    </row>
    <row r="6583">
      <c r="K6583" s="317"/>
    </row>
    <row r="6584">
      <c r="K6584" s="317"/>
    </row>
    <row r="6585">
      <c r="K6585" s="317"/>
    </row>
    <row r="6586">
      <c r="K6586" s="317"/>
    </row>
    <row r="6587">
      <c r="K6587" s="317"/>
    </row>
    <row r="6588">
      <c r="K6588" s="317"/>
    </row>
    <row r="6589">
      <c r="K6589" s="317"/>
    </row>
    <row r="6590">
      <c r="K6590" s="317"/>
    </row>
    <row r="6591">
      <c r="K6591" s="317"/>
    </row>
    <row r="6592">
      <c r="K6592" s="317"/>
    </row>
    <row r="6593">
      <c r="K6593" s="317"/>
    </row>
    <row r="6594">
      <c r="K6594" s="317"/>
    </row>
    <row r="6595">
      <c r="K6595" s="317"/>
    </row>
    <row r="6596">
      <c r="K6596" s="317"/>
    </row>
    <row r="6597">
      <c r="K6597" s="317"/>
    </row>
    <row r="6598">
      <c r="K6598" s="317"/>
    </row>
    <row r="6599">
      <c r="K6599" s="317"/>
    </row>
    <row r="6600">
      <c r="K6600" s="317"/>
    </row>
    <row r="6601">
      <c r="K6601" s="317"/>
    </row>
    <row r="6602">
      <c r="K6602" s="317"/>
    </row>
    <row r="6603">
      <c r="K6603" s="317"/>
    </row>
    <row r="6604">
      <c r="K6604" s="317"/>
    </row>
    <row r="6605">
      <c r="K6605" s="317"/>
    </row>
    <row r="6606">
      <c r="K6606" s="317"/>
    </row>
    <row r="6607">
      <c r="K6607" s="317"/>
    </row>
    <row r="6608">
      <c r="K6608" s="317"/>
    </row>
    <row r="6609">
      <c r="K6609" s="317"/>
    </row>
    <row r="6610">
      <c r="K6610" s="317"/>
    </row>
    <row r="6611">
      <c r="K6611" s="317"/>
    </row>
    <row r="6612">
      <c r="K6612" s="317"/>
    </row>
    <row r="6613">
      <c r="K6613" s="317"/>
    </row>
    <row r="6614">
      <c r="K6614" s="317"/>
    </row>
    <row r="6615">
      <c r="K6615" s="317"/>
    </row>
    <row r="6616">
      <c r="K6616" s="317"/>
    </row>
    <row r="6617">
      <c r="K6617" s="317"/>
    </row>
    <row r="6618">
      <c r="K6618" s="317"/>
    </row>
    <row r="6619">
      <c r="K6619" s="317"/>
    </row>
    <row r="6620">
      <c r="K6620" s="317"/>
    </row>
    <row r="6621">
      <c r="K6621" s="317"/>
    </row>
    <row r="6622">
      <c r="K6622" s="317"/>
    </row>
    <row r="6623">
      <c r="K6623" s="317"/>
    </row>
    <row r="6624">
      <c r="K6624" s="317"/>
    </row>
    <row r="6625">
      <c r="K6625" s="317"/>
    </row>
    <row r="6626">
      <c r="K6626" s="317"/>
    </row>
    <row r="6627">
      <c r="K6627" s="317"/>
    </row>
    <row r="6628">
      <c r="K6628" s="317"/>
    </row>
    <row r="6629">
      <c r="K6629" s="317"/>
    </row>
    <row r="6630">
      <c r="K6630" s="317"/>
    </row>
    <row r="6631">
      <c r="K6631" s="317"/>
    </row>
    <row r="6632">
      <c r="K6632" s="317"/>
    </row>
    <row r="6633">
      <c r="K6633" s="317"/>
    </row>
    <row r="6634">
      <c r="K6634" s="317"/>
    </row>
    <row r="6635">
      <c r="K6635" s="317"/>
    </row>
    <row r="6636">
      <c r="K6636" s="317"/>
    </row>
    <row r="6637">
      <c r="K6637" s="317"/>
    </row>
    <row r="6638">
      <c r="K6638" s="317"/>
    </row>
    <row r="6639">
      <c r="K6639" s="317"/>
    </row>
    <row r="6640">
      <c r="K6640" s="317"/>
    </row>
    <row r="6641">
      <c r="K6641" s="317"/>
    </row>
    <row r="6642">
      <c r="K6642" s="317"/>
    </row>
    <row r="6643">
      <c r="K6643" s="317"/>
    </row>
    <row r="6644">
      <c r="K6644" s="317"/>
    </row>
    <row r="6645">
      <c r="K6645" s="317"/>
    </row>
    <row r="6646">
      <c r="K6646" s="317"/>
    </row>
    <row r="6647">
      <c r="K6647" s="317"/>
    </row>
    <row r="6648">
      <c r="K6648" s="317"/>
    </row>
    <row r="6649">
      <c r="K6649" s="317"/>
    </row>
    <row r="6650">
      <c r="K6650" s="317"/>
    </row>
    <row r="6651">
      <c r="K6651" s="317"/>
    </row>
    <row r="6652">
      <c r="K6652" s="317"/>
    </row>
    <row r="6653">
      <c r="K6653" s="317"/>
    </row>
    <row r="6654">
      <c r="K6654" s="317"/>
    </row>
    <row r="6655">
      <c r="K6655" s="317"/>
    </row>
    <row r="6656">
      <c r="K6656" s="317"/>
    </row>
    <row r="6657">
      <c r="K6657" s="317"/>
    </row>
    <row r="6658">
      <c r="K6658" s="317"/>
    </row>
    <row r="6659">
      <c r="K6659" s="317"/>
    </row>
    <row r="6660">
      <c r="K6660" s="317"/>
    </row>
    <row r="6661">
      <c r="K6661" s="317"/>
    </row>
    <row r="6662">
      <c r="K6662" s="317"/>
    </row>
    <row r="6663">
      <c r="K6663" s="317"/>
    </row>
    <row r="6664">
      <c r="K6664" s="317"/>
    </row>
    <row r="6665">
      <c r="K6665" s="317"/>
    </row>
    <row r="6666">
      <c r="K6666" s="317"/>
    </row>
    <row r="6667">
      <c r="K6667" s="317"/>
    </row>
    <row r="6668">
      <c r="K6668" s="317"/>
    </row>
    <row r="6669">
      <c r="K6669" s="317"/>
    </row>
    <row r="6670">
      <c r="K6670" s="317"/>
    </row>
    <row r="6671">
      <c r="K6671" s="317"/>
    </row>
    <row r="6672">
      <c r="K6672" s="317"/>
    </row>
    <row r="6673">
      <c r="K6673" s="317"/>
    </row>
    <row r="6674">
      <c r="K6674" s="317"/>
    </row>
    <row r="6675">
      <c r="K6675" s="317"/>
    </row>
    <row r="6676">
      <c r="K6676" s="317"/>
    </row>
    <row r="6677">
      <c r="K6677" s="317"/>
    </row>
    <row r="6678">
      <c r="K6678" s="317"/>
    </row>
    <row r="6679">
      <c r="K6679" s="317"/>
    </row>
    <row r="6680">
      <c r="K6680" s="317"/>
    </row>
    <row r="6681">
      <c r="K6681" s="317"/>
    </row>
    <row r="6682">
      <c r="K6682" s="317"/>
    </row>
    <row r="6683">
      <c r="K6683" s="317"/>
    </row>
    <row r="6684">
      <c r="K6684" s="317"/>
    </row>
    <row r="6685">
      <c r="K6685" s="317"/>
    </row>
    <row r="6686">
      <c r="K6686" s="317"/>
    </row>
    <row r="6687">
      <c r="K6687" s="317"/>
    </row>
    <row r="6688">
      <c r="K6688" s="317"/>
    </row>
    <row r="6689">
      <c r="K6689" s="317"/>
    </row>
    <row r="6690">
      <c r="K6690" s="317"/>
    </row>
    <row r="6691">
      <c r="K6691" s="317"/>
    </row>
    <row r="6692">
      <c r="K6692" s="317"/>
    </row>
    <row r="6693">
      <c r="K6693" s="317"/>
    </row>
    <row r="6694">
      <c r="K6694" s="317"/>
    </row>
    <row r="6695">
      <c r="K6695" s="317"/>
    </row>
    <row r="6696">
      <c r="K6696" s="317"/>
    </row>
    <row r="6697">
      <c r="K6697" s="317"/>
    </row>
    <row r="6698">
      <c r="K6698" s="317"/>
    </row>
    <row r="6699">
      <c r="K6699" s="317"/>
    </row>
    <row r="6700">
      <c r="K6700" s="317"/>
    </row>
    <row r="6701">
      <c r="K6701" s="317"/>
    </row>
    <row r="6702">
      <c r="K6702" s="317"/>
    </row>
    <row r="6703">
      <c r="K6703" s="317"/>
    </row>
    <row r="6704">
      <c r="K6704" s="317"/>
    </row>
    <row r="6705">
      <c r="K6705" s="317"/>
    </row>
    <row r="6706">
      <c r="K6706" s="317"/>
    </row>
    <row r="6707">
      <c r="K6707" s="317"/>
    </row>
    <row r="6708">
      <c r="K6708" s="317"/>
    </row>
    <row r="6709">
      <c r="K6709" s="317"/>
    </row>
    <row r="6710">
      <c r="K6710" s="317"/>
    </row>
    <row r="6711">
      <c r="K6711" s="317"/>
    </row>
    <row r="6712">
      <c r="K6712" s="317"/>
    </row>
    <row r="6713">
      <c r="K6713" s="317"/>
    </row>
    <row r="6714">
      <c r="K6714" s="317"/>
    </row>
    <row r="6715">
      <c r="K6715" s="317"/>
    </row>
    <row r="6716">
      <c r="K6716" s="317"/>
    </row>
    <row r="6717">
      <c r="K6717" s="317"/>
    </row>
    <row r="6718">
      <c r="K6718" s="317"/>
    </row>
    <row r="6719">
      <c r="K6719" s="317"/>
    </row>
    <row r="6720">
      <c r="K6720" s="317"/>
    </row>
    <row r="6721">
      <c r="K6721" s="317"/>
    </row>
    <row r="6722">
      <c r="K6722" s="317"/>
    </row>
    <row r="6723">
      <c r="K6723" s="317"/>
    </row>
    <row r="6724">
      <c r="K6724" s="317"/>
    </row>
    <row r="6725">
      <c r="K6725" s="317"/>
    </row>
    <row r="6726">
      <c r="K6726" s="317"/>
    </row>
    <row r="6727">
      <c r="K6727" s="317"/>
    </row>
    <row r="6728">
      <c r="K6728" s="317"/>
    </row>
    <row r="6729">
      <c r="K6729" s="317"/>
    </row>
    <row r="6730">
      <c r="K6730" s="317"/>
    </row>
    <row r="6731">
      <c r="K6731" s="317"/>
    </row>
    <row r="6732">
      <c r="K6732" s="317"/>
    </row>
    <row r="6733">
      <c r="K6733" s="317"/>
    </row>
    <row r="6734">
      <c r="K6734" s="317"/>
    </row>
    <row r="6735">
      <c r="K6735" s="317"/>
    </row>
    <row r="6736">
      <c r="K6736" s="317"/>
    </row>
    <row r="6737">
      <c r="K6737" s="317"/>
    </row>
    <row r="6738">
      <c r="K6738" s="317"/>
    </row>
    <row r="6739">
      <c r="K6739" s="317"/>
    </row>
    <row r="6740">
      <c r="K6740" s="317"/>
    </row>
    <row r="6741">
      <c r="K6741" s="317"/>
    </row>
    <row r="6742">
      <c r="K6742" s="317"/>
    </row>
    <row r="6743">
      <c r="K6743" s="317"/>
    </row>
    <row r="6744">
      <c r="K6744" s="317"/>
    </row>
    <row r="6745">
      <c r="K6745" s="317"/>
    </row>
    <row r="6746">
      <c r="K6746" s="317"/>
    </row>
    <row r="6747">
      <c r="K6747" s="317"/>
    </row>
    <row r="6748">
      <c r="K6748" s="317"/>
    </row>
    <row r="6749">
      <c r="K6749" s="317"/>
    </row>
    <row r="6750">
      <c r="K6750" s="317"/>
    </row>
    <row r="6751">
      <c r="K6751" s="317"/>
    </row>
    <row r="6752">
      <c r="K6752" s="317"/>
    </row>
    <row r="6753">
      <c r="K6753" s="317"/>
    </row>
    <row r="6754">
      <c r="K6754" s="317"/>
    </row>
    <row r="6755">
      <c r="K6755" s="317"/>
    </row>
    <row r="6756">
      <c r="K6756" s="317"/>
    </row>
    <row r="6757">
      <c r="K6757" s="317"/>
    </row>
    <row r="6758">
      <c r="K6758" s="317"/>
    </row>
    <row r="6759">
      <c r="K6759" s="317"/>
    </row>
    <row r="6760">
      <c r="K6760" s="317"/>
    </row>
    <row r="6761">
      <c r="K6761" s="317"/>
    </row>
    <row r="6762">
      <c r="K6762" s="317"/>
    </row>
    <row r="6763">
      <c r="K6763" s="317"/>
    </row>
    <row r="6764">
      <c r="K6764" s="317"/>
    </row>
    <row r="6765">
      <c r="K6765" s="317"/>
    </row>
    <row r="6766">
      <c r="K6766" s="317"/>
    </row>
    <row r="6767">
      <c r="K6767" s="317"/>
    </row>
    <row r="6768">
      <c r="K6768" s="317"/>
    </row>
    <row r="6769">
      <c r="K6769" s="317"/>
    </row>
    <row r="6770">
      <c r="K6770" s="317"/>
    </row>
    <row r="6771">
      <c r="K6771" s="317"/>
    </row>
    <row r="6772">
      <c r="K6772" s="317"/>
    </row>
    <row r="6773">
      <c r="K6773" s="317"/>
    </row>
    <row r="6774">
      <c r="K6774" s="317"/>
    </row>
    <row r="6775">
      <c r="K6775" s="317"/>
    </row>
    <row r="6776">
      <c r="K6776" s="317"/>
    </row>
    <row r="6777">
      <c r="K6777" s="317"/>
    </row>
    <row r="6778">
      <c r="K6778" s="317"/>
    </row>
    <row r="6779">
      <c r="K6779" s="317"/>
    </row>
    <row r="6780">
      <c r="K6780" s="317"/>
    </row>
    <row r="6781">
      <c r="K6781" s="317"/>
    </row>
    <row r="6782">
      <c r="K6782" s="317"/>
    </row>
    <row r="6783">
      <c r="K6783" s="317"/>
    </row>
    <row r="6784">
      <c r="K6784" s="317"/>
    </row>
    <row r="6785">
      <c r="K6785" s="317"/>
    </row>
    <row r="6786">
      <c r="K6786" s="317"/>
    </row>
    <row r="6787">
      <c r="K6787" s="317"/>
    </row>
    <row r="6788">
      <c r="K6788" s="317"/>
    </row>
    <row r="6789">
      <c r="K6789" s="317"/>
    </row>
    <row r="6790">
      <c r="K6790" s="317"/>
    </row>
    <row r="6791">
      <c r="K6791" s="317"/>
    </row>
    <row r="6792">
      <c r="K6792" s="317"/>
    </row>
    <row r="6793">
      <c r="K6793" s="317"/>
    </row>
    <row r="6794">
      <c r="K6794" s="317"/>
    </row>
    <row r="6795">
      <c r="K6795" s="317"/>
    </row>
    <row r="6796">
      <c r="K6796" s="317"/>
    </row>
    <row r="6797">
      <c r="K6797" s="317"/>
    </row>
    <row r="6798">
      <c r="K6798" s="317"/>
    </row>
    <row r="6799">
      <c r="K6799" s="317"/>
    </row>
    <row r="6800">
      <c r="K6800" s="317"/>
    </row>
    <row r="6801">
      <c r="K6801" s="317"/>
    </row>
    <row r="6802">
      <c r="K6802" s="317"/>
    </row>
    <row r="6803">
      <c r="K6803" s="317"/>
    </row>
    <row r="6804">
      <c r="K6804" s="317"/>
    </row>
    <row r="6805">
      <c r="K6805" s="317"/>
    </row>
    <row r="6806">
      <c r="K6806" s="317"/>
    </row>
    <row r="6807">
      <c r="K6807" s="317"/>
    </row>
    <row r="6808">
      <c r="K6808" s="317"/>
    </row>
    <row r="6809">
      <c r="K6809" s="317"/>
    </row>
    <row r="6810">
      <c r="K6810" s="317"/>
    </row>
    <row r="6811">
      <c r="K6811" s="317"/>
    </row>
    <row r="6812">
      <c r="K6812" s="317"/>
    </row>
    <row r="6813">
      <c r="K6813" s="317"/>
    </row>
    <row r="6814">
      <c r="K6814" s="317"/>
    </row>
    <row r="6815">
      <c r="K6815" s="317"/>
    </row>
    <row r="6816">
      <c r="K6816" s="317"/>
    </row>
    <row r="6817">
      <c r="K6817" s="317"/>
    </row>
    <row r="6818">
      <c r="K6818" s="317"/>
    </row>
    <row r="6819">
      <c r="K6819" s="317"/>
    </row>
    <row r="6820">
      <c r="K6820" s="317"/>
    </row>
    <row r="6821">
      <c r="K6821" s="317"/>
    </row>
    <row r="6822">
      <c r="K6822" s="317"/>
    </row>
    <row r="6823">
      <c r="K6823" s="317"/>
    </row>
    <row r="6824">
      <c r="K6824" s="317"/>
    </row>
    <row r="6825">
      <c r="K6825" s="317"/>
    </row>
    <row r="6826">
      <c r="K6826" s="317"/>
    </row>
    <row r="6827">
      <c r="K6827" s="317"/>
    </row>
    <row r="6828">
      <c r="K6828" s="317"/>
    </row>
    <row r="6829">
      <c r="K6829" s="317"/>
    </row>
    <row r="6830">
      <c r="K6830" s="317"/>
    </row>
    <row r="6831">
      <c r="K6831" s="317"/>
    </row>
    <row r="6832">
      <c r="K6832" s="317"/>
    </row>
    <row r="6833">
      <c r="K6833" s="317"/>
    </row>
    <row r="6834">
      <c r="K6834" s="317"/>
    </row>
    <row r="6835">
      <c r="K6835" s="317"/>
    </row>
    <row r="6836">
      <c r="K6836" s="317"/>
    </row>
    <row r="6837">
      <c r="K6837" s="317"/>
    </row>
    <row r="6838">
      <c r="K6838" s="317"/>
    </row>
    <row r="6839">
      <c r="K6839" s="317"/>
    </row>
    <row r="6840">
      <c r="K6840" s="317"/>
    </row>
    <row r="6841">
      <c r="K6841" s="317"/>
    </row>
    <row r="6842">
      <c r="K6842" s="317"/>
    </row>
    <row r="6843">
      <c r="K6843" s="317"/>
    </row>
    <row r="6844">
      <c r="K6844" s="317"/>
    </row>
    <row r="6845">
      <c r="K6845" s="317"/>
    </row>
    <row r="6846">
      <c r="K6846" s="317"/>
    </row>
    <row r="6847">
      <c r="K6847" s="317"/>
    </row>
    <row r="6848">
      <c r="K6848" s="317"/>
    </row>
    <row r="6849">
      <c r="K6849" s="317"/>
    </row>
    <row r="6850">
      <c r="K6850" s="317"/>
    </row>
    <row r="6851">
      <c r="K6851" s="317"/>
    </row>
    <row r="6852">
      <c r="K6852" s="317"/>
    </row>
    <row r="6853">
      <c r="K6853" s="317"/>
    </row>
    <row r="6854">
      <c r="K6854" s="317"/>
    </row>
    <row r="6855">
      <c r="K6855" s="317"/>
    </row>
    <row r="6856">
      <c r="K6856" s="317"/>
    </row>
    <row r="6857">
      <c r="K6857" s="317"/>
    </row>
    <row r="6858">
      <c r="K6858" s="317"/>
    </row>
    <row r="6859">
      <c r="K6859" s="317"/>
    </row>
    <row r="6860">
      <c r="K6860" s="317"/>
    </row>
    <row r="6861">
      <c r="K6861" s="317"/>
    </row>
    <row r="6862">
      <c r="K6862" s="317"/>
    </row>
    <row r="6863">
      <c r="K6863" s="317"/>
    </row>
    <row r="6864">
      <c r="K6864" s="317"/>
    </row>
    <row r="6865">
      <c r="K6865" s="317"/>
    </row>
    <row r="6866">
      <c r="K6866" s="317"/>
    </row>
    <row r="6867">
      <c r="K6867" s="317"/>
    </row>
    <row r="6868">
      <c r="K6868" s="317"/>
    </row>
    <row r="6869">
      <c r="K6869" s="317"/>
    </row>
    <row r="6870">
      <c r="K6870" s="317"/>
    </row>
    <row r="6871">
      <c r="K6871" s="317"/>
    </row>
    <row r="6872">
      <c r="K6872" s="317"/>
    </row>
    <row r="6873">
      <c r="K6873" s="317"/>
    </row>
    <row r="6874">
      <c r="K6874" s="317"/>
    </row>
    <row r="6875">
      <c r="K6875" s="317"/>
    </row>
    <row r="6876">
      <c r="K6876" s="317"/>
    </row>
    <row r="6877">
      <c r="K6877" s="317"/>
    </row>
    <row r="6878">
      <c r="K6878" s="317"/>
    </row>
    <row r="6879">
      <c r="K6879" s="317"/>
    </row>
    <row r="6880">
      <c r="K6880" s="317"/>
    </row>
    <row r="6881">
      <c r="K6881" s="317"/>
    </row>
    <row r="6882">
      <c r="K6882" s="317"/>
    </row>
    <row r="6883">
      <c r="K6883" s="317"/>
    </row>
    <row r="6884">
      <c r="K6884" s="317"/>
    </row>
    <row r="6885">
      <c r="K6885" s="317"/>
    </row>
    <row r="6886">
      <c r="K6886" s="317"/>
    </row>
    <row r="6887">
      <c r="K6887" s="317"/>
    </row>
    <row r="6888">
      <c r="K6888" s="317"/>
    </row>
    <row r="6889">
      <c r="K6889" s="317"/>
    </row>
    <row r="6890">
      <c r="K6890" s="317"/>
    </row>
    <row r="6891">
      <c r="K6891" s="317"/>
    </row>
    <row r="6892">
      <c r="K6892" s="317"/>
    </row>
    <row r="6893">
      <c r="K6893" s="317"/>
    </row>
    <row r="6894">
      <c r="K6894" s="317"/>
    </row>
    <row r="6895">
      <c r="K6895" s="317"/>
    </row>
    <row r="6896">
      <c r="K6896" s="317"/>
    </row>
    <row r="6897">
      <c r="K6897" s="317"/>
    </row>
    <row r="6898">
      <c r="K6898" s="317"/>
    </row>
    <row r="6899">
      <c r="K6899" s="317"/>
    </row>
    <row r="6900">
      <c r="K6900" s="317"/>
    </row>
    <row r="6901">
      <c r="K6901" s="317"/>
    </row>
    <row r="6902">
      <c r="K6902" s="317"/>
    </row>
    <row r="6903">
      <c r="K6903" s="317"/>
    </row>
    <row r="6904">
      <c r="K6904" s="317"/>
    </row>
    <row r="6905">
      <c r="K6905" s="317"/>
    </row>
    <row r="6906">
      <c r="K6906" s="317"/>
    </row>
    <row r="6907">
      <c r="K6907" s="317"/>
    </row>
    <row r="6908">
      <c r="K6908" s="317"/>
    </row>
    <row r="6909">
      <c r="K6909" s="317"/>
    </row>
    <row r="6910">
      <c r="K6910" s="317"/>
    </row>
    <row r="6911">
      <c r="K6911" s="317"/>
    </row>
    <row r="6912">
      <c r="K6912" s="317"/>
    </row>
    <row r="6913">
      <c r="K6913" s="317"/>
    </row>
    <row r="6914">
      <c r="K6914" s="317"/>
    </row>
    <row r="6915">
      <c r="K6915" s="317"/>
    </row>
    <row r="6916">
      <c r="K6916" s="317"/>
    </row>
    <row r="6917">
      <c r="K6917" s="317"/>
    </row>
    <row r="6918">
      <c r="K6918" s="317"/>
    </row>
    <row r="6919">
      <c r="K6919" s="317"/>
    </row>
    <row r="6920">
      <c r="K6920" s="317"/>
    </row>
    <row r="6921">
      <c r="K6921" s="317"/>
    </row>
    <row r="6922">
      <c r="K6922" s="317"/>
    </row>
    <row r="6923">
      <c r="K6923" s="317"/>
    </row>
    <row r="6924">
      <c r="K6924" s="317"/>
    </row>
    <row r="6925">
      <c r="K6925" s="317"/>
    </row>
    <row r="6926">
      <c r="K6926" s="317"/>
    </row>
    <row r="6927">
      <c r="K6927" s="317"/>
    </row>
    <row r="6928">
      <c r="K6928" s="317"/>
    </row>
    <row r="6929">
      <c r="K6929" s="317"/>
    </row>
    <row r="6930">
      <c r="K6930" s="317"/>
    </row>
    <row r="6931">
      <c r="K6931" s="317"/>
    </row>
    <row r="6932">
      <c r="K6932" s="317"/>
    </row>
    <row r="6933">
      <c r="K6933" s="317"/>
    </row>
    <row r="6934">
      <c r="K6934" s="317"/>
    </row>
    <row r="6935">
      <c r="K6935" s="317"/>
    </row>
    <row r="6936">
      <c r="K6936" s="317"/>
    </row>
    <row r="6937">
      <c r="K6937" s="317"/>
    </row>
    <row r="6938">
      <c r="K6938" s="317"/>
    </row>
    <row r="6939">
      <c r="K6939" s="317"/>
    </row>
    <row r="6940">
      <c r="K6940" s="317"/>
    </row>
    <row r="6941">
      <c r="K6941" s="317"/>
    </row>
    <row r="6942">
      <c r="K6942" s="317"/>
    </row>
    <row r="6943">
      <c r="K6943" s="317"/>
    </row>
    <row r="6944">
      <c r="K6944" s="317"/>
    </row>
    <row r="6945">
      <c r="K6945" s="317"/>
    </row>
    <row r="6946">
      <c r="K6946" s="317"/>
    </row>
    <row r="6947">
      <c r="K6947" s="317"/>
    </row>
    <row r="6948">
      <c r="K6948" s="317"/>
    </row>
    <row r="6949">
      <c r="K6949" s="317"/>
    </row>
    <row r="6950">
      <c r="K6950" s="317"/>
    </row>
    <row r="6951">
      <c r="K6951" s="317"/>
    </row>
    <row r="6952">
      <c r="K6952" s="317"/>
    </row>
    <row r="6953">
      <c r="K6953" s="317"/>
    </row>
    <row r="6954">
      <c r="K6954" s="317"/>
    </row>
    <row r="6955">
      <c r="K6955" s="317"/>
    </row>
    <row r="6956">
      <c r="K6956" s="317"/>
    </row>
    <row r="6957">
      <c r="K6957" s="317"/>
    </row>
    <row r="6958">
      <c r="K6958" s="317"/>
    </row>
    <row r="6959">
      <c r="K6959" s="317"/>
    </row>
    <row r="6960">
      <c r="K6960" s="317"/>
    </row>
    <row r="6961">
      <c r="K6961" s="317"/>
    </row>
    <row r="6962">
      <c r="K6962" s="317"/>
    </row>
    <row r="6963">
      <c r="K6963" s="317"/>
    </row>
    <row r="6964">
      <c r="K6964" s="317"/>
    </row>
    <row r="6965">
      <c r="K6965" s="317"/>
    </row>
    <row r="6966">
      <c r="K6966" s="317"/>
    </row>
    <row r="6967">
      <c r="K6967" s="317"/>
    </row>
    <row r="6968">
      <c r="K6968" s="317"/>
    </row>
    <row r="6969">
      <c r="K6969" s="317"/>
    </row>
    <row r="6970">
      <c r="K6970" s="317"/>
    </row>
    <row r="6971">
      <c r="K6971" s="317"/>
    </row>
    <row r="6972">
      <c r="K6972" s="317"/>
    </row>
    <row r="6973">
      <c r="K6973" s="317"/>
    </row>
    <row r="6974">
      <c r="K6974" s="317"/>
    </row>
    <row r="6975">
      <c r="K6975" s="317"/>
    </row>
    <row r="6976">
      <c r="K6976" s="317"/>
    </row>
    <row r="6977">
      <c r="K6977" s="317"/>
    </row>
    <row r="6978">
      <c r="K6978" s="317"/>
    </row>
    <row r="6979">
      <c r="K6979" s="317"/>
    </row>
    <row r="6980">
      <c r="K6980" s="317"/>
    </row>
    <row r="6981">
      <c r="K6981" s="317"/>
    </row>
    <row r="6982">
      <c r="K6982" s="317"/>
    </row>
    <row r="6983">
      <c r="K6983" s="317"/>
    </row>
    <row r="6984">
      <c r="K6984" s="317"/>
    </row>
    <row r="6985">
      <c r="K6985" s="317"/>
    </row>
    <row r="6986">
      <c r="K6986" s="317"/>
    </row>
    <row r="6987">
      <c r="K6987" s="317"/>
    </row>
    <row r="6988">
      <c r="K6988" s="317"/>
    </row>
    <row r="6989">
      <c r="K6989" s="317"/>
    </row>
    <row r="6990">
      <c r="K6990" s="317"/>
    </row>
    <row r="6991">
      <c r="K6991" s="317"/>
    </row>
    <row r="6992">
      <c r="K6992" s="317"/>
    </row>
    <row r="6993">
      <c r="K6993" s="317"/>
    </row>
    <row r="6994">
      <c r="K6994" s="317"/>
    </row>
    <row r="6995">
      <c r="K6995" s="317"/>
    </row>
    <row r="6996">
      <c r="K6996" s="317"/>
    </row>
    <row r="6997">
      <c r="K6997" s="317"/>
    </row>
    <row r="6998">
      <c r="K6998" s="317"/>
    </row>
    <row r="6999">
      <c r="K6999" s="317"/>
    </row>
    <row r="7000">
      <c r="K7000" s="317"/>
    </row>
    <row r="7001">
      <c r="K7001" s="317"/>
    </row>
    <row r="7002">
      <c r="K7002" s="317"/>
    </row>
    <row r="7003">
      <c r="K7003" s="317"/>
    </row>
    <row r="7004">
      <c r="K7004" s="317"/>
    </row>
    <row r="7005">
      <c r="K7005" s="317"/>
    </row>
    <row r="7006">
      <c r="K7006" s="317"/>
    </row>
    <row r="7007">
      <c r="K7007" s="317"/>
    </row>
    <row r="7008">
      <c r="K7008" s="317"/>
    </row>
    <row r="7009">
      <c r="K7009" s="317"/>
    </row>
    <row r="7010">
      <c r="K7010" s="317"/>
    </row>
    <row r="7011">
      <c r="K7011" s="317"/>
    </row>
    <row r="7012">
      <c r="K7012" s="317"/>
    </row>
    <row r="7013">
      <c r="K7013" s="317"/>
    </row>
    <row r="7014">
      <c r="K7014" s="317"/>
    </row>
    <row r="7015">
      <c r="K7015" s="317"/>
    </row>
    <row r="7016">
      <c r="K7016" s="317"/>
    </row>
    <row r="7017">
      <c r="K7017" s="317"/>
    </row>
    <row r="7018">
      <c r="K7018" s="317"/>
    </row>
    <row r="7019">
      <c r="K7019" s="317"/>
    </row>
    <row r="7020">
      <c r="K7020" s="317"/>
    </row>
    <row r="7021">
      <c r="K7021" s="317"/>
    </row>
    <row r="7022">
      <c r="K7022" s="317"/>
    </row>
    <row r="7023">
      <c r="K7023" s="317"/>
    </row>
    <row r="7024">
      <c r="K7024" s="317"/>
    </row>
    <row r="7025">
      <c r="K7025" s="317"/>
    </row>
    <row r="7026">
      <c r="K7026" s="317"/>
    </row>
    <row r="7027">
      <c r="K7027" s="317"/>
    </row>
    <row r="7028">
      <c r="K7028" s="317"/>
    </row>
    <row r="7029">
      <c r="K7029" s="317"/>
    </row>
    <row r="7030">
      <c r="K7030" s="317"/>
    </row>
    <row r="7031">
      <c r="K7031" s="317"/>
    </row>
    <row r="7032">
      <c r="K7032" s="317"/>
    </row>
    <row r="7033">
      <c r="K7033" s="317"/>
    </row>
    <row r="7034">
      <c r="K7034" s="317"/>
    </row>
    <row r="7035">
      <c r="K7035" s="317"/>
    </row>
    <row r="7036">
      <c r="K7036" s="317"/>
    </row>
    <row r="7037">
      <c r="K7037" s="317"/>
    </row>
    <row r="7038">
      <c r="K7038" s="317"/>
    </row>
    <row r="7039">
      <c r="K7039" s="317"/>
    </row>
    <row r="7040">
      <c r="K7040" s="317"/>
    </row>
    <row r="7041">
      <c r="K7041" s="317"/>
    </row>
    <row r="7042">
      <c r="K7042" s="317"/>
    </row>
    <row r="7043">
      <c r="K7043" s="317"/>
    </row>
    <row r="7044">
      <c r="K7044" s="317"/>
    </row>
    <row r="7045">
      <c r="K7045" s="317"/>
    </row>
    <row r="7046">
      <c r="K7046" s="317"/>
    </row>
    <row r="7047">
      <c r="K7047" s="317"/>
    </row>
    <row r="7048">
      <c r="K7048" s="317"/>
    </row>
    <row r="7049">
      <c r="K7049" s="317"/>
    </row>
    <row r="7050">
      <c r="K7050" s="317"/>
    </row>
    <row r="7051">
      <c r="K7051" s="317"/>
    </row>
    <row r="7052">
      <c r="K7052" s="317"/>
    </row>
    <row r="7053">
      <c r="K7053" s="317"/>
    </row>
    <row r="7054">
      <c r="K7054" s="317"/>
    </row>
    <row r="7055">
      <c r="K7055" s="317"/>
    </row>
    <row r="7056">
      <c r="K7056" s="317"/>
    </row>
    <row r="7057">
      <c r="K7057" s="317"/>
    </row>
    <row r="7058">
      <c r="K7058" s="317"/>
    </row>
    <row r="7059">
      <c r="K7059" s="317"/>
    </row>
    <row r="7060">
      <c r="K7060" s="317"/>
    </row>
    <row r="7061">
      <c r="K7061" s="317"/>
    </row>
    <row r="7062">
      <c r="K7062" s="317"/>
    </row>
    <row r="7063">
      <c r="K7063" s="317"/>
    </row>
    <row r="7064">
      <c r="K7064" s="317"/>
    </row>
    <row r="7065">
      <c r="K7065" s="317"/>
    </row>
    <row r="7066">
      <c r="K7066" s="317"/>
    </row>
    <row r="7067">
      <c r="K7067" s="317"/>
    </row>
    <row r="7068">
      <c r="K7068" s="317"/>
    </row>
    <row r="7069">
      <c r="K7069" s="317"/>
    </row>
    <row r="7070">
      <c r="K7070" s="317"/>
    </row>
    <row r="7071">
      <c r="K7071" s="317"/>
    </row>
    <row r="7072">
      <c r="K7072" s="317"/>
    </row>
    <row r="7073">
      <c r="K7073" s="317"/>
    </row>
    <row r="7074">
      <c r="K7074" s="317"/>
    </row>
    <row r="7075">
      <c r="K7075" s="317"/>
    </row>
    <row r="7076">
      <c r="K7076" s="317"/>
    </row>
    <row r="7077">
      <c r="K7077" s="317"/>
    </row>
    <row r="7078">
      <c r="K7078" s="317"/>
    </row>
    <row r="7079">
      <c r="K7079" s="317"/>
    </row>
    <row r="7080">
      <c r="K7080" s="317"/>
    </row>
    <row r="7081">
      <c r="K7081" s="317"/>
    </row>
    <row r="7082">
      <c r="K7082" s="317"/>
    </row>
    <row r="7083">
      <c r="K7083" s="317"/>
    </row>
    <row r="7084">
      <c r="K7084" s="317"/>
    </row>
    <row r="7085">
      <c r="K7085" s="317"/>
    </row>
    <row r="7086">
      <c r="K7086" s="317"/>
    </row>
    <row r="7087">
      <c r="K7087" s="317"/>
    </row>
    <row r="7088">
      <c r="K7088" s="317"/>
    </row>
    <row r="7089">
      <c r="K7089" s="317"/>
    </row>
    <row r="7090">
      <c r="K7090" s="317"/>
    </row>
    <row r="7091">
      <c r="K7091" s="317"/>
    </row>
    <row r="7092">
      <c r="K7092" s="317"/>
    </row>
    <row r="7093">
      <c r="K7093" s="317"/>
    </row>
    <row r="7094">
      <c r="K7094" s="317"/>
    </row>
    <row r="7095">
      <c r="K7095" s="317"/>
    </row>
    <row r="7096">
      <c r="K7096" s="317"/>
    </row>
    <row r="7097">
      <c r="K7097" s="317"/>
    </row>
    <row r="7098">
      <c r="K7098" s="317"/>
    </row>
    <row r="7099">
      <c r="K7099" s="317"/>
    </row>
    <row r="7100">
      <c r="K7100" s="317"/>
    </row>
    <row r="7101">
      <c r="K7101" s="317"/>
    </row>
    <row r="7102">
      <c r="K7102" s="317"/>
    </row>
    <row r="7103">
      <c r="K7103" s="317"/>
    </row>
    <row r="7104">
      <c r="K7104" s="317"/>
    </row>
    <row r="7105">
      <c r="K7105" s="317"/>
    </row>
    <row r="7106">
      <c r="K7106" s="317"/>
    </row>
    <row r="7107">
      <c r="K7107" s="317"/>
    </row>
    <row r="7108">
      <c r="K7108" s="317"/>
    </row>
    <row r="7109">
      <c r="K7109" s="317"/>
    </row>
    <row r="7110">
      <c r="K7110" s="317"/>
    </row>
    <row r="7111">
      <c r="K7111" s="317"/>
    </row>
    <row r="7112">
      <c r="K7112" s="317"/>
    </row>
    <row r="7113">
      <c r="K7113" s="317"/>
    </row>
    <row r="7114">
      <c r="K7114" s="317"/>
    </row>
    <row r="7115">
      <c r="K7115" s="317"/>
    </row>
    <row r="7116">
      <c r="K7116" s="317"/>
    </row>
    <row r="7117">
      <c r="K7117" s="317"/>
    </row>
    <row r="7118">
      <c r="K7118" s="317"/>
    </row>
    <row r="7119">
      <c r="K7119" s="317"/>
    </row>
    <row r="7120">
      <c r="K7120" s="317"/>
    </row>
    <row r="7121">
      <c r="K7121" s="317"/>
    </row>
    <row r="7122">
      <c r="K7122" s="317"/>
    </row>
    <row r="7123">
      <c r="K7123" s="317"/>
    </row>
    <row r="7124">
      <c r="K7124" s="317"/>
    </row>
    <row r="7125">
      <c r="K7125" s="317"/>
    </row>
    <row r="7126">
      <c r="K7126" s="317"/>
    </row>
    <row r="7127">
      <c r="K7127" s="317"/>
    </row>
    <row r="7128">
      <c r="K7128" s="317"/>
    </row>
    <row r="7129">
      <c r="K7129" s="317"/>
    </row>
    <row r="7130">
      <c r="K7130" s="317"/>
    </row>
    <row r="7131">
      <c r="K7131" s="317"/>
    </row>
    <row r="7132">
      <c r="K7132" s="317"/>
    </row>
    <row r="7133">
      <c r="K7133" s="317"/>
    </row>
    <row r="7134">
      <c r="K7134" s="317"/>
    </row>
    <row r="7135">
      <c r="K7135" s="317"/>
    </row>
    <row r="7136">
      <c r="K7136" s="317"/>
    </row>
    <row r="7137">
      <c r="K7137" s="317"/>
    </row>
    <row r="7138">
      <c r="K7138" s="317"/>
    </row>
    <row r="7139">
      <c r="K7139" s="317"/>
    </row>
    <row r="7140">
      <c r="K7140" s="317"/>
    </row>
    <row r="7141">
      <c r="K7141" s="317"/>
    </row>
    <row r="7142">
      <c r="K7142" s="317"/>
    </row>
    <row r="7143">
      <c r="K7143" s="317"/>
    </row>
    <row r="7144">
      <c r="K7144" s="317"/>
    </row>
    <row r="7145">
      <c r="K7145" s="317"/>
    </row>
    <row r="7146">
      <c r="K7146" s="317"/>
    </row>
    <row r="7147">
      <c r="K7147" s="317"/>
    </row>
    <row r="7148">
      <c r="K7148" s="317"/>
    </row>
    <row r="7149">
      <c r="K7149" s="317"/>
    </row>
    <row r="7150">
      <c r="K7150" s="317"/>
    </row>
    <row r="7151">
      <c r="K7151" s="317"/>
    </row>
    <row r="7152">
      <c r="K7152" s="317"/>
    </row>
    <row r="7153">
      <c r="K7153" s="317"/>
    </row>
    <row r="7154">
      <c r="K7154" s="317"/>
    </row>
    <row r="7155">
      <c r="K7155" s="317"/>
    </row>
    <row r="7156">
      <c r="K7156" s="317"/>
    </row>
    <row r="7157">
      <c r="K7157" s="317"/>
    </row>
    <row r="7158">
      <c r="K7158" s="317"/>
    </row>
    <row r="7159">
      <c r="K7159" s="317"/>
    </row>
    <row r="7160">
      <c r="K7160" s="317"/>
    </row>
    <row r="7161">
      <c r="K7161" s="317"/>
    </row>
    <row r="7162">
      <c r="K7162" s="317"/>
    </row>
    <row r="7163">
      <c r="K7163" s="317"/>
    </row>
    <row r="7164">
      <c r="K7164" s="317"/>
    </row>
    <row r="7165">
      <c r="K7165" s="317"/>
    </row>
    <row r="7166">
      <c r="K7166" s="317"/>
    </row>
    <row r="7167">
      <c r="K7167" s="317"/>
    </row>
    <row r="7168">
      <c r="K7168" s="317"/>
    </row>
    <row r="7169">
      <c r="K7169" s="317"/>
    </row>
    <row r="7170">
      <c r="K7170" s="317"/>
    </row>
    <row r="7171">
      <c r="K7171" s="317"/>
    </row>
    <row r="7172">
      <c r="K7172" s="317"/>
    </row>
    <row r="7173">
      <c r="K7173" s="317"/>
    </row>
    <row r="7174">
      <c r="K7174" s="317"/>
    </row>
    <row r="7175">
      <c r="K7175" s="317"/>
    </row>
    <row r="7176">
      <c r="K7176" s="317"/>
    </row>
    <row r="7177">
      <c r="K7177" s="317"/>
    </row>
    <row r="7178">
      <c r="K7178" s="317"/>
    </row>
    <row r="7179">
      <c r="K7179" s="317"/>
    </row>
    <row r="7180">
      <c r="K7180" s="317"/>
    </row>
    <row r="7181">
      <c r="K7181" s="317"/>
    </row>
    <row r="7182">
      <c r="K7182" s="317"/>
    </row>
    <row r="7183">
      <c r="K7183" s="317"/>
    </row>
    <row r="7184">
      <c r="K7184" s="317"/>
    </row>
    <row r="7185">
      <c r="K7185" s="317"/>
    </row>
    <row r="7186">
      <c r="K7186" s="317"/>
    </row>
    <row r="7187">
      <c r="K7187" s="317"/>
    </row>
    <row r="7188">
      <c r="K7188" s="317"/>
    </row>
    <row r="7189">
      <c r="K7189" s="317"/>
    </row>
    <row r="7190">
      <c r="K7190" s="317"/>
    </row>
    <row r="7191">
      <c r="K7191" s="317"/>
    </row>
    <row r="7192">
      <c r="K7192" s="317"/>
    </row>
    <row r="7193">
      <c r="K7193" s="317"/>
    </row>
    <row r="7194">
      <c r="K7194" s="317"/>
    </row>
    <row r="7195">
      <c r="K7195" s="317"/>
    </row>
    <row r="7196">
      <c r="K7196" s="317"/>
    </row>
    <row r="7197">
      <c r="K7197" s="317"/>
    </row>
    <row r="7198">
      <c r="K7198" s="317"/>
    </row>
    <row r="7199">
      <c r="K7199" s="317"/>
    </row>
    <row r="7200">
      <c r="K7200" s="317"/>
    </row>
    <row r="7201">
      <c r="K7201" s="317"/>
    </row>
    <row r="7202">
      <c r="K7202" s="317"/>
    </row>
    <row r="7203">
      <c r="K7203" s="317"/>
    </row>
    <row r="7204">
      <c r="K7204" s="317"/>
    </row>
    <row r="7205">
      <c r="K7205" s="317"/>
    </row>
    <row r="7206">
      <c r="K7206" s="317"/>
    </row>
    <row r="7207">
      <c r="K7207" s="317"/>
    </row>
    <row r="7208">
      <c r="K7208" s="317"/>
    </row>
    <row r="7209">
      <c r="K7209" s="317"/>
    </row>
    <row r="7210">
      <c r="K7210" s="317"/>
    </row>
    <row r="7211">
      <c r="K7211" s="317"/>
    </row>
    <row r="7212">
      <c r="K7212" s="317"/>
    </row>
    <row r="7213">
      <c r="K7213" s="317"/>
    </row>
    <row r="7214">
      <c r="K7214" s="317"/>
    </row>
    <row r="7215">
      <c r="K7215" s="317"/>
    </row>
    <row r="7216">
      <c r="K7216" s="317"/>
    </row>
    <row r="7217">
      <c r="K7217" s="317"/>
    </row>
    <row r="7218">
      <c r="K7218" s="317"/>
    </row>
    <row r="7219">
      <c r="K7219" s="317"/>
    </row>
    <row r="7220">
      <c r="K7220" s="317"/>
    </row>
    <row r="7221">
      <c r="K7221" s="317"/>
    </row>
    <row r="7222">
      <c r="K7222" s="317"/>
    </row>
    <row r="7223">
      <c r="K7223" s="317"/>
    </row>
    <row r="7224">
      <c r="K7224" s="317"/>
    </row>
    <row r="7225">
      <c r="K7225" s="317"/>
    </row>
    <row r="7226">
      <c r="K7226" s="317"/>
    </row>
    <row r="7227">
      <c r="K7227" s="317"/>
    </row>
    <row r="7228">
      <c r="K7228" s="317"/>
    </row>
    <row r="7229">
      <c r="K7229" s="317"/>
    </row>
    <row r="7230">
      <c r="K7230" s="317"/>
    </row>
    <row r="7231">
      <c r="K7231" s="317"/>
    </row>
    <row r="7232">
      <c r="K7232" s="317"/>
    </row>
    <row r="7233">
      <c r="K7233" s="317"/>
    </row>
    <row r="7234">
      <c r="K7234" s="317"/>
    </row>
    <row r="7235">
      <c r="K7235" s="317"/>
    </row>
    <row r="7236">
      <c r="K7236" s="317"/>
    </row>
    <row r="7237">
      <c r="K7237" s="317"/>
    </row>
    <row r="7238">
      <c r="K7238" s="317"/>
    </row>
    <row r="7239">
      <c r="K7239" s="317"/>
    </row>
    <row r="7240">
      <c r="K7240" s="317"/>
    </row>
    <row r="7241">
      <c r="K7241" s="317"/>
    </row>
    <row r="7242">
      <c r="K7242" s="317"/>
    </row>
    <row r="7243">
      <c r="K7243" s="317"/>
    </row>
    <row r="7244">
      <c r="K7244" s="317"/>
    </row>
    <row r="7245">
      <c r="K7245" s="317"/>
    </row>
    <row r="7246">
      <c r="K7246" s="317"/>
    </row>
    <row r="7247">
      <c r="K7247" s="317"/>
    </row>
    <row r="7248">
      <c r="K7248" s="317"/>
    </row>
    <row r="7249">
      <c r="K7249" s="317"/>
    </row>
    <row r="7250">
      <c r="K7250" s="317"/>
    </row>
    <row r="7251">
      <c r="K7251" s="317"/>
    </row>
    <row r="7252">
      <c r="K7252" s="317"/>
    </row>
    <row r="7253">
      <c r="K7253" s="317"/>
    </row>
    <row r="7254">
      <c r="K7254" s="317"/>
    </row>
    <row r="7255">
      <c r="K7255" s="317"/>
    </row>
    <row r="7256">
      <c r="K7256" s="317"/>
    </row>
    <row r="7257">
      <c r="K7257" s="317"/>
    </row>
    <row r="7258">
      <c r="K7258" s="317"/>
    </row>
    <row r="7259">
      <c r="K7259" s="317"/>
    </row>
    <row r="7260">
      <c r="K7260" s="317"/>
    </row>
    <row r="7261">
      <c r="K7261" s="317"/>
    </row>
    <row r="7262">
      <c r="K7262" s="317"/>
    </row>
    <row r="7263">
      <c r="K7263" s="317"/>
    </row>
    <row r="7264">
      <c r="K7264" s="317"/>
    </row>
    <row r="7265">
      <c r="K7265" s="317"/>
    </row>
    <row r="7266">
      <c r="K7266" s="317"/>
    </row>
    <row r="7267">
      <c r="K7267" s="317"/>
    </row>
    <row r="7268">
      <c r="K7268" s="317"/>
    </row>
    <row r="7269">
      <c r="K7269" s="317"/>
    </row>
    <row r="7270">
      <c r="K7270" s="317"/>
    </row>
    <row r="7271">
      <c r="K7271" s="317"/>
    </row>
    <row r="7272">
      <c r="K7272" s="317"/>
    </row>
    <row r="7273">
      <c r="K7273" s="317"/>
    </row>
    <row r="7274">
      <c r="K7274" s="317"/>
    </row>
    <row r="7275">
      <c r="K7275" s="317"/>
    </row>
    <row r="7276">
      <c r="K7276" s="317"/>
    </row>
    <row r="7277">
      <c r="K7277" s="317"/>
    </row>
    <row r="7278">
      <c r="K7278" s="317"/>
    </row>
    <row r="7279">
      <c r="K7279" s="317"/>
    </row>
    <row r="7280">
      <c r="K7280" s="317"/>
    </row>
    <row r="7281">
      <c r="K7281" s="317"/>
    </row>
    <row r="7282">
      <c r="K7282" s="317"/>
    </row>
    <row r="7283">
      <c r="K7283" s="317"/>
    </row>
    <row r="7284">
      <c r="K7284" s="317"/>
    </row>
    <row r="7285">
      <c r="K7285" s="317"/>
    </row>
    <row r="7286">
      <c r="K7286" s="317"/>
    </row>
    <row r="7287">
      <c r="K7287" s="317"/>
    </row>
    <row r="7288">
      <c r="K7288" s="317"/>
    </row>
    <row r="7289">
      <c r="K7289" s="317"/>
    </row>
    <row r="7290">
      <c r="K7290" s="317"/>
    </row>
    <row r="7291">
      <c r="K7291" s="317"/>
    </row>
    <row r="7292">
      <c r="K7292" s="317"/>
    </row>
    <row r="7293">
      <c r="K7293" s="317"/>
    </row>
    <row r="7294">
      <c r="K7294" s="317"/>
    </row>
    <row r="7295">
      <c r="K7295" s="317"/>
    </row>
    <row r="7296">
      <c r="K7296" s="317"/>
    </row>
    <row r="7297">
      <c r="K7297" s="317"/>
    </row>
    <row r="7298">
      <c r="K7298" s="317"/>
    </row>
    <row r="7299">
      <c r="K7299" s="317"/>
    </row>
    <row r="7300">
      <c r="K7300" s="317"/>
    </row>
    <row r="7301">
      <c r="K7301" s="317"/>
    </row>
    <row r="7302">
      <c r="K7302" s="317"/>
    </row>
    <row r="7303">
      <c r="K7303" s="317"/>
    </row>
    <row r="7304">
      <c r="K7304" s="317"/>
    </row>
    <row r="7305">
      <c r="K7305" s="317"/>
    </row>
    <row r="7306">
      <c r="K7306" s="317"/>
    </row>
    <row r="7307">
      <c r="K7307" s="317"/>
    </row>
    <row r="7308">
      <c r="K7308" s="317"/>
    </row>
    <row r="7309">
      <c r="K7309" s="317"/>
    </row>
    <row r="7310">
      <c r="K7310" s="317"/>
    </row>
    <row r="7311">
      <c r="K7311" s="317"/>
    </row>
    <row r="7312">
      <c r="K7312" s="317"/>
    </row>
    <row r="7313">
      <c r="K7313" s="317"/>
    </row>
    <row r="7314">
      <c r="K7314" s="317"/>
    </row>
    <row r="7315">
      <c r="K7315" s="317"/>
    </row>
    <row r="7316">
      <c r="K7316" s="317"/>
    </row>
    <row r="7317">
      <c r="K7317" s="317"/>
    </row>
    <row r="7318">
      <c r="K7318" s="317"/>
    </row>
    <row r="7319">
      <c r="K7319" s="317"/>
    </row>
    <row r="7320">
      <c r="K7320" s="317"/>
    </row>
    <row r="7321">
      <c r="K7321" s="317"/>
    </row>
    <row r="7322">
      <c r="K7322" s="317"/>
    </row>
    <row r="7323">
      <c r="K7323" s="317"/>
    </row>
    <row r="7324">
      <c r="K7324" s="317"/>
    </row>
    <row r="7325">
      <c r="K7325" s="317"/>
    </row>
    <row r="7326">
      <c r="K7326" s="317"/>
    </row>
    <row r="7327">
      <c r="K7327" s="317"/>
    </row>
    <row r="7328">
      <c r="K7328" s="317"/>
    </row>
    <row r="7329">
      <c r="K7329" s="317"/>
    </row>
    <row r="7330">
      <c r="K7330" s="317"/>
    </row>
    <row r="7331">
      <c r="K7331" s="317"/>
    </row>
    <row r="7332">
      <c r="K7332" s="317"/>
    </row>
    <row r="7333">
      <c r="K7333" s="317"/>
    </row>
    <row r="7334">
      <c r="K7334" s="317"/>
    </row>
    <row r="7335">
      <c r="K7335" s="317"/>
    </row>
    <row r="7336">
      <c r="K7336" s="317"/>
    </row>
    <row r="7337">
      <c r="K7337" s="317"/>
    </row>
    <row r="7338">
      <c r="K7338" s="317"/>
    </row>
    <row r="7339">
      <c r="K7339" s="317"/>
    </row>
    <row r="7340">
      <c r="K7340" s="317"/>
    </row>
    <row r="7341">
      <c r="K7341" s="317"/>
    </row>
    <row r="7342">
      <c r="K7342" s="317"/>
    </row>
    <row r="7343">
      <c r="K7343" s="317"/>
    </row>
    <row r="7344">
      <c r="K7344" s="317"/>
    </row>
    <row r="7345">
      <c r="K7345" s="317"/>
    </row>
    <row r="7346">
      <c r="K7346" s="317"/>
    </row>
    <row r="7347">
      <c r="K7347" s="317"/>
    </row>
    <row r="7348">
      <c r="K7348" s="317"/>
    </row>
    <row r="7349">
      <c r="K7349" s="317"/>
    </row>
    <row r="7350">
      <c r="K7350" s="317"/>
    </row>
    <row r="7351">
      <c r="K7351" s="317"/>
    </row>
    <row r="7352">
      <c r="K7352" s="317"/>
    </row>
    <row r="7353">
      <c r="K7353" s="317"/>
    </row>
    <row r="7354">
      <c r="K7354" s="317"/>
    </row>
    <row r="7355">
      <c r="K7355" s="317"/>
    </row>
    <row r="7356">
      <c r="K7356" s="317"/>
    </row>
    <row r="7357">
      <c r="K7357" s="317"/>
    </row>
    <row r="7358">
      <c r="K7358" s="317"/>
    </row>
    <row r="7359">
      <c r="K7359" s="317"/>
    </row>
    <row r="7360">
      <c r="K7360" s="317"/>
    </row>
    <row r="7361">
      <c r="K7361" s="317"/>
    </row>
    <row r="7362">
      <c r="K7362" s="317"/>
    </row>
    <row r="7363">
      <c r="K7363" s="317"/>
    </row>
    <row r="7364">
      <c r="K7364" s="317"/>
    </row>
    <row r="7365">
      <c r="K7365" s="317"/>
    </row>
    <row r="7366">
      <c r="K7366" s="317"/>
    </row>
    <row r="7367">
      <c r="K7367" s="317"/>
    </row>
    <row r="7368">
      <c r="K7368" s="317"/>
    </row>
    <row r="7369">
      <c r="K7369" s="317"/>
    </row>
    <row r="7370">
      <c r="K7370" s="317"/>
    </row>
    <row r="7371">
      <c r="K7371" s="317"/>
    </row>
    <row r="7372">
      <c r="K7372" s="317"/>
    </row>
    <row r="7373">
      <c r="K7373" s="317"/>
    </row>
    <row r="7374">
      <c r="K7374" s="317"/>
    </row>
    <row r="7375">
      <c r="K7375" s="317"/>
    </row>
    <row r="7376">
      <c r="K7376" s="317"/>
    </row>
    <row r="7377">
      <c r="K7377" s="317"/>
    </row>
    <row r="7378">
      <c r="K7378" s="317"/>
    </row>
    <row r="7379">
      <c r="K7379" s="317"/>
    </row>
    <row r="7380">
      <c r="K7380" s="317"/>
    </row>
    <row r="7381">
      <c r="K7381" s="317"/>
    </row>
    <row r="7382">
      <c r="K7382" s="317"/>
    </row>
    <row r="7383">
      <c r="K7383" s="317"/>
    </row>
    <row r="7384">
      <c r="K7384" s="317"/>
    </row>
    <row r="7385">
      <c r="K7385" s="317"/>
    </row>
    <row r="7386">
      <c r="K7386" s="317"/>
    </row>
    <row r="7387">
      <c r="K7387" s="317"/>
    </row>
    <row r="7388">
      <c r="K7388" s="317"/>
    </row>
    <row r="7389">
      <c r="K7389" s="317"/>
    </row>
    <row r="7390">
      <c r="K7390" s="317"/>
    </row>
    <row r="7391">
      <c r="K7391" s="317"/>
    </row>
    <row r="7392">
      <c r="K7392" s="317"/>
    </row>
    <row r="7393">
      <c r="K7393" s="317"/>
    </row>
    <row r="7394">
      <c r="K7394" s="317"/>
    </row>
    <row r="7395">
      <c r="K7395" s="317"/>
    </row>
    <row r="7396">
      <c r="K7396" s="317"/>
    </row>
    <row r="7397">
      <c r="K7397" s="317"/>
    </row>
    <row r="7398">
      <c r="K7398" s="317"/>
    </row>
    <row r="7399">
      <c r="K7399" s="317"/>
    </row>
    <row r="7400">
      <c r="K7400" s="317"/>
    </row>
    <row r="7401">
      <c r="K7401" s="317"/>
    </row>
    <row r="7402">
      <c r="K7402" s="317"/>
    </row>
    <row r="7403">
      <c r="K7403" s="317"/>
    </row>
    <row r="7404">
      <c r="K7404" s="317"/>
    </row>
    <row r="7405">
      <c r="K7405" s="317"/>
    </row>
    <row r="7406">
      <c r="K7406" s="317"/>
    </row>
    <row r="7407">
      <c r="K7407" s="317"/>
    </row>
    <row r="7408">
      <c r="K7408" s="317"/>
    </row>
    <row r="7409">
      <c r="K7409" s="317"/>
    </row>
    <row r="7410">
      <c r="K7410" s="317"/>
    </row>
    <row r="7411">
      <c r="K7411" s="317"/>
    </row>
    <row r="7412">
      <c r="K7412" s="317"/>
    </row>
    <row r="7413">
      <c r="K7413" s="317"/>
    </row>
    <row r="7414">
      <c r="K7414" s="317"/>
    </row>
    <row r="7415">
      <c r="K7415" s="317"/>
    </row>
    <row r="7416">
      <c r="K7416" s="317"/>
    </row>
    <row r="7417">
      <c r="K7417" s="317"/>
    </row>
    <row r="7418">
      <c r="K7418" s="317"/>
    </row>
    <row r="7419">
      <c r="K7419" s="317"/>
    </row>
    <row r="7420">
      <c r="K7420" s="317"/>
    </row>
    <row r="7421">
      <c r="K7421" s="317"/>
    </row>
    <row r="7422">
      <c r="K7422" s="317"/>
    </row>
    <row r="7423">
      <c r="K7423" s="317"/>
    </row>
    <row r="7424">
      <c r="K7424" s="317"/>
    </row>
    <row r="7425">
      <c r="K7425" s="317"/>
    </row>
    <row r="7426">
      <c r="K7426" s="317"/>
    </row>
    <row r="7427">
      <c r="K7427" s="317"/>
    </row>
    <row r="7428">
      <c r="K7428" s="317"/>
    </row>
    <row r="7429">
      <c r="K7429" s="317"/>
    </row>
    <row r="7430">
      <c r="K7430" s="317"/>
    </row>
    <row r="7431">
      <c r="K7431" s="317"/>
    </row>
    <row r="7432">
      <c r="K7432" s="317"/>
    </row>
    <row r="7433">
      <c r="K7433" s="317"/>
    </row>
    <row r="7434">
      <c r="K7434" s="317"/>
    </row>
    <row r="7435">
      <c r="K7435" s="317"/>
    </row>
    <row r="7436">
      <c r="K7436" s="317"/>
    </row>
    <row r="7437">
      <c r="K7437" s="317"/>
    </row>
    <row r="7438">
      <c r="K7438" s="317"/>
    </row>
    <row r="7439">
      <c r="K7439" s="317"/>
    </row>
    <row r="7440">
      <c r="K7440" s="317"/>
    </row>
    <row r="7441">
      <c r="K7441" s="317"/>
    </row>
    <row r="7442">
      <c r="K7442" s="317"/>
    </row>
    <row r="7443">
      <c r="K7443" s="317"/>
    </row>
    <row r="7444">
      <c r="K7444" s="317"/>
    </row>
    <row r="7445">
      <c r="K7445" s="317"/>
    </row>
    <row r="7446">
      <c r="K7446" s="317"/>
    </row>
    <row r="7447">
      <c r="K7447" s="317"/>
    </row>
    <row r="7448">
      <c r="K7448" s="317"/>
    </row>
    <row r="7449">
      <c r="K7449" s="317"/>
    </row>
    <row r="7450">
      <c r="K7450" s="317"/>
    </row>
    <row r="7451">
      <c r="K7451" s="317"/>
    </row>
    <row r="7452">
      <c r="K7452" s="317"/>
    </row>
    <row r="7453">
      <c r="K7453" s="317"/>
    </row>
    <row r="7454">
      <c r="K7454" s="317"/>
    </row>
    <row r="7455">
      <c r="K7455" s="317"/>
    </row>
    <row r="7456">
      <c r="K7456" s="317"/>
    </row>
    <row r="7457">
      <c r="K7457" s="317"/>
    </row>
    <row r="7458">
      <c r="K7458" s="317"/>
    </row>
    <row r="7459">
      <c r="K7459" s="317"/>
    </row>
    <row r="7460">
      <c r="K7460" s="317"/>
    </row>
    <row r="7461">
      <c r="K7461" s="317"/>
    </row>
    <row r="7462">
      <c r="K7462" s="317"/>
    </row>
    <row r="7463">
      <c r="K7463" s="317"/>
    </row>
    <row r="7464">
      <c r="K7464" s="317"/>
    </row>
    <row r="7465">
      <c r="K7465" s="317"/>
    </row>
    <row r="7466">
      <c r="K7466" s="317"/>
    </row>
    <row r="7467">
      <c r="K7467" s="317"/>
    </row>
    <row r="7468">
      <c r="K7468" s="317"/>
    </row>
    <row r="7469">
      <c r="K7469" s="317"/>
    </row>
    <row r="7470">
      <c r="K7470" s="317"/>
    </row>
    <row r="7471">
      <c r="K7471" s="317"/>
    </row>
    <row r="7472">
      <c r="K7472" s="317"/>
    </row>
    <row r="7473">
      <c r="K7473" s="317"/>
    </row>
    <row r="7474">
      <c r="K7474" s="317"/>
    </row>
    <row r="7475">
      <c r="K7475" s="317"/>
    </row>
    <row r="7476">
      <c r="K7476" s="317"/>
    </row>
    <row r="7477">
      <c r="K7477" s="317"/>
    </row>
    <row r="7478">
      <c r="K7478" s="317"/>
    </row>
    <row r="7479">
      <c r="K7479" s="317"/>
    </row>
    <row r="7480">
      <c r="K7480" s="317"/>
    </row>
    <row r="7481">
      <c r="K7481" s="317"/>
    </row>
    <row r="7482">
      <c r="K7482" s="317"/>
    </row>
    <row r="7483">
      <c r="K7483" s="317"/>
    </row>
    <row r="7484">
      <c r="K7484" s="317"/>
    </row>
    <row r="7485">
      <c r="K7485" s="317"/>
    </row>
    <row r="7486">
      <c r="K7486" s="317"/>
    </row>
    <row r="7487">
      <c r="K7487" s="317"/>
    </row>
    <row r="7488">
      <c r="K7488" s="317"/>
    </row>
    <row r="7489">
      <c r="K7489" s="317"/>
    </row>
    <row r="7490">
      <c r="K7490" s="317"/>
    </row>
    <row r="7491">
      <c r="K7491" s="317"/>
    </row>
    <row r="7492">
      <c r="K7492" s="317"/>
    </row>
    <row r="7493">
      <c r="K7493" s="317"/>
    </row>
    <row r="7494">
      <c r="K7494" s="317"/>
    </row>
    <row r="7495">
      <c r="K7495" s="317"/>
    </row>
    <row r="7496">
      <c r="K7496" s="317"/>
    </row>
    <row r="7497">
      <c r="K7497" s="317"/>
    </row>
    <row r="7498">
      <c r="K7498" s="317"/>
    </row>
    <row r="7499">
      <c r="K7499" s="317"/>
    </row>
    <row r="7500">
      <c r="K7500" s="317"/>
    </row>
    <row r="7501">
      <c r="K7501" s="317"/>
    </row>
    <row r="7502">
      <c r="K7502" s="317"/>
    </row>
    <row r="7503">
      <c r="K7503" s="317"/>
    </row>
    <row r="7504">
      <c r="K7504" s="317"/>
    </row>
    <row r="7505">
      <c r="K7505" s="317"/>
    </row>
    <row r="7506">
      <c r="K7506" s="317"/>
    </row>
    <row r="7507">
      <c r="K7507" s="317"/>
    </row>
    <row r="7508">
      <c r="K7508" s="317"/>
    </row>
    <row r="7509">
      <c r="K7509" s="317"/>
    </row>
    <row r="7510">
      <c r="K7510" s="317"/>
    </row>
    <row r="7511">
      <c r="K7511" s="317"/>
    </row>
    <row r="7512">
      <c r="K7512" s="317"/>
    </row>
    <row r="7513">
      <c r="K7513" s="317"/>
    </row>
    <row r="7514">
      <c r="K7514" s="317"/>
    </row>
    <row r="7515">
      <c r="K7515" s="317"/>
    </row>
    <row r="7516">
      <c r="K7516" s="317"/>
    </row>
    <row r="7517">
      <c r="K7517" s="317"/>
    </row>
    <row r="7518">
      <c r="K7518" s="317"/>
    </row>
    <row r="7519">
      <c r="K7519" s="317"/>
    </row>
    <row r="7520">
      <c r="K7520" s="317"/>
    </row>
    <row r="7521">
      <c r="K7521" s="317"/>
    </row>
    <row r="7522">
      <c r="K7522" s="317"/>
    </row>
    <row r="7523">
      <c r="K7523" s="317"/>
    </row>
    <row r="7524">
      <c r="K7524" s="317"/>
    </row>
    <row r="7525">
      <c r="K7525" s="317"/>
    </row>
    <row r="7526">
      <c r="K7526" s="317"/>
    </row>
    <row r="7527">
      <c r="K7527" s="317"/>
    </row>
    <row r="7528">
      <c r="K7528" s="317"/>
    </row>
    <row r="7529">
      <c r="K7529" s="317"/>
    </row>
    <row r="7530">
      <c r="K7530" s="317"/>
    </row>
    <row r="7531">
      <c r="K7531" s="317"/>
    </row>
    <row r="7532">
      <c r="K7532" s="317"/>
    </row>
    <row r="7533">
      <c r="K7533" s="317"/>
    </row>
    <row r="7534">
      <c r="K7534" s="317"/>
    </row>
    <row r="7535">
      <c r="K7535" s="317"/>
    </row>
    <row r="7536">
      <c r="K7536" s="317"/>
    </row>
    <row r="7537">
      <c r="K7537" s="317"/>
    </row>
    <row r="7538">
      <c r="K7538" s="317"/>
    </row>
    <row r="7539">
      <c r="K7539" s="317"/>
    </row>
    <row r="7540">
      <c r="K7540" s="317"/>
    </row>
    <row r="7541">
      <c r="K7541" s="317"/>
    </row>
    <row r="7542">
      <c r="K7542" s="317"/>
    </row>
    <row r="7543">
      <c r="K7543" s="317"/>
    </row>
    <row r="7544">
      <c r="K7544" s="317"/>
    </row>
    <row r="7545">
      <c r="K7545" s="317"/>
    </row>
    <row r="7546">
      <c r="K7546" s="317"/>
    </row>
    <row r="7547">
      <c r="K7547" s="317"/>
    </row>
    <row r="7548">
      <c r="K7548" s="317"/>
    </row>
    <row r="7549">
      <c r="K7549" s="317"/>
    </row>
    <row r="7550">
      <c r="K7550" s="317"/>
    </row>
    <row r="7551">
      <c r="K7551" s="317"/>
    </row>
    <row r="7552">
      <c r="K7552" s="317"/>
    </row>
    <row r="7553">
      <c r="K7553" s="317"/>
    </row>
    <row r="7554">
      <c r="K7554" s="317"/>
    </row>
    <row r="7555">
      <c r="K7555" s="317"/>
    </row>
    <row r="7556">
      <c r="K7556" s="317"/>
    </row>
    <row r="7557">
      <c r="K7557" s="317"/>
    </row>
    <row r="7558">
      <c r="K7558" s="317"/>
    </row>
    <row r="7559">
      <c r="K7559" s="317"/>
    </row>
    <row r="7560">
      <c r="K7560" s="317"/>
    </row>
    <row r="7561">
      <c r="K7561" s="317"/>
    </row>
    <row r="7562">
      <c r="K7562" s="317"/>
    </row>
    <row r="7563">
      <c r="K7563" s="317"/>
    </row>
    <row r="7564">
      <c r="K7564" s="317"/>
    </row>
    <row r="7565">
      <c r="K7565" s="317"/>
    </row>
    <row r="7566">
      <c r="K7566" s="317"/>
    </row>
    <row r="7567">
      <c r="K7567" s="317"/>
    </row>
    <row r="7568">
      <c r="K7568" s="317"/>
    </row>
    <row r="7569">
      <c r="K7569" s="317"/>
    </row>
    <row r="7570">
      <c r="K7570" s="317"/>
    </row>
    <row r="7571">
      <c r="K7571" s="317"/>
    </row>
    <row r="7572">
      <c r="K7572" s="317"/>
    </row>
    <row r="7573">
      <c r="K7573" s="317"/>
    </row>
    <row r="7574">
      <c r="K7574" s="317"/>
    </row>
    <row r="7575">
      <c r="K7575" s="317"/>
    </row>
    <row r="7576">
      <c r="K7576" s="317"/>
    </row>
    <row r="7577">
      <c r="K7577" s="317"/>
    </row>
    <row r="7578">
      <c r="K7578" s="317"/>
    </row>
    <row r="7579">
      <c r="K7579" s="317"/>
    </row>
    <row r="7580">
      <c r="K7580" s="317"/>
    </row>
    <row r="7581">
      <c r="K7581" s="317"/>
    </row>
    <row r="7582">
      <c r="K7582" s="317"/>
    </row>
    <row r="7583">
      <c r="K7583" s="317"/>
    </row>
    <row r="7584">
      <c r="K7584" s="317"/>
    </row>
    <row r="7585">
      <c r="K7585" s="317"/>
    </row>
    <row r="7586">
      <c r="K7586" s="317"/>
    </row>
    <row r="7587">
      <c r="K7587" s="317"/>
    </row>
    <row r="7588">
      <c r="K7588" s="317"/>
    </row>
    <row r="7589">
      <c r="K7589" s="317"/>
    </row>
    <row r="7590">
      <c r="K7590" s="317"/>
    </row>
    <row r="7591">
      <c r="K7591" s="317"/>
    </row>
    <row r="7592">
      <c r="K7592" s="317"/>
    </row>
    <row r="7593">
      <c r="K7593" s="317"/>
    </row>
    <row r="7594">
      <c r="K7594" s="317"/>
    </row>
    <row r="7595">
      <c r="K7595" s="317"/>
    </row>
    <row r="7596">
      <c r="K7596" s="317"/>
    </row>
    <row r="7597">
      <c r="K7597" s="317"/>
    </row>
    <row r="7598">
      <c r="K7598" s="317"/>
    </row>
    <row r="7599">
      <c r="K7599" s="317"/>
    </row>
    <row r="7600">
      <c r="K7600" s="317"/>
    </row>
    <row r="7601">
      <c r="K7601" s="317"/>
    </row>
    <row r="7602">
      <c r="K7602" s="317"/>
    </row>
    <row r="7603">
      <c r="K7603" s="317"/>
    </row>
    <row r="7604">
      <c r="K7604" s="317"/>
    </row>
    <row r="7605">
      <c r="K7605" s="317"/>
    </row>
    <row r="7606">
      <c r="K7606" s="317"/>
    </row>
    <row r="7607">
      <c r="K7607" s="317"/>
    </row>
    <row r="7608">
      <c r="K7608" s="317"/>
    </row>
    <row r="7609">
      <c r="K7609" s="317"/>
    </row>
    <row r="7610">
      <c r="K7610" s="317"/>
    </row>
    <row r="7611">
      <c r="K7611" s="317"/>
    </row>
    <row r="7612">
      <c r="K7612" s="317"/>
    </row>
    <row r="7613">
      <c r="K7613" s="317"/>
    </row>
    <row r="7614">
      <c r="K7614" s="317"/>
    </row>
    <row r="7615">
      <c r="K7615" s="317"/>
    </row>
    <row r="7616">
      <c r="K7616" s="317"/>
    </row>
    <row r="7617">
      <c r="K7617" s="317"/>
    </row>
    <row r="7618">
      <c r="K7618" s="317"/>
    </row>
    <row r="7619">
      <c r="K7619" s="317"/>
    </row>
    <row r="7620">
      <c r="K7620" s="317"/>
    </row>
    <row r="7621">
      <c r="K7621" s="317"/>
    </row>
    <row r="7622">
      <c r="K7622" s="317"/>
    </row>
    <row r="7623">
      <c r="K7623" s="317"/>
    </row>
    <row r="7624">
      <c r="K7624" s="317"/>
    </row>
    <row r="7625">
      <c r="K7625" s="317"/>
    </row>
    <row r="7626">
      <c r="K7626" s="317"/>
    </row>
    <row r="7627">
      <c r="K7627" s="317"/>
    </row>
    <row r="7628">
      <c r="K7628" s="317"/>
    </row>
    <row r="7629">
      <c r="K7629" s="317"/>
    </row>
    <row r="7630">
      <c r="K7630" s="317"/>
    </row>
    <row r="7631">
      <c r="K7631" s="317"/>
    </row>
    <row r="7632">
      <c r="K7632" s="317"/>
    </row>
    <row r="7633">
      <c r="K7633" s="317"/>
    </row>
    <row r="7634">
      <c r="K7634" s="317"/>
    </row>
    <row r="7635">
      <c r="K7635" s="317"/>
    </row>
    <row r="7636">
      <c r="K7636" s="317"/>
    </row>
    <row r="7637">
      <c r="K7637" s="317"/>
    </row>
    <row r="7638">
      <c r="K7638" s="317"/>
    </row>
    <row r="7639">
      <c r="K7639" s="317"/>
    </row>
    <row r="7640">
      <c r="K7640" s="317"/>
    </row>
    <row r="7641">
      <c r="K7641" s="317"/>
    </row>
    <row r="7642">
      <c r="K7642" s="317"/>
    </row>
    <row r="7643">
      <c r="K7643" s="317"/>
    </row>
    <row r="7644">
      <c r="K7644" s="317"/>
    </row>
    <row r="7645">
      <c r="K7645" s="317"/>
    </row>
    <row r="7646">
      <c r="K7646" s="317"/>
    </row>
    <row r="7647">
      <c r="K7647" s="317"/>
    </row>
    <row r="7648">
      <c r="K7648" s="317"/>
    </row>
    <row r="7649">
      <c r="K7649" s="317"/>
    </row>
    <row r="7650">
      <c r="K7650" s="317"/>
    </row>
    <row r="7651">
      <c r="K7651" s="317"/>
    </row>
    <row r="7652">
      <c r="K7652" s="317"/>
    </row>
    <row r="7653">
      <c r="K7653" s="317"/>
    </row>
    <row r="7654">
      <c r="K7654" s="317"/>
    </row>
    <row r="7655">
      <c r="K7655" s="317"/>
    </row>
    <row r="7656">
      <c r="K7656" s="317"/>
    </row>
    <row r="7657">
      <c r="K7657" s="317"/>
    </row>
    <row r="7658">
      <c r="K7658" s="317"/>
    </row>
    <row r="7659">
      <c r="K7659" s="317"/>
    </row>
    <row r="7660">
      <c r="K7660" s="317"/>
    </row>
    <row r="7661">
      <c r="K7661" s="317"/>
    </row>
    <row r="7662">
      <c r="K7662" s="317"/>
    </row>
    <row r="7663">
      <c r="K7663" s="317"/>
    </row>
    <row r="7664">
      <c r="K7664" s="317"/>
    </row>
    <row r="7665">
      <c r="K7665" s="317"/>
    </row>
    <row r="7666">
      <c r="K7666" s="317"/>
    </row>
    <row r="7667">
      <c r="K7667" s="317"/>
    </row>
    <row r="7668">
      <c r="K7668" s="317"/>
    </row>
    <row r="7669">
      <c r="K7669" s="317"/>
    </row>
    <row r="7670">
      <c r="K7670" s="317"/>
    </row>
    <row r="7671">
      <c r="K7671" s="317"/>
    </row>
    <row r="7672">
      <c r="K7672" s="317"/>
    </row>
    <row r="7673">
      <c r="K7673" s="317"/>
    </row>
    <row r="7674">
      <c r="K7674" s="317"/>
    </row>
    <row r="7675">
      <c r="K7675" s="317"/>
    </row>
    <row r="7676">
      <c r="K7676" s="317"/>
    </row>
    <row r="7677">
      <c r="K7677" s="317"/>
    </row>
    <row r="7678">
      <c r="K7678" s="317"/>
    </row>
    <row r="7679">
      <c r="K7679" s="317"/>
    </row>
    <row r="7680">
      <c r="K7680" s="317"/>
    </row>
    <row r="7681">
      <c r="K7681" s="317"/>
    </row>
    <row r="7682">
      <c r="K7682" s="317"/>
    </row>
    <row r="7683">
      <c r="K7683" s="317"/>
    </row>
    <row r="7684">
      <c r="K7684" s="317"/>
    </row>
    <row r="7685">
      <c r="K7685" s="317"/>
    </row>
    <row r="7686">
      <c r="K7686" s="317"/>
    </row>
    <row r="7687">
      <c r="K7687" s="317"/>
    </row>
    <row r="7688">
      <c r="K7688" s="317"/>
    </row>
    <row r="7689">
      <c r="K7689" s="317"/>
    </row>
    <row r="7690">
      <c r="K7690" s="317"/>
    </row>
    <row r="7691">
      <c r="K7691" s="317"/>
    </row>
    <row r="7692">
      <c r="K7692" s="317"/>
    </row>
    <row r="7693">
      <c r="K7693" s="317"/>
    </row>
    <row r="7694">
      <c r="K7694" s="317"/>
    </row>
    <row r="7695">
      <c r="K7695" s="317"/>
    </row>
    <row r="7696">
      <c r="K7696" s="317"/>
    </row>
    <row r="7697">
      <c r="K7697" s="317"/>
    </row>
    <row r="7698">
      <c r="K7698" s="317"/>
    </row>
    <row r="7699">
      <c r="K7699" s="317"/>
    </row>
    <row r="7700">
      <c r="K7700" s="317"/>
    </row>
    <row r="7701">
      <c r="K7701" s="317"/>
    </row>
    <row r="7702">
      <c r="K7702" s="317"/>
    </row>
    <row r="7703">
      <c r="K7703" s="317"/>
    </row>
    <row r="7704">
      <c r="K7704" s="317"/>
    </row>
    <row r="7705">
      <c r="K7705" s="317"/>
    </row>
    <row r="7706">
      <c r="K7706" s="317"/>
    </row>
    <row r="7707">
      <c r="K7707" s="317"/>
    </row>
    <row r="7708">
      <c r="K7708" s="317"/>
    </row>
    <row r="7709">
      <c r="K7709" s="317"/>
    </row>
    <row r="7710">
      <c r="K7710" s="317"/>
    </row>
    <row r="7711">
      <c r="K7711" s="317"/>
    </row>
    <row r="7712">
      <c r="K7712" s="317"/>
    </row>
    <row r="7713">
      <c r="K7713" s="317"/>
    </row>
    <row r="7714">
      <c r="K7714" s="317"/>
    </row>
    <row r="7715">
      <c r="K7715" s="317"/>
    </row>
    <row r="7716">
      <c r="K7716" s="317"/>
    </row>
    <row r="7717">
      <c r="K7717" s="317"/>
    </row>
    <row r="7718">
      <c r="K7718" s="317"/>
    </row>
    <row r="7719">
      <c r="K7719" s="317"/>
    </row>
    <row r="7720">
      <c r="K7720" s="317"/>
    </row>
    <row r="7721">
      <c r="K7721" s="317"/>
    </row>
    <row r="7722">
      <c r="K7722" s="317"/>
    </row>
    <row r="7723">
      <c r="K7723" s="317"/>
    </row>
    <row r="7724">
      <c r="K7724" s="317"/>
    </row>
    <row r="7725">
      <c r="K7725" s="317"/>
    </row>
    <row r="7726">
      <c r="K7726" s="317"/>
    </row>
    <row r="7727">
      <c r="K7727" s="317"/>
    </row>
    <row r="7728">
      <c r="K7728" s="317"/>
    </row>
    <row r="7729">
      <c r="K7729" s="317"/>
    </row>
    <row r="7730">
      <c r="K7730" s="317"/>
    </row>
    <row r="7731">
      <c r="K7731" s="317"/>
    </row>
    <row r="7732">
      <c r="K7732" s="317"/>
    </row>
    <row r="7733">
      <c r="K7733" s="317"/>
    </row>
    <row r="7734">
      <c r="K7734" s="317"/>
    </row>
    <row r="7735">
      <c r="K7735" s="317"/>
    </row>
    <row r="7736">
      <c r="K7736" s="317"/>
    </row>
    <row r="7737">
      <c r="K7737" s="317"/>
    </row>
    <row r="7738">
      <c r="K7738" s="317"/>
    </row>
    <row r="7739">
      <c r="K7739" s="317"/>
    </row>
    <row r="7740">
      <c r="K7740" s="317"/>
    </row>
    <row r="7741">
      <c r="K7741" s="317"/>
    </row>
    <row r="7742">
      <c r="K7742" s="317"/>
    </row>
    <row r="7743">
      <c r="K7743" s="317"/>
    </row>
    <row r="7744">
      <c r="K7744" s="317"/>
    </row>
    <row r="7745">
      <c r="K7745" s="317"/>
    </row>
    <row r="7746">
      <c r="K7746" s="317"/>
    </row>
    <row r="7747">
      <c r="K7747" s="317"/>
    </row>
    <row r="7748">
      <c r="K7748" s="317"/>
    </row>
    <row r="7749">
      <c r="K7749" s="317"/>
    </row>
    <row r="7750">
      <c r="K7750" s="317"/>
    </row>
    <row r="7751">
      <c r="K7751" s="317"/>
    </row>
    <row r="7752">
      <c r="K7752" s="317"/>
    </row>
    <row r="7753">
      <c r="K7753" s="317"/>
    </row>
    <row r="7754">
      <c r="K7754" s="317"/>
    </row>
    <row r="7755">
      <c r="K7755" s="317"/>
    </row>
    <row r="7756">
      <c r="K7756" s="317"/>
    </row>
    <row r="7757">
      <c r="K7757" s="317"/>
    </row>
    <row r="7758">
      <c r="K7758" s="317"/>
    </row>
    <row r="7759">
      <c r="K7759" s="317"/>
    </row>
    <row r="7760">
      <c r="K7760" s="317"/>
    </row>
    <row r="7761">
      <c r="K7761" s="317"/>
    </row>
    <row r="7762">
      <c r="K7762" s="317"/>
    </row>
    <row r="7763">
      <c r="K7763" s="317"/>
    </row>
    <row r="7764">
      <c r="K7764" s="317"/>
    </row>
    <row r="7765">
      <c r="K7765" s="317"/>
    </row>
    <row r="7766">
      <c r="K7766" s="317"/>
    </row>
    <row r="7767">
      <c r="K7767" s="317"/>
    </row>
    <row r="7768">
      <c r="K7768" s="317"/>
    </row>
    <row r="7769">
      <c r="K7769" s="317"/>
    </row>
    <row r="7770">
      <c r="K7770" s="317"/>
    </row>
    <row r="7771">
      <c r="K7771" s="317"/>
    </row>
    <row r="7772">
      <c r="K7772" s="317"/>
    </row>
    <row r="7773">
      <c r="K7773" s="317"/>
    </row>
    <row r="7774">
      <c r="K7774" s="317"/>
    </row>
    <row r="7775">
      <c r="K7775" s="317"/>
    </row>
    <row r="7776">
      <c r="K7776" s="317"/>
    </row>
    <row r="7777">
      <c r="K7777" s="317"/>
    </row>
    <row r="7778">
      <c r="K7778" s="317"/>
    </row>
    <row r="7779">
      <c r="K7779" s="317"/>
    </row>
    <row r="7780">
      <c r="K7780" s="317"/>
    </row>
    <row r="7781">
      <c r="K7781" s="317"/>
    </row>
    <row r="7782">
      <c r="K7782" s="317"/>
    </row>
    <row r="7783">
      <c r="K7783" s="317"/>
    </row>
    <row r="7784">
      <c r="K7784" s="317"/>
    </row>
    <row r="7785">
      <c r="K7785" s="317"/>
    </row>
    <row r="7786">
      <c r="K7786" s="317"/>
    </row>
    <row r="7787">
      <c r="K7787" s="317"/>
    </row>
    <row r="7788">
      <c r="K7788" s="317"/>
    </row>
    <row r="7789">
      <c r="K7789" s="317"/>
    </row>
    <row r="7790">
      <c r="K7790" s="317"/>
    </row>
    <row r="7791">
      <c r="K7791" s="317"/>
    </row>
    <row r="7792">
      <c r="K7792" s="317"/>
    </row>
    <row r="7793">
      <c r="K7793" s="317"/>
    </row>
    <row r="7794">
      <c r="K7794" s="317"/>
    </row>
    <row r="7795">
      <c r="K7795" s="317"/>
    </row>
    <row r="7796">
      <c r="K7796" s="317"/>
    </row>
    <row r="7797">
      <c r="K7797" s="317"/>
    </row>
    <row r="7798">
      <c r="K7798" s="317"/>
    </row>
    <row r="7799">
      <c r="K7799" s="317"/>
    </row>
    <row r="7800">
      <c r="K7800" s="317"/>
    </row>
    <row r="7801">
      <c r="K7801" s="317"/>
    </row>
    <row r="7802">
      <c r="K7802" s="317"/>
    </row>
    <row r="7803">
      <c r="K7803" s="317"/>
    </row>
    <row r="7804">
      <c r="K7804" s="317"/>
    </row>
    <row r="7805">
      <c r="K7805" s="317"/>
    </row>
    <row r="7806">
      <c r="K7806" s="317"/>
    </row>
    <row r="7807">
      <c r="K7807" s="317"/>
    </row>
    <row r="7808">
      <c r="K7808" s="317"/>
    </row>
    <row r="7809">
      <c r="K7809" s="317"/>
    </row>
    <row r="7810">
      <c r="K7810" s="317"/>
    </row>
    <row r="7811">
      <c r="K7811" s="317"/>
    </row>
    <row r="7812">
      <c r="K7812" s="317"/>
    </row>
    <row r="7813">
      <c r="K7813" s="317"/>
    </row>
    <row r="7814">
      <c r="K7814" s="317"/>
    </row>
    <row r="7815">
      <c r="K7815" s="317"/>
    </row>
    <row r="7816">
      <c r="K7816" s="317"/>
    </row>
    <row r="7817">
      <c r="K7817" s="317"/>
    </row>
    <row r="7818">
      <c r="K7818" s="317"/>
    </row>
    <row r="7819">
      <c r="K7819" s="317"/>
    </row>
    <row r="7820">
      <c r="K7820" s="317"/>
    </row>
    <row r="7821">
      <c r="K7821" s="317"/>
    </row>
    <row r="7822">
      <c r="K7822" s="317"/>
    </row>
    <row r="7823">
      <c r="K7823" s="317"/>
    </row>
    <row r="7824">
      <c r="K7824" s="317"/>
    </row>
    <row r="7825">
      <c r="K7825" s="317"/>
    </row>
    <row r="7826">
      <c r="K7826" s="317"/>
    </row>
    <row r="7827">
      <c r="K7827" s="317"/>
    </row>
    <row r="7828">
      <c r="K7828" s="317"/>
    </row>
    <row r="7829">
      <c r="K7829" s="317"/>
    </row>
    <row r="7830">
      <c r="K7830" s="317"/>
    </row>
    <row r="7831">
      <c r="K7831" s="317"/>
    </row>
    <row r="7832">
      <c r="K7832" s="317"/>
    </row>
    <row r="7833">
      <c r="K7833" s="317"/>
    </row>
    <row r="7834">
      <c r="K7834" s="317"/>
    </row>
    <row r="7835">
      <c r="K7835" s="317"/>
    </row>
    <row r="7836">
      <c r="K7836" s="317"/>
    </row>
    <row r="7837">
      <c r="K7837" s="317"/>
    </row>
    <row r="7838">
      <c r="K7838" s="317"/>
    </row>
    <row r="7839">
      <c r="K7839" s="317"/>
    </row>
    <row r="7840">
      <c r="K7840" s="317"/>
    </row>
    <row r="7841">
      <c r="K7841" s="317"/>
    </row>
    <row r="7842">
      <c r="K7842" s="317"/>
    </row>
    <row r="7843">
      <c r="K7843" s="317"/>
    </row>
    <row r="7844">
      <c r="K7844" s="317"/>
    </row>
    <row r="7845">
      <c r="K7845" s="317"/>
    </row>
    <row r="7846">
      <c r="K7846" s="317"/>
    </row>
    <row r="7847">
      <c r="K7847" s="317"/>
    </row>
    <row r="7848">
      <c r="K7848" s="317"/>
    </row>
    <row r="7849">
      <c r="K7849" s="317"/>
    </row>
    <row r="7850">
      <c r="K7850" s="317"/>
    </row>
    <row r="7851">
      <c r="K7851" s="317"/>
    </row>
    <row r="7852">
      <c r="K7852" s="317"/>
    </row>
    <row r="7853">
      <c r="K7853" s="317"/>
    </row>
    <row r="7854">
      <c r="K7854" s="317"/>
    </row>
    <row r="7855">
      <c r="K7855" s="317"/>
    </row>
    <row r="7856">
      <c r="K7856" s="317"/>
    </row>
    <row r="7857">
      <c r="K7857" s="317"/>
    </row>
    <row r="7858">
      <c r="K7858" s="317"/>
    </row>
    <row r="7859">
      <c r="K7859" s="317"/>
    </row>
    <row r="7860">
      <c r="K7860" s="317"/>
    </row>
    <row r="7861">
      <c r="K7861" s="317"/>
    </row>
    <row r="7862">
      <c r="K7862" s="317"/>
    </row>
    <row r="7863">
      <c r="K7863" s="317"/>
    </row>
    <row r="7864">
      <c r="K7864" s="317"/>
    </row>
    <row r="7865">
      <c r="K7865" s="317"/>
    </row>
    <row r="7866">
      <c r="K7866" s="317"/>
    </row>
    <row r="7867">
      <c r="K7867" s="317"/>
    </row>
    <row r="7868">
      <c r="K7868" s="317"/>
    </row>
    <row r="7869">
      <c r="K7869" s="317"/>
    </row>
    <row r="7870">
      <c r="K7870" s="317"/>
    </row>
    <row r="7871">
      <c r="K7871" s="317"/>
    </row>
    <row r="7872">
      <c r="K7872" s="317"/>
    </row>
    <row r="7873">
      <c r="K7873" s="317"/>
    </row>
    <row r="7874">
      <c r="K7874" s="317"/>
    </row>
    <row r="7875">
      <c r="K7875" s="317"/>
    </row>
    <row r="7876">
      <c r="K7876" s="317"/>
    </row>
    <row r="7877">
      <c r="K7877" s="317"/>
    </row>
    <row r="7878">
      <c r="K7878" s="317"/>
    </row>
    <row r="7879">
      <c r="K7879" s="317"/>
    </row>
    <row r="7880">
      <c r="K7880" s="317"/>
    </row>
    <row r="7881">
      <c r="K7881" s="317"/>
    </row>
    <row r="7882">
      <c r="K7882" s="317"/>
    </row>
    <row r="7883">
      <c r="K7883" s="317"/>
    </row>
    <row r="7884">
      <c r="K7884" s="317"/>
    </row>
    <row r="7885">
      <c r="K7885" s="317"/>
    </row>
    <row r="7886">
      <c r="K7886" s="317"/>
    </row>
    <row r="7887">
      <c r="K7887" s="317"/>
    </row>
    <row r="7888">
      <c r="K7888" s="317"/>
    </row>
    <row r="7889">
      <c r="K7889" s="317"/>
    </row>
    <row r="7890">
      <c r="K7890" s="317"/>
    </row>
    <row r="7891">
      <c r="K7891" s="317"/>
    </row>
    <row r="7892">
      <c r="K7892" s="317"/>
    </row>
    <row r="7893">
      <c r="K7893" s="317"/>
    </row>
    <row r="7894">
      <c r="K7894" s="317"/>
    </row>
    <row r="7895">
      <c r="K7895" s="317"/>
    </row>
    <row r="7896">
      <c r="K7896" s="317"/>
    </row>
    <row r="7897">
      <c r="K7897" s="317"/>
    </row>
    <row r="7898">
      <c r="K7898" s="317"/>
    </row>
    <row r="7899">
      <c r="K7899" s="317"/>
    </row>
    <row r="7900">
      <c r="K7900" s="317"/>
    </row>
    <row r="7901">
      <c r="K7901" s="317"/>
    </row>
    <row r="7902">
      <c r="K7902" s="317"/>
    </row>
    <row r="7903">
      <c r="K7903" s="317"/>
    </row>
    <row r="7904">
      <c r="K7904" s="317"/>
    </row>
    <row r="7905">
      <c r="K7905" s="317"/>
    </row>
    <row r="7906">
      <c r="K7906" s="317"/>
    </row>
    <row r="7907">
      <c r="K7907" s="317"/>
    </row>
    <row r="7908">
      <c r="K7908" s="317"/>
    </row>
    <row r="7909">
      <c r="K7909" s="317"/>
    </row>
    <row r="7910">
      <c r="K7910" s="317"/>
    </row>
    <row r="7911">
      <c r="K7911" s="317"/>
    </row>
    <row r="7912">
      <c r="K7912" s="317"/>
    </row>
    <row r="7913">
      <c r="K7913" s="317"/>
    </row>
    <row r="7914">
      <c r="K7914" s="317"/>
    </row>
    <row r="7915">
      <c r="K7915" s="317"/>
    </row>
    <row r="7916">
      <c r="K7916" s="317"/>
    </row>
    <row r="7917">
      <c r="K7917" s="317"/>
    </row>
    <row r="7918">
      <c r="K7918" s="317"/>
    </row>
    <row r="7919">
      <c r="K7919" s="317"/>
    </row>
    <row r="7920">
      <c r="K7920" s="317"/>
    </row>
    <row r="7921">
      <c r="K7921" s="317"/>
    </row>
    <row r="7922">
      <c r="K7922" s="317"/>
    </row>
    <row r="7923">
      <c r="K7923" s="317"/>
    </row>
    <row r="7924">
      <c r="K7924" s="317"/>
    </row>
    <row r="7925">
      <c r="K7925" s="317"/>
    </row>
    <row r="7926">
      <c r="K7926" s="317"/>
    </row>
    <row r="7927">
      <c r="K7927" s="317"/>
    </row>
    <row r="7928">
      <c r="K7928" s="317"/>
    </row>
    <row r="7929">
      <c r="K7929" s="317"/>
    </row>
    <row r="7930">
      <c r="K7930" s="317"/>
    </row>
    <row r="7931">
      <c r="K7931" s="317"/>
    </row>
    <row r="7932">
      <c r="K7932" s="317"/>
    </row>
    <row r="7933">
      <c r="K7933" s="317"/>
    </row>
    <row r="7934">
      <c r="K7934" s="317"/>
    </row>
    <row r="7935">
      <c r="K7935" s="317"/>
    </row>
    <row r="7936">
      <c r="K7936" s="317"/>
    </row>
    <row r="7937">
      <c r="K7937" s="317"/>
    </row>
    <row r="7938">
      <c r="K7938" s="317"/>
    </row>
    <row r="7939">
      <c r="K7939" s="317"/>
    </row>
    <row r="7940">
      <c r="K7940" s="317"/>
    </row>
    <row r="7941">
      <c r="K7941" s="317"/>
    </row>
    <row r="7942">
      <c r="K7942" s="317"/>
    </row>
    <row r="7943">
      <c r="K7943" s="317"/>
    </row>
    <row r="7944">
      <c r="K7944" s="317"/>
    </row>
    <row r="7945">
      <c r="K7945" s="317"/>
    </row>
    <row r="7946">
      <c r="K7946" s="317"/>
    </row>
    <row r="7947">
      <c r="K7947" s="317"/>
    </row>
    <row r="7948">
      <c r="K7948" s="317"/>
    </row>
    <row r="7949">
      <c r="K7949" s="317"/>
    </row>
    <row r="7950">
      <c r="K7950" s="317"/>
    </row>
    <row r="7951">
      <c r="K7951" s="317"/>
    </row>
    <row r="7952">
      <c r="K7952" s="317"/>
    </row>
    <row r="7953">
      <c r="K7953" s="317"/>
    </row>
    <row r="7954">
      <c r="K7954" s="317"/>
    </row>
    <row r="7955">
      <c r="K7955" s="317"/>
    </row>
    <row r="7956">
      <c r="K7956" s="317"/>
    </row>
    <row r="7957">
      <c r="K7957" s="317"/>
    </row>
    <row r="7958">
      <c r="K7958" s="317"/>
    </row>
    <row r="7959">
      <c r="K7959" s="317"/>
    </row>
    <row r="7960">
      <c r="K7960" s="317"/>
    </row>
    <row r="7961">
      <c r="K7961" s="317"/>
    </row>
    <row r="7962">
      <c r="K7962" s="317"/>
    </row>
    <row r="7963">
      <c r="K7963" s="317"/>
    </row>
    <row r="7964">
      <c r="K7964" s="317"/>
    </row>
    <row r="7965">
      <c r="K7965" s="317"/>
    </row>
    <row r="7966">
      <c r="K7966" s="317"/>
    </row>
    <row r="7967">
      <c r="K7967" s="317"/>
    </row>
    <row r="7968">
      <c r="K7968" s="317"/>
    </row>
    <row r="7969">
      <c r="K7969" s="317"/>
    </row>
    <row r="7970">
      <c r="K7970" s="317"/>
    </row>
    <row r="7971">
      <c r="K7971" s="317"/>
    </row>
    <row r="7972">
      <c r="K7972" s="317"/>
    </row>
    <row r="7973">
      <c r="K7973" s="317"/>
    </row>
    <row r="7974">
      <c r="K7974" s="317"/>
    </row>
    <row r="7975">
      <c r="K7975" s="317"/>
    </row>
    <row r="7976">
      <c r="K7976" s="317"/>
    </row>
    <row r="7977">
      <c r="K7977" s="317"/>
    </row>
    <row r="7978">
      <c r="K7978" s="317"/>
    </row>
    <row r="7979">
      <c r="K7979" s="317"/>
    </row>
    <row r="7980">
      <c r="K7980" s="317"/>
    </row>
    <row r="7981">
      <c r="K7981" s="317"/>
    </row>
    <row r="7982">
      <c r="K7982" s="317"/>
    </row>
    <row r="7983">
      <c r="K7983" s="317"/>
    </row>
    <row r="7984">
      <c r="K7984" s="317"/>
    </row>
    <row r="7985">
      <c r="K7985" s="317"/>
    </row>
    <row r="7986">
      <c r="K7986" s="317"/>
    </row>
    <row r="7987">
      <c r="K7987" s="317"/>
    </row>
    <row r="7988">
      <c r="K7988" s="317"/>
    </row>
    <row r="7989">
      <c r="K7989" s="317"/>
    </row>
    <row r="7990">
      <c r="K7990" s="317"/>
    </row>
    <row r="7991">
      <c r="K7991" s="317"/>
    </row>
    <row r="7992">
      <c r="K7992" s="317"/>
    </row>
    <row r="7993">
      <c r="K7993" s="317"/>
    </row>
    <row r="7994">
      <c r="K7994" s="317"/>
    </row>
    <row r="7995">
      <c r="K7995" s="317"/>
    </row>
    <row r="7996">
      <c r="K7996" s="317"/>
    </row>
    <row r="7997">
      <c r="K7997" s="317"/>
    </row>
    <row r="7998">
      <c r="K7998" s="317"/>
    </row>
    <row r="7999">
      <c r="K7999" s="317"/>
    </row>
    <row r="8000">
      <c r="K8000" s="317"/>
    </row>
    <row r="8001">
      <c r="K8001" s="317"/>
    </row>
    <row r="8002">
      <c r="K8002" s="317"/>
    </row>
    <row r="8003">
      <c r="K8003" s="317"/>
    </row>
    <row r="8004">
      <c r="K8004" s="317"/>
    </row>
    <row r="8005">
      <c r="K8005" s="317"/>
    </row>
    <row r="8006">
      <c r="K8006" s="317"/>
    </row>
    <row r="8007">
      <c r="K8007" s="317"/>
    </row>
    <row r="8008">
      <c r="K8008" s="317"/>
    </row>
    <row r="8009">
      <c r="K8009" s="317"/>
    </row>
    <row r="8010">
      <c r="K8010" s="317"/>
    </row>
    <row r="8011">
      <c r="K8011" s="317"/>
    </row>
    <row r="8012">
      <c r="K8012" s="317"/>
    </row>
    <row r="8013">
      <c r="K8013" s="317"/>
    </row>
    <row r="8014">
      <c r="K8014" s="317"/>
    </row>
    <row r="8015">
      <c r="K8015" s="317"/>
    </row>
    <row r="8016">
      <c r="K8016" s="317"/>
    </row>
    <row r="8017">
      <c r="K8017" s="317"/>
    </row>
    <row r="8018">
      <c r="K8018" s="317"/>
    </row>
    <row r="8019">
      <c r="K8019" s="317"/>
    </row>
    <row r="8020">
      <c r="K8020" s="317"/>
    </row>
    <row r="8021">
      <c r="K8021" s="317"/>
    </row>
    <row r="8022">
      <c r="K8022" s="317"/>
    </row>
    <row r="8023">
      <c r="K8023" s="317"/>
    </row>
    <row r="8024">
      <c r="K8024" s="317"/>
    </row>
    <row r="8025">
      <c r="K8025" s="317"/>
    </row>
    <row r="8026">
      <c r="K8026" s="317"/>
    </row>
    <row r="8027">
      <c r="K8027" s="317"/>
    </row>
    <row r="8028">
      <c r="K8028" s="317"/>
    </row>
    <row r="8029">
      <c r="K8029" s="317"/>
    </row>
    <row r="8030">
      <c r="K8030" s="317"/>
    </row>
    <row r="8031">
      <c r="K8031" s="317"/>
    </row>
    <row r="8032">
      <c r="K8032" s="317"/>
    </row>
    <row r="8033">
      <c r="K8033" s="317"/>
    </row>
    <row r="8034">
      <c r="K8034" s="317"/>
    </row>
    <row r="8035">
      <c r="K8035" s="317"/>
    </row>
    <row r="8036">
      <c r="K8036" s="317"/>
    </row>
    <row r="8037">
      <c r="K8037" s="317"/>
    </row>
    <row r="8038">
      <c r="K8038" s="317"/>
    </row>
    <row r="8039">
      <c r="K8039" s="317"/>
    </row>
    <row r="8040">
      <c r="K8040" s="317"/>
    </row>
    <row r="8041">
      <c r="K8041" s="317"/>
    </row>
    <row r="8042">
      <c r="K8042" s="317"/>
    </row>
    <row r="8043">
      <c r="K8043" s="317"/>
    </row>
    <row r="8044">
      <c r="K8044" s="317"/>
    </row>
    <row r="8045">
      <c r="K8045" s="317"/>
    </row>
    <row r="8046">
      <c r="K8046" s="317"/>
    </row>
    <row r="8047">
      <c r="K8047" s="317"/>
    </row>
    <row r="8048">
      <c r="K8048" s="317"/>
    </row>
    <row r="8049">
      <c r="K8049" s="317"/>
    </row>
    <row r="8050">
      <c r="K8050" s="317"/>
    </row>
    <row r="8051">
      <c r="K8051" s="317"/>
    </row>
    <row r="8052">
      <c r="K8052" s="317"/>
    </row>
    <row r="8053">
      <c r="K8053" s="317"/>
    </row>
    <row r="8054">
      <c r="K8054" s="317"/>
    </row>
    <row r="8055">
      <c r="K8055" s="317"/>
    </row>
    <row r="8056">
      <c r="K8056" s="317"/>
    </row>
    <row r="8057">
      <c r="K8057" s="317"/>
    </row>
    <row r="8058">
      <c r="K8058" s="317"/>
    </row>
    <row r="8059">
      <c r="K8059" s="317"/>
    </row>
    <row r="8060">
      <c r="K8060" s="317"/>
    </row>
    <row r="8061">
      <c r="K8061" s="317"/>
    </row>
    <row r="8062">
      <c r="K8062" s="317"/>
    </row>
    <row r="8063">
      <c r="K8063" s="317"/>
    </row>
    <row r="8064">
      <c r="K8064" s="317"/>
    </row>
    <row r="8065">
      <c r="K8065" s="317"/>
    </row>
    <row r="8066">
      <c r="K8066" s="317"/>
    </row>
    <row r="8067">
      <c r="K8067" s="317"/>
    </row>
    <row r="8068">
      <c r="K8068" s="317"/>
    </row>
    <row r="8069">
      <c r="K8069" s="317"/>
    </row>
    <row r="8070">
      <c r="K8070" s="317"/>
    </row>
    <row r="8071">
      <c r="K8071" s="317"/>
    </row>
    <row r="8072">
      <c r="K8072" s="317"/>
    </row>
    <row r="8073">
      <c r="K8073" s="317"/>
    </row>
    <row r="8074">
      <c r="K8074" s="317"/>
    </row>
    <row r="8075">
      <c r="K8075" s="317"/>
    </row>
    <row r="8076">
      <c r="K8076" s="317"/>
    </row>
    <row r="8077">
      <c r="K8077" s="317"/>
    </row>
    <row r="8078">
      <c r="K8078" s="317"/>
    </row>
    <row r="8079">
      <c r="K8079" s="317"/>
    </row>
    <row r="8080">
      <c r="K8080" s="317"/>
    </row>
    <row r="8081">
      <c r="K8081" s="317"/>
    </row>
    <row r="8082">
      <c r="K8082" s="317"/>
    </row>
    <row r="8083">
      <c r="K8083" s="317"/>
    </row>
    <row r="8084">
      <c r="K8084" s="317"/>
    </row>
    <row r="8085">
      <c r="K8085" s="317"/>
    </row>
    <row r="8086">
      <c r="K8086" s="317"/>
    </row>
    <row r="8087">
      <c r="K8087" s="317"/>
    </row>
    <row r="8088">
      <c r="K8088" s="317"/>
    </row>
    <row r="8089">
      <c r="K8089" s="317"/>
    </row>
    <row r="8090">
      <c r="K8090" s="317"/>
    </row>
    <row r="8091">
      <c r="K8091" s="317"/>
    </row>
    <row r="8092">
      <c r="K8092" s="317"/>
    </row>
    <row r="8093">
      <c r="K8093" s="317"/>
    </row>
    <row r="8094">
      <c r="K8094" s="317"/>
    </row>
    <row r="8095">
      <c r="K8095" s="317"/>
    </row>
    <row r="8096">
      <c r="K8096" s="317"/>
    </row>
    <row r="8097">
      <c r="K8097" s="317"/>
    </row>
    <row r="8098">
      <c r="K8098" s="317"/>
    </row>
    <row r="8099">
      <c r="K8099" s="317"/>
    </row>
    <row r="8100">
      <c r="K8100" s="317"/>
    </row>
    <row r="8101">
      <c r="K8101" s="317"/>
    </row>
    <row r="8102">
      <c r="K8102" s="317"/>
    </row>
    <row r="8103">
      <c r="K8103" s="317"/>
    </row>
    <row r="8104">
      <c r="K8104" s="317"/>
    </row>
    <row r="8105">
      <c r="K8105" s="317"/>
    </row>
    <row r="8106">
      <c r="K8106" s="317"/>
    </row>
    <row r="8107">
      <c r="K8107" s="317"/>
    </row>
    <row r="8108">
      <c r="K8108" s="317"/>
    </row>
    <row r="8109">
      <c r="K8109" s="317"/>
    </row>
    <row r="8110">
      <c r="K8110" s="317"/>
    </row>
    <row r="8111">
      <c r="K8111" s="317"/>
    </row>
    <row r="8112">
      <c r="K8112" s="317"/>
    </row>
    <row r="8113">
      <c r="K8113" s="317"/>
    </row>
    <row r="8114">
      <c r="K8114" s="317"/>
    </row>
    <row r="8115">
      <c r="K8115" s="317"/>
    </row>
    <row r="8116">
      <c r="K8116" s="317"/>
    </row>
    <row r="8117">
      <c r="K8117" s="317"/>
    </row>
    <row r="8118">
      <c r="K8118" s="317"/>
    </row>
    <row r="8119">
      <c r="K8119" s="317"/>
    </row>
    <row r="8120">
      <c r="K8120" s="317"/>
    </row>
    <row r="8121">
      <c r="K8121" s="317"/>
    </row>
    <row r="8122">
      <c r="K8122" s="317"/>
    </row>
    <row r="8123">
      <c r="K8123" s="317"/>
    </row>
    <row r="8124">
      <c r="K8124" s="317"/>
    </row>
    <row r="8125">
      <c r="K8125" s="317"/>
    </row>
    <row r="8126">
      <c r="K8126" s="317"/>
    </row>
    <row r="8127">
      <c r="K8127" s="317"/>
    </row>
    <row r="8128">
      <c r="K8128" s="317"/>
    </row>
    <row r="8129">
      <c r="K8129" s="317"/>
    </row>
    <row r="8130">
      <c r="K8130" s="317"/>
    </row>
    <row r="8131">
      <c r="K8131" s="317"/>
    </row>
    <row r="8132">
      <c r="K8132" s="317"/>
    </row>
    <row r="8133">
      <c r="K8133" s="317"/>
    </row>
    <row r="8134">
      <c r="K8134" s="317"/>
    </row>
    <row r="8135">
      <c r="K8135" s="317"/>
    </row>
    <row r="8136">
      <c r="K8136" s="317"/>
    </row>
    <row r="8137">
      <c r="K8137" s="317"/>
    </row>
    <row r="8138">
      <c r="K8138" s="317"/>
    </row>
    <row r="8139">
      <c r="K8139" s="317"/>
    </row>
    <row r="8140">
      <c r="K8140" s="317"/>
    </row>
    <row r="8141">
      <c r="K8141" s="317"/>
    </row>
    <row r="8142">
      <c r="K8142" s="317"/>
    </row>
    <row r="8143">
      <c r="K8143" s="317"/>
    </row>
    <row r="8144">
      <c r="K8144" s="317"/>
    </row>
    <row r="8145">
      <c r="K8145" s="317"/>
    </row>
    <row r="8146">
      <c r="K8146" s="317"/>
    </row>
    <row r="8147">
      <c r="K8147" s="317"/>
    </row>
    <row r="8148">
      <c r="K8148" s="317"/>
    </row>
    <row r="8149">
      <c r="K8149" s="317"/>
    </row>
    <row r="8150">
      <c r="K8150" s="317"/>
    </row>
    <row r="8151">
      <c r="K8151" s="317"/>
    </row>
    <row r="8152">
      <c r="K8152" s="317"/>
    </row>
    <row r="8153">
      <c r="K8153" s="317"/>
    </row>
    <row r="8154">
      <c r="K8154" s="317"/>
    </row>
    <row r="8155">
      <c r="K8155" s="317"/>
    </row>
    <row r="8156">
      <c r="K8156" s="317"/>
    </row>
    <row r="8157">
      <c r="K8157" s="317"/>
    </row>
    <row r="8158">
      <c r="K8158" s="317"/>
    </row>
    <row r="8159">
      <c r="K8159" s="317"/>
    </row>
    <row r="8160">
      <c r="K8160" s="317"/>
    </row>
    <row r="8161">
      <c r="K8161" s="317"/>
    </row>
    <row r="8162">
      <c r="K8162" s="317"/>
    </row>
    <row r="8163">
      <c r="K8163" s="317"/>
    </row>
    <row r="8164">
      <c r="K8164" s="317"/>
    </row>
    <row r="8165">
      <c r="K8165" s="317"/>
    </row>
    <row r="8166">
      <c r="K8166" s="317"/>
    </row>
    <row r="8167">
      <c r="K8167" s="317"/>
    </row>
    <row r="8168">
      <c r="K8168" s="317"/>
    </row>
    <row r="8169">
      <c r="K8169" s="317"/>
    </row>
    <row r="8170">
      <c r="K8170" s="317"/>
    </row>
    <row r="8171">
      <c r="K8171" s="317"/>
    </row>
    <row r="8172">
      <c r="K8172" s="317"/>
    </row>
    <row r="8173">
      <c r="K8173" s="317"/>
    </row>
    <row r="8174">
      <c r="K8174" s="317"/>
    </row>
    <row r="8175">
      <c r="K8175" s="317"/>
    </row>
    <row r="8176">
      <c r="K8176" s="317"/>
    </row>
    <row r="8177">
      <c r="K8177" s="317"/>
    </row>
    <row r="8178">
      <c r="K8178" s="317"/>
    </row>
    <row r="8179">
      <c r="K8179" s="317"/>
    </row>
    <row r="8180">
      <c r="K8180" s="317"/>
    </row>
    <row r="8181">
      <c r="K8181" s="317"/>
    </row>
    <row r="8182">
      <c r="K8182" s="317"/>
    </row>
    <row r="8183">
      <c r="K8183" s="317"/>
    </row>
    <row r="8184">
      <c r="K8184" s="317"/>
    </row>
    <row r="8185">
      <c r="K8185" s="317"/>
    </row>
    <row r="8186">
      <c r="K8186" s="317"/>
    </row>
    <row r="8187">
      <c r="K8187" s="317"/>
    </row>
    <row r="8188">
      <c r="K8188" s="317"/>
    </row>
    <row r="8189">
      <c r="K8189" s="317"/>
    </row>
    <row r="8190">
      <c r="K8190" s="317"/>
    </row>
    <row r="8191">
      <c r="K8191" s="317"/>
    </row>
    <row r="8192">
      <c r="K8192" s="317"/>
    </row>
    <row r="8193">
      <c r="K8193" s="317"/>
    </row>
    <row r="8194">
      <c r="K8194" s="317"/>
    </row>
    <row r="8195">
      <c r="K8195" s="317"/>
    </row>
    <row r="8196">
      <c r="K8196" s="317"/>
    </row>
    <row r="8197">
      <c r="K8197" s="317"/>
    </row>
    <row r="8198">
      <c r="K8198" s="317"/>
    </row>
    <row r="8199">
      <c r="K8199" s="317"/>
    </row>
    <row r="8200">
      <c r="K8200" s="317"/>
    </row>
    <row r="8201">
      <c r="K8201" s="317"/>
    </row>
    <row r="8202">
      <c r="K8202" s="317"/>
    </row>
    <row r="8203">
      <c r="K8203" s="317"/>
    </row>
    <row r="8204">
      <c r="K8204" s="317"/>
    </row>
    <row r="8205">
      <c r="K8205" s="317"/>
    </row>
    <row r="8206">
      <c r="K8206" s="317"/>
    </row>
    <row r="8207">
      <c r="K8207" s="317"/>
    </row>
    <row r="8208">
      <c r="K8208" s="317"/>
    </row>
    <row r="8209">
      <c r="K8209" s="317"/>
    </row>
    <row r="8210">
      <c r="K8210" s="317"/>
    </row>
    <row r="8211">
      <c r="K8211" s="317"/>
    </row>
    <row r="8212">
      <c r="K8212" s="317"/>
    </row>
    <row r="8213">
      <c r="K8213" s="317"/>
    </row>
    <row r="8214">
      <c r="K8214" s="317"/>
    </row>
    <row r="8215">
      <c r="K8215" s="317"/>
    </row>
    <row r="8216">
      <c r="K8216" s="317"/>
    </row>
    <row r="8217">
      <c r="K8217" s="317"/>
    </row>
    <row r="8218">
      <c r="K8218" s="317"/>
    </row>
    <row r="8219">
      <c r="K8219" s="317"/>
    </row>
    <row r="8220">
      <c r="K8220" s="317"/>
    </row>
    <row r="8221">
      <c r="K8221" s="317"/>
    </row>
    <row r="8222">
      <c r="K8222" s="317"/>
    </row>
    <row r="8223">
      <c r="K8223" s="317"/>
    </row>
    <row r="8224">
      <c r="K8224" s="317"/>
    </row>
    <row r="8225">
      <c r="K8225" s="317"/>
    </row>
    <row r="8226">
      <c r="K8226" s="317"/>
    </row>
    <row r="8227">
      <c r="K8227" s="317"/>
    </row>
    <row r="8228">
      <c r="K8228" s="317"/>
    </row>
    <row r="8229">
      <c r="K8229" s="317"/>
    </row>
    <row r="8230">
      <c r="K8230" s="317"/>
    </row>
    <row r="8231">
      <c r="K8231" s="317"/>
    </row>
    <row r="8232">
      <c r="K8232" s="317"/>
    </row>
    <row r="8233">
      <c r="K8233" s="317"/>
    </row>
    <row r="8234">
      <c r="K8234" s="317"/>
    </row>
    <row r="8235">
      <c r="K8235" s="317"/>
    </row>
    <row r="8236">
      <c r="K8236" s="317"/>
    </row>
    <row r="8237">
      <c r="K8237" s="317"/>
    </row>
    <row r="8238">
      <c r="K8238" s="317"/>
    </row>
    <row r="8239">
      <c r="K8239" s="317"/>
    </row>
    <row r="8240">
      <c r="K8240" s="317"/>
    </row>
    <row r="8241">
      <c r="K8241" s="317"/>
    </row>
    <row r="8242">
      <c r="K8242" s="317"/>
    </row>
    <row r="8243">
      <c r="K8243" s="317"/>
    </row>
    <row r="8244">
      <c r="K8244" s="317"/>
    </row>
    <row r="8245">
      <c r="K8245" s="317"/>
    </row>
    <row r="8246">
      <c r="K8246" s="317"/>
    </row>
    <row r="8247">
      <c r="K8247" s="317"/>
    </row>
    <row r="8248">
      <c r="K8248" s="317"/>
    </row>
    <row r="8249">
      <c r="K8249" s="317"/>
    </row>
    <row r="8250">
      <c r="K8250" s="317"/>
    </row>
    <row r="8251">
      <c r="K8251" s="317"/>
    </row>
    <row r="8252">
      <c r="K8252" s="317"/>
    </row>
    <row r="8253">
      <c r="K8253" s="317"/>
    </row>
    <row r="8254">
      <c r="K8254" s="317"/>
    </row>
    <row r="8255">
      <c r="K8255" s="317"/>
    </row>
    <row r="8256">
      <c r="K8256" s="317"/>
    </row>
    <row r="8257">
      <c r="K8257" s="317"/>
    </row>
    <row r="8258">
      <c r="K8258" s="317"/>
    </row>
    <row r="8259">
      <c r="K8259" s="317"/>
    </row>
    <row r="8260">
      <c r="K8260" s="317"/>
    </row>
    <row r="8261">
      <c r="K8261" s="317"/>
    </row>
    <row r="8262">
      <c r="K8262" s="317"/>
    </row>
    <row r="8263">
      <c r="K8263" s="317"/>
    </row>
    <row r="8264">
      <c r="K8264" s="317"/>
    </row>
    <row r="8265">
      <c r="K8265" s="317"/>
    </row>
    <row r="8266">
      <c r="K8266" s="317"/>
    </row>
    <row r="8267">
      <c r="K8267" s="317"/>
    </row>
    <row r="8268">
      <c r="K8268" s="317"/>
    </row>
    <row r="8269">
      <c r="K8269" s="317"/>
    </row>
    <row r="8270">
      <c r="K8270" s="317"/>
    </row>
    <row r="8271">
      <c r="K8271" s="317"/>
    </row>
    <row r="8272">
      <c r="K8272" s="317"/>
    </row>
    <row r="8273">
      <c r="K8273" s="317"/>
    </row>
    <row r="8274">
      <c r="K8274" s="317"/>
    </row>
    <row r="8275">
      <c r="K8275" s="317"/>
    </row>
    <row r="8276">
      <c r="K8276" s="317"/>
    </row>
    <row r="8277">
      <c r="K8277" s="317"/>
    </row>
    <row r="8278">
      <c r="K8278" s="317"/>
    </row>
    <row r="8279">
      <c r="K8279" s="317"/>
    </row>
    <row r="8280">
      <c r="K8280" s="317"/>
    </row>
    <row r="8281">
      <c r="K8281" s="317"/>
    </row>
    <row r="8282">
      <c r="K8282" s="317"/>
    </row>
    <row r="8283">
      <c r="K8283" s="317"/>
    </row>
    <row r="8284">
      <c r="K8284" s="317"/>
    </row>
    <row r="8285">
      <c r="K8285" s="317"/>
    </row>
    <row r="8286">
      <c r="K8286" s="317"/>
    </row>
    <row r="8287">
      <c r="K8287" s="317"/>
    </row>
    <row r="8288">
      <c r="K8288" s="317"/>
    </row>
    <row r="8289">
      <c r="K8289" s="317"/>
    </row>
    <row r="8290">
      <c r="K8290" s="317"/>
    </row>
    <row r="8291">
      <c r="K8291" s="317"/>
    </row>
    <row r="8292">
      <c r="K8292" s="317"/>
    </row>
    <row r="8293">
      <c r="K8293" s="317"/>
    </row>
    <row r="8294">
      <c r="K8294" s="317"/>
    </row>
    <row r="8295">
      <c r="K8295" s="317"/>
    </row>
    <row r="8296">
      <c r="K8296" s="317"/>
    </row>
    <row r="8297">
      <c r="K8297" s="317"/>
    </row>
    <row r="8298">
      <c r="K8298" s="317"/>
    </row>
    <row r="8299">
      <c r="K8299" s="317"/>
    </row>
    <row r="8300">
      <c r="K8300" s="317"/>
    </row>
    <row r="8301">
      <c r="K8301" s="317"/>
    </row>
    <row r="8302">
      <c r="K8302" s="317"/>
    </row>
    <row r="8303">
      <c r="K8303" s="317"/>
    </row>
    <row r="8304">
      <c r="K8304" s="317"/>
    </row>
    <row r="8305">
      <c r="K8305" s="317"/>
    </row>
    <row r="8306">
      <c r="K8306" s="317"/>
    </row>
    <row r="8307">
      <c r="K8307" s="317"/>
    </row>
    <row r="8308">
      <c r="K8308" s="317"/>
    </row>
    <row r="8309">
      <c r="K8309" s="317"/>
    </row>
    <row r="8310">
      <c r="K8310" s="317"/>
    </row>
    <row r="8311">
      <c r="K8311" s="317"/>
    </row>
    <row r="8312">
      <c r="K8312" s="317"/>
    </row>
    <row r="8313">
      <c r="K8313" s="317"/>
    </row>
    <row r="8314">
      <c r="K8314" s="317"/>
    </row>
    <row r="8315">
      <c r="K8315" s="317"/>
    </row>
    <row r="8316">
      <c r="K8316" s="317"/>
    </row>
    <row r="8317">
      <c r="K8317" s="317"/>
    </row>
    <row r="8318">
      <c r="K8318" s="317"/>
    </row>
    <row r="8319">
      <c r="K8319" s="317"/>
    </row>
    <row r="8320">
      <c r="K8320" s="317"/>
    </row>
    <row r="8321">
      <c r="K8321" s="317"/>
    </row>
    <row r="8322">
      <c r="K8322" s="317"/>
    </row>
    <row r="8323">
      <c r="K8323" s="317"/>
    </row>
    <row r="8324">
      <c r="K8324" s="317"/>
    </row>
    <row r="8325">
      <c r="K8325" s="317"/>
    </row>
    <row r="8326">
      <c r="K8326" s="317"/>
    </row>
    <row r="8327">
      <c r="K8327" s="317"/>
    </row>
    <row r="8328">
      <c r="K8328" s="317"/>
    </row>
    <row r="8329">
      <c r="K8329" s="317"/>
    </row>
    <row r="8330">
      <c r="K8330" s="317"/>
    </row>
    <row r="8331">
      <c r="K8331" s="317"/>
    </row>
    <row r="8332">
      <c r="K8332" s="317"/>
    </row>
    <row r="8333">
      <c r="K8333" s="317"/>
    </row>
    <row r="8334">
      <c r="K8334" s="317"/>
    </row>
    <row r="8335">
      <c r="K8335" s="317"/>
    </row>
    <row r="8336">
      <c r="K8336" s="317"/>
    </row>
    <row r="8337">
      <c r="K8337" s="317"/>
    </row>
    <row r="8338">
      <c r="K8338" s="317"/>
    </row>
    <row r="8339">
      <c r="K8339" s="317"/>
    </row>
    <row r="8340">
      <c r="K8340" s="317"/>
    </row>
    <row r="8341">
      <c r="K8341" s="317"/>
    </row>
    <row r="8342">
      <c r="K8342" s="317"/>
    </row>
    <row r="8343">
      <c r="K8343" s="317"/>
    </row>
    <row r="8344">
      <c r="K8344" s="317"/>
    </row>
    <row r="8345">
      <c r="K8345" s="317"/>
    </row>
    <row r="8346">
      <c r="K8346" s="317"/>
    </row>
    <row r="8347">
      <c r="K8347" s="317"/>
    </row>
    <row r="8348">
      <c r="K8348" s="317"/>
    </row>
    <row r="8349">
      <c r="K8349" s="317"/>
    </row>
    <row r="8350">
      <c r="K8350" s="317"/>
    </row>
    <row r="8351">
      <c r="K8351" s="317"/>
    </row>
    <row r="8352">
      <c r="K8352" s="317"/>
    </row>
    <row r="8353">
      <c r="K8353" s="317"/>
    </row>
    <row r="8354">
      <c r="K8354" s="317"/>
    </row>
    <row r="8355">
      <c r="K8355" s="317"/>
    </row>
    <row r="8356">
      <c r="K8356" s="317"/>
    </row>
    <row r="8357">
      <c r="K8357" s="317"/>
    </row>
    <row r="8358">
      <c r="K8358" s="317"/>
    </row>
    <row r="8359">
      <c r="K8359" s="317"/>
    </row>
    <row r="8360">
      <c r="K8360" s="317"/>
    </row>
    <row r="8361">
      <c r="K8361" s="317"/>
    </row>
    <row r="8362">
      <c r="K8362" s="317"/>
    </row>
    <row r="8363">
      <c r="K8363" s="317"/>
    </row>
    <row r="8364">
      <c r="K8364" s="317"/>
    </row>
    <row r="8365">
      <c r="K8365" s="317"/>
    </row>
    <row r="8366">
      <c r="K8366" s="317"/>
    </row>
    <row r="8367">
      <c r="K8367" s="317"/>
    </row>
    <row r="8368">
      <c r="K8368" s="317"/>
    </row>
    <row r="8369">
      <c r="K8369" s="317"/>
    </row>
    <row r="8370">
      <c r="K8370" s="317"/>
    </row>
    <row r="8371">
      <c r="K8371" s="317"/>
    </row>
    <row r="8372">
      <c r="K8372" s="317"/>
    </row>
    <row r="8373">
      <c r="K8373" s="317"/>
    </row>
    <row r="8374">
      <c r="K8374" s="317"/>
    </row>
    <row r="8375">
      <c r="K8375" s="317"/>
    </row>
    <row r="8376">
      <c r="K8376" s="317"/>
    </row>
    <row r="8377">
      <c r="K8377" s="317"/>
    </row>
    <row r="8378">
      <c r="K8378" s="317"/>
    </row>
    <row r="8379">
      <c r="K8379" s="317"/>
    </row>
    <row r="8380">
      <c r="K8380" s="317"/>
    </row>
    <row r="8381">
      <c r="K8381" s="317"/>
    </row>
    <row r="8382">
      <c r="K8382" s="317"/>
    </row>
    <row r="8383">
      <c r="K8383" s="317"/>
    </row>
    <row r="8384">
      <c r="K8384" s="317"/>
    </row>
    <row r="8385">
      <c r="K8385" s="317"/>
    </row>
    <row r="8386">
      <c r="K8386" s="317"/>
    </row>
    <row r="8387">
      <c r="K8387" s="317"/>
    </row>
    <row r="8388">
      <c r="K8388" s="317"/>
    </row>
    <row r="8389">
      <c r="K8389" s="317"/>
    </row>
    <row r="8390">
      <c r="K8390" s="317"/>
    </row>
    <row r="8391">
      <c r="K8391" s="317"/>
    </row>
    <row r="8392">
      <c r="K8392" s="317"/>
    </row>
    <row r="8393">
      <c r="K8393" s="317"/>
    </row>
    <row r="8394">
      <c r="K8394" s="317"/>
    </row>
    <row r="8395">
      <c r="K8395" s="317"/>
    </row>
    <row r="8396">
      <c r="K8396" s="317"/>
    </row>
    <row r="8397">
      <c r="K8397" s="317"/>
    </row>
    <row r="8398">
      <c r="K8398" s="317"/>
    </row>
    <row r="8399">
      <c r="K8399" s="317"/>
    </row>
    <row r="8400">
      <c r="K8400" s="317"/>
    </row>
    <row r="8401">
      <c r="K8401" s="317"/>
    </row>
    <row r="8402">
      <c r="K8402" s="317"/>
    </row>
    <row r="8403">
      <c r="K8403" s="317"/>
    </row>
    <row r="8404">
      <c r="K8404" s="317"/>
    </row>
    <row r="8405">
      <c r="K8405" s="317"/>
    </row>
    <row r="8406">
      <c r="K8406" s="317"/>
    </row>
    <row r="8407">
      <c r="K8407" s="317"/>
    </row>
    <row r="8408">
      <c r="K8408" s="317"/>
    </row>
    <row r="8409">
      <c r="K8409" s="317"/>
    </row>
    <row r="8410">
      <c r="K8410" s="317"/>
    </row>
    <row r="8411">
      <c r="K8411" s="317"/>
    </row>
    <row r="8412">
      <c r="K8412" s="317"/>
    </row>
    <row r="8413">
      <c r="K8413" s="317"/>
    </row>
    <row r="8414">
      <c r="K8414" s="317"/>
    </row>
    <row r="8415">
      <c r="K8415" s="317"/>
    </row>
    <row r="8416">
      <c r="K8416" s="317"/>
    </row>
    <row r="8417">
      <c r="K8417" s="317"/>
    </row>
    <row r="8418">
      <c r="K8418" s="317"/>
    </row>
    <row r="8419">
      <c r="K8419" s="317"/>
    </row>
    <row r="8420">
      <c r="K8420" s="317"/>
    </row>
    <row r="8421">
      <c r="K8421" s="317"/>
    </row>
    <row r="8422">
      <c r="K8422" s="317"/>
    </row>
    <row r="8423">
      <c r="K8423" s="317"/>
    </row>
    <row r="8424">
      <c r="K8424" s="317"/>
    </row>
    <row r="8425">
      <c r="K8425" s="317"/>
    </row>
    <row r="8426">
      <c r="K8426" s="317"/>
    </row>
    <row r="8427">
      <c r="K8427" s="317"/>
    </row>
    <row r="8428">
      <c r="K8428" s="317"/>
    </row>
    <row r="8429">
      <c r="K8429" s="317"/>
    </row>
    <row r="8430">
      <c r="K8430" s="317"/>
    </row>
    <row r="8431">
      <c r="K8431" s="317"/>
    </row>
    <row r="8432">
      <c r="K8432" s="317"/>
    </row>
    <row r="8433">
      <c r="K8433" s="317"/>
    </row>
    <row r="8434">
      <c r="K8434" s="317"/>
    </row>
    <row r="8435">
      <c r="K8435" s="317"/>
    </row>
    <row r="8436">
      <c r="K8436" s="317"/>
    </row>
    <row r="8437">
      <c r="K8437" s="317"/>
    </row>
    <row r="8438">
      <c r="K8438" s="317"/>
    </row>
    <row r="8439">
      <c r="K8439" s="317"/>
    </row>
    <row r="8440">
      <c r="K8440" s="317"/>
    </row>
    <row r="8441">
      <c r="K8441" s="317"/>
    </row>
    <row r="8442">
      <c r="K8442" s="317"/>
    </row>
    <row r="8443">
      <c r="K8443" s="317"/>
    </row>
    <row r="8444">
      <c r="K8444" s="317"/>
    </row>
    <row r="8445">
      <c r="K8445" s="317"/>
    </row>
    <row r="8446">
      <c r="K8446" s="317"/>
    </row>
    <row r="8447">
      <c r="K8447" s="317"/>
    </row>
    <row r="8448">
      <c r="K8448" s="317"/>
    </row>
    <row r="8449">
      <c r="K8449" s="317"/>
    </row>
    <row r="8450">
      <c r="K8450" s="317"/>
    </row>
    <row r="8451">
      <c r="K8451" s="317"/>
    </row>
    <row r="8452">
      <c r="K8452" s="317"/>
    </row>
    <row r="8453">
      <c r="K8453" s="317"/>
    </row>
    <row r="8454">
      <c r="K8454" s="317"/>
    </row>
    <row r="8455">
      <c r="K8455" s="317"/>
    </row>
    <row r="8456">
      <c r="K8456" s="317"/>
    </row>
    <row r="8457">
      <c r="K8457" s="317"/>
    </row>
    <row r="8458">
      <c r="K8458" s="317"/>
    </row>
    <row r="8459">
      <c r="K8459" s="317"/>
    </row>
    <row r="8460">
      <c r="K8460" s="317"/>
    </row>
    <row r="8461">
      <c r="K8461" s="317"/>
    </row>
    <row r="8462">
      <c r="K8462" s="317"/>
    </row>
    <row r="8463">
      <c r="K8463" s="317"/>
    </row>
    <row r="8464">
      <c r="K8464" s="317"/>
    </row>
    <row r="8465">
      <c r="K8465" s="317"/>
    </row>
    <row r="8466">
      <c r="K8466" s="317"/>
    </row>
    <row r="8467">
      <c r="K8467" s="317"/>
    </row>
    <row r="8468">
      <c r="K8468" s="317"/>
    </row>
    <row r="8469">
      <c r="K8469" s="317"/>
    </row>
    <row r="8470">
      <c r="K8470" s="317"/>
    </row>
    <row r="8471">
      <c r="K8471" s="317"/>
    </row>
    <row r="8472">
      <c r="K8472" s="317"/>
    </row>
    <row r="8473">
      <c r="K8473" s="317"/>
    </row>
    <row r="8474">
      <c r="K8474" s="317"/>
    </row>
    <row r="8475">
      <c r="K8475" s="317"/>
    </row>
    <row r="8476">
      <c r="K8476" s="317"/>
    </row>
    <row r="8477">
      <c r="K8477" s="317"/>
    </row>
    <row r="8478">
      <c r="K8478" s="317"/>
    </row>
    <row r="8479">
      <c r="K8479" s="317"/>
    </row>
    <row r="8480">
      <c r="K8480" s="317"/>
    </row>
    <row r="8481">
      <c r="K8481" s="317"/>
    </row>
    <row r="8482">
      <c r="K8482" s="317"/>
    </row>
    <row r="8483">
      <c r="K8483" s="317"/>
    </row>
    <row r="8484">
      <c r="K8484" s="317"/>
    </row>
    <row r="8485">
      <c r="K8485" s="317"/>
    </row>
    <row r="8486">
      <c r="K8486" s="317"/>
    </row>
    <row r="8487">
      <c r="K8487" s="317"/>
    </row>
    <row r="8488">
      <c r="K8488" s="317"/>
    </row>
    <row r="8489">
      <c r="K8489" s="317"/>
    </row>
    <row r="8490">
      <c r="K8490" s="317"/>
    </row>
    <row r="8491">
      <c r="K8491" s="317"/>
    </row>
    <row r="8492">
      <c r="K8492" s="317"/>
    </row>
    <row r="8493">
      <c r="K8493" s="317"/>
    </row>
    <row r="8494">
      <c r="K8494" s="317"/>
    </row>
    <row r="8495">
      <c r="K8495" s="317"/>
    </row>
    <row r="8496">
      <c r="K8496" s="317"/>
    </row>
    <row r="8497">
      <c r="K8497" s="317"/>
    </row>
    <row r="8498">
      <c r="K8498" s="317"/>
    </row>
    <row r="8499">
      <c r="K8499" s="317"/>
    </row>
    <row r="8500">
      <c r="K8500" s="317"/>
    </row>
    <row r="8501">
      <c r="K8501" s="317"/>
    </row>
    <row r="8502">
      <c r="K8502" s="317"/>
    </row>
    <row r="8503">
      <c r="K8503" s="317"/>
    </row>
    <row r="8504">
      <c r="K8504" s="317"/>
    </row>
    <row r="8505">
      <c r="K8505" s="317"/>
    </row>
    <row r="8506">
      <c r="K8506" s="317"/>
    </row>
    <row r="8507">
      <c r="K8507" s="317"/>
    </row>
    <row r="8508">
      <c r="K8508" s="317"/>
    </row>
    <row r="8509">
      <c r="K8509" s="317"/>
    </row>
    <row r="8510">
      <c r="K8510" s="317"/>
    </row>
    <row r="8511">
      <c r="K8511" s="317"/>
    </row>
    <row r="8512">
      <c r="K8512" s="317"/>
    </row>
    <row r="8513">
      <c r="K8513" s="317"/>
    </row>
    <row r="8514">
      <c r="K8514" s="317"/>
    </row>
    <row r="8515">
      <c r="K8515" s="317"/>
    </row>
    <row r="8516">
      <c r="K8516" s="317"/>
    </row>
    <row r="8517">
      <c r="K8517" s="317"/>
    </row>
    <row r="8518">
      <c r="K8518" s="317"/>
    </row>
    <row r="8519">
      <c r="K8519" s="317"/>
    </row>
    <row r="8520">
      <c r="K8520" s="317"/>
    </row>
    <row r="8521">
      <c r="K8521" s="317"/>
    </row>
    <row r="8522">
      <c r="K8522" s="317"/>
    </row>
    <row r="8523">
      <c r="K8523" s="317"/>
    </row>
    <row r="8524">
      <c r="K8524" s="317"/>
    </row>
    <row r="8525">
      <c r="K8525" s="317"/>
    </row>
    <row r="8526">
      <c r="K8526" s="317"/>
    </row>
    <row r="8527">
      <c r="K8527" s="317"/>
    </row>
    <row r="8528">
      <c r="K8528" s="317"/>
    </row>
    <row r="8529">
      <c r="K8529" s="317"/>
    </row>
    <row r="8530">
      <c r="K8530" s="317"/>
    </row>
    <row r="8531">
      <c r="K8531" s="317"/>
    </row>
    <row r="8532">
      <c r="K8532" s="317"/>
    </row>
    <row r="8533">
      <c r="K8533" s="317"/>
    </row>
    <row r="8534">
      <c r="K8534" s="317"/>
    </row>
    <row r="8535">
      <c r="K8535" s="317"/>
    </row>
    <row r="8536">
      <c r="K8536" s="317"/>
    </row>
    <row r="8537">
      <c r="K8537" s="317"/>
    </row>
    <row r="8538">
      <c r="K8538" s="317"/>
    </row>
    <row r="8539">
      <c r="K8539" s="317"/>
    </row>
    <row r="8540">
      <c r="K8540" s="317"/>
    </row>
    <row r="8541">
      <c r="K8541" s="317"/>
    </row>
    <row r="8542">
      <c r="K8542" s="317"/>
    </row>
    <row r="8543">
      <c r="K8543" s="317"/>
    </row>
    <row r="8544">
      <c r="K8544" s="317"/>
    </row>
    <row r="8545">
      <c r="K8545" s="317"/>
    </row>
    <row r="8546">
      <c r="K8546" s="317"/>
    </row>
    <row r="8547">
      <c r="K8547" s="317"/>
    </row>
    <row r="8548">
      <c r="K8548" s="317"/>
    </row>
    <row r="8549">
      <c r="K8549" s="317"/>
    </row>
    <row r="8550">
      <c r="K8550" s="317"/>
    </row>
    <row r="8551">
      <c r="K8551" s="317"/>
    </row>
    <row r="8552">
      <c r="K8552" s="317"/>
    </row>
    <row r="8553">
      <c r="K8553" s="317"/>
    </row>
    <row r="8554">
      <c r="K8554" s="317"/>
    </row>
    <row r="8555">
      <c r="K8555" s="317"/>
    </row>
    <row r="8556">
      <c r="K8556" s="317"/>
    </row>
    <row r="8557">
      <c r="K8557" s="317"/>
    </row>
    <row r="8558">
      <c r="K8558" s="317"/>
    </row>
    <row r="8559">
      <c r="K8559" s="317"/>
    </row>
    <row r="8560">
      <c r="K8560" s="317"/>
    </row>
    <row r="8561">
      <c r="K8561" s="317"/>
    </row>
    <row r="8562">
      <c r="K8562" s="317"/>
    </row>
    <row r="8563">
      <c r="K8563" s="317"/>
    </row>
    <row r="8564">
      <c r="K8564" s="317"/>
    </row>
    <row r="8565">
      <c r="K8565" s="317"/>
    </row>
    <row r="8566">
      <c r="K8566" s="317"/>
    </row>
    <row r="8567">
      <c r="K8567" s="317"/>
    </row>
    <row r="8568">
      <c r="K8568" s="317"/>
    </row>
    <row r="8569">
      <c r="K8569" s="317"/>
    </row>
    <row r="8570">
      <c r="K8570" s="317"/>
    </row>
    <row r="8571">
      <c r="K8571" s="317"/>
    </row>
    <row r="8572">
      <c r="K8572" s="317"/>
    </row>
    <row r="8573">
      <c r="K8573" s="317"/>
    </row>
    <row r="8574">
      <c r="K8574" s="317"/>
    </row>
    <row r="8575">
      <c r="K8575" s="317"/>
    </row>
    <row r="8576">
      <c r="K8576" s="317"/>
    </row>
    <row r="8577">
      <c r="K8577" s="317"/>
    </row>
    <row r="8578">
      <c r="K8578" s="317"/>
    </row>
    <row r="8579">
      <c r="K8579" s="317"/>
    </row>
    <row r="8580">
      <c r="K8580" s="317"/>
    </row>
    <row r="8581">
      <c r="K8581" s="317"/>
    </row>
    <row r="8582">
      <c r="K8582" s="317"/>
    </row>
    <row r="8583">
      <c r="K8583" s="317"/>
    </row>
    <row r="8584">
      <c r="K8584" s="317"/>
    </row>
    <row r="8585">
      <c r="K8585" s="317"/>
    </row>
    <row r="8586">
      <c r="K8586" s="317"/>
    </row>
    <row r="8587">
      <c r="K8587" s="317"/>
    </row>
    <row r="8588">
      <c r="K8588" s="317"/>
    </row>
    <row r="8589">
      <c r="K8589" s="317"/>
    </row>
    <row r="8590">
      <c r="K8590" s="317"/>
    </row>
    <row r="8591">
      <c r="K8591" s="317"/>
    </row>
    <row r="8592">
      <c r="K8592" s="317"/>
    </row>
    <row r="8593">
      <c r="K8593" s="317"/>
    </row>
    <row r="8594">
      <c r="K8594" s="317"/>
    </row>
    <row r="8595">
      <c r="K8595" s="317"/>
    </row>
    <row r="8596">
      <c r="K8596" s="317"/>
    </row>
    <row r="8597">
      <c r="K8597" s="317"/>
    </row>
    <row r="8598">
      <c r="K8598" s="317"/>
    </row>
    <row r="8599">
      <c r="K8599" s="317"/>
    </row>
    <row r="8600">
      <c r="K8600" s="317"/>
    </row>
    <row r="8601">
      <c r="K8601" s="317"/>
    </row>
    <row r="8602">
      <c r="K8602" s="317"/>
    </row>
    <row r="8603">
      <c r="K8603" s="317"/>
    </row>
    <row r="8604">
      <c r="K8604" s="317"/>
    </row>
    <row r="8605">
      <c r="K8605" s="317"/>
    </row>
    <row r="8606">
      <c r="K8606" s="317"/>
    </row>
    <row r="8607">
      <c r="K8607" s="317"/>
    </row>
    <row r="8608">
      <c r="K8608" s="317"/>
    </row>
    <row r="8609">
      <c r="K8609" s="317"/>
    </row>
    <row r="8610">
      <c r="K8610" s="317"/>
    </row>
    <row r="8611">
      <c r="K8611" s="317"/>
    </row>
    <row r="8612">
      <c r="K8612" s="317"/>
    </row>
    <row r="8613">
      <c r="K8613" s="317"/>
    </row>
    <row r="8614">
      <c r="K8614" s="317"/>
    </row>
    <row r="8615">
      <c r="K8615" s="317"/>
    </row>
    <row r="8616">
      <c r="K8616" s="317"/>
    </row>
    <row r="8617">
      <c r="K8617" s="317"/>
    </row>
    <row r="8618">
      <c r="K8618" s="317"/>
    </row>
    <row r="8619">
      <c r="K8619" s="317"/>
    </row>
    <row r="8620">
      <c r="K8620" s="317"/>
    </row>
    <row r="8621">
      <c r="K8621" s="317"/>
    </row>
    <row r="8622">
      <c r="K8622" s="317"/>
    </row>
    <row r="8623">
      <c r="K8623" s="317"/>
    </row>
    <row r="8624">
      <c r="K8624" s="317"/>
    </row>
    <row r="8625">
      <c r="K8625" s="317"/>
    </row>
    <row r="8626">
      <c r="K8626" s="317"/>
    </row>
    <row r="8627">
      <c r="K8627" s="317"/>
    </row>
    <row r="8628">
      <c r="K8628" s="317"/>
    </row>
    <row r="8629">
      <c r="K8629" s="317"/>
    </row>
    <row r="8630">
      <c r="K8630" s="317"/>
    </row>
    <row r="8631">
      <c r="K8631" s="317"/>
    </row>
    <row r="8632">
      <c r="K8632" s="317"/>
    </row>
    <row r="8633">
      <c r="K8633" s="317"/>
    </row>
    <row r="8634">
      <c r="K8634" s="317"/>
    </row>
    <row r="8635">
      <c r="K8635" s="317"/>
    </row>
    <row r="8636">
      <c r="K8636" s="317"/>
    </row>
    <row r="8637">
      <c r="K8637" s="317"/>
    </row>
    <row r="8638">
      <c r="K8638" s="317"/>
    </row>
    <row r="8639">
      <c r="K8639" s="317"/>
    </row>
    <row r="8640">
      <c r="K8640" s="317"/>
    </row>
    <row r="8641">
      <c r="K8641" s="317"/>
    </row>
    <row r="8642">
      <c r="K8642" s="317"/>
    </row>
    <row r="8643">
      <c r="K8643" s="317"/>
    </row>
    <row r="8644">
      <c r="K8644" s="317"/>
    </row>
    <row r="8645">
      <c r="K8645" s="317"/>
    </row>
    <row r="8646">
      <c r="K8646" s="317"/>
    </row>
    <row r="8647">
      <c r="K8647" s="317"/>
    </row>
    <row r="8648">
      <c r="K8648" s="317"/>
    </row>
    <row r="8649">
      <c r="K8649" s="317"/>
    </row>
    <row r="8650">
      <c r="K8650" s="317"/>
    </row>
    <row r="8651">
      <c r="K8651" s="317"/>
    </row>
    <row r="8652">
      <c r="K8652" s="317"/>
    </row>
    <row r="8653">
      <c r="K8653" s="317"/>
    </row>
    <row r="8654">
      <c r="K8654" s="317"/>
    </row>
    <row r="8655">
      <c r="K8655" s="317"/>
    </row>
    <row r="8656">
      <c r="K8656" s="317"/>
    </row>
    <row r="8657">
      <c r="K8657" s="317"/>
    </row>
    <row r="8658">
      <c r="K8658" s="317"/>
    </row>
    <row r="8659">
      <c r="K8659" s="317"/>
    </row>
    <row r="8660">
      <c r="K8660" s="317"/>
    </row>
    <row r="8661">
      <c r="K8661" s="317"/>
    </row>
    <row r="8662">
      <c r="K8662" s="317"/>
    </row>
    <row r="8663">
      <c r="K8663" s="317"/>
    </row>
    <row r="8664">
      <c r="K8664" s="317"/>
    </row>
    <row r="8665">
      <c r="K8665" s="317"/>
    </row>
    <row r="8666">
      <c r="K8666" s="317"/>
    </row>
    <row r="8667">
      <c r="K8667" s="317"/>
    </row>
    <row r="8668">
      <c r="K8668" s="317"/>
    </row>
    <row r="8669">
      <c r="K8669" s="317"/>
    </row>
    <row r="8670">
      <c r="K8670" s="317"/>
    </row>
    <row r="8671">
      <c r="K8671" s="317"/>
    </row>
    <row r="8672">
      <c r="K8672" s="317"/>
    </row>
    <row r="8673">
      <c r="K8673" s="317"/>
    </row>
    <row r="8674">
      <c r="K8674" s="317"/>
    </row>
    <row r="8675">
      <c r="K8675" s="317"/>
    </row>
    <row r="8676">
      <c r="K8676" s="317"/>
    </row>
    <row r="8677">
      <c r="K8677" s="317"/>
    </row>
    <row r="8678">
      <c r="K8678" s="317"/>
    </row>
    <row r="8679">
      <c r="K8679" s="317"/>
    </row>
    <row r="8680">
      <c r="K8680" s="317"/>
    </row>
    <row r="8681">
      <c r="K8681" s="317"/>
    </row>
    <row r="8682">
      <c r="K8682" s="317"/>
    </row>
    <row r="8683">
      <c r="K8683" s="317"/>
    </row>
    <row r="8684">
      <c r="K8684" s="317"/>
    </row>
    <row r="8685">
      <c r="K8685" s="317"/>
    </row>
    <row r="8686">
      <c r="K8686" s="317"/>
    </row>
    <row r="8687">
      <c r="K8687" s="317"/>
    </row>
    <row r="8688">
      <c r="K8688" s="317"/>
    </row>
    <row r="8689">
      <c r="K8689" s="317"/>
    </row>
    <row r="8690">
      <c r="K8690" s="317"/>
    </row>
    <row r="8691">
      <c r="K8691" s="317"/>
    </row>
    <row r="8692">
      <c r="K8692" s="317"/>
    </row>
    <row r="8693">
      <c r="K8693" s="317"/>
    </row>
    <row r="8694">
      <c r="K8694" s="317"/>
    </row>
    <row r="8695">
      <c r="K8695" s="317"/>
    </row>
    <row r="8696">
      <c r="K8696" s="317"/>
    </row>
    <row r="8697">
      <c r="K8697" s="317"/>
    </row>
    <row r="8698">
      <c r="K8698" s="317"/>
    </row>
    <row r="8699">
      <c r="K8699" s="317"/>
    </row>
    <row r="8700">
      <c r="K8700" s="317"/>
    </row>
    <row r="8701">
      <c r="K8701" s="317"/>
    </row>
    <row r="8702">
      <c r="K8702" s="317"/>
    </row>
    <row r="8703">
      <c r="K8703" s="317"/>
    </row>
    <row r="8704">
      <c r="K8704" s="317"/>
    </row>
    <row r="8705">
      <c r="K8705" s="317"/>
    </row>
    <row r="8706">
      <c r="K8706" s="317"/>
    </row>
    <row r="8707">
      <c r="K8707" s="317"/>
    </row>
    <row r="8708">
      <c r="K8708" s="317"/>
    </row>
    <row r="8709">
      <c r="K8709" s="317"/>
    </row>
    <row r="8710">
      <c r="K8710" s="317"/>
    </row>
    <row r="8711">
      <c r="K8711" s="317"/>
    </row>
    <row r="8712">
      <c r="K8712" s="317"/>
    </row>
    <row r="8713">
      <c r="K8713" s="317"/>
    </row>
    <row r="8714">
      <c r="K8714" s="317"/>
    </row>
    <row r="8715">
      <c r="K8715" s="317"/>
    </row>
    <row r="8716">
      <c r="K8716" s="317"/>
    </row>
    <row r="8717">
      <c r="K8717" s="317"/>
    </row>
    <row r="8718">
      <c r="K8718" s="317"/>
    </row>
    <row r="8719">
      <c r="K8719" s="317"/>
    </row>
    <row r="8720">
      <c r="K8720" s="317"/>
    </row>
    <row r="8721">
      <c r="K8721" s="317"/>
    </row>
    <row r="8722">
      <c r="K8722" s="317"/>
    </row>
    <row r="8723">
      <c r="K8723" s="317"/>
    </row>
    <row r="8724">
      <c r="K8724" s="317"/>
    </row>
    <row r="8725">
      <c r="K8725" s="317"/>
    </row>
    <row r="8726">
      <c r="K8726" s="317"/>
    </row>
    <row r="8727">
      <c r="K8727" s="317"/>
    </row>
    <row r="8728">
      <c r="K8728" s="317"/>
    </row>
    <row r="8729">
      <c r="K8729" s="317"/>
    </row>
    <row r="8730">
      <c r="K8730" s="317"/>
    </row>
    <row r="8731">
      <c r="K8731" s="317"/>
    </row>
    <row r="8732">
      <c r="K8732" s="317"/>
    </row>
    <row r="8733">
      <c r="K8733" s="317"/>
    </row>
    <row r="8734">
      <c r="K8734" s="317"/>
    </row>
    <row r="8735">
      <c r="K8735" s="317"/>
    </row>
    <row r="8736">
      <c r="K8736" s="317"/>
    </row>
    <row r="8737">
      <c r="K8737" s="317"/>
    </row>
    <row r="8738">
      <c r="K8738" s="317"/>
    </row>
    <row r="8739">
      <c r="K8739" s="317"/>
    </row>
    <row r="8740">
      <c r="K8740" s="317"/>
    </row>
    <row r="8741">
      <c r="K8741" s="317"/>
    </row>
    <row r="8742">
      <c r="K8742" s="317"/>
    </row>
    <row r="8743">
      <c r="K8743" s="317"/>
    </row>
    <row r="8744">
      <c r="K8744" s="317"/>
    </row>
    <row r="8745">
      <c r="K8745" s="317"/>
    </row>
    <row r="8746">
      <c r="K8746" s="317"/>
    </row>
    <row r="8747">
      <c r="K8747" s="317"/>
    </row>
    <row r="8748">
      <c r="K8748" s="317"/>
    </row>
    <row r="8749">
      <c r="K8749" s="317"/>
    </row>
    <row r="8750">
      <c r="K8750" s="317"/>
    </row>
    <row r="8751">
      <c r="K8751" s="317"/>
    </row>
    <row r="8752">
      <c r="K8752" s="317"/>
    </row>
    <row r="8753">
      <c r="K8753" s="317"/>
    </row>
    <row r="8754">
      <c r="K8754" s="317"/>
    </row>
    <row r="8755">
      <c r="K8755" s="317"/>
    </row>
    <row r="8756">
      <c r="K8756" s="317"/>
    </row>
    <row r="8757">
      <c r="K8757" s="317"/>
    </row>
    <row r="8758">
      <c r="K8758" s="317"/>
    </row>
    <row r="8759">
      <c r="K8759" s="317"/>
    </row>
    <row r="8760">
      <c r="K8760" s="317"/>
    </row>
    <row r="8761">
      <c r="K8761" s="317"/>
    </row>
    <row r="8762">
      <c r="K8762" s="317"/>
    </row>
    <row r="8763">
      <c r="K8763" s="317"/>
    </row>
    <row r="8764">
      <c r="K8764" s="317"/>
    </row>
    <row r="8765">
      <c r="K8765" s="317"/>
    </row>
    <row r="8766">
      <c r="K8766" s="317"/>
    </row>
    <row r="8767">
      <c r="K8767" s="317"/>
    </row>
    <row r="8768">
      <c r="K8768" s="317"/>
    </row>
    <row r="8769">
      <c r="K8769" s="317"/>
    </row>
    <row r="8770">
      <c r="K8770" s="317"/>
    </row>
    <row r="8771">
      <c r="K8771" s="317"/>
    </row>
    <row r="8772">
      <c r="K8772" s="317"/>
    </row>
    <row r="8773">
      <c r="K8773" s="317"/>
    </row>
    <row r="8774">
      <c r="K8774" s="317"/>
    </row>
    <row r="8775">
      <c r="K8775" s="317"/>
    </row>
    <row r="8776">
      <c r="K8776" s="317"/>
    </row>
    <row r="8777">
      <c r="K8777" s="317"/>
    </row>
    <row r="8778">
      <c r="K8778" s="317"/>
    </row>
    <row r="8779">
      <c r="K8779" s="317"/>
    </row>
    <row r="8780">
      <c r="K8780" s="317"/>
    </row>
    <row r="8781">
      <c r="K8781" s="317"/>
    </row>
    <row r="8782">
      <c r="K8782" s="317"/>
    </row>
    <row r="8783">
      <c r="K8783" s="317"/>
    </row>
    <row r="8784">
      <c r="K8784" s="317"/>
    </row>
    <row r="8785">
      <c r="K8785" s="317"/>
    </row>
    <row r="8786">
      <c r="K8786" s="317"/>
    </row>
    <row r="8787">
      <c r="K8787" s="317"/>
    </row>
    <row r="8788">
      <c r="K8788" s="317"/>
    </row>
    <row r="8789">
      <c r="K8789" s="317"/>
    </row>
    <row r="8790">
      <c r="K8790" s="317"/>
    </row>
    <row r="8791">
      <c r="K8791" s="317"/>
    </row>
    <row r="8792">
      <c r="K8792" s="317"/>
    </row>
    <row r="8793">
      <c r="K8793" s="317"/>
    </row>
    <row r="8794">
      <c r="K8794" s="317"/>
    </row>
    <row r="8795">
      <c r="K8795" s="317"/>
    </row>
    <row r="8796">
      <c r="K8796" s="317"/>
    </row>
    <row r="8797">
      <c r="K8797" s="317"/>
    </row>
    <row r="8798">
      <c r="K8798" s="317"/>
    </row>
    <row r="8799">
      <c r="K8799" s="317"/>
    </row>
    <row r="8800">
      <c r="K8800" s="317"/>
    </row>
    <row r="8801">
      <c r="K8801" s="317"/>
    </row>
    <row r="8802">
      <c r="K8802" s="317"/>
    </row>
    <row r="8803">
      <c r="K8803" s="317"/>
    </row>
    <row r="8804">
      <c r="K8804" s="317"/>
    </row>
    <row r="8805">
      <c r="K8805" s="317"/>
    </row>
    <row r="8806">
      <c r="K8806" s="317"/>
    </row>
    <row r="8807">
      <c r="K8807" s="317"/>
    </row>
    <row r="8808">
      <c r="K8808" s="317"/>
    </row>
    <row r="8809">
      <c r="K8809" s="317"/>
    </row>
    <row r="8810">
      <c r="K8810" s="317"/>
    </row>
    <row r="8811">
      <c r="K8811" s="317"/>
    </row>
    <row r="8812">
      <c r="K8812" s="317"/>
    </row>
    <row r="8813">
      <c r="K8813" s="317"/>
    </row>
    <row r="8814">
      <c r="K8814" s="317"/>
    </row>
    <row r="8815">
      <c r="K8815" s="317"/>
    </row>
    <row r="8816">
      <c r="K8816" s="317"/>
    </row>
    <row r="8817">
      <c r="K8817" s="317"/>
    </row>
    <row r="8818">
      <c r="K8818" s="317"/>
    </row>
    <row r="8819">
      <c r="K8819" s="317"/>
    </row>
    <row r="8820">
      <c r="K8820" s="317"/>
    </row>
    <row r="8821">
      <c r="K8821" s="317"/>
    </row>
    <row r="8822">
      <c r="K8822" s="317"/>
    </row>
    <row r="8823">
      <c r="K8823" s="317"/>
    </row>
    <row r="8824">
      <c r="K8824" s="317"/>
    </row>
    <row r="8825">
      <c r="K8825" s="317"/>
    </row>
    <row r="8826">
      <c r="K8826" s="317"/>
    </row>
    <row r="8827">
      <c r="K8827" s="317"/>
    </row>
    <row r="8828">
      <c r="K8828" s="317"/>
    </row>
    <row r="8829">
      <c r="K8829" s="317"/>
    </row>
    <row r="8830">
      <c r="K8830" s="317"/>
    </row>
    <row r="8831">
      <c r="K8831" s="317"/>
    </row>
    <row r="8832">
      <c r="K8832" s="317"/>
    </row>
    <row r="8833">
      <c r="K8833" s="317"/>
    </row>
    <row r="8834">
      <c r="K8834" s="317"/>
    </row>
    <row r="8835">
      <c r="K8835" s="317"/>
    </row>
    <row r="8836">
      <c r="K8836" s="317"/>
    </row>
    <row r="8837">
      <c r="K8837" s="317"/>
    </row>
    <row r="8838">
      <c r="K8838" s="317"/>
    </row>
    <row r="8839">
      <c r="K8839" s="317"/>
    </row>
    <row r="8840">
      <c r="K8840" s="317"/>
    </row>
    <row r="8841">
      <c r="K8841" s="317"/>
    </row>
    <row r="8842">
      <c r="K8842" s="317"/>
    </row>
    <row r="8843">
      <c r="K8843" s="317"/>
    </row>
    <row r="8844">
      <c r="K8844" s="317"/>
    </row>
    <row r="8845">
      <c r="K8845" s="317"/>
    </row>
    <row r="8846">
      <c r="K8846" s="317"/>
    </row>
    <row r="8847">
      <c r="K8847" s="317"/>
    </row>
    <row r="8848">
      <c r="K8848" s="317"/>
    </row>
    <row r="8849">
      <c r="K8849" s="317"/>
    </row>
    <row r="8850">
      <c r="K8850" s="317"/>
    </row>
    <row r="8851">
      <c r="K8851" s="317"/>
    </row>
    <row r="8852">
      <c r="K8852" s="317"/>
    </row>
    <row r="8853">
      <c r="K8853" s="317"/>
    </row>
    <row r="8854">
      <c r="K8854" s="317"/>
    </row>
    <row r="8855">
      <c r="K8855" s="317"/>
    </row>
    <row r="8856">
      <c r="K8856" s="317"/>
    </row>
    <row r="8857">
      <c r="K8857" s="317"/>
    </row>
    <row r="8858">
      <c r="K8858" s="317"/>
    </row>
    <row r="8859">
      <c r="K8859" s="317"/>
    </row>
    <row r="8860">
      <c r="K8860" s="317"/>
    </row>
    <row r="8861">
      <c r="K8861" s="317"/>
    </row>
    <row r="8862">
      <c r="K8862" s="317"/>
    </row>
    <row r="8863">
      <c r="K8863" s="317"/>
    </row>
    <row r="8864">
      <c r="K8864" s="317"/>
    </row>
    <row r="8865">
      <c r="K8865" s="317"/>
    </row>
    <row r="8866">
      <c r="K8866" s="317"/>
    </row>
    <row r="8867">
      <c r="K8867" s="317"/>
    </row>
    <row r="8868">
      <c r="K8868" s="317"/>
    </row>
    <row r="8869">
      <c r="K8869" s="317"/>
    </row>
    <row r="8870">
      <c r="K8870" s="317"/>
    </row>
    <row r="8871">
      <c r="K8871" s="317"/>
    </row>
    <row r="8872">
      <c r="K8872" s="317"/>
    </row>
    <row r="8873">
      <c r="K8873" s="317"/>
    </row>
    <row r="8874">
      <c r="K8874" s="317"/>
    </row>
    <row r="8875">
      <c r="K8875" s="317"/>
    </row>
    <row r="8876">
      <c r="K8876" s="317"/>
    </row>
    <row r="8877">
      <c r="K8877" s="317"/>
    </row>
    <row r="8878">
      <c r="K8878" s="317"/>
    </row>
    <row r="8879">
      <c r="K8879" s="317"/>
    </row>
    <row r="8880">
      <c r="K8880" s="317"/>
    </row>
    <row r="8881">
      <c r="K8881" s="317"/>
    </row>
    <row r="8882">
      <c r="K8882" s="317"/>
    </row>
    <row r="8883">
      <c r="K8883" s="317"/>
    </row>
    <row r="8884">
      <c r="K8884" s="317"/>
    </row>
    <row r="8885">
      <c r="K8885" s="317"/>
    </row>
    <row r="8886">
      <c r="K8886" s="317"/>
    </row>
    <row r="8887">
      <c r="K8887" s="317"/>
    </row>
    <row r="8888">
      <c r="K8888" s="317"/>
    </row>
    <row r="8889">
      <c r="K8889" s="317"/>
    </row>
    <row r="8890">
      <c r="K8890" s="317"/>
    </row>
    <row r="8891">
      <c r="K8891" s="317"/>
    </row>
    <row r="8892">
      <c r="K8892" s="317"/>
    </row>
    <row r="8893">
      <c r="K8893" s="317"/>
    </row>
    <row r="8894">
      <c r="K8894" s="317"/>
    </row>
    <row r="8895">
      <c r="K8895" s="317"/>
    </row>
    <row r="8896">
      <c r="K8896" s="317"/>
    </row>
    <row r="8897">
      <c r="K8897" s="317"/>
    </row>
    <row r="8898">
      <c r="K8898" s="317"/>
    </row>
    <row r="8899">
      <c r="K8899" s="317"/>
    </row>
    <row r="8900">
      <c r="K8900" s="317"/>
    </row>
    <row r="8901">
      <c r="K8901" s="317"/>
    </row>
    <row r="8902">
      <c r="K8902" s="317"/>
    </row>
    <row r="8903">
      <c r="K8903" s="317"/>
    </row>
    <row r="8904">
      <c r="K8904" s="317"/>
    </row>
    <row r="8905">
      <c r="K8905" s="317"/>
    </row>
    <row r="8906">
      <c r="K8906" s="317"/>
    </row>
    <row r="8907">
      <c r="K8907" s="317"/>
    </row>
    <row r="8908">
      <c r="K8908" s="317"/>
    </row>
    <row r="8909">
      <c r="K8909" s="317"/>
    </row>
    <row r="8910">
      <c r="K8910" s="317"/>
    </row>
    <row r="8911">
      <c r="K8911" s="317"/>
    </row>
    <row r="8912">
      <c r="K8912" s="317"/>
    </row>
    <row r="8913">
      <c r="K8913" s="317"/>
    </row>
    <row r="8914">
      <c r="K8914" s="317"/>
    </row>
    <row r="8915">
      <c r="K8915" s="317"/>
    </row>
    <row r="8916">
      <c r="K8916" s="317"/>
    </row>
    <row r="8917">
      <c r="K8917" s="317"/>
    </row>
    <row r="8918">
      <c r="K8918" s="317"/>
    </row>
    <row r="8919">
      <c r="K8919" s="317"/>
    </row>
    <row r="8920">
      <c r="K8920" s="317"/>
    </row>
    <row r="8921">
      <c r="K8921" s="317"/>
    </row>
    <row r="8922">
      <c r="K8922" s="317"/>
    </row>
    <row r="8923">
      <c r="K8923" s="317"/>
    </row>
    <row r="8924">
      <c r="K8924" s="317"/>
    </row>
    <row r="8925">
      <c r="K8925" s="317"/>
    </row>
    <row r="8926">
      <c r="K8926" s="317"/>
    </row>
    <row r="8927">
      <c r="K8927" s="317"/>
    </row>
    <row r="8928">
      <c r="K8928" s="317"/>
    </row>
    <row r="8929">
      <c r="K8929" s="317"/>
    </row>
    <row r="8930">
      <c r="K8930" s="317"/>
    </row>
    <row r="8931">
      <c r="K8931" s="317"/>
    </row>
    <row r="8932">
      <c r="K8932" s="317"/>
    </row>
    <row r="8933">
      <c r="K8933" s="317"/>
    </row>
    <row r="8934">
      <c r="K8934" s="317"/>
    </row>
    <row r="8935">
      <c r="K8935" s="317"/>
    </row>
    <row r="8936">
      <c r="K8936" s="317"/>
    </row>
    <row r="8937">
      <c r="K8937" s="317"/>
    </row>
    <row r="8938">
      <c r="K8938" s="317"/>
    </row>
    <row r="8939">
      <c r="K8939" s="317"/>
    </row>
    <row r="8940">
      <c r="K8940" s="317"/>
    </row>
    <row r="8941">
      <c r="K8941" s="317"/>
    </row>
    <row r="8942">
      <c r="K8942" s="317"/>
    </row>
    <row r="8943">
      <c r="K8943" s="317"/>
    </row>
    <row r="8944">
      <c r="K8944" s="317"/>
    </row>
    <row r="8945">
      <c r="K8945" s="317"/>
    </row>
    <row r="8946">
      <c r="K8946" s="317"/>
    </row>
    <row r="8947">
      <c r="K8947" s="317"/>
    </row>
    <row r="8948">
      <c r="K8948" s="317"/>
    </row>
    <row r="8949">
      <c r="K8949" s="317"/>
    </row>
    <row r="8950">
      <c r="K8950" s="317"/>
    </row>
    <row r="8951">
      <c r="K8951" s="317"/>
    </row>
    <row r="8952">
      <c r="K8952" s="317"/>
    </row>
    <row r="8953">
      <c r="K8953" s="317"/>
    </row>
    <row r="8954">
      <c r="K8954" s="317"/>
    </row>
    <row r="8955">
      <c r="K8955" s="317"/>
    </row>
    <row r="8956">
      <c r="K8956" s="317"/>
    </row>
    <row r="8957">
      <c r="K8957" s="317"/>
    </row>
    <row r="8958">
      <c r="K8958" s="317"/>
    </row>
    <row r="8959">
      <c r="K8959" s="317"/>
    </row>
    <row r="8960">
      <c r="K8960" s="317"/>
    </row>
    <row r="8961">
      <c r="K8961" s="317"/>
    </row>
    <row r="8962">
      <c r="K8962" s="317"/>
    </row>
    <row r="8963">
      <c r="K8963" s="317"/>
    </row>
    <row r="8964">
      <c r="K8964" s="317"/>
    </row>
    <row r="8965">
      <c r="K8965" s="317"/>
    </row>
    <row r="8966">
      <c r="K8966" s="317"/>
    </row>
    <row r="8967">
      <c r="K8967" s="317"/>
    </row>
    <row r="8968">
      <c r="K8968" s="317"/>
    </row>
    <row r="8969">
      <c r="K8969" s="317"/>
    </row>
    <row r="8970">
      <c r="K8970" s="317"/>
    </row>
    <row r="8971">
      <c r="K8971" s="317"/>
    </row>
    <row r="8972">
      <c r="K8972" s="317"/>
    </row>
    <row r="8973">
      <c r="K8973" s="317"/>
    </row>
    <row r="8974">
      <c r="K8974" s="317"/>
    </row>
    <row r="8975">
      <c r="K8975" s="317"/>
    </row>
    <row r="8976">
      <c r="K8976" s="317"/>
    </row>
    <row r="8977">
      <c r="K8977" s="317"/>
    </row>
    <row r="8978">
      <c r="K8978" s="317"/>
    </row>
    <row r="8979">
      <c r="K8979" s="317"/>
    </row>
    <row r="8980">
      <c r="K8980" s="317"/>
    </row>
    <row r="8981">
      <c r="K8981" s="317"/>
    </row>
    <row r="8982">
      <c r="K8982" s="317"/>
    </row>
    <row r="8983">
      <c r="K8983" s="317"/>
    </row>
    <row r="8984">
      <c r="K8984" s="317"/>
    </row>
    <row r="8985">
      <c r="K8985" s="317"/>
    </row>
    <row r="8986">
      <c r="K8986" s="317"/>
    </row>
    <row r="8987">
      <c r="K8987" s="317"/>
    </row>
    <row r="8988">
      <c r="K8988" s="317"/>
    </row>
    <row r="8989">
      <c r="K8989" s="317"/>
    </row>
    <row r="8990">
      <c r="K8990" s="317"/>
    </row>
    <row r="8991">
      <c r="K8991" s="317"/>
    </row>
    <row r="8992">
      <c r="K8992" s="317"/>
    </row>
    <row r="8993">
      <c r="K8993" s="317"/>
    </row>
    <row r="8994">
      <c r="K8994" s="317"/>
    </row>
    <row r="8995">
      <c r="K8995" s="317"/>
    </row>
    <row r="8996">
      <c r="K8996" s="317"/>
    </row>
    <row r="8997">
      <c r="K8997" s="317"/>
    </row>
    <row r="8998">
      <c r="K8998" s="317"/>
    </row>
    <row r="8999">
      <c r="K8999" s="317"/>
    </row>
    <row r="9000">
      <c r="K9000" s="317"/>
    </row>
    <row r="9001">
      <c r="K9001" s="317"/>
    </row>
    <row r="9002">
      <c r="K9002" s="317"/>
    </row>
    <row r="9003">
      <c r="K9003" s="317"/>
    </row>
    <row r="9004">
      <c r="K9004" s="317"/>
    </row>
    <row r="9005">
      <c r="K9005" s="317"/>
    </row>
    <row r="9006">
      <c r="K9006" s="317"/>
    </row>
    <row r="9007">
      <c r="K9007" s="317"/>
    </row>
    <row r="9008">
      <c r="K9008" s="317"/>
    </row>
    <row r="9009">
      <c r="K9009" s="317"/>
    </row>
    <row r="9010">
      <c r="K9010" s="317"/>
    </row>
    <row r="9011">
      <c r="K9011" s="317"/>
    </row>
    <row r="9012">
      <c r="K9012" s="317"/>
    </row>
    <row r="9013">
      <c r="K9013" s="317"/>
    </row>
    <row r="9014">
      <c r="K9014" s="317"/>
    </row>
    <row r="9015">
      <c r="K9015" s="317"/>
    </row>
    <row r="9016">
      <c r="K9016" s="317"/>
    </row>
    <row r="9017">
      <c r="K9017" s="317"/>
    </row>
    <row r="9018">
      <c r="K9018" s="317"/>
    </row>
    <row r="9019">
      <c r="K9019" s="317"/>
    </row>
    <row r="9020">
      <c r="K9020" s="317"/>
    </row>
    <row r="9021">
      <c r="K9021" s="317"/>
    </row>
    <row r="9022">
      <c r="K9022" s="317"/>
    </row>
    <row r="9023">
      <c r="K9023" s="317"/>
    </row>
    <row r="9024">
      <c r="K9024" s="317"/>
    </row>
    <row r="9025">
      <c r="K9025" s="317"/>
    </row>
    <row r="9026">
      <c r="K9026" s="317"/>
    </row>
    <row r="9027">
      <c r="K9027" s="317"/>
    </row>
    <row r="9028">
      <c r="K9028" s="317"/>
    </row>
    <row r="9029">
      <c r="K9029" s="317"/>
    </row>
    <row r="9030">
      <c r="K9030" s="317"/>
    </row>
    <row r="9031">
      <c r="K9031" s="317"/>
    </row>
    <row r="9032">
      <c r="K9032" s="317"/>
    </row>
    <row r="9033">
      <c r="K9033" s="317"/>
    </row>
    <row r="9034">
      <c r="K9034" s="317"/>
    </row>
    <row r="9035">
      <c r="K9035" s="317"/>
    </row>
    <row r="9036">
      <c r="K9036" s="317"/>
    </row>
    <row r="9037">
      <c r="K9037" s="317"/>
    </row>
    <row r="9038">
      <c r="K9038" s="317"/>
    </row>
    <row r="9039">
      <c r="K9039" s="317"/>
    </row>
    <row r="9040">
      <c r="K9040" s="317"/>
    </row>
    <row r="9041">
      <c r="K9041" s="317"/>
    </row>
    <row r="9042">
      <c r="K9042" s="317"/>
    </row>
    <row r="9043">
      <c r="K9043" s="317"/>
    </row>
    <row r="9044">
      <c r="K9044" s="317"/>
    </row>
    <row r="9045">
      <c r="K9045" s="317"/>
    </row>
    <row r="9046">
      <c r="K9046" s="317"/>
    </row>
    <row r="9047">
      <c r="K9047" s="317"/>
    </row>
    <row r="9048">
      <c r="K9048" s="317"/>
    </row>
    <row r="9049">
      <c r="K9049" s="317"/>
    </row>
    <row r="9050">
      <c r="K9050" s="317"/>
    </row>
    <row r="9051">
      <c r="K9051" s="317"/>
    </row>
    <row r="9052">
      <c r="K9052" s="317"/>
    </row>
    <row r="9053">
      <c r="K9053" s="317"/>
    </row>
    <row r="9054">
      <c r="K9054" s="317"/>
    </row>
    <row r="9055">
      <c r="K9055" s="317"/>
    </row>
    <row r="9056">
      <c r="K9056" s="317"/>
    </row>
    <row r="9057">
      <c r="K9057" s="317"/>
    </row>
    <row r="9058">
      <c r="K9058" s="317"/>
    </row>
    <row r="9059">
      <c r="K9059" s="317"/>
    </row>
    <row r="9060">
      <c r="K9060" s="317"/>
    </row>
    <row r="9061">
      <c r="K9061" s="317"/>
    </row>
    <row r="9062">
      <c r="K9062" s="317"/>
    </row>
    <row r="9063">
      <c r="K9063" s="317"/>
    </row>
    <row r="9064">
      <c r="K9064" s="317"/>
    </row>
    <row r="9065">
      <c r="K9065" s="317"/>
    </row>
    <row r="9066">
      <c r="K9066" s="317"/>
    </row>
    <row r="9067">
      <c r="K9067" s="317"/>
    </row>
    <row r="9068">
      <c r="K9068" s="317"/>
    </row>
    <row r="9069">
      <c r="K9069" s="317"/>
    </row>
    <row r="9070">
      <c r="K9070" s="317"/>
    </row>
    <row r="9071">
      <c r="K9071" s="317"/>
    </row>
    <row r="9072">
      <c r="K9072" s="317"/>
    </row>
    <row r="9073">
      <c r="K9073" s="317"/>
    </row>
    <row r="9074">
      <c r="K9074" s="317"/>
    </row>
    <row r="9075">
      <c r="K9075" s="317"/>
    </row>
    <row r="9076">
      <c r="K9076" s="317"/>
    </row>
    <row r="9077">
      <c r="K9077" s="317"/>
    </row>
    <row r="9078">
      <c r="K9078" s="317"/>
    </row>
    <row r="9079">
      <c r="K9079" s="317"/>
    </row>
    <row r="9080">
      <c r="K9080" s="317"/>
    </row>
    <row r="9081">
      <c r="K9081" s="317"/>
    </row>
    <row r="9082">
      <c r="K9082" s="317"/>
    </row>
    <row r="9083">
      <c r="K9083" s="317"/>
    </row>
    <row r="9084">
      <c r="K9084" s="317"/>
    </row>
    <row r="9085">
      <c r="K9085" s="317"/>
    </row>
    <row r="9086">
      <c r="K9086" s="317"/>
    </row>
    <row r="9087">
      <c r="K9087" s="317"/>
    </row>
    <row r="9088">
      <c r="K9088" s="317"/>
    </row>
    <row r="9089">
      <c r="K9089" s="317"/>
    </row>
    <row r="9090">
      <c r="K9090" s="317"/>
    </row>
    <row r="9091">
      <c r="K9091" s="317"/>
    </row>
    <row r="9092">
      <c r="K9092" s="317"/>
    </row>
    <row r="9093">
      <c r="K9093" s="317"/>
    </row>
    <row r="9094">
      <c r="K9094" s="317"/>
    </row>
    <row r="9095">
      <c r="K9095" s="317"/>
    </row>
    <row r="9096">
      <c r="K9096" s="317"/>
    </row>
    <row r="9097">
      <c r="K9097" s="317"/>
    </row>
    <row r="9098">
      <c r="K9098" s="317"/>
    </row>
    <row r="9099">
      <c r="K9099" s="317"/>
    </row>
    <row r="9100">
      <c r="K9100" s="317"/>
    </row>
    <row r="9101">
      <c r="K9101" s="317"/>
    </row>
    <row r="9102">
      <c r="K9102" s="317"/>
    </row>
    <row r="9103">
      <c r="K9103" s="317"/>
    </row>
    <row r="9104">
      <c r="K9104" s="317"/>
    </row>
    <row r="9105">
      <c r="K9105" s="317"/>
    </row>
    <row r="9106">
      <c r="K9106" s="317"/>
    </row>
    <row r="9107">
      <c r="K9107" s="317"/>
    </row>
    <row r="9108">
      <c r="K9108" s="317"/>
    </row>
    <row r="9109">
      <c r="K9109" s="317"/>
    </row>
    <row r="9110">
      <c r="K9110" s="317"/>
    </row>
    <row r="9111">
      <c r="K9111" s="317"/>
    </row>
    <row r="9112">
      <c r="K9112" s="317"/>
    </row>
    <row r="9113">
      <c r="K9113" s="317"/>
    </row>
    <row r="9114">
      <c r="K9114" s="317"/>
    </row>
    <row r="9115">
      <c r="K9115" s="317"/>
    </row>
    <row r="9116">
      <c r="K9116" s="317"/>
    </row>
    <row r="9117">
      <c r="K9117" s="317"/>
    </row>
    <row r="9118">
      <c r="K9118" s="317"/>
    </row>
    <row r="9119">
      <c r="K9119" s="317"/>
    </row>
    <row r="9120">
      <c r="K9120" s="317"/>
    </row>
    <row r="9121">
      <c r="K9121" s="317"/>
    </row>
    <row r="9122">
      <c r="K9122" s="317"/>
    </row>
    <row r="9123">
      <c r="K9123" s="317"/>
    </row>
    <row r="9124">
      <c r="K9124" s="317"/>
    </row>
    <row r="9125">
      <c r="K9125" s="317"/>
    </row>
    <row r="9126">
      <c r="K9126" s="317"/>
    </row>
    <row r="9127">
      <c r="K9127" s="317"/>
    </row>
    <row r="9128">
      <c r="K9128" s="317"/>
    </row>
    <row r="9129">
      <c r="K9129" s="317"/>
    </row>
    <row r="9130">
      <c r="K9130" s="317"/>
    </row>
    <row r="9131">
      <c r="K9131" s="317"/>
    </row>
    <row r="9132">
      <c r="K9132" s="317"/>
    </row>
    <row r="9133">
      <c r="K9133" s="317"/>
    </row>
    <row r="9134">
      <c r="K9134" s="317"/>
    </row>
    <row r="9135">
      <c r="K9135" s="317"/>
    </row>
    <row r="9136">
      <c r="K9136" s="317"/>
    </row>
    <row r="9137">
      <c r="K9137" s="317"/>
    </row>
    <row r="9138">
      <c r="K9138" s="317"/>
    </row>
    <row r="9139">
      <c r="K9139" s="317"/>
    </row>
    <row r="9140">
      <c r="K9140" s="317"/>
    </row>
    <row r="9141">
      <c r="K9141" s="317"/>
    </row>
    <row r="9142">
      <c r="K9142" s="317"/>
    </row>
    <row r="9143">
      <c r="K9143" s="317"/>
    </row>
    <row r="9144">
      <c r="K9144" s="317"/>
    </row>
    <row r="9145">
      <c r="K9145" s="317"/>
    </row>
    <row r="9146">
      <c r="K9146" s="317"/>
    </row>
    <row r="9147">
      <c r="K9147" s="317"/>
    </row>
    <row r="9148">
      <c r="K9148" s="317"/>
    </row>
    <row r="9149">
      <c r="K9149" s="317"/>
    </row>
    <row r="9150">
      <c r="K9150" s="317"/>
    </row>
    <row r="9151">
      <c r="K9151" s="317"/>
    </row>
    <row r="9152">
      <c r="K9152" s="317"/>
    </row>
    <row r="9153">
      <c r="K9153" s="317"/>
    </row>
    <row r="9154">
      <c r="K9154" s="317"/>
    </row>
    <row r="9155">
      <c r="K9155" s="317"/>
    </row>
    <row r="9156">
      <c r="K9156" s="317"/>
    </row>
    <row r="9157">
      <c r="K9157" s="317"/>
    </row>
    <row r="9158">
      <c r="K9158" s="317"/>
    </row>
    <row r="9159">
      <c r="K9159" s="317"/>
    </row>
    <row r="9160">
      <c r="K9160" s="317"/>
    </row>
    <row r="9161">
      <c r="K9161" s="317"/>
    </row>
    <row r="9162">
      <c r="K9162" s="317"/>
    </row>
    <row r="9163">
      <c r="K9163" s="317"/>
    </row>
    <row r="9164">
      <c r="K9164" s="317"/>
    </row>
    <row r="9165">
      <c r="K9165" s="317"/>
    </row>
    <row r="9166">
      <c r="K9166" s="317"/>
    </row>
    <row r="9167">
      <c r="K9167" s="317"/>
    </row>
    <row r="9168">
      <c r="K9168" s="317"/>
    </row>
    <row r="9169">
      <c r="K9169" s="317"/>
    </row>
    <row r="9170">
      <c r="K9170" s="317"/>
    </row>
    <row r="9171">
      <c r="K9171" s="317"/>
    </row>
    <row r="9172">
      <c r="K9172" s="317"/>
    </row>
    <row r="9173">
      <c r="K9173" s="317"/>
    </row>
    <row r="9174">
      <c r="K9174" s="317"/>
    </row>
    <row r="9175">
      <c r="K9175" s="317"/>
    </row>
    <row r="9176">
      <c r="K9176" s="317"/>
    </row>
    <row r="9177">
      <c r="K9177" s="317"/>
    </row>
    <row r="9178">
      <c r="K9178" s="317"/>
    </row>
    <row r="9179">
      <c r="K9179" s="317"/>
    </row>
    <row r="9180">
      <c r="K9180" s="317"/>
    </row>
    <row r="9181">
      <c r="K9181" s="317"/>
    </row>
    <row r="9182">
      <c r="K9182" s="317"/>
    </row>
    <row r="9183">
      <c r="K9183" s="317"/>
    </row>
    <row r="9184">
      <c r="K9184" s="317"/>
    </row>
    <row r="9185">
      <c r="K9185" s="317"/>
    </row>
    <row r="9186">
      <c r="K9186" s="317"/>
    </row>
    <row r="9187">
      <c r="K9187" s="317"/>
    </row>
    <row r="9188">
      <c r="K9188" s="317"/>
    </row>
    <row r="9189">
      <c r="K9189" s="317"/>
    </row>
    <row r="9190">
      <c r="K9190" s="317"/>
    </row>
    <row r="9191">
      <c r="K9191" s="317"/>
    </row>
    <row r="9192">
      <c r="K9192" s="317"/>
    </row>
    <row r="9193">
      <c r="K9193" s="317"/>
    </row>
    <row r="9194">
      <c r="K9194" s="317"/>
    </row>
    <row r="9195">
      <c r="K9195" s="317"/>
    </row>
    <row r="9196">
      <c r="K9196" s="317"/>
    </row>
    <row r="9197">
      <c r="K9197" s="317"/>
    </row>
    <row r="9198">
      <c r="K9198" s="317"/>
    </row>
    <row r="9199">
      <c r="K9199" s="317"/>
    </row>
    <row r="9200">
      <c r="K9200" s="317"/>
    </row>
    <row r="9201">
      <c r="K9201" s="317"/>
    </row>
    <row r="9202">
      <c r="K9202" s="317"/>
    </row>
    <row r="9203">
      <c r="K9203" s="317"/>
    </row>
    <row r="9204">
      <c r="K9204" s="317"/>
    </row>
    <row r="9205">
      <c r="K9205" s="317"/>
    </row>
    <row r="9206">
      <c r="K9206" s="317"/>
    </row>
    <row r="9207">
      <c r="K9207" s="317"/>
    </row>
    <row r="9208">
      <c r="K9208" s="317"/>
    </row>
    <row r="9209">
      <c r="K9209" s="317"/>
    </row>
    <row r="9210">
      <c r="K9210" s="317"/>
    </row>
    <row r="9211">
      <c r="K9211" s="317"/>
    </row>
    <row r="9212">
      <c r="K9212" s="317"/>
    </row>
    <row r="9213">
      <c r="K9213" s="317"/>
    </row>
    <row r="9214">
      <c r="K9214" s="317"/>
    </row>
    <row r="9215">
      <c r="K9215" s="317"/>
    </row>
    <row r="9216">
      <c r="K9216" s="317"/>
    </row>
    <row r="9217">
      <c r="K9217" s="317"/>
    </row>
    <row r="9218">
      <c r="K9218" s="317"/>
    </row>
    <row r="9219">
      <c r="K9219" s="317"/>
    </row>
    <row r="9220">
      <c r="K9220" s="317"/>
    </row>
    <row r="9221">
      <c r="K9221" s="317"/>
    </row>
    <row r="9222">
      <c r="K9222" s="317"/>
    </row>
    <row r="9223">
      <c r="K9223" s="317"/>
    </row>
    <row r="9224">
      <c r="K9224" s="317"/>
    </row>
    <row r="9225">
      <c r="K9225" s="317"/>
    </row>
    <row r="9226">
      <c r="K9226" s="317"/>
    </row>
    <row r="9227">
      <c r="K9227" s="317"/>
    </row>
    <row r="9228">
      <c r="K9228" s="317"/>
    </row>
    <row r="9229">
      <c r="K9229" s="317"/>
    </row>
    <row r="9230">
      <c r="K9230" s="317"/>
    </row>
    <row r="9231">
      <c r="K9231" s="317"/>
    </row>
    <row r="9232">
      <c r="K9232" s="317"/>
    </row>
    <row r="9233">
      <c r="K9233" s="317"/>
    </row>
    <row r="9234">
      <c r="K9234" s="317"/>
    </row>
    <row r="9235">
      <c r="K9235" s="317"/>
    </row>
    <row r="9236">
      <c r="K9236" s="317"/>
    </row>
    <row r="9237">
      <c r="K9237" s="317"/>
    </row>
    <row r="9238">
      <c r="K9238" s="317"/>
    </row>
    <row r="9239">
      <c r="K9239" s="317"/>
    </row>
    <row r="9240">
      <c r="K9240" s="317"/>
    </row>
    <row r="9241">
      <c r="K9241" s="317"/>
    </row>
    <row r="9242">
      <c r="K9242" s="317"/>
    </row>
    <row r="9243">
      <c r="K9243" s="317"/>
    </row>
    <row r="9244">
      <c r="K9244" s="317"/>
    </row>
    <row r="9245">
      <c r="K9245" s="317"/>
    </row>
    <row r="9246">
      <c r="K9246" s="317"/>
    </row>
    <row r="9247">
      <c r="K9247" s="317"/>
    </row>
    <row r="9248">
      <c r="K9248" s="317"/>
    </row>
    <row r="9249">
      <c r="K9249" s="317"/>
    </row>
    <row r="9250">
      <c r="K9250" s="317"/>
    </row>
    <row r="9251">
      <c r="K9251" s="317"/>
    </row>
    <row r="9252">
      <c r="K9252" s="317"/>
    </row>
    <row r="9253">
      <c r="K9253" s="317"/>
    </row>
    <row r="9254">
      <c r="K9254" s="317"/>
    </row>
    <row r="9255">
      <c r="K9255" s="317"/>
    </row>
    <row r="9256">
      <c r="K9256" s="317"/>
    </row>
    <row r="9257">
      <c r="K9257" s="317"/>
    </row>
    <row r="9258">
      <c r="K9258" s="317"/>
    </row>
    <row r="9259">
      <c r="K9259" s="317"/>
    </row>
    <row r="9260">
      <c r="K9260" s="317"/>
    </row>
    <row r="9261">
      <c r="K9261" s="317"/>
    </row>
    <row r="9262">
      <c r="K9262" s="317"/>
    </row>
    <row r="9263">
      <c r="K9263" s="317"/>
    </row>
    <row r="9264">
      <c r="K9264" s="317"/>
    </row>
    <row r="9265">
      <c r="K9265" s="317"/>
    </row>
    <row r="9266">
      <c r="K9266" s="317"/>
    </row>
    <row r="9267">
      <c r="K9267" s="317"/>
    </row>
    <row r="9268">
      <c r="K9268" s="317"/>
    </row>
    <row r="9269">
      <c r="K9269" s="317"/>
    </row>
    <row r="9270">
      <c r="K9270" s="317"/>
    </row>
    <row r="9271">
      <c r="K9271" s="317"/>
    </row>
    <row r="9272">
      <c r="K9272" s="317"/>
    </row>
    <row r="9273">
      <c r="K9273" s="317"/>
    </row>
    <row r="9274">
      <c r="K9274" s="317"/>
    </row>
    <row r="9275">
      <c r="K9275" s="317"/>
    </row>
    <row r="9276">
      <c r="K9276" s="317"/>
    </row>
    <row r="9277">
      <c r="K9277" s="317"/>
    </row>
    <row r="9278">
      <c r="K9278" s="317"/>
    </row>
    <row r="9279">
      <c r="K9279" s="317"/>
    </row>
    <row r="9280">
      <c r="K9280" s="317"/>
    </row>
    <row r="9281">
      <c r="K9281" s="317"/>
    </row>
    <row r="9282">
      <c r="K9282" s="317"/>
    </row>
    <row r="9283">
      <c r="K9283" s="317"/>
    </row>
    <row r="9284">
      <c r="K9284" s="317"/>
    </row>
    <row r="9285">
      <c r="K9285" s="317"/>
    </row>
    <row r="9286">
      <c r="K9286" s="317"/>
    </row>
    <row r="9287">
      <c r="K9287" s="317"/>
    </row>
    <row r="9288">
      <c r="K9288" s="317"/>
    </row>
    <row r="9289">
      <c r="K9289" s="317"/>
    </row>
    <row r="9290">
      <c r="K9290" s="317"/>
    </row>
    <row r="9291">
      <c r="K9291" s="317"/>
    </row>
    <row r="9292">
      <c r="K9292" s="317"/>
    </row>
    <row r="9293">
      <c r="K9293" s="317"/>
    </row>
    <row r="9294">
      <c r="K9294" s="317"/>
    </row>
    <row r="9295">
      <c r="K9295" s="317"/>
    </row>
    <row r="9296">
      <c r="K9296" s="317"/>
    </row>
    <row r="9297">
      <c r="K9297" s="317"/>
    </row>
    <row r="9298">
      <c r="K9298" s="317"/>
    </row>
    <row r="9299">
      <c r="K9299" s="317"/>
    </row>
    <row r="9300">
      <c r="K9300" s="317"/>
    </row>
    <row r="9301">
      <c r="K9301" s="317"/>
    </row>
    <row r="9302">
      <c r="K9302" s="317"/>
    </row>
    <row r="9303">
      <c r="K9303" s="317"/>
    </row>
    <row r="9304">
      <c r="K9304" s="317"/>
    </row>
    <row r="9305">
      <c r="K9305" s="317"/>
    </row>
    <row r="9306">
      <c r="K9306" s="317"/>
    </row>
    <row r="9307">
      <c r="K9307" s="317"/>
    </row>
    <row r="9308">
      <c r="K9308" s="317"/>
    </row>
    <row r="9309">
      <c r="K9309" s="317"/>
    </row>
    <row r="9310">
      <c r="K9310" s="317"/>
    </row>
    <row r="9311">
      <c r="K9311" s="317"/>
    </row>
    <row r="9312">
      <c r="K9312" s="317"/>
    </row>
    <row r="9313">
      <c r="K9313" s="317"/>
    </row>
    <row r="9314">
      <c r="K9314" s="317"/>
    </row>
    <row r="9315">
      <c r="K9315" s="317"/>
    </row>
    <row r="9316">
      <c r="K9316" s="317"/>
    </row>
    <row r="9317">
      <c r="K9317" s="317"/>
    </row>
    <row r="9318">
      <c r="K9318" s="317"/>
    </row>
    <row r="9319">
      <c r="K9319" s="317"/>
    </row>
    <row r="9320">
      <c r="K9320" s="317"/>
    </row>
    <row r="9321">
      <c r="K9321" s="317"/>
    </row>
    <row r="9322">
      <c r="K9322" s="317"/>
    </row>
    <row r="9323">
      <c r="K9323" s="317"/>
    </row>
    <row r="9324">
      <c r="K9324" s="317"/>
    </row>
    <row r="9325">
      <c r="K9325" s="317"/>
    </row>
    <row r="9326">
      <c r="K9326" s="317"/>
    </row>
    <row r="9327">
      <c r="K9327" s="317"/>
    </row>
    <row r="9328">
      <c r="K9328" s="317"/>
    </row>
    <row r="9329">
      <c r="K9329" s="317"/>
    </row>
    <row r="9330">
      <c r="K9330" s="317"/>
    </row>
    <row r="9331">
      <c r="K9331" s="317"/>
    </row>
    <row r="9332">
      <c r="K9332" s="317"/>
    </row>
    <row r="9333">
      <c r="K9333" s="317"/>
    </row>
    <row r="9334">
      <c r="K9334" s="317"/>
    </row>
    <row r="9335">
      <c r="K9335" s="317"/>
    </row>
    <row r="9336">
      <c r="K9336" s="317"/>
    </row>
    <row r="9337">
      <c r="K9337" s="317"/>
    </row>
    <row r="9338">
      <c r="K9338" s="317"/>
    </row>
    <row r="9339">
      <c r="K9339" s="317"/>
    </row>
    <row r="9340">
      <c r="K9340" s="317"/>
    </row>
    <row r="9341">
      <c r="K9341" s="317"/>
    </row>
    <row r="9342">
      <c r="K9342" s="317"/>
    </row>
    <row r="9343">
      <c r="K9343" s="317"/>
    </row>
    <row r="9344">
      <c r="K9344" s="317"/>
    </row>
    <row r="9345">
      <c r="K9345" s="317"/>
    </row>
    <row r="9346">
      <c r="K9346" s="317"/>
    </row>
    <row r="9347">
      <c r="K9347" s="317"/>
    </row>
    <row r="9348">
      <c r="K9348" s="317"/>
    </row>
    <row r="9349">
      <c r="K9349" s="317"/>
    </row>
    <row r="9350">
      <c r="K9350" s="317"/>
    </row>
    <row r="9351">
      <c r="K9351" s="317"/>
    </row>
    <row r="9352">
      <c r="K9352" s="317"/>
    </row>
    <row r="9353">
      <c r="K9353" s="317"/>
    </row>
    <row r="9354">
      <c r="K9354" s="317"/>
    </row>
    <row r="9355">
      <c r="K9355" s="317"/>
    </row>
    <row r="9356">
      <c r="K9356" s="317"/>
    </row>
    <row r="9357">
      <c r="K9357" s="317"/>
    </row>
    <row r="9358">
      <c r="K9358" s="317"/>
    </row>
    <row r="9359">
      <c r="K9359" s="317"/>
    </row>
    <row r="9360">
      <c r="K9360" s="317"/>
    </row>
    <row r="9361">
      <c r="K9361" s="317"/>
    </row>
    <row r="9362">
      <c r="K9362" s="317"/>
    </row>
    <row r="9363">
      <c r="K9363" s="317"/>
    </row>
    <row r="9364">
      <c r="K9364" s="317"/>
    </row>
    <row r="9365">
      <c r="K9365" s="317"/>
    </row>
    <row r="9366">
      <c r="K9366" s="317"/>
    </row>
    <row r="9367">
      <c r="K9367" s="317"/>
    </row>
    <row r="9368">
      <c r="K9368" s="317"/>
    </row>
    <row r="9369">
      <c r="K9369" s="317"/>
    </row>
    <row r="9370">
      <c r="K9370" s="317"/>
    </row>
    <row r="9371">
      <c r="K9371" s="317"/>
    </row>
    <row r="9372">
      <c r="K9372" s="317"/>
    </row>
    <row r="9373">
      <c r="K9373" s="317"/>
    </row>
    <row r="9374">
      <c r="K9374" s="317"/>
    </row>
    <row r="9375">
      <c r="K9375" s="317"/>
    </row>
    <row r="9376">
      <c r="K9376" s="317"/>
    </row>
    <row r="9377">
      <c r="K9377" s="317"/>
    </row>
    <row r="9378">
      <c r="K9378" s="317"/>
    </row>
    <row r="9379">
      <c r="K9379" s="317"/>
    </row>
    <row r="9380">
      <c r="K9380" s="317"/>
    </row>
    <row r="9381">
      <c r="K9381" s="317"/>
    </row>
    <row r="9382">
      <c r="K9382" s="317"/>
    </row>
    <row r="9383">
      <c r="K9383" s="317"/>
    </row>
    <row r="9384">
      <c r="K9384" s="317"/>
    </row>
    <row r="9385">
      <c r="K9385" s="317"/>
    </row>
    <row r="9386">
      <c r="K9386" s="317"/>
    </row>
    <row r="9387">
      <c r="K9387" s="317"/>
    </row>
    <row r="9388">
      <c r="K9388" s="317"/>
    </row>
    <row r="9389">
      <c r="K9389" s="317"/>
    </row>
    <row r="9390">
      <c r="K9390" s="317"/>
    </row>
    <row r="9391">
      <c r="K9391" s="317"/>
    </row>
    <row r="9392">
      <c r="K9392" s="317"/>
    </row>
    <row r="9393">
      <c r="K9393" s="317"/>
    </row>
    <row r="9394">
      <c r="K9394" s="317"/>
    </row>
    <row r="9395">
      <c r="K9395" s="317"/>
    </row>
    <row r="9396">
      <c r="K9396" s="317"/>
    </row>
    <row r="9397">
      <c r="K9397" s="317"/>
    </row>
    <row r="9398">
      <c r="K9398" s="317"/>
    </row>
    <row r="9399">
      <c r="K9399" s="317"/>
    </row>
    <row r="9400">
      <c r="K9400" s="317"/>
    </row>
    <row r="9401">
      <c r="K9401" s="317"/>
    </row>
    <row r="9402">
      <c r="K9402" s="317"/>
    </row>
    <row r="9403">
      <c r="K9403" s="317"/>
    </row>
    <row r="9404">
      <c r="K9404" s="317"/>
    </row>
    <row r="9405">
      <c r="K9405" s="317"/>
    </row>
    <row r="9406">
      <c r="K9406" s="317"/>
    </row>
    <row r="9407">
      <c r="K9407" s="317"/>
    </row>
    <row r="9408">
      <c r="K9408" s="317"/>
    </row>
    <row r="9409">
      <c r="K9409" s="317"/>
    </row>
    <row r="9410">
      <c r="K9410" s="317"/>
    </row>
    <row r="9411">
      <c r="K9411" s="317"/>
    </row>
    <row r="9412">
      <c r="K9412" s="317"/>
    </row>
    <row r="9413">
      <c r="K9413" s="317"/>
    </row>
    <row r="9414">
      <c r="K9414" s="317"/>
    </row>
    <row r="9415">
      <c r="K9415" s="317"/>
    </row>
    <row r="9416">
      <c r="K9416" s="317"/>
    </row>
    <row r="9417">
      <c r="K9417" s="317"/>
    </row>
    <row r="9418">
      <c r="K9418" s="317"/>
    </row>
    <row r="9419">
      <c r="K9419" s="317"/>
    </row>
    <row r="9420">
      <c r="K9420" s="317"/>
    </row>
    <row r="9421">
      <c r="K9421" s="317"/>
    </row>
    <row r="9422">
      <c r="K9422" s="317"/>
    </row>
    <row r="9423">
      <c r="K9423" s="317"/>
    </row>
    <row r="9424">
      <c r="K9424" s="317"/>
    </row>
    <row r="9425">
      <c r="K9425" s="317"/>
    </row>
    <row r="9426">
      <c r="K9426" s="317"/>
    </row>
    <row r="9427">
      <c r="K9427" s="317"/>
    </row>
    <row r="9428">
      <c r="K9428" s="317"/>
    </row>
    <row r="9429">
      <c r="K9429" s="317"/>
    </row>
    <row r="9430">
      <c r="K9430" s="317"/>
    </row>
    <row r="9431">
      <c r="K9431" s="317"/>
    </row>
    <row r="9432">
      <c r="K9432" s="317"/>
    </row>
    <row r="9433">
      <c r="K9433" s="317"/>
    </row>
    <row r="9434">
      <c r="K9434" s="317"/>
    </row>
    <row r="9435">
      <c r="K9435" s="317"/>
    </row>
    <row r="9436">
      <c r="K9436" s="317"/>
    </row>
    <row r="9437">
      <c r="K9437" s="317"/>
    </row>
    <row r="9438">
      <c r="K9438" s="317"/>
    </row>
    <row r="9439">
      <c r="K9439" s="317"/>
    </row>
    <row r="9440">
      <c r="K9440" s="317"/>
    </row>
    <row r="9441">
      <c r="K9441" s="317"/>
    </row>
    <row r="9442">
      <c r="K9442" s="317"/>
    </row>
    <row r="9443">
      <c r="K9443" s="317"/>
    </row>
    <row r="9444">
      <c r="K9444" s="317"/>
    </row>
    <row r="9445">
      <c r="K9445" s="317"/>
    </row>
    <row r="9446">
      <c r="K9446" s="317"/>
    </row>
    <row r="9447">
      <c r="K9447" s="317"/>
    </row>
    <row r="9448">
      <c r="K9448" s="317"/>
    </row>
    <row r="9449">
      <c r="K9449" s="317"/>
    </row>
    <row r="9450">
      <c r="K9450" s="317"/>
    </row>
    <row r="9451">
      <c r="K9451" s="317"/>
    </row>
    <row r="9452">
      <c r="K9452" s="317"/>
    </row>
    <row r="9453">
      <c r="K9453" s="317"/>
    </row>
    <row r="9454">
      <c r="K9454" s="317"/>
    </row>
    <row r="9455">
      <c r="K9455" s="317"/>
    </row>
    <row r="9456">
      <c r="K9456" s="317"/>
    </row>
    <row r="9457">
      <c r="K9457" s="317"/>
    </row>
    <row r="9458">
      <c r="K9458" s="317"/>
    </row>
    <row r="9459">
      <c r="K9459" s="317"/>
    </row>
    <row r="9460">
      <c r="K9460" s="317"/>
    </row>
    <row r="9461">
      <c r="K9461" s="317"/>
    </row>
    <row r="9462">
      <c r="K9462" s="317"/>
    </row>
    <row r="9463">
      <c r="K9463" s="317"/>
    </row>
    <row r="9464">
      <c r="K9464" s="317"/>
    </row>
    <row r="9465">
      <c r="K9465" s="317"/>
    </row>
    <row r="9466">
      <c r="K9466" s="317"/>
    </row>
    <row r="9467">
      <c r="K9467" s="317"/>
    </row>
    <row r="9468">
      <c r="K9468" s="317"/>
    </row>
    <row r="9469">
      <c r="K9469" s="317"/>
    </row>
    <row r="9470">
      <c r="K9470" s="317"/>
    </row>
    <row r="9471">
      <c r="K9471" s="317"/>
    </row>
    <row r="9472">
      <c r="K9472" s="317"/>
    </row>
    <row r="9473">
      <c r="K9473" s="317"/>
    </row>
    <row r="9474">
      <c r="K9474" s="317"/>
    </row>
    <row r="9475">
      <c r="K9475" s="317"/>
    </row>
    <row r="9476">
      <c r="K9476" s="317"/>
    </row>
    <row r="9477">
      <c r="K9477" s="317"/>
    </row>
    <row r="9478">
      <c r="K9478" s="317"/>
    </row>
    <row r="9479">
      <c r="K9479" s="317"/>
    </row>
    <row r="9480">
      <c r="K9480" s="317"/>
    </row>
    <row r="9481">
      <c r="K9481" s="317"/>
    </row>
    <row r="9482">
      <c r="K9482" s="317"/>
    </row>
    <row r="9483">
      <c r="K9483" s="317"/>
    </row>
    <row r="9484">
      <c r="K9484" s="317"/>
    </row>
    <row r="9485">
      <c r="K9485" s="317"/>
    </row>
    <row r="9486">
      <c r="K9486" s="317"/>
    </row>
    <row r="9487">
      <c r="K9487" s="317"/>
    </row>
    <row r="9488">
      <c r="K9488" s="317"/>
    </row>
    <row r="9489">
      <c r="K9489" s="317"/>
    </row>
    <row r="9490">
      <c r="K9490" s="317"/>
    </row>
    <row r="9491">
      <c r="K9491" s="317"/>
    </row>
    <row r="9492">
      <c r="K9492" s="317"/>
    </row>
    <row r="9493">
      <c r="K9493" s="317"/>
    </row>
    <row r="9494">
      <c r="K9494" s="317"/>
    </row>
    <row r="9495">
      <c r="K9495" s="317"/>
    </row>
    <row r="9496">
      <c r="K9496" s="317"/>
    </row>
    <row r="9497">
      <c r="K9497" s="317"/>
    </row>
    <row r="9498">
      <c r="K9498" s="317"/>
    </row>
    <row r="9499">
      <c r="K9499" s="317"/>
    </row>
    <row r="9500">
      <c r="K9500" s="317"/>
    </row>
    <row r="9501">
      <c r="K9501" s="317"/>
    </row>
    <row r="9502">
      <c r="K9502" s="317"/>
    </row>
    <row r="9503">
      <c r="K9503" s="317"/>
    </row>
    <row r="9504">
      <c r="K9504" s="317"/>
    </row>
    <row r="9505">
      <c r="K9505" s="317"/>
    </row>
    <row r="9506">
      <c r="K9506" s="317"/>
    </row>
    <row r="9507">
      <c r="K9507" s="317"/>
    </row>
    <row r="9508">
      <c r="K9508" s="317"/>
    </row>
    <row r="9509">
      <c r="K9509" s="317"/>
    </row>
    <row r="9510">
      <c r="K9510" s="317"/>
    </row>
    <row r="9511">
      <c r="K9511" s="317"/>
    </row>
    <row r="9512">
      <c r="K9512" s="317"/>
    </row>
    <row r="9513">
      <c r="K9513" s="317"/>
    </row>
    <row r="9514">
      <c r="K9514" s="317"/>
    </row>
    <row r="9515">
      <c r="K9515" s="317"/>
    </row>
    <row r="9516">
      <c r="K9516" s="317"/>
    </row>
    <row r="9517">
      <c r="K9517" s="317"/>
    </row>
    <row r="9518">
      <c r="K9518" s="317"/>
    </row>
    <row r="9519">
      <c r="K9519" s="317"/>
    </row>
    <row r="9520">
      <c r="K9520" s="317"/>
    </row>
    <row r="9521">
      <c r="K9521" s="317"/>
    </row>
    <row r="9522">
      <c r="K9522" s="317"/>
    </row>
    <row r="9523">
      <c r="K9523" s="317"/>
    </row>
    <row r="9524">
      <c r="K9524" s="317"/>
    </row>
    <row r="9525">
      <c r="K9525" s="317"/>
    </row>
    <row r="9526">
      <c r="K9526" s="317"/>
    </row>
    <row r="9527">
      <c r="K9527" s="317"/>
    </row>
    <row r="9528">
      <c r="K9528" s="317"/>
    </row>
    <row r="9529">
      <c r="K9529" s="317"/>
    </row>
    <row r="9530">
      <c r="K9530" s="317"/>
    </row>
    <row r="9531">
      <c r="K9531" s="317"/>
    </row>
    <row r="9532">
      <c r="K9532" s="317"/>
    </row>
    <row r="9533">
      <c r="K9533" s="317"/>
    </row>
    <row r="9534">
      <c r="K9534" s="317"/>
    </row>
    <row r="9535">
      <c r="K9535" s="317"/>
    </row>
    <row r="9536">
      <c r="K9536" s="317"/>
    </row>
    <row r="9537">
      <c r="K9537" s="317"/>
    </row>
    <row r="9538">
      <c r="K9538" s="317"/>
    </row>
    <row r="9539">
      <c r="K9539" s="317"/>
    </row>
    <row r="9540">
      <c r="K9540" s="317"/>
    </row>
    <row r="9541">
      <c r="K9541" s="317"/>
    </row>
    <row r="9542">
      <c r="K9542" s="317"/>
    </row>
    <row r="9543">
      <c r="K9543" s="317"/>
    </row>
    <row r="9544">
      <c r="K9544" s="317"/>
    </row>
    <row r="9545">
      <c r="K9545" s="317"/>
    </row>
    <row r="9546">
      <c r="K9546" s="317"/>
    </row>
    <row r="9547">
      <c r="K9547" s="317"/>
    </row>
    <row r="9548">
      <c r="K9548" s="317"/>
    </row>
    <row r="9549">
      <c r="K9549" s="317"/>
    </row>
    <row r="9550">
      <c r="K9550" s="317"/>
    </row>
    <row r="9551">
      <c r="K9551" s="317"/>
    </row>
    <row r="9552">
      <c r="K9552" s="317"/>
    </row>
    <row r="9553">
      <c r="K9553" s="317"/>
    </row>
    <row r="9554">
      <c r="K9554" s="317"/>
    </row>
    <row r="9555">
      <c r="K9555" s="317"/>
    </row>
    <row r="9556">
      <c r="K9556" s="317"/>
    </row>
    <row r="9557">
      <c r="K9557" s="317"/>
    </row>
    <row r="9558">
      <c r="K9558" s="317"/>
    </row>
    <row r="9559">
      <c r="K9559" s="317"/>
    </row>
    <row r="9560">
      <c r="K9560" s="317"/>
    </row>
    <row r="9561">
      <c r="K9561" s="317"/>
    </row>
    <row r="9562">
      <c r="K9562" s="317"/>
    </row>
    <row r="9563">
      <c r="K9563" s="317"/>
    </row>
    <row r="9564">
      <c r="K9564" s="317"/>
    </row>
    <row r="9565">
      <c r="K9565" s="317"/>
    </row>
    <row r="9566">
      <c r="K9566" s="317"/>
    </row>
    <row r="9567">
      <c r="K9567" s="317"/>
    </row>
    <row r="9568">
      <c r="K9568" s="317"/>
    </row>
    <row r="9569">
      <c r="K9569" s="317"/>
    </row>
    <row r="9570">
      <c r="K9570" s="317"/>
    </row>
    <row r="9571">
      <c r="K9571" s="317"/>
    </row>
    <row r="9572">
      <c r="K9572" s="317"/>
    </row>
    <row r="9573">
      <c r="K9573" s="317"/>
    </row>
    <row r="9574">
      <c r="K9574" s="317"/>
    </row>
    <row r="9575">
      <c r="K9575" s="317"/>
    </row>
    <row r="9576">
      <c r="K9576" s="317"/>
    </row>
    <row r="9577">
      <c r="K9577" s="317"/>
    </row>
    <row r="9578">
      <c r="K9578" s="317"/>
    </row>
    <row r="9579">
      <c r="K9579" s="317"/>
    </row>
    <row r="9580">
      <c r="K9580" s="317"/>
    </row>
    <row r="9581">
      <c r="K9581" s="317"/>
    </row>
    <row r="9582">
      <c r="K9582" s="317"/>
    </row>
    <row r="9583">
      <c r="K9583" s="317"/>
    </row>
    <row r="9584">
      <c r="K9584" s="317"/>
    </row>
    <row r="9585">
      <c r="K9585" s="317"/>
    </row>
    <row r="9586">
      <c r="K9586" s="317"/>
    </row>
    <row r="9587">
      <c r="K9587" s="317"/>
    </row>
    <row r="9588">
      <c r="K9588" s="317"/>
    </row>
    <row r="9589">
      <c r="K9589" s="317"/>
    </row>
    <row r="9590">
      <c r="K9590" s="317"/>
    </row>
    <row r="9591">
      <c r="K9591" s="317"/>
    </row>
    <row r="9592">
      <c r="K9592" s="317"/>
    </row>
    <row r="9593">
      <c r="K9593" s="317"/>
    </row>
    <row r="9594">
      <c r="K9594" s="317"/>
    </row>
    <row r="9595">
      <c r="K9595" s="317"/>
    </row>
    <row r="9596">
      <c r="K9596" s="317"/>
    </row>
    <row r="9597">
      <c r="K9597" s="317"/>
    </row>
    <row r="9598">
      <c r="K9598" s="317"/>
    </row>
    <row r="9599">
      <c r="K9599" s="317"/>
    </row>
    <row r="9600">
      <c r="K9600" s="317"/>
    </row>
    <row r="9601">
      <c r="K9601" s="317"/>
    </row>
    <row r="9602">
      <c r="K9602" s="317"/>
    </row>
    <row r="9603">
      <c r="K9603" s="317"/>
    </row>
    <row r="9604">
      <c r="K9604" s="317"/>
    </row>
    <row r="9605">
      <c r="K9605" s="317"/>
    </row>
    <row r="9606">
      <c r="K9606" s="317"/>
    </row>
    <row r="9607">
      <c r="K9607" s="317"/>
    </row>
    <row r="9608">
      <c r="K9608" s="317"/>
    </row>
    <row r="9609">
      <c r="K9609" s="317"/>
    </row>
    <row r="9610">
      <c r="K9610" s="317"/>
    </row>
    <row r="9611">
      <c r="K9611" s="317"/>
    </row>
    <row r="9612">
      <c r="K9612" s="317"/>
    </row>
    <row r="9613">
      <c r="K9613" s="317"/>
    </row>
    <row r="9614">
      <c r="K9614" s="317"/>
    </row>
    <row r="9615">
      <c r="K9615" s="317"/>
    </row>
    <row r="9616">
      <c r="K9616" s="317"/>
    </row>
    <row r="9617">
      <c r="K9617" s="317"/>
    </row>
    <row r="9618">
      <c r="K9618" s="317"/>
    </row>
    <row r="9619">
      <c r="K9619" s="317"/>
    </row>
    <row r="9620">
      <c r="K9620" s="317"/>
    </row>
    <row r="9621">
      <c r="K9621" s="317"/>
    </row>
    <row r="9622">
      <c r="K9622" s="317"/>
    </row>
    <row r="9623">
      <c r="K9623" s="317"/>
    </row>
    <row r="9624">
      <c r="K9624" s="317"/>
    </row>
    <row r="9625">
      <c r="K9625" s="317"/>
    </row>
    <row r="9626">
      <c r="K9626" s="317"/>
    </row>
    <row r="9627">
      <c r="K9627" s="317"/>
    </row>
    <row r="9628">
      <c r="K9628" s="317"/>
    </row>
    <row r="9629">
      <c r="K9629" s="317"/>
    </row>
    <row r="9630">
      <c r="K9630" s="317"/>
    </row>
    <row r="9631">
      <c r="K9631" s="317"/>
    </row>
    <row r="9632">
      <c r="K9632" s="317"/>
    </row>
    <row r="9633">
      <c r="K9633" s="317"/>
    </row>
    <row r="9634">
      <c r="K9634" s="317"/>
    </row>
    <row r="9635">
      <c r="K9635" s="317"/>
    </row>
    <row r="9636">
      <c r="K9636" s="317"/>
    </row>
    <row r="9637">
      <c r="K9637" s="317"/>
    </row>
    <row r="9638">
      <c r="K9638" s="317"/>
    </row>
    <row r="9639">
      <c r="K9639" s="317"/>
    </row>
    <row r="9640">
      <c r="K9640" s="317"/>
    </row>
    <row r="9641">
      <c r="K9641" s="317"/>
    </row>
    <row r="9642">
      <c r="K9642" s="317"/>
    </row>
    <row r="9643">
      <c r="K9643" s="317"/>
    </row>
    <row r="9644">
      <c r="K9644" s="317"/>
    </row>
    <row r="9645">
      <c r="K9645" s="317"/>
    </row>
    <row r="9646">
      <c r="K9646" s="317"/>
    </row>
    <row r="9647">
      <c r="K9647" s="317"/>
    </row>
    <row r="9648">
      <c r="K9648" s="317"/>
    </row>
    <row r="9649">
      <c r="K9649" s="317"/>
    </row>
    <row r="9650">
      <c r="K9650" s="317"/>
    </row>
    <row r="9651">
      <c r="K9651" s="317"/>
    </row>
    <row r="9652">
      <c r="K9652" s="317"/>
    </row>
    <row r="9653">
      <c r="K9653" s="317"/>
    </row>
    <row r="9654">
      <c r="K9654" s="317"/>
    </row>
    <row r="9655">
      <c r="K9655" s="317"/>
    </row>
    <row r="9656">
      <c r="K9656" s="317"/>
    </row>
    <row r="9657">
      <c r="K9657" s="317"/>
    </row>
    <row r="9658">
      <c r="K9658" s="317"/>
    </row>
    <row r="9659">
      <c r="K9659" s="317"/>
    </row>
    <row r="9660">
      <c r="K9660" s="317"/>
    </row>
    <row r="9661">
      <c r="K9661" s="317"/>
    </row>
    <row r="9662">
      <c r="K9662" s="317"/>
    </row>
    <row r="9663">
      <c r="K9663" s="317"/>
    </row>
    <row r="9664">
      <c r="K9664" s="317"/>
    </row>
    <row r="9665">
      <c r="K9665" s="317"/>
    </row>
    <row r="9666">
      <c r="K9666" s="317"/>
    </row>
    <row r="9667">
      <c r="K9667" s="317"/>
    </row>
    <row r="9668">
      <c r="K9668" s="317"/>
    </row>
    <row r="9669">
      <c r="K9669" s="317"/>
    </row>
    <row r="9670">
      <c r="K9670" s="317"/>
    </row>
    <row r="9671">
      <c r="K9671" s="317"/>
    </row>
    <row r="9672">
      <c r="K9672" s="317"/>
    </row>
    <row r="9673">
      <c r="K9673" s="317"/>
    </row>
    <row r="9674">
      <c r="K9674" s="317"/>
    </row>
    <row r="9675">
      <c r="K9675" s="317"/>
    </row>
    <row r="9676">
      <c r="K9676" s="317"/>
    </row>
    <row r="9677">
      <c r="K9677" s="317"/>
    </row>
    <row r="9678">
      <c r="K9678" s="317"/>
    </row>
    <row r="9679">
      <c r="K9679" s="317"/>
    </row>
    <row r="9680">
      <c r="K9680" s="317"/>
    </row>
    <row r="9681">
      <c r="K9681" s="317"/>
    </row>
    <row r="9682">
      <c r="K9682" s="317"/>
    </row>
    <row r="9683">
      <c r="K9683" s="317"/>
    </row>
    <row r="9684">
      <c r="K9684" s="317"/>
    </row>
    <row r="9685">
      <c r="K9685" s="317"/>
    </row>
    <row r="9686">
      <c r="K9686" s="317"/>
    </row>
    <row r="9687">
      <c r="K9687" s="317"/>
    </row>
    <row r="9688">
      <c r="K9688" s="317"/>
    </row>
    <row r="9689">
      <c r="K9689" s="317"/>
    </row>
    <row r="9690">
      <c r="K9690" s="317"/>
    </row>
    <row r="9691">
      <c r="K9691" s="317"/>
    </row>
    <row r="9692">
      <c r="K9692" s="317"/>
    </row>
    <row r="9693">
      <c r="K9693" s="317"/>
    </row>
    <row r="9694">
      <c r="K9694" s="317"/>
    </row>
    <row r="9695">
      <c r="K9695" s="317"/>
    </row>
    <row r="9696">
      <c r="K9696" s="317"/>
    </row>
    <row r="9697">
      <c r="K9697" s="317"/>
    </row>
    <row r="9698">
      <c r="K9698" s="317"/>
    </row>
    <row r="9699">
      <c r="K9699" s="317"/>
    </row>
    <row r="9700">
      <c r="K9700" s="317"/>
    </row>
    <row r="9701">
      <c r="K9701" s="317"/>
    </row>
    <row r="9702">
      <c r="K9702" s="317"/>
    </row>
    <row r="9703">
      <c r="K9703" s="317"/>
    </row>
    <row r="9704">
      <c r="K9704" s="317"/>
    </row>
    <row r="9705">
      <c r="K9705" s="317"/>
    </row>
    <row r="9706">
      <c r="K9706" s="317"/>
    </row>
    <row r="9707">
      <c r="K9707" s="317"/>
    </row>
    <row r="9708">
      <c r="K9708" s="317"/>
    </row>
    <row r="9709">
      <c r="K9709" s="317"/>
    </row>
    <row r="9710">
      <c r="K9710" s="317"/>
    </row>
    <row r="9711">
      <c r="K9711" s="317"/>
    </row>
    <row r="9712">
      <c r="K9712" s="317"/>
    </row>
    <row r="9713">
      <c r="K9713" s="317"/>
    </row>
    <row r="9714">
      <c r="K9714" s="317"/>
    </row>
    <row r="9715">
      <c r="K9715" s="317"/>
    </row>
    <row r="9716">
      <c r="K9716" s="317"/>
    </row>
    <row r="9717">
      <c r="K9717" s="317"/>
    </row>
    <row r="9718">
      <c r="K9718" s="317"/>
    </row>
    <row r="9719">
      <c r="K9719" s="317"/>
    </row>
    <row r="9720">
      <c r="K9720" s="317"/>
    </row>
    <row r="9721">
      <c r="K9721" s="317"/>
    </row>
    <row r="9722">
      <c r="K9722" s="317"/>
    </row>
    <row r="9723">
      <c r="K9723" s="317"/>
    </row>
    <row r="9724">
      <c r="K9724" s="317"/>
    </row>
    <row r="9725">
      <c r="K9725" s="317"/>
    </row>
    <row r="9726">
      <c r="K9726" s="317"/>
    </row>
    <row r="9727">
      <c r="K9727" s="317"/>
    </row>
    <row r="9728">
      <c r="K9728" s="317"/>
    </row>
    <row r="9729">
      <c r="K9729" s="317"/>
    </row>
    <row r="9730">
      <c r="K9730" s="317"/>
    </row>
    <row r="9731">
      <c r="K9731" s="317"/>
    </row>
    <row r="9732">
      <c r="K9732" s="317"/>
    </row>
    <row r="9733">
      <c r="K9733" s="317"/>
    </row>
    <row r="9734">
      <c r="K9734" s="317"/>
    </row>
    <row r="9735">
      <c r="K9735" s="317"/>
    </row>
    <row r="9736">
      <c r="K9736" s="317"/>
    </row>
    <row r="9737">
      <c r="K9737" s="317"/>
    </row>
    <row r="9738">
      <c r="K9738" s="317"/>
    </row>
    <row r="9739">
      <c r="K9739" s="317"/>
    </row>
    <row r="9740">
      <c r="K9740" s="317"/>
    </row>
    <row r="9741">
      <c r="K9741" s="317"/>
    </row>
    <row r="9742">
      <c r="K9742" s="317"/>
    </row>
    <row r="9743">
      <c r="K9743" s="317"/>
    </row>
    <row r="9744">
      <c r="K9744" s="317"/>
    </row>
    <row r="9745">
      <c r="K9745" s="317"/>
    </row>
    <row r="9746">
      <c r="K9746" s="317"/>
    </row>
    <row r="9747">
      <c r="K9747" s="317"/>
    </row>
    <row r="9748">
      <c r="K9748" s="317"/>
    </row>
    <row r="9749">
      <c r="K9749" s="317"/>
    </row>
    <row r="9750">
      <c r="K9750" s="317"/>
    </row>
    <row r="9751">
      <c r="K9751" s="317"/>
    </row>
    <row r="9752">
      <c r="K9752" s="317"/>
    </row>
    <row r="9753">
      <c r="K9753" s="317"/>
    </row>
    <row r="9754">
      <c r="K9754" s="317"/>
    </row>
    <row r="9755">
      <c r="K9755" s="317"/>
    </row>
    <row r="9756">
      <c r="K9756" s="317"/>
    </row>
    <row r="9757">
      <c r="K9757" s="317"/>
    </row>
    <row r="9758">
      <c r="K9758" s="317"/>
    </row>
    <row r="9759">
      <c r="K9759" s="317"/>
    </row>
    <row r="9760">
      <c r="K9760" s="317"/>
    </row>
    <row r="9761">
      <c r="K9761" s="317"/>
    </row>
    <row r="9762">
      <c r="K9762" s="317"/>
    </row>
    <row r="9763">
      <c r="K9763" s="317"/>
    </row>
    <row r="9764">
      <c r="K9764" s="317"/>
    </row>
    <row r="9765">
      <c r="K9765" s="317"/>
    </row>
    <row r="9766">
      <c r="K9766" s="317"/>
    </row>
    <row r="9767">
      <c r="K9767" s="317"/>
    </row>
    <row r="9768">
      <c r="K9768" s="317"/>
    </row>
    <row r="9769">
      <c r="K9769" s="317"/>
    </row>
    <row r="9770">
      <c r="K9770" s="317"/>
    </row>
    <row r="9771">
      <c r="K9771" s="317"/>
    </row>
    <row r="9772">
      <c r="K9772" s="317"/>
    </row>
    <row r="9773">
      <c r="K9773" s="317"/>
    </row>
    <row r="9774">
      <c r="K9774" s="317"/>
    </row>
    <row r="9775">
      <c r="K9775" s="317"/>
    </row>
    <row r="9776">
      <c r="K9776" s="317"/>
    </row>
    <row r="9777">
      <c r="K9777" s="317"/>
    </row>
    <row r="9778">
      <c r="K9778" s="317"/>
    </row>
    <row r="9779">
      <c r="K9779" s="317"/>
    </row>
    <row r="9780">
      <c r="K9780" s="317"/>
    </row>
    <row r="9781">
      <c r="K9781" s="317"/>
    </row>
    <row r="9782">
      <c r="K9782" s="317"/>
    </row>
    <row r="9783">
      <c r="K9783" s="317"/>
    </row>
    <row r="9784">
      <c r="K9784" s="317"/>
    </row>
    <row r="9785">
      <c r="K9785" s="317"/>
    </row>
    <row r="9786">
      <c r="K9786" s="317"/>
    </row>
    <row r="9787">
      <c r="K9787" s="317"/>
    </row>
    <row r="9788">
      <c r="K9788" s="317"/>
    </row>
    <row r="9789">
      <c r="K9789" s="317"/>
    </row>
    <row r="9790">
      <c r="K9790" s="317"/>
    </row>
    <row r="9791">
      <c r="K9791" s="317"/>
    </row>
    <row r="9792">
      <c r="K9792" s="317"/>
    </row>
    <row r="9793">
      <c r="K9793" s="317"/>
    </row>
    <row r="9794">
      <c r="K9794" s="317"/>
    </row>
    <row r="9795">
      <c r="K9795" s="317"/>
    </row>
    <row r="9796">
      <c r="K9796" s="317"/>
    </row>
    <row r="9797">
      <c r="K9797" s="317"/>
    </row>
    <row r="9798">
      <c r="K9798" s="317"/>
    </row>
    <row r="9799">
      <c r="K9799" s="317"/>
    </row>
    <row r="9800">
      <c r="K9800" s="317"/>
    </row>
    <row r="9801">
      <c r="K9801" s="317"/>
    </row>
    <row r="9802">
      <c r="K9802" s="317"/>
    </row>
    <row r="9803">
      <c r="K9803" s="317"/>
    </row>
    <row r="9804">
      <c r="K9804" s="317"/>
    </row>
    <row r="9805">
      <c r="K9805" s="317"/>
    </row>
    <row r="9806">
      <c r="K9806" s="317"/>
    </row>
    <row r="9807">
      <c r="K9807" s="317"/>
    </row>
    <row r="9808">
      <c r="K9808" s="317"/>
    </row>
    <row r="9809">
      <c r="K9809" s="317"/>
    </row>
    <row r="9810">
      <c r="K9810" s="317"/>
    </row>
    <row r="9811">
      <c r="K9811" s="317"/>
    </row>
    <row r="9812">
      <c r="K9812" s="317"/>
    </row>
    <row r="9813">
      <c r="K9813" s="317"/>
    </row>
    <row r="9814">
      <c r="K9814" s="317"/>
    </row>
    <row r="9815">
      <c r="K9815" s="317"/>
    </row>
    <row r="9816">
      <c r="K9816" s="317"/>
    </row>
    <row r="9817">
      <c r="K9817" s="317"/>
    </row>
    <row r="9818">
      <c r="K9818" s="317"/>
    </row>
    <row r="9819">
      <c r="K9819" s="317"/>
    </row>
    <row r="9820">
      <c r="K9820" s="317"/>
    </row>
    <row r="9821">
      <c r="K9821" s="317"/>
    </row>
    <row r="9822">
      <c r="K9822" s="317"/>
    </row>
    <row r="9823">
      <c r="K9823" s="317"/>
    </row>
    <row r="9824">
      <c r="K9824" s="317"/>
    </row>
    <row r="9825">
      <c r="K9825" s="317"/>
    </row>
    <row r="9826">
      <c r="K9826" s="317"/>
    </row>
    <row r="9827">
      <c r="K9827" s="317"/>
    </row>
    <row r="9828">
      <c r="K9828" s="317"/>
    </row>
    <row r="9829">
      <c r="K9829" s="317"/>
    </row>
    <row r="9830">
      <c r="K9830" s="317"/>
    </row>
    <row r="9831">
      <c r="K9831" s="317"/>
    </row>
    <row r="9832">
      <c r="K9832" s="317"/>
    </row>
    <row r="9833">
      <c r="K9833" s="317"/>
    </row>
    <row r="9834">
      <c r="K9834" s="317"/>
    </row>
    <row r="9835">
      <c r="K9835" s="317"/>
    </row>
    <row r="9836">
      <c r="K9836" s="317"/>
    </row>
    <row r="9837">
      <c r="K9837" s="317"/>
    </row>
    <row r="9838">
      <c r="K9838" s="317"/>
    </row>
    <row r="9839">
      <c r="K9839" s="317"/>
    </row>
    <row r="9840">
      <c r="K9840" s="317"/>
    </row>
    <row r="9841">
      <c r="K9841" s="317"/>
    </row>
    <row r="9842">
      <c r="K9842" s="317"/>
    </row>
    <row r="9843">
      <c r="K9843" s="317"/>
    </row>
    <row r="9844">
      <c r="K9844" s="317"/>
    </row>
    <row r="9845">
      <c r="K9845" s="317"/>
    </row>
    <row r="9846">
      <c r="K9846" s="317"/>
    </row>
    <row r="9847">
      <c r="K9847" s="317"/>
    </row>
    <row r="9848">
      <c r="K9848" s="317"/>
    </row>
    <row r="9849">
      <c r="K9849" s="317"/>
    </row>
    <row r="9850">
      <c r="K9850" s="317"/>
    </row>
    <row r="9851">
      <c r="K9851" s="317"/>
    </row>
    <row r="9852">
      <c r="K9852" s="317"/>
    </row>
    <row r="9853">
      <c r="K9853" s="317"/>
    </row>
    <row r="9854">
      <c r="K9854" s="317"/>
    </row>
    <row r="9855">
      <c r="K9855" s="317"/>
    </row>
    <row r="9856">
      <c r="K9856" s="317"/>
    </row>
    <row r="9857">
      <c r="K9857" s="317"/>
    </row>
    <row r="9858">
      <c r="K9858" s="317"/>
    </row>
    <row r="9859">
      <c r="K9859" s="317"/>
    </row>
    <row r="9860">
      <c r="K9860" s="317"/>
    </row>
    <row r="9861">
      <c r="K9861" s="317"/>
    </row>
    <row r="9862">
      <c r="K9862" s="317"/>
    </row>
    <row r="9863">
      <c r="K9863" s="317"/>
    </row>
    <row r="9864">
      <c r="K9864" s="317"/>
    </row>
    <row r="9865">
      <c r="K9865" s="317"/>
    </row>
    <row r="9866">
      <c r="K9866" s="317"/>
    </row>
    <row r="9867">
      <c r="K9867" s="317"/>
    </row>
    <row r="9868">
      <c r="K9868" s="317"/>
    </row>
    <row r="9869">
      <c r="K9869" s="317"/>
    </row>
    <row r="9870">
      <c r="K9870" s="317"/>
    </row>
    <row r="9871">
      <c r="K9871" s="317"/>
    </row>
    <row r="9872">
      <c r="K9872" s="317"/>
    </row>
    <row r="9873">
      <c r="K9873" s="317"/>
    </row>
    <row r="9874">
      <c r="K9874" s="317"/>
    </row>
    <row r="9875">
      <c r="K9875" s="317"/>
    </row>
    <row r="9876">
      <c r="K9876" s="317"/>
    </row>
    <row r="9877">
      <c r="K9877" s="317"/>
    </row>
    <row r="9878">
      <c r="K9878" s="317"/>
    </row>
    <row r="9879">
      <c r="K9879" s="317"/>
    </row>
    <row r="9880">
      <c r="K9880" s="317"/>
    </row>
    <row r="9881">
      <c r="K9881" s="317"/>
    </row>
    <row r="9882">
      <c r="K9882" s="317"/>
    </row>
    <row r="9883">
      <c r="K9883" s="317"/>
    </row>
    <row r="9884">
      <c r="K9884" s="317"/>
    </row>
    <row r="9885">
      <c r="K9885" s="317"/>
    </row>
    <row r="9886">
      <c r="K9886" s="317"/>
    </row>
    <row r="9887">
      <c r="K9887" s="317"/>
    </row>
    <row r="9888">
      <c r="K9888" s="317"/>
    </row>
    <row r="9889">
      <c r="K9889" s="317"/>
    </row>
    <row r="9890">
      <c r="K9890" s="317"/>
    </row>
    <row r="9891">
      <c r="K9891" s="317"/>
    </row>
    <row r="9892">
      <c r="K9892" s="317"/>
    </row>
    <row r="9893">
      <c r="K9893" s="317"/>
    </row>
    <row r="9894">
      <c r="K9894" s="317"/>
    </row>
    <row r="9895">
      <c r="K9895" s="317"/>
    </row>
    <row r="9896">
      <c r="K9896" s="317"/>
    </row>
    <row r="9897">
      <c r="K9897" s="317"/>
    </row>
    <row r="9898">
      <c r="K9898" s="317"/>
    </row>
    <row r="9899">
      <c r="K9899" s="317"/>
    </row>
    <row r="9900">
      <c r="K9900" s="317"/>
    </row>
    <row r="9901">
      <c r="K9901" s="317"/>
    </row>
    <row r="9902">
      <c r="K9902" s="317"/>
    </row>
    <row r="9903">
      <c r="K9903" s="317"/>
    </row>
    <row r="9904">
      <c r="K9904" s="317"/>
    </row>
    <row r="9905">
      <c r="K9905" s="317"/>
    </row>
    <row r="9906">
      <c r="K9906" s="317"/>
    </row>
    <row r="9907">
      <c r="K9907" s="317"/>
    </row>
    <row r="9908">
      <c r="K9908" s="317"/>
    </row>
    <row r="9909">
      <c r="K9909" s="317"/>
    </row>
    <row r="9910">
      <c r="K9910" s="317"/>
    </row>
    <row r="9911">
      <c r="K9911" s="317"/>
    </row>
    <row r="9912">
      <c r="K9912" s="317"/>
    </row>
    <row r="9913">
      <c r="K9913" s="317"/>
    </row>
    <row r="9914">
      <c r="K9914" s="317"/>
    </row>
    <row r="9915">
      <c r="K9915" s="317"/>
    </row>
    <row r="9916">
      <c r="K9916" s="317"/>
    </row>
    <row r="9917">
      <c r="K9917" s="317"/>
    </row>
    <row r="9918">
      <c r="K9918" s="317"/>
    </row>
    <row r="9919">
      <c r="K9919" s="317"/>
    </row>
    <row r="9920">
      <c r="K9920" s="317"/>
    </row>
    <row r="9921">
      <c r="K9921" s="317"/>
    </row>
    <row r="9922">
      <c r="K9922" s="317"/>
    </row>
    <row r="9923">
      <c r="K9923" s="317"/>
    </row>
    <row r="9924">
      <c r="K9924" s="317"/>
    </row>
    <row r="9925">
      <c r="K9925" s="317"/>
    </row>
    <row r="9926">
      <c r="K9926" s="317"/>
    </row>
    <row r="9927">
      <c r="K9927" s="317"/>
    </row>
    <row r="9928">
      <c r="K9928" s="317"/>
    </row>
    <row r="9929">
      <c r="K9929" s="317"/>
    </row>
    <row r="9930">
      <c r="K9930" s="317"/>
    </row>
    <row r="9931">
      <c r="K9931" s="317"/>
    </row>
    <row r="9932">
      <c r="K9932" s="317"/>
    </row>
    <row r="9933">
      <c r="K9933" s="317"/>
    </row>
    <row r="9934">
      <c r="K9934" s="317"/>
    </row>
    <row r="9935">
      <c r="K9935" s="317"/>
    </row>
    <row r="9936">
      <c r="K9936" s="317"/>
    </row>
    <row r="9937">
      <c r="K9937" s="317"/>
    </row>
    <row r="9938">
      <c r="K9938" s="317"/>
    </row>
    <row r="9939">
      <c r="K9939" s="317"/>
    </row>
    <row r="9940">
      <c r="K9940" s="317"/>
    </row>
    <row r="9941">
      <c r="K9941" s="317"/>
    </row>
    <row r="9942">
      <c r="K9942" s="317"/>
    </row>
    <row r="9943">
      <c r="K9943" s="317"/>
    </row>
    <row r="9944">
      <c r="K9944" s="317"/>
    </row>
    <row r="9945">
      <c r="K9945" s="317"/>
    </row>
    <row r="9946">
      <c r="K9946" s="317"/>
    </row>
    <row r="9947">
      <c r="K9947" s="317"/>
    </row>
    <row r="9948">
      <c r="K9948" s="317"/>
    </row>
    <row r="9949">
      <c r="K9949" s="317"/>
    </row>
    <row r="9950">
      <c r="K9950" s="317"/>
    </row>
    <row r="9951">
      <c r="K9951" s="317"/>
    </row>
    <row r="9952">
      <c r="K9952" s="317"/>
    </row>
    <row r="9953">
      <c r="K9953" s="317"/>
    </row>
    <row r="9954">
      <c r="K9954" s="317"/>
    </row>
    <row r="9955">
      <c r="K9955" s="317"/>
    </row>
    <row r="9956">
      <c r="K9956" s="317"/>
    </row>
    <row r="9957">
      <c r="K9957" s="317"/>
    </row>
    <row r="9958">
      <c r="K9958" s="317"/>
    </row>
    <row r="9959">
      <c r="K9959" s="317"/>
    </row>
    <row r="9960">
      <c r="K9960" s="317"/>
    </row>
    <row r="9961">
      <c r="K9961" s="317"/>
    </row>
    <row r="9962">
      <c r="K9962" s="317"/>
    </row>
    <row r="9963">
      <c r="K9963" s="317"/>
    </row>
    <row r="9964">
      <c r="K9964" s="317"/>
    </row>
    <row r="9965">
      <c r="K9965" s="317"/>
    </row>
    <row r="9966">
      <c r="K9966" s="317"/>
    </row>
    <row r="9967">
      <c r="K9967" s="317"/>
    </row>
    <row r="9968">
      <c r="K9968" s="317"/>
    </row>
    <row r="9969">
      <c r="K9969" s="317"/>
    </row>
    <row r="9970">
      <c r="K9970" s="317"/>
    </row>
    <row r="9971">
      <c r="K9971" s="317"/>
    </row>
    <row r="9972">
      <c r="K9972" s="317"/>
    </row>
    <row r="9973">
      <c r="K9973" s="317"/>
    </row>
    <row r="9974">
      <c r="K9974" s="317"/>
    </row>
    <row r="9975">
      <c r="K9975" s="317"/>
    </row>
    <row r="9976">
      <c r="K9976" s="317"/>
    </row>
    <row r="9977">
      <c r="K9977" s="317"/>
    </row>
    <row r="9978">
      <c r="K9978" s="317"/>
    </row>
    <row r="9979">
      <c r="K9979" s="317"/>
    </row>
    <row r="9980">
      <c r="K9980" s="317"/>
    </row>
    <row r="9981">
      <c r="K9981" s="317"/>
    </row>
    <row r="9982">
      <c r="K9982" s="317"/>
    </row>
    <row r="9983">
      <c r="K9983" s="317"/>
    </row>
    <row r="9984">
      <c r="K9984" s="317"/>
    </row>
    <row r="9985">
      <c r="K9985" s="317"/>
    </row>
    <row r="9986">
      <c r="K9986" s="317"/>
    </row>
    <row r="9987">
      <c r="K9987" s="317"/>
    </row>
    <row r="9988">
      <c r="K9988" s="317"/>
    </row>
    <row r="9989">
      <c r="K9989" s="317"/>
    </row>
    <row r="9990">
      <c r="K9990" s="317"/>
    </row>
    <row r="9991">
      <c r="K9991" s="317"/>
    </row>
    <row r="9992">
      <c r="K9992" s="317"/>
    </row>
    <row r="9993">
      <c r="K9993" s="317"/>
    </row>
    <row r="9994">
      <c r="K9994" s="317"/>
    </row>
    <row r="9995">
      <c r="K9995" s="317"/>
    </row>
    <row r="9996">
      <c r="K9996" s="317"/>
    </row>
    <row r="9997">
      <c r="K9997" s="317"/>
    </row>
    <row r="9998">
      <c r="K9998" s="317"/>
    </row>
    <row r="9999">
      <c r="K9999" s="317"/>
    </row>
    <row r="10000">
      <c r="K10000" s="317"/>
    </row>
    <row r="10001">
      <c r="K10001" s="317"/>
    </row>
    <row r="10002">
      <c r="K10002" s="317"/>
    </row>
    <row r="10003">
      <c r="K10003" s="317"/>
    </row>
    <row r="10004">
      <c r="K10004" s="317"/>
    </row>
    <row r="10005">
      <c r="K10005" s="317"/>
    </row>
    <row r="10006">
      <c r="K10006" s="317"/>
    </row>
    <row r="10007">
      <c r="K10007" s="317"/>
    </row>
    <row r="10008">
      <c r="K10008" s="317"/>
    </row>
    <row r="10009">
      <c r="K10009" s="317"/>
    </row>
    <row r="10010">
      <c r="K10010" s="317"/>
    </row>
    <row r="10011">
      <c r="K10011" s="317"/>
    </row>
    <row r="10012">
      <c r="K10012" s="317"/>
    </row>
    <row r="10013">
      <c r="K10013" s="317"/>
    </row>
    <row r="10014">
      <c r="K10014" s="317"/>
    </row>
    <row r="10015">
      <c r="K10015" s="317"/>
    </row>
    <row r="10016">
      <c r="K10016" s="317"/>
    </row>
    <row r="10017">
      <c r="K10017" s="317"/>
    </row>
    <row r="10018">
      <c r="K10018" s="317"/>
    </row>
    <row r="10019">
      <c r="K10019" s="317"/>
    </row>
    <row r="10020">
      <c r="K10020" s="317"/>
    </row>
    <row r="10021">
      <c r="K10021" s="317"/>
    </row>
    <row r="10022">
      <c r="K10022" s="317"/>
    </row>
    <row r="10023">
      <c r="K10023" s="317"/>
    </row>
    <row r="10024">
      <c r="K10024" s="317"/>
    </row>
    <row r="10025">
      <c r="K10025" s="317"/>
    </row>
    <row r="10026">
      <c r="K10026" s="317"/>
    </row>
    <row r="10027">
      <c r="K10027" s="317"/>
    </row>
    <row r="10028">
      <c r="K10028" s="317"/>
    </row>
    <row r="10029">
      <c r="K10029" s="317"/>
    </row>
    <row r="10030">
      <c r="K10030" s="317"/>
    </row>
    <row r="10031">
      <c r="K10031" s="317"/>
    </row>
    <row r="10032">
      <c r="K10032" s="317"/>
    </row>
    <row r="10033">
      <c r="K10033" s="317"/>
    </row>
    <row r="10034">
      <c r="K10034" s="317"/>
    </row>
    <row r="10035">
      <c r="K10035" s="317"/>
    </row>
    <row r="10036">
      <c r="K10036" s="317"/>
    </row>
    <row r="10037">
      <c r="K10037" s="317"/>
    </row>
    <row r="10038">
      <c r="K10038" s="317"/>
    </row>
    <row r="10039">
      <c r="K10039" s="317"/>
    </row>
    <row r="10040">
      <c r="K10040" s="317"/>
    </row>
    <row r="10041">
      <c r="K10041" s="317"/>
    </row>
    <row r="10042">
      <c r="K10042" s="317"/>
    </row>
    <row r="10043">
      <c r="K10043" s="317"/>
    </row>
    <row r="10044">
      <c r="K10044" s="317"/>
    </row>
    <row r="10045">
      <c r="K10045" s="317"/>
    </row>
    <row r="10046">
      <c r="K10046" s="317"/>
    </row>
    <row r="10047">
      <c r="K10047" s="317"/>
    </row>
    <row r="10048">
      <c r="K10048" s="317"/>
    </row>
    <row r="10049">
      <c r="K10049" s="317"/>
    </row>
    <row r="10050">
      <c r="K10050" s="317"/>
    </row>
    <row r="10051">
      <c r="K10051" s="317"/>
    </row>
    <row r="10052">
      <c r="K10052" s="317"/>
    </row>
    <row r="10053">
      <c r="K10053" s="317"/>
    </row>
    <row r="10054">
      <c r="K10054" s="317"/>
    </row>
    <row r="10055">
      <c r="K10055" s="317"/>
    </row>
    <row r="10056">
      <c r="K10056" s="317"/>
    </row>
    <row r="10057">
      <c r="K10057" s="317"/>
    </row>
    <row r="10058">
      <c r="K10058" s="317"/>
    </row>
    <row r="10059">
      <c r="K10059" s="317"/>
    </row>
    <row r="10060">
      <c r="K10060" s="317"/>
    </row>
    <row r="10061">
      <c r="K10061" s="317"/>
    </row>
    <row r="10062">
      <c r="K10062" s="317"/>
    </row>
    <row r="10063">
      <c r="K10063" s="317"/>
    </row>
    <row r="10064">
      <c r="K10064" s="317"/>
    </row>
    <row r="10065">
      <c r="K10065" s="317"/>
    </row>
    <row r="10066">
      <c r="K10066" s="317"/>
    </row>
    <row r="10067">
      <c r="K10067" s="317"/>
    </row>
    <row r="10068">
      <c r="K10068" s="317"/>
    </row>
    <row r="10069">
      <c r="K10069" s="317"/>
    </row>
    <row r="10070">
      <c r="K10070" s="317"/>
    </row>
    <row r="10071">
      <c r="K10071" s="317"/>
    </row>
    <row r="10072">
      <c r="K10072" s="317"/>
    </row>
    <row r="10073">
      <c r="K10073" s="317"/>
    </row>
    <row r="10074">
      <c r="K10074" s="317"/>
    </row>
    <row r="10075">
      <c r="K10075" s="317"/>
    </row>
    <row r="10076">
      <c r="K10076" s="317"/>
    </row>
    <row r="10077">
      <c r="K10077" s="317"/>
    </row>
    <row r="10078">
      <c r="K10078" s="317"/>
    </row>
    <row r="10079">
      <c r="K10079" s="317"/>
    </row>
    <row r="10080">
      <c r="K10080" s="317"/>
    </row>
    <row r="10081">
      <c r="K10081" s="317"/>
    </row>
    <row r="10082">
      <c r="K10082" s="317"/>
    </row>
    <row r="10083">
      <c r="K10083" s="317"/>
    </row>
    <row r="10084">
      <c r="K10084" s="317"/>
    </row>
    <row r="10085">
      <c r="K10085" s="317"/>
    </row>
    <row r="10086">
      <c r="K10086" s="317"/>
    </row>
    <row r="10087">
      <c r="K10087" s="317"/>
    </row>
    <row r="10088">
      <c r="K10088" s="317"/>
    </row>
    <row r="10089">
      <c r="K10089" s="317"/>
    </row>
    <row r="10090">
      <c r="K10090" s="317"/>
    </row>
    <row r="10091">
      <c r="K10091" s="317"/>
    </row>
    <row r="10092">
      <c r="K10092" s="317"/>
    </row>
    <row r="10093">
      <c r="K10093" s="317"/>
    </row>
    <row r="10094">
      <c r="K10094" s="317"/>
    </row>
    <row r="10095">
      <c r="K10095" s="317"/>
    </row>
    <row r="10096">
      <c r="K10096" s="317"/>
    </row>
    <row r="10097">
      <c r="K10097" s="317"/>
    </row>
    <row r="10098">
      <c r="K10098" s="317"/>
    </row>
    <row r="10099">
      <c r="K10099" s="317"/>
    </row>
    <row r="10100">
      <c r="K10100" s="317"/>
    </row>
    <row r="10101">
      <c r="K10101" s="317"/>
    </row>
    <row r="10102">
      <c r="K10102" s="317"/>
    </row>
    <row r="10103">
      <c r="K10103" s="317"/>
    </row>
    <row r="10104">
      <c r="K10104" s="317"/>
    </row>
    <row r="10105">
      <c r="K10105" s="317"/>
    </row>
    <row r="10106">
      <c r="K10106" s="317"/>
    </row>
    <row r="10107">
      <c r="K10107" s="317"/>
    </row>
    <row r="10108">
      <c r="K10108" s="317"/>
    </row>
    <row r="10109">
      <c r="K10109" s="317"/>
    </row>
    <row r="10110">
      <c r="K10110" s="317"/>
    </row>
    <row r="10111">
      <c r="K10111" s="317"/>
    </row>
    <row r="10112">
      <c r="K10112" s="317"/>
    </row>
    <row r="10113">
      <c r="K10113" s="317"/>
    </row>
    <row r="10114">
      <c r="K10114" s="317"/>
    </row>
    <row r="10115">
      <c r="K10115" s="317"/>
    </row>
    <row r="10116">
      <c r="K10116" s="317"/>
    </row>
    <row r="10117">
      <c r="K10117" s="317"/>
    </row>
    <row r="10118">
      <c r="K10118" s="317"/>
    </row>
    <row r="10119">
      <c r="K10119" s="317"/>
    </row>
    <row r="10120">
      <c r="K10120" s="317"/>
    </row>
    <row r="10121">
      <c r="K10121" s="317"/>
    </row>
    <row r="10122">
      <c r="K10122" s="317"/>
    </row>
    <row r="10123">
      <c r="K10123" s="317"/>
    </row>
    <row r="10124">
      <c r="K10124" s="317"/>
    </row>
    <row r="10125">
      <c r="K10125" s="317"/>
    </row>
    <row r="10126">
      <c r="K10126" s="317"/>
    </row>
    <row r="10127">
      <c r="K10127" s="317"/>
    </row>
    <row r="10128">
      <c r="K10128" s="317"/>
    </row>
    <row r="10129">
      <c r="K10129" s="317"/>
    </row>
    <row r="10130">
      <c r="K10130" s="317"/>
    </row>
    <row r="10131">
      <c r="K10131" s="317"/>
    </row>
    <row r="10132">
      <c r="K10132" s="317"/>
    </row>
    <row r="10133">
      <c r="K10133" s="317"/>
    </row>
    <row r="10134">
      <c r="K10134" s="317"/>
    </row>
    <row r="10135">
      <c r="K10135" s="317"/>
    </row>
    <row r="10136">
      <c r="K10136" s="317"/>
    </row>
    <row r="10137">
      <c r="K10137" s="317"/>
    </row>
    <row r="10138">
      <c r="K10138" s="317"/>
    </row>
    <row r="10139">
      <c r="K10139" s="317"/>
    </row>
    <row r="10140">
      <c r="K10140" s="317"/>
    </row>
    <row r="10141">
      <c r="K10141" s="317"/>
    </row>
    <row r="10142">
      <c r="K10142" s="317"/>
    </row>
    <row r="10143">
      <c r="K10143" s="317"/>
    </row>
    <row r="10144">
      <c r="K10144" s="317"/>
    </row>
    <row r="10145">
      <c r="K10145" s="317"/>
    </row>
    <row r="10146">
      <c r="K10146" s="317"/>
    </row>
    <row r="10147">
      <c r="K10147" s="317"/>
    </row>
    <row r="10148">
      <c r="K10148" s="317"/>
    </row>
    <row r="10149">
      <c r="K10149" s="317"/>
    </row>
    <row r="10150">
      <c r="K10150" s="317"/>
    </row>
    <row r="10151">
      <c r="K10151" s="317"/>
    </row>
    <row r="10152">
      <c r="K10152" s="317"/>
    </row>
    <row r="10153">
      <c r="K10153" s="317"/>
    </row>
    <row r="10154">
      <c r="K10154" s="317"/>
    </row>
    <row r="10155">
      <c r="K10155" s="317"/>
    </row>
    <row r="10156">
      <c r="K10156" s="317"/>
    </row>
    <row r="10157">
      <c r="K10157" s="317"/>
    </row>
    <row r="10158">
      <c r="K10158" s="317"/>
    </row>
    <row r="10159">
      <c r="K10159" s="317"/>
    </row>
    <row r="10160">
      <c r="K10160" s="317"/>
    </row>
    <row r="10161">
      <c r="K10161" s="317"/>
    </row>
    <row r="10162">
      <c r="K10162" s="317"/>
    </row>
    <row r="10163">
      <c r="K10163" s="317"/>
    </row>
    <row r="10164">
      <c r="K10164" s="317"/>
    </row>
    <row r="10165">
      <c r="K10165" s="317"/>
    </row>
    <row r="10166">
      <c r="K10166" s="317"/>
    </row>
    <row r="10167">
      <c r="K10167" s="317"/>
    </row>
    <row r="10168">
      <c r="K10168" s="317"/>
    </row>
    <row r="10169">
      <c r="K10169" s="317"/>
    </row>
    <row r="10170">
      <c r="K10170" s="317"/>
    </row>
    <row r="10171">
      <c r="K10171" s="317"/>
    </row>
    <row r="10172">
      <c r="K10172" s="317"/>
    </row>
    <row r="10173">
      <c r="K10173" s="317"/>
    </row>
    <row r="10174">
      <c r="K10174" s="317"/>
    </row>
    <row r="10175">
      <c r="K10175" s="317"/>
    </row>
    <row r="10176">
      <c r="K10176" s="317"/>
    </row>
    <row r="10177">
      <c r="K10177" s="317"/>
    </row>
    <row r="10178">
      <c r="K10178" s="317"/>
    </row>
    <row r="10179">
      <c r="K10179" s="317"/>
    </row>
    <row r="10180">
      <c r="K10180" s="317"/>
    </row>
    <row r="10181">
      <c r="K10181" s="317"/>
    </row>
    <row r="10182">
      <c r="K10182" s="317"/>
    </row>
    <row r="10183">
      <c r="K10183" s="317"/>
    </row>
    <row r="10184">
      <c r="K10184" s="317"/>
    </row>
    <row r="10185">
      <c r="K10185" s="317"/>
    </row>
    <row r="10186">
      <c r="K10186" s="317"/>
    </row>
    <row r="10187">
      <c r="K10187" s="317"/>
    </row>
    <row r="10188">
      <c r="K10188" s="317"/>
    </row>
    <row r="10189">
      <c r="K10189" s="317"/>
    </row>
    <row r="10190">
      <c r="K10190" s="317"/>
    </row>
    <row r="10191">
      <c r="K10191" s="317"/>
    </row>
    <row r="10192">
      <c r="K10192" s="317"/>
    </row>
    <row r="10193">
      <c r="K10193" s="317"/>
    </row>
    <row r="10194">
      <c r="K10194" s="317"/>
    </row>
    <row r="10195">
      <c r="K10195" s="317"/>
    </row>
    <row r="10196">
      <c r="K10196" s="317"/>
    </row>
    <row r="10197">
      <c r="K10197" s="317"/>
    </row>
    <row r="10198">
      <c r="K10198" s="317"/>
    </row>
    <row r="10199">
      <c r="K10199" s="317"/>
    </row>
    <row r="10200">
      <c r="K10200" s="317"/>
    </row>
    <row r="10201">
      <c r="K10201" s="317"/>
    </row>
    <row r="10202">
      <c r="K10202" s="317"/>
    </row>
    <row r="10203">
      <c r="K10203" s="317"/>
    </row>
    <row r="10204">
      <c r="K10204" s="317"/>
    </row>
    <row r="10205">
      <c r="K10205" s="317"/>
    </row>
    <row r="10206">
      <c r="K10206" s="317"/>
    </row>
    <row r="10207">
      <c r="K10207" s="317"/>
    </row>
    <row r="10208">
      <c r="K10208" s="317"/>
    </row>
    <row r="10209">
      <c r="K10209" s="317"/>
    </row>
    <row r="10210">
      <c r="K10210" s="317"/>
    </row>
    <row r="10211">
      <c r="K10211" s="317"/>
    </row>
    <row r="10212">
      <c r="K10212" s="317"/>
    </row>
    <row r="10213">
      <c r="K10213" s="317"/>
    </row>
    <row r="10214">
      <c r="K10214" s="317"/>
    </row>
    <row r="10215">
      <c r="K10215" s="317"/>
    </row>
    <row r="10216">
      <c r="K10216" s="317"/>
    </row>
    <row r="10217">
      <c r="K10217" s="317"/>
    </row>
    <row r="10218">
      <c r="K10218" s="317"/>
    </row>
    <row r="10219">
      <c r="K10219" s="317"/>
    </row>
    <row r="10220">
      <c r="K10220" s="317"/>
    </row>
    <row r="10221">
      <c r="K10221" s="317"/>
    </row>
    <row r="10222">
      <c r="K10222" s="317"/>
    </row>
    <row r="10223">
      <c r="K10223" s="317"/>
    </row>
    <row r="10224">
      <c r="K10224" s="317"/>
    </row>
    <row r="10225">
      <c r="K10225" s="317"/>
    </row>
    <row r="10226">
      <c r="K10226" s="317"/>
    </row>
    <row r="10227">
      <c r="K10227" s="317"/>
    </row>
    <row r="10228">
      <c r="K10228" s="317"/>
    </row>
    <row r="10229">
      <c r="K10229" s="317"/>
    </row>
    <row r="10230">
      <c r="K10230" s="317"/>
    </row>
    <row r="10231">
      <c r="K10231" s="317"/>
    </row>
    <row r="10232">
      <c r="K10232" s="317"/>
    </row>
    <row r="10233">
      <c r="K10233" s="317"/>
    </row>
    <row r="10234">
      <c r="K10234" s="317"/>
    </row>
    <row r="10235">
      <c r="K10235" s="317"/>
    </row>
    <row r="10236">
      <c r="K10236" s="317"/>
    </row>
    <row r="10237">
      <c r="K10237" s="317"/>
    </row>
    <row r="10238">
      <c r="K10238" s="317"/>
    </row>
    <row r="10239">
      <c r="K10239" s="317"/>
    </row>
    <row r="10240">
      <c r="K10240" s="317"/>
    </row>
    <row r="10241">
      <c r="K10241" s="317"/>
    </row>
    <row r="10242">
      <c r="K10242" s="317"/>
    </row>
    <row r="10243">
      <c r="K10243" s="317"/>
    </row>
    <row r="10244">
      <c r="K10244" s="317"/>
    </row>
    <row r="10245">
      <c r="K10245" s="317"/>
    </row>
    <row r="10246">
      <c r="K10246" s="317"/>
    </row>
    <row r="10247">
      <c r="K10247" s="317"/>
    </row>
    <row r="10248">
      <c r="K10248" s="317"/>
    </row>
    <row r="10249">
      <c r="K10249" s="317"/>
    </row>
    <row r="10250">
      <c r="K10250" s="317"/>
    </row>
    <row r="10251">
      <c r="K10251" s="317"/>
    </row>
    <row r="10252">
      <c r="K10252" s="317"/>
    </row>
    <row r="10253">
      <c r="K10253" s="317"/>
    </row>
    <row r="10254">
      <c r="K10254" s="317"/>
    </row>
    <row r="10255">
      <c r="K10255" s="317"/>
    </row>
    <row r="10256">
      <c r="K10256" s="317"/>
    </row>
    <row r="10257">
      <c r="K10257" s="317"/>
    </row>
    <row r="10258">
      <c r="K10258" s="317"/>
    </row>
    <row r="10259">
      <c r="K10259" s="317"/>
    </row>
    <row r="10260">
      <c r="K10260" s="317"/>
    </row>
    <row r="10261">
      <c r="K10261" s="317"/>
    </row>
    <row r="10262">
      <c r="K10262" s="317"/>
    </row>
    <row r="10263">
      <c r="K10263" s="317"/>
    </row>
    <row r="10264">
      <c r="K10264" s="317"/>
    </row>
    <row r="10265">
      <c r="K10265" s="317"/>
    </row>
    <row r="10266">
      <c r="K10266" s="317"/>
    </row>
    <row r="10267">
      <c r="K10267" s="317"/>
    </row>
    <row r="10268">
      <c r="K10268" s="317"/>
    </row>
    <row r="10269">
      <c r="K10269" s="317"/>
    </row>
    <row r="10270">
      <c r="K10270" s="317"/>
    </row>
    <row r="10271">
      <c r="K10271" s="317"/>
    </row>
    <row r="10272">
      <c r="K10272" s="317"/>
    </row>
    <row r="10273">
      <c r="K10273" s="317"/>
    </row>
    <row r="10274">
      <c r="K10274" s="317"/>
    </row>
    <row r="10275">
      <c r="K10275" s="317"/>
    </row>
    <row r="10276">
      <c r="K10276" s="317"/>
    </row>
    <row r="10277">
      <c r="K10277" s="317"/>
    </row>
    <row r="10278">
      <c r="K10278" s="317"/>
    </row>
    <row r="10279">
      <c r="K10279" s="317"/>
    </row>
    <row r="10280">
      <c r="K10280" s="317"/>
    </row>
    <row r="10281">
      <c r="K10281" s="317"/>
    </row>
    <row r="10282">
      <c r="K10282" s="317"/>
    </row>
    <row r="10283">
      <c r="K10283" s="317"/>
    </row>
    <row r="10284">
      <c r="K10284" s="317"/>
    </row>
    <row r="10285">
      <c r="K10285" s="317"/>
    </row>
    <row r="10286">
      <c r="K10286" s="317"/>
    </row>
    <row r="10287">
      <c r="K10287" s="317"/>
    </row>
    <row r="10288">
      <c r="K10288" s="317"/>
    </row>
    <row r="10289">
      <c r="K10289" s="317"/>
    </row>
    <row r="10290">
      <c r="K10290" s="317"/>
    </row>
    <row r="10291">
      <c r="K10291" s="317"/>
    </row>
    <row r="10292">
      <c r="K10292" s="317"/>
    </row>
    <row r="10293">
      <c r="K10293" s="317"/>
    </row>
    <row r="10294">
      <c r="K10294" s="317"/>
    </row>
    <row r="10295">
      <c r="K10295" s="317"/>
    </row>
    <row r="10296">
      <c r="K10296" s="317"/>
    </row>
    <row r="10297">
      <c r="K10297" s="317"/>
    </row>
    <row r="10298">
      <c r="K10298" s="317"/>
    </row>
    <row r="10299">
      <c r="K10299" s="317"/>
    </row>
    <row r="10300">
      <c r="K10300" s="317"/>
    </row>
    <row r="10301">
      <c r="K10301" s="317"/>
    </row>
    <row r="10302">
      <c r="K10302" s="317"/>
    </row>
    <row r="10303">
      <c r="K10303" s="317"/>
    </row>
    <row r="10304">
      <c r="K10304" s="317"/>
    </row>
    <row r="10305">
      <c r="K10305" s="317"/>
    </row>
    <row r="10306">
      <c r="K10306" s="317"/>
    </row>
    <row r="10307">
      <c r="K10307" s="317"/>
    </row>
    <row r="10308">
      <c r="K10308" s="317"/>
    </row>
    <row r="10309">
      <c r="K10309" s="317"/>
    </row>
    <row r="10310">
      <c r="K10310" s="317"/>
    </row>
    <row r="10311">
      <c r="K10311" s="317"/>
    </row>
    <row r="10312">
      <c r="K10312" s="317"/>
    </row>
    <row r="10313">
      <c r="K10313" s="317"/>
    </row>
    <row r="10314">
      <c r="K10314" s="317"/>
    </row>
    <row r="10315">
      <c r="K10315" s="317"/>
    </row>
    <row r="10316">
      <c r="K10316" s="317"/>
    </row>
    <row r="10317">
      <c r="K10317" s="317"/>
    </row>
    <row r="10318">
      <c r="K10318" s="317"/>
    </row>
    <row r="10319">
      <c r="K10319" s="317"/>
    </row>
    <row r="10320">
      <c r="K10320" s="317"/>
    </row>
    <row r="10321">
      <c r="K10321" s="317"/>
    </row>
    <row r="10322">
      <c r="K10322" s="317"/>
    </row>
    <row r="10323">
      <c r="K10323" s="317"/>
    </row>
    <row r="10324">
      <c r="K10324" s="317"/>
    </row>
    <row r="10325">
      <c r="K10325" s="317"/>
    </row>
    <row r="10326">
      <c r="K10326" s="317"/>
    </row>
    <row r="10327">
      <c r="K10327" s="317"/>
    </row>
    <row r="10328">
      <c r="K10328" s="317"/>
    </row>
    <row r="10329">
      <c r="K10329" s="317"/>
    </row>
    <row r="10330">
      <c r="K10330" s="317"/>
    </row>
    <row r="10331">
      <c r="K10331" s="317"/>
    </row>
    <row r="10332">
      <c r="K10332" s="317"/>
    </row>
    <row r="10333">
      <c r="K10333" s="317"/>
    </row>
    <row r="10334">
      <c r="K10334" s="317"/>
    </row>
    <row r="10335">
      <c r="K10335" s="317"/>
    </row>
    <row r="10336">
      <c r="K10336" s="317"/>
    </row>
    <row r="10337">
      <c r="K10337" s="317"/>
    </row>
    <row r="10338">
      <c r="K10338" s="317"/>
    </row>
    <row r="10339">
      <c r="K10339" s="317"/>
    </row>
    <row r="10340">
      <c r="K10340" s="317"/>
    </row>
    <row r="10341">
      <c r="K10341" s="317"/>
    </row>
    <row r="10342">
      <c r="K10342" s="317"/>
    </row>
    <row r="10343">
      <c r="K10343" s="317"/>
    </row>
    <row r="10344">
      <c r="K10344" s="317"/>
    </row>
    <row r="10345">
      <c r="K10345" s="317"/>
    </row>
    <row r="10346">
      <c r="K10346" s="317"/>
    </row>
    <row r="10347">
      <c r="K10347" s="317"/>
    </row>
    <row r="10348">
      <c r="K10348" s="317"/>
    </row>
    <row r="10349">
      <c r="K10349" s="317"/>
    </row>
    <row r="10350">
      <c r="K10350" s="317"/>
    </row>
    <row r="10351">
      <c r="K10351" s="317"/>
    </row>
    <row r="10352">
      <c r="K10352" s="317"/>
    </row>
    <row r="10353">
      <c r="K10353" s="317"/>
    </row>
    <row r="10354">
      <c r="K10354" s="317"/>
    </row>
    <row r="10355">
      <c r="K10355" s="317"/>
    </row>
    <row r="10356">
      <c r="K10356" s="317"/>
    </row>
    <row r="10357">
      <c r="K10357" s="317"/>
    </row>
    <row r="10358">
      <c r="K10358" s="317"/>
    </row>
    <row r="10359">
      <c r="K10359" s="317"/>
    </row>
    <row r="10360">
      <c r="K10360" s="317"/>
    </row>
    <row r="10361">
      <c r="K10361" s="317"/>
    </row>
    <row r="10362">
      <c r="K10362" s="317"/>
    </row>
    <row r="10363">
      <c r="K10363" s="317"/>
    </row>
    <row r="10364">
      <c r="K10364" s="317"/>
    </row>
    <row r="10365">
      <c r="K10365" s="317"/>
    </row>
    <row r="10366">
      <c r="K10366" s="317"/>
    </row>
    <row r="10367">
      <c r="K10367" s="317"/>
    </row>
    <row r="10368">
      <c r="K10368" s="317"/>
    </row>
    <row r="10369">
      <c r="K10369" s="317"/>
    </row>
    <row r="10370">
      <c r="K10370" s="317"/>
    </row>
    <row r="10371">
      <c r="K10371" s="317"/>
    </row>
    <row r="10372">
      <c r="K10372" s="317"/>
    </row>
    <row r="10373">
      <c r="K10373" s="317"/>
    </row>
    <row r="10374">
      <c r="K10374" s="317"/>
    </row>
    <row r="10375">
      <c r="K10375" s="317"/>
    </row>
    <row r="10376">
      <c r="K10376" s="317"/>
    </row>
    <row r="10377">
      <c r="K10377" s="317"/>
    </row>
    <row r="10378">
      <c r="K10378" s="317"/>
    </row>
    <row r="10379">
      <c r="K10379" s="317"/>
    </row>
    <row r="10380">
      <c r="K10380" s="317"/>
    </row>
    <row r="10381">
      <c r="K10381" s="317"/>
    </row>
    <row r="10382">
      <c r="K10382" s="317"/>
    </row>
    <row r="10383">
      <c r="K10383" s="317"/>
    </row>
    <row r="10384">
      <c r="K10384" s="317"/>
    </row>
    <row r="10385">
      <c r="K10385" s="317"/>
    </row>
    <row r="10386">
      <c r="K10386" s="317"/>
    </row>
    <row r="10387">
      <c r="K10387" s="317"/>
    </row>
    <row r="10388">
      <c r="K10388" s="317"/>
    </row>
    <row r="10389">
      <c r="K10389" s="317"/>
    </row>
    <row r="10390">
      <c r="K10390" s="317"/>
    </row>
    <row r="10391">
      <c r="K10391" s="317"/>
    </row>
    <row r="10392">
      <c r="K10392" s="317"/>
    </row>
    <row r="10393">
      <c r="K10393" s="317"/>
    </row>
    <row r="10394">
      <c r="K10394" s="317"/>
    </row>
    <row r="10395">
      <c r="K10395" s="317"/>
    </row>
    <row r="10396">
      <c r="K10396" s="317"/>
    </row>
    <row r="10397">
      <c r="K10397" s="317"/>
    </row>
    <row r="10398">
      <c r="K10398" s="317"/>
    </row>
    <row r="10399">
      <c r="K10399" s="317"/>
    </row>
    <row r="10400">
      <c r="K10400" s="317"/>
    </row>
    <row r="10401">
      <c r="K10401" s="317"/>
    </row>
    <row r="10402">
      <c r="K10402" s="317"/>
    </row>
    <row r="10403">
      <c r="K10403" s="317"/>
    </row>
    <row r="10404">
      <c r="K10404" s="317"/>
    </row>
    <row r="10405">
      <c r="K10405" s="317"/>
    </row>
    <row r="10406">
      <c r="K10406" s="317"/>
    </row>
    <row r="10407">
      <c r="K10407" s="317"/>
    </row>
    <row r="10408">
      <c r="K10408" s="317"/>
    </row>
    <row r="10409">
      <c r="K10409" s="317"/>
    </row>
    <row r="10410">
      <c r="K10410" s="317"/>
    </row>
    <row r="10411">
      <c r="K10411" s="317"/>
    </row>
    <row r="10412">
      <c r="K10412" s="317"/>
    </row>
    <row r="10413">
      <c r="K10413" s="317"/>
    </row>
    <row r="10414">
      <c r="K10414" s="317"/>
    </row>
    <row r="10415">
      <c r="K10415" s="317"/>
    </row>
    <row r="10416">
      <c r="K10416" s="317"/>
    </row>
    <row r="10417">
      <c r="K10417" s="317"/>
    </row>
    <row r="10418">
      <c r="K10418" s="317"/>
    </row>
    <row r="10419">
      <c r="K10419" s="317"/>
    </row>
    <row r="10420">
      <c r="K10420" s="317"/>
    </row>
    <row r="10421">
      <c r="K10421" s="317"/>
    </row>
    <row r="10422">
      <c r="K10422" s="317"/>
    </row>
    <row r="10423">
      <c r="K10423" s="317"/>
    </row>
    <row r="10424">
      <c r="K10424" s="317"/>
    </row>
    <row r="10425">
      <c r="K10425" s="317"/>
    </row>
    <row r="10426">
      <c r="K10426" s="317"/>
    </row>
    <row r="10427">
      <c r="K10427" s="317"/>
    </row>
    <row r="10428">
      <c r="K10428" s="317"/>
    </row>
    <row r="10429">
      <c r="K10429" s="317"/>
    </row>
    <row r="10430">
      <c r="K10430" s="317"/>
    </row>
    <row r="10431">
      <c r="K10431" s="317"/>
    </row>
    <row r="10432">
      <c r="K10432" s="317"/>
    </row>
    <row r="10433">
      <c r="K10433" s="317"/>
    </row>
    <row r="10434">
      <c r="K10434" s="317"/>
    </row>
    <row r="10435">
      <c r="K10435" s="317"/>
    </row>
    <row r="10436">
      <c r="K10436" s="317"/>
    </row>
    <row r="10437">
      <c r="K10437" s="317"/>
    </row>
    <row r="10438">
      <c r="K10438" s="317"/>
    </row>
    <row r="10439">
      <c r="K10439" s="317"/>
    </row>
    <row r="10440">
      <c r="K10440" s="317"/>
    </row>
    <row r="10441">
      <c r="K10441" s="317"/>
    </row>
    <row r="10442">
      <c r="K10442" s="317"/>
    </row>
    <row r="10443">
      <c r="K10443" s="317"/>
    </row>
    <row r="10444">
      <c r="K10444" s="317"/>
    </row>
    <row r="10445">
      <c r="K10445" s="317"/>
    </row>
    <row r="10446">
      <c r="K10446" s="317"/>
    </row>
    <row r="10447">
      <c r="K10447" s="317"/>
    </row>
    <row r="10448">
      <c r="K10448" s="317"/>
    </row>
    <row r="10449">
      <c r="K10449" s="317"/>
    </row>
    <row r="10450">
      <c r="K10450" s="317"/>
    </row>
    <row r="10451">
      <c r="K10451" s="317"/>
    </row>
    <row r="10452">
      <c r="K10452" s="317"/>
    </row>
    <row r="10453">
      <c r="K10453" s="317"/>
    </row>
    <row r="10454">
      <c r="K10454" s="317"/>
    </row>
    <row r="10455">
      <c r="K10455" s="317"/>
    </row>
    <row r="10456">
      <c r="K10456" s="317"/>
    </row>
    <row r="10457">
      <c r="K10457" s="317"/>
    </row>
    <row r="10458">
      <c r="K10458" s="317"/>
    </row>
    <row r="10459">
      <c r="K10459" s="317"/>
    </row>
    <row r="10460">
      <c r="K10460" s="317"/>
    </row>
    <row r="10461">
      <c r="K10461" s="317"/>
    </row>
    <row r="10462">
      <c r="K10462" s="317"/>
    </row>
    <row r="10463">
      <c r="K10463" s="317"/>
    </row>
    <row r="10464">
      <c r="K10464" s="317"/>
    </row>
    <row r="10465">
      <c r="K10465" s="317"/>
    </row>
    <row r="10466">
      <c r="K10466" s="317"/>
    </row>
    <row r="10467">
      <c r="K10467" s="317"/>
    </row>
    <row r="10468">
      <c r="K10468" s="317"/>
    </row>
    <row r="10469">
      <c r="K10469" s="317"/>
    </row>
    <row r="10470">
      <c r="K10470" s="317"/>
    </row>
    <row r="10471">
      <c r="K10471" s="317"/>
    </row>
    <row r="10472">
      <c r="K10472" s="317"/>
    </row>
    <row r="10473">
      <c r="K10473" s="317"/>
    </row>
    <row r="10474">
      <c r="K10474" s="317"/>
    </row>
    <row r="10475">
      <c r="K10475" s="317"/>
    </row>
    <row r="10476">
      <c r="K10476" s="317"/>
    </row>
    <row r="10477">
      <c r="K10477" s="317"/>
    </row>
    <row r="10478">
      <c r="K10478" s="317"/>
    </row>
    <row r="10479">
      <c r="K10479" s="317"/>
    </row>
    <row r="10480">
      <c r="K10480" s="317"/>
    </row>
    <row r="10481">
      <c r="K10481" s="317"/>
    </row>
    <row r="10482">
      <c r="K10482" s="317"/>
    </row>
    <row r="10483">
      <c r="K10483" s="317"/>
    </row>
    <row r="10484">
      <c r="K10484" s="317"/>
    </row>
    <row r="10485">
      <c r="K10485" s="317"/>
    </row>
    <row r="10486">
      <c r="K10486" s="317"/>
    </row>
    <row r="10487">
      <c r="K10487" s="317"/>
    </row>
    <row r="10488">
      <c r="K10488" s="317"/>
    </row>
    <row r="10489">
      <c r="K10489" s="317"/>
    </row>
    <row r="10490">
      <c r="K10490" s="317"/>
    </row>
    <row r="10491">
      <c r="K10491" s="317"/>
    </row>
    <row r="10492">
      <c r="K10492" s="317"/>
    </row>
    <row r="10493">
      <c r="K10493" s="317"/>
    </row>
    <row r="10494">
      <c r="K10494" s="317"/>
    </row>
    <row r="10495">
      <c r="K10495" s="317"/>
    </row>
    <row r="10496">
      <c r="K10496" s="317"/>
    </row>
    <row r="10497">
      <c r="K10497" s="317"/>
    </row>
    <row r="10498">
      <c r="K10498" s="317"/>
    </row>
    <row r="10499">
      <c r="K10499" s="317"/>
    </row>
    <row r="10500">
      <c r="K10500" s="317"/>
    </row>
    <row r="10501">
      <c r="K10501" s="317"/>
    </row>
    <row r="10502">
      <c r="K10502" s="317"/>
    </row>
    <row r="10503">
      <c r="K10503" s="317"/>
    </row>
    <row r="10504">
      <c r="K10504" s="317"/>
    </row>
    <row r="10505">
      <c r="K10505" s="317"/>
    </row>
    <row r="10506">
      <c r="K10506" s="317"/>
    </row>
    <row r="10507">
      <c r="K10507" s="317"/>
    </row>
    <row r="10508">
      <c r="K10508" s="317"/>
    </row>
    <row r="10509">
      <c r="K10509" s="317"/>
    </row>
    <row r="10510">
      <c r="K10510" s="317"/>
    </row>
    <row r="10511">
      <c r="K10511" s="317"/>
    </row>
    <row r="10512">
      <c r="K10512" s="317"/>
    </row>
    <row r="10513">
      <c r="K10513" s="317"/>
    </row>
    <row r="10514">
      <c r="K10514" s="317"/>
    </row>
    <row r="10515">
      <c r="K10515" s="317"/>
    </row>
    <row r="10516">
      <c r="K10516" s="317"/>
    </row>
    <row r="10517">
      <c r="K10517" s="317"/>
    </row>
    <row r="10518">
      <c r="K10518" s="317"/>
    </row>
    <row r="10519">
      <c r="K10519" s="317"/>
    </row>
    <row r="10520">
      <c r="K10520" s="317"/>
    </row>
    <row r="10521">
      <c r="K10521" s="317"/>
    </row>
    <row r="10522">
      <c r="K10522" s="317"/>
    </row>
    <row r="10523">
      <c r="K10523" s="317"/>
    </row>
    <row r="10524">
      <c r="K10524" s="317"/>
    </row>
    <row r="10525">
      <c r="K10525" s="317"/>
    </row>
    <row r="10526">
      <c r="K10526" s="317"/>
    </row>
    <row r="10527">
      <c r="K10527" s="317"/>
    </row>
    <row r="10528">
      <c r="K10528" s="317"/>
    </row>
    <row r="10529">
      <c r="K10529" s="317"/>
    </row>
    <row r="10530">
      <c r="K10530" s="317"/>
    </row>
    <row r="10531">
      <c r="K10531" s="317"/>
    </row>
    <row r="10532">
      <c r="K10532" s="317"/>
    </row>
    <row r="10533">
      <c r="K10533" s="317"/>
    </row>
    <row r="10534">
      <c r="K10534" s="317"/>
    </row>
    <row r="10535">
      <c r="K10535" s="317"/>
    </row>
    <row r="10536">
      <c r="K10536" s="317"/>
    </row>
    <row r="10537">
      <c r="K10537" s="317"/>
    </row>
    <row r="10538">
      <c r="K10538" s="317"/>
    </row>
    <row r="10539">
      <c r="K10539" s="317"/>
    </row>
    <row r="10540">
      <c r="K10540" s="317"/>
    </row>
    <row r="10541">
      <c r="K10541" s="317"/>
    </row>
    <row r="10542">
      <c r="K10542" s="317"/>
    </row>
    <row r="10543">
      <c r="K10543" s="317"/>
    </row>
    <row r="10544">
      <c r="K10544" s="317"/>
    </row>
    <row r="10545">
      <c r="K10545" s="317"/>
    </row>
    <row r="10546">
      <c r="K10546" s="317"/>
    </row>
    <row r="10547">
      <c r="K10547" s="317"/>
    </row>
    <row r="10548">
      <c r="K10548" s="317"/>
    </row>
    <row r="10549">
      <c r="K10549" s="317"/>
    </row>
    <row r="10550">
      <c r="K10550" s="317"/>
    </row>
    <row r="10551">
      <c r="K10551" s="317"/>
    </row>
    <row r="10552">
      <c r="K10552" s="317"/>
    </row>
    <row r="10553">
      <c r="K10553" s="317"/>
    </row>
    <row r="10554">
      <c r="K10554" s="317"/>
    </row>
    <row r="10555">
      <c r="K10555" s="317"/>
    </row>
    <row r="10556">
      <c r="K10556" s="317"/>
    </row>
    <row r="10557">
      <c r="K10557" s="317"/>
    </row>
    <row r="10558">
      <c r="K10558" s="317"/>
    </row>
    <row r="10559">
      <c r="K10559" s="317"/>
    </row>
    <row r="10560">
      <c r="K10560" s="317"/>
    </row>
    <row r="10561">
      <c r="K10561" s="317"/>
    </row>
    <row r="10562">
      <c r="K10562" s="317"/>
    </row>
    <row r="10563">
      <c r="K10563" s="317"/>
    </row>
    <row r="10564">
      <c r="K10564" s="317"/>
    </row>
    <row r="10565">
      <c r="K10565" s="317"/>
    </row>
    <row r="10566">
      <c r="K10566" s="317"/>
    </row>
    <row r="10567">
      <c r="K10567" s="317"/>
    </row>
    <row r="10568">
      <c r="K10568" s="317"/>
    </row>
    <row r="10569">
      <c r="K10569" s="317"/>
    </row>
    <row r="10570">
      <c r="K10570" s="317"/>
    </row>
    <row r="10571">
      <c r="K10571" s="317"/>
    </row>
    <row r="10572">
      <c r="K10572" s="317"/>
    </row>
    <row r="10573">
      <c r="K10573" s="317"/>
    </row>
    <row r="10574">
      <c r="K10574" s="317"/>
    </row>
    <row r="10575">
      <c r="K10575" s="317"/>
    </row>
    <row r="10576">
      <c r="K10576" s="317"/>
    </row>
    <row r="10577">
      <c r="K10577" s="317"/>
    </row>
    <row r="10578">
      <c r="K10578" s="317"/>
    </row>
    <row r="10579">
      <c r="K10579" s="317"/>
    </row>
    <row r="10580">
      <c r="K10580" s="317"/>
    </row>
    <row r="10581">
      <c r="K10581" s="317"/>
    </row>
    <row r="10582">
      <c r="K10582" s="317"/>
    </row>
    <row r="10583">
      <c r="K10583" s="317"/>
    </row>
    <row r="10584">
      <c r="K10584" s="317"/>
    </row>
    <row r="10585">
      <c r="K10585" s="317"/>
    </row>
    <row r="10586">
      <c r="K10586" s="317"/>
    </row>
    <row r="10587">
      <c r="K10587" s="317"/>
    </row>
    <row r="10588">
      <c r="K10588" s="317"/>
    </row>
    <row r="10589">
      <c r="K10589" s="317"/>
    </row>
    <row r="10590">
      <c r="K10590" s="317"/>
    </row>
    <row r="10591">
      <c r="K10591" s="317"/>
    </row>
    <row r="10592">
      <c r="K10592" s="317"/>
    </row>
    <row r="10593">
      <c r="K10593" s="317"/>
    </row>
    <row r="10594">
      <c r="K10594" s="317"/>
    </row>
    <row r="10595">
      <c r="K10595" s="317"/>
    </row>
    <row r="10596">
      <c r="K10596" s="317"/>
    </row>
    <row r="10597">
      <c r="K10597" s="317"/>
    </row>
    <row r="10598">
      <c r="K10598" s="317"/>
    </row>
    <row r="10599">
      <c r="K10599" s="317"/>
    </row>
    <row r="10600">
      <c r="K10600" s="317"/>
    </row>
    <row r="10601">
      <c r="K10601" s="317"/>
    </row>
    <row r="10602">
      <c r="K10602" s="317"/>
    </row>
    <row r="10603">
      <c r="K10603" s="317"/>
    </row>
    <row r="10604">
      <c r="K10604" s="317"/>
    </row>
    <row r="10605">
      <c r="K10605" s="317"/>
    </row>
    <row r="10606">
      <c r="K10606" s="317"/>
    </row>
    <row r="10607">
      <c r="K10607" s="317"/>
    </row>
    <row r="10608">
      <c r="K10608" s="317"/>
    </row>
    <row r="10609">
      <c r="K10609" s="317"/>
    </row>
    <row r="10610">
      <c r="K10610" s="317"/>
    </row>
    <row r="10611">
      <c r="K10611" s="317"/>
    </row>
    <row r="10612">
      <c r="K10612" s="317"/>
    </row>
    <row r="10613">
      <c r="K10613" s="317"/>
    </row>
    <row r="10614">
      <c r="K10614" s="317"/>
    </row>
    <row r="10615">
      <c r="K10615" s="317"/>
    </row>
    <row r="10616">
      <c r="K10616" s="317"/>
    </row>
    <row r="10617">
      <c r="K10617" s="317"/>
    </row>
    <row r="10618">
      <c r="K10618" s="317"/>
    </row>
    <row r="10619">
      <c r="K10619" s="317"/>
    </row>
    <row r="10620">
      <c r="K10620" s="317"/>
    </row>
    <row r="10621">
      <c r="K10621" s="317"/>
    </row>
    <row r="10622">
      <c r="K10622" s="317"/>
    </row>
    <row r="10623">
      <c r="K10623" s="317"/>
    </row>
    <row r="10624">
      <c r="K10624" s="317"/>
    </row>
    <row r="10625">
      <c r="K10625" s="317"/>
    </row>
    <row r="10626">
      <c r="K10626" s="317"/>
    </row>
    <row r="10627">
      <c r="K10627" s="317"/>
    </row>
    <row r="10628">
      <c r="K10628" s="317"/>
    </row>
    <row r="10629">
      <c r="K10629" s="317"/>
    </row>
    <row r="10630">
      <c r="K10630" s="317"/>
    </row>
    <row r="10631">
      <c r="K10631" s="317"/>
    </row>
    <row r="10632">
      <c r="K10632" s="317"/>
    </row>
    <row r="10633">
      <c r="K10633" s="317"/>
    </row>
    <row r="10634">
      <c r="K10634" s="317"/>
    </row>
    <row r="10635">
      <c r="K10635" s="317"/>
    </row>
    <row r="10636">
      <c r="K10636" s="317"/>
    </row>
    <row r="10637">
      <c r="K10637" s="317"/>
    </row>
    <row r="10638">
      <c r="K10638" s="317"/>
    </row>
    <row r="10639">
      <c r="K10639" s="317"/>
    </row>
    <row r="10640">
      <c r="K10640" s="317"/>
    </row>
    <row r="10641">
      <c r="K10641" s="317"/>
    </row>
    <row r="10642">
      <c r="K10642" s="317"/>
    </row>
    <row r="10643">
      <c r="K10643" s="317"/>
    </row>
    <row r="10644">
      <c r="K10644" s="317"/>
    </row>
    <row r="10645">
      <c r="K10645" s="317"/>
    </row>
    <row r="10646">
      <c r="K10646" s="317"/>
    </row>
    <row r="10647">
      <c r="K10647" s="317"/>
    </row>
    <row r="10648">
      <c r="K10648" s="317"/>
    </row>
    <row r="10649">
      <c r="K10649" s="317"/>
    </row>
    <row r="10650">
      <c r="K10650" s="317"/>
    </row>
    <row r="10651">
      <c r="K10651" s="317"/>
    </row>
    <row r="10652">
      <c r="K10652" s="317"/>
    </row>
    <row r="10653">
      <c r="K10653" s="317"/>
    </row>
    <row r="10654">
      <c r="K10654" s="317"/>
    </row>
    <row r="10655">
      <c r="K10655" s="317"/>
    </row>
    <row r="10656">
      <c r="K10656" s="317"/>
    </row>
    <row r="10657">
      <c r="K10657" s="317"/>
    </row>
    <row r="10658">
      <c r="K10658" s="317"/>
    </row>
    <row r="10659">
      <c r="K10659" s="317"/>
    </row>
    <row r="10660">
      <c r="K10660" s="317"/>
    </row>
    <row r="10661">
      <c r="K10661" s="317"/>
    </row>
    <row r="10662">
      <c r="K10662" s="317"/>
    </row>
    <row r="10663">
      <c r="K10663" s="317"/>
    </row>
    <row r="10664">
      <c r="K10664" s="317"/>
    </row>
    <row r="10665">
      <c r="K10665" s="317"/>
    </row>
    <row r="10666">
      <c r="K10666" s="317"/>
    </row>
    <row r="10667">
      <c r="K10667" s="317"/>
    </row>
    <row r="10668">
      <c r="K10668" s="317"/>
    </row>
    <row r="10669">
      <c r="K10669" s="317"/>
    </row>
    <row r="10670">
      <c r="K10670" s="317"/>
    </row>
    <row r="10671">
      <c r="K10671" s="317"/>
    </row>
    <row r="10672">
      <c r="K10672" s="317"/>
    </row>
    <row r="10673">
      <c r="K10673" s="317"/>
    </row>
    <row r="10674">
      <c r="K10674" s="317"/>
    </row>
    <row r="10675">
      <c r="K10675" s="317"/>
    </row>
    <row r="10676">
      <c r="K10676" s="317"/>
    </row>
    <row r="10677">
      <c r="K10677" s="317"/>
    </row>
    <row r="10678">
      <c r="K10678" s="317"/>
    </row>
    <row r="10679">
      <c r="K10679" s="317"/>
    </row>
    <row r="10680">
      <c r="K10680" s="317"/>
    </row>
    <row r="10681">
      <c r="K10681" s="317"/>
    </row>
    <row r="10682">
      <c r="K10682" s="317"/>
    </row>
    <row r="10683">
      <c r="K10683" s="317"/>
    </row>
    <row r="10684">
      <c r="K10684" s="317"/>
    </row>
    <row r="10685">
      <c r="K10685" s="317"/>
    </row>
    <row r="10686">
      <c r="K10686" s="317"/>
    </row>
    <row r="10687">
      <c r="K10687" s="317"/>
    </row>
    <row r="10688">
      <c r="K10688" s="317"/>
    </row>
    <row r="10689">
      <c r="K10689" s="317"/>
    </row>
    <row r="10690">
      <c r="K10690" s="317"/>
    </row>
    <row r="10691">
      <c r="K10691" s="317"/>
    </row>
    <row r="10692">
      <c r="K10692" s="317"/>
    </row>
    <row r="10693">
      <c r="K10693" s="317"/>
    </row>
    <row r="10694">
      <c r="K10694" s="317"/>
    </row>
    <row r="10695">
      <c r="K10695" s="317"/>
    </row>
    <row r="10696">
      <c r="K10696" s="317"/>
    </row>
    <row r="10697">
      <c r="K10697" s="317"/>
    </row>
    <row r="10698">
      <c r="K10698" s="317"/>
    </row>
    <row r="10699">
      <c r="K10699" s="317"/>
    </row>
    <row r="10700">
      <c r="K10700" s="317"/>
    </row>
    <row r="10701">
      <c r="K10701" s="317"/>
    </row>
    <row r="10702">
      <c r="K10702" s="317"/>
    </row>
    <row r="10703">
      <c r="K10703" s="317"/>
    </row>
    <row r="10704">
      <c r="K10704" s="317"/>
    </row>
    <row r="10705">
      <c r="K10705" s="317"/>
    </row>
    <row r="10706">
      <c r="K10706" s="317"/>
    </row>
    <row r="10707">
      <c r="K10707" s="317"/>
    </row>
    <row r="10708">
      <c r="K10708" s="317"/>
    </row>
    <row r="10709">
      <c r="K10709" s="317"/>
    </row>
    <row r="10710">
      <c r="K10710" s="317"/>
    </row>
    <row r="10711">
      <c r="K10711" s="317"/>
    </row>
    <row r="10712">
      <c r="K10712" s="317"/>
    </row>
    <row r="10713">
      <c r="K10713" s="317"/>
    </row>
    <row r="10714">
      <c r="K10714" s="317"/>
    </row>
    <row r="10715">
      <c r="K10715" s="317"/>
    </row>
    <row r="10716">
      <c r="K10716" s="317"/>
    </row>
    <row r="10717">
      <c r="K10717" s="317"/>
    </row>
    <row r="10718">
      <c r="K10718" s="317"/>
    </row>
    <row r="10719">
      <c r="K10719" s="317"/>
    </row>
    <row r="10720">
      <c r="K10720" s="317"/>
    </row>
    <row r="10721">
      <c r="K10721" s="317"/>
    </row>
    <row r="10722">
      <c r="K10722" s="317"/>
    </row>
    <row r="10723">
      <c r="K10723" s="317"/>
    </row>
    <row r="10724">
      <c r="K10724" s="317"/>
    </row>
    <row r="10725">
      <c r="K10725" s="317"/>
    </row>
    <row r="10726">
      <c r="K10726" s="317"/>
    </row>
    <row r="10727">
      <c r="K10727" s="317"/>
    </row>
    <row r="10728">
      <c r="K10728" s="317"/>
    </row>
    <row r="10729">
      <c r="K10729" s="317"/>
    </row>
    <row r="10730">
      <c r="K10730" s="317"/>
    </row>
    <row r="10731">
      <c r="K10731" s="317"/>
    </row>
    <row r="10732">
      <c r="K10732" s="317"/>
    </row>
    <row r="10733">
      <c r="K10733" s="317"/>
    </row>
    <row r="10734">
      <c r="K10734" s="317"/>
    </row>
    <row r="10735">
      <c r="K10735" s="317"/>
    </row>
    <row r="10736">
      <c r="K10736" s="317"/>
    </row>
    <row r="10737">
      <c r="K10737" s="317"/>
    </row>
    <row r="10738">
      <c r="K10738" s="317"/>
    </row>
    <row r="10739">
      <c r="K10739" s="317"/>
    </row>
    <row r="10740">
      <c r="K10740" s="317"/>
    </row>
    <row r="10741">
      <c r="K10741" s="317"/>
    </row>
    <row r="10742">
      <c r="K10742" s="317"/>
    </row>
    <row r="10743">
      <c r="K10743" s="317"/>
    </row>
    <row r="10744">
      <c r="K10744" s="317"/>
    </row>
    <row r="10745">
      <c r="K10745" s="317"/>
    </row>
    <row r="10746">
      <c r="K10746" s="317"/>
    </row>
    <row r="10747">
      <c r="K10747" s="317"/>
    </row>
    <row r="10748">
      <c r="K10748" s="317"/>
    </row>
    <row r="10749">
      <c r="K10749" s="317"/>
    </row>
    <row r="10750">
      <c r="K10750" s="317"/>
    </row>
    <row r="10751">
      <c r="K10751" s="317"/>
    </row>
    <row r="10752">
      <c r="K10752" s="317"/>
    </row>
    <row r="10753">
      <c r="K10753" s="317"/>
    </row>
    <row r="10754">
      <c r="K10754" s="317"/>
    </row>
    <row r="10755">
      <c r="K10755" s="317"/>
    </row>
    <row r="10756">
      <c r="K10756" s="317"/>
    </row>
    <row r="10757">
      <c r="K10757" s="317"/>
    </row>
    <row r="10758">
      <c r="K10758" s="317"/>
    </row>
    <row r="10759">
      <c r="K10759" s="317"/>
    </row>
    <row r="10760">
      <c r="K10760" s="317"/>
    </row>
    <row r="10761">
      <c r="K10761" s="317"/>
    </row>
    <row r="10762">
      <c r="K10762" s="317"/>
    </row>
    <row r="10763">
      <c r="K10763" s="317"/>
    </row>
    <row r="10764">
      <c r="K10764" s="317"/>
    </row>
    <row r="10765">
      <c r="K10765" s="317"/>
    </row>
    <row r="10766">
      <c r="K10766" s="317"/>
    </row>
    <row r="10767">
      <c r="K10767" s="317"/>
    </row>
    <row r="10768">
      <c r="K10768" s="317"/>
    </row>
    <row r="10769">
      <c r="K10769" s="317"/>
    </row>
    <row r="10770">
      <c r="K10770" s="317"/>
    </row>
    <row r="10771">
      <c r="K10771" s="317"/>
    </row>
    <row r="10772">
      <c r="K10772" s="317"/>
    </row>
    <row r="10773">
      <c r="K10773" s="317"/>
    </row>
    <row r="10774">
      <c r="K10774" s="317"/>
    </row>
    <row r="10775">
      <c r="K10775" s="317"/>
    </row>
    <row r="10776">
      <c r="K10776" s="317"/>
    </row>
    <row r="10777">
      <c r="K10777" s="317"/>
    </row>
    <row r="10778">
      <c r="K10778" s="317"/>
    </row>
    <row r="10779">
      <c r="K10779" s="317"/>
    </row>
    <row r="10780">
      <c r="K10780" s="317"/>
    </row>
    <row r="10781">
      <c r="K10781" s="317"/>
    </row>
    <row r="10782">
      <c r="K10782" s="317"/>
    </row>
    <row r="10783">
      <c r="K10783" s="317"/>
    </row>
    <row r="10784">
      <c r="K10784" s="317"/>
    </row>
    <row r="10785">
      <c r="K10785" s="317"/>
    </row>
    <row r="10786">
      <c r="K10786" s="317"/>
    </row>
    <row r="10787">
      <c r="K10787" s="317"/>
    </row>
    <row r="10788">
      <c r="K10788" s="317"/>
    </row>
    <row r="10789">
      <c r="K10789" s="317"/>
    </row>
    <row r="10790">
      <c r="K10790" s="317"/>
    </row>
    <row r="10791">
      <c r="K10791" s="317"/>
    </row>
    <row r="10792">
      <c r="K10792" s="317"/>
    </row>
    <row r="10793">
      <c r="K10793" s="317"/>
    </row>
    <row r="10794">
      <c r="K10794" s="317"/>
    </row>
    <row r="10795">
      <c r="K10795" s="317"/>
    </row>
    <row r="10796">
      <c r="K10796" s="317"/>
    </row>
    <row r="10797">
      <c r="K10797" s="317"/>
    </row>
    <row r="10798">
      <c r="K10798" s="317"/>
    </row>
    <row r="10799">
      <c r="K10799" s="317"/>
    </row>
    <row r="10800">
      <c r="K10800" s="317"/>
    </row>
    <row r="10801">
      <c r="K10801" s="317"/>
    </row>
    <row r="10802">
      <c r="K10802" s="317"/>
    </row>
    <row r="10803">
      <c r="K10803" s="317"/>
    </row>
    <row r="10804">
      <c r="K10804" s="317"/>
    </row>
    <row r="10805">
      <c r="K10805" s="317"/>
    </row>
    <row r="10806">
      <c r="K10806" s="317"/>
    </row>
    <row r="10807">
      <c r="K10807" s="317"/>
    </row>
    <row r="10808">
      <c r="K10808" s="317"/>
    </row>
    <row r="10809">
      <c r="K10809" s="317"/>
    </row>
    <row r="10810">
      <c r="K10810" s="317"/>
    </row>
    <row r="10811">
      <c r="K10811" s="317"/>
    </row>
    <row r="10812">
      <c r="K10812" s="317"/>
    </row>
    <row r="10813">
      <c r="K10813" s="317"/>
    </row>
    <row r="10814">
      <c r="K10814" s="317"/>
    </row>
    <row r="10815">
      <c r="K10815" s="317"/>
    </row>
    <row r="10816">
      <c r="K10816" s="317"/>
    </row>
    <row r="10817">
      <c r="K10817" s="317"/>
    </row>
    <row r="10818">
      <c r="K10818" s="317"/>
    </row>
    <row r="10819">
      <c r="K10819" s="317"/>
    </row>
    <row r="10820">
      <c r="K10820" s="317"/>
    </row>
    <row r="10821">
      <c r="K10821" s="317"/>
    </row>
    <row r="10822">
      <c r="K10822" s="317"/>
    </row>
    <row r="10823">
      <c r="K10823" s="317"/>
    </row>
    <row r="10824">
      <c r="K10824" s="317"/>
    </row>
    <row r="10825">
      <c r="K10825" s="317"/>
    </row>
    <row r="10826">
      <c r="K10826" s="317"/>
    </row>
    <row r="10827">
      <c r="K10827" s="317"/>
    </row>
    <row r="10828">
      <c r="K10828" s="317"/>
    </row>
    <row r="10829">
      <c r="K10829" s="317"/>
    </row>
    <row r="10830">
      <c r="K10830" s="317"/>
    </row>
    <row r="10831">
      <c r="K10831" s="317"/>
    </row>
    <row r="10832">
      <c r="K10832" s="317"/>
    </row>
    <row r="10833">
      <c r="K10833" s="317"/>
    </row>
    <row r="10834">
      <c r="K10834" s="317"/>
    </row>
    <row r="10835">
      <c r="K10835" s="317"/>
    </row>
    <row r="10836">
      <c r="K10836" s="317"/>
    </row>
    <row r="10837">
      <c r="K10837" s="317"/>
    </row>
    <row r="10838">
      <c r="K10838" s="317"/>
    </row>
    <row r="10839">
      <c r="K10839" s="317"/>
    </row>
    <row r="10840">
      <c r="K10840" s="317"/>
    </row>
    <row r="10841">
      <c r="K10841" s="317"/>
    </row>
    <row r="10842">
      <c r="K10842" s="317"/>
    </row>
    <row r="10843">
      <c r="K10843" s="317"/>
    </row>
    <row r="10844">
      <c r="K10844" s="317"/>
    </row>
    <row r="10845">
      <c r="K10845" s="317"/>
    </row>
    <row r="10846">
      <c r="K10846" s="317"/>
    </row>
    <row r="10847">
      <c r="K10847" s="317"/>
    </row>
    <row r="10848">
      <c r="K10848" s="317"/>
    </row>
    <row r="10849">
      <c r="K10849" s="317"/>
    </row>
    <row r="10850">
      <c r="K10850" s="317"/>
    </row>
    <row r="10851">
      <c r="K10851" s="317"/>
    </row>
    <row r="10852">
      <c r="K10852" s="317"/>
    </row>
    <row r="10853">
      <c r="K10853" s="317"/>
    </row>
    <row r="10854">
      <c r="K10854" s="317"/>
    </row>
    <row r="10855">
      <c r="K10855" s="317"/>
    </row>
    <row r="10856">
      <c r="K10856" s="317"/>
    </row>
    <row r="10857">
      <c r="K10857" s="317"/>
    </row>
    <row r="10858">
      <c r="K10858" s="317"/>
    </row>
    <row r="10859">
      <c r="K10859" s="317"/>
    </row>
    <row r="10860">
      <c r="K10860" s="317"/>
    </row>
    <row r="10861">
      <c r="K10861" s="317"/>
    </row>
    <row r="10862">
      <c r="K10862" s="317"/>
    </row>
    <row r="10863">
      <c r="K10863" s="317"/>
    </row>
    <row r="10864">
      <c r="K10864" s="317"/>
    </row>
    <row r="10865">
      <c r="K10865" s="317"/>
    </row>
    <row r="10866">
      <c r="K10866" s="317"/>
    </row>
    <row r="10867">
      <c r="K10867" s="317"/>
    </row>
    <row r="10868">
      <c r="K10868" s="317"/>
    </row>
    <row r="10869">
      <c r="K10869" s="317"/>
    </row>
    <row r="10870">
      <c r="K10870" s="317"/>
    </row>
    <row r="10871">
      <c r="K10871" s="317"/>
    </row>
    <row r="10872">
      <c r="K10872" s="317"/>
    </row>
    <row r="10873">
      <c r="K10873" s="317"/>
    </row>
    <row r="10874">
      <c r="K10874" s="317"/>
    </row>
    <row r="10875">
      <c r="K10875" s="317"/>
    </row>
    <row r="10876">
      <c r="K10876" s="317"/>
    </row>
    <row r="10877">
      <c r="K10877" s="317"/>
    </row>
    <row r="10878">
      <c r="K10878" s="317"/>
    </row>
    <row r="10879">
      <c r="K10879" s="317"/>
    </row>
    <row r="10880">
      <c r="K10880" s="317"/>
    </row>
    <row r="10881">
      <c r="K10881" s="317"/>
    </row>
    <row r="10882">
      <c r="K10882" s="317"/>
    </row>
    <row r="10883">
      <c r="K10883" s="317"/>
    </row>
    <row r="10884">
      <c r="K10884" s="317"/>
    </row>
    <row r="10885">
      <c r="K10885" s="317"/>
    </row>
    <row r="10886">
      <c r="K10886" s="317"/>
    </row>
    <row r="10887">
      <c r="K10887" s="317"/>
    </row>
    <row r="10888">
      <c r="K10888" s="317"/>
    </row>
    <row r="10889">
      <c r="K10889" s="317"/>
    </row>
    <row r="10890">
      <c r="K10890" s="317"/>
    </row>
    <row r="10891">
      <c r="K10891" s="317"/>
    </row>
    <row r="10892">
      <c r="K10892" s="317"/>
    </row>
    <row r="10893">
      <c r="K10893" s="317"/>
    </row>
    <row r="10894">
      <c r="K10894" s="317"/>
    </row>
    <row r="10895">
      <c r="K10895" s="317"/>
    </row>
    <row r="10896">
      <c r="K10896" s="317"/>
    </row>
    <row r="10897">
      <c r="K10897" s="317"/>
    </row>
    <row r="10898">
      <c r="K10898" s="317"/>
    </row>
    <row r="10899">
      <c r="K10899" s="317"/>
    </row>
    <row r="10900">
      <c r="K10900" s="317"/>
    </row>
    <row r="10901">
      <c r="K10901" s="317"/>
    </row>
    <row r="10902">
      <c r="K10902" s="317"/>
    </row>
    <row r="10903">
      <c r="K10903" s="317"/>
    </row>
    <row r="10904">
      <c r="K10904" s="317"/>
    </row>
    <row r="10905">
      <c r="K10905" s="317"/>
    </row>
    <row r="10906">
      <c r="K10906" s="317"/>
    </row>
    <row r="10907">
      <c r="K10907" s="317"/>
    </row>
    <row r="10908">
      <c r="K10908" s="317"/>
    </row>
    <row r="10909">
      <c r="K10909" s="317"/>
    </row>
    <row r="10910">
      <c r="K10910" s="317"/>
    </row>
    <row r="10911">
      <c r="K10911" s="317"/>
    </row>
    <row r="10912">
      <c r="K10912" s="317"/>
    </row>
    <row r="10913">
      <c r="K10913" s="317"/>
    </row>
    <row r="10914">
      <c r="K10914" s="317"/>
    </row>
    <row r="10915">
      <c r="K10915" s="317"/>
    </row>
    <row r="10916">
      <c r="K10916" s="317"/>
    </row>
    <row r="10917">
      <c r="K10917" s="317"/>
    </row>
    <row r="10918">
      <c r="K10918" s="317"/>
    </row>
    <row r="10919">
      <c r="K10919" s="317"/>
    </row>
    <row r="10920">
      <c r="K10920" s="317"/>
    </row>
    <row r="10921">
      <c r="K10921" s="317"/>
    </row>
    <row r="10922">
      <c r="K10922" s="317"/>
    </row>
    <row r="10923">
      <c r="K10923" s="317"/>
    </row>
    <row r="10924">
      <c r="K10924" s="317"/>
    </row>
    <row r="10925">
      <c r="K10925" s="317"/>
    </row>
    <row r="10926">
      <c r="K10926" s="317"/>
    </row>
    <row r="10927">
      <c r="K10927" s="317"/>
    </row>
    <row r="10928">
      <c r="K10928" s="317"/>
    </row>
    <row r="10929">
      <c r="K10929" s="317"/>
    </row>
    <row r="10930">
      <c r="K10930" s="317"/>
    </row>
    <row r="10931">
      <c r="K10931" s="317"/>
    </row>
    <row r="10932">
      <c r="K10932" s="317"/>
    </row>
    <row r="10933">
      <c r="K10933" s="317"/>
    </row>
    <row r="10934">
      <c r="K10934" s="317"/>
    </row>
    <row r="10935">
      <c r="K10935" s="317"/>
    </row>
    <row r="10936">
      <c r="K10936" s="317"/>
    </row>
    <row r="10937">
      <c r="K10937" s="317"/>
    </row>
    <row r="10938">
      <c r="K10938" s="317"/>
    </row>
    <row r="10939">
      <c r="K10939" s="317"/>
    </row>
    <row r="10940">
      <c r="K10940" s="317"/>
    </row>
    <row r="10941">
      <c r="K10941" s="317"/>
    </row>
    <row r="10942">
      <c r="K10942" s="317"/>
    </row>
    <row r="10943">
      <c r="K10943" s="317"/>
    </row>
    <row r="10944">
      <c r="K10944" s="317"/>
    </row>
    <row r="10945">
      <c r="K10945" s="317"/>
    </row>
    <row r="10946">
      <c r="K10946" s="317"/>
    </row>
    <row r="10947">
      <c r="K10947" s="317"/>
    </row>
    <row r="10948">
      <c r="K10948" s="317"/>
    </row>
    <row r="10949">
      <c r="K10949" s="317"/>
    </row>
    <row r="10950">
      <c r="K10950" s="317"/>
    </row>
    <row r="10951">
      <c r="K10951" s="317"/>
    </row>
    <row r="10952">
      <c r="K10952" s="317"/>
    </row>
    <row r="10953">
      <c r="K10953" s="317"/>
    </row>
    <row r="10954">
      <c r="K10954" s="317"/>
    </row>
    <row r="10955">
      <c r="K10955" s="317"/>
    </row>
    <row r="10956">
      <c r="K10956" s="317"/>
    </row>
    <row r="10957">
      <c r="K10957" s="317"/>
    </row>
    <row r="10958">
      <c r="K10958" s="317"/>
    </row>
    <row r="10959">
      <c r="K10959" s="317"/>
    </row>
    <row r="10960">
      <c r="K10960" s="317"/>
    </row>
    <row r="10961">
      <c r="K10961" s="317"/>
    </row>
    <row r="10962">
      <c r="K10962" s="317"/>
    </row>
    <row r="10963">
      <c r="K10963" s="317"/>
    </row>
    <row r="10964">
      <c r="K10964" s="317"/>
    </row>
    <row r="10965">
      <c r="K10965" s="317"/>
    </row>
    <row r="10966">
      <c r="K10966" s="317"/>
    </row>
    <row r="10967">
      <c r="K10967" s="317"/>
    </row>
    <row r="10968">
      <c r="K10968" s="317"/>
    </row>
    <row r="10969">
      <c r="K10969" s="317"/>
    </row>
    <row r="10970">
      <c r="K10970" s="317"/>
    </row>
    <row r="10971">
      <c r="K10971" s="317"/>
    </row>
    <row r="10972">
      <c r="K10972" s="317"/>
    </row>
    <row r="10973">
      <c r="K10973" s="317"/>
    </row>
    <row r="10974">
      <c r="K10974" s="317"/>
    </row>
    <row r="10975">
      <c r="K10975" s="317"/>
    </row>
    <row r="10976">
      <c r="K10976" s="317"/>
    </row>
    <row r="10977">
      <c r="K10977" s="317"/>
    </row>
    <row r="10978">
      <c r="K10978" s="317"/>
    </row>
    <row r="10979">
      <c r="K10979" s="317"/>
    </row>
    <row r="10980">
      <c r="K10980" s="317"/>
    </row>
    <row r="10981">
      <c r="K10981" s="317"/>
    </row>
    <row r="10982">
      <c r="K10982" s="317"/>
    </row>
    <row r="10983">
      <c r="K10983" s="317"/>
    </row>
    <row r="10984">
      <c r="K10984" s="317"/>
    </row>
    <row r="10985">
      <c r="K10985" s="317"/>
    </row>
    <row r="10986">
      <c r="K10986" s="317"/>
    </row>
    <row r="10987">
      <c r="K10987" s="317"/>
    </row>
    <row r="10988">
      <c r="K10988" s="317"/>
    </row>
    <row r="10989">
      <c r="K10989" s="317"/>
    </row>
    <row r="10990">
      <c r="K10990" s="317"/>
    </row>
    <row r="10991">
      <c r="K10991" s="317"/>
    </row>
    <row r="10992">
      <c r="K10992" s="317"/>
    </row>
    <row r="10993">
      <c r="K10993" s="317"/>
    </row>
    <row r="10994">
      <c r="K10994" s="317"/>
    </row>
    <row r="10995">
      <c r="K10995" s="317"/>
    </row>
    <row r="10996">
      <c r="K10996" s="317"/>
    </row>
    <row r="10997">
      <c r="K10997" s="317"/>
    </row>
    <row r="10998">
      <c r="K10998" s="317"/>
    </row>
    <row r="10999">
      <c r="K10999" s="317"/>
    </row>
    <row r="11000">
      <c r="K11000" s="317"/>
    </row>
    <row r="11001">
      <c r="K11001" s="317"/>
    </row>
    <row r="11002">
      <c r="K11002" s="317"/>
    </row>
    <row r="11003">
      <c r="K11003" s="317"/>
    </row>
    <row r="11004">
      <c r="K11004" s="317"/>
    </row>
    <row r="11005">
      <c r="K11005" s="317"/>
    </row>
    <row r="11006">
      <c r="K11006" s="317"/>
    </row>
    <row r="11007">
      <c r="K11007" s="317"/>
    </row>
    <row r="11008">
      <c r="K11008" s="317"/>
    </row>
    <row r="11009">
      <c r="K11009" s="317"/>
    </row>
    <row r="11010">
      <c r="K11010" s="317"/>
    </row>
    <row r="11011">
      <c r="K11011" s="317"/>
    </row>
    <row r="11012">
      <c r="K11012" s="317"/>
    </row>
    <row r="11013">
      <c r="K11013" s="317"/>
    </row>
    <row r="11014">
      <c r="K11014" s="317"/>
    </row>
    <row r="11015">
      <c r="K11015" s="317"/>
    </row>
    <row r="11016">
      <c r="K11016" s="317"/>
    </row>
    <row r="11017">
      <c r="K11017" s="317"/>
    </row>
    <row r="11018">
      <c r="K11018" s="317"/>
    </row>
    <row r="11019">
      <c r="K11019" s="317"/>
    </row>
    <row r="11020">
      <c r="K11020" s="317"/>
    </row>
    <row r="11021">
      <c r="K11021" s="317"/>
    </row>
    <row r="11022">
      <c r="K11022" s="317"/>
    </row>
    <row r="11023">
      <c r="K11023" s="317"/>
    </row>
    <row r="11024">
      <c r="K11024" s="317"/>
    </row>
    <row r="11025">
      <c r="K11025" s="317"/>
    </row>
    <row r="11026">
      <c r="K11026" s="317"/>
    </row>
    <row r="11027">
      <c r="K11027" s="317"/>
    </row>
    <row r="11028">
      <c r="K11028" s="317"/>
    </row>
    <row r="11029">
      <c r="K11029" s="317"/>
    </row>
    <row r="11030">
      <c r="K11030" s="317"/>
    </row>
    <row r="11031">
      <c r="K11031" s="317"/>
    </row>
    <row r="11032">
      <c r="K11032" s="317"/>
    </row>
    <row r="11033">
      <c r="K11033" s="317"/>
    </row>
    <row r="11034">
      <c r="K11034" s="317"/>
    </row>
    <row r="11035">
      <c r="K11035" s="317"/>
    </row>
    <row r="11036">
      <c r="K11036" s="317"/>
    </row>
    <row r="11037">
      <c r="K11037" s="317"/>
    </row>
    <row r="11038">
      <c r="K11038" s="317"/>
    </row>
    <row r="11039">
      <c r="K11039" s="317"/>
    </row>
    <row r="11040">
      <c r="K11040" s="317"/>
    </row>
    <row r="11041">
      <c r="K11041" s="317"/>
    </row>
    <row r="11042">
      <c r="K11042" s="317"/>
    </row>
    <row r="11043">
      <c r="K11043" s="317"/>
    </row>
    <row r="11044">
      <c r="K11044" s="317"/>
    </row>
    <row r="11045">
      <c r="K11045" s="317"/>
    </row>
    <row r="11046">
      <c r="K11046" s="317"/>
    </row>
    <row r="11047">
      <c r="K11047" s="317"/>
    </row>
    <row r="11048">
      <c r="K11048" s="317"/>
    </row>
    <row r="11049">
      <c r="K11049" s="317"/>
    </row>
    <row r="11050">
      <c r="K11050" s="317"/>
    </row>
    <row r="11051">
      <c r="K11051" s="317"/>
    </row>
    <row r="11052">
      <c r="K11052" s="317"/>
    </row>
    <row r="11053">
      <c r="K11053" s="317"/>
    </row>
    <row r="11054">
      <c r="K11054" s="317"/>
    </row>
    <row r="11055">
      <c r="K11055" s="317"/>
    </row>
    <row r="11056">
      <c r="K11056" s="317"/>
    </row>
    <row r="11057">
      <c r="K11057" s="317"/>
    </row>
    <row r="11058">
      <c r="K11058" s="317"/>
    </row>
    <row r="11059">
      <c r="K11059" s="317"/>
    </row>
    <row r="11060">
      <c r="K11060" s="317"/>
    </row>
    <row r="11061">
      <c r="K11061" s="317"/>
    </row>
    <row r="11062">
      <c r="K11062" s="317"/>
    </row>
    <row r="11063">
      <c r="K11063" s="317"/>
    </row>
    <row r="11064">
      <c r="K11064" s="317"/>
    </row>
    <row r="11065">
      <c r="K11065" s="317"/>
    </row>
    <row r="11066">
      <c r="K11066" s="317"/>
    </row>
    <row r="11067">
      <c r="K11067" s="317"/>
    </row>
    <row r="11068">
      <c r="K11068" s="317"/>
    </row>
    <row r="11069">
      <c r="K11069" s="317"/>
    </row>
    <row r="11070">
      <c r="K11070" s="317"/>
    </row>
    <row r="11071">
      <c r="K11071" s="317"/>
    </row>
    <row r="11072">
      <c r="K11072" s="317"/>
    </row>
    <row r="11073">
      <c r="K11073" s="317"/>
    </row>
    <row r="11074">
      <c r="K11074" s="317"/>
    </row>
    <row r="11075">
      <c r="K11075" s="317"/>
    </row>
    <row r="11076">
      <c r="K11076" s="317"/>
    </row>
    <row r="11077">
      <c r="K11077" s="317"/>
    </row>
    <row r="11078">
      <c r="K11078" s="317"/>
    </row>
    <row r="11079">
      <c r="K11079" s="317"/>
    </row>
    <row r="11080">
      <c r="K11080" s="317"/>
    </row>
    <row r="11081">
      <c r="K11081" s="317"/>
    </row>
    <row r="11082">
      <c r="K11082" s="317"/>
    </row>
    <row r="11083">
      <c r="K11083" s="317"/>
    </row>
    <row r="11084">
      <c r="K11084" s="317"/>
    </row>
    <row r="11085">
      <c r="K11085" s="317"/>
    </row>
    <row r="11086">
      <c r="K11086" s="317"/>
    </row>
    <row r="11087">
      <c r="K11087" s="317"/>
    </row>
    <row r="11088">
      <c r="K11088" s="317"/>
    </row>
    <row r="11089">
      <c r="K11089" s="317"/>
    </row>
    <row r="11090">
      <c r="K11090" s="317"/>
    </row>
    <row r="11091">
      <c r="K11091" s="317"/>
    </row>
    <row r="11092">
      <c r="K11092" s="317"/>
    </row>
    <row r="11093">
      <c r="K11093" s="317"/>
    </row>
    <row r="11094">
      <c r="K11094" s="317"/>
    </row>
    <row r="11095">
      <c r="K11095" s="317"/>
    </row>
    <row r="11096">
      <c r="K11096" s="317"/>
    </row>
    <row r="11097">
      <c r="K11097" s="317"/>
    </row>
    <row r="11098">
      <c r="K11098" s="317"/>
    </row>
    <row r="11099">
      <c r="K11099" s="317"/>
    </row>
    <row r="11100">
      <c r="K11100" s="317"/>
    </row>
    <row r="11101">
      <c r="K11101" s="317"/>
    </row>
    <row r="11102">
      <c r="K11102" s="317"/>
    </row>
    <row r="11103">
      <c r="K11103" s="317"/>
    </row>
    <row r="11104">
      <c r="K11104" s="317"/>
    </row>
    <row r="11105">
      <c r="K11105" s="317"/>
    </row>
    <row r="11106">
      <c r="K11106" s="317"/>
    </row>
    <row r="11107">
      <c r="K11107" s="317"/>
    </row>
    <row r="11108">
      <c r="K11108" s="317"/>
    </row>
    <row r="11109">
      <c r="K11109" s="317"/>
    </row>
    <row r="11110">
      <c r="K11110" s="317"/>
    </row>
    <row r="11111">
      <c r="K11111" s="317"/>
    </row>
    <row r="11112">
      <c r="K11112" s="317"/>
    </row>
    <row r="11113">
      <c r="K11113" s="317"/>
    </row>
    <row r="11114">
      <c r="K11114" s="317"/>
    </row>
    <row r="11115">
      <c r="K11115" s="317"/>
    </row>
    <row r="11116">
      <c r="K11116" s="317"/>
    </row>
    <row r="11117">
      <c r="K11117" s="317"/>
    </row>
    <row r="11118">
      <c r="K11118" s="317"/>
    </row>
    <row r="11119">
      <c r="K11119" s="317"/>
    </row>
    <row r="11120">
      <c r="K11120" s="317"/>
    </row>
    <row r="11121">
      <c r="K11121" s="317"/>
    </row>
    <row r="11122">
      <c r="K11122" s="317"/>
    </row>
    <row r="11123">
      <c r="K11123" s="317"/>
    </row>
    <row r="11124">
      <c r="K11124" s="317"/>
    </row>
    <row r="11125">
      <c r="K11125" s="317"/>
    </row>
    <row r="11126">
      <c r="K11126" s="317"/>
    </row>
    <row r="11127">
      <c r="K11127" s="317"/>
    </row>
    <row r="11128">
      <c r="K11128" s="317"/>
    </row>
    <row r="11129">
      <c r="K11129" s="317"/>
    </row>
    <row r="11130">
      <c r="K11130" s="317"/>
    </row>
    <row r="11131">
      <c r="K11131" s="317"/>
    </row>
    <row r="11132">
      <c r="K11132" s="317"/>
    </row>
    <row r="11133">
      <c r="K11133" s="317"/>
    </row>
    <row r="11134">
      <c r="K11134" s="317"/>
    </row>
    <row r="11135">
      <c r="K11135" s="317"/>
    </row>
    <row r="11136">
      <c r="K11136" s="317"/>
    </row>
    <row r="11137">
      <c r="K11137" s="317"/>
    </row>
    <row r="11138">
      <c r="K11138" s="317"/>
    </row>
    <row r="11139">
      <c r="K11139" s="317"/>
    </row>
    <row r="11140">
      <c r="K11140" s="317"/>
    </row>
    <row r="11141">
      <c r="K11141" s="317"/>
    </row>
    <row r="11142">
      <c r="K11142" s="317"/>
    </row>
    <row r="11143">
      <c r="K11143" s="317"/>
    </row>
    <row r="11144">
      <c r="K11144" s="317"/>
    </row>
    <row r="11145">
      <c r="K11145" s="317"/>
    </row>
    <row r="11146">
      <c r="K11146" s="317"/>
    </row>
    <row r="11147">
      <c r="K11147" s="317"/>
    </row>
    <row r="11148">
      <c r="K11148" s="317"/>
    </row>
    <row r="11149">
      <c r="K11149" s="317"/>
    </row>
    <row r="11150">
      <c r="K11150" s="317"/>
    </row>
    <row r="11151">
      <c r="K11151" s="317"/>
    </row>
    <row r="11152">
      <c r="K11152" s="317"/>
    </row>
    <row r="11153">
      <c r="K11153" s="317"/>
    </row>
    <row r="11154">
      <c r="K11154" s="317"/>
    </row>
    <row r="11155">
      <c r="K11155" s="317"/>
    </row>
    <row r="11156">
      <c r="K11156" s="317"/>
    </row>
    <row r="11157">
      <c r="K11157" s="317"/>
    </row>
    <row r="11158">
      <c r="K11158" s="317"/>
    </row>
    <row r="11159">
      <c r="K11159" s="317"/>
    </row>
    <row r="11160">
      <c r="K11160" s="317"/>
    </row>
    <row r="11161">
      <c r="K11161" s="317"/>
    </row>
    <row r="11162">
      <c r="K11162" s="317"/>
    </row>
    <row r="11163">
      <c r="K11163" s="317"/>
    </row>
    <row r="11164">
      <c r="K11164" s="317"/>
    </row>
    <row r="11165">
      <c r="K11165" s="317"/>
    </row>
    <row r="11166">
      <c r="K11166" s="317"/>
    </row>
    <row r="11167">
      <c r="K11167" s="317"/>
    </row>
    <row r="11168">
      <c r="K11168" s="317"/>
    </row>
    <row r="11169">
      <c r="K11169" s="317"/>
    </row>
    <row r="11170">
      <c r="K11170" s="317"/>
    </row>
    <row r="11171">
      <c r="K11171" s="317"/>
    </row>
    <row r="11172">
      <c r="K11172" s="317"/>
    </row>
    <row r="11173">
      <c r="K11173" s="317"/>
    </row>
    <row r="11174">
      <c r="K11174" s="317"/>
    </row>
    <row r="11175">
      <c r="K11175" s="317"/>
    </row>
    <row r="11176">
      <c r="K11176" s="317"/>
    </row>
    <row r="11177">
      <c r="K11177" s="317"/>
    </row>
    <row r="11178">
      <c r="K11178" s="317"/>
    </row>
    <row r="11179">
      <c r="K11179" s="317"/>
    </row>
    <row r="11180">
      <c r="K11180" s="317"/>
    </row>
    <row r="11181">
      <c r="K11181" s="317"/>
    </row>
    <row r="11182">
      <c r="K11182" s="317"/>
    </row>
    <row r="11183">
      <c r="K11183" s="317"/>
    </row>
    <row r="11184">
      <c r="K11184" s="317"/>
    </row>
    <row r="11185">
      <c r="K11185" s="317"/>
    </row>
    <row r="11186">
      <c r="K11186" s="317"/>
    </row>
    <row r="11187">
      <c r="K11187" s="317"/>
    </row>
    <row r="11188">
      <c r="K11188" s="317"/>
    </row>
    <row r="11189">
      <c r="K11189" s="317"/>
    </row>
    <row r="11190">
      <c r="K11190" s="317"/>
    </row>
    <row r="11191">
      <c r="K11191" s="317"/>
    </row>
    <row r="11192">
      <c r="K11192" s="317"/>
    </row>
    <row r="11193">
      <c r="K11193" s="317"/>
    </row>
    <row r="11194">
      <c r="K11194" s="317"/>
    </row>
    <row r="11195">
      <c r="K11195" s="317"/>
    </row>
    <row r="11196">
      <c r="K11196" s="317"/>
    </row>
    <row r="11197">
      <c r="K11197" s="317"/>
    </row>
    <row r="11198">
      <c r="K11198" s="317"/>
    </row>
    <row r="11199">
      <c r="K11199" s="317"/>
    </row>
    <row r="11200">
      <c r="K11200" s="317"/>
    </row>
    <row r="11201">
      <c r="K11201" s="317"/>
    </row>
    <row r="11202">
      <c r="K11202" s="317"/>
    </row>
    <row r="11203">
      <c r="K11203" s="317"/>
    </row>
    <row r="11204">
      <c r="K11204" s="317"/>
    </row>
    <row r="11205">
      <c r="K11205" s="317"/>
    </row>
    <row r="11206">
      <c r="K11206" s="317"/>
    </row>
    <row r="11207">
      <c r="K11207" s="317"/>
    </row>
    <row r="11208">
      <c r="K11208" s="317"/>
    </row>
    <row r="11209">
      <c r="K11209" s="317"/>
    </row>
    <row r="11210">
      <c r="K11210" s="317"/>
    </row>
    <row r="11211">
      <c r="K11211" s="317"/>
    </row>
    <row r="11212">
      <c r="K11212" s="317"/>
    </row>
    <row r="11213">
      <c r="K11213" s="317"/>
    </row>
    <row r="11214">
      <c r="K11214" s="317"/>
    </row>
    <row r="11215">
      <c r="K11215" s="317"/>
    </row>
    <row r="11216">
      <c r="K11216" s="317"/>
    </row>
    <row r="11217">
      <c r="K11217" s="317"/>
    </row>
    <row r="11218">
      <c r="K11218" s="317"/>
    </row>
    <row r="11219">
      <c r="K11219" s="317"/>
    </row>
    <row r="11220">
      <c r="K11220" s="317"/>
    </row>
    <row r="11221">
      <c r="K11221" s="317"/>
    </row>
    <row r="11222">
      <c r="K11222" s="317"/>
    </row>
    <row r="11223">
      <c r="K11223" s="317"/>
    </row>
    <row r="11224">
      <c r="K11224" s="317"/>
    </row>
    <row r="11225">
      <c r="K11225" s="317"/>
    </row>
    <row r="11226">
      <c r="K11226" s="317"/>
    </row>
    <row r="11227">
      <c r="K11227" s="317"/>
    </row>
    <row r="11228">
      <c r="K11228" s="317"/>
    </row>
    <row r="11229">
      <c r="K11229" s="317"/>
    </row>
    <row r="11230">
      <c r="K11230" s="317"/>
    </row>
    <row r="11231">
      <c r="K11231" s="317"/>
    </row>
    <row r="11232">
      <c r="K11232" s="317"/>
    </row>
    <row r="11233">
      <c r="K11233" s="317"/>
    </row>
    <row r="11234">
      <c r="K11234" s="317"/>
    </row>
    <row r="11235">
      <c r="K11235" s="317"/>
    </row>
    <row r="11236">
      <c r="K11236" s="317"/>
    </row>
    <row r="11237">
      <c r="K11237" s="317"/>
    </row>
    <row r="11238">
      <c r="K11238" s="317"/>
    </row>
    <row r="11239">
      <c r="K11239" s="317"/>
    </row>
    <row r="11240">
      <c r="K11240" s="317"/>
    </row>
    <row r="11241">
      <c r="K11241" s="317"/>
    </row>
    <row r="11242">
      <c r="K11242" s="317"/>
    </row>
    <row r="11243">
      <c r="K11243" s="317"/>
    </row>
    <row r="11244">
      <c r="K11244" s="317"/>
    </row>
    <row r="11245">
      <c r="K11245" s="317"/>
    </row>
    <row r="11246">
      <c r="K11246" s="317"/>
    </row>
    <row r="11247">
      <c r="K11247" s="317"/>
    </row>
    <row r="11248">
      <c r="K11248" s="317"/>
    </row>
    <row r="11249">
      <c r="K11249" s="317"/>
    </row>
    <row r="11250">
      <c r="K11250" s="317"/>
    </row>
    <row r="11251">
      <c r="K11251" s="317"/>
    </row>
    <row r="11252">
      <c r="K11252" s="317"/>
    </row>
    <row r="11253">
      <c r="K11253" s="317"/>
    </row>
    <row r="11254">
      <c r="K11254" s="317"/>
    </row>
    <row r="11255">
      <c r="K11255" s="317"/>
    </row>
    <row r="11256">
      <c r="K11256" s="317"/>
    </row>
    <row r="11257">
      <c r="K11257" s="317"/>
    </row>
    <row r="11258">
      <c r="K11258" s="317"/>
    </row>
    <row r="11259">
      <c r="K11259" s="317"/>
    </row>
    <row r="11260">
      <c r="K11260" s="317"/>
    </row>
    <row r="11261">
      <c r="K11261" s="317"/>
    </row>
    <row r="11262">
      <c r="K11262" s="317"/>
    </row>
    <row r="11263">
      <c r="K11263" s="317"/>
    </row>
    <row r="11264">
      <c r="K11264" s="317"/>
    </row>
    <row r="11265">
      <c r="K11265" s="317"/>
    </row>
    <row r="11266">
      <c r="K11266" s="317"/>
    </row>
    <row r="11267">
      <c r="K11267" s="317"/>
    </row>
    <row r="11268">
      <c r="K11268" s="317"/>
    </row>
    <row r="11269">
      <c r="K11269" s="317"/>
    </row>
    <row r="11270">
      <c r="K11270" s="317"/>
    </row>
    <row r="11271">
      <c r="K11271" s="317"/>
    </row>
    <row r="11272">
      <c r="K11272" s="317"/>
    </row>
    <row r="11273">
      <c r="K11273" s="317"/>
    </row>
    <row r="11274">
      <c r="K11274" s="317"/>
    </row>
    <row r="11275">
      <c r="K11275" s="317"/>
    </row>
    <row r="11276">
      <c r="K11276" s="317"/>
    </row>
    <row r="11277">
      <c r="K11277" s="317"/>
    </row>
    <row r="11278">
      <c r="K11278" s="317"/>
    </row>
    <row r="11279">
      <c r="K11279" s="317"/>
    </row>
    <row r="11280">
      <c r="K11280" s="317"/>
    </row>
    <row r="11281">
      <c r="K11281" s="317"/>
    </row>
    <row r="11282">
      <c r="K11282" s="317"/>
    </row>
    <row r="11283">
      <c r="K11283" s="317"/>
    </row>
    <row r="11284">
      <c r="K11284" s="317"/>
    </row>
    <row r="11285">
      <c r="K11285" s="317"/>
    </row>
    <row r="11286">
      <c r="K11286" s="317"/>
    </row>
    <row r="11287">
      <c r="K11287" s="317"/>
    </row>
    <row r="11288">
      <c r="K11288" s="317"/>
    </row>
    <row r="11289">
      <c r="K11289" s="317"/>
    </row>
    <row r="11290">
      <c r="K11290" s="317"/>
    </row>
    <row r="11291">
      <c r="K11291" s="317"/>
    </row>
    <row r="11292">
      <c r="K11292" s="317"/>
    </row>
    <row r="11293">
      <c r="K11293" s="317"/>
    </row>
    <row r="11294">
      <c r="K11294" s="317"/>
    </row>
    <row r="11295">
      <c r="K11295" s="317"/>
    </row>
    <row r="11296">
      <c r="K11296" s="317"/>
    </row>
    <row r="11297">
      <c r="K11297" s="317"/>
    </row>
    <row r="11298">
      <c r="K11298" s="317"/>
    </row>
    <row r="11299">
      <c r="K11299" s="317"/>
    </row>
    <row r="11300">
      <c r="K11300" s="317"/>
    </row>
    <row r="11301">
      <c r="K11301" s="317"/>
    </row>
    <row r="11302">
      <c r="K11302" s="317"/>
    </row>
    <row r="11303">
      <c r="K11303" s="317"/>
    </row>
    <row r="11304">
      <c r="K11304" s="317"/>
    </row>
    <row r="11305">
      <c r="K11305" s="317"/>
    </row>
    <row r="11306">
      <c r="K11306" s="317"/>
    </row>
    <row r="11307">
      <c r="K11307" s="317"/>
    </row>
    <row r="11308">
      <c r="K11308" s="317"/>
    </row>
    <row r="11309">
      <c r="K11309" s="317"/>
    </row>
    <row r="11310">
      <c r="K11310" s="317"/>
    </row>
    <row r="11311">
      <c r="K11311" s="317"/>
    </row>
    <row r="11312">
      <c r="K11312" s="317"/>
    </row>
    <row r="11313">
      <c r="K11313" s="317"/>
    </row>
    <row r="11314">
      <c r="K11314" s="317"/>
    </row>
    <row r="11315">
      <c r="K11315" s="317"/>
    </row>
    <row r="11316">
      <c r="K11316" s="317"/>
    </row>
    <row r="11317">
      <c r="K11317" s="317"/>
    </row>
    <row r="11318">
      <c r="K11318" s="317"/>
    </row>
    <row r="11319">
      <c r="K11319" s="317"/>
    </row>
    <row r="11320">
      <c r="K11320" s="317"/>
    </row>
    <row r="11321">
      <c r="K11321" s="317"/>
    </row>
    <row r="11322">
      <c r="K11322" s="317"/>
    </row>
    <row r="11323">
      <c r="K11323" s="317"/>
    </row>
    <row r="11324">
      <c r="K11324" s="317"/>
    </row>
    <row r="11325">
      <c r="K11325" s="317"/>
    </row>
    <row r="11326">
      <c r="K11326" s="317"/>
    </row>
    <row r="11327">
      <c r="K11327" s="317"/>
    </row>
    <row r="11328">
      <c r="K11328" s="317"/>
    </row>
    <row r="11329">
      <c r="K11329" s="317"/>
    </row>
    <row r="11330">
      <c r="K11330" s="317"/>
    </row>
    <row r="11331">
      <c r="K11331" s="317"/>
    </row>
    <row r="11332">
      <c r="K11332" s="317"/>
    </row>
    <row r="11333">
      <c r="K11333" s="317"/>
    </row>
    <row r="11334">
      <c r="K11334" s="317"/>
    </row>
    <row r="11335">
      <c r="K11335" s="317"/>
    </row>
    <row r="11336">
      <c r="K11336" s="317"/>
    </row>
    <row r="11337">
      <c r="K11337" s="317"/>
    </row>
    <row r="11338">
      <c r="K11338" s="317"/>
    </row>
    <row r="11339">
      <c r="K11339" s="317"/>
    </row>
    <row r="11340">
      <c r="K11340" s="317"/>
    </row>
    <row r="11341">
      <c r="K11341" s="317"/>
    </row>
    <row r="11342">
      <c r="K11342" s="317"/>
    </row>
    <row r="11343">
      <c r="K11343" s="317"/>
    </row>
    <row r="11344">
      <c r="K11344" s="317"/>
    </row>
    <row r="11345">
      <c r="K11345" s="317"/>
    </row>
    <row r="11346">
      <c r="K11346" s="317"/>
    </row>
    <row r="11347">
      <c r="K11347" s="317"/>
    </row>
    <row r="11348">
      <c r="K11348" s="317"/>
    </row>
    <row r="11349">
      <c r="K11349" s="317"/>
    </row>
    <row r="11350">
      <c r="K11350" s="317"/>
    </row>
    <row r="11351">
      <c r="K11351" s="317"/>
    </row>
    <row r="11352">
      <c r="K11352" s="317"/>
    </row>
    <row r="11353">
      <c r="K11353" s="317"/>
    </row>
    <row r="11354">
      <c r="K11354" s="317"/>
    </row>
    <row r="11355">
      <c r="K11355" s="317"/>
    </row>
    <row r="11356">
      <c r="K11356" s="317"/>
    </row>
    <row r="11357">
      <c r="K11357" s="317"/>
    </row>
    <row r="11358">
      <c r="K11358" s="317"/>
    </row>
    <row r="11359">
      <c r="K11359" s="317"/>
    </row>
    <row r="11360">
      <c r="K11360" s="317"/>
    </row>
    <row r="11361">
      <c r="K11361" s="317"/>
    </row>
    <row r="11362">
      <c r="K11362" s="317"/>
    </row>
    <row r="11363">
      <c r="K11363" s="317"/>
    </row>
    <row r="11364">
      <c r="K11364" s="317"/>
    </row>
    <row r="11365">
      <c r="K11365" s="317"/>
    </row>
    <row r="11366">
      <c r="K11366" s="317"/>
    </row>
    <row r="11367">
      <c r="K11367" s="317"/>
    </row>
    <row r="11368">
      <c r="K11368" s="317"/>
    </row>
    <row r="11369">
      <c r="K11369" s="317"/>
    </row>
    <row r="11370">
      <c r="K11370" s="317"/>
    </row>
    <row r="11371">
      <c r="K11371" s="317"/>
    </row>
    <row r="11372">
      <c r="K11372" s="317"/>
    </row>
    <row r="11373">
      <c r="K11373" s="317"/>
    </row>
    <row r="11374">
      <c r="K11374" s="317"/>
    </row>
    <row r="11375">
      <c r="K11375" s="317"/>
    </row>
    <row r="11376">
      <c r="K11376" s="317"/>
    </row>
    <row r="11377">
      <c r="K11377" s="317"/>
    </row>
    <row r="11378">
      <c r="K11378" s="317"/>
    </row>
    <row r="11379">
      <c r="K11379" s="317"/>
    </row>
    <row r="11380">
      <c r="K11380" s="317"/>
    </row>
    <row r="11381">
      <c r="K11381" s="317"/>
    </row>
    <row r="11382">
      <c r="K11382" s="317"/>
    </row>
    <row r="11383">
      <c r="K11383" s="317"/>
    </row>
    <row r="11384">
      <c r="K11384" s="317"/>
    </row>
    <row r="11385">
      <c r="K11385" s="317"/>
    </row>
    <row r="11386">
      <c r="K11386" s="317"/>
    </row>
    <row r="11387">
      <c r="K11387" s="317"/>
    </row>
    <row r="11388">
      <c r="K11388" s="317"/>
    </row>
    <row r="11389">
      <c r="K11389" s="317"/>
    </row>
    <row r="11390">
      <c r="K11390" s="317"/>
    </row>
    <row r="11391">
      <c r="K11391" s="317"/>
    </row>
    <row r="11392">
      <c r="K11392" s="317"/>
    </row>
    <row r="11393">
      <c r="K11393" s="317"/>
    </row>
    <row r="11394">
      <c r="K11394" s="317"/>
    </row>
    <row r="11395">
      <c r="K11395" s="317"/>
    </row>
    <row r="11396">
      <c r="K11396" s="317"/>
    </row>
    <row r="11397">
      <c r="K11397" s="317"/>
    </row>
    <row r="11398">
      <c r="K11398" s="317"/>
    </row>
    <row r="11399">
      <c r="K11399" s="317"/>
    </row>
    <row r="11400">
      <c r="K11400" s="317"/>
    </row>
    <row r="11401">
      <c r="K11401" s="317"/>
    </row>
    <row r="11402">
      <c r="K11402" s="317"/>
    </row>
    <row r="11403">
      <c r="K11403" s="317"/>
    </row>
    <row r="11404">
      <c r="K11404" s="317"/>
    </row>
    <row r="11405">
      <c r="K11405" s="317"/>
    </row>
    <row r="11406">
      <c r="K11406" s="317"/>
    </row>
    <row r="11407">
      <c r="K11407" s="317"/>
    </row>
    <row r="11408">
      <c r="K11408" s="317"/>
    </row>
    <row r="11409">
      <c r="K11409" s="317"/>
    </row>
    <row r="11410">
      <c r="K11410" s="317"/>
    </row>
    <row r="11411">
      <c r="K11411" s="317"/>
    </row>
    <row r="11412">
      <c r="K11412" s="317"/>
    </row>
    <row r="11413">
      <c r="K11413" s="317"/>
    </row>
    <row r="11414">
      <c r="K11414" s="317"/>
    </row>
    <row r="11415">
      <c r="K11415" s="317"/>
    </row>
    <row r="11416">
      <c r="K11416" s="317"/>
    </row>
    <row r="11417">
      <c r="K11417" s="317"/>
    </row>
    <row r="11418">
      <c r="K11418" s="317"/>
    </row>
    <row r="11419">
      <c r="K11419" s="317"/>
    </row>
    <row r="11420">
      <c r="K11420" s="317"/>
    </row>
    <row r="11421">
      <c r="K11421" s="317"/>
    </row>
    <row r="11422">
      <c r="K11422" s="317"/>
    </row>
    <row r="11423">
      <c r="K11423" s="317"/>
    </row>
    <row r="11424">
      <c r="K11424" s="317"/>
    </row>
    <row r="11425">
      <c r="K11425" s="317"/>
    </row>
    <row r="11426">
      <c r="K11426" s="317"/>
    </row>
    <row r="11427">
      <c r="K11427" s="317"/>
    </row>
    <row r="11428">
      <c r="K11428" s="317"/>
    </row>
    <row r="11429">
      <c r="K11429" s="317"/>
    </row>
    <row r="11430">
      <c r="K11430" s="317"/>
    </row>
    <row r="11431">
      <c r="K11431" s="317"/>
    </row>
    <row r="11432">
      <c r="K11432" s="317"/>
    </row>
    <row r="11433">
      <c r="K11433" s="317"/>
    </row>
    <row r="11434">
      <c r="K11434" s="317"/>
    </row>
    <row r="11435">
      <c r="K11435" s="317"/>
    </row>
    <row r="11436">
      <c r="K11436" s="317"/>
    </row>
    <row r="11437">
      <c r="K11437" s="317"/>
    </row>
    <row r="11438">
      <c r="K11438" s="317"/>
    </row>
    <row r="11439">
      <c r="K11439" s="317"/>
    </row>
    <row r="11440">
      <c r="K11440" s="317"/>
    </row>
    <row r="11441">
      <c r="K11441" s="317"/>
    </row>
    <row r="11442">
      <c r="K11442" s="317"/>
    </row>
    <row r="11443">
      <c r="K11443" s="317"/>
    </row>
    <row r="11444">
      <c r="K11444" s="317"/>
    </row>
    <row r="11445">
      <c r="K11445" s="317"/>
    </row>
    <row r="11446">
      <c r="K11446" s="317"/>
    </row>
    <row r="11447">
      <c r="K11447" s="317"/>
    </row>
    <row r="11448">
      <c r="K11448" s="317"/>
    </row>
    <row r="11449">
      <c r="K11449" s="317"/>
    </row>
    <row r="11450">
      <c r="K11450" s="317"/>
    </row>
    <row r="11451">
      <c r="K11451" s="317"/>
    </row>
    <row r="11452">
      <c r="K11452" s="317"/>
    </row>
    <row r="11453">
      <c r="K11453" s="317"/>
    </row>
    <row r="11454">
      <c r="K11454" s="317"/>
    </row>
    <row r="11455">
      <c r="K11455" s="317"/>
    </row>
    <row r="11456">
      <c r="K11456" s="317"/>
    </row>
    <row r="11457">
      <c r="K11457" s="317"/>
    </row>
    <row r="11458">
      <c r="K11458" s="317"/>
    </row>
    <row r="11459">
      <c r="K11459" s="317"/>
    </row>
    <row r="11460">
      <c r="K11460" s="317"/>
    </row>
    <row r="11461">
      <c r="K11461" s="317"/>
    </row>
    <row r="11462">
      <c r="K11462" s="317"/>
    </row>
    <row r="11463">
      <c r="K11463" s="317"/>
    </row>
    <row r="11464">
      <c r="K11464" s="317"/>
    </row>
    <row r="11465">
      <c r="K11465" s="317"/>
    </row>
    <row r="11466">
      <c r="K11466" s="317"/>
    </row>
    <row r="11467">
      <c r="K11467" s="317"/>
    </row>
    <row r="11468">
      <c r="K11468" s="317"/>
    </row>
    <row r="11469">
      <c r="K11469" s="317"/>
    </row>
    <row r="11470">
      <c r="K11470" s="317"/>
    </row>
    <row r="11471">
      <c r="K11471" s="317"/>
    </row>
    <row r="11472">
      <c r="K11472" s="317"/>
    </row>
    <row r="11473">
      <c r="K11473" s="317"/>
    </row>
    <row r="11474">
      <c r="K11474" s="317"/>
    </row>
    <row r="11475">
      <c r="K11475" s="317"/>
    </row>
    <row r="11476">
      <c r="K11476" s="317"/>
    </row>
    <row r="11477">
      <c r="K11477" s="317"/>
    </row>
    <row r="11478">
      <c r="K11478" s="317"/>
    </row>
    <row r="11479">
      <c r="K11479" s="317"/>
    </row>
    <row r="11480">
      <c r="K11480" s="317"/>
    </row>
    <row r="11481">
      <c r="K11481" s="317"/>
    </row>
    <row r="11482">
      <c r="K11482" s="317"/>
    </row>
    <row r="11483">
      <c r="K11483" s="317"/>
    </row>
    <row r="11484">
      <c r="K11484" s="317"/>
    </row>
    <row r="11485">
      <c r="K11485" s="317"/>
    </row>
    <row r="11486">
      <c r="K11486" s="317"/>
    </row>
    <row r="11487">
      <c r="K11487" s="317"/>
    </row>
    <row r="11488">
      <c r="K11488" s="317"/>
    </row>
    <row r="11489">
      <c r="K11489" s="317"/>
    </row>
    <row r="11490">
      <c r="K11490" s="317"/>
    </row>
    <row r="11491">
      <c r="K11491" s="317"/>
    </row>
    <row r="11492">
      <c r="K11492" s="317"/>
    </row>
    <row r="11493">
      <c r="K11493" s="317"/>
    </row>
    <row r="11494">
      <c r="K11494" s="317"/>
    </row>
    <row r="11495">
      <c r="K11495" s="317"/>
    </row>
    <row r="11496">
      <c r="K11496" s="317"/>
    </row>
    <row r="11497">
      <c r="K11497" s="317"/>
    </row>
    <row r="11498">
      <c r="K11498" s="317"/>
    </row>
    <row r="11499">
      <c r="K11499" s="317"/>
    </row>
    <row r="11500">
      <c r="K11500" s="317"/>
    </row>
    <row r="11501">
      <c r="K11501" s="317"/>
    </row>
    <row r="11502">
      <c r="K11502" s="317"/>
    </row>
    <row r="11503">
      <c r="K11503" s="317"/>
    </row>
    <row r="11504">
      <c r="K11504" s="317"/>
    </row>
    <row r="11505">
      <c r="K11505" s="317"/>
    </row>
    <row r="11506">
      <c r="K11506" s="317"/>
    </row>
    <row r="11507">
      <c r="K11507" s="317"/>
    </row>
    <row r="11508">
      <c r="K11508" s="317"/>
    </row>
    <row r="11509">
      <c r="K11509" s="317"/>
    </row>
    <row r="11510">
      <c r="K11510" s="317"/>
    </row>
    <row r="11511">
      <c r="K11511" s="317"/>
    </row>
    <row r="11512">
      <c r="K11512" s="317"/>
    </row>
    <row r="11513">
      <c r="K11513" s="317"/>
    </row>
    <row r="11514">
      <c r="K11514" s="317"/>
    </row>
    <row r="11515">
      <c r="K11515" s="317"/>
    </row>
    <row r="11516">
      <c r="K11516" s="317"/>
    </row>
    <row r="11517">
      <c r="K11517" s="317"/>
    </row>
    <row r="11518">
      <c r="K11518" s="317"/>
    </row>
    <row r="11519">
      <c r="K11519" s="317"/>
    </row>
    <row r="11520">
      <c r="K11520" s="317"/>
    </row>
    <row r="11521">
      <c r="K11521" s="317"/>
    </row>
    <row r="11522">
      <c r="K11522" s="317"/>
    </row>
    <row r="11523">
      <c r="K11523" s="317"/>
    </row>
    <row r="11524">
      <c r="K11524" s="317"/>
    </row>
    <row r="11525">
      <c r="K11525" s="317"/>
    </row>
    <row r="11526">
      <c r="K11526" s="317"/>
    </row>
    <row r="11527">
      <c r="K11527" s="317"/>
    </row>
    <row r="11528">
      <c r="K11528" s="317"/>
    </row>
    <row r="11529">
      <c r="K11529" s="317"/>
    </row>
    <row r="11530">
      <c r="K11530" s="317"/>
    </row>
    <row r="11531">
      <c r="K11531" s="317"/>
    </row>
    <row r="11532">
      <c r="K11532" s="317"/>
    </row>
    <row r="11533">
      <c r="K11533" s="317"/>
    </row>
    <row r="11534">
      <c r="K11534" s="317"/>
    </row>
    <row r="11535">
      <c r="K11535" s="317"/>
    </row>
    <row r="11536">
      <c r="K11536" s="317"/>
    </row>
    <row r="11537">
      <c r="K11537" s="317"/>
    </row>
    <row r="11538">
      <c r="K11538" s="317"/>
    </row>
    <row r="11539">
      <c r="K11539" s="317"/>
    </row>
    <row r="11540">
      <c r="K11540" s="317"/>
    </row>
    <row r="11541">
      <c r="K11541" s="317"/>
    </row>
    <row r="11542">
      <c r="K11542" s="317"/>
    </row>
    <row r="11543">
      <c r="K11543" s="317"/>
    </row>
    <row r="11544">
      <c r="K11544" s="317"/>
    </row>
    <row r="11545">
      <c r="K11545" s="317"/>
    </row>
    <row r="11546">
      <c r="K11546" s="317"/>
    </row>
    <row r="11547">
      <c r="K11547" s="317"/>
    </row>
    <row r="11548">
      <c r="K11548" s="317"/>
    </row>
    <row r="11549">
      <c r="K11549" s="317"/>
    </row>
    <row r="11550">
      <c r="K11550" s="317"/>
    </row>
    <row r="11551">
      <c r="K11551" s="317"/>
    </row>
    <row r="11552">
      <c r="K11552" s="317"/>
    </row>
    <row r="11553">
      <c r="K11553" s="317"/>
    </row>
    <row r="11554">
      <c r="K11554" s="317"/>
    </row>
    <row r="11555">
      <c r="K11555" s="317"/>
    </row>
    <row r="11556">
      <c r="K11556" s="317"/>
    </row>
    <row r="11557">
      <c r="K11557" s="317"/>
    </row>
    <row r="11558">
      <c r="K11558" s="317"/>
    </row>
    <row r="11559">
      <c r="K11559" s="317"/>
    </row>
    <row r="11560">
      <c r="K11560" s="317"/>
    </row>
    <row r="11561">
      <c r="K11561" s="317"/>
    </row>
    <row r="11562">
      <c r="K11562" s="317"/>
    </row>
    <row r="11563">
      <c r="K11563" s="317"/>
    </row>
    <row r="11564">
      <c r="K11564" s="317"/>
    </row>
    <row r="11565">
      <c r="K11565" s="317"/>
    </row>
    <row r="11566">
      <c r="K11566" s="317"/>
    </row>
    <row r="11567">
      <c r="K11567" s="317"/>
    </row>
    <row r="11568">
      <c r="K11568" s="317"/>
    </row>
    <row r="11569">
      <c r="K11569" s="317"/>
    </row>
    <row r="11570">
      <c r="K11570" s="317"/>
    </row>
    <row r="11571">
      <c r="K11571" s="317"/>
    </row>
    <row r="11572">
      <c r="K11572" s="317"/>
    </row>
    <row r="11573">
      <c r="K11573" s="317"/>
    </row>
    <row r="11574">
      <c r="K11574" s="317"/>
    </row>
    <row r="11575">
      <c r="K11575" s="317"/>
    </row>
    <row r="11576">
      <c r="K11576" s="317"/>
    </row>
    <row r="11577">
      <c r="K11577" s="317"/>
    </row>
    <row r="11578">
      <c r="K11578" s="317"/>
    </row>
    <row r="11579">
      <c r="K11579" s="317"/>
    </row>
    <row r="11580">
      <c r="K11580" s="317"/>
    </row>
    <row r="11581">
      <c r="K11581" s="317"/>
    </row>
    <row r="11582">
      <c r="K11582" s="317"/>
    </row>
    <row r="11583">
      <c r="K11583" s="317"/>
    </row>
    <row r="11584">
      <c r="K11584" s="317"/>
    </row>
    <row r="11585">
      <c r="K11585" s="317"/>
    </row>
    <row r="11586">
      <c r="K11586" s="317"/>
    </row>
    <row r="11587">
      <c r="K11587" s="317"/>
    </row>
    <row r="11588">
      <c r="K11588" s="317"/>
    </row>
    <row r="11589">
      <c r="K11589" s="317"/>
    </row>
    <row r="11590">
      <c r="K11590" s="317"/>
    </row>
    <row r="11591">
      <c r="K11591" s="317"/>
    </row>
    <row r="11592">
      <c r="K11592" s="317"/>
    </row>
    <row r="11593">
      <c r="K11593" s="317"/>
    </row>
    <row r="11594">
      <c r="K11594" s="317"/>
    </row>
    <row r="11595">
      <c r="K11595" s="317"/>
    </row>
    <row r="11596">
      <c r="K11596" s="317"/>
    </row>
    <row r="11597">
      <c r="K11597" s="317"/>
    </row>
    <row r="11598">
      <c r="K11598" s="317"/>
    </row>
    <row r="11599">
      <c r="K11599" s="317"/>
    </row>
    <row r="11600">
      <c r="K11600" s="317"/>
    </row>
    <row r="11601">
      <c r="K11601" s="317"/>
    </row>
    <row r="11602">
      <c r="K11602" s="317"/>
    </row>
    <row r="11603">
      <c r="K11603" s="317"/>
    </row>
    <row r="11604">
      <c r="K11604" s="317"/>
    </row>
    <row r="11605">
      <c r="K11605" s="317"/>
    </row>
    <row r="11606">
      <c r="K11606" s="317"/>
    </row>
    <row r="11607">
      <c r="K11607" s="317"/>
    </row>
    <row r="11608">
      <c r="K11608" s="317"/>
    </row>
    <row r="11609">
      <c r="K11609" s="317"/>
    </row>
    <row r="11610">
      <c r="K11610" s="317"/>
    </row>
    <row r="11611">
      <c r="K11611" s="317"/>
    </row>
    <row r="11612">
      <c r="K11612" s="317"/>
    </row>
    <row r="11613">
      <c r="K11613" s="317"/>
    </row>
    <row r="11614">
      <c r="K11614" s="317"/>
    </row>
    <row r="11615">
      <c r="K11615" s="317"/>
    </row>
    <row r="11616">
      <c r="K11616" s="317"/>
    </row>
    <row r="11617">
      <c r="K11617" s="317"/>
    </row>
    <row r="11618">
      <c r="K11618" s="317"/>
    </row>
    <row r="11619">
      <c r="K11619" s="317"/>
    </row>
    <row r="11620">
      <c r="K11620" s="317"/>
    </row>
    <row r="11621">
      <c r="K11621" s="317"/>
    </row>
    <row r="11622">
      <c r="K11622" s="317"/>
    </row>
    <row r="11623">
      <c r="K11623" s="317"/>
    </row>
    <row r="11624">
      <c r="K11624" s="317"/>
    </row>
    <row r="11625">
      <c r="K11625" s="317"/>
    </row>
    <row r="11626">
      <c r="K11626" s="317"/>
    </row>
    <row r="11627">
      <c r="K11627" s="317"/>
    </row>
    <row r="11628">
      <c r="K11628" s="317"/>
    </row>
    <row r="11629">
      <c r="K11629" s="317"/>
    </row>
    <row r="11630">
      <c r="K11630" s="317"/>
    </row>
    <row r="11631">
      <c r="K11631" s="317"/>
    </row>
    <row r="11632">
      <c r="K11632" s="317"/>
    </row>
    <row r="11633">
      <c r="K11633" s="317"/>
    </row>
    <row r="11634">
      <c r="K11634" s="317"/>
    </row>
    <row r="11635">
      <c r="K11635" s="317"/>
    </row>
    <row r="11636">
      <c r="K11636" s="317"/>
    </row>
    <row r="11637">
      <c r="K11637" s="317"/>
    </row>
    <row r="11638">
      <c r="K11638" s="317"/>
    </row>
    <row r="11639">
      <c r="K11639" s="317"/>
    </row>
    <row r="11640">
      <c r="K11640" s="317"/>
    </row>
    <row r="11641">
      <c r="K11641" s="317"/>
    </row>
    <row r="11642">
      <c r="K11642" s="317"/>
    </row>
    <row r="11643">
      <c r="K11643" s="317"/>
    </row>
    <row r="11644">
      <c r="K11644" s="317"/>
    </row>
    <row r="11645">
      <c r="K11645" s="317"/>
    </row>
    <row r="11646">
      <c r="K11646" s="317"/>
    </row>
    <row r="11647">
      <c r="K11647" s="317"/>
    </row>
    <row r="11648">
      <c r="K11648" s="317"/>
    </row>
    <row r="11649">
      <c r="K11649" s="317"/>
    </row>
    <row r="11650">
      <c r="K11650" s="317"/>
    </row>
    <row r="11651">
      <c r="K11651" s="317"/>
    </row>
    <row r="11652">
      <c r="K11652" s="317"/>
    </row>
    <row r="11653">
      <c r="K11653" s="317"/>
    </row>
    <row r="11654">
      <c r="K11654" s="317"/>
    </row>
    <row r="11655">
      <c r="K11655" s="317"/>
    </row>
    <row r="11656">
      <c r="K11656" s="317"/>
    </row>
    <row r="11657">
      <c r="K11657" s="317"/>
    </row>
    <row r="11658">
      <c r="K11658" s="317"/>
    </row>
    <row r="11659">
      <c r="K11659" s="317"/>
    </row>
    <row r="11660">
      <c r="K11660" s="317"/>
    </row>
    <row r="11661">
      <c r="K11661" s="317"/>
    </row>
    <row r="11662">
      <c r="K11662" s="317"/>
    </row>
    <row r="11663">
      <c r="K11663" s="317"/>
    </row>
    <row r="11664">
      <c r="K11664" s="317"/>
    </row>
    <row r="11665">
      <c r="K11665" s="317"/>
    </row>
    <row r="11666">
      <c r="K11666" s="317"/>
    </row>
    <row r="11667">
      <c r="K11667" s="317"/>
    </row>
    <row r="11668">
      <c r="K11668" s="317"/>
    </row>
    <row r="11669">
      <c r="K11669" s="317"/>
    </row>
    <row r="11670">
      <c r="K11670" s="317"/>
    </row>
    <row r="11671">
      <c r="K11671" s="317"/>
    </row>
    <row r="11672">
      <c r="K11672" s="317"/>
    </row>
    <row r="11673">
      <c r="K11673" s="317"/>
    </row>
    <row r="11674">
      <c r="K11674" s="317"/>
    </row>
    <row r="11675">
      <c r="K11675" s="317"/>
    </row>
    <row r="11676">
      <c r="K11676" s="317"/>
    </row>
    <row r="11677">
      <c r="K11677" s="317"/>
    </row>
    <row r="11678">
      <c r="K11678" s="317"/>
    </row>
    <row r="11679">
      <c r="K11679" s="317"/>
    </row>
    <row r="11680">
      <c r="K11680" s="317"/>
    </row>
    <row r="11681">
      <c r="K11681" s="317"/>
    </row>
    <row r="11682">
      <c r="K11682" s="317"/>
    </row>
    <row r="11683">
      <c r="K11683" s="317"/>
    </row>
    <row r="11684">
      <c r="K11684" s="317"/>
    </row>
    <row r="11685">
      <c r="K11685" s="317"/>
    </row>
    <row r="11686">
      <c r="K11686" s="317"/>
    </row>
    <row r="11687">
      <c r="K11687" s="317"/>
    </row>
    <row r="11688">
      <c r="K11688" s="317"/>
    </row>
    <row r="11689">
      <c r="K11689" s="317"/>
    </row>
    <row r="11690">
      <c r="K11690" s="317"/>
    </row>
    <row r="11691">
      <c r="K11691" s="317"/>
    </row>
    <row r="11692">
      <c r="K11692" s="317"/>
    </row>
    <row r="11693">
      <c r="K11693" s="317"/>
    </row>
    <row r="11694">
      <c r="K11694" s="317"/>
    </row>
    <row r="11695">
      <c r="K11695" s="317"/>
    </row>
    <row r="11696">
      <c r="K11696" s="317"/>
    </row>
    <row r="11697">
      <c r="K11697" s="317"/>
    </row>
    <row r="11698">
      <c r="K11698" s="317"/>
    </row>
    <row r="11699">
      <c r="K11699" s="317"/>
    </row>
    <row r="11700">
      <c r="K11700" s="317"/>
    </row>
    <row r="11701">
      <c r="K11701" s="317"/>
    </row>
    <row r="11702">
      <c r="K11702" s="317"/>
    </row>
    <row r="11703">
      <c r="K11703" s="317"/>
    </row>
    <row r="11704">
      <c r="K11704" s="317"/>
    </row>
    <row r="11705">
      <c r="K11705" s="317"/>
    </row>
    <row r="11706">
      <c r="K11706" s="317"/>
    </row>
    <row r="11707">
      <c r="K11707" s="317"/>
    </row>
    <row r="11708">
      <c r="K11708" s="317"/>
    </row>
    <row r="11709">
      <c r="K11709" s="317"/>
    </row>
    <row r="11710">
      <c r="K11710" s="317"/>
    </row>
    <row r="11711">
      <c r="K11711" s="317"/>
    </row>
    <row r="11712">
      <c r="K11712" s="317"/>
    </row>
    <row r="11713">
      <c r="K11713" s="317"/>
    </row>
    <row r="11714">
      <c r="K11714" s="317"/>
    </row>
    <row r="11715">
      <c r="K11715" s="317"/>
    </row>
    <row r="11716">
      <c r="K11716" s="317"/>
    </row>
    <row r="11717">
      <c r="K11717" s="317"/>
    </row>
    <row r="11718">
      <c r="K11718" s="317"/>
    </row>
    <row r="11719">
      <c r="K11719" s="317"/>
    </row>
    <row r="11720">
      <c r="K11720" s="317"/>
    </row>
    <row r="11721">
      <c r="K11721" s="317"/>
    </row>
    <row r="11722">
      <c r="K11722" s="317"/>
    </row>
    <row r="11723">
      <c r="K11723" s="317"/>
    </row>
    <row r="11724">
      <c r="K11724" s="317"/>
    </row>
    <row r="11725">
      <c r="K11725" s="317"/>
    </row>
    <row r="11726">
      <c r="K11726" s="317"/>
    </row>
    <row r="11727">
      <c r="K11727" s="317"/>
    </row>
    <row r="11728">
      <c r="K11728" s="317"/>
    </row>
    <row r="11729">
      <c r="K11729" s="317"/>
    </row>
    <row r="11730">
      <c r="K11730" s="317"/>
    </row>
    <row r="11731">
      <c r="K11731" s="317"/>
    </row>
    <row r="11732">
      <c r="K11732" s="317"/>
    </row>
    <row r="11733">
      <c r="K11733" s="317"/>
    </row>
    <row r="11734">
      <c r="K11734" s="317"/>
    </row>
    <row r="11735">
      <c r="K11735" s="317"/>
    </row>
    <row r="11736">
      <c r="K11736" s="317"/>
    </row>
    <row r="11737">
      <c r="K11737" s="317"/>
    </row>
    <row r="11738">
      <c r="K11738" s="317"/>
    </row>
    <row r="11739">
      <c r="K11739" s="317"/>
    </row>
    <row r="11740">
      <c r="K11740" s="317"/>
    </row>
    <row r="11741">
      <c r="K11741" s="317"/>
    </row>
    <row r="11742">
      <c r="K11742" s="317"/>
    </row>
    <row r="11743">
      <c r="K11743" s="317"/>
    </row>
    <row r="11744">
      <c r="K11744" s="317"/>
    </row>
    <row r="11745">
      <c r="K11745" s="317"/>
    </row>
    <row r="11746">
      <c r="K11746" s="317"/>
    </row>
    <row r="11747">
      <c r="K11747" s="317"/>
    </row>
    <row r="11748">
      <c r="K11748" s="317"/>
    </row>
    <row r="11749">
      <c r="K11749" s="317"/>
    </row>
    <row r="11750">
      <c r="K11750" s="317"/>
    </row>
    <row r="11751">
      <c r="K11751" s="317"/>
    </row>
    <row r="11752">
      <c r="K11752" s="317"/>
    </row>
    <row r="11753">
      <c r="K11753" s="317"/>
    </row>
    <row r="11754">
      <c r="K11754" s="317"/>
    </row>
    <row r="11755">
      <c r="K11755" s="317"/>
    </row>
    <row r="11756">
      <c r="K11756" s="317"/>
    </row>
    <row r="11757">
      <c r="K11757" s="317"/>
    </row>
    <row r="11758">
      <c r="K11758" s="317"/>
    </row>
    <row r="11759">
      <c r="K11759" s="317"/>
    </row>
    <row r="11760">
      <c r="K11760" s="317"/>
    </row>
    <row r="11761">
      <c r="K11761" s="317"/>
    </row>
    <row r="11762">
      <c r="K11762" s="317"/>
    </row>
    <row r="11763">
      <c r="K11763" s="317"/>
    </row>
    <row r="11764">
      <c r="K11764" s="317"/>
    </row>
    <row r="11765">
      <c r="K11765" s="317"/>
    </row>
    <row r="11766">
      <c r="K11766" s="317"/>
    </row>
    <row r="11767">
      <c r="K11767" s="317"/>
    </row>
    <row r="11768">
      <c r="K11768" s="317"/>
    </row>
    <row r="11769">
      <c r="K11769" s="317"/>
    </row>
    <row r="11770">
      <c r="K11770" s="317"/>
    </row>
    <row r="11771">
      <c r="K11771" s="317"/>
    </row>
    <row r="11772">
      <c r="K11772" s="317"/>
    </row>
    <row r="11773">
      <c r="K11773" s="317"/>
    </row>
    <row r="11774">
      <c r="K11774" s="317"/>
    </row>
    <row r="11775">
      <c r="K11775" s="317"/>
    </row>
    <row r="11776">
      <c r="K11776" s="317"/>
    </row>
    <row r="11777">
      <c r="K11777" s="317"/>
    </row>
    <row r="11778">
      <c r="K11778" s="317"/>
    </row>
    <row r="11779">
      <c r="K11779" s="317"/>
    </row>
    <row r="11780">
      <c r="K11780" s="317"/>
    </row>
    <row r="11781">
      <c r="K11781" s="317"/>
    </row>
    <row r="11782">
      <c r="K11782" s="317"/>
    </row>
    <row r="11783">
      <c r="K11783" s="317"/>
    </row>
    <row r="11784">
      <c r="K11784" s="317"/>
    </row>
    <row r="11785">
      <c r="K11785" s="317"/>
    </row>
    <row r="11786">
      <c r="K11786" s="317"/>
    </row>
    <row r="11787">
      <c r="K11787" s="317"/>
    </row>
    <row r="11788">
      <c r="K11788" s="317"/>
    </row>
    <row r="11789">
      <c r="K11789" s="317"/>
    </row>
    <row r="11790">
      <c r="K11790" s="317"/>
    </row>
    <row r="11791">
      <c r="K11791" s="317"/>
    </row>
    <row r="11792">
      <c r="K11792" s="317"/>
    </row>
    <row r="11793">
      <c r="K11793" s="317"/>
    </row>
    <row r="11794">
      <c r="K11794" s="317"/>
    </row>
    <row r="11795">
      <c r="K11795" s="317"/>
    </row>
    <row r="11796">
      <c r="K11796" s="317"/>
    </row>
    <row r="11797">
      <c r="K11797" s="317"/>
    </row>
    <row r="11798">
      <c r="K11798" s="317"/>
    </row>
    <row r="11799">
      <c r="K11799" s="317"/>
    </row>
    <row r="11800">
      <c r="K11800" s="317"/>
    </row>
    <row r="11801">
      <c r="K11801" s="317"/>
    </row>
    <row r="11802">
      <c r="K11802" s="317"/>
    </row>
    <row r="11803">
      <c r="K11803" s="317"/>
    </row>
    <row r="11804">
      <c r="K11804" s="317"/>
    </row>
    <row r="11805">
      <c r="K11805" s="317"/>
    </row>
    <row r="11806">
      <c r="K11806" s="317"/>
    </row>
    <row r="11807">
      <c r="K11807" s="317"/>
    </row>
    <row r="11808">
      <c r="K11808" s="317"/>
    </row>
    <row r="11809">
      <c r="K11809" s="317"/>
    </row>
    <row r="11810">
      <c r="K11810" s="317"/>
    </row>
    <row r="11811">
      <c r="K11811" s="317"/>
    </row>
    <row r="11812">
      <c r="K11812" s="317"/>
    </row>
    <row r="11813">
      <c r="K11813" s="317"/>
    </row>
    <row r="11814">
      <c r="K11814" s="317"/>
    </row>
    <row r="11815">
      <c r="K11815" s="317"/>
    </row>
    <row r="11816">
      <c r="K11816" s="317"/>
    </row>
    <row r="11817">
      <c r="K11817" s="317"/>
    </row>
    <row r="11818">
      <c r="K11818" s="317"/>
    </row>
    <row r="11819">
      <c r="K11819" s="317"/>
    </row>
    <row r="11820">
      <c r="K11820" s="317"/>
    </row>
    <row r="11821">
      <c r="K11821" s="317"/>
    </row>
    <row r="11822">
      <c r="K11822" s="317"/>
    </row>
    <row r="11823">
      <c r="K11823" s="317"/>
    </row>
    <row r="11824">
      <c r="K11824" s="317"/>
    </row>
    <row r="11825">
      <c r="K11825" s="317"/>
    </row>
    <row r="11826">
      <c r="K11826" s="317"/>
    </row>
    <row r="11827">
      <c r="K11827" s="317"/>
    </row>
    <row r="11828">
      <c r="K11828" s="317"/>
    </row>
    <row r="11829">
      <c r="K11829" s="317"/>
    </row>
    <row r="11830">
      <c r="K11830" s="317"/>
    </row>
    <row r="11831">
      <c r="K11831" s="317"/>
    </row>
    <row r="11832">
      <c r="K11832" s="317"/>
    </row>
    <row r="11833">
      <c r="K11833" s="317"/>
    </row>
    <row r="11834">
      <c r="K11834" s="317"/>
    </row>
    <row r="11835">
      <c r="K11835" s="317"/>
    </row>
    <row r="11836">
      <c r="K11836" s="317"/>
    </row>
    <row r="11837">
      <c r="K11837" s="317"/>
    </row>
    <row r="11838">
      <c r="K11838" s="317"/>
    </row>
    <row r="11839">
      <c r="K11839" s="317"/>
    </row>
    <row r="11840">
      <c r="K11840" s="317"/>
    </row>
    <row r="11841">
      <c r="K11841" s="317"/>
    </row>
    <row r="11842">
      <c r="K11842" s="317"/>
    </row>
    <row r="11843">
      <c r="K11843" s="317"/>
    </row>
    <row r="11844">
      <c r="K11844" s="317"/>
    </row>
    <row r="11845">
      <c r="K11845" s="317"/>
    </row>
    <row r="11846">
      <c r="K11846" s="317"/>
    </row>
    <row r="11847">
      <c r="K11847" s="317"/>
    </row>
    <row r="11848">
      <c r="K11848" s="317"/>
    </row>
    <row r="11849">
      <c r="K11849" s="317"/>
    </row>
    <row r="11850">
      <c r="K11850" s="317"/>
    </row>
    <row r="11851">
      <c r="K11851" s="317"/>
    </row>
    <row r="11852">
      <c r="K11852" s="317"/>
    </row>
    <row r="11853">
      <c r="K11853" s="317"/>
    </row>
    <row r="11854">
      <c r="K11854" s="317"/>
    </row>
    <row r="11855">
      <c r="K11855" s="317"/>
    </row>
    <row r="11856">
      <c r="K11856" s="317"/>
    </row>
    <row r="11857">
      <c r="K11857" s="317"/>
    </row>
    <row r="11858">
      <c r="K11858" s="317"/>
    </row>
    <row r="11859">
      <c r="K11859" s="317"/>
    </row>
    <row r="11860">
      <c r="K11860" s="317"/>
    </row>
    <row r="11861">
      <c r="K11861" s="317"/>
    </row>
    <row r="11862">
      <c r="K11862" s="317"/>
    </row>
    <row r="11863">
      <c r="K11863" s="317"/>
    </row>
    <row r="11864">
      <c r="K11864" s="317"/>
    </row>
    <row r="11865">
      <c r="K11865" s="317"/>
    </row>
    <row r="11866">
      <c r="K11866" s="317"/>
    </row>
    <row r="11867">
      <c r="K11867" s="317"/>
    </row>
    <row r="11868">
      <c r="K11868" s="317"/>
    </row>
    <row r="11869">
      <c r="K11869" s="317"/>
    </row>
    <row r="11870">
      <c r="K11870" s="317"/>
    </row>
    <row r="11871">
      <c r="K11871" s="317"/>
    </row>
    <row r="11872">
      <c r="K11872" s="317"/>
    </row>
    <row r="11873">
      <c r="K11873" s="317"/>
    </row>
    <row r="11874">
      <c r="K11874" s="317"/>
    </row>
    <row r="11875">
      <c r="K11875" s="317"/>
    </row>
    <row r="11876">
      <c r="K11876" s="317"/>
    </row>
    <row r="11877">
      <c r="K11877" s="317"/>
    </row>
    <row r="11878">
      <c r="K11878" s="317"/>
    </row>
    <row r="11879">
      <c r="K11879" s="317"/>
    </row>
    <row r="11880">
      <c r="K11880" s="317"/>
    </row>
    <row r="11881">
      <c r="K11881" s="317"/>
    </row>
    <row r="11882">
      <c r="K11882" s="317"/>
    </row>
    <row r="11883">
      <c r="K11883" s="317"/>
    </row>
    <row r="11884">
      <c r="K11884" s="317"/>
    </row>
    <row r="11885">
      <c r="K11885" s="317"/>
    </row>
    <row r="11886">
      <c r="K11886" s="317"/>
    </row>
    <row r="11887">
      <c r="K11887" s="317"/>
    </row>
    <row r="11888">
      <c r="K11888" s="317"/>
    </row>
    <row r="11889">
      <c r="K11889" s="317"/>
    </row>
    <row r="11890">
      <c r="K11890" s="317"/>
    </row>
    <row r="11891">
      <c r="K11891" s="317"/>
    </row>
    <row r="11892">
      <c r="K11892" s="317"/>
    </row>
    <row r="11893">
      <c r="K11893" s="317"/>
    </row>
    <row r="11894">
      <c r="K11894" s="317"/>
    </row>
    <row r="11895">
      <c r="K11895" s="317"/>
    </row>
    <row r="11896">
      <c r="K11896" s="317"/>
    </row>
    <row r="11897">
      <c r="K11897" s="317"/>
    </row>
    <row r="11898">
      <c r="K11898" s="317"/>
    </row>
    <row r="11899">
      <c r="K11899" s="317"/>
    </row>
    <row r="11900">
      <c r="K11900" s="317"/>
    </row>
    <row r="11901">
      <c r="K11901" s="317"/>
    </row>
    <row r="11902">
      <c r="K11902" s="317"/>
    </row>
    <row r="11903">
      <c r="K11903" s="317"/>
    </row>
    <row r="11904">
      <c r="K11904" s="317"/>
    </row>
    <row r="11905">
      <c r="K11905" s="317"/>
    </row>
    <row r="11906">
      <c r="K11906" s="317"/>
    </row>
    <row r="11907">
      <c r="K11907" s="317"/>
    </row>
    <row r="11908">
      <c r="K11908" s="317"/>
    </row>
    <row r="11909">
      <c r="K11909" s="317"/>
    </row>
    <row r="11910">
      <c r="K11910" s="317"/>
    </row>
    <row r="11911">
      <c r="K11911" s="317"/>
    </row>
    <row r="11912">
      <c r="K11912" s="317"/>
    </row>
    <row r="11913">
      <c r="K11913" s="317"/>
    </row>
    <row r="11914">
      <c r="K11914" s="317"/>
    </row>
    <row r="11915">
      <c r="K11915" s="317"/>
    </row>
    <row r="11916">
      <c r="K11916" s="317"/>
    </row>
    <row r="11917">
      <c r="K11917" s="317"/>
    </row>
    <row r="11918">
      <c r="K11918" s="317"/>
    </row>
    <row r="11919">
      <c r="K11919" s="317"/>
    </row>
    <row r="11920">
      <c r="K11920" s="317"/>
    </row>
    <row r="11921">
      <c r="K11921" s="317"/>
    </row>
    <row r="11922">
      <c r="K11922" s="317"/>
    </row>
    <row r="11923">
      <c r="K11923" s="317"/>
    </row>
    <row r="11924">
      <c r="K11924" s="317"/>
    </row>
    <row r="11925">
      <c r="K11925" s="317"/>
    </row>
    <row r="11926">
      <c r="K11926" s="317"/>
    </row>
    <row r="11927">
      <c r="K11927" s="317"/>
    </row>
    <row r="11928">
      <c r="K11928" s="317"/>
    </row>
    <row r="11929">
      <c r="K11929" s="317"/>
    </row>
    <row r="11930">
      <c r="K11930" s="317"/>
    </row>
    <row r="11931">
      <c r="K11931" s="317"/>
    </row>
    <row r="11932">
      <c r="K11932" s="317"/>
    </row>
    <row r="11933">
      <c r="K11933" s="317"/>
    </row>
    <row r="11934">
      <c r="K11934" s="317"/>
    </row>
    <row r="11935">
      <c r="K11935" s="317"/>
    </row>
    <row r="11936">
      <c r="K11936" s="317"/>
    </row>
    <row r="11937">
      <c r="K11937" s="317"/>
    </row>
    <row r="11938">
      <c r="K11938" s="317"/>
    </row>
    <row r="11939">
      <c r="K11939" s="317"/>
    </row>
    <row r="11940">
      <c r="K11940" s="317"/>
    </row>
    <row r="11941">
      <c r="K11941" s="317"/>
    </row>
    <row r="11942">
      <c r="K11942" s="317"/>
    </row>
    <row r="11943">
      <c r="K11943" s="317"/>
    </row>
    <row r="11944">
      <c r="K11944" s="317"/>
    </row>
    <row r="11945">
      <c r="K11945" s="317"/>
    </row>
    <row r="11946">
      <c r="K11946" s="317"/>
    </row>
    <row r="11947">
      <c r="K11947" s="317"/>
    </row>
    <row r="11948">
      <c r="K11948" s="317"/>
    </row>
    <row r="11949">
      <c r="K11949" s="317"/>
    </row>
    <row r="11950">
      <c r="K11950" s="317"/>
    </row>
    <row r="11951">
      <c r="K11951" s="317"/>
    </row>
    <row r="11952">
      <c r="K11952" s="317"/>
    </row>
    <row r="11953">
      <c r="K11953" s="317"/>
    </row>
    <row r="11954">
      <c r="K11954" s="317"/>
    </row>
    <row r="11955">
      <c r="K11955" s="317"/>
    </row>
    <row r="11956">
      <c r="K11956" s="317"/>
    </row>
    <row r="11957">
      <c r="K11957" s="317"/>
    </row>
    <row r="11958">
      <c r="K11958" s="317"/>
    </row>
    <row r="11959">
      <c r="K11959" s="317"/>
    </row>
    <row r="11960">
      <c r="K11960" s="317"/>
    </row>
    <row r="11961">
      <c r="K11961" s="317"/>
    </row>
    <row r="11962">
      <c r="K11962" s="317"/>
    </row>
    <row r="11963">
      <c r="K11963" s="317"/>
    </row>
    <row r="11964">
      <c r="K11964" s="317"/>
    </row>
    <row r="11965">
      <c r="K11965" s="317"/>
    </row>
    <row r="11966">
      <c r="K11966" s="317"/>
    </row>
    <row r="11967">
      <c r="K11967" s="317"/>
    </row>
    <row r="11968">
      <c r="K11968" s="317"/>
    </row>
    <row r="11969">
      <c r="K11969" s="317"/>
    </row>
    <row r="11970">
      <c r="K11970" s="317"/>
    </row>
    <row r="11971">
      <c r="K11971" s="317"/>
    </row>
    <row r="11972">
      <c r="K11972" s="317"/>
    </row>
    <row r="11973">
      <c r="K11973" s="317"/>
    </row>
    <row r="11974">
      <c r="K11974" s="317"/>
    </row>
    <row r="11975">
      <c r="K11975" s="317"/>
    </row>
    <row r="11976">
      <c r="K11976" s="317"/>
    </row>
    <row r="11977">
      <c r="K11977" s="317"/>
    </row>
    <row r="11978">
      <c r="K11978" s="317"/>
    </row>
    <row r="11979">
      <c r="K11979" s="317"/>
    </row>
    <row r="11980">
      <c r="K11980" s="317"/>
    </row>
    <row r="11981">
      <c r="K11981" s="317"/>
    </row>
    <row r="11982">
      <c r="K11982" s="317"/>
    </row>
    <row r="11983">
      <c r="K11983" s="317"/>
    </row>
    <row r="11984">
      <c r="K11984" s="317"/>
    </row>
    <row r="11985">
      <c r="K11985" s="317"/>
    </row>
    <row r="11986">
      <c r="K11986" s="317"/>
    </row>
    <row r="11987">
      <c r="K11987" s="317"/>
    </row>
    <row r="11988">
      <c r="K11988" s="317"/>
    </row>
    <row r="11989">
      <c r="K11989" s="317"/>
    </row>
    <row r="11990">
      <c r="K11990" s="317"/>
    </row>
    <row r="11991">
      <c r="K11991" s="317"/>
    </row>
    <row r="11992">
      <c r="K11992" s="317"/>
    </row>
    <row r="11993">
      <c r="K11993" s="317"/>
    </row>
    <row r="11994">
      <c r="K11994" s="317"/>
    </row>
    <row r="11995">
      <c r="K11995" s="317"/>
    </row>
    <row r="11996">
      <c r="K11996" s="317"/>
    </row>
    <row r="11997">
      <c r="K11997" s="317"/>
    </row>
    <row r="11998">
      <c r="K11998" s="317"/>
    </row>
    <row r="11999">
      <c r="K11999" s="317"/>
    </row>
    <row r="12000">
      <c r="K12000" s="317"/>
    </row>
    <row r="12001">
      <c r="K12001" s="317"/>
    </row>
    <row r="12002">
      <c r="K12002" s="317"/>
    </row>
    <row r="12003">
      <c r="K12003" s="317"/>
    </row>
    <row r="12004">
      <c r="K12004" s="317"/>
    </row>
    <row r="12005">
      <c r="K12005" s="317"/>
    </row>
    <row r="12006">
      <c r="K12006" s="317"/>
    </row>
    <row r="12007">
      <c r="K12007" s="317"/>
    </row>
    <row r="12008">
      <c r="K12008" s="317"/>
    </row>
    <row r="12009">
      <c r="K12009" s="317"/>
    </row>
    <row r="12010">
      <c r="K12010" s="317"/>
    </row>
    <row r="12011">
      <c r="K12011" s="317"/>
    </row>
    <row r="12012">
      <c r="K12012" s="317"/>
    </row>
    <row r="12013">
      <c r="K12013" s="317"/>
    </row>
    <row r="12014">
      <c r="K12014" s="317"/>
    </row>
    <row r="12015">
      <c r="K12015" s="317"/>
    </row>
    <row r="12016">
      <c r="K12016" s="317"/>
    </row>
    <row r="12017">
      <c r="K12017" s="317"/>
    </row>
    <row r="12018">
      <c r="K12018" s="317"/>
    </row>
    <row r="12019">
      <c r="K12019" s="317"/>
    </row>
    <row r="12020">
      <c r="K12020" s="317"/>
    </row>
    <row r="12021">
      <c r="K12021" s="317"/>
    </row>
    <row r="12022">
      <c r="K12022" s="317"/>
    </row>
    <row r="12023">
      <c r="K12023" s="317"/>
    </row>
    <row r="12024">
      <c r="K12024" s="317"/>
    </row>
    <row r="12025">
      <c r="K12025" s="317"/>
    </row>
    <row r="12026">
      <c r="K12026" s="317"/>
    </row>
    <row r="12027">
      <c r="K12027" s="317"/>
    </row>
    <row r="12028">
      <c r="K12028" s="317"/>
    </row>
    <row r="12029">
      <c r="K12029" s="317"/>
    </row>
    <row r="12030">
      <c r="K12030" s="317"/>
    </row>
    <row r="12031">
      <c r="K12031" s="317"/>
    </row>
    <row r="12032">
      <c r="K12032" s="317"/>
    </row>
    <row r="12033">
      <c r="K12033" s="317"/>
    </row>
    <row r="12034">
      <c r="K12034" s="317"/>
    </row>
    <row r="12035">
      <c r="K12035" s="317"/>
    </row>
    <row r="12036">
      <c r="K12036" s="317"/>
    </row>
    <row r="12037">
      <c r="K12037" s="317"/>
    </row>
    <row r="12038">
      <c r="K12038" s="317"/>
    </row>
    <row r="12039">
      <c r="K12039" s="317"/>
    </row>
    <row r="12040">
      <c r="K12040" s="317"/>
    </row>
    <row r="12041">
      <c r="K12041" s="317"/>
    </row>
    <row r="12042">
      <c r="K12042" s="317"/>
    </row>
    <row r="12043">
      <c r="K12043" s="317"/>
    </row>
    <row r="12044">
      <c r="K12044" s="317"/>
    </row>
    <row r="12045">
      <c r="K12045" s="317"/>
    </row>
    <row r="12046">
      <c r="K12046" s="317"/>
    </row>
    <row r="12047">
      <c r="K12047" s="317"/>
    </row>
    <row r="12048">
      <c r="K12048" s="317"/>
    </row>
    <row r="12049">
      <c r="K12049" s="317"/>
    </row>
    <row r="12050">
      <c r="K12050" s="317"/>
    </row>
    <row r="12051">
      <c r="K12051" s="317"/>
    </row>
    <row r="12052">
      <c r="K12052" s="317"/>
    </row>
    <row r="12053">
      <c r="K12053" s="317"/>
    </row>
    <row r="12054">
      <c r="K12054" s="317"/>
    </row>
    <row r="12055">
      <c r="K12055" s="317"/>
    </row>
    <row r="12056">
      <c r="K12056" s="317"/>
    </row>
    <row r="12057">
      <c r="K12057" s="317"/>
    </row>
    <row r="12058">
      <c r="K12058" s="317"/>
    </row>
    <row r="12059">
      <c r="K12059" s="317"/>
    </row>
    <row r="12060">
      <c r="K12060" s="317"/>
    </row>
    <row r="12061">
      <c r="K12061" s="317"/>
    </row>
    <row r="12062">
      <c r="K12062" s="317"/>
    </row>
    <row r="12063">
      <c r="K12063" s="317"/>
    </row>
    <row r="12064">
      <c r="K12064" s="317"/>
    </row>
    <row r="12065">
      <c r="K12065" s="317"/>
    </row>
    <row r="12066">
      <c r="K12066" s="317"/>
    </row>
    <row r="12067">
      <c r="K12067" s="317"/>
    </row>
    <row r="12068">
      <c r="K12068" s="317"/>
    </row>
    <row r="12069">
      <c r="K12069" s="317"/>
    </row>
    <row r="12070">
      <c r="K12070" s="317"/>
    </row>
    <row r="12071">
      <c r="K12071" s="317"/>
    </row>
    <row r="12072">
      <c r="K12072" s="317"/>
    </row>
    <row r="12073">
      <c r="K12073" s="317"/>
    </row>
    <row r="12074">
      <c r="K12074" s="317"/>
    </row>
    <row r="12075">
      <c r="K12075" s="317"/>
    </row>
    <row r="12076">
      <c r="K12076" s="317"/>
    </row>
    <row r="12077">
      <c r="K12077" s="317"/>
    </row>
    <row r="12078">
      <c r="K12078" s="317"/>
    </row>
    <row r="12079">
      <c r="K12079" s="317"/>
    </row>
    <row r="12080">
      <c r="K12080" s="317"/>
    </row>
    <row r="12081">
      <c r="K12081" s="317"/>
    </row>
    <row r="12082">
      <c r="K12082" s="317"/>
    </row>
    <row r="12083">
      <c r="K12083" s="317"/>
    </row>
    <row r="12084">
      <c r="K12084" s="317"/>
    </row>
    <row r="12085">
      <c r="K12085" s="317"/>
    </row>
    <row r="12086">
      <c r="K12086" s="317"/>
    </row>
    <row r="12087">
      <c r="K12087" s="317"/>
    </row>
    <row r="12088">
      <c r="K12088" s="317"/>
    </row>
    <row r="12089">
      <c r="K12089" s="317"/>
    </row>
    <row r="12090">
      <c r="K12090" s="317"/>
    </row>
    <row r="12091">
      <c r="K12091" s="317"/>
    </row>
    <row r="12092">
      <c r="K12092" s="317"/>
    </row>
    <row r="12093">
      <c r="K12093" s="317"/>
    </row>
    <row r="12094">
      <c r="K12094" s="317"/>
    </row>
    <row r="12095">
      <c r="K12095" s="317"/>
    </row>
    <row r="12096">
      <c r="K12096" s="317"/>
    </row>
    <row r="12097">
      <c r="K12097" s="317"/>
    </row>
    <row r="12098">
      <c r="K12098" s="317"/>
    </row>
    <row r="12099">
      <c r="K12099" s="317"/>
    </row>
    <row r="12100">
      <c r="K12100" s="317"/>
    </row>
    <row r="12101">
      <c r="K12101" s="317"/>
    </row>
    <row r="12102">
      <c r="K12102" s="317"/>
    </row>
    <row r="12103">
      <c r="K12103" s="317"/>
    </row>
    <row r="12104">
      <c r="K12104" s="317"/>
    </row>
    <row r="12105">
      <c r="K12105" s="317"/>
    </row>
    <row r="12106">
      <c r="K12106" s="317"/>
    </row>
    <row r="12107">
      <c r="K12107" s="317"/>
    </row>
    <row r="12108">
      <c r="K12108" s="317"/>
    </row>
    <row r="12109">
      <c r="K12109" s="317"/>
    </row>
    <row r="12110">
      <c r="K12110" s="317"/>
    </row>
    <row r="12111">
      <c r="K12111" s="317"/>
    </row>
    <row r="12112">
      <c r="K12112" s="317"/>
    </row>
    <row r="12113">
      <c r="K12113" s="317"/>
    </row>
    <row r="12114">
      <c r="K12114" s="317"/>
    </row>
    <row r="12115">
      <c r="K12115" s="317"/>
    </row>
    <row r="12116">
      <c r="K12116" s="317"/>
    </row>
    <row r="12117">
      <c r="K12117" s="317"/>
    </row>
    <row r="12118">
      <c r="K12118" s="317"/>
    </row>
    <row r="12119">
      <c r="K12119" s="317"/>
    </row>
    <row r="12120">
      <c r="K12120" s="317"/>
    </row>
    <row r="12121">
      <c r="K12121" s="317"/>
    </row>
    <row r="12122">
      <c r="K12122" s="317"/>
    </row>
    <row r="12123">
      <c r="K12123" s="317"/>
    </row>
    <row r="12124">
      <c r="K12124" s="317"/>
    </row>
    <row r="12125">
      <c r="K12125" s="317"/>
    </row>
    <row r="12126">
      <c r="K12126" s="317"/>
    </row>
    <row r="12127">
      <c r="K12127" s="317"/>
    </row>
    <row r="12128">
      <c r="K12128" s="317"/>
    </row>
    <row r="12129">
      <c r="K12129" s="317"/>
    </row>
    <row r="12130">
      <c r="K12130" s="317"/>
    </row>
    <row r="12131">
      <c r="K12131" s="317"/>
    </row>
    <row r="12132">
      <c r="K12132" s="317"/>
    </row>
    <row r="12133">
      <c r="K12133" s="317"/>
    </row>
    <row r="12134">
      <c r="K12134" s="317"/>
    </row>
    <row r="12135">
      <c r="K12135" s="317"/>
    </row>
    <row r="12136">
      <c r="K12136" s="317"/>
    </row>
    <row r="12137">
      <c r="K12137" s="317"/>
    </row>
    <row r="12138">
      <c r="K12138" s="317"/>
    </row>
    <row r="12139">
      <c r="K12139" s="317"/>
    </row>
    <row r="12140">
      <c r="K12140" s="317"/>
    </row>
    <row r="12141">
      <c r="K12141" s="317"/>
    </row>
    <row r="12142">
      <c r="K12142" s="317"/>
    </row>
    <row r="12143">
      <c r="K12143" s="317"/>
    </row>
    <row r="12144">
      <c r="K12144" s="317"/>
    </row>
    <row r="12145">
      <c r="K12145" s="317"/>
    </row>
    <row r="12146">
      <c r="K12146" s="317"/>
    </row>
    <row r="12147">
      <c r="K12147" s="317"/>
    </row>
    <row r="12148">
      <c r="K12148" s="317"/>
    </row>
    <row r="12149">
      <c r="K12149" s="317"/>
    </row>
    <row r="12150">
      <c r="K12150" s="317"/>
    </row>
    <row r="12151">
      <c r="K12151" s="317"/>
    </row>
    <row r="12152">
      <c r="K12152" s="317"/>
    </row>
    <row r="12153">
      <c r="K12153" s="317"/>
    </row>
    <row r="12154">
      <c r="K12154" s="317"/>
    </row>
    <row r="12155">
      <c r="K12155" s="317"/>
    </row>
    <row r="12156">
      <c r="K12156" s="317"/>
    </row>
    <row r="12157">
      <c r="K12157" s="317"/>
    </row>
    <row r="12158">
      <c r="K12158" s="317"/>
    </row>
    <row r="12159">
      <c r="K12159" s="317"/>
    </row>
    <row r="12160">
      <c r="K12160" s="317"/>
    </row>
    <row r="12161">
      <c r="K12161" s="317"/>
    </row>
    <row r="12162">
      <c r="K12162" s="317"/>
    </row>
    <row r="12163">
      <c r="K12163" s="317"/>
    </row>
    <row r="12164">
      <c r="K12164" s="317"/>
    </row>
    <row r="12165">
      <c r="K12165" s="317"/>
    </row>
    <row r="12166">
      <c r="K12166" s="317"/>
    </row>
    <row r="12167">
      <c r="K12167" s="317"/>
    </row>
    <row r="12168">
      <c r="K12168" s="317"/>
    </row>
    <row r="12169">
      <c r="K12169" s="317"/>
    </row>
    <row r="12170">
      <c r="K12170" s="317"/>
    </row>
    <row r="12171">
      <c r="K12171" s="317"/>
    </row>
    <row r="12172">
      <c r="K12172" s="317"/>
    </row>
    <row r="12173">
      <c r="K12173" s="317"/>
    </row>
    <row r="12174">
      <c r="K12174" s="317"/>
    </row>
    <row r="12175">
      <c r="K12175" s="317"/>
    </row>
    <row r="12176">
      <c r="K12176" s="317"/>
    </row>
    <row r="12177">
      <c r="K12177" s="317"/>
    </row>
    <row r="12178">
      <c r="K12178" s="317"/>
    </row>
    <row r="12179">
      <c r="K12179" s="317"/>
    </row>
    <row r="12180">
      <c r="K12180" s="317"/>
    </row>
    <row r="12181">
      <c r="K12181" s="317"/>
    </row>
    <row r="12182">
      <c r="K12182" s="317"/>
    </row>
    <row r="12183">
      <c r="K12183" s="317"/>
    </row>
    <row r="12184">
      <c r="K12184" s="317"/>
    </row>
    <row r="12185">
      <c r="K12185" s="317"/>
    </row>
    <row r="12186">
      <c r="K12186" s="317"/>
    </row>
    <row r="12187">
      <c r="K12187" s="317"/>
    </row>
    <row r="12188">
      <c r="K12188" s="317"/>
    </row>
    <row r="12189">
      <c r="K12189" s="317"/>
    </row>
    <row r="12190">
      <c r="K12190" s="317"/>
    </row>
    <row r="12191">
      <c r="K12191" s="317"/>
    </row>
    <row r="12192">
      <c r="K12192" s="317"/>
    </row>
    <row r="12193">
      <c r="K12193" s="317"/>
    </row>
    <row r="12194">
      <c r="K12194" s="317"/>
    </row>
    <row r="12195">
      <c r="K12195" s="317"/>
    </row>
    <row r="12196">
      <c r="K12196" s="317"/>
    </row>
    <row r="12197">
      <c r="K12197" s="317"/>
    </row>
    <row r="12198">
      <c r="K12198" s="317"/>
    </row>
    <row r="12199">
      <c r="K12199" s="317"/>
    </row>
    <row r="12200">
      <c r="K12200" s="317"/>
    </row>
    <row r="12201">
      <c r="K12201" s="317"/>
    </row>
    <row r="12202">
      <c r="K12202" s="317"/>
    </row>
    <row r="12203">
      <c r="K12203" s="317"/>
    </row>
    <row r="12204">
      <c r="K12204" s="317"/>
    </row>
    <row r="12205">
      <c r="K12205" s="317"/>
    </row>
    <row r="12206">
      <c r="K12206" s="317"/>
    </row>
    <row r="12207">
      <c r="K12207" s="317"/>
    </row>
    <row r="12208">
      <c r="K12208" s="317"/>
    </row>
    <row r="12209">
      <c r="K12209" s="317"/>
    </row>
    <row r="12210">
      <c r="K12210" s="317"/>
    </row>
    <row r="12211">
      <c r="K12211" s="317"/>
    </row>
    <row r="12212">
      <c r="K12212" s="317"/>
    </row>
    <row r="12213">
      <c r="K12213" s="317"/>
    </row>
    <row r="12214">
      <c r="K12214" s="317"/>
    </row>
    <row r="12215">
      <c r="K12215" s="317"/>
    </row>
    <row r="12216">
      <c r="K12216" s="317"/>
    </row>
    <row r="12217">
      <c r="K12217" s="317"/>
    </row>
    <row r="12218">
      <c r="K12218" s="317"/>
    </row>
    <row r="12219">
      <c r="K12219" s="317"/>
    </row>
    <row r="12220">
      <c r="K12220" s="317"/>
    </row>
    <row r="12221">
      <c r="K12221" s="317"/>
    </row>
    <row r="12222">
      <c r="K12222" s="317"/>
    </row>
    <row r="12223">
      <c r="K12223" s="317"/>
    </row>
    <row r="12224">
      <c r="K12224" s="317"/>
    </row>
    <row r="12225">
      <c r="K12225" s="317"/>
    </row>
    <row r="12226">
      <c r="K12226" s="317"/>
    </row>
    <row r="12227">
      <c r="K12227" s="317"/>
    </row>
    <row r="12228">
      <c r="K12228" s="317"/>
    </row>
    <row r="12229">
      <c r="K12229" s="317"/>
    </row>
    <row r="12230">
      <c r="K12230" s="317"/>
    </row>
    <row r="12231">
      <c r="K12231" s="317"/>
    </row>
    <row r="12232">
      <c r="K12232" s="317"/>
    </row>
    <row r="12233">
      <c r="K12233" s="317"/>
    </row>
    <row r="12234">
      <c r="K12234" s="317"/>
    </row>
    <row r="12235">
      <c r="K12235" s="317"/>
    </row>
    <row r="12236">
      <c r="K12236" s="317"/>
    </row>
    <row r="12237">
      <c r="K12237" s="317"/>
    </row>
    <row r="12238">
      <c r="K12238" s="317"/>
    </row>
    <row r="12239">
      <c r="K12239" s="317"/>
    </row>
    <row r="12240">
      <c r="K12240" s="317"/>
    </row>
    <row r="12241">
      <c r="K12241" s="317"/>
    </row>
    <row r="12242">
      <c r="K12242" s="317"/>
    </row>
    <row r="12243">
      <c r="K12243" s="317"/>
    </row>
    <row r="12244">
      <c r="K12244" s="317"/>
    </row>
    <row r="12245">
      <c r="K12245" s="317"/>
    </row>
    <row r="12246">
      <c r="K12246" s="317"/>
    </row>
    <row r="12247">
      <c r="K12247" s="317"/>
    </row>
    <row r="12248">
      <c r="K12248" s="317"/>
    </row>
    <row r="12249">
      <c r="K12249" s="317"/>
    </row>
    <row r="12250">
      <c r="K12250" s="317"/>
    </row>
    <row r="12251">
      <c r="K12251" s="317"/>
    </row>
    <row r="12252">
      <c r="K12252" s="317"/>
    </row>
    <row r="12253">
      <c r="K12253" s="317"/>
    </row>
    <row r="12254">
      <c r="K12254" s="317"/>
    </row>
    <row r="12255">
      <c r="K12255" s="317"/>
    </row>
    <row r="12256">
      <c r="K12256" s="317"/>
    </row>
    <row r="12257">
      <c r="K12257" s="317"/>
    </row>
    <row r="12258">
      <c r="K12258" s="317"/>
    </row>
    <row r="12259">
      <c r="K12259" s="317"/>
    </row>
    <row r="12260">
      <c r="K12260" s="317"/>
    </row>
    <row r="12261">
      <c r="K12261" s="317"/>
    </row>
    <row r="12262">
      <c r="K12262" s="317"/>
    </row>
    <row r="12263">
      <c r="K12263" s="317"/>
    </row>
    <row r="12264">
      <c r="K12264" s="317"/>
    </row>
    <row r="12265">
      <c r="K12265" s="317"/>
    </row>
    <row r="12266">
      <c r="K12266" s="317"/>
    </row>
    <row r="12267">
      <c r="K12267" s="317"/>
    </row>
    <row r="12268">
      <c r="K12268" s="317"/>
    </row>
    <row r="12269">
      <c r="K12269" s="317"/>
    </row>
    <row r="12270">
      <c r="K12270" s="317"/>
    </row>
    <row r="12271">
      <c r="K12271" s="317"/>
    </row>
    <row r="12272">
      <c r="K12272" s="317"/>
    </row>
    <row r="12273">
      <c r="K12273" s="317"/>
    </row>
    <row r="12274">
      <c r="K12274" s="317"/>
    </row>
    <row r="12275">
      <c r="K12275" s="317"/>
    </row>
    <row r="12276">
      <c r="K12276" s="317"/>
    </row>
    <row r="12277">
      <c r="K12277" s="317"/>
    </row>
    <row r="12278">
      <c r="K12278" s="317"/>
    </row>
    <row r="12279">
      <c r="K12279" s="317"/>
    </row>
    <row r="12280">
      <c r="K12280" s="317"/>
    </row>
    <row r="12281">
      <c r="K12281" s="317"/>
    </row>
    <row r="12282">
      <c r="K12282" s="317"/>
    </row>
    <row r="12283">
      <c r="K12283" s="317"/>
    </row>
    <row r="12284">
      <c r="K12284" s="317"/>
    </row>
    <row r="12285">
      <c r="K12285" s="317"/>
    </row>
    <row r="12286">
      <c r="K12286" s="317"/>
    </row>
    <row r="12287">
      <c r="K12287" s="317"/>
    </row>
    <row r="12288">
      <c r="K12288" s="317"/>
    </row>
    <row r="12289">
      <c r="K12289" s="317"/>
    </row>
    <row r="12290">
      <c r="K12290" s="317"/>
    </row>
    <row r="12291">
      <c r="K12291" s="317"/>
    </row>
    <row r="12292">
      <c r="K12292" s="317"/>
    </row>
    <row r="12293">
      <c r="K12293" s="317"/>
    </row>
    <row r="12294">
      <c r="K12294" s="317"/>
    </row>
    <row r="12295">
      <c r="K12295" s="317"/>
    </row>
    <row r="12296">
      <c r="K12296" s="317"/>
    </row>
    <row r="12297">
      <c r="K12297" s="317"/>
    </row>
    <row r="12298">
      <c r="K12298" s="317"/>
    </row>
    <row r="12299">
      <c r="K12299" s="317"/>
    </row>
    <row r="12300">
      <c r="K12300" s="317"/>
    </row>
    <row r="12301">
      <c r="K12301" s="317"/>
    </row>
    <row r="12302">
      <c r="K12302" s="317"/>
    </row>
    <row r="12303">
      <c r="K12303" s="317"/>
    </row>
    <row r="12304">
      <c r="K12304" s="317"/>
    </row>
    <row r="12305">
      <c r="K12305" s="317"/>
    </row>
    <row r="12306">
      <c r="K12306" s="317"/>
    </row>
    <row r="12307">
      <c r="K12307" s="317"/>
    </row>
    <row r="12308">
      <c r="K12308" s="317"/>
    </row>
    <row r="12309">
      <c r="K12309" s="317"/>
    </row>
    <row r="12310">
      <c r="K12310" s="317"/>
    </row>
    <row r="12311">
      <c r="K12311" s="317"/>
    </row>
    <row r="12312">
      <c r="K12312" s="317"/>
    </row>
    <row r="12313">
      <c r="K12313" s="317"/>
    </row>
    <row r="12314">
      <c r="K12314" s="317"/>
    </row>
    <row r="12315">
      <c r="K12315" s="317"/>
    </row>
    <row r="12316">
      <c r="K12316" s="317"/>
    </row>
    <row r="12317">
      <c r="K12317" s="317"/>
    </row>
    <row r="12318">
      <c r="K12318" s="317"/>
    </row>
    <row r="12319">
      <c r="K12319" s="317"/>
    </row>
    <row r="12320">
      <c r="K12320" s="317"/>
    </row>
    <row r="12321">
      <c r="K12321" s="317"/>
    </row>
    <row r="12322">
      <c r="K12322" s="317"/>
    </row>
    <row r="12323">
      <c r="K12323" s="317"/>
    </row>
    <row r="12324">
      <c r="K12324" s="317"/>
    </row>
    <row r="12325">
      <c r="K12325" s="317"/>
    </row>
    <row r="12326">
      <c r="K12326" s="317"/>
    </row>
    <row r="12327">
      <c r="K12327" s="317"/>
    </row>
    <row r="12328">
      <c r="K12328" s="317"/>
    </row>
    <row r="12329">
      <c r="K12329" s="317"/>
    </row>
    <row r="12330">
      <c r="K12330" s="317"/>
    </row>
    <row r="12331">
      <c r="K12331" s="317"/>
    </row>
    <row r="12332">
      <c r="K12332" s="317"/>
    </row>
    <row r="12333">
      <c r="K12333" s="317"/>
    </row>
    <row r="12334">
      <c r="K12334" s="317"/>
    </row>
    <row r="12335">
      <c r="K12335" s="317"/>
    </row>
    <row r="12336">
      <c r="K12336" s="317"/>
    </row>
    <row r="12337">
      <c r="K12337" s="317"/>
    </row>
    <row r="12338">
      <c r="K12338" s="317"/>
    </row>
    <row r="12339">
      <c r="K12339" s="317"/>
    </row>
    <row r="12340">
      <c r="K12340" s="317"/>
    </row>
    <row r="12341">
      <c r="K12341" s="317"/>
    </row>
    <row r="12342">
      <c r="K12342" s="317"/>
    </row>
    <row r="12343">
      <c r="K12343" s="317"/>
    </row>
    <row r="12344">
      <c r="K12344" s="317"/>
    </row>
    <row r="12345">
      <c r="K12345" s="317"/>
    </row>
    <row r="12346">
      <c r="K12346" s="317"/>
    </row>
    <row r="12347">
      <c r="K12347" s="317"/>
    </row>
    <row r="12348">
      <c r="K12348" s="317"/>
    </row>
    <row r="12349">
      <c r="K12349" s="317"/>
    </row>
    <row r="12350">
      <c r="K12350" s="317"/>
    </row>
    <row r="12351">
      <c r="K12351" s="317"/>
    </row>
    <row r="12352">
      <c r="K12352" s="317"/>
    </row>
    <row r="12353">
      <c r="K12353" s="317"/>
    </row>
    <row r="12354">
      <c r="K12354" s="317"/>
    </row>
    <row r="12355">
      <c r="K12355" s="317"/>
    </row>
    <row r="12356">
      <c r="K12356" s="317"/>
    </row>
    <row r="12357">
      <c r="K12357" s="317"/>
    </row>
    <row r="12358">
      <c r="K12358" s="317"/>
    </row>
    <row r="12359">
      <c r="K12359" s="317"/>
    </row>
    <row r="12360">
      <c r="K12360" s="317"/>
    </row>
    <row r="12361">
      <c r="K12361" s="317"/>
    </row>
    <row r="12362">
      <c r="K12362" s="317"/>
    </row>
    <row r="12363">
      <c r="K12363" s="317"/>
    </row>
    <row r="12364">
      <c r="K12364" s="317"/>
    </row>
    <row r="12365">
      <c r="K12365" s="317"/>
    </row>
    <row r="12366">
      <c r="K12366" s="317"/>
    </row>
    <row r="12367">
      <c r="K12367" s="317"/>
    </row>
    <row r="12368">
      <c r="K12368" s="317"/>
    </row>
    <row r="12369">
      <c r="K12369" s="317"/>
    </row>
    <row r="12370">
      <c r="K12370" s="317"/>
    </row>
    <row r="12371">
      <c r="K12371" s="317"/>
    </row>
    <row r="12372">
      <c r="K12372" s="317"/>
    </row>
    <row r="12373">
      <c r="K12373" s="317"/>
    </row>
    <row r="12374">
      <c r="K12374" s="317"/>
    </row>
    <row r="12375">
      <c r="K12375" s="317"/>
    </row>
    <row r="12376">
      <c r="K12376" s="317"/>
    </row>
    <row r="12377">
      <c r="K12377" s="317"/>
    </row>
    <row r="12378">
      <c r="K12378" s="317"/>
    </row>
    <row r="12379">
      <c r="K12379" s="317"/>
    </row>
    <row r="12380">
      <c r="K12380" s="317"/>
    </row>
    <row r="12381">
      <c r="K12381" s="317"/>
    </row>
    <row r="12382">
      <c r="K12382" s="317"/>
    </row>
    <row r="12383">
      <c r="K12383" s="317"/>
    </row>
    <row r="12384">
      <c r="K12384" s="317"/>
    </row>
    <row r="12385">
      <c r="K12385" s="317"/>
    </row>
    <row r="12386">
      <c r="K12386" s="317"/>
    </row>
    <row r="12387">
      <c r="K12387" s="317"/>
    </row>
    <row r="12388">
      <c r="K12388" s="317"/>
    </row>
    <row r="12389">
      <c r="K12389" s="317"/>
    </row>
    <row r="12390">
      <c r="K12390" s="317"/>
    </row>
    <row r="12391">
      <c r="K12391" s="317"/>
    </row>
    <row r="12392">
      <c r="K12392" s="317"/>
    </row>
    <row r="12393">
      <c r="K12393" s="317"/>
    </row>
    <row r="12394">
      <c r="K12394" s="317"/>
    </row>
    <row r="12395">
      <c r="K12395" s="317"/>
    </row>
    <row r="12396">
      <c r="K12396" s="317"/>
    </row>
    <row r="12397">
      <c r="K12397" s="317"/>
    </row>
    <row r="12398">
      <c r="K12398" s="317"/>
    </row>
    <row r="12399">
      <c r="K12399" s="317"/>
    </row>
    <row r="12400">
      <c r="K12400" s="317"/>
    </row>
    <row r="12401">
      <c r="K12401" s="317"/>
    </row>
    <row r="12402">
      <c r="K12402" s="317"/>
    </row>
    <row r="12403">
      <c r="K12403" s="317"/>
    </row>
    <row r="12404">
      <c r="K12404" s="317"/>
    </row>
    <row r="12405">
      <c r="K12405" s="317"/>
    </row>
    <row r="12406">
      <c r="K12406" s="317"/>
    </row>
    <row r="12407">
      <c r="K12407" s="317"/>
    </row>
    <row r="12408">
      <c r="K12408" s="317"/>
    </row>
    <row r="12409">
      <c r="K12409" s="317"/>
    </row>
    <row r="12410">
      <c r="K12410" s="317"/>
    </row>
    <row r="12411">
      <c r="K12411" s="317"/>
    </row>
    <row r="12412">
      <c r="K12412" s="317"/>
    </row>
    <row r="12413">
      <c r="K12413" s="317"/>
    </row>
    <row r="12414">
      <c r="K12414" s="317"/>
    </row>
    <row r="12415">
      <c r="K12415" s="317"/>
    </row>
    <row r="12416">
      <c r="K12416" s="317"/>
    </row>
    <row r="12417">
      <c r="K12417" s="317"/>
    </row>
    <row r="12418">
      <c r="K12418" s="317"/>
    </row>
    <row r="12419">
      <c r="K12419" s="317"/>
    </row>
    <row r="12420">
      <c r="K12420" s="317"/>
    </row>
    <row r="12421">
      <c r="K12421" s="317"/>
    </row>
    <row r="12422">
      <c r="K12422" s="317"/>
    </row>
    <row r="12423">
      <c r="K12423" s="317"/>
    </row>
    <row r="12424">
      <c r="K12424" s="317"/>
    </row>
    <row r="12425">
      <c r="K12425" s="317"/>
    </row>
    <row r="12426">
      <c r="K12426" s="317"/>
    </row>
    <row r="12427">
      <c r="K12427" s="317"/>
    </row>
    <row r="12428">
      <c r="K12428" s="317"/>
    </row>
    <row r="12429">
      <c r="K12429" s="317"/>
    </row>
    <row r="12430">
      <c r="K12430" s="317"/>
    </row>
    <row r="12431">
      <c r="K12431" s="317"/>
    </row>
    <row r="12432">
      <c r="K12432" s="317"/>
    </row>
    <row r="12433">
      <c r="K12433" s="317"/>
    </row>
    <row r="12434">
      <c r="K12434" s="317"/>
    </row>
    <row r="12435">
      <c r="K12435" s="317"/>
    </row>
    <row r="12436">
      <c r="K12436" s="317"/>
    </row>
    <row r="12437">
      <c r="K12437" s="317"/>
    </row>
    <row r="12438">
      <c r="K12438" s="317"/>
    </row>
    <row r="12439">
      <c r="K12439" s="317"/>
    </row>
    <row r="12440">
      <c r="K12440" s="317"/>
    </row>
    <row r="12441">
      <c r="K12441" s="317"/>
    </row>
    <row r="12442">
      <c r="K12442" s="317"/>
    </row>
    <row r="12443">
      <c r="K12443" s="317"/>
    </row>
    <row r="12444">
      <c r="K12444" s="317"/>
    </row>
    <row r="12445">
      <c r="K12445" s="317"/>
    </row>
    <row r="12446">
      <c r="K12446" s="317"/>
    </row>
    <row r="12447">
      <c r="K12447" s="317"/>
    </row>
    <row r="12448">
      <c r="K12448" s="317"/>
    </row>
    <row r="12449">
      <c r="K12449" s="317"/>
    </row>
    <row r="12450">
      <c r="K12450" s="317"/>
    </row>
    <row r="12451">
      <c r="K12451" s="317"/>
    </row>
    <row r="12452">
      <c r="K12452" s="317"/>
    </row>
    <row r="12453">
      <c r="K12453" s="317"/>
    </row>
    <row r="12454">
      <c r="K12454" s="317"/>
    </row>
    <row r="12455">
      <c r="K12455" s="317"/>
    </row>
    <row r="12456">
      <c r="K12456" s="317"/>
    </row>
    <row r="12457">
      <c r="K12457" s="317"/>
    </row>
    <row r="12458">
      <c r="K12458" s="317"/>
    </row>
    <row r="12459">
      <c r="K12459" s="317"/>
    </row>
    <row r="12460">
      <c r="K12460" s="317"/>
    </row>
    <row r="12461">
      <c r="K12461" s="317"/>
    </row>
    <row r="12462">
      <c r="K12462" s="317"/>
    </row>
    <row r="12463">
      <c r="K12463" s="317"/>
    </row>
    <row r="12464">
      <c r="K12464" s="317"/>
    </row>
    <row r="12465">
      <c r="K12465" s="317"/>
    </row>
    <row r="12466">
      <c r="K12466" s="317"/>
    </row>
    <row r="12467">
      <c r="K12467" s="317"/>
    </row>
    <row r="12468">
      <c r="K12468" s="317"/>
    </row>
    <row r="12469">
      <c r="K12469" s="317"/>
    </row>
    <row r="12470">
      <c r="K12470" s="317"/>
    </row>
    <row r="12471">
      <c r="K12471" s="317"/>
    </row>
    <row r="12472">
      <c r="K12472" s="317"/>
    </row>
    <row r="12473">
      <c r="K12473" s="317"/>
    </row>
    <row r="12474">
      <c r="K12474" s="317"/>
    </row>
    <row r="12475">
      <c r="K12475" s="317"/>
    </row>
    <row r="12476">
      <c r="K12476" s="317"/>
    </row>
    <row r="12477">
      <c r="K12477" s="317"/>
    </row>
    <row r="12478">
      <c r="K12478" s="317"/>
    </row>
    <row r="12479">
      <c r="K12479" s="317"/>
    </row>
    <row r="12480">
      <c r="K12480" s="317"/>
    </row>
    <row r="12481">
      <c r="K12481" s="317"/>
    </row>
    <row r="12482">
      <c r="K12482" s="317"/>
    </row>
    <row r="12483">
      <c r="K12483" s="317"/>
    </row>
    <row r="12484">
      <c r="K12484" s="317"/>
    </row>
    <row r="12485">
      <c r="K12485" s="317"/>
    </row>
    <row r="12486">
      <c r="K12486" s="317"/>
    </row>
    <row r="12487">
      <c r="K12487" s="317"/>
    </row>
    <row r="12488">
      <c r="K12488" s="317"/>
    </row>
    <row r="12489">
      <c r="K12489" s="317"/>
    </row>
    <row r="12490">
      <c r="K12490" s="317"/>
    </row>
    <row r="12491">
      <c r="K12491" s="317"/>
    </row>
    <row r="12492">
      <c r="K12492" s="317"/>
    </row>
    <row r="12493">
      <c r="K12493" s="317"/>
    </row>
    <row r="12494">
      <c r="K12494" s="317"/>
    </row>
    <row r="12495">
      <c r="K12495" s="317"/>
    </row>
    <row r="12496">
      <c r="K12496" s="317"/>
    </row>
    <row r="12497">
      <c r="K12497" s="317"/>
    </row>
    <row r="12498">
      <c r="K12498" s="317"/>
    </row>
    <row r="12499">
      <c r="K12499" s="317"/>
    </row>
    <row r="12500">
      <c r="K12500" s="317"/>
    </row>
    <row r="12501">
      <c r="K12501" s="317"/>
    </row>
    <row r="12502">
      <c r="K12502" s="317"/>
    </row>
    <row r="12503">
      <c r="K12503" s="317"/>
    </row>
    <row r="12504">
      <c r="K12504" s="317"/>
    </row>
    <row r="12505">
      <c r="K12505" s="317"/>
    </row>
    <row r="12506">
      <c r="K12506" s="317"/>
    </row>
    <row r="12507">
      <c r="K12507" s="317"/>
    </row>
    <row r="12508">
      <c r="K12508" s="317"/>
    </row>
    <row r="12509">
      <c r="K12509" s="317"/>
    </row>
    <row r="12510">
      <c r="K12510" s="317"/>
    </row>
    <row r="12511">
      <c r="K12511" s="317"/>
    </row>
    <row r="12512">
      <c r="K12512" s="317"/>
    </row>
    <row r="12513">
      <c r="K12513" s="317"/>
    </row>
    <row r="12514">
      <c r="K12514" s="317"/>
    </row>
    <row r="12515">
      <c r="K12515" s="317"/>
    </row>
    <row r="12516">
      <c r="K12516" s="317"/>
    </row>
    <row r="12517">
      <c r="K12517" s="317"/>
    </row>
    <row r="12518">
      <c r="K12518" s="317"/>
    </row>
    <row r="12519">
      <c r="K12519" s="317"/>
    </row>
    <row r="12520">
      <c r="K12520" s="317"/>
    </row>
    <row r="12521">
      <c r="K12521" s="317"/>
    </row>
    <row r="12522">
      <c r="K12522" s="317"/>
    </row>
    <row r="12523">
      <c r="K12523" s="317"/>
    </row>
    <row r="12524">
      <c r="K12524" s="317"/>
    </row>
    <row r="12525">
      <c r="K12525" s="317"/>
    </row>
    <row r="12526">
      <c r="K12526" s="317"/>
    </row>
    <row r="12527">
      <c r="K12527" s="317"/>
    </row>
    <row r="12528">
      <c r="K12528" s="317"/>
    </row>
    <row r="12529">
      <c r="K12529" s="317"/>
    </row>
    <row r="12530">
      <c r="K12530" s="317"/>
    </row>
    <row r="12531">
      <c r="K12531" s="317"/>
    </row>
    <row r="12532">
      <c r="K12532" s="317"/>
    </row>
    <row r="12533">
      <c r="K12533" s="317"/>
    </row>
    <row r="12534">
      <c r="K12534" s="317"/>
    </row>
    <row r="12535">
      <c r="K12535" s="317"/>
    </row>
    <row r="12536">
      <c r="K12536" s="317"/>
    </row>
    <row r="12537">
      <c r="K12537" s="317"/>
    </row>
    <row r="12538">
      <c r="K12538" s="317"/>
    </row>
    <row r="12539">
      <c r="K12539" s="317"/>
    </row>
    <row r="12540">
      <c r="K12540" s="317"/>
    </row>
    <row r="12541">
      <c r="K12541" s="317"/>
    </row>
    <row r="12542">
      <c r="K12542" s="317"/>
    </row>
    <row r="12543">
      <c r="K12543" s="317"/>
    </row>
    <row r="12544">
      <c r="K12544" s="317"/>
    </row>
    <row r="12545">
      <c r="K12545" s="317"/>
    </row>
    <row r="12546">
      <c r="K12546" s="317"/>
    </row>
    <row r="12547">
      <c r="K12547" s="317"/>
    </row>
    <row r="12548">
      <c r="K12548" s="317"/>
    </row>
    <row r="12549">
      <c r="K12549" s="317"/>
    </row>
    <row r="12550">
      <c r="K12550" s="317"/>
    </row>
    <row r="12551">
      <c r="K12551" s="317"/>
    </row>
    <row r="12552">
      <c r="K12552" s="317"/>
    </row>
    <row r="12553">
      <c r="K12553" s="317"/>
    </row>
    <row r="12554">
      <c r="K12554" s="317"/>
    </row>
    <row r="12555">
      <c r="K12555" s="317"/>
    </row>
    <row r="12556">
      <c r="K12556" s="317"/>
    </row>
    <row r="12557">
      <c r="K12557" s="317"/>
    </row>
    <row r="12558">
      <c r="K12558" s="317"/>
    </row>
    <row r="12559">
      <c r="K12559" s="317"/>
    </row>
    <row r="12560">
      <c r="K12560" s="317"/>
    </row>
    <row r="12561">
      <c r="K12561" s="317"/>
    </row>
    <row r="12562">
      <c r="K12562" s="317"/>
    </row>
    <row r="12563">
      <c r="K12563" s="317"/>
    </row>
    <row r="12564">
      <c r="K12564" s="317"/>
    </row>
    <row r="12565">
      <c r="K12565" s="317"/>
    </row>
    <row r="12566">
      <c r="K12566" s="317"/>
    </row>
    <row r="12567">
      <c r="K12567" s="317"/>
    </row>
    <row r="12568">
      <c r="K12568" s="317"/>
    </row>
    <row r="12569">
      <c r="K12569" s="317"/>
    </row>
    <row r="12570">
      <c r="K12570" s="317"/>
    </row>
    <row r="12571">
      <c r="K12571" s="317"/>
    </row>
    <row r="12572">
      <c r="K12572" s="317"/>
    </row>
    <row r="12573">
      <c r="K12573" s="317"/>
    </row>
    <row r="12574">
      <c r="K12574" s="317"/>
    </row>
    <row r="12575">
      <c r="K12575" s="317"/>
    </row>
    <row r="12576">
      <c r="K12576" s="317"/>
    </row>
    <row r="12577">
      <c r="K12577" s="317"/>
    </row>
    <row r="12578">
      <c r="K12578" s="317"/>
    </row>
    <row r="12579">
      <c r="K12579" s="317"/>
    </row>
    <row r="12580">
      <c r="K12580" s="317"/>
    </row>
    <row r="12581">
      <c r="K12581" s="317"/>
    </row>
    <row r="12582">
      <c r="K12582" s="317"/>
    </row>
    <row r="12583">
      <c r="K12583" s="317"/>
    </row>
    <row r="12584">
      <c r="K12584" s="317"/>
    </row>
    <row r="12585">
      <c r="K12585" s="317"/>
    </row>
    <row r="12586">
      <c r="K12586" s="317"/>
    </row>
    <row r="12587">
      <c r="K12587" s="317"/>
    </row>
    <row r="12588">
      <c r="K12588" s="317"/>
    </row>
    <row r="12589">
      <c r="K12589" s="317"/>
    </row>
    <row r="12590">
      <c r="K12590" s="317"/>
    </row>
    <row r="12591">
      <c r="K12591" s="317"/>
    </row>
    <row r="12592">
      <c r="K12592" s="317"/>
    </row>
    <row r="12593">
      <c r="K12593" s="317"/>
    </row>
    <row r="12594">
      <c r="K12594" s="317"/>
    </row>
    <row r="12595">
      <c r="K12595" s="317"/>
    </row>
    <row r="12596">
      <c r="K12596" s="317"/>
    </row>
    <row r="12597">
      <c r="K12597" s="317"/>
    </row>
    <row r="12598">
      <c r="K12598" s="317"/>
    </row>
    <row r="12599">
      <c r="K12599" s="317"/>
    </row>
    <row r="12600">
      <c r="K12600" s="317"/>
    </row>
    <row r="12601">
      <c r="K12601" s="317"/>
    </row>
    <row r="12602">
      <c r="K12602" s="317"/>
    </row>
    <row r="12603">
      <c r="K12603" s="317"/>
    </row>
    <row r="12604">
      <c r="K12604" s="317"/>
    </row>
    <row r="12605">
      <c r="K12605" s="317"/>
    </row>
    <row r="12606">
      <c r="K12606" s="317"/>
    </row>
    <row r="12607">
      <c r="K12607" s="317"/>
    </row>
    <row r="12608">
      <c r="K12608" s="317"/>
    </row>
    <row r="12609">
      <c r="K12609" s="317"/>
    </row>
    <row r="12610">
      <c r="K12610" s="317"/>
    </row>
    <row r="12611">
      <c r="K12611" s="317"/>
    </row>
    <row r="12612">
      <c r="K12612" s="317"/>
    </row>
    <row r="12613">
      <c r="K12613" s="317"/>
    </row>
    <row r="12614">
      <c r="K12614" s="317"/>
    </row>
    <row r="12615">
      <c r="K12615" s="317"/>
    </row>
    <row r="12616">
      <c r="K12616" s="317"/>
    </row>
    <row r="12617">
      <c r="K12617" s="317"/>
    </row>
    <row r="12618">
      <c r="K12618" s="317"/>
    </row>
    <row r="12619">
      <c r="K12619" s="317"/>
    </row>
    <row r="12620">
      <c r="K12620" s="317"/>
    </row>
    <row r="12621">
      <c r="K12621" s="317"/>
    </row>
    <row r="12622">
      <c r="K12622" s="317"/>
    </row>
    <row r="12623">
      <c r="K12623" s="317"/>
    </row>
    <row r="12624">
      <c r="K12624" s="317"/>
    </row>
    <row r="12625">
      <c r="K12625" s="317"/>
    </row>
    <row r="12626">
      <c r="K12626" s="317"/>
    </row>
    <row r="12627">
      <c r="K12627" s="317"/>
    </row>
    <row r="12628">
      <c r="K12628" s="317"/>
    </row>
    <row r="12629">
      <c r="K12629" s="317"/>
    </row>
    <row r="12630">
      <c r="K12630" s="317"/>
    </row>
    <row r="12631">
      <c r="K12631" s="317"/>
    </row>
    <row r="12632">
      <c r="K12632" s="317"/>
    </row>
    <row r="12633">
      <c r="K12633" s="317"/>
    </row>
    <row r="12634">
      <c r="K12634" s="317"/>
    </row>
    <row r="12635">
      <c r="K12635" s="317"/>
    </row>
    <row r="12636">
      <c r="K12636" s="317"/>
    </row>
    <row r="12637">
      <c r="K12637" s="317"/>
    </row>
    <row r="12638">
      <c r="K12638" s="317"/>
    </row>
    <row r="12639">
      <c r="K12639" s="317"/>
    </row>
    <row r="12640">
      <c r="K12640" s="317"/>
    </row>
    <row r="12641">
      <c r="K12641" s="317"/>
    </row>
    <row r="12642">
      <c r="K12642" s="317"/>
    </row>
    <row r="12643">
      <c r="K12643" s="317"/>
    </row>
    <row r="12644">
      <c r="K12644" s="317"/>
    </row>
    <row r="12645">
      <c r="K12645" s="317"/>
    </row>
    <row r="12646">
      <c r="K12646" s="317"/>
    </row>
    <row r="12647">
      <c r="K12647" s="317"/>
    </row>
    <row r="12648">
      <c r="K12648" s="317"/>
    </row>
    <row r="12649">
      <c r="K12649" s="317"/>
    </row>
    <row r="12650">
      <c r="K12650" s="317"/>
    </row>
    <row r="12651">
      <c r="K12651" s="317"/>
    </row>
    <row r="12652">
      <c r="K12652" s="317"/>
    </row>
    <row r="12653">
      <c r="K12653" s="317"/>
    </row>
    <row r="12654">
      <c r="K12654" s="317"/>
    </row>
    <row r="12655">
      <c r="K12655" s="317"/>
    </row>
    <row r="12656">
      <c r="K12656" s="317"/>
    </row>
    <row r="12657">
      <c r="K12657" s="317"/>
    </row>
    <row r="12658">
      <c r="K12658" s="317"/>
    </row>
    <row r="12659">
      <c r="K12659" s="317"/>
    </row>
    <row r="12660">
      <c r="K12660" s="317"/>
    </row>
    <row r="12661">
      <c r="K12661" s="317"/>
    </row>
    <row r="12662">
      <c r="K12662" s="317"/>
    </row>
    <row r="12663">
      <c r="K12663" s="317"/>
    </row>
    <row r="12664">
      <c r="K12664" s="317"/>
    </row>
    <row r="12665">
      <c r="K12665" s="317"/>
    </row>
    <row r="12666">
      <c r="K12666" s="317"/>
    </row>
    <row r="12667">
      <c r="K12667" s="317"/>
    </row>
    <row r="12668">
      <c r="K12668" s="317"/>
    </row>
    <row r="12669">
      <c r="K12669" s="317"/>
    </row>
    <row r="12670">
      <c r="K12670" s="317"/>
    </row>
    <row r="12671">
      <c r="K12671" s="317"/>
    </row>
    <row r="12672">
      <c r="K12672" s="317"/>
    </row>
    <row r="12673">
      <c r="K12673" s="317"/>
    </row>
    <row r="12674">
      <c r="K12674" s="317"/>
    </row>
    <row r="12675">
      <c r="K12675" s="317"/>
    </row>
    <row r="12676">
      <c r="K12676" s="317"/>
    </row>
    <row r="12677">
      <c r="K12677" s="317"/>
    </row>
    <row r="12678">
      <c r="K12678" s="317"/>
    </row>
    <row r="12679">
      <c r="K12679" s="317"/>
    </row>
    <row r="12680">
      <c r="K12680" s="317"/>
    </row>
    <row r="12681">
      <c r="K12681" s="317"/>
    </row>
    <row r="12682">
      <c r="K12682" s="317"/>
    </row>
    <row r="12683">
      <c r="K12683" s="317"/>
    </row>
    <row r="12684">
      <c r="K12684" s="317"/>
    </row>
    <row r="12685">
      <c r="K12685" s="317"/>
    </row>
    <row r="12686">
      <c r="K12686" s="317"/>
    </row>
    <row r="12687">
      <c r="K12687" s="317"/>
    </row>
    <row r="12688">
      <c r="K12688" s="317"/>
    </row>
    <row r="12689">
      <c r="K12689" s="317"/>
    </row>
    <row r="12690">
      <c r="K12690" s="317"/>
    </row>
    <row r="12691">
      <c r="K12691" s="317"/>
    </row>
    <row r="12692">
      <c r="K12692" s="317"/>
    </row>
    <row r="12693">
      <c r="K12693" s="317"/>
    </row>
    <row r="12694">
      <c r="K12694" s="317"/>
    </row>
    <row r="12695">
      <c r="K12695" s="317"/>
    </row>
    <row r="12696">
      <c r="K12696" s="317"/>
    </row>
    <row r="12697">
      <c r="K12697" s="317"/>
    </row>
    <row r="12698">
      <c r="K12698" s="317"/>
    </row>
    <row r="12699">
      <c r="K12699" s="317"/>
    </row>
    <row r="12700">
      <c r="K12700" s="317"/>
    </row>
    <row r="12701">
      <c r="K12701" s="317"/>
    </row>
    <row r="12702">
      <c r="K12702" s="317"/>
    </row>
    <row r="12703">
      <c r="K12703" s="317"/>
    </row>
    <row r="12704">
      <c r="K12704" s="317"/>
    </row>
    <row r="12705">
      <c r="K12705" s="317"/>
    </row>
    <row r="12706">
      <c r="K12706" s="317"/>
    </row>
    <row r="12707">
      <c r="K12707" s="317"/>
    </row>
    <row r="12708">
      <c r="K12708" s="317"/>
    </row>
    <row r="12709">
      <c r="K12709" s="317"/>
    </row>
    <row r="12710">
      <c r="K12710" s="317"/>
    </row>
    <row r="12711">
      <c r="K12711" s="317"/>
    </row>
    <row r="12712">
      <c r="K12712" s="317"/>
    </row>
    <row r="12713">
      <c r="K12713" s="317"/>
    </row>
    <row r="12714">
      <c r="K12714" s="317"/>
    </row>
    <row r="12715">
      <c r="K12715" s="317"/>
    </row>
    <row r="12716">
      <c r="K12716" s="317"/>
    </row>
    <row r="12717">
      <c r="K12717" s="317"/>
    </row>
    <row r="12718">
      <c r="K12718" s="317"/>
    </row>
    <row r="12719">
      <c r="K12719" s="317"/>
    </row>
    <row r="12720">
      <c r="K12720" s="317"/>
    </row>
    <row r="12721">
      <c r="K12721" s="317"/>
    </row>
    <row r="12722">
      <c r="K12722" s="317"/>
    </row>
    <row r="12723">
      <c r="K12723" s="317"/>
    </row>
    <row r="12724">
      <c r="K12724" s="317"/>
    </row>
    <row r="12725">
      <c r="K12725" s="317"/>
    </row>
    <row r="12726">
      <c r="K12726" s="317"/>
    </row>
    <row r="12727">
      <c r="K12727" s="317"/>
    </row>
    <row r="12728">
      <c r="K12728" s="317"/>
    </row>
    <row r="12729">
      <c r="K12729" s="317"/>
    </row>
    <row r="12730">
      <c r="K12730" s="317"/>
    </row>
    <row r="12731">
      <c r="K12731" s="317"/>
    </row>
    <row r="12732">
      <c r="K12732" s="317"/>
    </row>
    <row r="12733">
      <c r="K12733" s="317"/>
    </row>
    <row r="12734">
      <c r="K12734" s="317"/>
    </row>
    <row r="12735">
      <c r="K12735" s="317"/>
    </row>
    <row r="12736">
      <c r="K12736" s="317"/>
    </row>
    <row r="12737">
      <c r="K12737" s="317"/>
    </row>
    <row r="12738">
      <c r="K12738" s="317"/>
    </row>
    <row r="12739">
      <c r="K12739" s="317"/>
    </row>
    <row r="12740">
      <c r="K12740" s="317"/>
    </row>
    <row r="12741">
      <c r="K12741" s="317"/>
    </row>
    <row r="12742">
      <c r="K12742" s="317"/>
    </row>
    <row r="12743">
      <c r="K12743" s="317"/>
    </row>
    <row r="12744">
      <c r="K12744" s="317"/>
    </row>
    <row r="12745">
      <c r="K12745" s="317"/>
    </row>
    <row r="12746">
      <c r="K12746" s="317"/>
    </row>
    <row r="12747">
      <c r="K12747" s="317"/>
    </row>
    <row r="12748">
      <c r="K12748" s="317"/>
    </row>
    <row r="12749">
      <c r="K12749" s="317"/>
    </row>
    <row r="12750">
      <c r="K12750" s="317"/>
    </row>
    <row r="12751">
      <c r="K12751" s="317"/>
    </row>
    <row r="12752">
      <c r="K12752" s="317"/>
    </row>
    <row r="12753">
      <c r="K12753" s="317"/>
    </row>
    <row r="12754">
      <c r="K12754" s="317"/>
    </row>
    <row r="12755">
      <c r="K12755" s="317"/>
    </row>
    <row r="12756">
      <c r="K12756" s="317"/>
    </row>
    <row r="12757">
      <c r="K12757" s="317"/>
    </row>
    <row r="12758">
      <c r="K12758" s="317"/>
    </row>
    <row r="12759">
      <c r="K12759" s="317"/>
    </row>
    <row r="12760">
      <c r="K12760" s="317"/>
    </row>
    <row r="12761">
      <c r="K12761" s="317"/>
    </row>
    <row r="12762">
      <c r="K12762" s="317"/>
    </row>
    <row r="12763">
      <c r="K12763" s="317"/>
    </row>
    <row r="12764">
      <c r="K12764" s="317"/>
    </row>
    <row r="12765">
      <c r="K12765" s="317"/>
    </row>
    <row r="12766">
      <c r="K12766" s="317"/>
    </row>
    <row r="12767">
      <c r="K12767" s="317"/>
    </row>
    <row r="12768">
      <c r="K12768" s="317"/>
    </row>
    <row r="12769">
      <c r="K12769" s="317"/>
    </row>
    <row r="12770">
      <c r="K12770" s="317"/>
    </row>
    <row r="12771">
      <c r="K12771" s="317"/>
    </row>
    <row r="12772">
      <c r="K12772" s="317"/>
    </row>
    <row r="12773">
      <c r="K12773" s="317"/>
    </row>
    <row r="12774">
      <c r="K12774" s="317"/>
    </row>
    <row r="12775">
      <c r="K12775" s="317"/>
    </row>
    <row r="12776">
      <c r="K12776" s="317"/>
    </row>
    <row r="12777">
      <c r="K12777" s="317"/>
    </row>
    <row r="12778">
      <c r="K12778" s="317"/>
    </row>
    <row r="12779">
      <c r="K12779" s="317"/>
    </row>
    <row r="12780">
      <c r="K12780" s="317"/>
    </row>
    <row r="12781">
      <c r="K12781" s="317"/>
    </row>
    <row r="12782">
      <c r="K12782" s="317"/>
    </row>
    <row r="12783">
      <c r="K12783" s="317"/>
    </row>
    <row r="12784">
      <c r="K12784" s="317"/>
    </row>
    <row r="12785">
      <c r="K12785" s="317"/>
    </row>
    <row r="12786">
      <c r="K12786" s="317"/>
    </row>
    <row r="12787">
      <c r="K12787" s="317"/>
    </row>
    <row r="12788">
      <c r="K12788" s="317"/>
    </row>
    <row r="12789">
      <c r="K12789" s="317"/>
    </row>
    <row r="12790">
      <c r="K12790" s="317"/>
    </row>
    <row r="12791">
      <c r="K12791" s="317"/>
    </row>
    <row r="12792">
      <c r="K12792" s="317"/>
    </row>
    <row r="12793">
      <c r="K12793" s="317"/>
    </row>
    <row r="12794">
      <c r="K12794" s="317"/>
    </row>
    <row r="12795">
      <c r="K12795" s="317"/>
    </row>
    <row r="12796">
      <c r="K12796" s="317"/>
    </row>
    <row r="12797">
      <c r="K12797" s="317"/>
    </row>
    <row r="12798">
      <c r="K12798" s="317"/>
    </row>
    <row r="12799">
      <c r="K12799" s="317"/>
    </row>
    <row r="12800">
      <c r="K12800" s="317"/>
    </row>
    <row r="12801">
      <c r="K12801" s="317"/>
    </row>
    <row r="12802">
      <c r="K12802" s="317"/>
    </row>
    <row r="12803">
      <c r="K12803" s="317"/>
    </row>
    <row r="12804">
      <c r="K12804" s="317"/>
    </row>
    <row r="12805">
      <c r="K12805" s="317"/>
    </row>
    <row r="12806">
      <c r="K12806" s="317"/>
    </row>
    <row r="12807">
      <c r="K12807" s="317"/>
    </row>
    <row r="12808">
      <c r="K12808" s="317"/>
    </row>
    <row r="12809">
      <c r="K12809" s="317"/>
    </row>
    <row r="12810">
      <c r="K12810" s="317"/>
    </row>
    <row r="12811">
      <c r="K12811" s="317"/>
    </row>
    <row r="12812">
      <c r="K12812" s="317"/>
    </row>
    <row r="12813">
      <c r="K12813" s="317"/>
    </row>
    <row r="12814">
      <c r="K12814" s="317"/>
    </row>
    <row r="12815">
      <c r="K12815" s="317"/>
    </row>
    <row r="12816">
      <c r="K12816" s="317"/>
    </row>
    <row r="12817">
      <c r="K12817" s="317"/>
    </row>
    <row r="12818">
      <c r="K12818" s="317"/>
    </row>
    <row r="12819">
      <c r="K12819" s="317"/>
    </row>
    <row r="12820">
      <c r="K12820" s="317"/>
    </row>
    <row r="12821">
      <c r="K12821" s="317"/>
    </row>
    <row r="12822">
      <c r="K12822" s="317"/>
    </row>
    <row r="12823">
      <c r="K12823" s="317"/>
    </row>
    <row r="12824">
      <c r="K12824" s="317"/>
    </row>
    <row r="12825">
      <c r="K12825" s="317"/>
    </row>
    <row r="12826">
      <c r="K12826" s="317"/>
    </row>
    <row r="12827">
      <c r="K12827" s="317"/>
    </row>
    <row r="12828">
      <c r="K12828" s="317"/>
    </row>
    <row r="12829">
      <c r="K12829" s="317"/>
    </row>
    <row r="12830">
      <c r="K12830" s="317"/>
    </row>
    <row r="12831">
      <c r="K12831" s="317"/>
    </row>
    <row r="12832">
      <c r="K12832" s="317"/>
    </row>
    <row r="12833">
      <c r="K12833" s="317"/>
    </row>
    <row r="12834">
      <c r="K12834" s="317"/>
    </row>
    <row r="12835">
      <c r="K12835" s="317"/>
    </row>
    <row r="12836">
      <c r="K12836" s="317"/>
    </row>
    <row r="12837">
      <c r="K12837" s="317"/>
    </row>
    <row r="12838">
      <c r="K12838" s="317"/>
    </row>
    <row r="12839">
      <c r="K12839" s="317"/>
    </row>
    <row r="12840">
      <c r="K12840" s="317"/>
    </row>
    <row r="12841">
      <c r="K12841" s="317"/>
    </row>
    <row r="12842">
      <c r="K12842" s="317"/>
    </row>
    <row r="12843">
      <c r="K12843" s="317"/>
    </row>
    <row r="12844">
      <c r="K12844" s="317"/>
    </row>
    <row r="12845">
      <c r="K12845" s="317"/>
    </row>
    <row r="12846">
      <c r="K12846" s="317"/>
    </row>
    <row r="12847">
      <c r="K12847" s="317"/>
    </row>
    <row r="12848">
      <c r="K12848" s="317"/>
    </row>
    <row r="12849">
      <c r="K12849" s="317"/>
    </row>
    <row r="12850">
      <c r="K12850" s="317"/>
    </row>
    <row r="12851">
      <c r="K12851" s="317"/>
    </row>
    <row r="12852">
      <c r="K12852" s="317"/>
    </row>
    <row r="12853">
      <c r="K12853" s="317"/>
    </row>
    <row r="12854">
      <c r="K12854" s="317"/>
    </row>
    <row r="12855">
      <c r="K12855" s="317"/>
    </row>
    <row r="12856">
      <c r="K12856" s="317"/>
    </row>
    <row r="12857">
      <c r="K12857" s="317"/>
    </row>
    <row r="12858">
      <c r="K12858" s="317"/>
    </row>
    <row r="12859">
      <c r="K12859" s="317"/>
    </row>
    <row r="12860">
      <c r="K12860" s="317"/>
    </row>
    <row r="12861">
      <c r="K12861" s="317"/>
    </row>
    <row r="12862">
      <c r="K12862" s="317"/>
    </row>
    <row r="12863">
      <c r="K12863" s="317"/>
    </row>
    <row r="12864">
      <c r="K12864" s="317"/>
    </row>
    <row r="12865">
      <c r="K12865" s="317"/>
    </row>
    <row r="12866">
      <c r="K12866" s="317"/>
    </row>
    <row r="12867">
      <c r="K12867" s="317"/>
    </row>
    <row r="12868">
      <c r="K12868" s="317"/>
    </row>
    <row r="12869">
      <c r="K12869" s="317"/>
    </row>
    <row r="12870">
      <c r="K12870" s="317"/>
    </row>
    <row r="12871">
      <c r="K12871" s="317"/>
    </row>
    <row r="12872">
      <c r="K12872" s="317"/>
    </row>
    <row r="12873">
      <c r="K12873" s="317"/>
    </row>
    <row r="12874">
      <c r="K12874" s="317"/>
    </row>
    <row r="12875">
      <c r="K12875" s="317"/>
    </row>
    <row r="12876">
      <c r="K12876" s="317"/>
    </row>
    <row r="12877">
      <c r="K12877" s="317"/>
    </row>
    <row r="12878">
      <c r="K12878" s="317"/>
    </row>
    <row r="12879">
      <c r="K12879" s="317"/>
    </row>
    <row r="12880">
      <c r="K12880" s="317"/>
    </row>
    <row r="12881">
      <c r="K12881" s="317"/>
    </row>
    <row r="12882">
      <c r="K12882" s="317"/>
    </row>
    <row r="12883">
      <c r="K12883" s="317"/>
    </row>
    <row r="12884">
      <c r="K12884" s="317"/>
    </row>
    <row r="12885">
      <c r="K12885" s="317"/>
    </row>
    <row r="12886">
      <c r="K12886" s="317"/>
    </row>
    <row r="12887">
      <c r="K12887" s="317"/>
    </row>
    <row r="12888">
      <c r="K12888" s="317"/>
    </row>
    <row r="12889">
      <c r="K12889" s="317"/>
    </row>
    <row r="12890">
      <c r="K12890" s="317"/>
    </row>
    <row r="12891">
      <c r="K12891" s="317"/>
    </row>
    <row r="12892">
      <c r="K12892" s="317"/>
    </row>
    <row r="12893">
      <c r="K12893" s="317"/>
    </row>
    <row r="12894">
      <c r="K12894" s="317"/>
    </row>
    <row r="12895">
      <c r="K12895" s="317"/>
    </row>
    <row r="12896">
      <c r="K12896" s="317"/>
    </row>
    <row r="12897">
      <c r="K12897" s="317"/>
    </row>
    <row r="12898">
      <c r="K12898" s="317"/>
    </row>
    <row r="12899">
      <c r="K12899" s="317"/>
    </row>
    <row r="12900">
      <c r="K12900" s="317"/>
    </row>
    <row r="12901">
      <c r="K12901" s="317"/>
    </row>
    <row r="12902">
      <c r="K12902" s="317"/>
    </row>
    <row r="12903">
      <c r="K12903" s="317"/>
    </row>
    <row r="12904">
      <c r="K12904" s="317"/>
    </row>
    <row r="12905">
      <c r="K12905" s="317"/>
    </row>
    <row r="12906">
      <c r="K12906" s="317"/>
    </row>
    <row r="12907">
      <c r="K12907" s="317"/>
    </row>
    <row r="12908">
      <c r="K12908" s="317"/>
    </row>
    <row r="12909">
      <c r="K12909" s="317"/>
    </row>
    <row r="12910">
      <c r="K12910" s="317"/>
    </row>
    <row r="12911">
      <c r="K12911" s="317"/>
    </row>
    <row r="12912">
      <c r="K12912" s="317"/>
    </row>
    <row r="12913">
      <c r="K12913" s="317"/>
    </row>
    <row r="12914">
      <c r="K12914" s="317"/>
    </row>
    <row r="12915">
      <c r="K12915" s="317"/>
    </row>
    <row r="12916">
      <c r="K12916" s="317"/>
    </row>
    <row r="12917">
      <c r="K12917" s="317"/>
    </row>
    <row r="12918">
      <c r="K12918" s="317"/>
    </row>
    <row r="12919">
      <c r="K12919" s="317"/>
    </row>
    <row r="12920">
      <c r="K12920" s="317"/>
    </row>
    <row r="12921">
      <c r="K12921" s="317"/>
    </row>
    <row r="12922">
      <c r="K12922" s="317"/>
    </row>
    <row r="12923">
      <c r="K12923" s="317"/>
    </row>
    <row r="12924">
      <c r="K12924" s="317"/>
    </row>
    <row r="12925">
      <c r="K12925" s="317"/>
    </row>
    <row r="12926">
      <c r="K12926" s="317"/>
    </row>
    <row r="12927">
      <c r="K12927" s="317"/>
    </row>
    <row r="12928">
      <c r="K12928" s="317"/>
    </row>
    <row r="12929">
      <c r="K12929" s="317"/>
    </row>
    <row r="12930">
      <c r="K12930" s="317"/>
    </row>
    <row r="12931">
      <c r="K12931" s="317"/>
    </row>
    <row r="12932">
      <c r="K12932" s="317"/>
    </row>
    <row r="12933">
      <c r="K12933" s="317"/>
    </row>
    <row r="12934">
      <c r="K12934" s="317"/>
    </row>
    <row r="12935">
      <c r="K12935" s="317"/>
    </row>
    <row r="12936">
      <c r="K12936" s="317"/>
    </row>
    <row r="12937">
      <c r="K12937" s="317"/>
    </row>
    <row r="12938">
      <c r="K12938" s="317"/>
    </row>
    <row r="12939">
      <c r="K12939" s="317"/>
    </row>
    <row r="12940">
      <c r="K12940" s="317"/>
    </row>
    <row r="12941">
      <c r="K12941" s="317"/>
    </row>
    <row r="12942">
      <c r="K12942" s="317"/>
    </row>
    <row r="12943">
      <c r="K12943" s="317"/>
    </row>
    <row r="12944">
      <c r="K12944" s="317"/>
    </row>
    <row r="12945">
      <c r="K12945" s="317"/>
    </row>
    <row r="12946">
      <c r="K12946" s="317"/>
    </row>
    <row r="12947">
      <c r="K12947" s="317"/>
    </row>
    <row r="12948">
      <c r="K12948" s="317"/>
    </row>
    <row r="12949">
      <c r="K12949" s="317"/>
    </row>
    <row r="12950">
      <c r="K12950" s="317"/>
    </row>
    <row r="12951">
      <c r="K12951" s="317"/>
    </row>
    <row r="12952">
      <c r="K12952" s="317"/>
    </row>
    <row r="12953">
      <c r="K12953" s="317"/>
    </row>
    <row r="12954">
      <c r="K12954" s="317"/>
    </row>
    <row r="12955">
      <c r="K12955" s="317"/>
    </row>
    <row r="12956">
      <c r="K12956" s="317"/>
    </row>
    <row r="12957">
      <c r="K12957" s="317"/>
    </row>
    <row r="12958">
      <c r="K12958" s="317"/>
    </row>
    <row r="12959">
      <c r="K12959" s="317"/>
    </row>
    <row r="12960">
      <c r="K12960" s="317"/>
    </row>
    <row r="12961">
      <c r="K12961" s="317"/>
    </row>
    <row r="12962">
      <c r="K12962" s="317"/>
    </row>
    <row r="12963">
      <c r="K12963" s="317"/>
    </row>
    <row r="12964">
      <c r="K12964" s="317"/>
    </row>
    <row r="12965">
      <c r="K12965" s="317"/>
    </row>
    <row r="12966">
      <c r="K12966" s="317"/>
    </row>
    <row r="12967">
      <c r="K12967" s="317"/>
    </row>
    <row r="12968">
      <c r="K12968" s="317"/>
    </row>
    <row r="12969">
      <c r="K12969" s="317"/>
    </row>
    <row r="12970">
      <c r="K12970" s="317"/>
    </row>
    <row r="12971">
      <c r="K12971" s="317"/>
    </row>
    <row r="12972">
      <c r="K12972" s="317"/>
    </row>
    <row r="12973">
      <c r="K12973" s="317"/>
    </row>
    <row r="12974">
      <c r="K12974" s="317"/>
    </row>
    <row r="12975">
      <c r="K12975" s="317"/>
    </row>
    <row r="12976">
      <c r="K12976" s="317"/>
    </row>
    <row r="12977">
      <c r="K12977" s="317"/>
    </row>
    <row r="12978">
      <c r="K12978" s="317"/>
    </row>
    <row r="12979">
      <c r="K12979" s="317"/>
    </row>
    <row r="12980">
      <c r="K12980" s="317"/>
    </row>
    <row r="12981">
      <c r="K12981" s="317"/>
    </row>
    <row r="12982">
      <c r="K12982" s="317"/>
    </row>
    <row r="12983">
      <c r="K12983" s="317"/>
    </row>
    <row r="12984">
      <c r="K12984" s="317"/>
    </row>
    <row r="12985">
      <c r="K12985" s="317"/>
    </row>
    <row r="12986">
      <c r="K12986" s="317"/>
    </row>
    <row r="12987">
      <c r="K12987" s="317"/>
    </row>
    <row r="12988">
      <c r="K12988" s="317"/>
    </row>
    <row r="12989">
      <c r="K12989" s="317"/>
    </row>
    <row r="12990">
      <c r="K12990" s="317"/>
    </row>
    <row r="12991">
      <c r="K12991" s="317"/>
    </row>
    <row r="12992">
      <c r="K12992" s="317"/>
    </row>
    <row r="12993">
      <c r="K12993" s="317"/>
    </row>
    <row r="12994">
      <c r="K12994" s="317"/>
    </row>
    <row r="12995">
      <c r="K12995" s="317"/>
    </row>
    <row r="12996">
      <c r="K12996" s="317"/>
    </row>
    <row r="12997">
      <c r="K12997" s="317"/>
    </row>
    <row r="12998">
      <c r="K12998" s="317"/>
    </row>
    <row r="12999">
      <c r="K12999" s="317"/>
    </row>
    <row r="13000">
      <c r="K13000" s="317"/>
    </row>
    <row r="13001">
      <c r="K13001" s="317"/>
    </row>
    <row r="13002">
      <c r="K13002" s="317"/>
    </row>
    <row r="13003">
      <c r="K13003" s="317"/>
    </row>
    <row r="13004">
      <c r="K13004" s="317"/>
    </row>
    <row r="13005">
      <c r="K13005" s="317"/>
    </row>
    <row r="13006">
      <c r="K13006" s="317"/>
    </row>
    <row r="13007">
      <c r="K13007" s="317"/>
    </row>
    <row r="13008">
      <c r="K13008" s="317"/>
    </row>
    <row r="13009">
      <c r="K13009" s="317"/>
    </row>
    <row r="13010">
      <c r="K13010" s="317"/>
    </row>
    <row r="13011">
      <c r="K13011" s="317"/>
    </row>
    <row r="13012">
      <c r="K13012" s="317"/>
    </row>
    <row r="13013">
      <c r="K13013" s="317"/>
    </row>
    <row r="13014">
      <c r="K13014" s="317"/>
    </row>
    <row r="13015">
      <c r="K13015" s="317"/>
    </row>
    <row r="13016">
      <c r="K13016" s="317"/>
    </row>
    <row r="13017">
      <c r="K13017" s="317"/>
    </row>
    <row r="13018">
      <c r="K13018" s="317"/>
    </row>
    <row r="13019">
      <c r="K13019" s="317"/>
    </row>
    <row r="13020">
      <c r="K13020" s="317"/>
    </row>
    <row r="13021">
      <c r="K13021" s="317"/>
    </row>
    <row r="13022">
      <c r="K13022" s="317"/>
    </row>
    <row r="13023">
      <c r="K13023" s="317"/>
    </row>
    <row r="13024">
      <c r="K13024" s="317"/>
    </row>
    <row r="13025">
      <c r="K13025" s="317"/>
    </row>
    <row r="13026">
      <c r="K13026" s="317"/>
    </row>
    <row r="13027">
      <c r="K13027" s="317"/>
    </row>
    <row r="13028">
      <c r="K13028" s="317"/>
    </row>
    <row r="13029">
      <c r="K13029" s="317"/>
    </row>
    <row r="13030">
      <c r="K13030" s="317"/>
    </row>
    <row r="13031">
      <c r="K13031" s="317"/>
    </row>
    <row r="13032">
      <c r="K13032" s="317"/>
    </row>
    <row r="13033">
      <c r="K13033" s="317"/>
    </row>
    <row r="13034">
      <c r="K13034" s="317"/>
    </row>
    <row r="13035">
      <c r="K13035" s="317"/>
    </row>
    <row r="13036">
      <c r="K13036" s="317"/>
    </row>
    <row r="13037">
      <c r="K13037" s="317"/>
    </row>
    <row r="13038">
      <c r="K13038" s="317"/>
    </row>
    <row r="13039">
      <c r="K13039" s="317"/>
    </row>
    <row r="13040">
      <c r="K13040" s="317"/>
    </row>
    <row r="13041">
      <c r="K13041" s="317"/>
    </row>
    <row r="13042">
      <c r="K13042" s="317"/>
    </row>
    <row r="13043">
      <c r="K13043" s="317"/>
    </row>
    <row r="13044">
      <c r="K13044" s="317"/>
    </row>
    <row r="13045">
      <c r="K13045" s="317"/>
    </row>
    <row r="13046">
      <c r="K13046" s="317"/>
    </row>
    <row r="13047">
      <c r="K13047" s="317"/>
    </row>
    <row r="13048">
      <c r="K13048" s="317"/>
    </row>
    <row r="13049">
      <c r="K13049" s="317"/>
    </row>
    <row r="13050">
      <c r="K13050" s="317"/>
    </row>
    <row r="13051">
      <c r="K13051" s="317"/>
    </row>
    <row r="13052">
      <c r="K13052" s="317"/>
    </row>
    <row r="13053">
      <c r="K13053" s="317"/>
    </row>
    <row r="13054">
      <c r="K13054" s="317"/>
    </row>
    <row r="13055">
      <c r="K13055" s="317"/>
    </row>
    <row r="13056">
      <c r="K13056" s="317"/>
    </row>
    <row r="13057">
      <c r="K13057" s="317"/>
    </row>
    <row r="13058">
      <c r="K13058" s="317"/>
    </row>
    <row r="13059">
      <c r="K13059" s="317"/>
    </row>
    <row r="13060">
      <c r="K13060" s="317"/>
    </row>
    <row r="13061">
      <c r="K13061" s="317"/>
    </row>
    <row r="13062">
      <c r="K13062" s="317"/>
    </row>
    <row r="13063">
      <c r="K13063" s="317"/>
    </row>
    <row r="13064">
      <c r="K13064" s="317"/>
    </row>
    <row r="13065">
      <c r="K13065" s="317"/>
    </row>
    <row r="13066">
      <c r="K13066" s="317"/>
    </row>
    <row r="13067">
      <c r="K13067" s="317"/>
    </row>
    <row r="13068">
      <c r="K13068" s="317"/>
    </row>
    <row r="13069">
      <c r="K13069" s="317"/>
    </row>
    <row r="13070">
      <c r="K13070" s="317"/>
    </row>
    <row r="13071">
      <c r="K13071" s="317"/>
    </row>
    <row r="13072">
      <c r="K13072" s="317"/>
    </row>
    <row r="13073">
      <c r="K13073" s="317"/>
    </row>
    <row r="13074">
      <c r="K13074" s="317"/>
    </row>
    <row r="13075">
      <c r="K13075" s="317"/>
    </row>
    <row r="13076">
      <c r="K13076" s="317"/>
    </row>
    <row r="13077">
      <c r="K13077" s="317"/>
    </row>
    <row r="13078">
      <c r="K13078" s="317"/>
    </row>
    <row r="13079">
      <c r="K13079" s="317"/>
    </row>
    <row r="13080">
      <c r="K13080" s="317"/>
    </row>
    <row r="13081">
      <c r="K13081" s="317"/>
    </row>
    <row r="13082">
      <c r="K13082" s="317"/>
    </row>
    <row r="13083">
      <c r="K13083" s="317"/>
    </row>
    <row r="13084">
      <c r="K13084" s="317"/>
    </row>
    <row r="13085">
      <c r="K13085" s="317"/>
    </row>
    <row r="13086">
      <c r="K13086" s="317"/>
    </row>
    <row r="13087">
      <c r="K13087" s="317"/>
    </row>
    <row r="13088">
      <c r="K13088" s="317"/>
    </row>
    <row r="13089">
      <c r="K13089" s="317"/>
    </row>
    <row r="13090">
      <c r="K13090" s="317"/>
    </row>
    <row r="13091">
      <c r="K13091" s="317"/>
    </row>
    <row r="13092">
      <c r="K13092" s="317"/>
    </row>
    <row r="13093">
      <c r="K13093" s="317"/>
    </row>
    <row r="13094">
      <c r="K13094" s="317"/>
    </row>
    <row r="13095">
      <c r="K13095" s="317"/>
    </row>
    <row r="13096">
      <c r="K13096" s="317"/>
    </row>
    <row r="13097">
      <c r="K13097" s="317"/>
    </row>
    <row r="13098">
      <c r="K13098" s="317"/>
    </row>
    <row r="13099">
      <c r="K13099" s="317"/>
    </row>
    <row r="13100">
      <c r="K13100" s="317"/>
    </row>
    <row r="13101">
      <c r="K13101" s="317"/>
    </row>
    <row r="13102">
      <c r="K13102" s="317"/>
    </row>
    <row r="13103">
      <c r="K13103" s="317"/>
    </row>
    <row r="13104">
      <c r="K13104" s="317"/>
    </row>
    <row r="13105">
      <c r="K13105" s="317"/>
    </row>
    <row r="13106">
      <c r="K13106" s="317"/>
    </row>
    <row r="13107">
      <c r="K13107" s="317"/>
    </row>
    <row r="13108">
      <c r="K13108" s="317"/>
    </row>
    <row r="13109">
      <c r="K13109" s="317"/>
    </row>
    <row r="13110">
      <c r="K13110" s="317"/>
    </row>
    <row r="13111">
      <c r="K13111" s="317"/>
    </row>
    <row r="13112">
      <c r="K13112" s="317"/>
    </row>
    <row r="13113">
      <c r="K13113" s="317"/>
    </row>
    <row r="13114">
      <c r="K13114" s="317"/>
    </row>
    <row r="13115">
      <c r="K13115" s="317"/>
    </row>
    <row r="13116">
      <c r="K13116" s="317"/>
    </row>
    <row r="13117">
      <c r="K13117" s="317"/>
    </row>
    <row r="13118">
      <c r="K13118" s="317"/>
    </row>
    <row r="13119">
      <c r="K13119" s="317"/>
    </row>
    <row r="13120">
      <c r="K13120" s="317"/>
    </row>
    <row r="13121">
      <c r="K13121" s="317"/>
    </row>
    <row r="13122">
      <c r="K13122" s="317"/>
    </row>
    <row r="13123">
      <c r="K13123" s="317"/>
    </row>
    <row r="13124">
      <c r="K13124" s="317"/>
    </row>
    <row r="13125">
      <c r="K13125" s="317"/>
    </row>
    <row r="13126">
      <c r="K13126" s="317"/>
    </row>
    <row r="13127">
      <c r="K13127" s="317"/>
    </row>
    <row r="13128">
      <c r="K13128" s="317"/>
    </row>
    <row r="13129">
      <c r="K13129" s="317"/>
    </row>
    <row r="13130">
      <c r="K13130" s="317"/>
    </row>
    <row r="13131">
      <c r="K13131" s="317"/>
    </row>
    <row r="13132">
      <c r="K13132" s="317"/>
    </row>
    <row r="13133">
      <c r="K13133" s="317"/>
    </row>
    <row r="13134">
      <c r="K13134" s="317"/>
    </row>
    <row r="13135">
      <c r="K13135" s="317"/>
    </row>
    <row r="13136">
      <c r="K13136" s="317"/>
    </row>
    <row r="13137">
      <c r="K13137" s="317"/>
    </row>
    <row r="13138">
      <c r="K13138" s="317"/>
    </row>
    <row r="13139">
      <c r="K13139" s="317"/>
    </row>
    <row r="13140">
      <c r="K13140" s="317"/>
    </row>
    <row r="13141">
      <c r="K13141" s="317"/>
    </row>
    <row r="13142">
      <c r="K13142" s="317"/>
    </row>
    <row r="13143">
      <c r="K13143" s="317"/>
    </row>
    <row r="13144">
      <c r="K13144" s="317"/>
    </row>
    <row r="13145">
      <c r="K13145" s="317"/>
    </row>
    <row r="13146">
      <c r="K13146" s="317"/>
    </row>
    <row r="13147">
      <c r="K13147" s="317"/>
    </row>
    <row r="13148">
      <c r="K13148" s="317"/>
    </row>
    <row r="13149">
      <c r="K13149" s="317"/>
    </row>
    <row r="13150">
      <c r="K13150" s="317"/>
    </row>
    <row r="13151">
      <c r="K13151" s="317"/>
    </row>
    <row r="13152">
      <c r="K13152" s="317"/>
    </row>
    <row r="13153">
      <c r="K13153" s="317"/>
    </row>
    <row r="13154">
      <c r="K13154" s="317"/>
    </row>
    <row r="13155">
      <c r="K13155" s="317"/>
    </row>
    <row r="13156">
      <c r="K13156" s="317"/>
    </row>
    <row r="13157">
      <c r="K13157" s="317"/>
    </row>
    <row r="13158">
      <c r="K13158" s="317"/>
    </row>
    <row r="13159">
      <c r="K13159" s="317"/>
    </row>
    <row r="13160">
      <c r="K13160" s="317"/>
    </row>
    <row r="13161">
      <c r="K13161" s="317"/>
    </row>
    <row r="13162">
      <c r="K13162" s="317"/>
    </row>
    <row r="13163">
      <c r="K13163" s="317"/>
    </row>
    <row r="13164">
      <c r="K13164" s="317"/>
    </row>
    <row r="13165">
      <c r="K13165" s="317"/>
    </row>
    <row r="13166">
      <c r="K13166" s="317"/>
    </row>
    <row r="13167">
      <c r="K13167" s="317"/>
    </row>
    <row r="13168">
      <c r="K13168" s="317"/>
    </row>
    <row r="13169">
      <c r="K13169" s="317"/>
    </row>
    <row r="13170">
      <c r="K13170" s="317"/>
    </row>
    <row r="13171">
      <c r="K13171" s="317"/>
    </row>
    <row r="13172">
      <c r="K13172" s="317"/>
    </row>
    <row r="13173">
      <c r="K13173" s="317"/>
    </row>
    <row r="13174">
      <c r="K13174" s="317"/>
    </row>
    <row r="13175">
      <c r="K13175" s="317"/>
    </row>
    <row r="13176">
      <c r="K13176" s="317"/>
    </row>
    <row r="13177">
      <c r="K13177" s="317"/>
    </row>
    <row r="13178">
      <c r="K13178" s="317"/>
    </row>
    <row r="13179">
      <c r="K13179" s="317"/>
    </row>
    <row r="13180">
      <c r="K13180" s="317"/>
    </row>
    <row r="13181">
      <c r="K13181" s="317"/>
    </row>
    <row r="13182">
      <c r="K13182" s="317"/>
    </row>
    <row r="13183">
      <c r="K13183" s="317"/>
    </row>
    <row r="13184">
      <c r="K13184" s="317"/>
    </row>
    <row r="13185">
      <c r="K13185" s="317"/>
    </row>
    <row r="13186">
      <c r="K13186" s="317"/>
    </row>
    <row r="13187">
      <c r="K13187" s="317"/>
    </row>
    <row r="13188">
      <c r="K13188" s="317"/>
    </row>
    <row r="13189">
      <c r="K13189" s="317"/>
    </row>
    <row r="13190">
      <c r="K13190" s="317"/>
    </row>
    <row r="13191">
      <c r="K13191" s="317"/>
    </row>
    <row r="13192">
      <c r="K13192" s="317"/>
    </row>
    <row r="13193">
      <c r="K13193" s="317"/>
    </row>
    <row r="13194">
      <c r="K13194" s="317"/>
    </row>
    <row r="13195">
      <c r="K13195" s="317"/>
    </row>
    <row r="13196">
      <c r="K13196" s="317"/>
    </row>
    <row r="13197">
      <c r="K13197" s="317"/>
    </row>
    <row r="13198">
      <c r="K13198" s="317"/>
    </row>
    <row r="13199">
      <c r="K13199" s="317"/>
    </row>
    <row r="13200">
      <c r="K13200" s="317"/>
    </row>
    <row r="13201">
      <c r="K13201" s="317"/>
    </row>
    <row r="13202">
      <c r="K13202" s="317"/>
    </row>
    <row r="13203">
      <c r="K13203" s="317"/>
    </row>
    <row r="13204">
      <c r="K13204" s="317"/>
    </row>
    <row r="13205">
      <c r="K13205" s="317"/>
    </row>
    <row r="13206">
      <c r="K13206" s="317"/>
    </row>
    <row r="13207">
      <c r="K13207" s="317"/>
    </row>
    <row r="13208">
      <c r="K13208" s="317"/>
    </row>
    <row r="13209">
      <c r="K13209" s="317"/>
    </row>
    <row r="13210">
      <c r="K13210" s="317"/>
    </row>
    <row r="13211">
      <c r="K13211" s="317"/>
    </row>
    <row r="13212">
      <c r="K13212" s="317"/>
    </row>
    <row r="13213">
      <c r="K13213" s="317"/>
    </row>
    <row r="13214">
      <c r="K13214" s="317"/>
    </row>
    <row r="13215">
      <c r="K13215" s="317"/>
    </row>
    <row r="13216">
      <c r="K13216" s="317"/>
    </row>
    <row r="13217">
      <c r="K13217" s="317"/>
    </row>
    <row r="13218">
      <c r="K13218" s="317"/>
    </row>
    <row r="13219">
      <c r="K13219" s="317"/>
    </row>
    <row r="13220">
      <c r="K13220" s="317"/>
    </row>
    <row r="13221">
      <c r="K13221" s="317"/>
    </row>
    <row r="13222">
      <c r="K13222" s="317"/>
    </row>
    <row r="13223">
      <c r="K13223" s="317"/>
    </row>
    <row r="13224">
      <c r="K13224" s="317"/>
    </row>
    <row r="13225">
      <c r="K13225" s="317"/>
    </row>
    <row r="13226">
      <c r="K13226" s="317"/>
    </row>
    <row r="13227">
      <c r="K13227" s="317"/>
    </row>
    <row r="13228">
      <c r="K13228" s="317"/>
    </row>
    <row r="13229">
      <c r="K13229" s="317"/>
    </row>
    <row r="13230">
      <c r="K13230" s="317"/>
    </row>
    <row r="13231">
      <c r="K13231" s="317"/>
    </row>
    <row r="13232">
      <c r="K13232" s="317"/>
    </row>
    <row r="13233">
      <c r="K13233" s="317"/>
    </row>
    <row r="13234">
      <c r="K13234" s="317"/>
    </row>
    <row r="13235">
      <c r="K13235" s="317"/>
    </row>
    <row r="13236">
      <c r="K13236" s="317"/>
    </row>
    <row r="13237">
      <c r="K13237" s="317"/>
    </row>
    <row r="13238">
      <c r="K13238" s="317"/>
    </row>
    <row r="13239">
      <c r="K13239" s="317"/>
    </row>
    <row r="13240">
      <c r="K13240" s="317"/>
    </row>
    <row r="13241">
      <c r="K13241" s="317"/>
    </row>
    <row r="13242">
      <c r="K13242" s="317"/>
    </row>
    <row r="13243">
      <c r="K13243" s="317"/>
    </row>
    <row r="13244">
      <c r="K13244" s="317"/>
    </row>
    <row r="13245">
      <c r="K13245" s="317"/>
    </row>
    <row r="13246">
      <c r="K13246" s="317"/>
    </row>
    <row r="13247">
      <c r="K13247" s="317"/>
    </row>
    <row r="13248">
      <c r="K13248" s="317"/>
    </row>
    <row r="13249">
      <c r="K13249" s="317"/>
    </row>
    <row r="13250">
      <c r="K13250" s="317"/>
    </row>
    <row r="13251">
      <c r="K13251" s="317"/>
    </row>
    <row r="13252">
      <c r="K13252" s="317"/>
    </row>
    <row r="13253">
      <c r="K13253" s="317"/>
    </row>
    <row r="13254">
      <c r="K13254" s="317"/>
    </row>
    <row r="13255">
      <c r="K13255" s="317"/>
    </row>
    <row r="13256">
      <c r="K13256" s="317"/>
    </row>
    <row r="13257">
      <c r="K13257" s="317"/>
    </row>
    <row r="13258">
      <c r="K13258" s="317"/>
    </row>
    <row r="13259">
      <c r="K13259" s="317"/>
    </row>
    <row r="13260">
      <c r="K13260" s="317"/>
    </row>
    <row r="13261">
      <c r="K13261" s="317"/>
    </row>
    <row r="13262">
      <c r="K13262" s="317"/>
    </row>
    <row r="13263">
      <c r="K13263" s="317"/>
    </row>
    <row r="13264">
      <c r="K13264" s="317"/>
    </row>
    <row r="13265">
      <c r="K13265" s="317"/>
    </row>
    <row r="13266">
      <c r="K13266" s="317"/>
    </row>
    <row r="13267">
      <c r="K13267" s="317"/>
    </row>
    <row r="13268">
      <c r="K13268" s="317"/>
    </row>
    <row r="13269">
      <c r="K13269" s="317"/>
    </row>
    <row r="13270">
      <c r="K13270" s="317"/>
    </row>
    <row r="13271">
      <c r="K13271" s="317"/>
    </row>
    <row r="13272">
      <c r="K13272" s="317"/>
    </row>
    <row r="13273">
      <c r="K13273" s="317"/>
    </row>
    <row r="13274">
      <c r="K13274" s="317"/>
    </row>
    <row r="13275">
      <c r="K13275" s="317"/>
    </row>
    <row r="13276">
      <c r="K13276" s="317"/>
    </row>
    <row r="13277">
      <c r="K13277" s="317"/>
    </row>
    <row r="13278">
      <c r="K13278" s="317"/>
    </row>
    <row r="13279">
      <c r="K13279" s="317"/>
    </row>
    <row r="13280">
      <c r="K13280" s="317"/>
    </row>
    <row r="13281">
      <c r="K13281" s="317"/>
    </row>
    <row r="13282">
      <c r="K13282" s="317"/>
    </row>
    <row r="13283">
      <c r="K13283" s="317"/>
    </row>
    <row r="13284">
      <c r="K13284" s="317"/>
    </row>
    <row r="13285">
      <c r="K13285" s="317"/>
    </row>
    <row r="13286">
      <c r="K13286" s="317"/>
    </row>
    <row r="13287">
      <c r="K13287" s="317"/>
    </row>
    <row r="13288">
      <c r="K13288" s="317"/>
    </row>
    <row r="13289">
      <c r="K13289" s="317"/>
    </row>
    <row r="13290">
      <c r="K13290" s="317"/>
    </row>
    <row r="13291">
      <c r="K13291" s="317"/>
    </row>
    <row r="13292">
      <c r="K13292" s="317"/>
    </row>
    <row r="13293">
      <c r="K13293" s="317"/>
    </row>
    <row r="13294">
      <c r="K13294" s="317"/>
    </row>
    <row r="13295">
      <c r="K13295" s="317"/>
    </row>
    <row r="13296">
      <c r="K13296" s="317"/>
    </row>
    <row r="13297">
      <c r="K13297" s="317"/>
    </row>
    <row r="13298">
      <c r="K13298" s="317"/>
    </row>
    <row r="13299">
      <c r="K13299" s="317"/>
    </row>
    <row r="13300">
      <c r="K13300" s="317"/>
    </row>
    <row r="13301">
      <c r="K13301" s="317"/>
    </row>
    <row r="13302">
      <c r="K13302" s="317"/>
    </row>
    <row r="13303">
      <c r="K13303" s="317"/>
    </row>
    <row r="13304">
      <c r="K13304" s="317"/>
    </row>
    <row r="13305">
      <c r="K13305" s="317"/>
    </row>
    <row r="13306">
      <c r="K13306" s="317"/>
    </row>
    <row r="13307">
      <c r="K13307" s="317"/>
    </row>
    <row r="13308">
      <c r="K13308" s="317"/>
    </row>
    <row r="13309">
      <c r="K13309" s="317"/>
    </row>
    <row r="13310">
      <c r="K13310" s="317"/>
    </row>
    <row r="13311">
      <c r="K13311" s="317"/>
    </row>
    <row r="13312">
      <c r="K13312" s="317"/>
    </row>
    <row r="13313">
      <c r="K13313" s="317"/>
    </row>
    <row r="13314">
      <c r="K13314" s="317"/>
    </row>
    <row r="13315">
      <c r="K13315" s="317"/>
    </row>
    <row r="13316">
      <c r="K13316" s="317"/>
    </row>
    <row r="13317">
      <c r="K13317" s="317"/>
    </row>
    <row r="13318">
      <c r="K13318" s="317"/>
    </row>
    <row r="13319">
      <c r="K13319" s="317"/>
    </row>
    <row r="13320">
      <c r="K13320" s="317"/>
    </row>
    <row r="13321">
      <c r="K13321" s="317"/>
    </row>
    <row r="13322">
      <c r="K13322" s="317"/>
    </row>
    <row r="13323">
      <c r="K13323" s="317"/>
    </row>
    <row r="13324">
      <c r="K13324" s="317"/>
    </row>
    <row r="13325">
      <c r="K13325" s="317"/>
    </row>
    <row r="13326">
      <c r="K13326" s="317"/>
    </row>
    <row r="13327">
      <c r="K13327" s="317"/>
    </row>
    <row r="13328">
      <c r="K13328" s="317"/>
    </row>
    <row r="13329">
      <c r="K13329" s="317"/>
    </row>
    <row r="13330">
      <c r="K13330" s="317"/>
    </row>
    <row r="13331">
      <c r="K13331" s="317"/>
    </row>
    <row r="13332">
      <c r="K13332" s="317"/>
    </row>
    <row r="13333">
      <c r="K13333" s="317"/>
    </row>
    <row r="13334">
      <c r="K13334" s="317"/>
    </row>
    <row r="13335">
      <c r="K13335" s="317"/>
    </row>
    <row r="13336">
      <c r="K13336" s="317"/>
    </row>
    <row r="13337">
      <c r="K13337" s="317"/>
    </row>
    <row r="13338">
      <c r="K13338" s="317"/>
    </row>
    <row r="13339">
      <c r="K13339" s="317"/>
    </row>
    <row r="13340">
      <c r="K13340" s="317"/>
    </row>
    <row r="13341">
      <c r="K13341" s="317"/>
    </row>
    <row r="13342">
      <c r="K13342" s="317"/>
    </row>
    <row r="13343">
      <c r="K13343" s="317"/>
    </row>
    <row r="13344">
      <c r="K13344" s="317"/>
    </row>
    <row r="13345">
      <c r="K13345" s="317"/>
    </row>
    <row r="13346">
      <c r="K13346" s="317"/>
    </row>
    <row r="13347">
      <c r="K13347" s="317"/>
    </row>
    <row r="13348">
      <c r="K13348" s="317"/>
    </row>
    <row r="13349">
      <c r="K13349" s="317"/>
    </row>
    <row r="13350">
      <c r="K13350" s="317"/>
    </row>
    <row r="13351">
      <c r="K13351" s="317"/>
    </row>
    <row r="13352">
      <c r="K13352" s="317"/>
    </row>
    <row r="13353">
      <c r="K13353" s="317"/>
    </row>
    <row r="13354">
      <c r="K13354" s="317"/>
    </row>
    <row r="13355">
      <c r="K13355" s="317"/>
    </row>
    <row r="13356">
      <c r="K13356" s="317"/>
    </row>
    <row r="13357">
      <c r="K13357" s="317"/>
    </row>
    <row r="13358">
      <c r="K13358" s="317"/>
    </row>
    <row r="13359">
      <c r="K13359" s="317"/>
    </row>
    <row r="13360">
      <c r="K13360" s="317"/>
    </row>
    <row r="13361">
      <c r="K13361" s="317"/>
    </row>
    <row r="13362">
      <c r="K13362" s="317"/>
    </row>
    <row r="13363">
      <c r="K13363" s="317"/>
    </row>
    <row r="13364">
      <c r="K13364" s="317"/>
    </row>
    <row r="13365">
      <c r="K13365" s="317"/>
    </row>
    <row r="13366">
      <c r="K13366" s="317"/>
    </row>
    <row r="13367">
      <c r="K13367" s="317"/>
    </row>
    <row r="13368">
      <c r="K13368" s="317"/>
    </row>
    <row r="13369">
      <c r="K13369" s="317"/>
    </row>
    <row r="13370">
      <c r="K13370" s="317"/>
    </row>
    <row r="13371">
      <c r="K13371" s="317"/>
    </row>
    <row r="13372">
      <c r="K13372" s="317"/>
    </row>
    <row r="13373">
      <c r="K13373" s="317"/>
    </row>
    <row r="13374">
      <c r="K13374" s="317"/>
    </row>
    <row r="13375">
      <c r="K13375" s="317"/>
    </row>
    <row r="13376">
      <c r="K13376" s="317"/>
    </row>
    <row r="13377">
      <c r="K13377" s="317"/>
    </row>
    <row r="13378">
      <c r="K13378" s="317"/>
    </row>
    <row r="13379">
      <c r="K13379" s="317"/>
    </row>
    <row r="13380">
      <c r="K13380" s="317"/>
    </row>
    <row r="13381">
      <c r="K13381" s="317"/>
    </row>
    <row r="13382">
      <c r="K13382" s="317"/>
    </row>
    <row r="13383">
      <c r="K13383" s="317"/>
    </row>
    <row r="13384">
      <c r="K13384" s="317"/>
    </row>
    <row r="13385">
      <c r="K13385" s="317"/>
    </row>
    <row r="13386">
      <c r="K13386" s="317"/>
    </row>
    <row r="13387">
      <c r="K13387" s="317"/>
    </row>
    <row r="13388">
      <c r="K13388" s="317"/>
    </row>
    <row r="13389">
      <c r="K13389" s="317"/>
    </row>
    <row r="13390">
      <c r="K13390" s="317"/>
    </row>
    <row r="13391">
      <c r="K13391" s="317"/>
    </row>
    <row r="13392">
      <c r="K13392" s="317"/>
    </row>
    <row r="13393">
      <c r="K13393" s="317"/>
    </row>
    <row r="13394">
      <c r="K13394" s="317"/>
    </row>
    <row r="13395">
      <c r="K13395" s="317"/>
    </row>
    <row r="13396">
      <c r="K13396" s="317"/>
    </row>
    <row r="13397">
      <c r="K13397" s="317"/>
    </row>
    <row r="13398">
      <c r="K13398" s="317"/>
    </row>
    <row r="13399">
      <c r="K13399" s="317"/>
    </row>
    <row r="13400">
      <c r="K13400" s="317"/>
    </row>
    <row r="13401">
      <c r="K13401" s="317"/>
    </row>
    <row r="13402">
      <c r="K13402" s="317"/>
    </row>
    <row r="13403">
      <c r="K13403" s="317"/>
    </row>
    <row r="13404">
      <c r="K13404" s="317"/>
    </row>
    <row r="13405">
      <c r="K13405" s="317"/>
    </row>
    <row r="13406">
      <c r="K13406" s="317"/>
    </row>
    <row r="13407">
      <c r="K13407" s="317"/>
    </row>
    <row r="13408">
      <c r="K13408" s="317"/>
    </row>
    <row r="13409">
      <c r="K13409" s="317"/>
    </row>
    <row r="13410">
      <c r="K13410" s="317"/>
    </row>
    <row r="13411">
      <c r="K13411" s="317"/>
    </row>
    <row r="13412">
      <c r="K13412" s="317"/>
    </row>
    <row r="13413">
      <c r="K13413" s="317"/>
    </row>
    <row r="13414">
      <c r="K13414" s="317"/>
    </row>
    <row r="13415">
      <c r="K13415" s="317"/>
    </row>
    <row r="13416">
      <c r="K13416" s="317"/>
    </row>
    <row r="13417">
      <c r="K13417" s="317"/>
    </row>
    <row r="13418">
      <c r="K13418" s="317"/>
    </row>
    <row r="13419">
      <c r="K13419" s="317"/>
    </row>
    <row r="13420">
      <c r="K13420" s="317"/>
    </row>
    <row r="13421">
      <c r="K13421" s="317"/>
    </row>
    <row r="13422">
      <c r="K13422" s="317"/>
    </row>
    <row r="13423">
      <c r="K13423" s="317"/>
    </row>
    <row r="13424">
      <c r="K13424" s="317"/>
    </row>
    <row r="13425">
      <c r="K13425" s="317"/>
    </row>
    <row r="13426">
      <c r="K13426" s="317"/>
    </row>
    <row r="13427">
      <c r="K13427" s="317"/>
    </row>
    <row r="13428">
      <c r="K13428" s="317"/>
    </row>
    <row r="13429">
      <c r="K13429" s="317"/>
    </row>
    <row r="13430">
      <c r="K13430" s="317"/>
    </row>
    <row r="13431">
      <c r="K13431" s="317"/>
    </row>
    <row r="13432">
      <c r="K13432" s="317"/>
    </row>
    <row r="13433">
      <c r="K13433" s="317"/>
    </row>
    <row r="13434">
      <c r="K13434" s="317"/>
    </row>
    <row r="13435">
      <c r="K13435" s="317"/>
    </row>
    <row r="13436">
      <c r="K13436" s="317"/>
    </row>
    <row r="13437">
      <c r="K13437" s="317"/>
    </row>
    <row r="13438">
      <c r="K13438" s="317"/>
    </row>
    <row r="13439">
      <c r="K13439" s="317"/>
    </row>
    <row r="13440">
      <c r="K13440" s="317"/>
    </row>
    <row r="13441">
      <c r="K13441" s="317"/>
    </row>
    <row r="13442">
      <c r="K13442" s="317"/>
    </row>
    <row r="13443">
      <c r="K13443" s="317"/>
    </row>
    <row r="13444">
      <c r="K13444" s="317"/>
    </row>
    <row r="13445">
      <c r="K13445" s="317"/>
    </row>
    <row r="13446">
      <c r="K13446" s="317"/>
    </row>
    <row r="13447">
      <c r="K13447" s="317"/>
    </row>
    <row r="13448">
      <c r="K13448" s="317"/>
    </row>
    <row r="13449">
      <c r="K13449" s="317"/>
    </row>
    <row r="13450">
      <c r="K13450" s="317"/>
    </row>
    <row r="13451">
      <c r="K13451" s="317"/>
    </row>
    <row r="13452">
      <c r="K13452" s="317"/>
    </row>
    <row r="13453">
      <c r="K13453" s="317"/>
    </row>
    <row r="13454">
      <c r="K13454" s="317"/>
    </row>
    <row r="13455">
      <c r="K13455" s="317"/>
    </row>
    <row r="13456">
      <c r="K13456" s="317"/>
    </row>
    <row r="13457">
      <c r="K13457" s="317"/>
    </row>
    <row r="13458">
      <c r="K13458" s="317"/>
    </row>
    <row r="13459">
      <c r="K13459" s="317"/>
    </row>
    <row r="13460">
      <c r="K13460" s="317"/>
    </row>
    <row r="13461">
      <c r="K13461" s="317"/>
    </row>
    <row r="13462">
      <c r="K13462" s="317"/>
    </row>
    <row r="13463">
      <c r="K13463" s="317"/>
    </row>
    <row r="13464">
      <c r="K13464" s="317"/>
    </row>
    <row r="13465">
      <c r="K13465" s="317"/>
    </row>
    <row r="13466">
      <c r="K13466" s="317"/>
    </row>
    <row r="13467">
      <c r="K13467" s="317"/>
    </row>
    <row r="13468">
      <c r="K13468" s="317"/>
    </row>
    <row r="13469">
      <c r="K13469" s="317"/>
    </row>
    <row r="13470">
      <c r="K13470" s="317"/>
    </row>
    <row r="13471">
      <c r="K13471" s="317"/>
    </row>
    <row r="13472">
      <c r="K13472" s="317"/>
    </row>
    <row r="13473">
      <c r="K13473" s="317"/>
    </row>
    <row r="13474">
      <c r="K13474" s="317"/>
    </row>
    <row r="13475">
      <c r="K13475" s="317"/>
    </row>
    <row r="13476">
      <c r="K13476" s="317"/>
    </row>
    <row r="13477">
      <c r="K13477" s="317"/>
    </row>
    <row r="13478">
      <c r="K13478" s="317"/>
    </row>
    <row r="13479">
      <c r="K13479" s="317"/>
    </row>
    <row r="13480">
      <c r="K13480" s="317"/>
    </row>
    <row r="13481">
      <c r="K13481" s="317"/>
    </row>
    <row r="13482">
      <c r="K13482" s="317"/>
    </row>
    <row r="13483">
      <c r="K13483" s="317"/>
    </row>
    <row r="13484">
      <c r="K13484" s="317"/>
    </row>
    <row r="13485">
      <c r="K13485" s="317"/>
    </row>
    <row r="13486">
      <c r="K13486" s="317"/>
    </row>
    <row r="13487">
      <c r="K13487" s="317"/>
    </row>
    <row r="13488">
      <c r="K13488" s="317"/>
    </row>
    <row r="13489">
      <c r="K13489" s="317"/>
    </row>
    <row r="13490">
      <c r="K13490" s="317"/>
    </row>
    <row r="13491">
      <c r="K13491" s="317"/>
    </row>
    <row r="13492">
      <c r="K13492" s="317"/>
    </row>
    <row r="13493">
      <c r="K13493" s="317"/>
    </row>
    <row r="13494">
      <c r="K13494" s="317"/>
    </row>
    <row r="13495">
      <c r="K13495" s="317"/>
    </row>
    <row r="13496">
      <c r="K13496" s="317"/>
    </row>
    <row r="13497">
      <c r="K13497" s="317"/>
    </row>
    <row r="13498">
      <c r="K13498" s="317"/>
    </row>
    <row r="13499">
      <c r="K13499" s="317"/>
    </row>
    <row r="13500">
      <c r="K13500" s="317"/>
    </row>
    <row r="13501">
      <c r="K13501" s="317"/>
    </row>
    <row r="13502">
      <c r="K13502" s="317"/>
    </row>
    <row r="13503">
      <c r="K13503" s="317"/>
    </row>
    <row r="13504">
      <c r="K13504" s="317"/>
    </row>
    <row r="13505">
      <c r="K13505" s="317"/>
    </row>
    <row r="13506">
      <c r="K13506" s="317"/>
    </row>
    <row r="13507">
      <c r="K13507" s="317"/>
    </row>
    <row r="13508">
      <c r="K13508" s="317"/>
    </row>
    <row r="13509">
      <c r="K13509" s="317"/>
    </row>
    <row r="13510">
      <c r="K13510" s="317"/>
    </row>
    <row r="13511">
      <c r="K13511" s="317"/>
    </row>
    <row r="13512">
      <c r="K13512" s="317"/>
    </row>
    <row r="13513">
      <c r="K13513" s="317"/>
    </row>
    <row r="13514">
      <c r="K13514" s="317"/>
    </row>
    <row r="13515">
      <c r="K13515" s="317"/>
    </row>
    <row r="13516">
      <c r="K13516" s="317"/>
    </row>
    <row r="13517">
      <c r="K13517" s="317"/>
    </row>
    <row r="13518">
      <c r="K13518" s="317"/>
    </row>
    <row r="13519">
      <c r="K13519" s="317"/>
    </row>
    <row r="13520">
      <c r="K13520" s="317"/>
    </row>
    <row r="13521">
      <c r="K13521" s="317"/>
    </row>
    <row r="13522">
      <c r="K13522" s="317"/>
    </row>
    <row r="13523">
      <c r="K13523" s="317"/>
    </row>
    <row r="13524">
      <c r="K13524" s="317"/>
    </row>
    <row r="13525">
      <c r="K13525" s="317"/>
    </row>
    <row r="13526">
      <c r="K13526" s="317"/>
    </row>
    <row r="13527">
      <c r="K13527" s="317"/>
    </row>
    <row r="13528">
      <c r="K13528" s="317"/>
    </row>
    <row r="13529">
      <c r="K13529" s="317"/>
    </row>
    <row r="13530">
      <c r="K13530" s="317"/>
    </row>
    <row r="13531">
      <c r="K13531" s="317"/>
    </row>
    <row r="13532">
      <c r="K13532" s="317"/>
    </row>
    <row r="13533">
      <c r="K13533" s="317"/>
    </row>
    <row r="13534">
      <c r="K13534" s="317"/>
    </row>
    <row r="13535">
      <c r="K13535" s="317"/>
    </row>
    <row r="13536">
      <c r="K13536" s="317"/>
    </row>
    <row r="13537">
      <c r="K13537" s="317"/>
    </row>
    <row r="13538">
      <c r="K13538" s="317"/>
    </row>
    <row r="13539">
      <c r="K13539" s="317"/>
    </row>
    <row r="13540">
      <c r="K13540" s="317"/>
    </row>
    <row r="13541">
      <c r="K13541" s="317"/>
    </row>
    <row r="13542">
      <c r="K13542" s="317"/>
    </row>
    <row r="13543">
      <c r="K13543" s="317"/>
    </row>
    <row r="13544">
      <c r="K13544" s="317"/>
    </row>
    <row r="13545">
      <c r="K13545" s="317"/>
    </row>
    <row r="13546">
      <c r="K13546" s="317"/>
    </row>
    <row r="13547">
      <c r="K13547" s="317"/>
    </row>
    <row r="13548">
      <c r="K13548" s="317"/>
    </row>
    <row r="13549">
      <c r="K13549" s="317"/>
    </row>
    <row r="13550">
      <c r="K13550" s="317"/>
    </row>
    <row r="13551">
      <c r="K13551" s="317"/>
    </row>
    <row r="13552">
      <c r="K13552" s="317"/>
    </row>
    <row r="13553">
      <c r="K13553" s="317"/>
    </row>
    <row r="13554">
      <c r="K13554" s="317"/>
    </row>
    <row r="13555">
      <c r="K13555" s="317"/>
    </row>
    <row r="13556">
      <c r="K13556" s="317"/>
    </row>
    <row r="13557">
      <c r="K13557" s="317"/>
    </row>
    <row r="13558">
      <c r="K13558" s="317"/>
    </row>
    <row r="13559">
      <c r="K13559" s="317"/>
    </row>
    <row r="13560">
      <c r="K13560" s="317"/>
    </row>
    <row r="13561">
      <c r="K13561" s="317"/>
    </row>
    <row r="13562">
      <c r="K13562" s="317"/>
    </row>
    <row r="13563">
      <c r="K13563" s="317"/>
    </row>
    <row r="13564">
      <c r="K13564" s="317"/>
    </row>
    <row r="13565">
      <c r="K13565" s="317"/>
    </row>
    <row r="13566">
      <c r="K13566" s="317"/>
    </row>
    <row r="13567">
      <c r="K13567" s="317"/>
    </row>
    <row r="13568">
      <c r="K13568" s="317"/>
    </row>
    <row r="13569">
      <c r="K13569" s="317"/>
    </row>
    <row r="13570">
      <c r="K13570" s="317"/>
    </row>
    <row r="13571">
      <c r="K13571" s="317"/>
    </row>
    <row r="13572">
      <c r="K13572" s="317"/>
    </row>
    <row r="13573">
      <c r="K13573" s="317"/>
    </row>
    <row r="13574">
      <c r="K13574" s="317"/>
    </row>
    <row r="13575">
      <c r="K13575" s="317"/>
    </row>
    <row r="13576">
      <c r="K13576" s="317"/>
    </row>
    <row r="13577">
      <c r="K13577" s="317"/>
    </row>
    <row r="13578">
      <c r="K13578" s="317"/>
    </row>
    <row r="13579">
      <c r="K13579" s="317"/>
    </row>
    <row r="13580">
      <c r="K13580" s="317"/>
    </row>
    <row r="13581">
      <c r="K13581" s="317"/>
    </row>
    <row r="13582">
      <c r="K13582" s="317"/>
    </row>
    <row r="13583">
      <c r="K13583" s="317"/>
    </row>
    <row r="13584">
      <c r="K13584" s="317"/>
    </row>
    <row r="13585">
      <c r="K13585" s="317"/>
    </row>
    <row r="13586">
      <c r="K13586" s="317"/>
    </row>
    <row r="13587">
      <c r="K13587" s="317"/>
    </row>
    <row r="13588">
      <c r="K13588" s="317"/>
    </row>
    <row r="13589">
      <c r="K13589" s="317"/>
    </row>
    <row r="13590">
      <c r="K13590" s="317"/>
    </row>
    <row r="13591">
      <c r="K13591" s="317"/>
    </row>
    <row r="13592">
      <c r="K13592" s="317"/>
    </row>
    <row r="13593">
      <c r="K13593" s="317"/>
    </row>
    <row r="13594">
      <c r="K13594" s="317"/>
    </row>
    <row r="13595">
      <c r="K13595" s="317"/>
    </row>
    <row r="13596">
      <c r="K13596" s="317"/>
    </row>
    <row r="13597">
      <c r="K13597" s="317"/>
    </row>
    <row r="13598">
      <c r="K13598" s="317"/>
    </row>
    <row r="13599">
      <c r="K13599" s="317"/>
    </row>
    <row r="13600">
      <c r="K13600" s="317"/>
    </row>
    <row r="13601">
      <c r="K13601" s="317"/>
    </row>
    <row r="13602">
      <c r="K13602" s="317"/>
    </row>
    <row r="13603">
      <c r="K13603" s="317"/>
    </row>
    <row r="13604">
      <c r="K13604" s="317"/>
    </row>
    <row r="13605">
      <c r="K13605" s="317"/>
    </row>
    <row r="13606">
      <c r="K13606" s="317"/>
    </row>
    <row r="13607">
      <c r="K13607" s="317"/>
    </row>
    <row r="13608">
      <c r="K13608" s="317"/>
    </row>
    <row r="13609">
      <c r="K13609" s="317"/>
    </row>
    <row r="13610">
      <c r="K13610" s="317"/>
    </row>
    <row r="13611">
      <c r="K13611" s="317"/>
    </row>
    <row r="13612">
      <c r="K13612" s="317"/>
    </row>
    <row r="13613">
      <c r="K13613" s="317"/>
    </row>
    <row r="13614">
      <c r="K13614" s="317"/>
    </row>
    <row r="13615">
      <c r="K13615" s="317"/>
    </row>
    <row r="13616">
      <c r="K13616" s="317"/>
    </row>
    <row r="13617">
      <c r="K13617" s="317"/>
    </row>
    <row r="13618">
      <c r="K13618" s="317"/>
    </row>
    <row r="13619">
      <c r="K13619" s="317"/>
    </row>
    <row r="13620">
      <c r="K13620" s="317"/>
    </row>
    <row r="13621">
      <c r="K13621" s="317"/>
    </row>
    <row r="13622">
      <c r="K13622" s="317"/>
    </row>
    <row r="13623">
      <c r="K13623" s="317"/>
    </row>
    <row r="13624">
      <c r="K13624" s="317"/>
    </row>
    <row r="13625">
      <c r="K13625" s="317"/>
    </row>
    <row r="13626">
      <c r="K13626" s="317"/>
    </row>
    <row r="13627">
      <c r="K13627" s="317"/>
    </row>
    <row r="13628">
      <c r="K13628" s="317"/>
    </row>
    <row r="13629">
      <c r="K13629" s="317"/>
    </row>
    <row r="13630">
      <c r="K13630" s="317"/>
    </row>
    <row r="13631">
      <c r="K13631" s="317"/>
    </row>
    <row r="13632">
      <c r="K13632" s="317"/>
    </row>
    <row r="13633">
      <c r="K13633" s="317"/>
    </row>
    <row r="13634">
      <c r="K13634" s="317"/>
    </row>
    <row r="13635">
      <c r="K13635" s="317"/>
    </row>
    <row r="13636">
      <c r="K13636" s="317"/>
    </row>
    <row r="13637">
      <c r="K13637" s="317"/>
    </row>
    <row r="13638">
      <c r="K13638" s="317"/>
    </row>
    <row r="13639">
      <c r="K13639" s="317"/>
    </row>
    <row r="13640">
      <c r="K13640" s="317"/>
    </row>
    <row r="13641">
      <c r="K13641" s="317"/>
    </row>
    <row r="13642">
      <c r="K13642" s="317"/>
    </row>
    <row r="13643">
      <c r="K13643" s="317"/>
    </row>
    <row r="13644">
      <c r="K13644" s="317"/>
    </row>
    <row r="13645">
      <c r="K13645" s="317"/>
    </row>
    <row r="13646">
      <c r="K13646" s="317"/>
    </row>
    <row r="13647">
      <c r="K13647" s="317"/>
    </row>
    <row r="13648">
      <c r="K13648" s="317"/>
    </row>
    <row r="13649">
      <c r="K13649" s="317"/>
    </row>
    <row r="13650">
      <c r="K13650" s="317"/>
    </row>
    <row r="13651">
      <c r="K13651" s="317"/>
    </row>
    <row r="13652">
      <c r="K13652" s="317"/>
    </row>
    <row r="13653">
      <c r="K13653" s="317"/>
    </row>
    <row r="13654">
      <c r="K13654" s="317"/>
    </row>
    <row r="13655">
      <c r="K13655" s="317"/>
    </row>
    <row r="13656">
      <c r="K13656" s="317"/>
    </row>
    <row r="13657">
      <c r="K13657" s="317"/>
    </row>
    <row r="13658">
      <c r="K13658" s="317"/>
    </row>
    <row r="13659">
      <c r="K13659" s="317"/>
    </row>
    <row r="13660">
      <c r="K13660" s="317"/>
    </row>
    <row r="13661">
      <c r="K13661" s="317"/>
    </row>
    <row r="13662">
      <c r="K13662" s="317"/>
    </row>
    <row r="13663">
      <c r="K13663" s="317"/>
    </row>
    <row r="13664">
      <c r="K13664" s="317"/>
    </row>
    <row r="13665">
      <c r="K13665" s="317"/>
    </row>
    <row r="13666">
      <c r="K13666" s="317"/>
    </row>
    <row r="13667">
      <c r="K13667" s="317"/>
    </row>
    <row r="13668">
      <c r="K13668" s="317"/>
    </row>
    <row r="13669">
      <c r="K13669" s="317"/>
    </row>
    <row r="13670">
      <c r="K13670" s="317"/>
    </row>
    <row r="13671">
      <c r="K13671" s="317"/>
    </row>
    <row r="13672">
      <c r="K13672" s="317"/>
    </row>
    <row r="13673">
      <c r="K13673" s="317"/>
    </row>
    <row r="13674">
      <c r="K13674" s="317"/>
    </row>
    <row r="13675">
      <c r="K13675" s="317"/>
    </row>
    <row r="13676">
      <c r="K13676" s="317"/>
    </row>
    <row r="13677">
      <c r="K13677" s="317"/>
    </row>
    <row r="13678">
      <c r="K13678" s="317"/>
    </row>
    <row r="13679">
      <c r="K13679" s="317"/>
    </row>
    <row r="13680">
      <c r="K13680" s="317"/>
    </row>
    <row r="13681">
      <c r="K13681" s="317"/>
    </row>
    <row r="13682">
      <c r="K13682" s="317"/>
    </row>
    <row r="13683">
      <c r="K13683" s="317"/>
    </row>
    <row r="13684">
      <c r="K13684" s="317"/>
    </row>
    <row r="13685">
      <c r="K13685" s="317"/>
    </row>
    <row r="13686">
      <c r="K13686" s="317"/>
    </row>
    <row r="13687">
      <c r="K13687" s="317"/>
    </row>
    <row r="13688">
      <c r="K13688" s="317"/>
    </row>
    <row r="13689">
      <c r="K13689" s="317"/>
    </row>
    <row r="13690">
      <c r="K13690" s="317"/>
    </row>
    <row r="13691">
      <c r="K13691" s="317"/>
    </row>
    <row r="13692">
      <c r="K13692" s="317"/>
    </row>
    <row r="13693">
      <c r="K13693" s="317"/>
    </row>
    <row r="13694">
      <c r="K13694" s="317"/>
    </row>
    <row r="13695">
      <c r="K13695" s="317"/>
    </row>
    <row r="13696">
      <c r="K13696" s="317"/>
    </row>
    <row r="13697">
      <c r="K13697" s="317"/>
    </row>
    <row r="13698">
      <c r="K13698" s="317"/>
    </row>
    <row r="13699">
      <c r="K13699" s="317"/>
    </row>
    <row r="13700">
      <c r="K13700" s="317"/>
    </row>
    <row r="13701">
      <c r="K13701" s="317"/>
    </row>
    <row r="13702">
      <c r="K13702" s="317"/>
    </row>
    <row r="13703">
      <c r="K13703" s="317"/>
    </row>
    <row r="13704">
      <c r="K13704" s="317"/>
    </row>
    <row r="13705">
      <c r="K13705" s="317"/>
    </row>
    <row r="13706">
      <c r="K13706" s="317"/>
    </row>
    <row r="13707">
      <c r="K13707" s="317"/>
    </row>
    <row r="13708">
      <c r="K13708" s="317"/>
    </row>
    <row r="13709">
      <c r="K13709" s="317"/>
    </row>
    <row r="13710">
      <c r="K13710" s="317"/>
    </row>
    <row r="13711">
      <c r="K13711" s="317"/>
    </row>
    <row r="13712">
      <c r="K13712" s="317"/>
    </row>
    <row r="13713">
      <c r="K13713" s="317"/>
    </row>
    <row r="13714">
      <c r="K13714" s="317"/>
    </row>
    <row r="13715">
      <c r="K13715" s="317"/>
    </row>
    <row r="13716">
      <c r="K13716" s="317"/>
    </row>
    <row r="13717">
      <c r="K13717" s="317"/>
    </row>
    <row r="13718">
      <c r="K13718" s="317"/>
    </row>
    <row r="13719">
      <c r="K13719" s="317"/>
    </row>
    <row r="13720">
      <c r="K13720" s="317"/>
    </row>
    <row r="13721">
      <c r="K13721" s="317"/>
    </row>
    <row r="13722">
      <c r="K13722" s="317"/>
    </row>
    <row r="13723">
      <c r="K13723" s="317"/>
    </row>
    <row r="13724">
      <c r="K13724" s="317"/>
    </row>
    <row r="13725">
      <c r="K13725" s="317"/>
    </row>
    <row r="13726">
      <c r="K13726" s="317"/>
    </row>
    <row r="13727">
      <c r="K13727" s="317"/>
    </row>
    <row r="13728">
      <c r="K13728" s="317"/>
    </row>
    <row r="13729">
      <c r="K13729" s="317"/>
    </row>
    <row r="13730">
      <c r="K13730" s="317"/>
    </row>
    <row r="13731">
      <c r="K13731" s="317"/>
    </row>
    <row r="13732">
      <c r="K13732" s="317"/>
    </row>
    <row r="13733">
      <c r="K13733" s="317"/>
    </row>
    <row r="13734">
      <c r="K13734" s="317"/>
    </row>
    <row r="13735">
      <c r="K13735" s="317"/>
    </row>
    <row r="13736">
      <c r="K13736" s="317"/>
    </row>
    <row r="13737">
      <c r="K13737" s="317"/>
    </row>
    <row r="13738">
      <c r="K13738" s="317"/>
    </row>
    <row r="13739">
      <c r="K13739" s="317"/>
    </row>
    <row r="13740">
      <c r="K13740" s="317"/>
    </row>
    <row r="13741">
      <c r="K13741" s="317"/>
    </row>
    <row r="13742">
      <c r="K13742" s="317"/>
    </row>
    <row r="13743">
      <c r="K13743" s="317"/>
    </row>
    <row r="13744">
      <c r="K13744" s="317"/>
    </row>
    <row r="13745">
      <c r="K13745" s="317"/>
    </row>
    <row r="13746">
      <c r="K13746" s="317"/>
    </row>
    <row r="13747">
      <c r="K13747" s="317"/>
    </row>
    <row r="13748">
      <c r="K13748" s="317"/>
    </row>
    <row r="13749">
      <c r="K13749" s="317"/>
    </row>
    <row r="13750">
      <c r="K13750" s="317"/>
    </row>
    <row r="13751">
      <c r="K13751" s="317"/>
    </row>
    <row r="13752">
      <c r="K13752" s="317"/>
    </row>
    <row r="13753">
      <c r="K13753" s="317"/>
    </row>
    <row r="13754">
      <c r="K13754" s="317"/>
    </row>
    <row r="13755">
      <c r="K13755" s="317"/>
    </row>
    <row r="13756">
      <c r="K13756" s="317"/>
    </row>
    <row r="13757">
      <c r="K13757" s="317"/>
    </row>
    <row r="13758">
      <c r="K13758" s="317"/>
    </row>
    <row r="13759">
      <c r="K13759" s="317"/>
    </row>
    <row r="13760">
      <c r="K13760" s="317"/>
    </row>
    <row r="13761">
      <c r="K13761" s="317"/>
    </row>
    <row r="13762">
      <c r="K13762" s="317"/>
    </row>
    <row r="13763">
      <c r="K13763" s="317"/>
    </row>
    <row r="13764">
      <c r="K13764" s="317"/>
    </row>
    <row r="13765">
      <c r="K13765" s="317"/>
    </row>
    <row r="13766">
      <c r="K13766" s="317"/>
    </row>
    <row r="13767">
      <c r="K13767" s="317"/>
    </row>
    <row r="13768">
      <c r="K13768" s="317"/>
    </row>
    <row r="13769">
      <c r="K13769" s="317"/>
    </row>
    <row r="13770">
      <c r="K13770" s="317"/>
    </row>
    <row r="13771">
      <c r="K13771" s="317"/>
    </row>
    <row r="13772">
      <c r="K13772" s="317"/>
    </row>
    <row r="13773">
      <c r="K13773" s="317"/>
    </row>
    <row r="13774">
      <c r="K13774" s="317"/>
    </row>
    <row r="13775">
      <c r="K13775" s="317"/>
    </row>
    <row r="13776">
      <c r="K13776" s="317"/>
    </row>
    <row r="13777">
      <c r="K13777" s="317"/>
    </row>
    <row r="13778">
      <c r="K13778" s="317"/>
    </row>
    <row r="13779">
      <c r="K13779" s="317"/>
    </row>
    <row r="13780">
      <c r="K13780" s="317"/>
    </row>
    <row r="13781">
      <c r="K13781" s="317"/>
    </row>
    <row r="13782">
      <c r="K13782" s="317"/>
    </row>
    <row r="13783">
      <c r="K13783" s="317"/>
    </row>
    <row r="13784">
      <c r="K13784" s="317"/>
    </row>
    <row r="13785">
      <c r="K13785" s="317"/>
    </row>
    <row r="13786">
      <c r="K13786" s="317"/>
    </row>
    <row r="13787">
      <c r="K13787" s="317"/>
    </row>
    <row r="13788">
      <c r="K13788" s="317"/>
    </row>
    <row r="13789">
      <c r="K13789" s="317"/>
    </row>
    <row r="13790">
      <c r="K13790" s="317"/>
    </row>
    <row r="13791">
      <c r="K13791" s="317"/>
    </row>
    <row r="13792">
      <c r="K13792" s="317"/>
    </row>
    <row r="13793">
      <c r="K13793" s="317"/>
    </row>
    <row r="13794">
      <c r="K13794" s="317"/>
    </row>
    <row r="13795">
      <c r="K13795" s="317"/>
    </row>
    <row r="13796">
      <c r="K13796" s="317"/>
    </row>
    <row r="13797">
      <c r="K13797" s="317"/>
    </row>
    <row r="13798">
      <c r="K13798" s="317"/>
    </row>
    <row r="13799">
      <c r="K13799" s="317"/>
    </row>
    <row r="13800">
      <c r="K13800" s="317"/>
    </row>
    <row r="13801">
      <c r="K13801" s="317"/>
    </row>
    <row r="13802">
      <c r="K13802" s="317"/>
    </row>
    <row r="13803">
      <c r="K13803" s="317"/>
    </row>
    <row r="13804">
      <c r="K13804" s="317"/>
    </row>
    <row r="13805">
      <c r="K13805" s="317"/>
    </row>
    <row r="13806">
      <c r="K13806" s="317"/>
    </row>
    <row r="13807">
      <c r="K13807" s="317"/>
    </row>
    <row r="13808">
      <c r="K13808" s="317"/>
    </row>
    <row r="13809">
      <c r="K13809" s="317"/>
    </row>
    <row r="13810">
      <c r="K13810" s="317"/>
    </row>
    <row r="13811">
      <c r="K13811" s="317"/>
    </row>
    <row r="13812">
      <c r="K13812" s="317"/>
    </row>
    <row r="13813">
      <c r="K13813" s="317"/>
    </row>
    <row r="13814">
      <c r="K13814" s="317"/>
    </row>
    <row r="13815">
      <c r="K13815" s="317"/>
    </row>
    <row r="13816">
      <c r="K13816" s="317"/>
    </row>
    <row r="13817">
      <c r="K13817" s="317"/>
    </row>
    <row r="13818">
      <c r="K13818" s="317"/>
    </row>
    <row r="13819">
      <c r="K13819" s="317"/>
    </row>
    <row r="13820">
      <c r="K13820" s="317"/>
    </row>
    <row r="13821">
      <c r="K13821" s="317"/>
    </row>
    <row r="13822">
      <c r="K13822" s="317"/>
    </row>
    <row r="13823">
      <c r="K13823" s="317"/>
    </row>
    <row r="13824">
      <c r="K13824" s="317"/>
    </row>
    <row r="13825">
      <c r="K13825" s="317"/>
    </row>
    <row r="13826">
      <c r="K13826" s="317"/>
    </row>
    <row r="13827">
      <c r="K13827" s="317"/>
    </row>
    <row r="13828">
      <c r="K13828" s="317"/>
    </row>
    <row r="13829">
      <c r="K13829" s="317"/>
    </row>
    <row r="13830">
      <c r="K13830" s="317"/>
    </row>
    <row r="13831">
      <c r="K13831" s="317"/>
    </row>
    <row r="13832">
      <c r="K13832" s="317"/>
    </row>
    <row r="13833">
      <c r="K13833" s="317"/>
    </row>
    <row r="13834">
      <c r="K13834" s="317"/>
    </row>
    <row r="13835">
      <c r="K13835" s="317"/>
    </row>
    <row r="13836">
      <c r="K13836" s="317"/>
    </row>
    <row r="13837">
      <c r="K13837" s="317"/>
    </row>
    <row r="13838">
      <c r="K13838" s="317"/>
    </row>
    <row r="13839">
      <c r="K13839" s="317"/>
    </row>
    <row r="13840">
      <c r="K13840" s="317"/>
    </row>
    <row r="13841">
      <c r="K13841" s="317"/>
    </row>
    <row r="13842">
      <c r="K13842" s="317"/>
    </row>
    <row r="13843">
      <c r="K13843" s="317"/>
    </row>
    <row r="13844">
      <c r="K13844" s="317"/>
    </row>
    <row r="13845">
      <c r="K13845" s="317"/>
    </row>
    <row r="13846">
      <c r="K13846" s="317"/>
    </row>
    <row r="13847">
      <c r="K13847" s="317"/>
    </row>
    <row r="13848">
      <c r="K13848" s="317"/>
    </row>
    <row r="13849">
      <c r="K13849" s="317"/>
    </row>
    <row r="13850">
      <c r="K13850" s="317"/>
    </row>
    <row r="13851">
      <c r="K13851" s="317"/>
    </row>
    <row r="13852">
      <c r="K13852" s="317"/>
    </row>
    <row r="13853">
      <c r="K13853" s="317"/>
    </row>
    <row r="13854">
      <c r="K13854" s="317"/>
    </row>
    <row r="13855">
      <c r="K13855" s="317"/>
    </row>
    <row r="13856">
      <c r="K13856" s="317"/>
    </row>
    <row r="13857">
      <c r="K13857" s="317"/>
    </row>
    <row r="13858">
      <c r="K13858" s="317"/>
    </row>
    <row r="13859">
      <c r="K13859" s="317"/>
    </row>
    <row r="13860">
      <c r="K13860" s="317"/>
    </row>
    <row r="13861">
      <c r="K13861" s="317"/>
    </row>
    <row r="13862">
      <c r="K13862" s="317"/>
    </row>
    <row r="13863">
      <c r="K13863" s="317"/>
    </row>
    <row r="13864">
      <c r="K13864" s="317"/>
    </row>
    <row r="13865">
      <c r="K13865" s="317"/>
    </row>
    <row r="13866">
      <c r="K13866" s="317"/>
    </row>
    <row r="13867">
      <c r="K13867" s="317"/>
    </row>
    <row r="13868">
      <c r="K13868" s="317"/>
    </row>
    <row r="13869">
      <c r="K13869" s="317"/>
    </row>
    <row r="13870">
      <c r="K13870" s="317"/>
    </row>
    <row r="13871">
      <c r="K13871" s="317"/>
    </row>
    <row r="13872">
      <c r="K13872" s="317"/>
    </row>
    <row r="13873">
      <c r="K13873" s="317"/>
    </row>
    <row r="13874">
      <c r="K13874" s="317"/>
    </row>
    <row r="13875">
      <c r="K13875" s="317"/>
    </row>
    <row r="13876">
      <c r="K13876" s="317"/>
    </row>
    <row r="13877">
      <c r="K13877" s="317"/>
    </row>
    <row r="13878">
      <c r="K13878" s="317"/>
    </row>
    <row r="13879">
      <c r="K13879" s="317"/>
    </row>
    <row r="13880">
      <c r="K13880" s="317"/>
    </row>
    <row r="13881">
      <c r="K13881" s="317"/>
    </row>
    <row r="13882">
      <c r="K13882" s="317"/>
    </row>
    <row r="13883">
      <c r="K13883" s="317"/>
    </row>
    <row r="13884">
      <c r="K13884" s="317"/>
    </row>
    <row r="13885">
      <c r="K13885" s="317"/>
    </row>
    <row r="13886">
      <c r="K13886" s="317"/>
    </row>
    <row r="13887">
      <c r="K13887" s="317"/>
    </row>
    <row r="13888">
      <c r="K13888" s="317"/>
    </row>
    <row r="13889">
      <c r="K13889" s="317"/>
    </row>
    <row r="13890">
      <c r="K13890" s="317"/>
    </row>
    <row r="13891">
      <c r="K13891" s="317"/>
    </row>
    <row r="13892">
      <c r="K13892" s="317"/>
    </row>
    <row r="13893">
      <c r="K13893" s="317"/>
    </row>
    <row r="13894">
      <c r="K13894" s="317"/>
    </row>
    <row r="13895">
      <c r="K13895" s="317"/>
    </row>
    <row r="13896">
      <c r="K13896" s="317"/>
    </row>
    <row r="13897">
      <c r="K13897" s="317"/>
    </row>
    <row r="13898">
      <c r="K13898" s="317"/>
    </row>
    <row r="13899">
      <c r="K13899" s="317"/>
    </row>
    <row r="13900">
      <c r="K13900" s="317"/>
    </row>
    <row r="13901">
      <c r="K13901" s="317"/>
    </row>
    <row r="13902">
      <c r="K13902" s="317"/>
    </row>
    <row r="13903">
      <c r="K13903" s="317"/>
    </row>
    <row r="13904">
      <c r="K13904" s="317"/>
    </row>
    <row r="13905">
      <c r="K13905" s="317"/>
    </row>
    <row r="13906">
      <c r="K13906" s="317"/>
    </row>
    <row r="13907">
      <c r="K13907" s="317"/>
    </row>
    <row r="13908">
      <c r="K13908" s="317"/>
    </row>
    <row r="13909">
      <c r="K13909" s="317"/>
    </row>
    <row r="13910">
      <c r="K13910" s="317"/>
    </row>
    <row r="13911">
      <c r="K13911" s="317"/>
    </row>
    <row r="13912">
      <c r="K13912" s="317"/>
    </row>
    <row r="13913">
      <c r="K13913" s="317"/>
    </row>
    <row r="13914">
      <c r="K13914" s="317"/>
    </row>
    <row r="13915">
      <c r="K13915" s="317"/>
    </row>
    <row r="13916">
      <c r="K13916" s="317"/>
    </row>
    <row r="13917">
      <c r="K13917" s="317"/>
    </row>
    <row r="13918">
      <c r="K13918" s="317"/>
    </row>
    <row r="13919">
      <c r="K13919" s="317"/>
    </row>
    <row r="13920">
      <c r="K13920" s="317"/>
    </row>
    <row r="13921">
      <c r="K13921" s="317"/>
    </row>
    <row r="13922">
      <c r="K13922" s="317"/>
    </row>
    <row r="13923">
      <c r="K13923" s="317"/>
    </row>
    <row r="13924">
      <c r="K13924" s="317"/>
    </row>
    <row r="13925">
      <c r="K13925" s="317"/>
    </row>
    <row r="13926">
      <c r="K13926" s="317"/>
    </row>
    <row r="13927">
      <c r="K13927" s="317"/>
    </row>
    <row r="13928">
      <c r="K13928" s="317"/>
    </row>
    <row r="13929">
      <c r="K13929" s="317"/>
    </row>
    <row r="13930">
      <c r="K13930" s="317"/>
    </row>
    <row r="13931">
      <c r="K13931" s="317"/>
    </row>
    <row r="13932">
      <c r="K13932" s="317"/>
    </row>
    <row r="13933">
      <c r="K13933" s="317"/>
    </row>
    <row r="13934">
      <c r="K13934" s="317"/>
    </row>
    <row r="13935">
      <c r="K13935" s="317"/>
    </row>
    <row r="13936">
      <c r="K13936" s="317"/>
    </row>
    <row r="13937">
      <c r="K13937" s="317"/>
    </row>
    <row r="13938">
      <c r="K13938" s="317"/>
    </row>
    <row r="13939">
      <c r="K13939" s="317"/>
    </row>
    <row r="13940">
      <c r="K13940" s="317"/>
    </row>
    <row r="13941">
      <c r="K13941" s="317"/>
    </row>
    <row r="13942">
      <c r="K13942" s="317"/>
    </row>
    <row r="13943">
      <c r="K13943" s="317"/>
    </row>
    <row r="13944">
      <c r="K13944" s="317"/>
    </row>
    <row r="13945">
      <c r="K13945" s="317"/>
    </row>
    <row r="13946">
      <c r="K13946" s="317"/>
    </row>
    <row r="13947">
      <c r="K13947" s="317"/>
    </row>
    <row r="13948">
      <c r="K13948" s="317"/>
    </row>
    <row r="13949">
      <c r="K13949" s="317"/>
    </row>
    <row r="13950">
      <c r="K13950" s="317"/>
    </row>
    <row r="13951">
      <c r="K13951" s="317"/>
    </row>
    <row r="13952">
      <c r="K13952" s="317"/>
    </row>
    <row r="13953">
      <c r="K13953" s="317"/>
    </row>
    <row r="13954">
      <c r="K13954" s="317"/>
    </row>
    <row r="13955">
      <c r="K13955" s="317"/>
    </row>
    <row r="13956">
      <c r="K13956" s="317"/>
    </row>
    <row r="13957">
      <c r="K13957" s="317"/>
    </row>
    <row r="13958">
      <c r="K13958" s="317"/>
    </row>
    <row r="13959">
      <c r="K13959" s="317"/>
    </row>
    <row r="13960">
      <c r="K13960" s="317"/>
    </row>
    <row r="13961">
      <c r="K13961" s="317"/>
    </row>
    <row r="13962">
      <c r="K13962" s="317"/>
    </row>
    <row r="13963">
      <c r="K13963" s="317"/>
    </row>
    <row r="13964">
      <c r="K13964" s="317"/>
    </row>
    <row r="13965">
      <c r="K13965" s="317"/>
    </row>
    <row r="13966">
      <c r="K13966" s="317"/>
    </row>
    <row r="13967">
      <c r="K13967" s="317"/>
    </row>
    <row r="13968">
      <c r="K13968" s="317"/>
    </row>
    <row r="13969">
      <c r="K13969" s="317"/>
    </row>
    <row r="13970">
      <c r="K13970" s="317"/>
    </row>
    <row r="13971">
      <c r="K13971" s="317"/>
    </row>
    <row r="13972">
      <c r="K13972" s="317"/>
    </row>
    <row r="13973">
      <c r="K13973" s="317"/>
    </row>
    <row r="13974">
      <c r="K13974" s="317"/>
    </row>
    <row r="13975">
      <c r="K13975" s="317"/>
    </row>
    <row r="13976">
      <c r="K13976" s="317"/>
    </row>
    <row r="13977">
      <c r="K13977" s="317"/>
    </row>
    <row r="13978">
      <c r="K13978" s="317"/>
    </row>
    <row r="13979">
      <c r="K13979" s="317"/>
    </row>
    <row r="13980">
      <c r="K13980" s="317"/>
    </row>
    <row r="13981">
      <c r="K13981" s="317"/>
    </row>
    <row r="13982">
      <c r="K13982" s="317"/>
    </row>
    <row r="13983">
      <c r="K13983" s="317"/>
    </row>
    <row r="13984">
      <c r="K13984" s="317"/>
    </row>
    <row r="13985">
      <c r="K13985" s="317"/>
    </row>
    <row r="13986">
      <c r="K13986" s="317"/>
    </row>
    <row r="13987">
      <c r="K13987" s="317"/>
    </row>
    <row r="13988">
      <c r="K13988" s="317"/>
    </row>
    <row r="13989">
      <c r="K13989" s="317"/>
    </row>
    <row r="13990">
      <c r="K13990" s="317"/>
    </row>
    <row r="13991">
      <c r="K13991" s="317"/>
    </row>
    <row r="13992">
      <c r="K13992" s="317"/>
    </row>
    <row r="13993">
      <c r="K13993" s="317"/>
    </row>
    <row r="13994">
      <c r="K13994" s="317"/>
    </row>
    <row r="13995">
      <c r="K13995" s="317"/>
    </row>
    <row r="13996">
      <c r="K13996" s="317"/>
    </row>
    <row r="13997">
      <c r="K13997" s="317"/>
    </row>
    <row r="13998">
      <c r="K13998" s="317"/>
    </row>
    <row r="13999">
      <c r="K13999" s="317"/>
    </row>
    <row r="14000">
      <c r="K14000" s="317"/>
    </row>
    <row r="14001">
      <c r="K14001" s="317"/>
    </row>
    <row r="14002">
      <c r="K14002" s="317"/>
    </row>
    <row r="14003">
      <c r="K14003" s="317"/>
    </row>
    <row r="14004">
      <c r="K14004" s="317"/>
    </row>
    <row r="14005">
      <c r="K14005" s="317"/>
    </row>
    <row r="14006">
      <c r="K14006" s="317"/>
    </row>
    <row r="14007">
      <c r="K14007" s="317"/>
    </row>
    <row r="14008">
      <c r="K14008" s="317"/>
    </row>
    <row r="14009">
      <c r="K14009" s="317"/>
    </row>
    <row r="14010">
      <c r="K14010" s="317"/>
    </row>
    <row r="14011">
      <c r="K14011" s="317"/>
    </row>
    <row r="14012">
      <c r="K14012" s="317"/>
    </row>
    <row r="14013">
      <c r="K14013" s="317"/>
    </row>
    <row r="14014">
      <c r="K14014" s="317"/>
    </row>
    <row r="14015">
      <c r="K14015" s="317"/>
    </row>
    <row r="14016">
      <c r="K14016" s="317"/>
    </row>
    <row r="14017">
      <c r="K14017" s="317"/>
    </row>
    <row r="14018">
      <c r="K14018" s="317"/>
    </row>
    <row r="14019">
      <c r="K14019" s="317"/>
    </row>
    <row r="14020">
      <c r="K14020" s="317"/>
    </row>
    <row r="14021">
      <c r="K14021" s="317"/>
    </row>
    <row r="14022">
      <c r="K14022" s="317"/>
    </row>
    <row r="14023">
      <c r="K14023" s="317"/>
    </row>
    <row r="14024">
      <c r="K14024" s="317"/>
    </row>
    <row r="14025">
      <c r="K14025" s="317"/>
    </row>
    <row r="14026">
      <c r="K14026" s="317"/>
    </row>
    <row r="14027">
      <c r="K14027" s="317"/>
    </row>
    <row r="14028">
      <c r="K14028" s="317"/>
    </row>
    <row r="14029">
      <c r="K14029" s="317"/>
    </row>
    <row r="14030">
      <c r="K14030" s="317"/>
    </row>
    <row r="14031">
      <c r="K14031" s="317"/>
    </row>
    <row r="14032">
      <c r="K14032" s="317"/>
    </row>
    <row r="14033">
      <c r="K14033" s="317"/>
    </row>
    <row r="14034">
      <c r="K14034" s="317"/>
    </row>
    <row r="14035">
      <c r="K14035" s="317"/>
    </row>
    <row r="14036">
      <c r="K14036" s="317"/>
    </row>
    <row r="14037">
      <c r="K14037" s="317"/>
    </row>
    <row r="14038">
      <c r="K14038" s="317"/>
    </row>
    <row r="14039">
      <c r="K14039" s="317"/>
    </row>
    <row r="14040">
      <c r="K14040" s="317"/>
    </row>
    <row r="14041">
      <c r="K14041" s="317"/>
    </row>
    <row r="14042">
      <c r="K14042" s="317"/>
    </row>
    <row r="14043">
      <c r="K14043" s="317"/>
    </row>
    <row r="14044">
      <c r="K14044" s="317"/>
    </row>
    <row r="14045">
      <c r="K14045" s="317"/>
    </row>
    <row r="14046">
      <c r="K14046" s="317"/>
    </row>
    <row r="14047">
      <c r="K14047" s="317"/>
    </row>
    <row r="14048">
      <c r="K14048" s="317"/>
    </row>
    <row r="14049">
      <c r="K14049" s="317"/>
    </row>
    <row r="14050">
      <c r="K14050" s="317"/>
    </row>
    <row r="14051">
      <c r="K14051" s="317"/>
    </row>
    <row r="14052">
      <c r="K14052" s="317"/>
    </row>
    <row r="14053">
      <c r="K14053" s="317"/>
    </row>
    <row r="14054">
      <c r="K14054" s="317"/>
    </row>
    <row r="14055">
      <c r="K14055" s="317"/>
    </row>
    <row r="14056">
      <c r="K14056" s="317"/>
    </row>
    <row r="14057">
      <c r="K14057" s="317"/>
    </row>
    <row r="14058">
      <c r="K14058" s="317"/>
    </row>
    <row r="14059">
      <c r="K14059" s="317"/>
    </row>
    <row r="14060">
      <c r="K14060" s="317"/>
    </row>
    <row r="14061">
      <c r="K14061" s="317"/>
    </row>
    <row r="14062">
      <c r="K14062" s="317"/>
    </row>
    <row r="14063">
      <c r="K14063" s="317"/>
    </row>
    <row r="14064">
      <c r="K14064" s="317"/>
    </row>
    <row r="14065">
      <c r="K14065" s="317"/>
    </row>
    <row r="14066">
      <c r="K14066" s="317"/>
    </row>
    <row r="14067">
      <c r="K14067" s="317"/>
    </row>
    <row r="14068">
      <c r="K14068" s="317"/>
    </row>
    <row r="14069">
      <c r="K14069" s="317"/>
    </row>
    <row r="14070">
      <c r="K14070" s="317"/>
    </row>
    <row r="14071">
      <c r="K14071" s="317"/>
    </row>
    <row r="14072">
      <c r="K14072" s="317"/>
    </row>
    <row r="14073">
      <c r="K14073" s="317"/>
    </row>
    <row r="14074">
      <c r="K14074" s="317"/>
    </row>
    <row r="14075">
      <c r="K14075" s="317"/>
    </row>
    <row r="14076">
      <c r="K14076" s="317"/>
    </row>
    <row r="14077">
      <c r="K14077" s="317"/>
    </row>
    <row r="14078">
      <c r="K14078" s="317"/>
    </row>
    <row r="14079">
      <c r="K14079" s="317"/>
    </row>
    <row r="14080">
      <c r="K14080" s="317"/>
    </row>
    <row r="14081">
      <c r="K14081" s="317"/>
    </row>
    <row r="14082">
      <c r="K14082" s="317"/>
    </row>
    <row r="14083">
      <c r="K14083" s="317"/>
    </row>
    <row r="14084">
      <c r="K14084" s="317"/>
    </row>
    <row r="14085">
      <c r="K14085" s="317"/>
    </row>
    <row r="14086">
      <c r="K14086" s="317"/>
    </row>
    <row r="14087">
      <c r="K14087" s="317"/>
    </row>
    <row r="14088">
      <c r="K14088" s="317"/>
    </row>
    <row r="14089">
      <c r="K14089" s="317"/>
    </row>
    <row r="14090">
      <c r="K14090" s="317"/>
    </row>
    <row r="14091">
      <c r="K14091" s="317"/>
    </row>
    <row r="14092">
      <c r="K14092" s="317"/>
    </row>
    <row r="14093">
      <c r="K14093" s="317"/>
    </row>
    <row r="14094">
      <c r="K14094" s="317"/>
    </row>
    <row r="14095">
      <c r="K14095" s="317"/>
    </row>
    <row r="14096">
      <c r="K14096" s="317"/>
    </row>
    <row r="14097">
      <c r="K14097" s="317"/>
    </row>
    <row r="14098">
      <c r="K14098" s="317"/>
    </row>
    <row r="14099">
      <c r="K14099" s="317"/>
    </row>
    <row r="14100">
      <c r="K14100" s="317"/>
    </row>
    <row r="14101">
      <c r="K14101" s="317"/>
    </row>
    <row r="14102">
      <c r="K14102" s="317"/>
    </row>
    <row r="14103">
      <c r="K14103" s="317"/>
    </row>
    <row r="14104">
      <c r="K14104" s="317"/>
    </row>
    <row r="14105">
      <c r="K14105" s="317"/>
    </row>
    <row r="14106">
      <c r="K14106" s="317"/>
    </row>
    <row r="14107">
      <c r="K14107" s="317"/>
    </row>
    <row r="14108">
      <c r="K14108" s="317"/>
    </row>
    <row r="14109">
      <c r="K14109" s="317"/>
    </row>
    <row r="14110">
      <c r="K14110" s="317"/>
    </row>
    <row r="14111">
      <c r="K14111" s="317"/>
    </row>
    <row r="14112">
      <c r="K14112" s="317"/>
    </row>
    <row r="14113">
      <c r="K14113" s="317"/>
    </row>
    <row r="14114">
      <c r="K14114" s="317"/>
    </row>
    <row r="14115">
      <c r="K14115" s="317"/>
    </row>
    <row r="14116">
      <c r="K14116" s="317"/>
    </row>
    <row r="14117">
      <c r="K14117" s="317"/>
    </row>
    <row r="14118">
      <c r="K14118" s="317"/>
    </row>
    <row r="14119">
      <c r="K14119" s="317"/>
    </row>
    <row r="14120">
      <c r="K14120" s="317"/>
    </row>
    <row r="14121">
      <c r="K14121" s="317"/>
    </row>
    <row r="14122">
      <c r="K14122" s="317"/>
    </row>
    <row r="14123">
      <c r="K14123" s="317"/>
    </row>
    <row r="14124">
      <c r="K14124" s="317"/>
    </row>
    <row r="14125">
      <c r="K14125" s="317"/>
    </row>
    <row r="14126">
      <c r="K14126" s="317"/>
    </row>
    <row r="14127">
      <c r="K14127" s="317"/>
    </row>
    <row r="14128">
      <c r="K14128" s="317"/>
    </row>
    <row r="14129">
      <c r="K14129" s="317"/>
    </row>
    <row r="14130">
      <c r="K14130" s="317"/>
    </row>
    <row r="14131">
      <c r="K14131" s="317"/>
    </row>
    <row r="14132">
      <c r="K14132" s="317"/>
    </row>
    <row r="14133">
      <c r="K14133" s="317"/>
    </row>
    <row r="14134">
      <c r="K14134" s="317"/>
    </row>
    <row r="14135">
      <c r="K14135" s="317"/>
    </row>
    <row r="14136">
      <c r="K14136" s="317"/>
    </row>
    <row r="14137">
      <c r="K14137" s="317"/>
    </row>
    <row r="14138">
      <c r="K14138" s="317"/>
    </row>
    <row r="14139">
      <c r="K14139" s="317"/>
    </row>
    <row r="14140">
      <c r="K14140" s="317"/>
    </row>
    <row r="14141">
      <c r="K14141" s="317"/>
    </row>
    <row r="14142">
      <c r="K14142" s="317"/>
    </row>
    <row r="14143">
      <c r="K14143" s="317"/>
    </row>
    <row r="14144">
      <c r="K14144" s="317"/>
    </row>
    <row r="14145">
      <c r="K14145" s="317"/>
    </row>
    <row r="14146">
      <c r="K14146" s="317"/>
    </row>
    <row r="14147">
      <c r="K14147" s="317"/>
    </row>
    <row r="14148">
      <c r="K14148" s="317"/>
    </row>
    <row r="14149">
      <c r="K14149" s="317"/>
    </row>
    <row r="14150">
      <c r="K14150" s="317"/>
    </row>
    <row r="14151">
      <c r="K14151" s="317"/>
    </row>
    <row r="14152">
      <c r="K14152" s="317"/>
    </row>
    <row r="14153">
      <c r="K14153" s="317"/>
    </row>
    <row r="14154">
      <c r="K14154" s="317"/>
    </row>
    <row r="14155">
      <c r="K14155" s="317"/>
    </row>
    <row r="14156">
      <c r="K14156" s="317"/>
    </row>
    <row r="14157">
      <c r="K14157" s="317"/>
    </row>
    <row r="14158">
      <c r="K14158" s="317"/>
    </row>
    <row r="14159">
      <c r="K14159" s="317"/>
    </row>
    <row r="14160">
      <c r="K14160" s="317"/>
    </row>
    <row r="14161">
      <c r="K14161" s="317"/>
    </row>
    <row r="14162">
      <c r="K14162" s="317"/>
    </row>
    <row r="14163">
      <c r="K14163" s="317"/>
    </row>
    <row r="14164">
      <c r="K14164" s="317"/>
    </row>
    <row r="14165">
      <c r="K14165" s="317"/>
    </row>
    <row r="14166">
      <c r="K14166" s="317"/>
    </row>
    <row r="14167">
      <c r="K14167" s="317"/>
    </row>
    <row r="14168">
      <c r="K14168" s="317"/>
    </row>
    <row r="14169">
      <c r="K14169" s="317"/>
    </row>
    <row r="14170">
      <c r="K14170" s="317"/>
    </row>
    <row r="14171">
      <c r="K14171" s="317"/>
    </row>
    <row r="14172">
      <c r="K14172" s="317"/>
    </row>
    <row r="14173">
      <c r="K14173" s="317"/>
    </row>
    <row r="14174">
      <c r="K14174" s="317"/>
    </row>
    <row r="14175">
      <c r="K14175" s="317"/>
    </row>
    <row r="14176">
      <c r="K14176" s="317"/>
    </row>
    <row r="14177">
      <c r="K14177" s="317"/>
    </row>
    <row r="14178">
      <c r="K14178" s="317"/>
    </row>
    <row r="14179">
      <c r="K14179" s="317"/>
    </row>
    <row r="14180">
      <c r="K14180" s="317"/>
    </row>
    <row r="14181">
      <c r="K14181" s="317"/>
    </row>
    <row r="14182">
      <c r="K14182" s="317"/>
    </row>
    <row r="14183">
      <c r="K14183" s="317"/>
    </row>
    <row r="14184">
      <c r="K14184" s="317"/>
    </row>
    <row r="14185">
      <c r="K14185" s="317"/>
    </row>
    <row r="14186">
      <c r="K14186" s="317"/>
    </row>
    <row r="14187">
      <c r="K14187" s="317"/>
    </row>
    <row r="14188">
      <c r="K14188" s="317"/>
    </row>
    <row r="14189">
      <c r="K14189" s="317"/>
    </row>
    <row r="14190">
      <c r="K14190" s="317"/>
    </row>
    <row r="14191">
      <c r="K14191" s="317"/>
    </row>
    <row r="14192">
      <c r="K14192" s="317"/>
    </row>
    <row r="14193">
      <c r="K14193" s="317"/>
    </row>
    <row r="14194">
      <c r="K14194" s="317"/>
    </row>
    <row r="14195">
      <c r="K14195" s="317"/>
    </row>
    <row r="14196">
      <c r="K14196" s="317"/>
    </row>
    <row r="14197">
      <c r="K14197" s="317"/>
    </row>
    <row r="14198">
      <c r="K14198" s="317"/>
    </row>
    <row r="14199">
      <c r="K14199" s="317"/>
    </row>
    <row r="14200">
      <c r="K14200" s="317"/>
    </row>
    <row r="14201">
      <c r="K14201" s="317"/>
    </row>
    <row r="14202">
      <c r="K14202" s="317"/>
    </row>
    <row r="14203">
      <c r="K14203" s="317"/>
    </row>
    <row r="14204">
      <c r="K14204" s="317"/>
    </row>
    <row r="14205">
      <c r="K14205" s="317"/>
    </row>
    <row r="14206">
      <c r="K14206" s="317"/>
    </row>
    <row r="14207">
      <c r="K14207" s="317"/>
    </row>
    <row r="14208">
      <c r="K14208" s="317"/>
    </row>
    <row r="14209">
      <c r="K14209" s="317"/>
    </row>
    <row r="14210">
      <c r="K14210" s="317"/>
    </row>
    <row r="14211">
      <c r="K14211" s="317"/>
    </row>
    <row r="14212">
      <c r="K14212" s="317"/>
    </row>
    <row r="14213">
      <c r="K14213" s="317"/>
    </row>
    <row r="14214">
      <c r="K14214" s="317"/>
    </row>
    <row r="14215">
      <c r="K14215" s="317"/>
    </row>
    <row r="14216">
      <c r="K14216" s="317"/>
    </row>
    <row r="14217">
      <c r="K14217" s="317"/>
    </row>
    <row r="14218">
      <c r="K14218" s="317"/>
    </row>
    <row r="14219">
      <c r="K14219" s="317"/>
    </row>
    <row r="14220">
      <c r="K14220" s="317"/>
    </row>
    <row r="14221">
      <c r="K14221" s="317"/>
    </row>
    <row r="14222">
      <c r="K14222" s="317"/>
    </row>
    <row r="14223">
      <c r="K14223" s="317"/>
    </row>
    <row r="14224">
      <c r="K14224" s="317"/>
    </row>
    <row r="14225">
      <c r="K14225" s="317"/>
    </row>
    <row r="14226">
      <c r="K14226" s="317"/>
    </row>
    <row r="14227">
      <c r="K14227" s="317"/>
    </row>
    <row r="14228">
      <c r="K14228" s="317"/>
    </row>
    <row r="14229">
      <c r="K14229" s="317"/>
    </row>
    <row r="14230">
      <c r="K14230" s="317"/>
    </row>
    <row r="14231">
      <c r="K14231" s="317"/>
    </row>
    <row r="14232">
      <c r="K14232" s="317"/>
    </row>
    <row r="14233">
      <c r="K14233" s="317"/>
    </row>
    <row r="14234">
      <c r="K14234" s="317"/>
    </row>
    <row r="14235">
      <c r="K14235" s="317"/>
    </row>
    <row r="14236">
      <c r="K14236" s="317"/>
    </row>
    <row r="14237">
      <c r="K14237" s="317"/>
    </row>
    <row r="14238">
      <c r="K14238" s="317"/>
    </row>
    <row r="14239">
      <c r="K14239" s="317"/>
    </row>
    <row r="14240">
      <c r="K14240" s="317"/>
    </row>
    <row r="14241">
      <c r="K14241" s="317"/>
    </row>
    <row r="14242">
      <c r="K14242" s="317"/>
    </row>
    <row r="14243">
      <c r="K14243" s="317"/>
    </row>
    <row r="14244">
      <c r="K14244" s="317"/>
    </row>
    <row r="14245">
      <c r="K14245" s="317"/>
    </row>
    <row r="14246">
      <c r="K14246" s="317"/>
    </row>
    <row r="14247">
      <c r="K14247" s="317"/>
    </row>
    <row r="14248">
      <c r="K14248" s="317"/>
    </row>
    <row r="14249">
      <c r="K14249" s="317"/>
    </row>
    <row r="14250">
      <c r="K14250" s="317"/>
    </row>
    <row r="14251">
      <c r="K14251" s="317"/>
    </row>
    <row r="14252">
      <c r="K14252" s="317"/>
    </row>
    <row r="14253">
      <c r="K14253" s="317"/>
    </row>
    <row r="14254">
      <c r="K14254" s="317"/>
    </row>
    <row r="14255">
      <c r="K14255" s="317"/>
    </row>
    <row r="14256">
      <c r="K14256" s="317"/>
    </row>
    <row r="14257">
      <c r="K14257" s="317"/>
    </row>
    <row r="14258">
      <c r="K14258" s="317"/>
    </row>
    <row r="14259">
      <c r="K14259" s="317"/>
    </row>
    <row r="14260">
      <c r="K14260" s="317"/>
    </row>
    <row r="14261">
      <c r="K14261" s="317"/>
    </row>
    <row r="14262">
      <c r="K14262" s="317"/>
    </row>
    <row r="14263">
      <c r="K14263" s="317"/>
    </row>
    <row r="14264">
      <c r="K14264" s="317"/>
    </row>
    <row r="14265">
      <c r="K14265" s="317"/>
    </row>
    <row r="14266">
      <c r="K14266" s="317"/>
    </row>
    <row r="14267">
      <c r="K14267" s="317"/>
    </row>
    <row r="14268">
      <c r="K14268" s="317"/>
    </row>
    <row r="14269">
      <c r="K14269" s="317"/>
    </row>
    <row r="14270">
      <c r="K14270" s="317"/>
    </row>
    <row r="14271">
      <c r="K14271" s="317"/>
    </row>
    <row r="14272">
      <c r="K14272" s="317"/>
    </row>
    <row r="14273">
      <c r="K14273" s="317"/>
    </row>
    <row r="14274">
      <c r="K14274" s="317"/>
    </row>
    <row r="14275">
      <c r="K14275" s="317"/>
    </row>
    <row r="14276">
      <c r="K14276" s="317"/>
    </row>
    <row r="14277">
      <c r="K14277" s="317"/>
    </row>
    <row r="14278">
      <c r="K14278" s="317"/>
    </row>
    <row r="14279">
      <c r="K14279" s="317"/>
    </row>
    <row r="14280">
      <c r="K14280" s="317"/>
    </row>
    <row r="14281">
      <c r="K14281" s="317"/>
    </row>
    <row r="14282">
      <c r="K14282" s="317"/>
    </row>
    <row r="14283">
      <c r="K14283" s="317"/>
    </row>
    <row r="14284">
      <c r="K14284" s="317"/>
    </row>
    <row r="14285">
      <c r="K14285" s="317"/>
    </row>
    <row r="14286">
      <c r="K14286" s="317"/>
    </row>
    <row r="14287">
      <c r="K14287" s="317"/>
    </row>
    <row r="14288">
      <c r="K14288" s="317"/>
    </row>
    <row r="14289">
      <c r="K14289" s="317"/>
    </row>
    <row r="14290">
      <c r="K14290" s="317"/>
    </row>
    <row r="14291">
      <c r="K14291" s="317"/>
    </row>
    <row r="14292">
      <c r="K14292" s="317"/>
    </row>
    <row r="14293">
      <c r="K14293" s="317"/>
    </row>
    <row r="14294">
      <c r="K14294" s="317"/>
    </row>
    <row r="14295">
      <c r="K14295" s="317"/>
    </row>
    <row r="14296">
      <c r="K14296" s="317"/>
    </row>
    <row r="14297">
      <c r="K14297" s="317"/>
    </row>
    <row r="14298">
      <c r="K14298" s="317"/>
    </row>
    <row r="14299">
      <c r="K14299" s="317"/>
    </row>
    <row r="14300">
      <c r="K14300" s="317"/>
    </row>
    <row r="14301">
      <c r="K14301" s="317"/>
    </row>
    <row r="14302">
      <c r="K14302" s="317"/>
    </row>
    <row r="14303">
      <c r="K14303" s="317"/>
    </row>
    <row r="14304">
      <c r="K14304" s="317"/>
    </row>
    <row r="14305">
      <c r="K14305" s="317"/>
    </row>
    <row r="14306">
      <c r="K14306" s="317"/>
    </row>
    <row r="14307">
      <c r="K14307" s="317"/>
    </row>
    <row r="14308">
      <c r="K14308" s="317"/>
    </row>
    <row r="14309">
      <c r="K14309" s="317"/>
    </row>
    <row r="14310">
      <c r="K14310" s="317"/>
    </row>
    <row r="14311">
      <c r="K14311" s="317"/>
    </row>
    <row r="14312">
      <c r="K14312" s="317"/>
    </row>
    <row r="14313">
      <c r="K14313" s="317"/>
    </row>
    <row r="14314">
      <c r="K14314" s="317"/>
    </row>
    <row r="14315">
      <c r="K14315" s="317"/>
    </row>
    <row r="14316">
      <c r="K14316" s="317"/>
    </row>
    <row r="14317">
      <c r="K14317" s="317"/>
    </row>
    <row r="14318">
      <c r="K14318" s="317"/>
    </row>
    <row r="14319">
      <c r="K14319" s="317"/>
    </row>
    <row r="14320">
      <c r="K14320" s="317"/>
    </row>
    <row r="14321">
      <c r="K14321" s="317"/>
    </row>
    <row r="14322">
      <c r="K14322" s="317"/>
    </row>
    <row r="14323">
      <c r="K14323" s="317"/>
    </row>
    <row r="14324">
      <c r="K14324" s="317"/>
    </row>
    <row r="14325">
      <c r="K14325" s="317"/>
    </row>
    <row r="14326">
      <c r="K14326" s="317"/>
    </row>
    <row r="14327">
      <c r="K14327" s="317"/>
    </row>
    <row r="14328">
      <c r="K14328" s="317"/>
    </row>
    <row r="14329">
      <c r="K14329" s="317"/>
    </row>
    <row r="14330">
      <c r="K14330" s="317"/>
    </row>
    <row r="14331">
      <c r="K14331" s="317"/>
    </row>
    <row r="14332">
      <c r="K14332" s="317"/>
    </row>
    <row r="14333">
      <c r="K14333" s="317"/>
    </row>
    <row r="14334">
      <c r="K14334" s="317"/>
    </row>
    <row r="14335">
      <c r="K14335" s="317"/>
    </row>
    <row r="14336">
      <c r="K14336" s="317"/>
    </row>
    <row r="14337">
      <c r="K14337" s="317"/>
    </row>
    <row r="14338">
      <c r="K14338" s="317"/>
    </row>
    <row r="14339">
      <c r="K14339" s="317"/>
    </row>
    <row r="14340">
      <c r="K14340" s="317"/>
    </row>
    <row r="14341">
      <c r="K14341" s="317"/>
    </row>
    <row r="14342">
      <c r="K14342" s="317"/>
    </row>
    <row r="14343">
      <c r="K14343" s="317"/>
    </row>
    <row r="14344">
      <c r="K14344" s="317"/>
    </row>
    <row r="14345">
      <c r="K14345" s="317"/>
    </row>
    <row r="14346">
      <c r="K14346" s="317"/>
    </row>
    <row r="14347">
      <c r="K14347" s="317"/>
    </row>
    <row r="14348">
      <c r="K14348" s="317"/>
    </row>
    <row r="14349">
      <c r="K14349" s="317"/>
    </row>
    <row r="14350">
      <c r="K14350" s="317"/>
    </row>
    <row r="14351">
      <c r="K14351" s="317"/>
    </row>
    <row r="14352">
      <c r="K14352" s="317"/>
    </row>
    <row r="14353">
      <c r="K14353" s="317"/>
    </row>
    <row r="14354">
      <c r="K14354" s="317"/>
    </row>
    <row r="14355">
      <c r="K14355" s="317"/>
    </row>
    <row r="14356">
      <c r="K14356" s="317"/>
    </row>
    <row r="14357">
      <c r="K14357" s="317"/>
    </row>
    <row r="14358">
      <c r="K14358" s="317"/>
    </row>
    <row r="14359">
      <c r="K14359" s="317"/>
    </row>
    <row r="14360">
      <c r="K14360" s="317"/>
    </row>
    <row r="14361">
      <c r="K14361" s="317"/>
    </row>
    <row r="14362">
      <c r="K14362" s="317"/>
    </row>
    <row r="14363">
      <c r="K14363" s="317"/>
    </row>
    <row r="14364">
      <c r="K14364" s="317"/>
    </row>
    <row r="14365">
      <c r="K14365" s="317"/>
    </row>
    <row r="14366">
      <c r="K14366" s="317"/>
    </row>
    <row r="14367">
      <c r="K14367" s="317"/>
    </row>
    <row r="14368">
      <c r="K14368" s="317"/>
    </row>
    <row r="14369">
      <c r="K14369" s="317"/>
    </row>
    <row r="14370">
      <c r="K14370" s="317"/>
    </row>
    <row r="14371">
      <c r="K14371" s="317"/>
    </row>
    <row r="14372">
      <c r="K14372" s="317"/>
    </row>
    <row r="14373">
      <c r="K14373" s="317"/>
    </row>
    <row r="14374">
      <c r="K14374" s="317"/>
    </row>
    <row r="14375">
      <c r="K14375" s="317"/>
    </row>
    <row r="14376">
      <c r="K14376" s="317"/>
    </row>
    <row r="14377">
      <c r="K14377" s="317"/>
    </row>
    <row r="14378">
      <c r="K14378" s="317"/>
    </row>
    <row r="14379">
      <c r="K14379" s="317"/>
    </row>
    <row r="14380">
      <c r="K14380" s="317"/>
    </row>
    <row r="14381">
      <c r="K14381" s="317"/>
    </row>
    <row r="14382">
      <c r="K14382" s="317"/>
    </row>
    <row r="14383">
      <c r="K14383" s="317"/>
    </row>
    <row r="14384">
      <c r="K14384" s="317"/>
    </row>
    <row r="14385">
      <c r="K14385" s="317"/>
    </row>
    <row r="14386">
      <c r="K14386" s="317"/>
    </row>
    <row r="14387">
      <c r="K14387" s="317"/>
    </row>
    <row r="14388">
      <c r="K14388" s="317"/>
    </row>
    <row r="14389">
      <c r="K14389" s="317"/>
    </row>
    <row r="14390">
      <c r="K14390" s="317"/>
    </row>
    <row r="14391">
      <c r="K14391" s="317"/>
    </row>
    <row r="14392">
      <c r="K14392" s="317"/>
    </row>
    <row r="14393">
      <c r="K14393" s="317"/>
    </row>
    <row r="14394">
      <c r="K14394" s="317"/>
    </row>
    <row r="14395">
      <c r="K14395" s="317"/>
    </row>
    <row r="14396">
      <c r="K14396" s="317"/>
    </row>
    <row r="14397">
      <c r="K14397" s="317"/>
    </row>
    <row r="14398">
      <c r="K14398" s="317"/>
    </row>
    <row r="14399">
      <c r="K14399" s="317"/>
    </row>
    <row r="14400">
      <c r="K14400" s="317"/>
    </row>
    <row r="14401">
      <c r="K14401" s="317"/>
    </row>
    <row r="14402">
      <c r="K14402" s="317"/>
    </row>
    <row r="14403">
      <c r="K14403" s="317"/>
    </row>
    <row r="14404">
      <c r="K14404" s="317"/>
    </row>
    <row r="14405">
      <c r="K14405" s="317"/>
    </row>
    <row r="14406">
      <c r="K14406" s="317"/>
    </row>
    <row r="14407">
      <c r="K14407" s="317"/>
    </row>
    <row r="14408">
      <c r="K14408" s="317"/>
    </row>
    <row r="14409">
      <c r="K14409" s="317"/>
    </row>
    <row r="14410">
      <c r="K14410" s="317"/>
    </row>
    <row r="14411">
      <c r="K14411" s="317"/>
    </row>
    <row r="14412">
      <c r="K14412" s="317"/>
    </row>
    <row r="14413">
      <c r="K14413" s="317"/>
    </row>
    <row r="14414">
      <c r="K14414" s="317"/>
    </row>
    <row r="14415">
      <c r="K14415" s="317"/>
    </row>
    <row r="14416">
      <c r="K14416" s="317"/>
    </row>
    <row r="14417">
      <c r="K14417" s="317"/>
    </row>
    <row r="14418">
      <c r="K14418" s="317"/>
    </row>
    <row r="14419">
      <c r="K14419" s="317"/>
    </row>
    <row r="14420">
      <c r="K14420" s="317"/>
    </row>
    <row r="14421">
      <c r="K14421" s="317"/>
    </row>
    <row r="14422">
      <c r="K14422" s="317"/>
    </row>
    <row r="14423">
      <c r="K14423" s="317"/>
    </row>
    <row r="14424">
      <c r="K14424" s="317"/>
    </row>
    <row r="14425">
      <c r="K14425" s="317"/>
    </row>
    <row r="14426">
      <c r="K14426" s="317"/>
    </row>
    <row r="14427">
      <c r="K14427" s="317"/>
    </row>
    <row r="14428">
      <c r="K14428" s="317"/>
    </row>
    <row r="14429">
      <c r="K14429" s="317"/>
    </row>
    <row r="14430">
      <c r="K14430" s="317"/>
    </row>
    <row r="14431">
      <c r="K14431" s="317"/>
    </row>
    <row r="14432">
      <c r="K14432" s="317"/>
    </row>
    <row r="14433">
      <c r="K14433" s="317"/>
    </row>
    <row r="14434">
      <c r="K14434" s="317"/>
    </row>
    <row r="14435">
      <c r="K14435" s="317"/>
    </row>
    <row r="14436">
      <c r="K14436" s="317"/>
    </row>
    <row r="14437">
      <c r="K14437" s="317"/>
    </row>
    <row r="14438">
      <c r="K14438" s="317"/>
    </row>
    <row r="14439">
      <c r="K14439" s="317"/>
    </row>
    <row r="14440">
      <c r="K14440" s="317"/>
    </row>
    <row r="14441">
      <c r="K14441" s="317"/>
    </row>
    <row r="14442">
      <c r="K14442" s="317"/>
    </row>
    <row r="14443">
      <c r="K14443" s="317"/>
    </row>
    <row r="14444">
      <c r="K14444" s="317"/>
    </row>
    <row r="14445">
      <c r="K14445" s="317"/>
    </row>
    <row r="14446">
      <c r="K14446" s="317"/>
    </row>
    <row r="14447">
      <c r="K14447" s="317"/>
    </row>
    <row r="14448">
      <c r="K14448" s="317"/>
    </row>
    <row r="14449">
      <c r="K14449" s="317"/>
    </row>
    <row r="14450">
      <c r="K14450" s="317"/>
    </row>
    <row r="14451">
      <c r="K14451" s="317"/>
    </row>
    <row r="14452">
      <c r="K14452" s="317"/>
    </row>
    <row r="14453">
      <c r="K14453" s="317"/>
    </row>
    <row r="14454">
      <c r="K14454" s="317"/>
    </row>
    <row r="14455">
      <c r="K14455" s="317"/>
    </row>
    <row r="14456">
      <c r="K14456" s="317"/>
    </row>
    <row r="14457">
      <c r="K14457" s="317"/>
    </row>
    <row r="14458">
      <c r="K14458" s="317"/>
    </row>
    <row r="14459">
      <c r="K14459" s="317"/>
    </row>
    <row r="14460">
      <c r="K14460" s="317"/>
    </row>
    <row r="14461">
      <c r="K14461" s="317"/>
    </row>
    <row r="14462">
      <c r="K14462" s="317"/>
    </row>
    <row r="14463">
      <c r="K14463" s="317"/>
    </row>
    <row r="14464">
      <c r="K14464" s="317"/>
    </row>
    <row r="14465">
      <c r="K14465" s="317"/>
    </row>
    <row r="14466">
      <c r="K14466" s="317"/>
    </row>
    <row r="14467">
      <c r="K14467" s="317"/>
    </row>
    <row r="14468">
      <c r="K14468" s="317"/>
    </row>
    <row r="14469">
      <c r="K14469" s="317"/>
    </row>
    <row r="14470">
      <c r="K14470" s="317"/>
    </row>
    <row r="14471">
      <c r="K14471" s="317"/>
    </row>
    <row r="14472">
      <c r="K14472" s="317"/>
    </row>
    <row r="14473">
      <c r="K14473" s="317"/>
    </row>
    <row r="14474">
      <c r="K14474" s="317"/>
    </row>
    <row r="14475">
      <c r="K14475" s="317"/>
    </row>
    <row r="14476">
      <c r="K14476" s="317"/>
    </row>
    <row r="14477">
      <c r="K14477" s="317"/>
    </row>
    <row r="14478">
      <c r="K14478" s="317"/>
    </row>
    <row r="14479">
      <c r="K14479" s="317"/>
    </row>
    <row r="14480">
      <c r="K14480" s="317"/>
    </row>
    <row r="14481">
      <c r="K14481" s="317"/>
    </row>
    <row r="14482">
      <c r="K14482" s="317"/>
    </row>
    <row r="14483">
      <c r="K14483" s="317"/>
    </row>
    <row r="14484">
      <c r="K14484" s="317"/>
    </row>
    <row r="14485">
      <c r="K14485" s="317"/>
    </row>
    <row r="14486">
      <c r="K14486" s="317"/>
    </row>
    <row r="14487">
      <c r="K14487" s="317"/>
    </row>
    <row r="14488">
      <c r="K14488" s="317"/>
    </row>
    <row r="14489">
      <c r="K14489" s="317"/>
    </row>
    <row r="14490">
      <c r="K14490" s="317"/>
    </row>
    <row r="14491">
      <c r="K14491" s="317"/>
    </row>
    <row r="14492">
      <c r="K14492" s="317"/>
    </row>
    <row r="14493">
      <c r="K14493" s="317"/>
    </row>
    <row r="14494">
      <c r="K14494" s="317"/>
    </row>
    <row r="14495">
      <c r="K14495" s="317"/>
    </row>
    <row r="14496">
      <c r="K14496" s="317"/>
    </row>
    <row r="14497">
      <c r="K14497" s="317"/>
    </row>
    <row r="14498">
      <c r="K14498" s="317"/>
    </row>
    <row r="14499">
      <c r="K14499" s="317"/>
    </row>
    <row r="14500">
      <c r="K14500" s="317"/>
    </row>
    <row r="14501">
      <c r="K14501" s="317"/>
    </row>
    <row r="14502">
      <c r="K14502" s="317"/>
    </row>
    <row r="14503">
      <c r="K14503" s="317"/>
    </row>
    <row r="14504">
      <c r="K14504" s="317"/>
    </row>
    <row r="14505">
      <c r="K14505" s="317"/>
    </row>
    <row r="14506">
      <c r="K14506" s="317"/>
    </row>
    <row r="14507">
      <c r="K14507" s="317"/>
    </row>
    <row r="14508">
      <c r="K14508" s="317"/>
    </row>
    <row r="14509">
      <c r="K14509" s="317"/>
    </row>
    <row r="14510">
      <c r="K14510" s="317"/>
    </row>
    <row r="14511">
      <c r="K14511" s="317"/>
    </row>
    <row r="14512">
      <c r="K14512" s="317"/>
    </row>
    <row r="14513">
      <c r="K14513" s="317"/>
    </row>
    <row r="14514">
      <c r="K14514" s="317"/>
    </row>
    <row r="14515">
      <c r="K14515" s="317"/>
    </row>
    <row r="14516">
      <c r="K14516" s="317"/>
    </row>
    <row r="14517">
      <c r="K14517" s="317"/>
    </row>
    <row r="14518">
      <c r="K14518" s="317"/>
    </row>
    <row r="14519">
      <c r="K14519" s="317"/>
    </row>
    <row r="14520">
      <c r="K14520" s="317"/>
    </row>
    <row r="14521">
      <c r="K14521" s="317"/>
    </row>
    <row r="14522">
      <c r="K14522" s="317"/>
    </row>
    <row r="14523">
      <c r="K14523" s="317"/>
    </row>
    <row r="14524">
      <c r="K14524" s="317"/>
    </row>
    <row r="14525">
      <c r="K14525" s="317"/>
    </row>
    <row r="14526">
      <c r="K14526" s="317"/>
    </row>
    <row r="14527">
      <c r="K14527" s="317"/>
    </row>
    <row r="14528">
      <c r="K14528" s="317"/>
    </row>
    <row r="14529">
      <c r="K14529" s="317"/>
    </row>
    <row r="14530">
      <c r="K14530" s="317"/>
    </row>
    <row r="14531">
      <c r="K14531" s="317"/>
    </row>
    <row r="14532">
      <c r="K14532" s="317"/>
    </row>
    <row r="14533">
      <c r="K14533" s="317"/>
    </row>
    <row r="14534">
      <c r="K14534" s="317"/>
    </row>
    <row r="14535">
      <c r="K14535" s="317"/>
    </row>
    <row r="14536">
      <c r="K14536" s="317"/>
    </row>
    <row r="14537">
      <c r="K14537" s="317"/>
    </row>
    <row r="14538">
      <c r="K14538" s="317"/>
    </row>
    <row r="14539">
      <c r="K14539" s="317"/>
    </row>
    <row r="14540">
      <c r="K14540" s="317"/>
    </row>
    <row r="14541">
      <c r="K14541" s="317"/>
    </row>
    <row r="14542">
      <c r="K14542" s="317"/>
    </row>
    <row r="14543">
      <c r="K14543" s="317"/>
    </row>
    <row r="14544">
      <c r="K14544" s="317"/>
    </row>
    <row r="14545">
      <c r="K14545" s="317"/>
    </row>
    <row r="14546">
      <c r="K14546" s="317"/>
    </row>
    <row r="14547">
      <c r="K14547" s="317"/>
    </row>
    <row r="14548">
      <c r="K14548" s="317"/>
    </row>
    <row r="14549">
      <c r="K14549" s="317"/>
    </row>
    <row r="14550">
      <c r="K14550" s="317"/>
    </row>
    <row r="14551">
      <c r="K14551" s="317"/>
    </row>
    <row r="14552">
      <c r="K14552" s="317"/>
    </row>
    <row r="14553">
      <c r="K14553" s="317"/>
    </row>
    <row r="14554">
      <c r="K14554" s="317"/>
    </row>
    <row r="14555">
      <c r="K14555" s="317"/>
    </row>
    <row r="14556">
      <c r="K14556" s="317"/>
    </row>
    <row r="14557">
      <c r="K14557" s="317"/>
    </row>
    <row r="14558">
      <c r="K14558" s="317"/>
    </row>
    <row r="14559">
      <c r="K14559" s="317"/>
    </row>
    <row r="14560">
      <c r="K14560" s="317"/>
    </row>
    <row r="14561">
      <c r="K14561" s="317"/>
    </row>
    <row r="14562">
      <c r="K14562" s="317"/>
    </row>
    <row r="14563">
      <c r="K14563" s="317"/>
    </row>
    <row r="14564">
      <c r="K14564" s="317"/>
    </row>
    <row r="14565">
      <c r="K14565" s="317"/>
    </row>
    <row r="14566">
      <c r="K14566" s="317"/>
    </row>
    <row r="14567">
      <c r="K14567" s="317"/>
    </row>
    <row r="14568">
      <c r="K14568" s="317"/>
    </row>
    <row r="14569">
      <c r="K14569" s="317"/>
    </row>
    <row r="14570">
      <c r="K14570" s="317"/>
    </row>
    <row r="14571">
      <c r="K14571" s="317"/>
    </row>
    <row r="14572">
      <c r="K14572" s="317"/>
    </row>
    <row r="14573">
      <c r="K14573" s="317"/>
    </row>
    <row r="14574">
      <c r="K14574" s="317"/>
    </row>
    <row r="14575">
      <c r="K14575" s="317"/>
    </row>
    <row r="14576">
      <c r="K14576" s="317"/>
    </row>
    <row r="14577">
      <c r="K14577" s="317"/>
    </row>
    <row r="14578">
      <c r="K14578" s="317"/>
    </row>
    <row r="14579">
      <c r="K14579" s="317"/>
    </row>
    <row r="14580">
      <c r="K14580" s="317"/>
    </row>
    <row r="14581">
      <c r="K14581" s="317"/>
    </row>
    <row r="14582">
      <c r="K14582" s="317"/>
    </row>
    <row r="14583">
      <c r="K14583" s="317"/>
    </row>
    <row r="14584">
      <c r="K14584" s="317"/>
    </row>
    <row r="14585">
      <c r="K14585" s="317"/>
    </row>
    <row r="14586">
      <c r="K14586" s="317"/>
    </row>
    <row r="14587">
      <c r="K14587" s="317"/>
    </row>
    <row r="14588">
      <c r="K14588" s="317"/>
    </row>
    <row r="14589">
      <c r="K14589" s="317"/>
    </row>
    <row r="14590">
      <c r="K14590" s="317"/>
    </row>
    <row r="14591">
      <c r="K14591" s="317"/>
    </row>
    <row r="14592">
      <c r="K14592" s="317"/>
    </row>
    <row r="14593">
      <c r="K14593" s="317"/>
    </row>
    <row r="14594">
      <c r="K14594" s="317"/>
    </row>
    <row r="14595">
      <c r="K14595" s="317"/>
    </row>
    <row r="14596">
      <c r="K14596" s="317"/>
    </row>
    <row r="14597">
      <c r="K14597" s="317"/>
    </row>
    <row r="14598">
      <c r="K14598" s="317"/>
    </row>
    <row r="14599">
      <c r="K14599" s="317"/>
    </row>
    <row r="14600">
      <c r="K14600" s="317"/>
    </row>
    <row r="14601">
      <c r="K14601" s="317"/>
    </row>
    <row r="14602">
      <c r="K14602" s="317"/>
    </row>
    <row r="14603">
      <c r="K14603" s="317"/>
    </row>
    <row r="14604">
      <c r="K14604" s="317"/>
    </row>
    <row r="14605">
      <c r="K14605" s="317"/>
    </row>
    <row r="14606">
      <c r="K14606" s="317"/>
    </row>
    <row r="14607">
      <c r="K14607" s="317"/>
    </row>
    <row r="14608">
      <c r="K14608" s="317"/>
    </row>
    <row r="14609">
      <c r="K14609" s="317"/>
    </row>
    <row r="14610">
      <c r="K14610" s="317"/>
    </row>
    <row r="14611">
      <c r="K14611" s="317"/>
    </row>
    <row r="14612">
      <c r="K14612" s="317"/>
    </row>
    <row r="14613">
      <c r="K14613" s="317"/>
    </row>
    <row r="14614">
      <c r="K14614" s="317"/>
    </row>
    <row r="14615">
      <c r="K14615" s="317"/>
    </row>
    <row r="14616">
      <c r="K14616" s="317"/>
    </row>
    <row r="14617">
      <c r="K14617" s="317"/>
    </row>
    <row r="14618">
      <c r="K14618" s="317"/>
    </row>
    <row r="14619">
      <c r="K14619" s="317"/>
    </row>
    <row r="14620">
      <c r="K14620" s="317"/>
    </row>
    <row r="14621">
      <c r="K14621" s="317"/>
    </row>
    <row r="14622">
      <c r="K14622" s="317"/>
    </row>
    <row r="14623">
      <c r="K14623" s="317"/>
    </row>
    <row r="14624">
      <c r="K14624" s="317"/>
    </row>
    <row r="14625">
      <c r="K14625" s="317"/>
    </row>
    <row r="14626">
      <c r="K14626" s="317"/>
    </row>
    <row r="14627">
      <c r="K14627" s="317"/>
    </row>
    <row r="14628">
      <c r="K14628" s="317"/>
    </row>
    <row r="14629">
      <c r="K14629" s="317"/>
    </row>
    <row r="14630">
      <c r="K14630" s="317"/>
    </row>
    <row r="14631">
      <c r="K14631" s="317"/>
    </row>
    <row r="14632">
      <c r="K14632" s="317"/>
    </row>
    <row r="14633">
      <c r="K14633" s="317"/>
    </row>
    <row r="14634">
      <c r="K14634" s="317"/>
    </row>
    <row r="14635">
      <c r="K14635" s="317"/>
    </row>
    <row r="14636">
      <c r="K14636" s="317"/>
    </row>
    <row r="14637">
      <c r="K14637" s="317"/>
    </row>
    <row r="14638">
      <c r="K14638" s="317"/>
    </row>
    <row r="14639">
      <c r="K14639" s="317"/>
    </row>
    <row r="14640">
      <c r="K14640" s="317"/>
    </row>
    <row r="14641">
      <c r="K14641" s="317"/>
    </row>
    <row r="14642">
      <c r="K14642" s="317"/>
    </row>
    <row r="14643">
      <c r="K14643" s="317"/>
    </row>
    <row r="14644">
      <c r="K14644" s="317"/>
    </row>
    <row r="14645">
      <c r="K14645" s="317"/>
    </row>
    <row r="14646">
      <c r="K14646" s="317"/>
    </row>
    <row r="14647">
      <c r="K14647" s="317"/>
    </row>
    <row r="14648">
      <c r="K14648" s="317"/>
    </row>
    <row r="14649">
      <c r="K14649" s="317"/>
    </row>
    <row r="14650">
      <c r="K14650" s="317"/>
    </row>
    <row r="14651">
      <c r="K14651" s="317"/>
    </row>
    <row r="14652">
      <c r="K14652" s="317"/>
    </row>
    <row r="14653">
      <c r="K14653" s="317"/>
    </row>
    <row r="14654">
      <c r="K14654" s="317"/>
    </row>
    <row r="14655">
      <c r="K14655" s="317"/>
    </row>
    <row r="14656">
      <c r="K14656" s="317"/>
    </row>
    <row r="14657">
      <c r="K14657" s="317"/>
    </row>
    <row r="14658">
      <c r="K14658" s="317"/>
    </row>
    <row r="14659">
      <c r="K14659" s="317"/>
    </row>
    <row r="14660">
      <c r="K14660" s="317"/>
    </row>
    <row r="14661">
      <c r="K14661" s="317"/>
    </row>
    <row r="14662">
      <c r="K14662" s="317"/>
    </row>
    <row r="14663">
      <c r="K14663" s="317"/>
    </row>
    <row r="14664">
      <c r="K14664" s="317"/>
    </row>
    <row r="14665">
      <c r="K14665" s="317"/>
    </row>
    <row r="14666">
      <c r="K14666" s="317"/>
    </row>
    <row r="14667">
      <c r="K14667" s="317"/>
    </row>
    <row r="14668">
      <c r="K14668" s="317"/>
    </row>
    <row r="14669">
      <c r="K14669" s="317"/>
    </row>
    <row r="14670">
      <c r="K14670" s="317"/>
    </row>
    <row r="14671">
      <c r="K14671" s="317"/>
    </row>
    <row r="14672">
      <c r="K14672" s="317"/>
    </row>
    <row r="14673">
      <c r="K14673" s="317"/>
    </row>
    <row r="14674">
      <c r="K14674" s="317"/>
    </row>
    <row r="14675">
      <c r="K14675" s="317"/>
    </row>
    <row r="14676">
      <c r="K14676" s="317"/>
    </row>
    <row r="14677">
      <c r="K14677" s="317"/>
    </row>
    <row r="14678">
      <c r="K14678" s="317"/>
    </row>
    <row r="14679">
      <c r="K14679" s="317"/>
    </row>
    <row r="14680">
      <c r="K14680" s="317"/>
    </row>
    <row r="14681">
      <c r="K14681" s="317"/>
    </row>
    <row r="14682">
      <c r="K14682" s="317"/>
    </row>
    <row r="14683">
      <c r="K14683" s="317"/>
    </row>
    <row r="14684">
      <c r="K14684" s="317"/>
    </row>
    <row r="14685">
      <c r="K14685" s="317"/>
    </row>
    <row r="14686">
      <c r="K14686" s="317"/>
    </row>
    <row r="14687">
      <c r="K14687" s="317"/>
    </row>
    <row r="14688">
      <c r="K14688" s="317"/>
    </row>
    <row r="14689">
      <c r="K14689" s="317"/>
    </row>
    <row r="14690">
      <c r="K14690" s="317"/>
    </row>
    <row r="14691">
      <c r="K14691" s="317"/>
    </row>
    <row r="14692">
      <c r="K14692" s="317"/>
    </row>
    <row r="14693">
      <c r="K14693" s="317"/>
    </row>
    <row r="14694">
      <c r="K14694" s="317"/>
    </row>
    <row r="14695">
      <c r="K14695" s="317"/>
    </row>
    <row r="14696">
      <c r="K14696" s="317"/>
    </row>
    <row r="14697">
      <c r="K14697" s="317"/>
    </row>
    <row r="14698">
      <c r="K14698" s="317"/>
    </row>
    <row r="14699">
      <c r="K14699" s="317"/>
    </row>
    <row r="14700">
      <c r="K14700" s="317"/>
    </row>
    <row r="14701">
      <c r="K14701" s="317"/>
    </row>
    <row r="14702">
      <c r="K14702" s="317"/>
    </row>
    <row r="14703">
      <c r="K14703" s="317"/>
    </row>
    <row r="14704">
      <c r="K14704" s="317"/>
    </row>
    <row r="14705">
      <c r="K14705" s="317"/>
    </row>
    <row r="14706">
      <c r="K14706" s="317"/>
    </row>
    <row r="14707">
      <c r="K14707" s="317"/>
    </row>
    <row r="14708">
      <c r="K14708" s="317"/>
    </row>
    <row r="14709">
      <c r="K14709" s="317"/>
    </row>
    <row r="14710">
      <c r="K14710" s="317"/>
    </row>
    <row r="14711">
      <c r="K14711" s="317"/>
    </row>
    <row r="14712">
      <c r="K14712" s="317"/>
    </row>
    <row r="14713">
      <c r="K14713" s="317"/>
    </row>
    <row r="14714">
      <c r="K14714" s="317"/>
    </row>
    <row r="14715">
      <c r="K14715" s="317"/>
    </row>
    <row r="14716">
      <c r="K14716" s="317"/>
    </row>
    <row r="14717">
      <c r="K14717" s="317"/>
    </row>
    <row r="14718">
      <c r="K14718" s="317"/>
    </row>
    <row r="14719">
      <c r="K14719" s="317"/>
    </row>
    <row r="14720">
      <c r="K14720" s="317"/>
    </row>
    <row r="14721">
      <c r="K14721" s="317"/>
    </row>
    <row r="14722">
      <c r="K14722" s="317"/>
    </row>
    <row r="14723">
      <c r="K14723" s="317"/>
    </row>
    <row r="14724">
      <c r="K14724" s="317"/>
    </row>
    <row r="14725">
      <c r="K14725" s="317"/>
    </row>
    <row r="14726">
      <c r="K14726" s="317"/>
    </row>
    <row r="14727">
      <c r="K14727" s="317"/>
    </row>
    <row r="14728">
      <c r="K14728" s="317"/>
    </row>
    <row r="14729">
      <c r="K14729" s="317"/>
    </row>
    <row r="14730">
      <c r="K14730" s="317"/>
    </row>
    <row r="14731">
      <c r="K14731" s="317"/>
    </row>
    <row r="14732">
      <c r="K14732" s="317"/>
    </row>
    <row r="14733">
      <c r="K14733" s="317"/>
    </row>
    <row r="14734">
      <c r="K14734" s="317"/>
    </row>
    <row r="14735">
      <c r="K14735" s="317"/>
    </row>
    <row r="14736">
      <c r="K14736" s="317"/>
    </row>
    <row r="14737">
      <c r="K14737" s="317"/>
    </row>
    <row r="14738">
      <c r="K14738" s="317"/>
    </row>
    <row r="14739">
      <c r="K14739" s="317"/>
    </row>
    <row r="14740">
      <c r="K14740" s="317"/>
    </row>
    <row r="14741">
      <c r="K14741" s="317"/>
    </row>
    <row r="14742">
      <c r="K14742" s="317"/>
    </row>
    <row r="14743">
      <c r="K14743" s="317"/>
    </row>
    <row r="14744">
      <c r="K14744" s="317"/>
    </row>
    <row r="14745">
      <c r="K14745" s="317"/>
    </row>
    <row r="14746">
      <c r="K14746" s="317"/>
    </row>
    <row r="14747">
      <c r="K14747" s="317"/>
    </row>
    <row r="14748">
      <c r="K14748" s="317"/>
    </row>
    <row r="14749">
      <c r="K14749" s="317"/>
    </row>
    <row r="14750">
      <c r="K14750" s="317"/>
    </row>
    <row r="14751">
      <c r="K14751" s="317"/>
    </row>
    <row r="14752">
      <c r="K14752" s="317"/>
    </row>
    <row r="14753">
      <c r="K14753" s="317"/>
    </row>
    <row r="14754">
      <c r="K14754" s="317"/>
    </row>
    <row r="14755">
      <c r="K14755" s="317"/>
    </row>
    <row r="14756">
      <c r="K14756" s="317"/>
    </row>
    <row r="14757">
      <c r="K14757" s="317"/>
    </row>
    <row r="14758">
      <c r="K14758" s="317"/>
    </row>
    <row r="14759">
      <c r="K14759" s="317"/>
    </row>
    <row r="14760">
      <c r="K14760" s="317"/>
    </row>
    <row r="14761">
      <c r="K14761" s="317"/>
    </row>
    <row r="14762">
      <c r="K14762" s="317"/>
    </row>
    <row r="14763">
      <c r="K14763" s="317"/>
    </row>
    <row r="14764">
      <c r="K14764" s="317"/>
    </row>
    <row r="14765">
      <c r="K14765" s="317"/>
    </row>
    <row r="14766">
      <c r="K14766" s="317"/>
    </row>
    <row r="14767">
      <c r="K14767" s="317"/>
    </row>
    <row r="14768">
      <c r="K14768" s="317"/>
    </row>
    <row r="14769">
      <c r="K14769" s="317"/>
    </row>
    <row r="14770">
      <c r="K14770" s="317"/>
    </row>
    <row r="14771">
      <c r="K14771" s="317"/>
    </row>
    <row r="14772">
      <c r="K14772" s="317"/>
    </row>
    <row r="14773">
      <c r="K14773" s="317"/>
    </row>
    <row r="14774">
      <c r="K14774" s="317"/>
    </row>
    <row r="14775">
      <c r="K14775" s="317"/>
    </row>
    <row r="14776">
      <c r="K14776" s="317"/>
    </row>
    <row r="14777">
      <c r="K14777" s="317"/>
    </row>
    <row r="14778">
      <c r="K14778" s="317"/>
    </row>
    <row r="14779">
      <c r="K14779" s="317"/>
    </row>
    <row r="14780">
      <c r="K14780" s="317"/>
    </row>
    <row r="14781">
      <c r="K14781" s="317"/>
    </row>
    <row r="14782">
      <c r="K14782" s="317"/>
    </row>
    <row r="14783">
      <c r="K14783" s="317"/>
    </row>
    <row r="14784">
      <c r="K14784" s="317"/>
    </row>
    <row r="14785">
      <c r="K14785" s="317"/>
    </row>
    <row r="14786">
      <c r="K14786" s="317"/>
    </row>
    <row r="14787">
      <c r="K14787" s="317"/>
    </row>
    <row r="14788">
      <c r="K14788" s="317"/>
    </row>
    <row r="14789">
      <c r="K14789" s="317"/>
    </row>
    <row r="14790">
      <c r="K14790" s="317"/>
    </row>
    <row r="14791">
      <c r="K14791" s="317"/>
    </row>
    <row r="14792">
      <c r="K14792" s="317"/>
    </row>
    <row r="14793">
      <c r="K14793" s="317"/>
    </row>
    <row r="14794">
      <c r="K14794" s="317"/>
    </row>
    <row r="14795">
      <c r="K14795" s="317"/>
    </row>
    <row r="14796">
      <c r="K14796" s="317"/>
    </row>
    <row r="14797">
      <c r="K14797" s="317"/>
    </row>
    <row r="14798">
      <c r="K14798" s="317"/>
    </row>
    <row r="14799">
      <c r="K14799" s="317"/>
    </row>
    <row r="14800">
      <c r="K14800" s="317"/>
    </row>
    <row r="14801">
      <c r="K14801" s="317"/>
    </row>
    <row r="14802">
      <c r="K14802" s="317"/>
    </row>
    <row r="14803">
      <c r="K14803" s="317"/>
    </row>
    <row r="14804">
      <c r="K14804" s="317"/>
    </row>
    <row r="14805">
      <c r="K14805" s="317"/>
    </row>
    <row r="14806">
      <c r="K14806" s="317"/>
    </row>
    <row r="14807">
      <c r="K14807" s="317"/>
    </row>
    <row r="14808">
      <c r="K14808" s="317"/>
    </row>
    <row r="14809">
      <c r="K14809" s="317"/>
    </row>
    <row r="14810">
      <c r="K14810" s="317"/>
    </row>
    <row r="14811">
      <c r="K14811" s="317"/>
    </row>
    <row r="14812">
      <c r="K14812" s="317"/>
    </row>
    <row r="14813">
      <c r="K14813" s="317"/>
    </row>
    <row r="14814">
      <c r="K14814" s="317"/>
    </row>
    <row r="14815">
      <c r="K14815" s="317"/>
    </row>
    <row r="14816">
      <c r="K14816" s="317"/>
    </row>
    <row r="14817">
      <c r="K14817" s="317"/>
    </row>
    <row r="14818">
      <c r="K14818" s="317"/>
    </row>
    <row r="14819">
      <c r="K14819" s="317"/>
    </row>
    <row r="14820">
      <c r="K14820" s="317"/>
    </row>
    <row r="14821">
      <c r="K14821" s="317"/>
    </row>
    <row r="14822">
      <c r="K14822" s="317"/>
    </row>
    <row r="14823">
      <c r="K14823" s="317"/>
    </row>
    <row r="14824">
      <c r="K14824" s="317"/>
    </row>
    <row r="14825">
      <c r="K14825" s="317"/>
    </row>
    <row r="14826">
      <c r="K14826" s="317"/>
    </row>
    <row r="14827">
      <c r="K14827" s="317"/>
    </row>
    <row r="14828">
      <c r="K14828" s="317"/>
    </row>
    <row r="14829">
      <c r="K14829" s="317"/>
    </row>
    <row r="14830">
      <c r="K14830" s="317"/>
    </row>
    <row r="14831">
      <c r="K14831" s="317"/>
    </row>
    <row r="14832">
      <c r="K14832" s="317"/>
    </row>
    <row r="14833">
      <c r="K14833" s="317"/>
    </row>
    <row r="14834">
      <c r="K14834" s="317"/>
    </row>
    <row r="14835">
      <c r="K14835" s="317"/>
    </row>
    <row r="14836">
      <c r="K14836" s="317"/>
    </row>
    <row r="14837">
      <c r="K14837" s="317"/>
    </row>
    <row r="14838">
      <c r="K14838" s="317"/>
    </row>
    <row r="14839">
      <c r="K14839" s="317"/>
    </row>
    <row r="14840">
      <c r="K14840" s="317"/>
    </row>
    <row r="14841">
      <c r="K14841" s="317"/>
    </row>
    <row r="14842">
      <c r="K14842" s="317"/>
    </row>
    <row r="14843">
      <c r="K14843" s="317"/>
    </row>
    <row r="14844">
      <c r="K14844" s="317"/>
    </row>
    <row r="14845">
      <c r="K14845" s="317"/>
    </row>
    <row r="14846">
      <c r="K14846" s="317"/>
    </row>
    <row r="14847">
      <c r="K14847" s="317"/>
    </row>
    <row r="14848">
      <c r="K14848" s="317"/>
    </row>
    <row r="14849">
      <c r="K14849" s="317"/>
    </row>
    <row r="14850">
      <c r="K14850" s="317"/>
    </row>
    <row r="14851">
      <c r="K14851" s="317"/>
    </row>
    <row r="14852">
      <c r="K14852" s="317"/>
    </row>
    <row r="14853">
      <c r="K14853" s="317"/>
    </row>
    <row r="14854">
      <c r="K14854" s="317"/>
    </row>
    <row r="14855">
      <c r="K14855" s="317"/>
    </row>
    <row r="14856">
      <c r="K14856" s="317"/>
    </row>
    <row r="14857">
      <c r="K14857" s="317"/>
    </row>
    <row r="14858">
      <c r="K14858" s="317"/>
    </row>
    <row r="14859">
      <c r="K14859" s="317"/>
    </row>
    <row r="14860">
      <c r="K14860" s="317"/>
    </row>
    <row r="14861">
      <c r="K14861" s="317"/>
    </row>
    <row r="14862">
      <c r="K14862" s="317"/>
    </row>
    <row r="14863">
      <c r="K14863" s="317"/>
    </row>
    <row r="14864">
      <c r="K14864" s="317"/>
    </row>
    <row r="14865">
      <c r="K14865" s="317"/>
    </row>
    <row r="14866">
      <c r="K14866" s="317"/>
    </row>
    <row r="14867">
      <c r="K14867" s="317"/>
    </row>
    <row r="14868">
      <c r="K14868" s="317"/>
    </row>
    <row r="14869">
      <c r="K14869" s="317"/>
    </row>
    <row r="14870">
      <c r="K14870" s="317"/>
    </row>
    <row r="14871">
      <c r="K14871" s="317"/>
    </row>
    <row r="14872">
      <c r="K14872" s="317"/>
    </row>
    <row r="14873">
      <c r="K14873" s="317"/>
    </row>
    <row r="14874">
      <c r="K14874" s="317"/>
    </row>
    <row r="14875">
      <c r="K14875" s="317"/>
    </row>
    <row r="14876">
      <c r="K14876" s="317"/>
    </row>
    <row r="14877">
      <c r="K14877" s="317"/>
    </row>
    <row r="14878">
      <c r="K14878" s="317"/>
    </row>
    <row r="14879">
      <c r="K14879" s="317"/>
    </row>
    <row r="14880">
      <c r="K14880" s="317"/>
    </row>
    <row r="14881">
      <c r="K14881" s="317"/>
    </row>
    <row r="14882">
      <c r="K14882" s="317"/>
    </row>
    <row r="14883">
      <c r="K14883" s="317"/>
    </row>
    <row r="14884">
      <c r="K14884" s="317"/>
    </row>
    <row r="14885">
      <c r="K14885" s="317"/>
    </row>
    <row r="14886">
      <c r="K14886" s="317"/>
    </row>
    <row r="14887">
      <c r="K14887" s="317"/>
    </row>
    <row r="14888">
      <c r="K14888" s="317"/>
    </row>
    <row r="14889">
      <c r="K14889" s="317"/>
    </row>
    <row r="14890">
      <c r="K14890" s="317"/>
    </row>
    <row r="14891">
      <c r="K14891" s="317"/>
    </row>
    <row r="14892">
      <c r="K14892" s="317"/>
    </row>
    <row r="14893">
      <c r="K14893" s="317"/>
    </row>
    <row r="14894">
      <c r="K14894" s="317"/>
    </row>
    <row r="14895">
      <c r="K14895" s="317"/>
    </row>
    <row r="14896">
      <c r="K14896" s="317"/>
    </row>
    <row r="14897">
      <c r="K14897" s="317"/>
    </row>
    <row r="14898">
      <c r="K14898" s="317"/>
    </row>
    <row r="14899">
      <c r="K14899" s="317"/>
    </row>
    <row r="14900">
      <c r="K14900" s="317"/>
    </row>
    <row r="14901">
      <c r="K14901" s="317"/>
    </row>
    <row r="14902">
      <c r="K14902" s="317"/>
    </row>
    <row r="14903">
      <c r="K14903" s="317"/>
    </row>
    <row r="14904">
      <c r="K14904" s="317"/>
    </row>
    <row r="14905">
      <c r="K14905" s="317"/>
    </row>
    <row r="14906">
      <c r="K14906" s="317"/>
    </row>
    <row r="14907">
      <c r="K14907" s="317"/>
    </row>
    <row r="14908">
      <c r="K14908" s="317"/>
    </row>
    <row r="14909">
      <c r="K14909" s="317"/>
    </row>
    <row r="14910">
      <c r="K14910" s="317"/>
    </row>
    <row r="14911">
      <c r="K14911" s="317"/>
    </row>
    <row r="14912">
      <c r="K14912" s="317"/>
    </row>
    <row r="14913">
      <c r="K14913" s="317"/>
    </row>
    <row r="14914">
      <c r="K14914" s="317"/>
    </row>
    <row r="14915">
      <c r="K14915" s="317"/>
    </row>
    <row r="14916">
      <c r="K14916" s="317"/>
    </row>
    <row r="14917">
      <c r="K14917" s="317"/>
    </row>
    <row r="14918">
      <c r="K14918" s="317"/>
    </row>
    <row r="14919">
      <c r="K14919" s="317"/>
    </row>
    <row r="14920">
      <c r="K14920" s="317"/>
    </row>
    <row r="14921">
      <c r="K14921" s="317"/>
    </row>
    <row r="14922">
      <c r="K14922" s="317"/>
    </row>
    <row r="14923">
      <c r="K14923" s="317"/>
    </row>
    <row r="14924">
      <c r="K14924" s="317"/>
    </row>
    <row r="14925">
      <c r="K14925" s="317"/>
    </row>
    <row r="14926">
      <c r="K14926" s="317"/>
    </row>
    <row r="14927">
      <c r="K14927" s="317"/>
    </row>
    <row r="14928">
      <c r="K14928" s="317"/>
    </row>
    <row r="14929">
      <c r="K14929" s="317"/>
    </row>
    <row r="14930">
      <c r="K14930" s="317"/>
    </row>
    <row r="14931">
      <c r="K14931" s="317"/>
    </row>
    <row r="14932">
      <c r="K14932" s="317"/>
    </row>
    <row r="14933">
      <c r="K14933" s="317"/>
    </row>
    <row r="14934">
      <c r="K14934" s="317"/>
    </row>
    <row r="14935">
      <c r="K14935" s="317"/>
    </row>
    <row r="14936">
      <c r="K14936" s="317"/>
    </row>
    <row r="14937">
      <c r="K14937" s="317"/>
    </row>
    <row r="14938">
      <c r="K14938" s="317"/>
    </row>
    <row r="14939">
      <c r="K14939" s="317"/>
    </row>
    <row r="14940">
      <c r="K14940" s="317"/>
    </row>
    <row r="14941">
      <c r="K14941" s="317"/>
    </row>
    <row r="14942">
      <c r="K14942" s="317"/>
    </row>
    <row r="14943">
      <c r="K14943" s="317"/>
    </row>
    <row r="14944">
      <c r="K14944" s="317"/>
    </row>
    <row r="14945">
      <c r="K14945" s="317"/>
    </row>
    <row r="14946">
      <c r="K14946" s="317"/>
    </row>
    <row r="14947">
      <c r="K14947" s="317"/>
    </row>
    <row r="14948">
      <c r="K14948" s="317"/>
    </row>
    <row r="14949">
      <c r="K14949" s="317"/>
    </row>
    <row r="14950">
      <c r="K14950" s="317"/>
    </row>
    <row r="14951">
      <c r="K14951" s="317"/>
    </row>
    <row r="14952">
      <c r="K14952" s="317"/>
    </row>
    <row r="14953">
      <c r="K14953" s="317"/>
    </row>
    <row r="14954">
      <c r="K14954" s="317"/>
    </row>
    <row r="14955">
      <c r="K14955" s="317"/>
    </row>
    <row r="14956">
      <c r="K14956" s="317"/>
    </row>
    <row r="14957">
      <c r="K14957" s="317"/>
    </row>
    <row r="14958">
      <c r="K14958" s="317"/>
    </row>
    <row r="14959">
      <c r="K14959" s="317"/>
    </row>
    <row r="14960">
      <c r="K14960" s="317"/>
    </row>
    <row r="14961">
      <c r="K14961" s="317"/>
    </row>
    <row r="14962">
      <c r="K14962" s="317"/>
    </row>
    <row r="14963">
      <c r="K14963" s="317"/>
    </row>
    <row r="14964">
      <c r="K14964" s="317"/>
    </row>
    <row r="14965">
      <c r="K14965" s="317"/>
    </row>
    <row r="14966">
      <c r="K14966" s="317"/>
    </row>
    <row r="14967">
      <c r="K14967" s="317"/>
    </row>
    <row r="14968">
      <c r="K14968" s="317"/>
    </row>
    <row r="14969">
      <c r="K14969" s="317"/>
    </row>
    <row r="14970">
      <c r="K14970" s="317"/>
    </row>
    <row r="14971">
      <c r="K14971" s="317"/>
    </row>
    <row r="14972">
      <c r="K14972" s="317"/>
    </row>
    <row r="14973">
      <c r="K14973" s="317"/>
    </row>
    <row r="14974">
      <c r="K14974" s="317"/>
    </row>
    <row r="14975">
      <c r="K14975" s="317"/>
    </row>
    <row r="14976">
      <c r="K14976" s="317"/>
    </row>
    <row r="14977">
      <c r="K14977" s="317"/>
    </row>
    <row r="14978">
      <c r="K14978" s="317"/>
    </row>
    <row r="14979">
      <c r="K14979" s="317"/>
    </row>
    <row r="14980">
      <c r="K14980" s="317"/>
    </row>
    <row r="14981">
      <c r="K14981" s="317"/>
    </row>
    <row r="14982">
      <c r="K14982" s="317"/>
    </row>
    <row r="14983">
      <c r="K14983" s="317"/>
    </row>
    <row r="14984">
      <c r="K14984" s="317"/>
    </row>
    <row r="14985">
      <c r="K14985" s="317"/>
    </row>
    <row r="14986">
      <c r="K14986" s="317"/>
    </row>
    <row r="14987">
      <c r="K14987" s="317"/>
    </row>
    <row r="14988">
      <c r="K14988" s="317"/>
    </row>
    <row r="14989">
      <c r="K14989" s="317"/>
    </row>
    <row r="14990">
      <c r="K14990" s="317"/>
    </row>
    <row r="14991">
      <c r="K14991" s="317"/>
    </row>
    <row r="14992">
      <c r="K14992" s="317"/>
    </row>
    <row r="14993">
      <c r="K14993" s="317"/>
    </row>
    <row r="14994">
      <c r="K14994" s="317"/>
    </row>
    <row r="14995">
      <c r="K14995" s="317"/>
    </row>
    <row r="14996">
      <c r="K14996" s="317"/>
    </row>
    <row r="14997">
      <c r="K14997" s="317"/>
    </row>
    <row r="14998">
      <c r="K14998" s="317"/>
    </row>
    <row r="14999">
      <c r="K14999" s="317"/>
    </row>
    <row r="15000">
      <c r="K15000" s="317"/>
    </row>
    <row r="15001">
      <c r="K15001" s="317"/>
    </row>
    <row r="15002">
      <c r="K15002" s="317"/>
    </row>
    <row r="15003">
      <c r="K15003" s="317"/>
    </row>
    <row r="15004">
      <c r="K15004" s="317"/>
    </row>
    <row r="15005">
      <c r="K15005" s="317"/>
    </row>
    <row r="15006">
      <c r="K15006" s="317"/>
    </row>
    <row r="15007">
      <c r="K15007" s="317"/>
    </row>
    <row r="15008">
      <c r="K15008" s="317"/>
    </row>
    <row r="15009">
      <c r="K15009" s="317"/>
    </row>
    <row r="15010">
      <c r="K15010" s="317"/>
    </row>
    <row r="15011">
      <c r="K15011" s="317"/>
    </row>
    <row r="15012">
      <c r="K15012" s="317"/>
    </row>
    <row r="15013">
      <c r="K15013" s="317"/>
    </row>
    <row r="15014">
      <c r="K15014" s="317"/>
    </row>
    <row r="15015">
      <c r="K15015" s="317"/>
    </row>
    <row r="15016">
      <c r="K15016" s="317"/>
    </row>
    <row r="15017">
      <c r="K15017" s="317"/>
    </row>
    <row r="15018">
      <c r="K15018" s="317"/>
    </row>
    <row r="15019">
      <c r="K15019" s="317"/>
    </row>
    <row r="15020">
      <c r="K15020" s="317"/>
    </row>
    <row r="15021">
      <c r="K15021" s="317"/>
    </row>
    <row r="15022">
      <c r="K15022" s="317"/>
    </row>
    <row r="15023">
      <c r="K15023" s="317"/>
    </row>
    <row r="15024">
      <c r="K15024" s="317"/>
    </row>
    <row r="15025">
      <c r="K15025" s="317"/>
    </row>
    <row r="15026">
      <c r="K15026" s="317"/>
    </row>
    <row r="15027">
      <c r="K15027" s="317"/>
    </row>
    <row r="15028">
      <c r="K15028" s="317"/>
    </row>
    <row r="15029">
      <c r="K15029" s="317"/>
    </row>
    <row r="15030">
      <c r="K15030" s="317"/>
    </row>
    <row r="15031">
      <c r="K15031" s="317"/>
    </row>
    <row r="15032">
      <c r="K15032" s="317"/>
    </row>
    <row r="15033">
      <c r="K15033" s="317"/>
    </row>
    <row r="15034">
      <c r="K15034" s="317"/>
    </row>
    <row r="15035">
      <c r="K15035" s="317"/>
    </row>
    <row r="15036">
      <c r="K15036" s="317"/>
    </row>
    <row r="15037">
      <c r="K15037" s="317"/>
    </row>
    <row r="15038">
      <c r="K15038" s="317"/>
    </row>
    <row r="15039">
      <c r="K15039" s="317"/>
    </row>
    <row r="15040">
      <c r="K15040" s="317"/>
    </row>
    <row r="15041">
      <c r="K15041" s="317"/>
    </row>
    <row r="15042">
      <c r="K15042" s="317"/>
    </row>
    <row r="15043">
      <c r="K15043" s="317"/>
    </row>
    <row r="15044">
      <c r="K15044" s="317"/>
    </row>
    <row r="15045">
      <c r="K15045" s="317"/>
    </row>
    <row r="15046">
      <c r="K15046" s="317"/>
    </row>
    <row r="15047">
      <c r="K15047" s="317"/>
    </row>
    <row r="15048">
      <c r="K15048" s="317"/>
    </row>
    <row r="15049">
      <c r="K15049" s="317"/>
    </row>
    <row r="15050">
      <c r="K15050" s="317"/>
    </row>
    <row r="15051">
      <c r="K15051" s="317"/>
    </row>
    <row r="15052">
      <c r="K15052" s="317"/>
    </row>
    <row r="15053">
      <c r="K15053" s="317"/>
    </row>
    <row r="15054">
      <c r="K15054" s="317"/>
    </row>
    <row r="15055">
      <c r="K15055" s="317"/>
    </row>
    <row r="15056">
      <c r="K15056" s="317"/>
    </row>
    <row r="15057">
      <c r="K15057" s="317"/>
    </row>
    <row r="15058">
      <c r="K15058" s="317"/>
    </row>
    <row r="15059">
      <c r="K15059" s="317"/>
    </row>
    <row r="15060">
      <c r="K15060" s="317"/>
    </row>
    <row r="15061">
      <c r="K15061" s="317"/>
    </row>
    <row r="15062">
      <c r="K15062" s="317"/>
    </row>
    <row r="15063">
      <c r="K15063" s="317"/>
    </row>
    <row r="15064">
      <c r="K15064" s="317"/>
    </row>
    <row r="15065">
      <c r="K15065" s="317"/>
    </row>
    <row r="15066">
      <c r="K15066" s="317"/>
    </row>
    <row r="15067">
      <c r="K15067" s="317"/>
    </row>
    <row r="15068">
      <c r="K15068" s="317"/>
    </row>
    <row r="15069">
      <c r="K15069" s="317"/>
    </row>
    <row r="15070">
      <c r="K15070" s="317"/>
    </row>
    <row r="15071">
      <c r="K15071" s="317"/>
    </row>
    <row r="15072">
      <c r="K15072" s="317"/>
    </row>
    <row r="15073">
      <c r="K15073" s="317"/>
    </row>
    <row r="15074">
      <c r="K15074" s="317"/>
    </row>
    <row r="15075">
      <c r="K15075" s="317"/>
    </row>
    <row r="15076">
      <c r="K15076" s="317"/>
    </row>
    <row r="15077">
      <c r="K15077" s="317"/>
    </row>
    <row r="15078">
      <c r="K15078" s="317"/>
    </row>
    <row r="15079">
      <c r="K15079" s="317"/>
    </row>
    <row r="15080">
      <c r="K15080" s="317"/>
    </row>
    <row r="15081">
      <c r="K15081" s="317"/>
    </row>
    <row r="15082">
      <c r="K15082" s="317"/>
    </row>
    <row r="15083">
      <c r="K15083" s="317"/>
    </row>
    <row r="15084">
      <c r="K15084" s="317"/>
    </row>
    <row r="15085">
      <c r="K15085" s="317"/>
    </row>
    <row r="15086">
      <c r="K15086" s="317"/>
    </row>
    <row r="15087">
      <c r="K15087" s="317"/>
    </row>
    <row r="15088">
      <c r="K15088" s="317"/>
    </row>
    <row r="15089">
      <c r="K15089" s="317"/>
    </row>
    <row r="15090">
      <c r="K15090" s="317"/>
    </row>
    <row r="15091">
      <c r="K15091" s="317"/>
    </row>
    <row r="15092">
      <c r="K15092" s="317"/>
    </row>
    <row r="15093">
      <c r="K15093" s="317"/>
    </row>
    <row r="15094">
      <c r="K15094" s="317"/>
    </row>
    <row r="15095">
      <c r="K15095" s="317"/>
    </row>
    <row r="15096">
      <c r="K15096" s="317"/>
    </row>
    <row r="15097">
      <c r="K15097" s="317"/>
    </row>
    <row r="15098">
      <c r="K15098" s="317"/>
    </row>
    <row r="15099">
      <c r="K15099" s="317"/>
    </row>
    <row r="15100">
      <c r="K15100" s="317"/>
    </row>
    <row r="15101">
      <c r="K15101" s="317"/>
    </row>
    <row r="15102">
      <c r="K15102" s="317"/>
    </row>
    <row r="15103">
      <c r="K15103" s="317"/>
    </row>
    <row r="15104">
      <c r="K15104" s="317"/>
    </row>
    <row r="15105">
      <c r="K15105" s="317"/>
    </row>
    <row r="15106">
      <c r="K15106" s="317"/>
    </row>
    <row r="15107">
      <c r="K15107" s="317"/>
    </row>
    <row r="15108">
      <c r="K15108" s="317"/>
    </row>
    <row r="15109">
      <c r="K15109" s="317"/>
    </row>
    <row r="15110">
      <c r="K15110" s="317"/>
    </row>
    <row r="15111">
      <c r="K15111" s="317"/>
    </row>
    <row r="15112">
      <c r="K15112" s="317"/>
    </row>
    <row r="15113">
      <c r="K15113" s="317"/>
    </row>
    <row r="15114">
      <c r="K15114" s="317"/>
    </row>
    <row r="15115">
      <c r="K15115" s="317"/>
    </row>
    <row r="15116">
      <c r="K15116" s="317"/>
    </row>
    <row r="15117">
      <c r="K15117" s="317"/>
    </row>
    <row r="15118">
      <c r="K15118" s="317"/>
    </row>
    <row r="15119">
      <c r="K15119" s="317"/>
    </row>
    <row r="15120">
      <c r="K15120" s="317"/>
    </row>
    <row r="15121">
      <c r="K15121" s="317"/>
    </row>
    <row r="15122">
      <c r="K15122" s="317"/>
    </row>
    <row r="15123">
      <c r="K15123" s="317"/>
    </row>
    <row r="15124">
      <c r="K15124" s="317"/>
    </row>
    <row r="15125">
      <c r="K15125" s="317"/>
    </row>
    <row r="15126">
      <c r="K15126" s="317"/>
    </row>
    <row r="15127">
      <c r="K15127" s="317"/>
    </row>
    <row r="15128">
      <c r="K15128" s="317"/>
    </row>
    <row r="15129">
      <c r="K15129" s="317"/>
    </row>
    <row r="15130">
      <c r="K15130" s="317"/>
    </row>
    <row r="15131">
      <c r="K15131" s="317"/>
    </row>
    <row r="15132">
      <c r="K15132" s="317"/>
    </row>
    <row r="15133">
      <c r="K15133" s="317"/>
    </row>
    <row r="15134">
      <c r="K15134" s="317"/>
    </row>
    <row r="15135">
      <c r="K15135" s="317"/>
    </row>
    <row r="15136">
      <c r="K15136" s="317"/>
    </row>
    <row r="15137">
      <c r="K15137" s="317"/>
    </row>
    <row r="15138">
      <c r="K15138" s="317"/>
    </row>
    <row r="15139">
      <c r="K15139" s="317"/>
    </row>
    <row r="15140">
      <c r="K15140" s="317"/>
    </row>
    <row r="15141">
      <c r="K15141" s="317"/>
    </row>
    <row r="15142">
      <c r="K15142" s="317"/>
    </row>
    <row r="15143">
      <c r="K15143" s="317"/>
    </row>
    <row r="15144">
      <c r="K15144" s="317"/>
    </row>
    <row r="15145">
      <c r="K15145" s="317"/>
    </row>
    <row r="15146">
      <c r="K15146" s="317"/>
    </row>
    <row r="15147">
      <c r="K15147" s="317"/>
    </row>
    <row r="15148">
      <c r="K15148" s="317"/>
    </row>
    <row r="15149">
      <c r="K15149" s="317"/>
    </row>
    <row r="15150">
      <c r="K15150" s="317"/>
    </row>
    <row r="15151">
      <c r="K15151" s="317"/>
    </row>
    <row r="15152">
      <c r="K15152" s="317"/>
    </row>
    <row r="15153">
      <c r="K15153" s="317"/>
    </row>
    <row r="15154">
      <c r="K15154" s="317"/>
    </row>
    <row r="15155">
      <c r="K15155" s="317"/>
    </row>
    <row r="15156">
      <c r="K15156" s="317"/>
    </row>
    <row r="15157">
      <c r="K15157" s="317"/>
    </row>
    <row r="15158">
      <c r="K15158" s="317"/>
    </row>
    <row r="15159">
      <c r="K15159" s="317"/>
    </row>
    <row r="15160">
      <c r="K15160" s="317"/>
    </row>
    <row r="15161">
      <c r="K15161" s="317"/>
    </row>
    <row r="15162">
      <c r="K15162" s="317"/>
    </row>
    <row r="15163">
      <c r="K15163" s="317"/>
    </row>
    <row r="15164">
      <c r="K15164" s="317"/>
    </row>
    <row r="15165">
      <c r="K15165" s="317"/>
    </row>
    <row r="15166">
      <c r="K15166" s="317"/>
    </row>
    <row r="15167">
      <c r="K15167" s="317"/>
    </row>
    <row r="15168">
      <c r="K15168" s="317"/>
    </row>
    <row r="15169">
      <c r="K15169" s="317"/>
    </row>
    <row r="15170">
      <c r="K15170" s="317"/>
    </row>
    <row r="15171">
      <c r="K15171" s="317"/>
    </row>
    <row r="15172">
      <c r="K15172" s="317"/>
    </row>
    <row r="15173">
      <c r="K15173" s="317"/>
    </row>
    <row r="15174">
      <c r="K15174" s="317"/>
    </row>
    <row r="15175">
      <c r="K15175" s="317"/>
    </row>
    <row r="15176">
      <c r="K15176" s="317"/>
    </row>
    <row r="15177">
      <c r="K15177" s="317"/>
    </row>
    <row r="15178">
      <c r="K15178" s="317"/>
    </row>
    <row r="15179">
      <c r="K15179" s="317"/>
    </row>
    <row r="15180">
      <c r="K15180" s="317"/>
    </row>
    <row r="15181">
      <c r="K15181" s="317"/>
    </row>
    <row r="15182">
      <c r="K15182" s="317"/>
    </row>
    <row r="15183">
      <c r="K15183" s="317"/>
    </row>
    <row r="15184">
      <c r="K15184" s="317"/>
    </row>
    <row r="15185">
      <c r="K15185" s="317"/>
    </row>
    <row r="15186">
      <c r="K15186" s="317"/>
    </row>
    <row r="15187">
      <c r="K15187" s="317"/>
    </row>
    <row r="15188">
      <c r="K15188" s="317"/>
    </row>
    <row r="15189">
      <c r="K15189" s="317"/>
    </row>
    <row r="15190">
      <c r="K15190" s="317"/>
    </row>
    <row r="15191">
      <c r="K15191" s="317"/>
    </row>
    <row r="15192">
      <c r="K15192" s="317"/>
    </row>
    <row r="15193">
      <c r="K15193" s="317"/>
    </row>
    <row r="15194">
      <c r="K15194" s="317"/>
    </row>
    <row r="15195">
      <c r="K15195" s="317"/>
    </row>
    <row r="15196">
      <c r="K15196" s="317"/>
    </row>
    <row r="15197">
      <c r="K15197" s="317"/>
    </row>
    <row r="15198">
      <c r="K15198" s="317"/>
    </row>
    <row r="15199">
      <c r="K15199" s="317"/>
    </row>
    <row r="15200">
      <c r="K15200" s="317"/>
    </row>
    <row r="15201">
      <c r="K15201" s="317"/>
    </row>
    <row r="15202">
      <c r="K15202" s="317"/>
    </row>
    <row r="15203">
      <c r="K15203" s="317"/>
    </row>
    <row r="15204">
      <c r="K15204" s="317"/>
    </row>
    <row r="15205">
      <c r="K15205" s="317"/>
    </row>
    <row r="15206">
      <c r="K15206" s="317"/>
    </row>
    <row r="15207">
      <c r="K15207" s="317"/>
    </row>
    <row r="15208">
      <c r="K15208" s="317"/>
    </row>
    <row r="15209">
      <c r="K15209" s="317"/>
    </row>
    <row r="15210">
      <c r="K15210" s="317"/>
    </row>
    <row r="15211">
      <c r="K15211" s="317"/>
    </row>
    <row r="15212">
      <c r="K15212" s="317"/>
    </row>
    <row r="15213">
      <c r="K15213" s="317"/>
    </row>
    <row r="15214">
      <c r="K15214" s="317"/>
    </row>
    <row r="15215">
      <c r="K15215" s="317"/>
    </row>
    <row r="15216">
      <c r="K15216" s="317"/>
    </row>
    <row r="15217">
      <c r="K15217" s="317"/>
    </row>
    <row r="15218">
      <c r="K15218" s="317"/>
    </row>
    <row r="15219">
      <c r="K15219" s="317"/>
    </row>
    <row r="15220">
      <c r="K15220" s="317"/>
    </row>
    <row r="15221">
      <c r="K15221" s="317"/>
    </row>
    <row r="15222">
      <c r="K15222" s="317"/>
    </row>
    <row r="15223">
      <c r="K15223" s="317"/>
    </row>
    <row r="15224">
      <c r="K15224" s="317"/>
    </row>
    <row r="15225">
      <c r="K15225" s="317"/>
    </row>
    <row r="15226">
      <c r="K15226" s="317"/>
    </row>
    <row r="15227">
      <c r="K15227" s="317"/>
    </row>
    <row r="15228">
      <c r="K15228" s="317"/>
    </row>
    <row r="15229">
      <c r="K15229" s="317"/>
    </row>
    <row r="15230">
      <c r="K15230" s="317"/>
    </row>
    <row r="15231">
      <c r="K15231" s="317"/>
    </row>
    <row r="15232">
      <c r="K15232" s="317"/>
    </row>
    <row r="15233">
      <c r="K15233" s="317"/>
    </row>
    <row r="15234">
      <c r="K15234" s="317"/>
    </row>
    <row r="15235">
      <c r="K15235" s="317"/>
    </row>
    <row r="15236">
      <c r="K15236" s="317"/>
    </row>
    <row r="15237">
      <c r="K15237" s="317"/>
    </row>
    <row r="15238">
      <c r="K15238" s="317"/>
    </row>
    <row r="15239">
      <c r="K15239" s="317"/>
    </row>
    <row r="15240">
      <c r="K15240" s="317"/>
    </row>
    <row r="15241">
      <c r="K15241" s="317"/>
    </row>
    <row r="15242">
      <c r="K15242" s="317"/>
    </row>
    <row r="15243">
      <c r="K15243" s="317"/>
    </row>
    <row r="15244">
      <c r="K15244" s="317"/>
    </row>
    <row r="15245">
      <c r="K15245" s="317"/>
    </row>
    <row r="15246">
      <c r="K15246" s="317"/>
    </row>
    <row r="15247">
      <c r="K15247" s="317"/>
    </row>
    <row r="15248">
      <c r="K15248" s="317"/>
    </row>
    <row r="15249">
      <c r="K15249" s="317"/>
    </row>
    <row r="15250">
      <c r="K15250" s="317"/>
    </row>
    <row r="15251">
      <c r="K15251" s="317"/>
    </row>
    <row r="15252">
      <c r="K15252" s="317"/>
    </row>
    <row r="15253">
      <c r="K15253" s="317"/>
    </row>
    <row r="15254">
      <c r="K15254" s="317"/>
    </row>
    <row r="15255">
      <c r="K15255" s="317"/>
    </row>
    <row r="15256">
      <c r="K15256" s="317"/>
    </row>
    <row r="15257">
      <c r="K15257" s="317"/>
    </row>
    <row r="15258">
      <c r="K15258" s="317"/>
    </row>
    <row r="15259">
      <c r="K15259" s="317"/>
    </row>
    <row r="15260">
      <c r="K15260" s="317"/>
    </row>
    <row r="15261">
      <c r="K15261" s="317"/>
    </row>
    <row r="15262">
      <c r="K15262" s="317"/>
    </row>
    <row r="15263">
      <c r="K15263" s="317"/>
    </row>
    <row r="15264">
      <c r="K15264" s="317"/>
    </row>
    <row r="15265">
      <c r="K15265" s="317"/>
    </row>
    <row r="15266">
      <c r="K15266" s="317"/>
    </row>
    <row r="15267">
      <c r="K15267" s="317"/>
    </row>
    <row r="15268">
      <c r="K15268" s="317"/>
    </row>
    <row r="15269">
      <c r="K15269" s="317"/>
    </row>
    <row r="15270">
      <c r="K15270" s="317"/>
    </row>
    <row r="15271">
      <c r="K15271" s="317"/>
    </row>
    <row r="15272">
      <c r="K15272" s="317"/>
    </row>
    <row r="15273">
      <c r="K15273" s="317"/>
    </row>
    <row r="15274">
      <c r="K15274" s="317"/>
    </row>
    <row r="15275">
      <c r="K15275" s="317"/>
    </row>
    <row r="15276">
      <c r="K15276" s="317"/>
    </row>
    <row r="15277">
      <c r="K15277" s="317"/>
    </row>
    <row r="15278">
      <c r="K15278" s="317"/>
    </row>
    <row r="15279">
      <c r="K15279" s="317"/>
    </row>
    <row r="15280">
      <c r="K15280" s="317"/>
    </row>
    <row r="15281">
      <c r="K15281" s="317"/>
    </row>
    <row r="15282">
      <c r="K15282" s="317"/>
    </row>
    <row r="15283">
      <c r="K15283" s="317"/>
    </row>
    <row r="15284">
      <c r="K15284" s="317"/>
    </row>
    <row r="15285">
      <c r="K15285" s="317"/>
    </row>
    <row r="15286">
      <c r="K15286" s="317"/>
    </row>
    <row r="15287">
      <c r="K15287" s="317"/>
    </row>
    <row r="15288">
      <c r="K15288" s="317"/>
    </row>
    <row r="15289">
      <c r="K15289" s="317"/>
    </row>
    <row r="15290">
      <c r="K15290" s="317"/>
    </row>
    <row r="15291">
      <c r="K15291" s="317"/>
    </row>
    <row r="15292">
      <c r="K15292" s="317"/>
    </row>
    <row r="15293">
      <c r="K15293" s="317"/>
    </row>
    <row r="15294">
      <c r="K15294" s="317"/>
    </row>
    <row r="15295">
      <c r="K15295" s="317"/>
    </row>
    <row r="15296">
      <c r="K15296" s="317"/>
    </row>
    <row r="15297">
      <c r="K15297" s="317"/>
    </row>
    <row r="15298">
      <c r="K15298" s="317"/>
    </row>
    <row r="15299">
      <c r="K15299" s="317"/>
    </row>
    <row r="15300">
      <c r="K15300" s="317"/>
    </row>
    <row r="15301">
      <c r="K15301" s="317"/>
    </row>
    <row r="15302">
      <c r="K15302" s="317"/>
    </row>
    <row r="15303">
      <c r="K15303" s="317"/>
    </row>
    <row r="15304">
      <c r="K15304" s="317"/>
    </row>
    <row r="15305">
      <c r="K15305" s="317"/>
    </row>
    <row r="15306">
      <c r="K15306" s="317"/>
    </row>
    <row r="15307">
      <c r="K15307" s="317"/>
    </row>
    <row r="15308">
      <c r="K15308" s="317"/>
    </row>
    <row r="15309">
      <c r="K15309" s="317"/>
    </row>
    <row r="15310">
      <c r="K15310" s="317"/>
    </row>
    <row r="15311">
      <c r="K15311" s="317"/>
    </row>
    <row r="15312">
      <c r="K15312" s="317"/>
    </row>
    <row r="15313">
      <c r="K15313" s="317"/>
    </row>
    <row r="15314">
      <c r="K15314" s="317"/>
    </row>
    <row r="15315">
      <c r="K15315" s="317"/>
    </row>
    <row r="15316">
      <c r="K15316" s="317"/>
    </row>
    <row r="15317">
      <c r="K15317" s="317"/>
    </row>
    <row r="15318">
      <c r="K15318" s="317"/>
    </row>
    <row r="15319">
      <c r="K15319" s="317"/>
    </row>
    <row r="15320">
      <c r="K15320" s="317"/>
    </row>
    <row r="15321">
      <c r="K15321" s="317"/>
    </row>
    <row r="15322">
      <c r="K15322" s="317"/>
    </row>
    <row r="15323">
      <c r="K15323" s="317"/>
    </row>
    <row r="15324">
      <c r="K15324" s="317"/>
    </row>
    <row r="15325">
      <c r="K15325" s="317"/>
    </row>
    <row r="15326">
      <c r="K15326" s="317"/>
    </row>
    <row r="15327">
      <c r="K15327" s="317"/>
    </row>
    <row r="15328">
      <c r="K15328" s="317"/>
    </row>
    <row r="15329">
      <c r="K15329" s="317"/>
    </row>
    <row r="15330">
      <c r="K15330" s="317"/>
    </row>
    <row r="15331">
      <c r="K15331" s="317"/>
    </row>
    <row r="15332">
      <c r="K15332" s="317"/>
    </row>
    <row r="15333">
      <c r="K15333" s="317"/>
    </row>
    <row r="15334">
      <c r="K15334" s="317"/>
    </row>
    <row r="15335">
      <c r="K15335" s="317"/>
    </row>
    <row r="15336">
      <c r="K15336" s="317"/>
    </row>
    <row r="15337">
      <c r="K15337" s="317"/>
    </row>
    <row r="15338">
      <c r="K15338" s="317"/>
    </row>
    <row r="15339">
      <c r="K15339" s="317"/>
    </row>
    <row r="15340">
      <c r="K15340" s="317"/>
    </row>
    <row r="15341">
      <c r="K15341" s="317"/>
    </row>
    <row r="15342">
      <c r="K15342" s="317"/>
    </row>
    <row r="15343">
      <c r="K15343" s="317"/>
    </row>
    <row r="15344">
      <c r="K15344" s="317"/>
    </row>
    <row r="15345">
      <c r="K15345" s="317"/>
    </row>
    <row r="15346">
      <c r="K15346" s="317"/>
    </row>
    <row r="15347">
      <c r="K15347" s="317"/>
    </row>
    <row r="15348">
      <c r="K15348" s="317"/>
    </row>
    <row r="15349">
      <c r="K15349" s="317"/>
    </row>
    <row r="15350">
      <c r="K15350" s="317"/>
    </row>
    <row r="15351">
      <c r="K15351" s="317"/>
    </row>
    <row r="15352">
      <c r="K15352" s="317"/>
    </row>
    <row r="15353">
      <c r="K15353" s="317"/>
    </row>
    <row r="15354">
      <c r="K15354" s="317"/>
    </row>
    <row r="15355">
      <c r="K15355" s="317"/>
    </row>
    <row r="15356">
      <c r="K15356" s="317"/>
    </row>
    <row r="15357">
      <c r="K15357" s="317"/>
    </row>
    <row r="15358">
      <c r="K15358" s="317"/>
    </row>
    <row r="15359">
      <c r="K15359" s="317"/>
    </row>
    <row r="15360">
      <c r="K15360" s="317"/>
    </row>
    <row r="15361">
      <c r="K15361" s="317"/>
    </row>
    <row r="15362">
      <c r="K15362" s="317"/>
    </row>
    <row r="15363">
      <c r="K15363" s="317"/>
    </row>
    <row r="15364">
      <c r="K15364" s="317"/>
    </row>
    <row r="15365">
      <c r="K15365" s="317"/>
    </row>
    <row r="15366">
      <c r="K15366" s="317"/>
    </row>
    <row r="15367">
      <c r="K15367" s="317"/>
    </row>
    <row r="15368">
      <c r="K15368" s="317"/>
    </row>
    <row r="15369">
      <c r="K15369" s="317"/>
    </row>
    <row r="15370">
      <c r="K15370" s="317"/>
    </row>
    <row r="15371">
      <c r="K15371" s="317"/>
    </row>
    <row r="15372">
      <c r="K15372" s="317"/>
    </row>
    <row r="15373">
      <c r="K15373" s="317"/>
    </row>
    <row r="15374">
      <c r="K15374" s="317"/>
    </row>
    <row r="15375">
      <c r="K15375" s="317"/>
    </row>
    <row r="15376">
      <c r="K15376" s="317"/>
    </row>
    <row r="15377">
      <c r="K15377" s="317"/>
    </row>
    <row r="15378">
      <c r="K15378" s="317"/>
    </row>
    <row r="15379">
      <c r="K15379" s="317"/>
    </row>
    <row r="15380">
      <c r="K15380" s="317"/>
    </row>
    <row r="15381">
      <c r="K15381" s="317"/>
    </row>
    <row r="15382">
      <c r="K15382" s="317"/>
    </row>
    <row r="15383">
      <c r="K15383" s="317"/>
    </row>
    <row r="15384">
      <c r="K15384" s="317"/>
    </row>
    <row r="15385">
      <c r="K15385" s="317"/>
    </row>
    <row r="15386">
      <c r="K15386" s="317"/>
    </row>
    <row r="15387">
      <c r="K15387" s="317"/>
    </row>
    <row r="15388">
      <c r="K15388" s="317"/>
    </row>
    <row r="15389">
      <c r="K15389" s="317"/>
    </row>
    <row r="15390">
      <c r="K15390" s="317"/>
    </row>
    <row r="15391">
      <c r="K15391" s="317"/>
    </row>
    <row r="15392">
      <c r="K15392" s="317"/>
    </row>
    <row r="15393">
      <c r="K15393" s="317"/>
    </row>
    <row r="15394">
      <c r="K15394" s="317"/>
    </row>
    <row r="15395">
      <c r="K15395" s="317"/>
    </row>
    <row r="15396">
      <c r="K15396" s="317"/>
    </row>
    <row r="15397">
      <c r="K15397" s="317"/>
    </row>
    <row r="15398">
      <c r="K15398" s="317"/>
    </row>
    <row r="15399">
      <c r="K15399" s="317"/>
    </row>
    <row r="15400">
      <c r="K15400" s="317"/>
    </row>
    <row r="15401">
      <c r="K15401" s="317"/>
    </row>
    <row r="15402">
      <c r="K15402" s="317"/>
    </row>
    <row r="15403">
      <c r="K15403" s="317"/>
    </row>
    <row r="15404">
      <c r="K15404" s="317"/>
    </row>
    <row r="15405">
      <c r="K15405" s="317"/>
    </row>
    <row r="15406">
      <c r="K15406" s="317"/>
    </row>
    <row r="15407">
      <c r="K15407" s="317"/>
    </row>
    <row r="15408">
      <c r="K15408" s="317"/>
    </row>
    <row r="15409">
      <c r="K15409" s="317"/>
    </row>
    <row r="15410">
      <c r="K15410" s="317"/>
    </row>
    <row r="15411">
      <c r="K15411" s="317"/>
    </row>
    <row r="15412">
      <c r="K15412" s="317"/>
    </row>
    <row r="15413">
      <c r="K15413" s="317"/>
    </row>
    <row r="15414">
      <c r="K15414" s="317"/>
    </row>
    <row r="15415">
      <c r="K15415" s="317"/>
    </row>
    <row r="15416">
      <c r="K15416" s="317"/>
    </row>
    <row r="15417">
      <c r="K15417" s="317"/>
    </row>
    <row r="15418">
      <c r="K15418" s="317"/>
    </row>
    <row r="15419">
      <c r="K15419" s="317"/>
    </row>
    <row r="15420">
      <c r="K15420" s="317"/>
    </row>
    <row r="15421">
      <c r="K15421" s="317"/>
    </row>
    <row r="15422">
      <c r="K15422" s="317"/>
    </row>
    <row r="15423">
      <c r="K15423" s="317"/>
    </row>
    <row r="15424">
      <c r="K15424" s="317"/>
    </row>
    <row r="15425">
      <c r="K15425" s="317"/>
    </row>
    <row r="15426">
      <c r="K15426" s="317"/>
    </row>
    <row r="15427">
      <c r="K15427" s="317"/>
    </row>
    <row r="15428">
      <c r="K15428" s="317"/>
    </row>
    <row r="15429">
      <c r="K15429" s="317"/>
    </row>
    <row r="15430">
      <c r="K15430" s="317"/>
    </row>
    <row r="15431">
      <c r="K15431" s="317"/>
    </row>
    <row r="15432">
      <c r="K15432" s="317"/>
    </row>
    <row r="15433">
      <c r="K15433" s="317"/>
    </row>
    <row r="15434">
      <c r="K15434" s="317"/>
    </row>
    <row r="15435">
      <c r="K15435" s="317"/>
    </row>
    <row r="15436">
      <c r="K15436" s="317"/>
    </row>
    <row r="15437">
      <c r="K15437" s="317"/>
    </row>
    <row r="15438">
      <c r="K15438" s="317"/>
    </row>
    <row r="15439">
      <c r="K15439" s="317"/>
    </row>
    <row r="15440">
      <c r="K15440" s="317"/>
    </row>
    <row r="15441">
      <c r="K15441" s="317"/>
    </row>
    <row r="15442">
      <c r="K15442" s="317"/>
    </row>
    <row r="15443">
      <c r="K15443" s="317"/>
    </row>
    <row r="15444">
      <c r="K15444" s="317"/>
    </row>
    <row r="15445">
      <c r="K15445" s="317"/>
    </row>
    <row r="15446">
      <c r="K15446" s="317"/>
    </row>
    <row r="15447">
      <c r="K15447" s="317"/>
    </row>
    <row r="15448">
      <c r="K15448" s="317"/>
    </row>
    <row r="15449">
      <c r="K15449" s="317"/>
    </row>
    <row r="15450">
      <c r="K15450" s="317"/>
    </row>
    <row r="15451">
      <c r="K15451" s="317"/>
    </row>
    <row r="15452">
      <c r="K15452" s="317"/>
    </row>
    <row r="15453">
      <c r="K15453" s="317"/>
    </row>
    <row r="15454">
      <c r="K15454" s="317"/>
    </row>
    <row r="15455">
      <c r="K15455" s="317"/>
    </row>
    <row r="15456">
      <c r="K15456" s="317"/>
    </row>
    <row r="15457">
      <c r="K15457" s="317"/>
    </row>
    <row r="15458">
      <c r="K15458" s="317"/>
    </row>
    <row r="15459">
      <c r="K15459" s="317"/>
    </row>
    <row r="15460">
      <c r="K15460" s="317"/>
    </row>
    <row r="15461">
      <c r="K15461" s="317"/>
    </row>
    <row r="15462">
      <c r="K15462" s="317"/>
    </row>
    <row r="15463">
      <c r="K15463" s="317"/>
    </row>
    <row r="15464">
      <c r="K15464" s="317"/>
    </row>
    <row r="15465">
      <c r="K15465" s="317"/>
    </row>
    <row r="15466">
      <c r="K15466" s="317"/>
    </row>
    <row r="15467">
      <c r="K15467" s="317"/>
    </row>
    <row r="15468">
      <c r="K15468" s="317"/>
    </row>
    <row r="15469">
      <c r="K15469" s="317"/>
    </row>
    <row r="15470">
      <c r="K15470" s="317"/>
    </row>
    <row r="15471">
      <c r="K15471" s="317"/>
    </row>
    <row r="15472">
      <c r="K15472" s="317"/>
    </row>
    <row r="15473">
      <c r="K15473" s="317"/>
    </row>
    <row r="15474">
      <c r="K15474" s="317"/>
    </row>
    <row r="15475">
      <c r="K15475" s="317"/>
    </row>
    <row r="15476">
      <c r="K15476" s="317"/>
    </row>
    <row r="15477">
      <c r="K15477" s="317"/>
    </row>
    <row r="15478">
      <c r="K15478" s="317"/>
    </row>
    <row r="15479">
      <c r="K15479" s="317"/>
    </row>
    <row r="15480">
      <c r="K15480" s="317"/>
    </row>
    <row r="15481">
      <c r="K15481" s="317"/>
    </row>
    <row r="15482">
      <c r="K15482" s="317"/>
    </row>
    <row r="15483">
      <c r="K15483" s="317"/>
    </row>
    <row r="15484">
      <c r="K15484" s="317"/>
    </row>
    <row r="15485">
      <c r="K15485" s="317"/>
    </row>
    <row r="15486">
      <c r="K15486" s="317"/>
    </row>
    <row r="15487">
      <c r="K15487" s="317"/>
    </row>
    <row r="15488">
      <c r="K15488" s="317"/>
    </row>
    <row r="15489">
      <c r="K15489" s="317"/>
    </row>
    <row r="15490">
      <c r="K15490" s="317"/>
    </row>
    <row r="15491">
      <c r="K15491" s="317"/>
    </row>
    <row r="15492">
      <c r="K15492" s="317"/>
    </row>
    <row r="15493">
      <c r="K15493" s="317"/>
    </row>
    <row r="15494">
      <c r="K15494" s="317"/>
    </row>
    <row r="15495">
      <c r="K15495" s="317"/>
    </row>
    <row r="15496">
      <c r="K15496" s="317"/>
    </row>
    <row r="15497">
      <c r="K15497" s="317"/>
    </row>
    <row r="15498">
      <c r="K15498" s="317"/>
    </row>
    <row r="15499">
      <c r="K15499" s="317"/>
    </row>
    <row r="15500">
      <c r="K15500" s="317"/>
    </row>
    <row r="15501">
      <c r="K15501" s="317"/>
    </row>
    <row r="15502">
      <c r="K15502" s="317"/>
    </row>
    <row r="15503">
      <c r="K15503" s="317"/>
    </row>
    <row r="15504">
      <c r="K15504" s="317"/>
    </row>
    <row r="15505">
      <c r="K15505" s="317"/>
    </row>
    <row r="15506">
      <c r="K15506" s="317"/>
    </row>
    <row r="15507">
      <c r="K15507" s="317"/>
    </row>
    <row r="15508">
      <c r="K15508" s="317"/>
    </row>
    <row r="15509">
      <c r="K15509" s="317"/>
    </row>
    <row r="15510">
      <c r="K15510" s="317"/>
    </row>
    <row r="15511">
      <c r="K15511" s="317"/>
    </row>
    <row r="15512">
      <c r="K15512" s="317"/>
    </row>
    <row r="15513">
      <c r="K15513" s="317"/>
    </row>
    <row r="15514">
      <c r="K15514" s="317"/>
    </row>
    <row r="15515">
      <c r="K15515" s="317"/>
    </row>
    <row r="15516">
      <c r="K15516" s="317"/>
    </row>
    <row r="15517">
      <c r="K15517" s="317"/>
    </row>
    <row r="15518">
      <c r="K15518" s="317"/>
    </row>
    <row r="15519">
      <c r="K15519" s="317"/>
    </row>
    <row r="15520">
      <c r="K15520" s="317"/>
    </row>
    <row r="15521">
      <c r="K15521" s="317"/>
    </row>
    <row r="15522">
      <c r="K15522" s="317"/>
    </row>
    <row r="15523">
      <c r="K15523" s="317"/>
    </row>
    <row r="15524">
      <c r="K15524" s="317"/>
    </row>
    <row r="15525">
      <c r="K15525" s="317"/>
    </row>
    <row r="15526">
      <c r="K15526" s="317"/>
    </row>
    <row r="15527">
      <c r="K15527" s="317"/>
    </row>
    <row r="15528">
      <c r="K15528" s="317"/>
    </row>
    <row r="15529">
      <c r="K15529" s="317"/>
    </row>
    <row r="15530">
      <c r="K15530" s="317"/>
    </row>
    <row r="15531">
      <c r="K15531" s="317"/>
    </row>
    <row r="15532">
      <c r="K15532" s="317"/>
    </row>
    <row r="15533">
      <c r="K15533" s="317"/>
    </row>
    <row r="15534">
      <c r="K15534" s="317"/>
    </row>
    <row r="15535">
      <c r="K15535" s="317"/>
    </row>
    <row r="15536">
      <c r="K15536" s="317"/>
    </row>
    <row r="15537">
      <c r="K15537" s="317"/>
    </row>
    <row r="15538">
      <c r="K15538" s="317"/>
    </row>
    <row r="15539">
      <c r="K15539" s="317"/>
    </row>
    <row r="15540">
      <c r="K15540" s="317"/>
    </row>
    <row r="15541">
      <c r="K15541" s="317"/>
    </row>
    <row r="15542">
      <c r="K15542" s="317"/>
    </row>
    <row r="15543">
      <c r="K15543" s="317"/>
    </row>
    <row r="15544">
      <c r="K15544" s="317"/>
    </row>
    <row r="15545">
      <c r="K15545" s="317"/>
    </row>
    <row r="15546">
      <c r="K15546" s="317"/>
    </row>
    <row r="15547">
      <c r="K15547" s="317"/>
    </row>
    <row r="15548">
      <c r="K15548" s="317"/>
    </row>
    <row r="15549">
      <c r="K15549" s="317"/>
    </row>
    <row r="15550">
      <c r="K15550" s="317"/>
    </row>
    <row r="15551">
      <c r="K15551" s="317"/>
    </row>
    <row r="15552">
      <c r="K15552" s="317"/>
    </row>
    <row r="15553">
      <c r="K15553" s="317"/>
    </row>
    <row r="15554">
      <c r="K15554" s="317"/>
    </row>
    <row r="15555">
      <c r="K15555" s="317"/>
    </row>
    <row r="15556">
      <c r="K15556" s="317"/>
    </row>
    <row r="15557">
      <c r="K15557" s="317"/>
    </row>
    <row r="15558">
      <c r="K15558" s="317"/>
    </row>
    <row r="15559">
      <c r="K15559" s="317"/>
    </row>
    <row r="15560">
      <c r="K15560" s="317"/>
    </row>
    <row r="15561">
      <c r="K15561" s="317"/>
    </row>
    <row r="15562">
      <c r="K15562" s="317"/>
    </row>
    <row r="15563">
      <c r="K15563" s="317"/>
    </row>
    <row r="15564">
      <c r="K15564" s="317"/>
    </row>
    <row r="15565">
      <c r="K15565" s="317"/>
    </row>
    <row r="15566">
      <c r="K15566" s="317"/>
    </row>
    <row r="15567">
      <c r="K15567" s="317"/>
    </row>
    <row r="15568">
      <c r="K15568" s="317"/>
    </row>
    <row r="15569">
      <c r="K15569" s="317"/>
    </row>
    <row r="15570">
      <c r="K15570" s="317"/>
    </row>
    <row r="15571">
      <c r="K15571" s="317"/>
    </row>
    <row r="15572">
      <c r="K15572" s="317"/>
    </row>
    <row r="15573">
      <c r="K15573" s="317"/>
    </row>
    <row r="15574">
      <c r="K15574" s="317"/>
    </row>
    <row r="15575">
      <c r="K15575" s="317"/>
    </row>
    <row r="15576">
      <c r="K15576" s="317"/>
    </row>
    <row r="15577">
      <c r="K15577" s="317"/>
    </row>
    <row r="15578">
      <c r="K15578" s="317"/>
    </row>
    <row r="15579">
      <c r="K15579" s="317"/>
    </row>
    <row r="15580">
      <c r="K15580" s="317"/>
    </row>
    <row r="15581">
      <c r="K15581" s="317"/>
    </row>
    <row r="15582">
      <c r="K15582" s="317"/>
    </row>
    <row r="15583">
      <c r="K15583" s="317"/>
    </row>
    <row r="15584">
      <c r="K15584" s="317"/>
    </row>
    <row r="15585">
      <c r="K15585" s="317"/>
    </row>
    <row r="15586">
      <c r="K15586" s="317"/>
    </row>
    <row r="15587">
      <c r="K15587" s="317"/>
    </row>
    <row r="15588">
      <c r="K15588" s="317"/>
    </row>
    <row r="15589">
      <c r="K15589" s="317"/>
    </row>
    <row r="15590">
      <c r="K15590" s="317"/>
    </row>
    <row r="15591">
      <c r="K15591" s="317"/>
    </row>
    <row r="15592">
      <c r="K15592" s="317"/>
    </row>
    <row r="15593">
      <c r="K15593" s="317"/>
    </row>
    <row r="15594">
      <c r="K15594" s="317"/>
    </row>
    <row r="15595">
      <c r="K15595" s="317"/>
    </row>
    <row r="15596">
      <c r="K15596" s="317"/>
    </row>
    <row r="15597">
      <c r="K15597" s="317"/>
    </row>
    <row r="15598">
      <c r="K15598" s="317"/>
    </row>
    <row r="15599">
      <c r="K15599" s="317"/>
    </row>
    <row r="15600">
      <c r="K15600" s="317"/>
    </row>
    <row r="15601">
      <c r="K15601" s="317"/>
    </row>
    <row r="15602">
      <c r="K15602" s="317"/>
    </row>
    <row r="15603">
      <c r="K15603" s="317"/>
    </row>
    <row r="15604">
      <c r="K15604" s="317"/>
    </row>
    <row r="15605">
      <c r="K15605" s="317"/>
    </row>
    <row r="15606">
      <c r="K15606" s="317"/>
    </row>
    <row r="15607">
      <c r="K15607" s="317"/>
    </row>
    <row r="15608">
      <c r="K15608" s="317"/>
    </row>
    <row r="15609">
      <c r="K15609" s="317"/>
    </row>
    <row r="15610">
      <c r="K15610" s="317"/>
    </row>
    <row r="15611">
      <c r="K15611" s="317"/>
    </row>
    <row r="15612">
      <c r="K15612" s="317"/>
    </row>
    <row r="15613">
      <c r="K15613" s="317"/>
    </row>
    <row r="15614">
      <c r="K15614" s="317"/>
    </row>
    <row r="15615">
      <c r="K15615" s="317"/>
    </row>
    <row r="15616">
      <c r="K15616" s="317"/>
    </row>
    <row r="15617">
      <c r="K15617" s="317"/>
    </row>
    <row r="15618">
      <c r="K15618" s="317"/>
    </row>
    <row r="15619">
      <c r="K15619" s="317"/>
    </row>
    <row r="15620">
      <c r="K15620" s="317"/>
    </row>
    <row r="15621">
      <c r="K15621" s="317"/>
    </row>
    <row r="15622">
      <c r="K15622" s="317"/>
    </row>
    <row r="15623">
      <c r="K15623" s="317"/>
    </row>
    <row r="15624">
      <c r="K15624" s="317"/>
    </row>
    <row r="15625">
      <c r="K15625" s="317"/>
    </row>
    <row r="15626">
      <c r="K15626" s="317"/>
    </row>
    <row r="15627">
      <c r="K15627" s="317"/>
    </row>
    <row r="15628">
      <c r="K15628" s="317"/>
    </row>
    <row r="15629">
      <c r="K15629" s="317"/>
    </row>
    <row r="15630">
      <c r="K15630" s="317"/>
    </row>
    <row r="15631">
      <c r="K15631" s="317"/>
    </row>
    <row r="15632">
      <c r="K15632" s="317"/>
    </row>
    <row r="15633">
      <c r="K15633" s="317"/>
    </row>
    <row r="15634">
      <c r="K15634" s="317"/>
    </row>
    <row r="15635">
      <c r="K15635" s="317"/>
    </row>
    <row r="15636">
      <c r="K15636" s="317"/>
    </row>
    <row r="15637">
      <c r="K15637" s="317"/>
    </row>
    <row r="15638">
      <c r="K15638" s="317"/>
    </row>
    <row r="15639">
      <c r="K15639" s="317"/>
    </row>
    <row r="15640">
      <c r="K15640" s="317"/>
    </row>
    <row r="15641">
      <c r="K15641" s="317"/>
    </row>
    <row r="15642">
      <c r="K15642" s="317"/>
    </row>
    <row r="15643">
      <c r="K15643" s="317"/>
    </row>
    <row r="15644">
      <c r="K15644" s="317"/>
    </row>
    <row r="15645">
      <c r="K15645" s="317"/>
    </row>
    <row r="15646">
      <c r="K15646" s="317"/>
    </row>
    <row r="15647">
      <c r="K15647" s="317"/>
    </row>
    <row r="15648">
      <c r="K15648" s="317"/>
    </row>
    <row r="15649">
      <c r="K15649" s="317"/>
    </row>
    <row r="15650">
      <c r="K15650" s="317"/>
    </row>
    <row r="15651">
      <c r="K15651" s="317"/>
    </row>
    <row r="15652">
      <c r="K15652" s="317"/>
    </row>
    <row r="15653">
      <c r="K15653" s="317"/>
    </row>
    <row r="15654">
      <c r="K15654" s="317"/>
    </row>
    <row r="15655">
      <c r="K15655" s="317"/>
    </row>
    <row r="15656">
      <c r="K15656" s="317"/>
    </row>
    <row r="15657">
      <c r="K15657" s="317"/>
    </row>
    <row r="15658">
      <c r="K15658" s="317"/>
    </row>
    <row r="15659">
      <c r="K15659" s="317"/>
    </row>
    <row r="15660">
      <c r="K15660" s="317"/>
    </row>
    <row r="15661">
      <c r="K15661" s="317"/>
    </row>
    <row r="15662">
      <c r="K15662" s="317"/>
    </row>
    <row r="15663">
      <c r="K15663" s="317"/>
    </row>
    <row r="15664">
      <c r="K15664" s="317"/>
    </row>
    <row r="15665">
      <c r="K15665" s="317"/>
    </row>
    <row r="15666">
      <c r="K15666" s="317"/>
    </row>
    <row r="15667">
      <c r="K15667" s="317"/>
    </row>
    <row r="15668">
      <c r="K15668" s="317"/>
    </row>
    <row r="15669">
      <c r="K15669" s="317"/>
    </row>
    <row r="15670">
      <c r="K15670" s="317"/>
    </row>
    <row r="15671">
      <c r="K15671" s="317"/>
    </row>
    <row r="15672">
      <c r="K15672" s="317"/>
    </row>
    <row r="15673">
      <c r="K15673" s="317"/>
    </row>
    <row r="15674">
      <c r="K15674" s="317"/>
    </row>
    <row r="15675">
      <c r="K15675" s="317"/>
    </row>
    <row r="15676">
      <c r="K15676" s="317"/>
    </row>
    <row r="15677">
      <c r="K15677" s="317"/>
    </row>
    <row r="15678">
      <c r="K15678" s="317"/>
    </row>
    <row r="15679">
      <c r="K15679" s="317"/>
    </row>
    <row r="15680">
      <c r="K15680" s="317"/>
    </row>
    <row r="15681">
      <c r="K15681" s="317"/>
    </row>
    <row r="15682">
      <c r="K15682" s="317"/>
    </row>
    <row r="15683">
      <c r="K15683" s="317"/>
    </row>
    <row r="15684">
      <c r="K15684" s="317"/>
    </row>
    <row r="15685">
      <c r="K15685" s="317"/>
    </row>
    <row r="15686">
      <c r="K15686" s="317"/>
    </row>
    <row r="15687">
      <c r="K15687" s="317"/>
    </row>
    <row r="15688">
      <c r="K15688" s="317"/>
    </row>
    <row r="15689">
      <c r="K15689" s="317"/>
    </row>
    <row r="15690">
      <c r="K15690" s="317"/>
    </row>
    <row r="15691">
      <c r="K15691" s="317"/>
    </row>
    <row r="15692">
      <c r="K15692" s="317"/>
    </row>
    <row r="15693">
      <c r="K15693" s="317"/>
    </row>
    <row r="15694">
      <c r="K15694" s="317"/>
    </row>
    <row r="15695">
      <c r="K15695" s="317"/>
    </row>
    <row r="15696">
      <c r="K15696" s="317"/>
    </row>
    <row r="15697">
      <c r="K15697" s="317"/>
    </row>
    <row r="15698">
      <c r="K15698" s="317"/>
    </row>
    <row r="15699">
      <c r="K15699" s="317"/>
    </row>
    <row r="15700">
      <c r="K15700" s="317"/>
    </row>
    <row r="15701">
      <c r="K15701" s="317"/>
    </row>
    <row r="15702">
      <c r="K15702" s="317"/>
    </row>
    <row r="15703">
      <c r="K15703" s="317"/>
    </row>
    <row r="15704">
      <c r="K15704" s="317"/>
    </row>
    <row r="15705">
      <c r="K15705" s="317"/>
    </row>
    <row r="15706">
      <c r="K15706" s="317"/>
    </row>
    <row r="15707">
      <c r="K15707" s="317"/>
    </row>
    <row r="15708">
      <c r="K15708" s="317"/>
    </row>
    <row r="15709">
      <c r="K15709" s="317"/>
    </row>
    <row r="15710">
      <c r="K15710" s="317"/>
    </row>
    <row r="15711">
      <c r="K15711" s="317"/>
    </row>
    <row r="15712">
      <c r="K15712" s="317"/>
    </row>
    <row r="15713">
      <c r="K15713" s="317"/>
    </row>
    <row r="15714">
      <c r="K15714" s="317"/>
    </row>
    <row r="15715">
      <c r="K15715" s="317"/>
    </row>
    <row r="15716">
      <c r="K15716" s="317"/>
    </row>
    <row r="15717">
      <c r="K15717" s="317"/>
    </row>
    <row r="15718">
      <c r="K15718" s="317"/>
    </row>
    <row r="15719">
      <c r="K15719" s="317"/>
    </row>
    <row r="15720">
      <c r="K15720" s="317"/>
    </row>
    <row r="15721">
      <c r="K15721" s="317"/>
    </row>
    <row r="15722">
      <c r="K15722" s="317"/>
    </row>
    <row r="15723">
      <c r="K15723" s="317"/>
    </row>
    <row r="15724">
      <c r="K15724" s="317"/>
    </row>
    <row r="15725">
      <c r="K15725" s="317"/>
    </row>
    <row r="15726">
      <c r="K15726" s="317"/>
    </row>
    <row r="15727">
      <c r="K15727" s="317"/>
    </row>
    <row r="15728">
      <c r="K15728" s="317"/>
    </row>
    <row r="15729">
      <c r="K15729" s="317"/>
    </row>
    <row r="15730">
      <c r="K15730" s="317"/>
    </row>
    <row r="15731">
      <c r="K15731" s="317"/>
    </row>
    <row r="15732">
      <c r="K15732" s="317"/>
    </row>
    <row r="15733">
      <c r="K15733" s="317"/>
    </row>
    <row r="15734">
      <c r="K15734" s="317"/>
    </row>
    <row r="15735">
      <c r="K15735" s="317"/>
    </row>
    <row r="15736">
      <c r="K15736" s="317"/>
    </row>
    <row r="15737">
      <c r="K15737" s="317"/>
    </row>
    <row r="15738">
      <c r="K15738" s="317"/>
    </row>
    <row r="15739">
      <c r="K15739" s="317"/>
    </row>
    <row r="15740">
      <c r="K15740" s="317"/>
    </row>
    <row r="15741">
      <c r="K15741" s="317"/>
    </row>
    <row r="15742">
      <c r="K15742" s="317"/>
    </row>
    <row r="15743">
      <c r="K15743" s="317"/>
    </row>
    <row r="15744">
      <c r="K15744" s="317"/>
    </row>
    <row r="15745">
      <c r="K15745" s="317"/>
    </row>
    <row r="15746">
      <c r="K15746" s="317"/>
    </row>
    <row r="15747">
      <c r="K15747" s="317"/>
    </row>
    <row r="15748">
      <c r="K15748" s="317"/>
    </row>
    <row r="15749">
      <c r="K15749" s="317"/>
    </row>
    <row r="15750">
      <c r="K15750" s="317"/>
    </row>
    <row r="15751">
      <c r="K15751" s="317"/>
    </row>
    <row r="15752">
      <c r="K15752" s="317"/>
    </row>
    <row r="15753">
      <c r="K15753" s="317"/>
    </row>
    <row r="15754">
      <c r="K15754" s="317"/>
    </row>
    <row r="15755">
      <c r="K15755" s="317"/>
    </row>
    <row r="15756">
      <c r="K15756" s="317"/>
    </row>
    <row r="15757">
      <c r="K15757" s="317"/>
    </row>
    <row r="15758">
      <c r="K15758" s="317"/>
    </row>
    <row r="15759">
      <c r="K15759" s="317"/>
    </row>
    <row r="15760">
      <c r="K15760" s="317"/>
    </row>
    <row r="15761">
      <c r="K15761" s="317"/>
    </row>
    <row r="15762">
      <c r="K15762" s="317"/>
    </row>
    <row r="15763">
      <c r="K15763" s="317"/>
    </row>
    <row r="15764">
      <c r="K15764" s="317"/>
    </row>
    <row r="15765">
      <c r="K15765" s="317"/>
    </row>
    <row r="15766">
      <c r="K15766" s="317"/>
    </row>
    <row r="15767">
      <c r="K15767" s="317"/>
    </row>
    <row r="15768">
      <c r="K15768" s="317"/>
    </row>
    <row r="15769">
      <c r="K15769" s="317"/>
    </row>
    <row r="15770">
      <c r="K15770" s="317"/>
    </row>
    <row r="15771">
      <c r="K15771" s="317"/>
    </row>
    <row r="15772">
      <c r="K15772" s="317"/>
    </row>
    <row r="15773">
      <c r="K15773" s="317"/>
    </row>
    <row r="15774">
      <c r="K15774" s="317"/>
    </row>
    <row r="15775">
      <c r="K15775" s="317"/>
    </row>
    <row r="15776">
      <c r="K15776" s="317"/>
    </row>
    <row r="15777">
      <c r="K15777" s="317"/>
    </row>
    <row r="15778">
      <c r="K15778" s="317"/>
    </row>
    <row r="15779">
      <c r="K15779" s="317"/>
    </row>
    <row r="15780">
      <c r="K15780" s="317"/>
    </row>
    <row r="15781">
      <c r="K15781" s="317"/>
    </row>
    <row r="15782">
      <c r="K15782" s="317"/>
    </row>
    <row r="15783">
      <c r="K15783" s="317"/>
    </row>
    <row r="15784">
      <c r="K15784" s="317"/>
    </row>
    <row r="15785">
      <c r="K15785" s="317"/>
    </row>
    <row r="15786">
      <c r="K15786" s="317"/>
    </row>
    <row r="15787">
      <c r="K15787" s="317"/>
    </row>
    <row r="15788">
      <c r="K15788" s="317"/>
    </row>
    <row r="15789">
      <c r="K15789" s="317"/>
    </row>
    <row r="15790">
      <c r="K15790" s="317"/>
    </row>
    <row r="15791">
      <c r="K15791" s="317"/>
    </row>
    <row r="15792">
      <c r="K15792" s="317"/>
    </row>
    <row r="15793">
      <c r="K15793" s="317"/>
    </row>
    <row r="15794">
      <c r="K15794" s="317"/>
    </row>
    <row r="15795">
      <c r="K15795" s="317"/>
    </row>
    <row r="15796">
      <c r="K15796" s="317"/>
    </row>
    <row r="15797">
      <c r="K15797" s="317"/>
    </row>
    <row r="15798">
      <c r="K15798" s="317"/>
    </row>
    <row r="15799">
      <c r="K15799" s="317"/>
    </row>
    <row r="15800">
      <c r="K15800" s="317"/>
    </row>
    <row r="15801">
      <c r="K15801" s="317"/>
    </row>
    <row r="15802">
      <c r="K15802" s="317"/>
    </row>
    <row r="15803">
      <c r="K15803" s="317"/>
    </row>
    <row r="15804">
      <c r="K15804" s="317"/>
    </row>
    <row r="15805">
      <c r="K15805" s="317"/>
    </row>
    <row r="15806">
      <c r="K15806" s="317"/>
    </row>
    <row r="15807">
      <c r="K15807" s="317"/>
    </row>
    <row r="15808">
      <c r="K15808" s="317"/>
    </row>
    <row r="15809">
      <c r="K15809" s="317"/>
    </row>
    <row r="15810">
      <c r="K15810" s="317"/>
    </row>
    <row r="15811">
      <c r="K15811" s="317"/>
    </row>
    <row r="15812">
      <c r="K15812" s="317"/>
    </row>
    <row r="15813">
      <c r="K15813" s="317"/>
    </row>
    <row r="15814">
      <c r="K15814" s="317"/>
    </row>
    <row r="15815">
      <c r="K15815" s="317"/>
    </row>
    <row r="15816">
      <c r="K15816" s="317"/>
    </row>
    <row r="15817">
      <c r="K15817" s="317"/>
    </row>
    <row r="15818">
      <c r="K15818" s="317"/>
    </row>
    <row r="15819">
      <c r="K15819" s="317"/>
    </row>
    <row r="15820">
      <c r="K15820" s="317"/>
    </row>
    <row r="15821">
      <c r="K15821" s="317"/>
    </row>
    <row r="15822">
      <c r="K15822" s="317"/>
    </row>
    <row r="15823">
      <c r="K15823" s="317"/>
    </row>
    <row r="15824">
      <c r="K15824" s="317"/>
    </row>
    <row r="15825">
      <c r="K15825" s="317"/>
    </row>
    <row r="15826">
      <c r="K15826" s="317"/>
    </row>
    <row r="15827">
      <c r="K15827" s="317"/>
    </row>
    <row r="15828">
      <c r="K15828" s="317"/>
    </row>
    <row r="15829">
      <c r="K15829" s="317"/>
    </row>
    <row r="15830">
      <c r="K15830" s="317"/>
    </row>
    <row r="15831">
      <c r="K15831" s="317"/>
    </row>
    <row r="15832">
      <c r="K15832" s="317"/>
    </row>
    <row r="15833">
      <c r="K15833" s="317"/>
    </row>
    <row r="15834">
      <c r="K15834" s="317"/>
    </row>
    <row r="15835">
      <c r="K15835" s="317"/>
    </row>
    <row r="15836">
      <c r="K15836" s="317"/>
    </row>
    <row r="15837">
      <c r="K15837" s="317"/>
    </row>
    <row r="15838">
      <c r="K15838" s="317"/>
    </row>
    <row r="15839">
      <c r="K15839" s="317"/>
    </row>
    <row r="15840">
      <c r="K15840" s="317"/>
    </row>
    <row r="15841">
      <c r="K15841" s="317"/>
    </row>
    <row r="15842">
      <c r="K15842" s="317"/>
    </row>
    <row r="15843">
      <c r="K15843" s="317"/>
    </row>
    <row r="15844">
      <c r="K15844" s="317"/>
    </row>
    <row r="15845">
      <c r="K15845" s="317"/>
    </row>
    <row r="15846">
      <c r="K15846" s="317"/>
    </row>
    <row r="15847">
      <c r="K15847" s="317"/>
    </row>
    <row r="15848">
      <c r="K15848" s="317"/>
    </row>
    <row r="15849">
      <c r="K15849" s="317"/>
    </row>
    <row r="15850">
      <c r="K15850" s="317"/>
    </row>
    <row r="15851">
      <c r="K15851" s="317"/>
    </row>
    <row r="15852">
      <c r="K15852" s="317"/>
    </row>
    <row r="15853">
      <c r="K15853" s="317"/>
    </row>
    <row r="15854">
      <c r="K15854" s="317"/>
    </row>
    <row r="15855">
      <c r="K15855" s="317"/>
    </row>
    <row r="15856">
      <c r="K15856" s="317"/>
    </row>
    <row r="15857">
      <c r="K15857" s="317"/>
    </row>
    <row r="15858">
      <c r="K15858" s="317"/>
    </row>
    <row r="15859">
      <c r="K15859" s="317"/>
    </row>
    <row r="15860">
      <c r="K15860" s="317"/>
    </row>
    <row r="15861">
      <c r="K15861" s="317"/>
    </row>
    <row r="15862">
      <c r="K15862" s="317"/>
    </row>
    <row r="15863">
      <c r="K15863" s="317"/>
    </row>
    <row r="15864">
      <c r="K15864" s="317"/>
    </row>
    <row r="15865">
      <c r="K15865" s="317"/>
    </row>
    <row r="15866">
      <c r="K15866" s="317"/>
    </row>
    <row r="15867">
      <c r="K15867" s="317"/>
    </row>
    <row r="15868">
      <c r="K15868" s="317"/>
    </row>
    <row r="15869">
      <c r="K15869" s="317"/>
    </row>
    <row r="15870">
      <c r="K15870" s="317"/>
    </row>
    <row r="15871">
      <c r="K15871" s="317"/>
    </row>
    <row r="15872">
      <c r="K15872" s="317"/>
    </row>
    <row r="15873">
      <c r="K15873" s="317"/>
    </row>
    <row r="15874">
      <c r="K15874" s="317"/>
    </row>
    <row r="15875">
      <c r="K15875" s="317"/>
    </row>
    <row r="15876">
      <c r="K15876" s="317"/>
    </row>
    <row r="15877">
      <c r="K15877" s="317"/>
    </row>
    <row r="15878">
      <c r="K15878" s="317"/>
    </row>
    <row r="15879">
      <c r="K15879" s="317"/>
    </row>
    <row r="15880">
      <c r="K15880" s="317"/>
    </row>
    <row r="15881">
      <c r="K15881" s="317"/>
    </row>
    <row r="15882">
      <c r="K15882" s="317"/>
    </row>
    <row r="15883">
      <c r="K15883" s="317"/>
    </row>
    <row r="15884">
      <c r="K15884" s="317"/>
    </row>
    <row r="15885">
      <c r="K15885" s="317"/>
    </row>
    <row r="15886">
      <c r="K15886" s="317"/>
    </row>
    <row r="15887">
      <c r="K15887" s="317"/>
    </row>
    <row r="15888">
      <c r="K15888" s="317"/>
    </row>
    <row r="15889">
      <c r="K15889" s="317"/>
    </row>
    <row r="15890">
      <c r="K15890" s="317"/>
    </row>
    <row r="15891">
      <c r="K15891" s="317"/>
    </row>
    <row r="15892">
      <c r="K15892" s="317"/>
    </row>
    <row r="15893">
      <c r="K15893" s="317"/>
    </row>
    <row r="15894">
      <c r="K15894" s="317"/>
    </row>
    <row r="15895">
      <c r="K15895" s="317"/>
    </row>
    <row r="15896">
      <c r="K15896" s="317"/>
    </row>
    <row r="15897">
      <c r="K15897" s="317"/>
    </row>
    <row r="15898">
      <c r="K15898" s="317"/>
    </row>
    <row r="15899">
      <c r="K15899" s="317"/>
    </row>
    <row r="15900">
      <c r="K15900" s="317"/>
    </row>
    <row r="15901">
      <c r="K15901" s="317"/>
    </row>
    <row r="15902">
      <c r="K15902" s="317"/>
    </row>
    <row r="15903">
      <c r="K15903" s="317"/>
    </row>
    <row r="15904">
      <c r="K15904" s="317"/>
    </row>
    <row r="15905">
      <c r="K15905" s="317"/>
    </row>
    <row r="15906">
      <c r="K15906" s="317"/>
    </row>
    <row r="15907">
      <c r="K15907" s="317"/>
    </row>
    <row r="15908">
      <c r="K15908" s="317"/>
    </row>
    <row r="15909">
      <c r="K15909" s="317"/>
    </row>
    <row r="15910">
      <c r="K15910" s="317"/>
    </row>
    <row r="15911">
      <c r="K15911" s="317"/>
    </row>
    <row r="15912">
      <c r="K15912" s="317"/>
    </row>
    <row r="15913">
      <c r="K15913" s="317"/>
    </row>
    <row r="15914">
      <c r="K15914" s="317"/>
    </row>
    <row r="15915">
      <c r="K15915" s="317"/>
    </row>
    <row r="15916">
      <c r="K15916" s="317"/>
    </row>
    <row r="15917">
      <c r="K15917" s="317"/>
    </row>
    <row r="15918">
      <c r="K15918" s="317"/>
    </row>
    <row r="15919">
      <c r="K15919" s="317"/>
    </row>
    <row r="15920">
      <c r="K15920" s="317"/>
    </row>
    <row r="15921">
      <c r="K15921" s="317"/>
    </row>
    <row r="15922">
      <c r="K15922" s="317"/>
    </row>
    <row r="15923">
      <c r="K15923" s="317"/>
    </row>
    <row r="15924">
      <c r="K15924" s="317"/>
    </row>
    <row r="15925">
      <c r="K15925" s="317"/>
    </row>
    <row r="15926">
      <c r="K15926" s="317"/>
    </row>
    <row r="15927">
      <c r="K15927" s="317"/>
    </row>
    <row r="15928">
      <c r="K15928" s="317"/>
    </row>
    <row r="15929">
      <c r="K15929" s="317"/>
    </row>
    <row r="15930">
      <c r="K15930" s="317"/>
    </row>
    <row r="15931">
      <c r="K15931" s="317"/>
    </row>
    <row r="15932">
      <c r="K15932" s="317"/>
    </row>
    <row r="15933">
      <c r="K15933" s="317"/>
    </row>
    <row r="15934">
      <c r="K15934" s="317"/>
    </row>
    <row r="15935">
      <c r="K15935" s="317"/>
    </row>
    <row r="15936">
      <c r="K15936" s="317"/>
    </row>
    <row r="15937">
      <c r="K15937" s="317"/>
    </row>
    <row r="15938">
      <c r="K15938" s="317"/>
    </row>
    <row r="15939">
      <c r="K15939" s="317"/>
    </row>
    <row r="15940">
      <c r="K15940" s="317"/>
    </row>
    <row r="15941">
      <c r="K15941" s="317"/>
    </row>
    <row r="15942">
      <c r="K15942" s="317"/>
    </row>
    <row r="15943">
      <c r="K15943" s="317"/>
    </row>
    <row r="15944">
      <c r="K15944" s="317"/>
    </row>
    <row r="15945">
      <c r="K15945" s="317"/>
    </row>
    <row r="15946">
      <c r="K15946" s="317"/>
    </row>
    <row r="15947">
      <c r="K15947" s="317"/>
    </row>
    <row r="15948">
      <c r="K15948" s="317"/>
    </row>
    <row r="15949">
      <c r="K15949" s="317"/>
    </row>
    <row r="15950">
      <c r="K15950" s="317"/>
    </row>
    <row r="15951">
      <c r="K15951" s="317"/>
    </row>
    <row r="15952">
      <c r="K15952" s="317"/>
    </row>
    <row r="15953">
      <c r="K15953" s="317"/>
    </row>
    <row r="15954">
      <c r="K15954" s="317"/>
    </row>
    <row r="15955">
      <c r="K15955" s="317"/>
    </row>
    <row r="15956">
      <c r="K15956" s="317"/>
    </row>
    <row r="15957">
      <c r="K15957" s="317"/>
    </row>
    <row r="15958">
      <c r="K15958" s="317"/>
    </row>
    <row r="15959">
      <c r="K15959" s="317"/>
    </row>
    <row r="15960">
      <c r="K15960" s="317"/>
    </row>
    <row r="15961">
      <c r="K15961" s="317"/>
    </row>
    <row r="15962">
      <c r="K15962" s="317"/>
    </row>
    <row r="15963">
      <c r="K15963" s="317"/>
    </row>
    <row r="15964">
      <c r="K15964" s="317"/>
    </row>
    <row r="15965">
      <c r="K15965" s="317"/>
    </row>
    <row r="15966">
      <c r="K15966" s="317"/>
    </row>
    <row r="15967">
      <c r="K15967" s="317"/>
    </row>
    <row r="15968">
      <c r="K15968" s="317"/>
    </row>
    <row r="15969">
      <c r="K15969" s="317"/>
    </row>
    <row r="15970">
      <c r="K15970" s="317"/>
    </row>
    <row r="15971">
      <c r="K15971" s="317"/>
    </row>
    <row r="15972">
      <c r="K15972" s="317"/>
    </row>
    <row r="15973">
      <c r="K15973" s="317"/>
    </row>
    <row r="15974">
      <c r="K15974" s="317"/>
    </row>
    <row r="15975">
      <c r="K15975" s="317"/>
    </row>
    <row r="15976">
      <c r="K15976" s="317"/>
    </row>
    <row r="15977">
      <c r="K15977" s="317"/>
    </row>
    <row r="15978">
      <c r="K15978" s="317"/>
    </row>
    <row r="15979">
      <c r="K15979" s="317"/>
    </row>
    <row r="15980">
      <c r="K15980" s="317"/>
    </row>
    <row r="15981">
      <c r="K15981" s="317"/>
    </row>
    <row r="15982">
      <c r="K15982" s="317"/>
    </row>
    <row r="15983">
      <c r="K15983" s="317"/>
    </row>
    <row r="15984">
      <c r="K15984" s="317"/>
    </row>
    <row r="15985">
      <c r="K15985" s="317"/>
    </row>
    <row r="15986">
      <c r="K15986" s="317"/>
    </row>
    <row r="15987">
      <c r="K15987" s="317"/>
    </row>
    <row r="15988">
      <c r="K15988" s="317"/>
    </row>
    <row r="15989">
      <c r="K15989" s="317"/>
    </row>
    <row r="15990">
      <c r="K15990" s="317"/>
    </row>
    <row r="15991">
      <c r="K15991" s="317"/>
    </row>
    <row r="15992">
      <c r="K15992" s="317"/>
    </row>
    <row r="15993">
      <c r="K15993" s="317"/>
    </row>
    <row r="15994">
      <c r="K15994" s="317"/>
    </row>
    <row r="15995">
      <c r="K15995" s="317"/>
    </row>
    <row r="15996">
      <c r="K15996" s="317"/>
    </row>
    <row r="15997">
      <c r="K15997" s="317"/>
    </row>
    <row r="15998">
      <c r="K15998" s="317"/>
    </row>
    <row r="15999">
      <c r="K15999" s="317"/>
    </row>
    <row r="16000">
      <c r="K16000" s="317"/>
    </row>
    <row r="16001">
      <c r="K16001" s="317"/>
    </row>
    <row r="16002">
      <c r="K16002" s="317"/>
    </row>
    <row r="16003">
      <c r="K16003" s="317"/>
    </row>
    <row r="16004">
      <c r="K16004" s="317"/>
    </row>
    <row r="16005">
      <c r="K16005" s="317"/>
    </row>
    <row r="16006">
      <c r="K16006" s="317"/>
    </row>
    <row r="16007">
      <c r="K16007" s="317"/>
    </row>
    <row r="16008">
      <c r="K16008" s="317"/>
    </row>
    <row r="16009">
      <c r="K16009" s="317"/>
    </row>
    <row r="16010">
      <c r="K16010" s="317"/>
    </row>
    <row r="16011">
      <c r="K16011" s="317"/>
    </row>
    <row r="16012">
      <c r="K16012" s="317"/>
    </row>
    <row r="16013">
      <c r="K16013" s="317"/>
    </row>
    <row r="16014">
      <c r="K16014" s="317"/>
    </row>
    <row r="16015">
      <c r="K16015" s="317"/>
    </row>
    <row r="16016">
      <c r="K16016" s="317"/>
    </row>
    <row r="16017">
      <c r="K16017" s="317"/>
    </row>
    <row r="16018">
      <c r="K16018" s="317"/>
    </row>
    <row r="16019">
      <c r="K16019" s="317"/>
    </row>
    <row r="16020">
      <c r="K16020" s="317"/>
    </row>
    <row r="16021">
      <c r="K16021" s="317"/>
    </row>
    <row r="16022">
      <c r="K16022" s="317"/>
    </row>
    <row r="16023">
      <c r="K16023" s="317"/>
    </row>
    <row r="16024">
      <c r="K16024" s="317"/>
    </row>
    <row r="16025">
      <c r="K16025" s="317"/>
    </row>
    <row r="16026">
      <c r="K16026" s="317"/>
    </row>
    <row r="16027">
      <c r="K16027" s="317"/>
    </row>
    <row r="16028">
      <c r="K16028" s="317"/>
    </row>
    <row r="16029">
      <c r="K16029" s="317"/>
    </row>
    <row r="16030">
      <c r="K16030" s="317"/>
    </row>
    <row r="16031">
      <c r="K16031" s="317"/>
    </row>
    <row r="16032">
      <c r="K16032" s="317"/>
    </row>
    <row r="16033">
      <c r="K16033" s="317"/>
    </row>
    <row r="16034">
      <c r="K16034" s="317"/>
    </row>
    <row r="16035">
      <c r="K16035" s="317"/>
    </row>
    <row r="16036">
      <c r="K16036" s="317"/>
    </row>
    <row r="16037">
      <c r="K16037" s="317"/>
    </row>
    <row r="16038">
      <c r="K16038" s="317"/>
    </row>
    <row r="16039">
      <c r="K16039" s="317"/>
    </row>
    <row r="16040">
      <c r="K16040" s="317"/>
    </row>
    <row r="16041">
      <c r="K16041" s="317"/>
    </row>
    <row r="16042">
      <c r="K16042" s="317"/>
    </row>
    <row r="16043">
      <c r="K16043" s="317"/>
    </row>
    <row r="16044">
      <c r="K16044" s="317"/>
    </row>
    <row r="16045">
      <c r="K16045" s="317"/>
    </row>
    <row r="16046">
      <c r="K16046" s="317"/>
    </row>
    <row r="16047">
      <c r="K16047" s="317"/>
    </row>
    <row r="16048">
      <c r="K16048" s="317"/>
    </row>
    <row r="16049">
      <c r="K16049" s="317"/>
    </row>
    <row r="16050">
      <c r="K16050" s="317"/>
    </row>
    <row r="16051">
      <c r="K16051" s="317"/>
    </row>
    <row r="16052">
      <c r="K16052" s="317"/>
    </row>
    <row r="16053">
      <c r="K16053" s="317"/>
    </row>
    <row r="16054">
      <c r="K16054" s="317"/>
    </row>
    <row r="16055">
      <c r="K16055" s="317"/>
    </row>
    <row r="16056">
      <c r="K16056" s="317"/>
    </row>
    <row r="16057">
      <c r="K16057" s="317"/>
    </row>
    <row r="16058">
      <c r="K16058" s="317"/>
    </row>
    <row r="16059">
      <c r="K16059" s="317"/>
    </row>
    <row r="16060">
      <c r="K16060" s="317"/>
    </row>
    <row r="16061">
      <c r="K16061" s="317"/>
    </row>
    <row r="16062">
      <c r="K16062" s="317"/>
    </row>
    <row r="16063">
      <c r="K16063" s="317"/>
    </row>
    <row r="16064">
      <c r="K16064" s="317"/>
    </row>
    <row r="16065">
      <c r="K16065" s="317"/>
    </row>
    <row r="16066">
      <c r="K16066" s="317"/>
    </row>
    <row r="16067">
      <c r="K16067" s="317"/>
    </row>
    <row r="16068">
      <c r="K16068" s="317"/>
    </row>
    <row r="16069">
      <c r="K16069" s="317"/>
    </row>
    <row r="16070">
      <c r="K16070" s="317"/>
    </row>
    <row r="16071">
      <c r="K16071" s="317"/>
    </row>
    <row r="16072">
      <c r="K16072" s="317"/>
    </row>
    <row r="16073">
      <c r="K16073" s="317"/>
    </row>
    <row r="16074">
      <c r="K16074" s="317"/>
    </row>
    <row r="16075">
      <c r="K16075" s="317"/>
    </row>
    <row r="16076">
      <c r="K16076" s="317"/>
    </row>
    <row r="16077">
      <c r="K16077" s="317"/>
    </row>
    <row r="16078">
      <c r="K16078" s="317"/>
    </row>
    <row r="16079">
      <c r="K16079" s="317"/>
    </row>
    <row r="16080">
      <c r="K16080" s="317"/>
    </row>
    <row r="16081">
      <c r="K16081" s="317"/>
    </row>
    <row r="16082">
      <c r="K16082" s="317"/>
    </row>
    <row r="16083">
      <c r="K16083" s="317"/>
    </row>
    <row r="16084">
      <c r="K16084" s="317"/>
    </row>
    <row r="16085">
      <c r="K16085" s="317"/>
    </row>
    <row r="16086">
      <c r="K16086" s="317"/>
    </row>
    <row r="16087">
      <c r="K16087" s="317"/>
    </row>
    <row r="16088">
      <c r="K16088" s="317"/>
    </row>
    <row r="16089">
      <c r="K16089" s="317"/>
    </row>
    <row r="16090">
      <c r="K16090" s="317"/>
    </row>
    <row r="16091">
      <c r="K16091" s="317"/>
    </row>
    <row r="16092">
      <c r="K16092" s="317"/>
    </row>
    <row r="16093">
      <c r="K16093" s="317"/>
    </row>
    <row r="16094">
      <c r="K16094" s="317"/>
    </row>
    <row r="16095">
      <c r="K16095" s="317"/>
    </row>
    <row r="16096">
      <c r="K16096" s="317"/>
    </row>
    <row r="16097">
      <c r="K16097" s="317"/>
    </row>
    <row r="16098">
      <c r="K16098" s="317"/>
    </row>
    <row r="16099">
      <c r="K16099" s="317"/>
    </row>
    <row r="16100">
      <c r="K16100" s="317"/>
    </row>
    <row r="16101">
      <c r="K16101" s="317"/>
    </row>
    <row r="16102">
      <c r="K16102" s="317"/>
    </row>
    <row r="16103">
      <c r="K16103" s="317"/>
    </row>
    <row r="16104">
      <c r="K16104" s="317"/>
    </row>
    <row r="16105">
      <c r="K16105" s="317"/>
    </row>
    <row r="16106">
      <c r="K16106" s="317"/>
    </row>
    <row r="16107">
      <c r="K16107" s="317"/>
    </row>
    <row r="16108">
      <c r="K16108" s="317"/>
    </row>
    <row r="16109">
      <c r="K16109" s="317"/>
    </row>
    <row r="16110">
      <c r="K16110" s="317"/>
    </row>
    <row r="16111">
      <c r="K16111" s="317"/>
    </row>
    <row r="16112">
      <c r="K16112" s="317"/>
    </row>
    <row r="16113">
      <c r="K16113" s="317"/>
    </row>
    <row r="16114">
      <c r="K16114" s="317"/>
    </row>
    <row r="16115">
      <c r="K16115" s="317"/>
    </row>
    <row r="16116">
      <c r="K16116" s="317"/>
    </row>
    <row r="16117">
      <c r="K16117" s="317"/>
    </row>
    <row r="16118">
      <c r="K16118" s="317"/>
    </row>
    <row r="16119">
      <c r="K16119" s="317"/>
    </row>
    <row r="16120">
      <c r="K16120" s="317"/>
    </row>
    <row r="16121">
      <c r="K16121" s="317"/>
    </row>
    <row r="16122">
      <c r="K16122" s="317"/>
    </row>
    <row r="16123">
      <c r="K16123" s="317"/>
    </row>
    <row r="16124">
      <c r="K16124" s="317"/>
    </row>
    <row r="16125">
      <c r="K16125" s="317"/>
    </row>
    <row r="16126">
      <c r="K16126" s="317"/>
    </row>
    <row r="16127">
      <c r="K16127" s="317"/>
    </row>
    <row r="16128">
      <c r="K16128" s="317"/>
    </row>
    <row r="16129">
      <c r="K16129" s="317"/>
    </row>
    <row r="16130">
      <c r="K16130" s="317"/>
    </row>
    <row r="16131">
      <c r="K16131" s="317"/>
    </row>
    <row r="16132">
      <c r="K16132" s="317"/>
    </row>
    <row r="16133">
      <c r="K16133" s="317"/>
    </row>
    <row r="16134">
      <c r="K16134" s="317"/>
    </row>
    <row r="16135">
      <c r="K16135" s="317"/>
    </row>
    <row r="16136">
      <c r="K16136" s="317"/>
    </row>
    <row r="16137">
      <c r="K16137" s="317"/>
    </row>
    <row r="16138">
      <c r="K16138" s="317"/>
    </row>
    <row r="16139">
      <c r="K16139" s="317"/>
    </row>
    <row r="16140">
      <c r="K16140" s="317"/>
    </row>
    <row r="16141">
      <c r="K16141" s="317"/>
    </row>
    <row r="16142">
      <c r="K16142" s="317"/>
    </row>
    <row r="16143">
      <c r="K16143" s="317"/>
    </row>
    <row r="16144">
      <c r="K16144" s="317"/>
    </row>
    <row r="16145">
      <c r="K16145" s="317"/>
    </row>
    <row r="16146">
      <c r="K16146" s="317"/>
    </row>
    <row r="16147">
      <c r="K16147" s="317"/>
    </row>
    <row r="16148">
      <c r="K16148" s="317"/>
    </row>
    <row r="16149">
      <c r="K16149" s="317"/>
    </row>
    <row r="16150">
      <c r="K16150" s="317"/>
    </row>
    <row r="16151">
      <c r="K16151" s="317"/>
    </row>
    <row r="16152">
      <c r="K16152" s="317"/>
    </row>
    <row r="16153">
      <c r="K16153" s="317"/>
    </row>
    <row r="16154">
      <c r="K16154" s="317"/>
    </row>
    <row r="16155">
      <c r="K16155" s="317"/>
    </row>
    <row r="16156">
      <c r="K16156" s="317"/>
    </row>
    <row r="16157">
      <c r="K16157" s="317"/>
    </row>
    <row r="16158">
      <c r="K16158" s="317"/>
    </row>
    <row r="16159">
      <c r="K16159" s="317"/>
    </row>
    <row r="16160">
      <c r="K16160" s="317"/>
    </row>
    <row r="16161">
      <c r="K16161" s="317"/>
    </row>
    <row r="16162">
      <c r="K16162" s="317"/>
    </row>
    <row r="16163">
      <c r="K16163" s="317"/>
    </row>
    <row r="16164">
      <c r="K16164" s="317"/>
    </row>
    <row r="16165">
      <c r="K16165" s="317"/>
    </row>
    <row r="16166">
      <c r="K16166" s="317"/>
    </row>
    <row r="16167">
      <c r="K16167" s="317"/>
    </row>
    <row r="16168">
      <c r="K16168" s="317"/>
    </row>
    <row r="16169">
      <c r="K16169" s="317"/>
    </row>
    <row r="16170">
      <c r="K16170" s="317"/>
    </row>
    <row r="16171">
      <c r="K16171" s="317"/>
    </row>
    <row r="16172">
      <c r="K16172" s="317"/>
    </row>
    <row r="16173">
      <c r="K16173" s="317"/>
    </row>
    <row r="16174">
      <c r="K16174" s="317"/>
    </row>
    <row r="16175">
      <c r="K16175" s="317"/>
    </row>
    <row r="16176">
      <c r="K16176" s="317"/>
    </row>
    <row r="16177">
      <c r="K16177" s="317"/>
    </row>
    <row r="16178">
      <c r="K16178" s="317"/>
    </row>
    <row r="16179">
      <c r="K16179" s="317"/>
    </row>
    <row r="16180">
      <c r="K16180" s="317"/>
    </row>
    <row r="16181">
      <c r="K16181" s="317"/>
    </row>
    <row r="16182">
      <c r="K16182" s="317"/>
    </row>
    <row r="16183">
      <c r="K16183" s="317"/>
    </row>
    <row r="16184">
      <c r="K16184" s="317"/>
    </row>
    <row r="16185">
      <c r="K16185" s="317"/>
    </row>
    <row r="16186">
      <c r="K16186" s="317"/>
    </row>
    <row r="16187">
      <c r="K16187" s="317"/>
    </row>
    <row r="16188">
      <c r="K16188" s="317"/>
    </row>
    <row r="16189">
      <c r="K16189" s="317"/>
    </row>
    <row r="16190">
      <c r="K16190" s="317"/>
    </row>
    <row r="16191">
      <c r="K16191" s="317"/>
    </row>
    <row r="16192">
      <c r="K16192" s="317"/>
    </row>
    <row r="16193">
      <c r="K16193" s="317"/>
    </row>
    <row r="16194">
      <c r="K16194" s="317"/>
    </row>
    <row r="16195">
      <c r="K16195" s="317"/>
    </row>
    <row r="16196">
      <c r="K16196" s="317"/>
    </row>
    <row r="16197">
      <c r="K16197" s="317"/>
    </row>
    <row r="16198">
      <c r="K16198" s="317"/>
    </row>
    <row r="16199">
      <c r="K16199" s="317"/>
    </row>
    <row r="16200">
      <c r="K16200" s="317"/>
    </row>
    <row r="16201">
      <c r="K16201" s="317"/>
    </row>
    <row r="16202">
      <c r="K16202" s="317"/>
    </row>
    <row r="16203">
      <c r="K16203" s="317"/>
    </row>
    <row r="16204">
      <c r="K16204" s="317"/>
    </row>
    <row r="16205">
      <c r="K16205" s="317"/>
    </row>
    <row r="16206">
      <c r="K16206" s="317"/>
    </row>
    <row r="16207">
      <c r="K16207" s="317"/>
    </row>
    <row r="16208">
      <c r="K16208" s="317"/>
    </row>
    <row r="16209">
      <c r="K16209" s="317"/>
    </row>
    <row r="16210">
      <c r="K16210" s="317"/>
    </row>
    <row r="16211">
      <c r="K16211" s="317"/>
    </row>
    <row r="16212">
      <c r="K16212" s="317"/>
    </row>
    <row r="16213">
      <c r="K16213" s="317"/>
    </row>
    <row r="16214">
      <c r="K16214" s="317"/>
    </row>
    <row r="16215">
      <c r="K16215" s="317"/>
    </row>
    <row r="16216">
      <c r="K16216" s="317"/>
    </row>
    <row r="16217">
      <c r="K16217" s="317"/>
    </row>
    <row r="16218">
      <c r="K16218" s="317"/>
    </row>
    <row r="16219">
      <c r="K16219" s="317"/>
    </row>
    <row r="16220">
      <c r="K16220" s="317"/>
    </row>
    <row r="16221">
      <c r="K16221" s="317"/>
    </row>
    <row r="16222">
      <c r="K16222" s="317"/>
    </row>
    <row r="16223">
      <c r="K16223" s="317"/>
    </row>
    <row r="16224">
      <c r="K16224" s="317"/>
    </row>
    <row r="16225">
      <c r="K16225" s="317"/>
    </row>
    <row r="16226">
      <c r="K16226" s="317"/>
    </row>
    <row r="16227">
      <c r="K16227" s="317"/>
    </row>
    <row r="16228">
      <c r="K16228" s="317"/>
    </row>
    <row r="16229">
      <c r="K16229" s="317"/>
    </row>
    <row r="16230">
      <c r="K16230" s="317"/>
    </row>
    <row r="16231">
      <c r="K16231" s="317"/>
    </row>
    <row r="16232">
      <c r="K16232" s="317"/>
    </row>
    <row r="16233">
      <c r="K16233" s="317"/>
    </row>
    <row r="16234">
      <c r="K16234" s="317"/>
    </row>
    <row r="16235">
      <c r="K16235" s="317"/>
    </row>
    <row r="16236">
      <c r="K16236" s="317"/>
    </row>
    <row r="16237">
      <c r="K16237" s="317"/>
    </row>
    <row r="16238">
      <c r="K16238" s="317"/>
    </row>
    <row r="16239">
      <c r="K16239" s="317"/>
    </row>
    <row r="16240">
      <c r="K16240" s="317"/>
    </row>
    <row r="16241">
      <c r="K16241" s="317"/>
    </row>
    <row r="16242">
      <c r="K16242" s="317"/>
    </row>
    <row r="16243">
      <c r="K16243" s="317"/>
    </row>
    <row r="16244">
      <c r="K16244" s="317"/>
    </row>
    <row r="16245">
      <c r="K16245" s="317"/>
    </row>
    <row r="16246">
      <c r="K16246" s="317"/>
    </row>
    <row r="16247">
      <c r="K16247" s="317"/>
    </row>
    <row r="16248">
      <c r="K16248" s="317"/>
    </row>
    <row r="16249">
      <c r="K16249" s="317"/>
    </row>
    <row r="16250">
      <c r="K16250" s="317"/>
    </row>
    <row r="16251">
      <c r="K16251" s="317"/>
    </row>
    <row r="16252">
      <c r="K16252" s="317"/>
    </row>
    <row r="16253">
      <c r="K16253" s="317"/>
    </row>
    <row r="16254">
      <c r="K16254" s="317"/>
    </row>
    <row r="16255">
      <c r="K16255" s="317"/>
    </row>
    <row r="16256">
      <c r="K16256" s="317"/>
    </row>
    <row r="16257">
      <c r="K16257" s="317"/>
    </row>
    <row r="16258">
      <c r="K16258" s="317"/>
    </row>
    <row r="16259">
      <c r="K16259" s="317"/>
    </row>
    <row r="16260">
      <c r="K16260" s="317"/>
    </row>
    <row r="16261">
      <c r="K16261" s="317"/>
    </row>
    <row r="16262">
      <c r="K16262" s="317"/>
    </row>
    <row r="16263">
      <c r="K16263" s="317"/>
    </row>
    <row r="16264">
      <c r="K16264" s="317"/>
    </row>
    <row r="16265">
      <c r="K16265" s="317"/>
    </row>
    <row r="16266">
      <c r="K16266" s="317"/>
    </row>
    <row r="16267">
      <c r="K16267" s="317"/>
    </row>
    <row r="16268">
      <c r="K16268" s="317"/>
    </row>
    <row r="16269">
      <c r="K16269" s="317"/>
    </row>
    <row r="16270">
      <c r="K16270" s="317"/>
    </row>
    <row r="16271">
      <c r="K16271" s="317"/>
    </row>
    <row r="16272">
      <c r="K16272" s="317"/>
    </row>
    <row r="16273">
      <c r="K16273" s="317"/>
    </row>
    <row r="16274">
      <c r="K16274" s="317"/>
    </row>
    <row r="16275">
      <c r="K16275" s="317"/>
    </row>
    <row r="16276">
      <c r="K16276" s="317"/>
    </row>
    <row r="16277">
      <c r="K16277" s="317"/>
    </row>
    <row r="16278">
      <c r="K16278" s="317"/>
    </row>
    <row r="16279">
      <c r="K16279" s="317"/>
    </row>
    <row r="16280">
      <c r="K16280" s="317"/>
    </row>
    <row r="16281">
      <c r="K16281" s="317"/>
    </row>
    <row r="16282">
      <c r="K16282" s="317"/>
    </row>
    <row r="16283">
      <c r="K16283" s="317"/>
    </row>
    <row r="16284">
      <c r="K16284" s="317"/>
    </row>
    <row r="16285">
      <c r="K16285" s="317"/>
    </row>
    <row r="16286">
      <c r="K16286" s="317"/>
    </row>
    <row r="16287">
      <c r="K16287" s="317"/>
    </row>
    <row r="16288">
      <c r="K16288" s="317"/>
    </row>
    <row r="16289">
      <c r="K16289" s="317"/>
    </row>
    <row r="16290">
      <c r="K16290" s="317"/>
    </row>
    <row r="16291">
      <c r="K16291" s="317"/>
    </row>
    <row r="16292">
      <c r="K16292" s="317"/>
    </row>
    <row r="16293">
      <c r="K16293" s="317"/>
    </row>
    <row r="16294">
      <c r="K16294" s="317"/>
    </row>
    <row r="16295">
      <c r="K16295" s="317"/>
    </row>
    <row r="16296">
      <c r="K16296" s="317"/>
    </row>
    <row r="16297">
      <c r="K16297" s="317"/>
    </row>
    <row r="16298">
      <c r="K16298" s="317"/>
    </row>
    <row r="16299">
      <c r="K16299" s="317"/>
    </row>
    <row r="16300">
      <c r="K16300" s="317"/>
    </row>
    <row r="16301">
      <c r="K16301" s="317"/>
    </row>
    <row r="16302">
      <c r="K16302" s="317"/>
    </row>
    <row r="16303">
      <c r="K16303" s="317"/>
    </row>
    <row r="16304">
      <c r="K16304" s="317"/>
    </row>
    <row r="16305">
      <c r="K16305" s="317"/>
    </row>
    <row r="16306">
      <c r="K16306" s="317"/>
    </row>
    <row r="16307">
      <c r="K16307" s="317"/>
    </row>
    <row r="16308">
      <c r="K16308" s="317"/>
    </row>
    <row r="16309">
      <c r="K16309" s="317"/>
    </row>
    <row r="16310">
      <c r="K16310" s="317"/>
    </row>
    <row r="16311">
      <c r="K16311" s="317"/>
    </row>
    <row r="16312">
      <c r="K16312" s="317"/>
    </row>
    <row r="16313">
      <c r="K16313" s="317"/>
    </row>
    <row r="16314">
      <c r="K16314" s="317"/>
    </row>
    <row r="16315">
      <c r="K16315" s="317"/>
    </row>
    <row r="16316">
      <c r="K16316" s="317"/>
    </row>
    <row r="16317">
      <c r="K16317" s="317"/>
    </row>
    <row r="16318">
      <c r="K16318" s="317"/>
    </row>
    <row r="16319">
      <c r="K16319" s="317"/>
    </row>
    <row r="16320">
      <c r="K16320" s="317"/>
    </row>
    <row r="16321">
      <c r="K16321" s="317"/>
    </row>
    <row r="16322">
      <c r="K16322" s="317"/>
    </row>
    <row r="16323">
      <c r="K16323" s="317"/>
    </row>
    <row r="16324">
      <c r="K16324" s="317"/>
    </row>
    <row r="16325">
      <c r="K16325" s="317"/>
    </row>
    <row r="16326">
      <c r="K16326" s="317"/>
    </row>
    <row r="16327">
      <c r="K16327" s="317"/>
    </row>
    <row r="16328">
      <c r="K16328" s="317"/>
    </row>
    <row r="16329">
      <c r="K16329" s="317"/>
    </row>
    <row r="16330">
      <c r="K16330" s="317"/>
    </row>
    <row r="16331">
      <c r="K16331" s="317"/>
    </row>
    <row r="16332">
      <c r="K16332" s="317"/>
    </row>
    <row r="16333">
      <c r="K16333" s="317"/>
    </row>
    <row r="16334">
      <c r="K16334" s="317"/>
    </row>
    <row r="16335">
      <c r="K16335" s="317"/>
    </row>
    <row r="16336">
      <c r="K16336" s="317"/>
    </row>
    <row r="16337">
      <c r="K16337" s="317"/>
    </row>
    <row r="16338">
      <c r="K16338" s="317"/>
    </row>
    <row r="16339">
      <c r="K16339" s="317"/>
    </row>
    <row r="16340">
      <c r="K16340" s="317"/>
    </row>
    <row r="16341">
      <c r="K16341" s="317"/>
    </row>
    <row r="16342">
      <c r="K16342" s="317"/>
    </row>
    <row r="16343">
      <c r="K16343" s="317"/>
    </row>
    <row r="16344">
      <c r="K16344" s="317"/>
    </row>
    <row r="16345">
      <c r="K16345" s="317"/>
    </row>
    <row r="16346">
      <c r="K16346" s="317"/>
    </row>
    <row r="16347">
      <c r="K16347" s="317"/>
    </row>
    <row r="16348">
      <c r="K16348" s="317"/>
    </row>
    <row r="16349">
      <c r="K16349" s="317"/>
    </row>
    <row r="16350">
      <c r="K16350" s="317"/>
    </row>
    <row r="16351">
      <c r="K16351" s="317"/>
    </row>
    <row r="16352">
      <c r="K16352" s="317"/>
    </row>
    <row r="16353">
      <c r="K16353" s="317"/>
    </row>
    <row r="16354">
      <c r="K16354" s="317"/>
    </row>
    <row r="16355">
      <c r="K16355" s="317"/>
    </row>
    <row r="16356">
      <c r="K16356" s="317"/>
    </row>
    <row r="16357">
      <c r="K16357" s="317"/>
    </row>
    <row r="16358">
      <c r="K16358" s="317"/>
    </row>
    <row r="16359">
      <c r="K16359" s="317"/>
    </row>
    <row r="16360">
      <c r="K16360" s="317"/>
    </row>
    <row r="16361">
      <c r="K16361" s="317"/>
    </row>
    <row r="16362">
      <c r="K16362" s="317"/>
    </row>
    <row r="16363">
      <c r="K16363" s="317"/>
    </row>
    <row r="16364">
      <c r="K16364" s="317"/>
    </row>
    <row r="16365">
      <c r="K16365" s="317"/>
    </row>
    <row r="16366">
      <c r="K16366" s="317"/>
    </row>
    <row r="16367">
      <c r="K16367" s="317"/>
    </row>
    <row r="16368">
      <c r="K16368" s="317"/>
    </row>
    <row r="16369">
      <c r="K16369" s="317"/>
    </row>
    <row r="16370">
      <c r="K16370" s="317"/>
    </row>
    <row r="16371">
      <c r="K16371" s="317"/>
    </row>
    <row r="16372">
      <c r="K16372" s="317"/>
    </row>
    <row r="16373">
      <c r="K16373" s="317"/>
    </row>
    <row r="16374">
      <c r="K16374" s="317"/>
    </row>
    <row r="16375">
      <c r="K16375" s="317"/>
    </row>
    <row r="16376">
      <c r="K16376" s="317"/>
    </row>
    <row r="16377">
      <c r="K16377" s="317"/>
    </row>
    <row r="16378">
      <c r="K16378" s="317"/>
    </row>
    <row r="16379">
      <c r="K16379" s="317"/>
    </row>
    <row r="16380">
      <c r="K16380" s="317"/>
    </row>
    <row r="16381">
      <c r="K16381" s="317"/>
    </row>
    <row r="16382">
      <c r="K16382" s="317"/>
    </row>
    <row r="16383">
      <c r="K16383" s="317"/>
    </row>
    <row r="16384">
      <c r="K16384" s="317"/>
    </row>
    <row r="16385">
      <c r="K16385" s="317"/>
    </row>
    <row r="16386">
      <c r="K16386" s="317"/>
    </row>
    <row r="16387">
      <c r="K16387" s="317"/>
    </row>
    <row r="16388">
      <c r="K16388" s="317"/>
    </row>
    <row r="16389">
      <c r="K16389" s="317"/>
    </row>
    <row r="16390">
      <c r="K16390" s="317"/>
    </row>
    <row r="16391">
      <c r="K16391" s="317"/>
    </row>
    <row r="16392">
      <c r="K16392" s="317"/>
    </row>
    <row r="16393">
      <c r="K16393" s="317"/>
    </row>
    <row r="16394">
      <c r="K16394" s="317"/>
    </row>
    <row r="16395">
      <c r="K16395" s="317"/>
    </row>
    <row r="16396">
      <c r="K16396" s="317"/>
    </row>
    <row r="16397">
      <c r="K16397" s="317"/>
    </row>
    <row r="16398">
      <c r="K16398" s="317"/>
    </row>
    <row r="16399">
      <c r="K16399" s="317"/>
    </row>
    <row r="16400">
      <c r="K16400" s="317"/>
    </row>
    <row r="16401">
      <c r="K16401" s="317"/>
    </row>
    <row r="16402">
      <c r="K16402" s="317"/>
    </row>
    <row r="16403">
      <c r="K16403" s="317"/>
    </row>
    <row r="16404">
      <c r="K16404" s="317"/>
    </row>
    <row r="16405">
      <c r="K16405" s="317"/>
    </row>
    <row r="16406">
      <c r="K16406" s="317"/>
    </row>
    <row r="16407">
      <c r="K16407" s="317"/>
    </row>
    <row r="16408">
      <c r="K16408" s="317"/>
    </row>
    <row r="16409">
      <c r="K16409" s="317"/>
    </row>
    <row r="16410">
      <c r="K16410" s="317"/>
    </row>
    <row r="16411">
      <c r="K16411" s="317"/>
    </row>
    <row r="16412">
      <c r="K16412" s="317"/>
    </row>
    <row r="16413">
      <c r="K16413" s="317"/>
    </row>
    <row r="16414">
      <c r="K16414" s="317"/>
    </row>
    <row r="16415">
      <c r="K16415" s="317"/>
    </row>
    <row r="16416">
      <c r="K16416" s="317"/>
    </row>
    <row r="16417">
      <c r="K16417" s="317"/>
    </row>
    <row r="16418">
      <c r="K16418" s="317"/>
    </row>
    <row r="16419">
      <c r="K16419" s="317"/>
    </row>
    <row r="16420">
      <c r="K16420" s="317"/>
    </row>
    <row r="16421">
      <c r="K16421" s="317"/>
    </row>
    <row r="16422">
      <c r="K16422" s="317"/>
    </row>
    <row r="16423">
      <c r="K16423" s="317"/>
    </row>
    <row r="16424">
      <c r="K16424" s="317"/>
    </row>
    <row r="16425">
      <c r="K16425" s="317"/>
    </row>
    <row r="16426">
      <c r="K16426" s="317"/>
    </row>
    <row r="16427">
      <c r="K16427" s="317"/>
    </row>
    <row r="16428">
      <c r="K16428" s="317"/>
    </row>
    <row r="16429">
      <c r="K16429" s="317"/>
    </row>
    <row r="16430">
      <c r="K16430" s="317"/>
    </row>
    <row r="16431">
      <c r="K16431" s="317"/>
    </row>
    <row r="16432">
      <c r="K16432" s="317"/>
    </row>
    <row r="16433">
      <c r="K16433" s="317"/>
    </row>
    <row r="16434">
      <c r="K16434" s="317"/>
    </row>
    <row r="16435">
      <c r="K16435" s="317"/>
    </row>
    <row r="16436">
      <c r="K16436" s="317"/>
    </row>
    <row r="16437">
      <c r="K16437" s="317"/>
    </row>
    <row r="16438">
      <c r="K16438" s="317"/>
    </row>
    <row r="16439">
      <c r="K16439" s="317"/>
    </row>
    <row r="16440">
      <c r="K16440" s="317"/>
    </row>
    <row r="16441">
      <c r="K16441" s="317"/>
    </row>
    <row r="16442">
      <c r="K16442" s="317"/>
    </row>
    <row r="16443">
      <c r="K16443" s="317"/>
    </row>
    <row r="16444">
      <c r="K16444" s="317"/>
    </row>
    <row r="16445">
      <c r="K16445" s="317"/>
    </row>
    <row r="16446">
      <c r="K16446" s="317"/>
    </row>
    <row r="16447">
      <c r="K16447" s="317"/>
    </row>
    <row r="16448">
      <c r="K16448" s="317"/>
    </row>
    <row r="16449">
      <c r="K16449" s="317"/>
    </row>
    <row r="16450">
      <c r="K16450" s="317"/>
    </row>
    <row r="16451">
      <c r="K16451" s="317"/>
    </row>
    <row r="16452">
      <c r="K16452" s="317"/>
    </row>
    <row r="16453">
      <c r="K16453" s="317"/>
    </row>
    <row r="16454">
      <c r="K16454" s="317"/>
    </row>
    <row r="16455">
      <c r="K16455" s="317"/>
    </row>
    <row r="16456">
      <c r="K16456" s="317"/>
    </row>
    <row r="16457">
      <c r="K16457" s="317"/>
    </row>
    <row r="16458">
      <c r="K16458" s="317"/>
    </row>
    <row r="16459">
      <c r="K16459" s="317"/>
    </row>
    <row r="16460">
      <c r="K16460" s="317"/>
    </row>
    <row r="16461">
      <c r="K16461" s="317"/>
    </row>
    <row r="16462">
      <c r="K16462" s="317"/>
    </row>
    <row r="16463">
      <c r="K16463" s="317"/>
    </row>
    <row r="16464">
      <c r="K16464" s="317"/>
    </row>
    <row r="16465">
      <c r="K16465" s="317"/>
    </row>
    <row r="16466">
      <c r="K16466" s="317"/>
    </row>
    <row r="16467">
      <c r="K16467" s="317"/>
    </row>
    <row r="16468">
      <c r="K16468" s="317"/>
    </row>
    <row r="16469">
      <c r="K16469" s="317"/>
    </row>
    <row r="16470">
      <c r="K16470" s="317"/>
    </row>
    <row r="16471">
      <c r="K16471" s="317"/>
    </row>
    <row r="16472">
      <c r="K16472" s="317"/>
    </row>
    <row r="16473">
      <c r="K16473" s="317"/>
    </row>
    <row r="16474">
      <c r="K16474" s="317"/>
    </row>
    <row r="16475">
      <c r="K16475" s="317"/>
    </row>
    <row r="16476">
      <c r="K16476" s="317"/>
    </row>
    <row r="16477">
      <c r="K16477" s="317"/>
    </row>
    <row r="16478">
      <c r="K16478" s="317"/>
    </row>
    <row r="16479">
      <c r="K16479" s="317"/>
    </row>
    <row r="16480">
      <c r="K16480" s="317"/>
    </row>
    <row r="16481">
      <c r="K16481" s="317"/>
    </row>
    <row r="16482">
      <c r="K16482" s="317"/>
    </row>
    <row r="16483">
      <c r="K16483" s="317"/>
    </row>
    <row r="16484">
      <c r="K16484" s="317"/>
    </row>
    <row r="16485">
      <c r="K16485" s="317"/>
    </row>
    <row r="16486">
      <c r="K16486" s="317"/>
    </row>
    <row r="16487">
      <c r="K16487" s="317"/>
    </row>
    <row r="16488">
      <c r="K16488" s="317"/>
    </row>
    <row r="16489">
      <c r="K16489" s="317"/>
    </row>
    <row r="16490">
      <c r="K16490" s="317"/>
    </row>
    <row r="16491">
      <c r="K16491" s="317"/>
    </row>
    <row r="16492">
      <c r="K16492" s="317"/>
    </row>
    <row r="16493">
      <c r="K16493" s="317"/>
    </row>
    <row r="16494">
      <c r="K16494" s="317"/>
    </row>
    <row r="16495">
      <c r="K16495" s="317"/>
    </row>
    <row r="16496">
      <c r="K16496" s="317"/>
    </row>
    <row r="16497">
      <c r="K16497" s="317"/>
    </row>
    <row r="16498">
      <c r="K16498" s="317"/>
    </row>
    <row r="16499">
      <c r="K16499" s="317"/>
    </row>
    <row r="16500">
      <c r="K16500" s="317"/>
    </row>
    <row r="16501">
      <c r="K16501" s="317"/>
    </row>
    <row r="16502">
      <c r="K16502" s="317"/>
    </row>
    <row r="16503">
      <c r="K16503" s="317"/>
    </row>
    <row r="16504">
      <c r="K16504" s="317"/>
    </row>
    <row r="16505">
      <c r="K16505" s="317"/>
    </row>
    <row r="16506">
      <c r="K16506" s="317"/>
    </row>
    <row r="16507">
      <c r="K16507" s="317"/>
    </row>
    <row r="16508">
      <c r="K16508" s="317"/>
    </row>
    <row r="16509">
      <c r="K16509" s="317"/>
    </row>
    <row r="16510">
      <c r="K16510" s="317"/>
    </row>
    <row r="16511">
      <c r="K16511" s="317"/>
    </row>
    <row r="16512">
      <c r="K16512" s="317"/>
    </row>
    <row r="16513">
      <c r="K16513" s="317"/>
    </row>
    <row r="16514">
      <c r="K16514" s="317"/>
    </row>
    <row r="16515">
      <c r="K16515" s="317"/>
    </row>
    <row r="16516">
      <c r="K16516" s="317"/>
    </row>
    <row r="16517">
      <c r="K16517" s="317"/>
    </row>
    <row r="16518">
      <c r="K16518" s="317"/>
    </row>
    <row r="16519">
      <c r="K16519" s="317"/>
    </row>
    <row r="16520">
      <c r="K16520" s="317"/>
    </row>
    <row r="16521">
      <c r="K16521" s="317"/>
    </row>
    <row r="16522">
      <c r="K16522" s="317"/>
    </row>
    <row r="16523">
      <c r="K16523" s="317"/>
    </row>
    <row r="16524">
      <c r="K16524" s="317"/>
    </row>
    <row r="16525">
      <c r="K16525" s="317"/>
    </row>
    <row r="16526">
      <c r="K16526" s="317"/>
    </row>
    <row r="16527">
      <c r="K16527" s="317"/>
    </row>
    <row r="16528">
      <c r="K16528" s="317"/>
    </row>
    <row r="16529">
      <c r="K16529" s="317"/>
    </row>
    <row r="16530">
      <c r="K16530" s="317"/>
    </row>
    <row r="16531">
      <c r="K16531" s="317"/>
    </row>
    <row r="16532">
      <c r="K16532" s="317"/>
    </row>
    <row r="16533">
      <c r="K16533" s="317"/>
    </row>
    <row r="16534">
      <c r="K16534" s="317"/>
    </row>
    <row r="16535">
      <c r="K16535" s="317"/>
    </row>
    <row r="16536">
      <c r="K16536" s="317"/>
    </row>
    <row r="16537">
      <c r="K16537" s="317"/>
    </row>
    <row r="16538">
      <c r="K16538" s="317"/>
    </row>
    <row r="16539">
      <c r="K16539" s="317"/>
    </row>
    <row r="16540">
      <c r="K16540" s="317"/>
    </row>
    <row r="16541">
      <c r="K16541" s="317"/>
    </row>
    <row r="16542">
      <c r="K16542" s="317"/>
    </row>
    <row r="16543">
      <c r="K16543" s="317"/>
    </row>
    <row r="16544">
      <c r="K16544" s="317"/>
    </row>
    <row r="16545">
      <c r="K16545" s="317"/>
    </row>
    <row r="16546">
      <c r="K16546" s="317"/>
    </row>
    <row r="16547">
      <c r="K16547" s="317"/>
    </row>
    <row r="16548">
      <c r="K16548" s="317"/>
    </row>
    <row r="16549">
      <c r="K16549" s="317"/>
    </row>
    <row r="16550">
      <c r="K16550" s="317"/>
    </row>
    <row r="16551">
      <c r="K16551" s="317"/>
    </row>
    <row r="16552">
      <c r="K16552" s="317"/>
    </row>
    <row r="16553">
      <c r="K16553" s="317"/>
    </row>
    <row r="16554">
      <c r="K16554" s="317"/>
    </row>
    <row r="16555">
      <c r="K16555" s="317"/>
    </row>
    <row r="16556">
      <c r="K16556" s="317"/>
    </row>
    <row r="16557">
      <c r="K16557" s="317"/>
    </row>
    <row r="16558">
      <c r="K16558" s="317"/>
    </row>
    <row r="16559">
      <c r="K16559" s="317"/>
    </row>
    <row r="16560">
      <c r="K16560" s="317"/>
    </row>
    <row r="16561">
      <c r="K16561" s="317"/>
    </row>
    <row r="16562">
      <c r="K16562" s="317"/>
    </row>
    <row r="16563">
      <c r="K16563" s="317"/>
    </row>
    <row r="16564">
      <c r="K16564" s="317"/>
    </row>
    <row r="16565">
      <c r="K16565" s="317"/>
    </row>
    <row r="16566">
      <c r="K16566" s="317"/>
    </row>
    <row r="16567">
      <c r="K16567" s="317"/>
    </row>
    <row r="16568">
      <c r="K16568" s="317"/>
    </row>
    <row r="16569">
      <c r="K16569" s="317"/>
    </row>
    <row r="16570">
      <c r="K16570" s="317"/>
    </row>
    <row r="16571">
      <c r="K16571" s="317"/>
    </row>
    <row r="16572">
      <c r="K16572" s="317"/>
    </row>
    <row r="16573">
      <c r="K16573" s="317"/>
    </row>
    <row r="16574">
      <c r="K16574" s="317"/>
    </row>
    <row r="16575">
      <c r="K16575" s="317"/>
    </row>
    <row r="16576">
      <c r="K16576" s="317"/>
    </row>
    <row r="16577">
      <c r="K16577" s="317"/>
    </row>
    <row r="16578">
      <c r="K16578" s="317"/>
    </row>
    <row r="16579">
      <c r="K16579" s="317"/>
    </row>
    <row r="16580">
      <c r="K16580" s="317"/>
    </row>
    <row r="16581">
      <c r="K16581" s="317"/>
    </row>
    <row r="16582">
      <c r="K16582" s="317"/>
    </row>
    <row r="16583">
      <c r="K16583" s="317"/>
    </row>
    <row r="16584">
      <c r="K16584" s="317"/>
    </row>
    <row r="16585">
      <c r="K16585" s="317"/>
    </row>
    <row r="16586">
      <c r="K16586" s="317"/>
    </row>
    <row r="16587">
      <c r="K16587" s="317"/>
    </row>
    <row r="16588">
      <c r="K16588" s="317"/>
    </row>
    <row r="16589">
      <c r="K16589" s="317"/>
    </row>
    <row r="16590">
      <c r="K16590" s="317"/>
    </row>
    <row r="16591">
      <c r="K16591" s="317"/>
    </row>
    <row r="16592">
      <c r="K16592" s="317"/>
    </row>
    <row r="16593">
      <c r="K16593" s="317"/>
    </row>
    <row r="16594">
      <c r="K16594" s="317"/>
    </row>
    <row r="16595">
      <c r="K16595" s="317"/>
    </row>
    <row r="16596">
      <c r="K16596" s="317"/>
    </row>
    <row r="16597">
      <c r="K16597" s="317"/>
    </row>
    <row r="16598">
      <c r="K16598" s="317"/>
    </row>
    <row r="16599">
      <c r="K16599" s="317"/>
    </row>
    <row r="16600">
      <c r="K16600" s="317"/>
    </row>
    <row r="16601">
      <c r="K16601" s="317"/>
    </row>
    <row r="16602">
      <c r="K16602" s="317"/>
    </row>
    <row r="16603">
      <c r="K16603" s="317"/>
    </row>
    <row r="16604">
      <c r="K16604" s="317"/>
    </row>
    <row r="16605">
      <c r="K16605" s="317"/>
    </row>
    <row r="16606">
      <c r="K16606" s="317"/>
    </row>
    <row r="16607">
      <c r="K16607" s="317"/>
    </row>
    <row r="16608">
      <c r="K16608" s="317"/>
    </row>
    <row r="16609">
      <c r="K16609" s="317"/>
    </row>
    <row r="16610">
      <c r="K16610" s="317"/>
    </row>
    <row r="16611">
      <c r="K16611" s="317"/>
    </row>
    <row r="16612">
      <c r="K16612" s="317"/>
    </row>
    <row r="16613">
      <c r="K16613" s="317"/>
    </row>
    <row r="16614">
      <c r="K16614" s="317"/>
    </row>
    <row r="16615">
      <c r="K16615" s="317"/>
    </row>
    <row r="16616">
      <c r="K16616" s="317"/>
    </row>
    <row r="16617">
      <c r="K16617" s="317"/>
    </row>
    <row r="16618">
      <c r="K16618" s="317"/>
    </row>
    <row r="16619">
      <c r="K16619" s="317"/>
    </row>
    <row r="16620">
      <c r="K16620" s="317"/>
    </row>
    <row r="16621">
      <c r="K16621" s="317"/>
    </row>
    <row r="16622">
      <c r="K16622" s="317"/>
    </row>
    <row r="16623">
      <c r="K16623" s="317"/>
    </row>
    <row r="16624">
      <c r="K16624" s="317"/>
    </row>
    <row r="16625">
      <c r="K16625" s="317"/>
    </row>
    <row r="16626">
      <c r="K16626" s="317"/>
    </row>
    <row r="16627">
      <c r="K16627" s="317"/>
    </row>
    <row r="16628">
      <c r="K16628" s="317"/>
    </row>
    <row r="16629">
      <c r="K16629" s="317"/>
    </row>
    <row r="16630">
      <c r="K16630" s="317"/>
    </row>
    <row r="16631">
      <c r="K16631" s="317"/>
    </row>
    <row r="16632">
      <c r="K16632" s="317"/>
    </row>
    <row r="16633">
      <c r="K16633" s="317"/>
    </row>
    <row r="16634">
      <c r="K16634" s="317"/>
    </row>
    <row r="16635">
      <c r="K16635" s="317"/>
    </row>
    <row r="16636">
      <c r="K16636" s="317"/>
    </row>
    <row r="16637">
      <c r="K16637" s="317"/>
    </row>
    <row r="16638">
      <c r="K16638" s="317"/>
    </row>
    <row r="16639">
      <c r="K16639" s="317"/>
    </row>
    <row r="16640">
      <c r="K16640" s="317"/>
    </row>
    <row r="16641">
      <c r="K16641" s="317"/>
    </row>
    <row r="16642">
      <c r="K16642" s="317"/>
    </row>
    <row r="16643">
      <c r="K16643" s="317"/>
    </row>
    <row r="16644">
      <c r="K16644" s="317"/>
    </row>
    <row r="16645">
      <c r="K16645" s="317"/>
    </row>
    <row r="16646">
      <c r="K16646" s="317"/>
    </row>
    <row r="16647">
      <c r="K16647" s="317"/>
    </row>
    <row r="16648">
      <c r="K16648" s="317"/>
    </row>
    <row r="16649">
      <c r="K16649" s="317"/>
    </row>
    <row r="16650">
      <c r="K16650" s="317"/>
    </row>
    <row r="16651">
      <c r="K16651" s="317"/>
    </row>
    <row r="16652">
      <c r="K16652" s="317"/>
    </row>
    <row r="16653">
      <c r="K16653" s="317"/>
    </row>
    <row r="16654">
      <c r="K16654" s="317"/>
    </row>
    <row r="16655">
      <c r="K16655" s="317"/>
    </row>
    <row r="16656">
      <c r="K16656" s="317"/>
    </row>
    <row r="16657">
      <c r="K16657" s="317"/>
    </row>
    <row r="16658">
      <c r="K16658" s="317"/>
    </row>
    <row r="16659">
      <c r="K16659" s="317"/>
    </row>
    <row r="16660">
      <c r="K16660" s="317"/>
    </row>
    <row r="16661">
      <c r="K16661" s="317"/>
    </row>
    <row r="16662">
      <c r="K16662" s="317"/>
    </row>
    <row r="16663">
      <c r="K16663" s="317"/>
    </row>
    <row r="16664">
      <c r="K16664" s="317"/>
    </row>
    <row r="16665">
      <c r="K16665" s="317"/>
    </row>
    <row r="16666">
      <c r="K16666" s="317"/>
    </row>
    <row r="16667">
      <c r="K16667" s="317"/>
    </row>
    <row r="16668">
      <c r="K16668" s="317"/>
    </row>
    <row r="16669">
      <c r="K16669" s="317"/>
    </row>
    <row r="16670">
      <c r="K16670" s="317"/>
    </row>
    <row r="16671">
      <c r="K16671" s="317"/>
    </row>
    <row r="16672">
      <c r="K16672" s="317"/>
    </row>
    <row r="16673">
      <c r="K16673" s="317"/>
    </row>
    <row r="16674">
      <c r="K16674" s="317"/>
    </row>
    <row r="16675">
      <c r="K16675" s="317"/>
    </row>
    <row r="16676">
      <c r="K16676" s="317"/>
    </row>
    <row r="16677">
      <c r="K16677" s="317"/>
    </row>
    <row r="16678">
      <c r="K16678" s="317"/>
    </row>
    <row r="16679">
      <c r="K16679" s="317"/>
    </row>
    <row r="16680">
      <c r="K16680" s="317"/>
    </row>
    <row r="16681">
      <c r="K16681" s="317"/>
    </row>
    <row r="16682">
      <c r="K16682" s="317"/>
    </row>
    <row r="16683">
      <c r="K16683" s="317"/>
    </row>
    <row r="16684">
      <c r="K16684" s="317"/>
    </row>
    <row r="16685">
      <c r="K16685" s="317"/>
    </row>
    <row r="16686">
      <c r="K16686" s="317"/>
    </row>
    <row r="16687">
      <c r="K16687" s="317"/>
    </row>
    <row r="16688">
      <c r="K16688" s="317"/>
    </row>
    <row r="16689">
      <c r="K16689" s="317"/>
    </row>
    <row r="16690">
      <c r="K16690" s="317"/>
    </row>
    <row r="16691">
      <c r="K16691" s="317"/>
    </row>
    <row r="16692">
      <c r="K16692" s="317"/>
    </row>
    <row r="16693">
      <c r="K16693" s="317"/>
    </row>
    <row r="16694">
      <c r="K16694" s="317"/>
    </row>
    <row r="16695">
      <c r="K16695" s="317"/>
    </row>
    <row r="16696">
      <c r="K16696" s="317"/>
    </row>
    <row r="16697">
      <c r="K16697" s="317"/>
    </row>
    <row r="16698">
      <c r="K16698" s="317"/>
    </row>
    <row r="16699">
      <c r="K16699" s="317"/>
    </row>
    <row r="16700">
      <c r="K16700" s="317"/>
    </row>
    <row r="16701">
      <c r="K16701" s="317"/>
    </row>
    <row r="16702">
      <c r="K16702" s="317"/>
    </row>
    <row r="16703">
      <c r="K16703" s="317"/>
    </row>
    <row r="16704">
      <c r="K16704" s="317"/>
    </row>
    <row r="16705">
      <c r="K16705" s="317"/>
    </row>
    <row r="16706">
      <c r="K16706" s="317"/>
    </row>
    <row r="16707">
      <c r="K16707" s="317"/>
    </row>
    <row r="16708">
      <c r="K16708" s="317"/>
    </row>
    <row r="16709">
      <c r="K16709" s="317"/>
    </row>
    <row r="16710">
      <c r="K16710" s="317"/>
    </row>
    <row r="16711">
      <c r="K16711" s="317"/>
    </row>
    <row r="16712">
      <c r="K16712" s="317"/>
    </row>
    <row r="16713">
      <c r="K16713" s="317"/>
    </row>
    <row r="16714">
      <c r="K16714" s="317"/>
    </row>
    <row r="16715">
      <c r="K16715" s="317"/>
    </row>
    <row r="16716">
      <c r="K16716" s="317"/>
    </row>
    <row r="16717">
      <c r="K16717" s="317"/>
    </row>
    <row r="16718">
      <c r="K16718" s="317"/>
    </row>
    <row r="16719">
      <c r="K16719" s="317"/>
    </row>
    <row r="16720">
      <c r="K16720" s="317"/>
    </row>
    <row r="16721">
      <c r="K16721" s="317"/>
    </row>
    <row r="16722">
      <c r="K16722" s="317"/>
    </row>
    <row r="16723">
      <c r="K16723" s="317"/>
    </row>
    <row r="16724">
      <c r="K16724" s="317"/>
    </row>
    <row r="16725">
      <c r="K16725" s="317"/>
    </row>
    <row r="16726">
      <c r="K16726" s="317"/>
    </row>
    <row r="16727">
      <c r="K16727" s="317"/>
    </row>
    <row r="16728">
      <c r="K16728" s="317"/>
    </row>
    <row r="16729">
      <c r="K16729" s="317"/>
    </row>
    <row r="16730">
      <c r="K16730" s="317"/>
    </row>
    <row r="16731">
      <c r="K16731" s="317"/>
    </row>
    <row r="16732">
      <c r="K16732" s="317"/>
    </row>
    <row r="16733">
      <c r="K16733" s="317"/>
    </row>
    <row r="16734">
      <c r="K16734" s="317"/>
    </row>
    <row r="16735">
      <c r="K16735" s="317"/>
    </row>
    <row r="16736">
      <c r="K16736" s="317"/>
    </row>
    <row r="16737">
      <c r="K16737" s="317"/>
    </row>
    <row r="16738">
      <c r="K16738" s="317"/>
    </row>
    <row r="16739">
      <c r="K16739" s="317"/>
    </row>
    <row r="16740">
      <c r="K16740" s="317"/>
    </row>
    <row r="16741">
      <c r="K16741" s="317"/>
    </row>
    <row r="16742">
      <c r="K16742" s="317"/>
    </row>
    <row r="16743">
      <c r="K16743" s="317"/>
    </row>
    <row r="16744">
      <c r="K16744" s="317"/>
    </row>
    <row r="16745">
      <c r="K16745" s="317"/>
    </row>
    <row r="16746">
      <c r="K16746" s="317"/>
    </row>
    <row r="16747">
      <c r="K16747" s="317"/>
    </row>
    <row r="16748">
      <c r="K16748" s="317"/>
    </row>
    <row r="16749">
      <c r="K16749" s="317"/>
    </row>
    <row r="16750">
      <c r="K16750" s="317"/>
    </row>
    <row r="16751">
      <c r="K16751" s="317"/>
    </row>
    <row r="16752">
      <c r="K16752" s="317"/>
    </row>
    <row r="16753">
      <c r="K16753" s="317"/>
    </row>
    <row r="16754">
      <c r="K16754" s="317"/>
    </row>
    <row r="16755">
      <c r="K16755" s="317"/>
    </row>
    <row r="16756">
      <c r="K16756" s="317"/>
    </row>
    <row r="16757">
      <c r="K16757" s="317"/>
    </row>
    <row r="16758">
      <c r="K16758" s="317"/>
    </row>
    <row r="16759">
      <c r="K16759" s="317"/>
    </row>
    <row r="16760">
      <c r="K16760" s="317"/>
    </row>
    <row r="16761">
      <c r="K16761" s="317"/>
    </row>
    <row r="16762">
      <c r="K16762" s="317"/>
    </row>
    <row r="16763">
      <c r="K16763" s="317"/>
    </row>
    <row r="16764">
      <c r="K16764" s="317"/>
    </row>
    <row r="16765">
      <c r="K16765" s="317"/>
    </row>
    <row r="16766">
      <c r="K16766" s="317"/>
    </row>
    <row r="16767">
      <c r="K16767" s="317"/>
    </row>
    <row r="16768">
      <c r="K16768" s="317"/>
    </row>
    <row r="16769">
      <c r="K16769" s="317"/>
    </row>
    <row r="16770">
      <c r="K16770" s="317"/>
    </row>
    <row r="16771">
      <c r="K16771" s="317"/>
    </row>
    <row r="16772">
      <c r="K16772" s="317"/>
    </row>
    <row r="16773">
      <c r="K16773" s="317"/>
    </row>
    <row r="16774">
      <c r="K16774" s="317"/>
    </row>
    <row r="16775">
      <c r="K16775" s="317"/>
    </row>
    <row r="16776">
      <c r="K16776" s="317"/>
    </row>
    <row r="16777">
      <c r="K16777" s="317"/>
    </row>
    <row r="16778">
      <c r="K16778" s="317"/>
    </row>
    <row r="16779">
      <c r="K16779" s="317"/>
    </row>
    <row r="16780">
      <c r="K16780" s="317"/>
    </row>
    <row r="16781">
      <c r="K16781" s="317"/>
    </row>
    <row r="16782">
      <c r="K16782" s="317"/>
    </row>
    <row r="16783">
      <c r="K16783" s="317"/>
    </row>
    <row r="16784">
      <c r="K16784" s="317"/>
    </row>
    <row r="16785">
      <c r="K16785" s="317"/>
    </row>
    <row r="16786">
      <c r="K16786" s="317"/>
    </row>
    <row r="16787">
      <c r="K16787" s="317"/>
    </row>
    <row r="16788">
      <c r="K16788" s="317"/>
    </row>
    <row r="16789">
      <c r="K16789" s="317"/>
    </row>
    <row r="16790">
      <c r="K16790" s="317"/>
    </row>
    <row r="16791">
      <c r="K16791" s="317"/>
    </row>
    <row r="16792">
      <c r="K16792" s="317"/>
    </row>
    <row r="16793">
      <c r="K16793" s="317"/>
    </row>
    <row r="16794">
      <c r="K16794" s="317"/>
    </row>
    <row r="16795">
      <c r="K16795" s="317"/>
    </row>
    <row r="16796">
      <c r="K16796" s="317"/>
    </row>
    <row r="16797">
      <c r="K16797" s="317"/>
    </row>
    <row r="16798">
      <c r="K16798" s="317"/>
    </row>
    <row r="16799">
      <c r="K16799" s="317"/>
    </row>
    <row r="16800">
      <c r="K16800" s="317"/>
    </row>
    <row r="16801">
      <c r="K16801" s="317"/>
    </row>
    <row r="16802">
      <c r="K16802" s="317"/>
    </row>
    <row r="16803">
      <c r="K16803" s="317"/>
    </row>
    <row r="16804">
      <c r="K16804" s="317"/>
    </row>
    <row r="16805">
      <c r="K16805" s="317"/>
    </row>
    <row r="16806">
      <c r="K16806" s="317"/>
    </row>
    <row r="16807">
      <c r="K16807" s="317"/>
    </row>
    <row r="16808">
      <c r="K16808" s="317"/>
    </row>
    <row r="16809">
      <c r="K16809" s="317"/>
    </row>
    <row r="16810">
      <c r="K16810" s="317"/>
    </row>
    <row r="16811">
      <c r="K16811" s="317"/>
    </row>
    <row r="16812">
      <c r="K16812" s="317"/>
    </row>
    <row r="16813">
      <c r="K16813" s="317"/>
    </row>
    <row r="16814">
      <c r="K16814" s="317"/>
    </row>
    <row r="16815">
      <c r="K16815" s="317"/>
    </row>
    <row r="16816">
      <c r="K16816" s="317"/>
    </row>
    <row r="16817">
      <c r="K16817" s="317"/>
    </row>
    <row r="16818">
      <c r="K16818" s="317"/>
    </row>
    <row r="16819">
      <c r="K16819" s="317"/>
    </row>
    <row r="16820">
      <c r="K16820" s="317"/>
    </row>
    <row r="16821">
      <c r="K16821" s="317"/>
    </row>
    <row r="16822">
      <c r="K16822" s="317"/>
    </row>
    <row r="16823">
      <c r="K16823" s="317"/>
    </row>
    <row r="16824">
      <c r="K16824" s="317"/>
    </row>
    <row r="16825">
      <c r="K16825" s="317"/>
    </row>
    <row r="16826">
      <c r="K16826" s="317"/>
    </row>
    <row r="16827">
      <c r="K16827" s="317"/>
    </row>
    <row r="16828">
      <c r="K16828" s="317"/>
    </row>
    <row r="16829">
      <c r="K16829" s="317"/>
    </row>
    <row r="16830">
      <c r="K16830" s="317"/>
    </row>
    <row r="16831">
      <c r="K16831" s="317"/>
    </row>
    <row r="16832">
      <c r="K16832" s="317"/>
    </row>
    <row r="16833">
      <c r="K16833" s="317"/>
    </row>
    <row r="16834">
      <c r="K16834" s="317"/>
    </row>
    <row r="16835">
      <c r="K16835" s="317"/>
    </row>
    <row r="16836">
      <c r="K16836" s="317"/>
    </row>
    <row r="16837">
      <c r="K16837" s="317"/>
    </row>
    <row r="16838">
      <c r="K16838" s="317"/>
    </row>
    <row r="16839">
      <c r="K16839" s="317"/>
    </row>
    <row r="16840">
      <c r="K16840" s="317"/>
    </row>
    <row r="16841">
      <c r="K16841" s="317"/>
    </row>
    <row r="16842">
      <c r="K16842" s="317"/>
    </row>
    <row r="16843">
      <c r="K16843" s="317"/>
    </row>
    <row r="16844">
      <c r="K16844" s="317"/>
    </row>
    <row r="16845">
      <c r="K16845" s="317"/>
    </row>
    <row r="16846">
      <c r="K16846" s="317"/>
    </row>
    <row r="16847">
      <c r="K16847" s="317"/>
    </row>
    <row r="16848">
      <c r="K16848" s="317"/>
    </row>
    <row r="16849">
      <c r="K16849" s="317"/>
    </row>
    <row r="16850">
      <c r="K16850" s="317"/>
    </row>
    <row r="16851">
      <c r="K16851" s="317"/>
    </row>
    <row r="16852">
      <c r="K16852" s="317"/>
    </row>
    <row r="16853">
      <c r="K16853" s="317"/>
    </row>
    <row r="16854">
      <c r="K16854" s="317"/>
    </row>
    <row r="16855">
      <c r="K16855" s="317"/>
    </row>
    <row r="16856">
      <c r="K16856" s="317"/>
    </row>
    <row r="16857">
      <c r="K16857" s="317"/>
    </row>
    <row r="16858">
      <c r="K16858" s="317"/>
    </row>
    <row r="16859">
      <c r="K16859" s="317"/>
    </row>
    <row r="16860">
      <c r="K16860" s="317"/>
    </row>
    <row r="16861">
      <c r="K16861" s="317"/>
    </row>
    <row r="16862">
      <c r="K16862" s="317"/>
    </row>
    <row r="16863">
      <c r="K16863" s="317"/>
    </row>
    <row r="16864">
      <c r="K16864" s="317"/>
    </row>
    <row r="16865">
      <c r="K16865" s="317"/>
    </row>
    <row r="16866">
      <c r="K16866" s="317"/>
    </row>
    <row r="16867">
      <c r="K16867" s="317"/>
    </row>
    <row r="16868">
      <c r="K16868" s="317"/>
    </row>
    <row r="16869">
      <c r="K16869" s="317"/>
    </row>
    <row r="16870">
      <c r="K16870" s="317"/>
    </row>
    <row r="16871">
      <c r="K16871" s="317"/>
    </row>
    <row r="16872">
      <c r="K16872" s="317"/>
    </row>
    <row r="16873">
      <c r="K16873" s="317"/>
    </row>
    <row r="16874">
      <c r="K16874" s="317"/>
    </row>
    <row r="16875">
      <c r="K16875" s="317"/>
    </row>
    <row r="16876">
      <c r="K16876" s="317"/>
    </row>
    <row r="16877">
      <c r="K16877" s="317"/>
    </row>
    <row r="16878">
      <c r="K16878" s="317"/>
    </row>
    <row r="16879">
      <c r="K16879" s="317"/>
    </row>
    <row r="16880">
      <c r="K16880" s="317"/>
    </row>
    <row r="16881">
      <c r="K16881" s="317"/>
    </row>
    <row r="16882">
      <c r="K16882" s="317"/>
    </row>
    <row r="16883">
      <c r="K16883" s="317"/>
    </row>
    <row r="16884">
      <c r="K16884" s="317"/>
    </row>
    <row r="16885">
      <c r="K16885" s="317"/>
    </row>
    <row r="16886">
      <c r="K16886" s="317"/>
    </row>
    <row r="16887">
      <c r="K16887" s="317"/>
    </row>
    <row r="16888">
      <c r="K16888" s="317"/>
    </row>
    <row r="16889">
      <c r="K16889" s="317"/>
    </row>
    <row r="16890">
      <c r="K16890" s="317"/>
    </row>
    <row r="16891">
      <c r="K16891" s="317"/>
    </row>
    <row r="16892">
      <c r="K16892" s="317"/>
    </row>
    <row r="16893">
      <c r="K16893" s="317"/>
    </row>
    <row r="16894">
      <c r="K16894" s="317"/>
    </row>
    <row r="16895">
      <c r="K16895" s="317"/>
    </row>
    <row r="16896">
      <c r="K16896" s="317"/>
    </row>
    <row r="16897">
      <c r="K16897" s="317"/>
    </row>
    <row r="16898">
      <c r="K16898" s="317"/>
    </row>
    <row r="16899">
      <c r="K16899" s="317"/>
    </row>
    <row r="16900">
      <c r="K16900" s="317"/>
    </row>
    <row r="16901">
      <c r="K16901" s="317"/>
    </row>
    <row r="16902">
      <c r="K16902" s="317"/>
    </row>
    <row r="16903">
      <c r="K16903" s="317"/>
    </row>
    <row r="16904">
      <c r="K16904" s="317"/>
    </row>
    <row r="16905">
      <c r="K16905" s="317"/>
    </row>
    <row r="16906">
      <c r="K16906" s="317"/>
    </row>
    <row r="16907">
      <c r="K16907" s="317"/>
    </row>
    <row r="16908">
      <c r="K16908" s="317"/>
    </row>
    <row r="16909">
      <c r="K16909" s="317"/>
    </row>
    <row r="16910">
      <c r="K16910" s="317"/>
    </row>
    <row r="16911">
      <c r="K16911" s="317"/>
    </row>
    <row r="16912">
      <c r="K16912" s="317"/>
    </row>
    <row r="16913">
      <c r="K16913" s="317"/>
    </row>
    <row r="16914">
      <c r="K16914" s="317"/>
    </row>
    <row r="16915">
      <c r="K16915" s="317"/>
    </row>
    <row r="16916">
      <c r="K16916" s="317"/>
    </row>
    <row r="16917">
      <c r="K16917" s="317"/>
    </row>
    <row r="16918">
      <c r="K16918" s="317"/>
    </row>
    <row r="16919">
      <c r="K16919" s="317"/>
    </row>
    <row r="16920">
      <c r="K16920" s="317"/>
    </row>
    <row r="16921">
      <c r="K16921" s="317"/>
    </row>
    <row r="16922">
      <c r="K16922" s="317"/>
    </row>
    <row r="16923">
      <c r="K16923" s="317"/>
    </row>
    <row r="16924">
      <c r="K16924" s="317"/>
    </row>
    <row r="16925">
      <c r="K16925" s="317"/>
    </row>
    <row r="16926">
      <c r="K16926" s="317"/>
    </row>
    <row r="16927">
      <c r="K16927" s="317"/>
    </row>
    <row r="16928">
      <c r="K16928" s="317"/>
    </row>
    <row r="16929">
      <c r="K16929" s="317"/>
    </row>
    <row r="16930">
      <c r="K16930" s="317"/>
    </row>
    <row r="16931">
      <c r="K16931" s="317"/>
    </row>
    <row r="16932">
      <c r="K16932" s="317"/>
    </row>
    <row r="16933">
      <c r="K16933" s="317"/>
    </row>
    <row r="16934">
      <c r="K16934" s="317"/>
    </row>
    <row r="16935">
      <c r="K16935" s="317"/>
    </row>
    <row r="16936">
      <c r="K16936" s="317"/>
    </row>
    <row r="16937">
      <c r="K16937" s="317"/>
    </row>
    <row r="16938">
      <c r="K16938" s="317"/>
    </row>
    <row r="16939">
      <c r="K16939" s="317"/>
    </row>
    <row r="16940">
      <c r="K16940" s="317"/>
    </row>
    <row r="16941">
      <c r="K16941" s="317"/>
    </row>
    <row r="16942">
      <c r="K16942" s="317"/>
    </row>
    <row r="16943">
      <c r="K16943" s="317"/>
    </row>
    <row r="16944">
      <c r="K16944" s="317"/>
    </row>
    <row r="16945">
      <c r="K16945" s="317"/>
    </row>
    <row r="16946">
      <c r="K16946" s="317"/>
    </row>
    <row r="16947">
      <c r="K16947" s="317"/>
    </row>
    <row r="16948">
      <c r="K16948" s="317"/>
    </row>
    <row r="16949">
      <c r="K16949" s="317"/>
    </row>
    <row r="16950">
      <c r="K16950" s="317"/>
    </row>
    <row r="16951">
      <c r="K16951" s="317"/>
    </row>
    <row r="16952">
      <c r="K16952" s="317"/>
    </row>
    <row r="16953">
      <c r="K16953" s="317"/>
    </row>
    <row r="16954">
      <c r="K16954" s="317"/>
    </row>
    <row r="16955">
      <c r="K16955" s="317"/>
    </row>
    <row r="16956">
      <c r="K16956" s="317"/>
    </row>
    <row r="16957">
      <c r="K16957" s="317"/>
    </row>
    <row r="16958">
      <c r="K16958" s="317"/>
    </row>
    <row r="16959">
      <c r="K16959" s="317"/>
    </row>
    <row r="16960">
      <c r="K16960" s="317"/>
    </row>
    <row r="16961">
      <c r="K16961" s="317"/>
    </row>
    <row r="16962">
      <c r="K16962" s="317"/>
    </row>
    <row r="16963">
      <c r="K16963" s="317"/>
    </row>
    <row r="16964">
      <c r="K16964" s="317"/>
    </row>
    <row r="16965">
      <c r="K16965" s="317"/>
    </row>
    <row r="16966">
      <c r="K16966" s="317"/>
    </row>
    <row r="16967">
      <c r="K16967" s="317"/>
    </row>
    <row r="16968">
      <c r="K16968" s="317"/>
    </row>
    <row r="16969">
      <c r="K16969" s="317"/>
    </row>
    <row r="16970">
      <c r="K16970" s="317"/>
    </row>
    <row r="16971">
      <c r="K16971" s="317"/>
    </row>
    <row r="16972">
      <c r="K16972" s="317"/>
    </row>
    <row r="16973">
      <c r="K16973" s="317"/>
    </row>
    <row r="16974">
      <c r="K16974" s="317"/>
    </row>
    <row r="16975">
      <c r="K16975" s="317"/>
    </row>
    <row r="16976">
      <c r="K16976" s="317"/>
    </row>
    <row r="16977">
      <c r="K16977" s="317"/>
    </row>
    <row r="16978">
      <c r="K16978" s="317"/>
    </row>
    <row r="16979">
      <c r="K16979" s="317"/>
    </row>
    <row r="16980">
      <c r="K16980" s="317"/>
    </row>
    <row r="16981">
      <c r="K16981" s="317"/>
    </row>
    <row r="16982">
      <c r="K16982" s="317"/>
    </row>
    <row r="16983">
      <c r="K16983" s="317"/>
    </row>
    <row r="16984">
      <c r="K16984" s="317"/>
    </row>
    <row r="16985">
      <c r="K16985" s="317"/>
    </row>
    <row r="16986">
      <c r="K16986" s="317"/>
    </row>
    <row r="16987">
      <c r="K16987" s="317"/>
    </row>
    <row r="16988">
      <c r="K16988" s="317"/>
    </row>
    <row r="16989">
      <c r="K16989" s="317"/>
    </row>
    <row r="16990">
      <c r="K16990" s="317"/>
    </row>
    <row r="16991">
      <c r="K16991" s="317"/>
    </row>
    <row r="16992">
      <c r="K16992" s="317"/>
    </row>
    <row r="16993">
      <c r="K16993" s="317"/>
    </row>
    <row r="16994">
      <c r="K16994" s="317"/>
    </row>
    <row r="16995">
      <c r="K16995" s="317"/>
    </row>
    <row r="16996">
      <c r="K16996" s="317"/>
    </row>
    <row r="16997">
      <c r="K16997" s="317"/>
    </row>
    <row r="16998">
      <c r="K16998" s="317"/>
    </row>
    <row r="16999">
      <c r="K16999" s="317"/>
    </row>
    <row r="17000">
      <c r="K17000" s="317"/>
    </row>
    <row r="17001">
      <c r="K17001" s="317"/>
    </row>
    <row r="17002">
      <c r="K17002" s="317"/>
    </row>
    <row r="17003">
      <c r="K17003" s="317"/>
    </row>
    <row r="17004">
      <c r="K17004" s="317"/>
    </row>
    <row r="17005">
      <c r="K17005" s="317"/>
    </row>
    <row r="17006">
      <c r="K17006" s="317"/>
    </row>
    <row r="17007">
      <c r="K17007" s="317"/>
    </row>
    <row r="17008">
      <c r="K17008" s="317"/>
    </row>
    <row r="17009">
      <c r="K17009" s="317"/>
    </row>
    <row r="17010">
      <c r="K17010" s="317"/>
    </row>
    <row r="17011">
      <c r="K17011" s="317"/>
    </row>
    <row r="17012">
      <c r="K17012" s="317"/>
    </row>
    <row r="17013">
      <c r="K17013" s="317"/>
    </row>
    <row r="17014">
      <c r="K17014" s="317"/>
    </row>
    <row r="17015">
      <c r="K17015" s="317"/>
    </row>
    <row r="17016">
      <c r="K17016" s="317"/>
    </row>
    <row r="17017">
      <c r="K17017" s="317"/>
    </row>
    <row r="17018">
      <c r="K17018" s="317"/>
    </row>
    <row r="17019">
      <c r="K17019" s="317"/>
    </row>
    <row r="17020">
      <c r="K17020" s="317"/>
    </row>
    <row r="17021">
      <c r="K17021" s="317"/>
    </row>
    <row r="17022">
      <c r="K17022" s="317"/>
    </row>
    <row r="17023">
      <c r="K17023" s="317"/>
    </row>
    <row r="17024">
      <c r="K17024" s="317"/>
    </row>
    <row r="17025">
      <c r="K17025" s="317"/>
    </row>
    <row r="17026">
      <c r="K17026" s="317"/>
    </row>
    <row r="17027">
      <c r="K17027" s="317"/>
    </row>
    <row r="17028">
      <c r="K17028" s="317"/>
    </row>
    <row r="17029">
      <c r="K17029" s="317"/>
    </row>
    <row r="17030">
      <c r="K17030" s="317"/>
    </row>
    <row r="17031">
      <c r="K17031" s="317"/>
    </row>
    <row r="17032">
      <c r="K17032" s="317"/>
    </row>
    <row r="17033">
      <c r="K17033" s="317"/>
    </row>
    <row r="17034">
      <c r="K17034" s="317"/>
    </row>
    <row r="17035">
      <c r="K17035" s="317"/>
    </row>
    <row r="17036">
      <c r="K17036" s="317"/>
    </row>
    <row r="17037">
      <c r="K17037" s="317"/>
    </row>
    <row r="17038">
      <c r="K17038" s="317"/>
    </row>
    <row r="17039">
      <c r="K17039" s="317"/>
    </row>
    <row r="17040">
      <c r="K17040" s="317"/>
    </row>
    <row r="17041">
      <c r="K17041" s="317"/>
    </row>
    <row r="17042">
      <c r="K17042" s="317"/>
    </row>
    <row r="17043">
      <c r="K17043" s="317"/>
    </row>
    <row r="17044">
      <c r="K17044" s="317"/>
    </row>
    <row r="17045">
      <c r="K17045" s="317"/>
    </row>
    <row r="17046">
      <c r="K17046" s="317"/>
    </row>
    <row r="17047">
      <c r="K17047" s="317"/>
    </row>
    <row r="17048">
      <c r="K17048" s="317"/>
    </row>
    <row r="17049">
      <c r="K17049" s="317"/>
    </row>
    <row r="17050">
      <c r="K17050" s="317"/>
    </row>
    <row r="17051">
      <c r="K17051" s="317"/>
    </row>
    <row r="17052">
      <c r="K17052" s="317"/>
    </row>
    <row r="17053">
      <c r="K17053" s="317"/>
    </row>
    <row r="17054">
      <c r="K17054" s="317"/>
    </row>
    <row r="17055">
      <c r="K17055" s="317"/>
    </row>
    <row r="17056">
      <c r="K17056" s="317"/>
    </row>
    <row r="17057">
      <c r="K17057" s="317"/>
    </row>
    <row r="17058">
      <c r="K17058" s="317"/>
    </row>
    <row r="17059">
      <c r="K17059" s="317"/>
    </row>
    <row r="17060">
      <c r="K17060" s="317"/>
    </row>
    <row r="17061">
      <c r="K17061" s="317"/>
    </row>
    <row r="17062">
      <c r="K17062" s="317"/>
    </row>
    <row r="17063">
      <c r="K17063" s="317"/>
    </row>
    <row r="17064">
      <c r="K17064" s="317"/>
    </row>
    <row r="17065">
      <c r="K17065" s="317"/>
    </row>
    <row r="17066">
      <c r="K17066" s="317"/>
    </row>
    <row r="17067">
      <c r="K17067" s="317"/>
    </row>
    <row r="17068">
      <c r="K17068" s="317"/>
    </row>
    <row r="17069">
      <c r="K17069" s="317"/>
    </row>
    <row r="17070">
      <c r="K17070" s="317"/>
    </row>
    <row r="17071">
      <c r="K17071" s="317"/>
    </row>
    <row r="17072">
      <c r="K17072" s="317"/>
    </row>
    <row r="17073">
      <c r="K17073" s="317"/>
    </row>
    <row r="17074">
      <c r="K17074" s="317"/>
    </row>
    <row r="17075">
      <c r="K17075" s="317"/>
    </row>
    <row r="17076">
      <c r="K17076" s="317"/>
    </row>
    <row r="17077">
      <c r="K17077" s="317"/>
    </row>
    <row r="17078">
      <c r="K17078" s="317"/>
    </row>
    <row r="17079">
      <c r="K17079" s="317"/>
    </row>
    <row r="17080">
      <c r="K17080" s="317"/>
    </row>
    <row r="17081">
      <c r="K17081" s="317"/>
    </row>
    <row r="17082">
      <c r="K17082" s="317"/>
    </row>
    <row r="17083">
      <c r="K17083" s="317"/>
    </row>
    <row r="17084">
      <c r="K17084" s="317"/>
    </row>
    <row r="17085">
      <c r="K17085" s="317"/>
    </row>
    <row r="17086">
      <c r="K17086" s="317"/>
    </row>
    <row r="17087">
      <c r="K17087" s="317"/>
    </row>
    <row r="17088">
      <c r="K17088" s="317"/>
    </row>
    <row r="17089">
      <c r="K17089" s="317"/>
    </row>
    <row r="17090">
      <c r="K17090" s="317"/>
    </row>
    <row r="17091">
      <c r="K17091" s="317"/>
    </row>
    <row r="17092">
      <c r="K17092" s="317"/>
    </row>
    <row r="17093">
      <c r="K17093" s="317"/>
    </row>
    <row r="17094">
      <c r="K17094" s="317"/>
    </row>
    <row r="17095">
      <c r="K17095" s="317"/>
    </row>
    <row r="17096">
      <c r="K17096" s="317"/>
    </row>
    <row r="17097">
      <c r="K17097" s="317"/>
    </row>
    <row r="17098">
      <c r="K17098" s="317"/>
    </row>
    <row r="17099">
      <c r="K17099" s="317"/>
    </row>
    <row r="17100">
      <c r="K17100" s="317"/>
    </row>
    <row r="17101">
      <c r="K17101" s="317"/>
    </row>
    <row r="17102">
      <c r="K17102" s="317"/>
    </row>
    <row r="17103">
      <c r="K17103" s="317"/>
    </row>
    <row r="17104">
      <c r="K17104" s="317"/>
    </row>
    <row r="17105">
      <c r="K17105" s="317"/>
    </row>
    <row r="17106">
      <c r="K17106" s="317"/>
    </row>
    <row r="17107">
      <c r="K17107" s="317"/>
    </row>
    <row r="17108">
      <c r="K17108" s="317"/>
    </row>
    <row r="17109">
      <c r="K17109" s="317"/>
    </row>
    <row r="17110">
      <c r="K17110" s="317"/>
    </row>
    <row r="17111">
      <c r="K17111" s="317"/>
    </row>
    <row r="17112">
      <c r="K17112" s="317"/>
    </row>
    <row r="17113">
      <c r="K17113" s="317"/>
    </row>
    <row r="17114">
      <c r="K17114" s="317"/>
    </row>
    <row r="17115">
      <c r="K17115" s="317"/>
    </row>
    <row r="17116">
      <c r="K17116" s="317"/>
    </row>
    <row r="17117">
      <c r="K17117" s="317"/>
    </row>
    <row r="17118">
      <c r="K17118" s="317"/>
    </row>
    <row r="17119">
      <c r="K17119" s="317"/>
    </row>
    <row r="17120">
      <c r="K17120" s="317"/>
    </row>
    <row r="17121">
      <c r="K17121" s="317"/>
    </row>
    <row r="17122">
      <c r="K17122" s="317"/>
    </row>
    <row r="17123">
      <c r="K17123" s="317"/>
    </row>
    <row r="17124">
      <c r="K17124" s="317"/>
    </row>
    <row r="17125">
      <c r="K17125" s="317"/>
    </row>
    <row r="17126">
      <c r="K17126" s="317"/>
    </row>
    <row r="17127">
      <c r="K17127" s="317"/>
    </row>
    <row r="17128">
      <c r="K17128" s="317"/>
    </row>
    <row r="17129">
      <c r="K17129" s="317"/>
    </row>
    <row r="17130">
      <c r="K17130" s="317"/>
    </row>
    <row r="17131">
      <c r="K17131" s="317"/>
    </row>
    <row r="17132">
      <c r="K17132" s="317"/>
    </row>
    <row r="17133">
      <c r="K17133" s="317"/>
    </row>
    <row r="17134">
      <c r="K17134" s="317"/>
    </row>
    <row r="17135">
      <c r="K17135" s="317"/>
    </row>
    <row r="17136">
      <c r="K17136" s="317"/>
    </row>
    <row r="17137">
      <c r="K17137" s="317"/>
    </row>
    <row r="17138">
      <c r="K17138" s="317"/>
    </row>
    <row r="17139">
      <c r="K17139" s="317"/>
    </row>
    <row r="17140">
      <c r="K17140" s="317"/>
    </row>
    <row r="17141">
      <c r="K17141" s="317"/>
    </row>
    <row r="17142">
      <c r="K17142" s="317"/>
    </row>
    <row r="17143">
      <c r="K17143" s="317"/>
    </row>
    <row r="17144">
      <c r="K17144" s="317"/>
    </row>
    <row r="17145">
      <c r="K17145" s="317"/>
    </row>
    <row r="17146">
      <c r="K17146" s="317"/>
    </row>
    <row r="17147">
      <c r="K17147" s="317"/>
    </row>
    <row r="17148">
      <c r="K17148" s="317"/>
    </row>
    <row r="17149">
      <c r="K17149" s="317"/>
    </row>
    <row r="17150">
      <c r="K17150" s="317"/>
    </row>
    <row r="17151">
      <c r="K17151" s="317"/>
    </row>
    <row r="17152">
      <c r="K17152" s="317"/>
    </row>
    <row r="17153">
      <c r="K17153" s="317"/>
    </row>
    <row r="17154">
      <c r="K17154" s="317"/>
    </row>
    <row r="17155">
      <c r="K17155" s="317"/>
    </row>
    <row r="17156">
      <c r="K17156" s="317"/>
    </row>
    <row r="17157">
      <c r="K17157" s="317"/>
    </row>
    <row r="17158">
      <c r="K17158" s="317"/>
    </row>
    <row r="17159">
      <c r="K17159" s="317"/>
    </row>
    <row r="17160">
      <c r="K17160" s="317"/>
    </row>
    <row r="17161">
      <c r="K17161" s="317"/>
    </row>
    <row r="17162">
      <c r="K17162" s="317"/>
    </row>
    <row r="17163">
      <c r="K17163" s="317"/>
    </row>
    <row r="17164">
      <c r="K17164" s="317"/>
    </row>
    <row r="17165">
      <c r="K17165" s="317"/>
    </row>
    <row r="17166">
      <c r="K17166" s="317"/>
    </row>
    <row r="17167">
      <c r="K17167" s="317"/>
    </row>
    <row r="17168">
      <c r="K17168" s="317"/>
    </row>
    <row r="17169">
      <c r="K17169" s="317"/>
    </row>
    <row r="17170">
      <c r="K17170" s="317"/>
    </row>
    <row r="17171">
      <c r="K17171" s="317"/>
    </row>
    <row r="17172">
      <c r="K17172" s="317"/>
    </row>
    <row r="17173">
      <c r="K17173" s="317"/>
    </row>
    <row r="17174">
      <c r="K17174" s="317"/>
    </row>
    <row r="17175">
      <c r="K17175" s="317"/>
    </row>
    <row r="17176">
      <c r="K17176" s="317"/>
    </row>
    <row r="17177">
      <c r="K17177" s="317"/>
    </row>
    <row r="17178">
      <c r="K17178" s="317"/>
    </row>
    <row r="17179">
      <c r="K17179" s="317"/>
    </row>
    <row r="17180">
      <c r="K17180" s="317"/>
    </row>
    <row r="17181">
      <c r="K17181" s="317"/>
    </row>
    <row r="17182">
      <c r="K17182" s="317"/>
    </row>
    <row r="17183">
      <c r="K17183" s="317"/>
    </row>
    <row r="17184">
      <c r="K17184" s="317"/>
    </row>
    <row r="17185">
      <c r="K17185" s="317"/>
    </row>
    <row r="17186">
      <c r="K17186" s="317"/>
    </row>
    <row r="17187">
      <c r="K17187" s="317"/>
    </row>
    <row r="17188">
      <c r="K17188" s="317"/>
    </row>
    <row r="17189">
      <c r="K17189" s="317"/>
    </row>
    <row r="17190">
      <c r="K17190" s="317"/>
    </row>
    <row r="17191">
      <c r="K17191" s="317"/>
    </row>
    <row r="17192">
      <c r="K17192" s="317"/>
    </row>
    <row r="17193">
      <c r="K17193" s="317"/>
    </row>
    <row r="17194">
      <c r="K17194" s="317"/>
    </row>
    <row r="17195">
      <c r="K17195" s="317"/>
    </row>
    <row r="17196">
      <c r="K17196" s="317"/>
    </row>
    <row r="17197">
      <c r="K17197" s="317"/>
    </row>
    <row r="17198">
      <c r="K17198" s="317"/>
    </row>
    <row r="17199">
      <c r="K17199" s="317"/>
    </row>
    <row r="17200">
      <c r="K17200" s="317"/>
    </row>
    <row r="17201">
      <c r="K17201" s="317"/>
    </row>
    <row r="17202">
      <c r="K17202" s="317"/>
    </row>
    <row r="17203">
      <c r="K17203" s="317"/>
    </row>
    <row r="17204">
      <c r="K17204" s="317"/>
    </row>
    <row r="17205">
      <c r="K17205" s="317"/>
    </row>
    <row r="17206">
      <c r="K17206" s="317"/>
    </row>
    <row r="17207">
      <c r="K17207" s="317"/>
    </row>
    <row r="17208">
      <c r="K17208" s="317"/>
    </row>
    <row r="17209">
      <c r="K17209" s="317"/>
    </row>
    <row r="17210">
      <c r="K17210" s="317"/>
    </row>
    <row r="17211">
      <c r="K17211" s="317"/>
    </row>
    <row r="17212">
      <c r="K17212" s="317"/>
    </row>
    <row r="17213">
      <c r="K17213" s="317"/>
    </row>
    <row r="17214">
      <c r="K17214" s="317"/>
    </row>
    <row r="17215">
      <c r="K17215" s="317"/>
    </row>
    <row r="17216">
      <c r="K17216" s="317"/>
    </row>
    <row r="17217">
      <c r="K17217" s="317"/>
    </row>
    <row r="17218">
      <c r="K17218" s="317"/>
    </row>
    <row r="17219">
      <c r="K17219" s="317"/>
    </row>
    <row r="17220">
      <c r="K17220" s="317"/>
    </row>
    <row r="17221">
      <c r="K17221" s="317"/>
    </row>
    <row r="17222">
      <c r="K17222" s="317"/>
    </row>
    <row r="17223">
      <c r="K17223" s="317"/>
    </row>
    <row r="17224">
      <c r="K17224" s="317"/>
    </row>
    <row r="17225">
      <c r="K17225" s="317"/>
    </row>
    <row r="17226">
      <c r="K17226" s="317"/>
    </row>
    <row r="17227">
      <c r="K17227" s="317"/>
    </row>
    <row r="17228">
      <c r="K17228" s="317"/>
    </row>
    <row r="17229">
      <c r="K17229" s="317"/>
    </row>
    <row r="17230">
      <c r="K17230" s="317"/>
    </row>
    <row r="17231">
      <c r="K17231" s="317"/>
    </row>
    <row r="17232">
      <c r="K17232" s="317"/>
    </row>
    <row r="17233">
      <c r="K17233" s="317"/>
    </row>
    <row r="17234">
      <c r="K17234" s="317"/>
    </row>
    <row r="17235">
      <c r="K17235" s="317"/>
    </row>
    <row r="17236">
      <c r="K17236" s="317"/>
    </row>
    <row r="17237">
      <c r="K17237" s="317"/>
    </row>
    <row r="17238">
      <c r="K17238" s="317"/>
    </row>
    <row r="17239">
      <c r="K17239" s="317"/>
    </row>
    <row r="17240">
      <c r="K17240" s="317"/>
    </row>
    <row r="17241">
      <c r="K17241" s="317"/>
    </row>
    <row r="17242">
      <c r="K17242" s="317"/>
    </row>
    <row r="17243">
      <c r="K17243" s="317"/>
    </row>
    <row r="17244">
      <c r="K17244" s="317"/>
    </row>
    <row r="17245">
      <c r="K17245" s="317"/>
    </row>
    <row r="17246">
      <c r="K17246" s="317"/>
    </row>
    <row r="17247">
      <c r="K17247" s="317"/>
    </row>
    <row r="17248">
      <c r="K17248" s="317"/>
    </row>
    <row r="17249">
      <c r="K17249" s="317"/>
    </row>
    <row r="17250">
      <c r="K17250" s="317"/>
    </row>
    <row r="17251">
      <c r="K17251" s="317"/>
    </row>
    <row r="17252">
      <c r="K17252" s="317"/>
    </row>
    <row r="17253">
      <c r="K17253" s="317"/>
    </row>
    <row r="17254">
      <c r="K17254" s="317"/>
    </row>
    <row r="17255">
      <c r="K17255" s="317"/>
    </row>
    <row r="17256">
      <c r="K17256" s="317"/>
    </row>
    <row r="17257">
      <c r="K17257" s="317"/>
    </row>
    <row r="17258">
      <c r="K17258" s="317"/>
    </row>
    <row r="17259">
      <c r="K17259" s="317"/>
    </row>
    <row r="17260">
      <c r="K17260" s="317"/>
    </row>
    <row r="17261">
      <c r="K17261" s="317"/>
    </row>
    <row r="17262">
      <c r="K17262" s="317"/>
    </row>
    <row r="17263">
      <c r="K17263" s="317"/>
    </row>
    <row r="17264">
      <c r="K17264" s="317"/>
    </row>
    <row r="17265">
      <c r="K17265" s="317"/>
    </row>
    <row r="17266">
      <c r="K17266" s="317"/>
    </row>
    <row r="17267">
      <c r="K17267" s="317"/>
    </row>
    <row r="17268">
      <c r="K17268" s="317"/>
    </row>
    <row r="17269">
      <c r="K17269" s="317"/>
    </row>
    <row r="17270">
      <c r="K17270" s="317"/>
    </row>
    <row r="17271">
      <c r="K17271" s="317"/>
    </row>
    <row r="17272">
      <c r="K17272" s="317"/>
    </row>
    <row r="17273">
      <c r="K17273" s="317"/>
    </row>
    <row r="17274">
      <c r="K17274" s="317"/>
    </row>
    <row r="17275">
      <c r="K17275" s="317"/>
    </row>
    <row r="17276">
      <c r="K17276" s="317"/>
    </row>
    <row r="17277">
      <c r="K17277" s="317"/>
    </row>
    <row r="17278">
      <c r="K17278" s="317"/>
    </row>
    <row r="17279">
      <c r="K17279" s="317"/>
    </row>
    <row r="17280">
      <c r="K17280" s="317"/>
    </row>
    <row r="17281">
      <c r="K17281" s="317"/>
    </row>
    <row r="17282">
      <c r="K17282" s="317"/>
    </row>
    <row r="17283">
      <c r="K17283" s="317"/>
    </row>
    <row r="17284">
      <c r="K17284" s="317"/>
    </row>
    <row r="17285">
      <c r="K17285" s="317"/>
    </row>
    <row r="17286">
      <c r="K17286" s="317"/>
    </row>
    <row r="17287">
      <c r="K17287" s="317"/>
    </row>
    <row r="17288">
      <c r="K17288" s="317"/>
    </row>
    <row r="17289">
      <c r="K17289" s="317"/>
    </row>
    <row r="17290">
      <c r="K17290" s="317"/>
    </row>
    <row r="17291">
      <c r="K17291" s="317"/>
    </row>
    <row r="17292">
      <c r="K17292" s="317"/>
    </row>
    <row r="17293">
      <c r="K17293" s="317"/>
    </row>
    <row r="17294">
      <c r="K17294" s="317"/>
    </row>
    <row r="17295">
      <c r="K17295" s="317"/>
    </row>
    <row r="17296">
      <c r="K17296" s="317"/>
    </row>
    <row r="17297">
      <c r="K17297" s="317"/>
    </row>
    <row r="17298">
      <c r="K17298" s="317"/>
    </row>
    <row r="17299">
      <c r="K17299" s="317"/>
    </row>
    <row r="17300">
      <c r="K17300" s="317"/>
    </row>
    <row r="17301">
      <c r="K17301" s="317"/>
    </row>
    <row r="17302">
      <c r="K17302" s="317"/>
    </row>
    <row r="17303">
      <c r="K17303" s="317"/>
    </row>
    <row r="17304">
      <c r="K17304" s="317"/>
    </row>
    <row r="17305">
      <c r="K17305" s="317"/>
    </row>
    <row r="17306">
      <c r="K17306" s="317"/>
    </row>
    <row r="17307">
      <c r="K17307" s="317"/>
    </row>
    <row r="17308">
      <c r="K17308" s="317"/>
    </row>
    <row r="17309">
      <c r="K17309" s="317"/>
    </row>
    <row r="17310">
      <c r="K17310" s="317"/>
    </row>
    <row r="17311">
      <c r="K17311" s="317"/>
    </row>
    <row r="17312">
      <c r="K17312" s="317"/>
    </row>
    <row r="17313">
      <c r="K17313" s="317"/>
    </row>
    <row r="17314">
      <c r="K17314" s="317"/>
    </row>
    <row r="17315">
      <c r="K17315" s="317"/>
    </row>
    <row r="17316">
      <c r="K17316" s="317"/>
    </row>
    <row r="17317">
      <c r="K17317" s="317"/>
    </row>
    <row r="17318">
      <c r="K17318" s="317"/>
    </row>
    <row r="17319">
      <c r="K17319" s="317"/>
    </row>
    <row r="17320">
      <c r="K17320" s="317"/>
    </row>
    <row r="17321">
      <c r="K17321" s="317"/>
    </row>
    <row r="17322">
      <c r="K17322" s="317"/>
    </row>
    <row r="17323">
      <c r="K17323" s="317"/>
    </row>
    <row r="17324">
      <c r="K17324" s="317"/>
    </row>
    <row r="17325">
      <c r="K17325" s="317"/>
    </row>
    <row r="17326">
      <c r="K17326" s="317"/>
    </row>
    <row r="17327">
      <c r="K17327" s="317"/>
    </row>
    <row r="17328">
      <c r="K17328" s="317"/>
    </row>
    <row r="17329">
      <c r="K17329" s="317"/>
    </row>
    <row r="17330">
      <c r="K17330" s="317"/>
    </row>
    <row r="17331">
      <c r="K17331" s="317"/>
    </row>
    <row r="17332">
      <c r="K17332" s="317"/>
    </row>
    <row r="17333">
      <c r="K17333" s="317"/>
    </row>
    <row r="17334">
      <c r="K17334" s="317"/>
    </row>
    <row r="17335">
      <c r="K17335" s="317"/>
    </row>
    <row r="17336">
      <c r="K17336" s="317"/>
    </row>
    <row r="17337">
      <c r="K17337" s="317"/>
    </row>
    <row r="17338">
      <c r="K17338" s="317"/>
    </row>
    <row r="17339">
      <c r="K17339" s="317"/>
    </row>
    <row r="17340">
      <c r="K17340" s="317"/>
    </row>
    <row r="17341">
      <c r="K17341" s="317"/>
    </row>
    <row r="17342">
      <c r="K17342" s="317"/>
    </row>
    <row r="17343">
      <c r="K17343" s="317"/>
    </row>
    <row r="17344">
      <c r="K17344" s="317"/>
    </row>
    <row r="17345">
      <c r="K17345" s="317"/>
    </row>
    <row r="17346">
      <c r="K17346" s="317"/>
    </row>
    <row r="17347">
      <c r="K17347" s="317"/>
    </row>
    <row r="17348">
      <c r="K17348" s="317"/>
    </row>
    <row r="17349">
      <c r="K17349" s="317"/>
    </row>
    <row r="17350">
      <c r="K17350" s="317"/>
    </row>
    <row r="17351">
      <c r="K17351" s="317"/>
    </row>
    <row r="17352">
      <c r="K17352" s="317"/>
    </row>
    <row r="17353">
      <c r="K17353" s="317"/>
    </row>
    <row r="17354">
      <c r="K17354" s="317"/>
    </row>
    <row r="17355">
      <c r="K17355" s="317"/>
    </row>
    <row r="17356">
      <c r="K17356" s="317"/>
    </row>
    <row r="17357">
      <c r="K17357" s="317"/>
    </row>
    <row r="17358">
      <c r="K17358" s="317"/>
    </row>
    <row r="17359">
      <c r="K17359" s="317"/>
    </row>
    <row r="17360">
      <c r="K17360" s="317"/>
    </row>
    <row r="17361">
      <c r="K17361" s="317"/>
    </row>
    <row r="17362">
      <c r="K17362" s="317"/>
    </row>
    <row r="17363">
      <c r="K17363" s="317"/>
    </row>
    <row r="17364">
      <c r="K17364" s="317"/>
    </row>
    <row r="17365">
      <c r="K17365" s="317"/>
    </row>
    <row r="17366">
      <c r="K17366" s="317"/>
    </row>
    <row r="17367">
      <c r="K17367" s="317"/>
    </row>
    <row r="17368">
      <c r="K17368" s="317"/>
    </row>
    <row r="17369">
      <c r="K17369" s="317"/>
    </row>
    <row r="17370">
      <c r="K17370" s="317"/>
    </row>
    <row r="17371">
      <c r="K17371" s="317"/>
    </row>
    <row r="17372">
      <c r="K17372" s="317"/>
    </row>
    <row r="17373">
      <c r="K17373" s="317"/>
    </row>
    <row r="17374">
      <c r="K17374" s="317"/>
    </row>
    <row r="17375">
      <c r="K17375" s="317"/>
    </row>
    <row r="17376">
      <c r="K17376" s="317"/>
    </row>
    <row r="17377">
      <c r="K17377" s="317"/>
    </row>
    <row r="17378">
      <c r="K17378" s="317"/>
    </row>
    <row r="17379">
      <c r="K17379" s="317"/>
    </row>
    <row r="17380">
      <c r="K17380" s="317"/>
    </row>
    <row r="17381">
      <c r="K17381" s="317"/>
    </row>
    <row r="17382">
      <c r="K17382" s="317"/>
    </row>
    <row r="17383">
      <c r="K17383" s="317"/>
    </row>
    <row r="17384">
      <c r="K17384" s="317"/>
    </row>
    <row r="17385">
      <c r="K17385" s="317"/>
    </row>
    <row r="17386">
      <c r="K17386" s="317"/>
    </row>
    <row r="17387">
      <c r="K17387" s="317"/>
    </row>
    <row r="17388">
      <c r="K17388" s="317"/>
    </row>
    <row r="17389">
      <c r="K17389" s="317"/>
    </row>
    <row r="17390">
      <c r="K17390" s="317"/>
    </row>
    <row r="17391">
      <c r="K17391" s="317"/>
    </row>
    <row r="17392">
      <c r="K17392" s="317"/>
    </row>
    <row r="17393">
      <c r="K17393" s="317"/>
    </row>
    <row r="17394">
      <c r="K17394" s="317"/>
    </row>
    <row r="17395">
      <c r="K17395" s="317"/>
    </row>
    <row r="17396">
      <c r="K17396" s="317"/>
    </row>
    <row r="17397">
      <c r="K17397" s="317"/>
    </row>
    <row r="17398">
      <c r="K17398" s="317"/>
    </row>
    <row r="17399">
      <c r="K17399" s="317"/>
    </row>
    <row r="17400">
      <c r="K17400" s="317"/>
    </row>
    <row r="17401">
      <c r="K17401" s="317"/>
    </row>
    <row r="17402">
      <c r="K17402" s="317"/>
    </row>
    <row r="17403">
      <c r="K17403" s="317"/>
    </row>
    <row r="17404">
      <c r="K17404" s="317"/>
    </row>
    <row r="17405">
      <c r="K17405" s="317"/>
    </row>
    <row r="17406">
      <c r="K17406" s="317"/>
    </row>
    <row r="17407">
      <c r="K17407" s="317"/>
    </row>
    <row r="17408">
      <c r="K17408" s="317"/>
    </row>
    <row r="17409">
      <c r="K17409" s="317"/>
    </row>
    <row r="17410">
      <c r="K17410" s="317"/>
    </row>
    <row r="17411">
      <c r="K17411" s="317"/>
    </row>
    <row r="17412">
      <c r="K17412" s="317"/>
    </row>
    <row r="17413">
      <c r="K17413" s="317"/>
    </row>
    <row r="17414">
      <c r="K17414" s="317"/>
    </row>
    <row r="17415">
      <c r="K17415" s="317"/>
    </row>
    <row r="17416">
      <c r="K17416" s="317"/>
    </row>
    <row r="17417">
      <c r="K17417" s="317"/>
    </row>
    <row r="17418">
      <c r="K17418" s="317"/>
    </row>
    <row r="17419">
      <c r="K17419" s="317"/>
    </row>
    <row r="17420">
      <c r="K17420" s="317"/>
    </row>
    <row r="17421">
      <c r="K17421" s="317"/>
    </row>
    <row r="17422">
      <c r="K17422" s="317"/>
    </row>
    <row r="17423">
      <c r="K17423" s="317"/>
    </row>
    <row r="17424">
      <c r="K17424" s="317"/>
    </row>
    <row r="17425">
      <c r="K17425" s="317"/>
    </row>
    <row r="17426">
      <c r="K17426" s="317"/>
    </row>
    <row r="17427">
      <c r="K17427" s="317"/>
    </row>
    <row r="17428">
      <c r="K17428" s="317"/>
    </row>
    <row r="17429">
      <c r="K17429" s="317"/>
    </row>
    <row r="17430">
      <c r="K17430" s="317"/>
    </row>
    <row r="17431">
      <c r="K17431" s="317"/>
    </row>
    <row r="17432">
      <c r="K17432" s="317"/>
    </row>
    <row r="17433">
      <c r="K17433" s="317"/>
    </row>
    <row r="17434">
      <c r="K17434" s="317"/>
    </row>
    <row r="17435">
      <c r="K17435" s="317"/>
    </row>
    <row r="17436">
      <c r="K17436" s="317"/>
    </row>
    <row r="17437">
      <c r="K17437" s="317"/>
    </row>
    <row r="17438">
      <c r="K17438" s="317"/>
    </row>
    <row r="17439">
      <c r="K17439" s="317"/>
    </row>
    <row r="17440">
      <c r="K17440" s="317"/>
    </row>
    <row r="17441">
      <c r="K17441" s="317"/>
    </row>
    <row r="17442">
      <c r="K17442" s="317"/>
    </row>
    <row r="17443">
      <c r="K17443" s="317"/>
    </row>
    <row r="17444">
      <c r="K17444" s="317"/>
    </row>
    <row r="17445">
      <c r="K17445" s="317"/>
    </row>
    <row r="17446">
      <c r="K17446" s="317"/>
    </row>
    <row r="17447">
      <c r="K17447" s="317"/>
    </row>
    <row r="17448">
      <c r="K17448" s="317"/>
    </row>
    <row r="17449">
      <c r="K17449" s="317"/>
    </row>
    <row r="17450">
      <c r="K17450" s="317"/>
    </row>
    <row r="17451">
      <c r="K17451" s="317"/>
    </row>
    <row r="17452">
      <c r="K17452" s="317"/>
    </row>
    <row r="17453">
      <c r="K17453" s="317"/>
    </row>
    <row r="17454">
      <c r="K17454" s="317"/>
    </row>
    <row r="17455">
      <c r="K17455" s="317"/>
    </row>
    <row r="17456">
      <c r="K17456" s="317"/>
    </row>
    <row r="17457">
      <c r="K17457" s="317"/>
    </row>
    <row r="17458">
      <c r="K17458" s="317"/>
    </row>
    <row r="17459">
      <c r="K17459" s="317"/>
    </row>
    <row r="17460">
      <c r="K17460" s="317"/>
    </row>
    <row r="17461">
      <c r="K17461" s="317"/>
    </row>
    <row r="17462">
      <c r="K17462" s="317"/>
    </row>
    <row r="17463">
      <c r="K17463" s="317"/>
    </row>
    <row r="17464">
      <c r="K17464" s="317"/>
    </row>
    <row r="17465">
      <c r="K17465" s="317"/>
    </row>
    <row r="17466">
      <c r="K17466" s="317"/>
    </row>
    <row r="17467">
      <c r="K17467" s="317"/>
    </row>
    <row r="17468">
      <c r="K17468" s="317"/>
    </row>
    <row r="17469">
      <c r="K17469" s="317"/>
    </row>
    <row r="17470">
      <c r="K17470" s="317"/>
    </row>
    <row r="17471">
      <c r="K17471" s="317"/>
    </row>
    <row r="17472">
      <c r="K17472" s="317"/>
    </row>
    <row r="17473">
      <c r="K17473" s="317"/>
    </row>
    <row r="17474">
      <c r="K17474" s="317"/>
    </row>
    <row r="17475">
      <c r="K17475" s="317"/>
    </row>
    <row r="17476">
      <c r="K17476" s="317"/>
    </row>
    <row r="17477">
      <c r="K17477" s="317"/>
    </row>
    <row r="17478">
      <c r="K17478" s="317"/>
    </row>
    <row r="17479">
      <c r="K17479" s="317"/>
    </row>
    <row r="17480">
      <c r="K17480" s="317"/>
    </row>
    <row r="17481">
      <c r="K17481" s="317"/>
    </row>
    <row r="17482">
      <c r="K17482" s="317"/>
    </row>
    <row r="17483">
      <c r="K17483" s="317"/>
    </row>
    <row r="17484">
      <c r="K17484" s="317"/>
    </row>
    <row r="17485">
      <c r="K17485" s="317"/>
    </row>
    <row r="17486">
      <c r="K17486" s="317"/>
    </row>
    <row r="17487">
      <c r="K17487" s="317"/>
    </row>
    <row r="17488">
      <c r="K17488" s="317"/>
    </row>
    <row r="17489">
      <c r="K17489" s="317"/>
    </row>
    <row r="17490">
      <c r="K17490" s="317"/>
    </row>
    <row r="17491">
      <c r="K17491" s="317"/>
    </row>
    <row r="17492">
      <c r="K17492" s="317"/>
    </row>
    <row r="17493">
      <c r="K17493" s="317"/>
    </row>
    <row r="17494">
      <c r="K17494" s="317"/>
    </row>
    <row r="17495">
      <c r="K17495" s="317"/>
    </row>
    <row r="17496">
      <c r="K17496" s="317"/>
    </row>
    <row r="17497">
      <c r="K17497" s="317"/>
    </row>
    <row r="17498">
      <c r="K17498" s="317"/>
    </row>
    <row r="17499">
      <c r="K17499" s="317"/>
    </row>
    <row r="17500">
      <c r="K17500" s="317"/>
    </row>
    <row r="17501">
      <c r="K17501" s="317"/>
    </row>
    <row r="17502">
      <c r="K17502" s="317"/>
    </row>
    <row r="17503">
      <c r="K17503" s="317"/>
    </row>
    <row r="17504">
      <c r="K17504" s="317"/>
    </row>
    <row r="17505">
      <c r="K17505" s="317"/>
    </row>
    <row r="17506">
      <c r="K17506" s="317"/>
    </row>
    <row r="17507">
      <c r="K17507" s="317"/>
    </row>
    <row r="17508">
      <c r="K17508" s="317"/>
    </row>
    <row r="17509">
      <c r="K17509" s="317"/>
    </row>
    <row r="17510">
      <c r="K17510" s="317"/>
    </row>
    <row r="17511">
      <c r="K17511" s="317"/>
    </row>
    <row r="17512">
      <c r="K17512" s="317"/>
    </row>
    <row r="17513">
      <c r="K17513" s="317"/>
    </row>
    <row r="17514">
      <c r="K17514" s="317"/>
    </row>
    <row r="17515">
      <c r="K17515" s="317"/>
    </row>
    <row r="17516">
      <c r="K17516" s="317"/>
    </row>
    <row r="17517">
      <c r="K17517" s="317"/>
    </row>
    <row r="17518">
      <c r="K17518" s="317"/>
    </row>
    <row r="17519">
      <c r="K17519" s="317"/>
    </row>
    <row r="17520">
      <c r="K17520" s="317"/>
    </row>
    <row r="17521">
      <c r="K17521" s="317"/>
    </row>
    <row r="17522">
      <c r="K17522" s="317"/>
    </row>
    <row r="17523">
      <c r="K17523" s="317"/>
    </row>
    <row r="17524">
      <c r="K17524" s="317"/>
    </row>
    <row r="17525">
      <c r="K17525" s="317"/>
    </row>
    <row r="17526">
      <c r="K17526" s="317"/>
    </row>
    <row r="17527">
      <c r="K17527" s="317"/>
    </row>
    <row r="17528">
      <c r="K17528" s="317"/>
    </row>
    <row r="17529">
      <c r="K17529" s="317"/>
    </row>
    <row r="17530">
      <c r="K17530" s="317"/>
    </row>
    <row r="17531">
      <c r="K17531" s="317"/>
    </row>
    <row r="17532">
      <c r="K17532" s="317"/>
    </row>
    <row r="17533">
      <c r="K17533" s="317"/>
    </row>
    <row r="17534">
      <c r="K17534" s="317"/>
    </row>
    <row r="17535">
      <c r="K17535" s="317"/>
    </row>
    <row r="17536">
      <c r="K17536" s="317"/>
    </row>
    <row r="17537">
      <c r="K17537" s="317"/>
    </row>
    <row r="17538">
      <c r="K17538" s="317"/>
    </row>
    <row r="17539">
      <c r="K17539" s="317"/>
    </row>
    <row r="17540">
      <c r="K17540" s="317"/>
    </row>
    <row r="17541">
      <c r="K17541" s="317"/>
    </row>
    <row r="17542">
      <c r="K17542" s="317"/>
    </row>
    <row r="17543">
      <c r="K17543" s="317"/>
    </row>
    <row r="17544">
      <c r="K17544" s="317"/>
    </row>
    <row r="17545">
      <c r="K17545" s="317"/>
    </row>
    <row r="17546">
      <c r="K17546" s="317"/>
    </row>
    <row r="17547">
      <c r="K17547" s="317"/>
    </row>
    <row r="17548">
      <c r="K17548" s="317"/>
    </row>
    <row r="17549">
      <c r="K17549" s="317"/>
    </row>
    <row r="17550">
      <c r="K17550" s="317"/>
    </row>
    <row r="17551">
      <c r="K17551" s="317"/>
    </row>
    <row r="17552">
      <c r="K17552" s="317"/>
    </row>
    <row r="17553">
      <c r="K17553" s="317"/>
    </row>
    <row r="17554">
      <c r="K17554" s="317"/>
    </row>
    <row r="17555">
      <c r="K17555" s="317"/>
    </row>
    <row r="17556">
      <c r="K17556" s="317"/>
    </row>
    <row r="17557">
      <c r="K17557" s="317"/>
    </row>
    <row r="17558">
      <c r="K17558" s="317"/>
    </row>
    <row r="17559">
      <c r="K17559" s="317"/>
    </row>
    <row r="17560">
      <c r="K17560" s="317"/>
    </row>
    <row r="17561">
      <c r="K17561" s="317"/>
    </row>
    <row r="17562">
      <c r="K17562" s="317"/>
    </row>
    <row r="17563">
      <c r="K17563" s="317"/>
    </row>
    <row r="17564">
      <c r="K17564" s="317"/>
    </row>
    <row r="17565">
      <c r="K17565" s="317"/>
    </row>
    <row r="17566">
      <c r="K17566" s="317"/>
    </row>
    <row r="17567">
      <c r="K17567" s="317"/>
    </row>
    <row r="17568">
      <c r="K17568" s="317"/>
    </row>
    <row r="17569">
      <c r="K17569" s="317"/>
    </row>
    <row r="17570">
      <c r="K17570" s="317"/>
    </row>
    <row r="17571">
      <c r="K17571" s="317"/>
    </row>
    <row r="17572">
      <c r="K17572" s="317"/>
    </row>
    <row r="17573">
      <c r="K17573" s="317"/>
    </row>
    <row r="17574">
      <c r="K17574" s="317"/>
    </row>
    <row r="17575">
      <c r="K17575" s="317"/>
    </row>
    <row r="17576">
      <c r="K17576" s="317"/>
    </row>
    <row r="17577">
      <c r="K17577" s="317"/>
    </row>
    <row r="17578">
      <c r="K17578" s="317"/>
    </row>
    <row r="17579">
      <c r="K17579" s="317"/>
    </row>
    <row r="17580">
      <c r="K17580" s="317"/>
    </row>
    <row r="17581">
      <c r="K17581" s="317"/>
    </row>
    <row r="17582">
      <c r="K17582" s="317"/>
    </row>
    <row r="17583">
      <c r="K17583" s="317"/>
    </row>
    <row r="17584">
      <c r="K17584" s="317"/>
    </row>
    <row r="17585">
      <c r="K17585" s="317"/>
    </row>
    <row r="17586">
      <c r="K17586" s="317"/>
    </row>
    <row r="17587">
      <c r="K17587" s="317"/>
    </row>
    <row r="17588">
      <c r="K17588" s="317"/>
    </row>
    <row r="17589">
      <c r="K17589" s="317"/>
    </row>
    <row r="17590">
      <c r="K17590" s="317"/>
    </row>
    <row r="17591">
      <c r="K17591" s="317"/>
    </row>
    <row r="17592">
      <c r="K17592" s="317"/>
    </row>
    <row r="17593">
      <c r="K17593" s="317"/>
    </row>
    <row r="17594">
      <c r="K17594" s="317"/>
    </row>
    <row r="17595">
      <c r="K17595" s="317"/>
    </row>
    <row r="17596">
      <c r="K17596" s="317"/>
    </row>
    <row r="17597">
      <c r="K17597" s="317"/>
    </row>
    <row r="17598">
      <c r="K17598" s="317"/>
    </row>
    <row r="17599">
      <c r="K17599" s="317"/>
    </row>
    <row r="17600">
      <c r="K17600" s="317"/>
    </row>
    <row r="17601">
      <c r="K17601" s="317"/>
    </row>
    <row r="17602">
      <c r="K17602" s="317"/>
    </row>
    <row r="17603">
      <c r="K17603" s="317"/>
    </row>
    <row r="17604">
      <c r="K17604" s="317"/>
    </row>
    <row r="17605">
      <c r="K17605" s="317"/>
    </row>
    <row r="17606">
      <c r="K17606" s="317"/>
    </row>
    <row r="17607">
      <c r="K17607" s="317"/>
    </row>
    <row r="17608">
      <c r="K17608" s="317"/>
    </row>
    <row r="17609">
      <c r="K17609" s="317"/>
    </row>
    <row r="17610">
      <c r="K17610" s="317"/>
    </row>
    <row r="17611">
      <c r="K17611" s="317"/>
    </row>
    <row r="17612">
      <c r="K17612" s="317"/>
    </row>
    <row r="17613">
      <c r="K17613" s="317"/>
    </row>
    <row r="17614">
      <c r="K17614" s="317"/>
    </row>
    <row r="17615">
      <c r="K17615" s="317"/>
    </row>
    <row r="17616">
      <c r="K17616" s="317"/>
    </row>
    <row r="17617">
      <c r="K17617" s="317"/>
    </row>
    <row r="17618">
      <c r="K17618" s="317"/>
    </row>
    <row r="17619">
      <c r="K17619" s="317"/>
    </row>
    <row r="17620">
      <c r="K17620" s="317"/>
    </row>
    <row r="17621">
      <c r="K17621" s="317"/>
    </row>
    <row r="17622">
      <c r="K17622" s="317"/>
    </row>
    <row r="17623">
      <c r="K17623" s="317"/>
    </row>
    <row r="17624">
      <c r="K17624" s="317"/>
    </row>
    <row r="17625">
      <c r="K17625" s="317"/>
    </row>
    <row r="17626">
      <c r="K17626" s="317"/>
    </row>
    <row r="17627">
      <c r="K17627" s="317"/>
    </row>
    <row r="17628">
      <c r="K17628" s="317"/>
    </row>
    <row r="17629">
      <c r="K17629" s="317"/>
    </row>
    <row r="17630">
      <c r="K17630" s="317"/>
    </row>
    <row r="17631">
      <c r="K17631" s="317"/>
    </row>
    <row r="17632">
      <c r="K17632" s="317"/>
    </row>
    <row r="17633">
      <c r="K17633" s="317"/>
    </row>
    <row r="17634">
      <c r="K17634" s="317"/>
    </row>
    <row r="17635">
      <c r="K17635" s="317"/>
    </row>
    <row r="17636">
      <c r="K17636" s="317"/>
    </row>
    <row r="17637">
      <c r="K17637" s="317"/>
    </row>
    <row r="17638">
      <c r="K17638" s="317"/>
    </row>
    <row r="17639">
      <c r="K17639" s="317"/>
    </row>
    <row r="17640">
      <c r="K17640" s="317"/>
    </row>
    <row r="17641">
      <c r="K17641" s="317"/>
    </row>
    <row r="17642">
      <c r="K17642" s="317"/>
    </row>
    <row r="17643">
      <c r="K17643" s="317"/>
    </row>
    <row r="17644">
      <c r="K17644" s="317"/>
    </row>
    <row r="17645">
      <c r="K17645" s="317"/>
    </row>
    <row r="17646">
      <c r="K17646" s="317"/>
    </row>
    <row r="17647">
      <c r="K17647" s="317"/>
    </row>
    <row r="17648">
      <c r="K17648" s="317"/>
    </row>
    <row r="17649">
      <c r="K17649" s="317"/>
    </row>
    <row r="17650">
      <c r="K17650" s="317"/>
    </row>
    <row r="17651">
      <c r="K17651" s="317"/>
    </row>
    <row r="17652">
      <c r="K17652" s="317"/>
    </row>
    <row r="17653">
      <c r="K17653" s="317"/>
    </row>
    <row r="17654">
      <c r="K17654" s="317"/>
    </row>
    <row r="17655">
      <c r="K17655" s="317"/>
    </row>
    <row r="17656">
      <c r="K17656" s="317"/>
    </row>
    <row r="17657">
      <c r="K17657" s="317"/>
    </row>
    <row r="17658">
      <c r="K17658" s="317"/>
    </row>
    <row r="17659">
      <c r="K17659" s="317"/>
    </row>
    <row r="17660">
      <c r="K17660" s="317"/>
    </row>
    <row r="17661">
      <c r="K17661" s="317"/>
    </row>
    <row r="17662">
      <c r="K17662" s="317"/>
    </row>
    <row r="17663">
      <c r="K17663" s="317"/>
    </row>
    <row r="17664">
      <c r="K17664" s="317"/>
    </row>
    <row r="17665">
      <c r="K17665" s="317"/>
    </row>
    <row r="17666">
      <c r="K17666" s="317"/>
    </row>
    <row r="17667">
      <c r="K17667" s="317"/>
    </row>
    <row r="17668">
      <c r="K17668" s="317"/>
    </row>
    <row r="17669">
      <c r="K17669" s="317"/>
    </row>
    <row r="17670">
      <c r="K17670" s="317"/>
    </row>
    <row r="17671">
      <c r="K17671" s="317"/>
    </row>
    <row r="17672">
      <c r="K17672" s="317"/>
    </row>
    <row r="17673">
      <c r="K17673" s="317"/>
    </row>
    <row r="17674">
      <c r="K17674" s="317"/>
    </row>
    <row r="17675">
      <c r="K17675" s="317"/>
    </row>
    <row r="17676">
      <c r="K17676" s="317"/>
    </row>
    <row r="17677">
      <c r="K17677" s="317"/>
    </row>
    <row r="17678">
      <c r="K17678" s="317"/>
    </row>
    <row r="17679">
      <c r="K17679" s="317"/>
    </row>
    <row r="17680">
      <c r="K17680" s="317"/>
    </row>
    <row r="17681">
      <c r="K17681" s="317"/>
    </row>
    <row r="17682">
      <c r="K17682" s="317"/>
    </row>
    <row r="17683">
      <c r="K17683" s="317"/>
    </row>
    <row r="17684">
      <c r="K17684" s="317"/>
    </row>
    <row r="17685">
      <c r="K17685" s="317"/>
    </row>
    <row r="17686">
      <c r="K17686" s="317"/>
    </row>
    <row r="17687">
      <c r="K17687" s="317"/>
    </row>
    <row r="17688">
      <c r="K17688" s="317"/>
    </row>
    <row r="17689">
      <c r="K17689" s="317"/>
    </row>
    <row r="17690">
      <c r="K17690" s="317"/>
    </row>
    <row r="17691">
      <c r="K17691" s="317"/>
    </row>
    <row r="17692">
      <c r="K17692" s="317"/>
    </row>
    <row r="17693">
      <c r="K17693" s="317"/>
    </row>
    <row r="17694">
      <c r="K17694" s="317"/>
    </row>
    <row r="17695">
      <c r="K17695" s="317"/>
    </row>
    <row r="17696">
      <c r="K17696" s="317"/>
    </row>
    <row r="17697">
      <c r="K17697" s="317"/>
    </row>
    <row r="17698">
      <c r="K17698" s="317"/>
    </row>
    <row r="17699">
      <c r="K17699" s="317"/>
    </row>
    <row r="17700">
      <c r="K17700" s="317"/>
    </row>
    <row r="17701">
      <c r="K17701" s="317"/>
    </row>
    <row r="17702">
      <c r="K17702" s="317"/>
    </row>
    <row r="17703">
      <c r="K17703" s="317"/>
    </row>
    <row r="17704">
      <c r="K17704" s="317"/>
    </row>
    <row r="17705">
      <c r="K17705" s="317"/>
    </row>
    <row r="17706">
      <c r="K17706" s="317"/>
    </row>
    <row r="17707">
      <c r="K17707" s="317"/>
    </row>
    <row r="17708">
      <c r="K17708" s="317"/>
    </row>
    <row r="17709">
      <c r="K17709" s="317"/>
    </row>
    <row r="17710">
      <c r="K17710" s="317"/>
    </row>
    <row r="17711">
      <c r="K17711" s="317"/>
    </row>
    <row r="17712">
      <c r="K17712" s="317"/>
    </row>
    <row r="17713">
      <c r="K17713" s="317"/>
    </row>
    <row r="17714">
      <c r="K17714" s="317"/>
    </row>
    <row r="17715">
      <c r="K17715" s="317"/>
    </row>
    <row r="17716">
      <c r="K17716" s="317"/>
    </row>
    <row r="17717">
      <c r="K17717" s="317"/>
    </row>
    <row r="17718">
      <c r="K17718" s="317"/>
    </row>
    <row r="17719">
      <c r="K17719" s="317"/>
    </row>
    <row r="17720">
      <c r="K17720" s="317"/>
    </row>
    <row r="17721">
      <c r="K17721" s="317"/>
    </row>
    <row r="17722">
      <c r="K17722" s="317"/>
    </row>
    <row r="17723">
      <c r="K17723" s="317"/>
    </row>
    <row r="17724">
      <c r="K17724" s="317"/>
    </row>
    <row r="17725">
      <c r="K17725" s="317"/>
    </row>
    <row r="17726">
      <c r="K17726" s="317"/>
    </row>
    <row r="17727">
      <c r="K17727" s="317"/>
    </row>
    <row r="17728">
      <c r="K17728" s="317"/>
    </row>
    <row r="17729">
      <c r="K17729" s="317"/>
    </row>
    <row r="17730">
      <c r="K17730" s="317"/>
    </row>
    <row r="17731">
      <c r="K17731" s="317"/>
    </row>
    <row r="17732">
      <c r="K17732" s="317"/>
    </row>
    <row r="17733">
      <c r="K17733" s="317"/>
    </row>
    <row r="17734">
      <c r="K17734" s="317"/>
    </row>
    <row r="17735">
      <c r="K17735" s="317"/>
    </row>
    <row r="17736">
      <c r="K17736" s="317"/>
    </row>
    <row r="17737">
      <c r="K17737" s="317"/>
    </row>
    <row r="17738">
      <c r="K17738" s="317"/>
    </row>
    <row r="17739">
      <c r="K17739" s="317"/>
    </row>
    <row r="17740">
      <c r="K17740" s="317"/>
    </row>
    <row r="17741">
      <c r="K17741" s="317"/>
    </row>
    <row r="17742">
      <c r="K17742" s="317"/>
    </row>
    <row r="17743">
      <c r="K17743" s="317"/>
    </row>
    <row r="17744">
      <c r="K17744" s="317"/>
    </row>
    <row r="17745">
      <c r="K17745" s="317"/>
    </row>
    <row r="17746">
      <c r="K17746" s="317"/>
    </row>
    <row r="17747">
      <c r="K17747" s="317"/>
    </row>
    <row r="17748">
      <c r="K17748" s="317"/>
    </row>
    <row r="17749">
      <c r="K17749" s="317"/>
    </row>
    <row r="17750">
      <c r="K17750" s="317"/>
    </row>
    <row r="17751">
      <c r="K17751" s="317"/>
    </row>
    <row r="17752">
      <c r="K17752" s="317"/>
    </row>
    <row r="17753">
      <c r="K17753" s="317"/>
    </row>
    <row r="17754">
      <c r="K17754" s="317"/>
    </row>
    <row r="17755">
      <c r="K17755" s="317"/>
    </row>
    <row r="17756">
      <c r="K17756" s="317"/>
    </row>
    <row r="17757">
      <c r="K17757" s="317"/>
    </row>
    <row r="17758">
      <c r="K17758" s="317"/>
    </row>
    <row r="17759">
      <c r="K17759" s="317"/>
    </row>
    <row r="17760">
      <c r="K17760" s="317"/>
    </row>
    <row r="17761">
      <c r="K17761" s="317"/>
    </row>
    <row r="17762">
      <c r="K17762" s="317"/>
    </row>
    <row r="17763">
      <c r="K17763" s="317"/>
    </row>
    <row r="17764">
      <c r="K17764" s="317"/>
    </row>
    <row r="17765">
      <c r="K17765" s="317"/>
    </row>
    <row r="17766">
      <c r="K17766" s="317"/>
    </row>
    <row r="17767">
      <c r="K17767" s="317"/>
    </row>
    <row r="17768">
      <c r="K17768" s="317"/>
    </row>
    <row r="17769">
      <c r="K17769" s="317"/>
    </row>
    <row r="17770">
      <c r="K17770" s="317"/>
    </row>
    <row r="17771">
      <c r="K17771" s="317"/>
    </row>
    <row r="17772">
      <c r="K17772" s="317"/>
    </row>
    <row r="17773">
      <c r="K17773" s="317"/>
    </row>
    <row r="17774">
      <c r="K17774" s="317"/>
    </row>
    <row r="17775">
      <c r="K17775" s="317"/>
    </row>
    <row r="17776">
      <c r="K17776" s="317"/>
    </row>
    <row r="17777">
      <c r="K17777" s="317"/>
    </row>
    <row r="17778">
      <c r="K17778" s="317"/>
    </row>
    <row r="17779">
      <c r="K17779" s="317"/>
    </row>
    <row r="17780">
      <c r="K17780" s="317"/>
    </row>
    <row r="17781">
      <c r="K17781" s="317"/>
    </row>
    <row r="17782">
      <c r="K17782" s="317"/>
    </row>
    <row r="17783">
      <c r="K17783" s="317"/>
    </row>
    <row r="17784">
      <c r="K17784" s="317"/>
    </row>
    <row r="17785">
      <c r="K17785" s="317"/>
    </row>
    <row r="17786">
      <c r="K17786" s="317"/>
    </row>
    <row r="17787">
      <c r="K17787" s="317"/>
    </row>
    <row r="17788">
      <c r="K17788" s="317"/>
    </row>
    <row r="17789">
      <c r="K17789" s="317"/>
    </row>
    <row r="17790">
      <c r="K17790" s="317"/>
    </row>
    <row r="17791">
      <c r="K17791" s="317"/>
    </row>
    <row r="17792">
      <c r="K17792" s="317"/>
    </row>
    <row r="17793">
      <c r="K17793" s="317"/>
    </row>
    <row r="17794">
      <c r="K17794" s="317"/>
    </row>
    <row r="17795">
      <c r="K17795" s="317"/>
    </row>
    <row r="17796">
      <c r="K17796" s="317"/>
    </row>
    <row r="17797">
      <c r="K17797" s="317"/>
    </row>
    <row r="17798">
      <c r="K17798" s="317"/>
    </row>
    <row r="17799">
      <c r="K17799" s="317"/>
    </row>
    <row r="17800">
      <c r="K17800" s="317"/>
    </row>
    <row r="17801">
      <c r="K17801" s="317"/>
    </row>
    <row r="17802">
      <c r="K17802" s="317"/>
    </row>
    <row r="17803">
      <c r="K17803" s="317"/>
    </row>
    <row r="17804">
      <c r="K17804" s="317"/>
    </row>
    <row r="17805">
      <c r="K17805" s="317"/>
    </row>
    <row r="17806">
      <c r="K17806" s="317"/>
    </row>
    <row r="17807">
      <c r="K17807" s="317"/>
    </row>
    <row r="17808">
      <c r="K17808" s="317"/>
    </row>
    <row r="17809">
      <c r="K17809" s="317"/>
    </row>
    <row r="17810">
      <c r="K17810" s="317"/>
    </row>
    <row r="17811">
      <c r="K17811" s="317"/>
    </row>
    <row r="17812">
      <c r="K17812" s="317"/>
    </row>
    <row r="17813">
      <c r="K17813" s="317"/>
    </row>
    <row r="17814">
      <c r="K17814" s="317"/>
    </row>
    <row r="17815">
      <c r="K17815" s="317"/>
    </row>
    <row r="17816">
      <c r="K17816" s="317"/>
    </row>
    <row r="17817">
      <c r="K17817" s="317"/>
    </row>
    <row r="17818">
      <c r="K17818" s="317"/>
    </row>
    <row r="17819">
      <c r="K17819" s="317"/>
    </row>
    <row r="17820">
      <c r="K17820" s="317"/>
    </row>
    <row r="17821">
      <c r="K17821" s="317"/>
    </row>
    <row r="17822">
      <c r="K17822" s="317"/>
    </row>
    <row r="17823">
      <c r="K17823" s="317"/>
    </row>
    <row r="17824">
      <c r="K17824" s="317"/>
    </row>
    <row r="17825">
      <c r="K17825" s="317"/>
    </row>
    <row r="17826">
      <c r="K17826" s="317"/>
    </row>
    <row r="17827">
      <c r="K17827" s="317"/>
    </row>
    <row r="17828">
      <c r="K17828" s="317"/>
    </row>
    <row r="17829">
      <c r="K17829" s="317"/>
    </row>
    <row r="17830">
      <c r="K17830" s="317"/>
    </row>
    <row r="17831">
      <c r="K17831" s="317"/>
    </row>
    <row r="17832">
      <c r="K17832" s="317"/>
    </row>
    <row r="17833">
      <c r="K17833" s="317"/>
    </row>
    <row r="17834">
      <c r="K17834" s="317"/>
    </row>
    <row r="17835">
      <c r="K17835" s="317"/>
    </row>
    <row r="17836">
      <c r="K17836" s="317"/>
    </row>
    <row r="17837">
      <c r="K17837" s="317"/>
    </row>
    <row r="17838">
      <c r="K17838" s="317"/>
    </row>
    <row r="17839">
      <c r="K17839" s="317"/>
    </row>
    <row r="17840">
      <c r="K17840" s="317"/>
    </row>
    <row r="17841">
      <c r="K17841" s="317"/>
    </row>
    <row r="17842">
      <c r="K17842" s="317"/>
    </row>
    <row r="17843">
      <c r="K17843" s="317"/>
    </row>
    <row r="17844">
      <c r="K17844" s="317"/>
    </row>
    <row r="17845">
      <c r="K17845" s="317"/>
    </row>
    <row r="17846">
      <c r="K17846" s="317"/>
    </row>
    <row r="17847">
      <c r="K17847" s="317"/>
    </row>
    <row r="17848">
      <c r="K17848" s="317"/>
    </row>
    <row r="17849">
      <c r="K17849" s="317"/>
    </row>
    <row r="17850">
      <c r="K17850" s="317"/>
    </row>
    <row r="17851">
      <c r="K17851" s="317"/>
    </row>
    <row r="17852">
      <c r="K17852" s="317"/>
    </row>
    <row r="17853">
      <c r="K17853" s="317"/>
    </row>
    <row r="17854">
      <c r="K17854" s="317"/>
    </row>
    <row r="17855">
      <c r="K17855" s="317"/>
    </row>
    <row r="17856">
      <c r="K17856" s="317"/>
    </row>
    <row r="17857">
      <c r="K17857" s="317"/>
    </row>
    <row r="17858">
      <c r="K17858" s="317"/>
    </row>
    <row r="17859">
      <c r="K17859" s="317"/>
    </row>
    <row r="17860">
      <c r="K17860" s="317"/>
    </row>
    <row r="17861">
      <c r="K17861" s="317"/>
    </row>
    <row r="17862">
      <c r="K17862" s="317"/>
    </row>
    <row r="17863">
      <c r="K17863" s="317"/>
    </row>
    <row r="17864">
      <c r="K17864" s="317"/>
    </row>
    <row r="17865">
      <c r="K17865" s="317"/>
    </row>
    <row r="17866">
      <c r="K17866" s="317"/>
    </row>
    <row r="17867">
      <c r="K17867" s="317"/>
    </row>
    <row r="17868">
      <c r="K17868" s="317"/>
    </row>
    <row r="17869">
      <c r="K17869" s="317"/>
    </row>
    <row r="17870">
      <c r="K17870" s="317"/>
    </row>
    <row r="17871">
      <c r="K17871" s="317"/>
    </row>
    <row r="17872">
      <c r="K17872" s="317"/>
    </row>
    <row r="17873">
      <c r="K17873" s="317"/>
    </row>
    <row r="17874">
      <c r="K17874" s="317"/>
    </row>
    <row r="17875">
      <c r="K17875" s="317"/>
    </row>
    <row r="17876">
      <c r="K17876" s="317"/>
    </row>
    <row r="17877">
      <c r="K17877" s="317"/>
    </row>
    <row r="17878">
      <c r="K17878" s="317"/>
    </row>
    <row r="17879">
      <c r="K17879" s="317"/>
    </row>
    <row r="17880">
      <c r="K17880" s="317"/>
    </row>
    <row r="17881">
      <c r="K17881" s="317"/>
    </row>
    <row r="17882">
      <c r="K17882" s="317"/>
    </row>
    <row r="17883">
      <c r="K17883" s="317"/>
    </row>
    <row r="17884">
      <c r="K17884" s="317"/>
    </row>
    <row r="17885">
      <c r="K17885" s="317"/>
    </row>
    <row r="17886">
      <c r="K17886" s="317"/>
    </row>
    <row r="17887">
      <c r="K17887" s="317"/>
    </row>
    <row r="17888">
      <c r="K17888" s="317"/>
    </row>
    <row r="17889">
      <c r="K17889" s="317"/>
    </row>
    <row r="17890">
      <c r="K17890" s="317"/>
    </row>
    <row r="17891">
      <c r="K17891" s="317"/>
    </row>
    <row r="17892">
      <c r="K17892" s="317"/>
    </row>
    <row r="17893">
      <c r="K17893" s="317"/>
    </row>
    <row r="17894">
      <c r="K17894" s="317"/>
    </row>
    <row r="17895">
      <c r="K17895" s="317"/>
    </row>
    <row r="17896">
      <c r="K17896" s="317"/>
    </row>
    <row r="17897">
      <c r="K17897" s="317"/>
    </row>
    <row r="17898">
      <c r="K17898" s="317"/>
    </row>
    <row r="17899">
      <c r="K17899" s="317"/>
    </row>
    <row r="17900">
      <c r="K17900" s="317"/>
    </row>
    <row r="17901">
      <c r="K17901" s="317"/>
    </row>
    <row r="17902">
      <c r="K17902" s="317"/>
    </row>
    <row r="17903">
      <c r="K17903" s="317"/>
    </row>
    <row r="17904">
      <c r="K17904" s="317"/>
    </row>
    <row r="17905">
      <c r="K17905" s="317"/>
    </row>
    <row r="17906">
      <c r="K17906" s="317"/>
    </row>
    <row r="17907">
      <c r="K17907" s="317"/>
    </row>
    <row r="17908">
      <c r="K17908" s="317"/>
    </row>
    <row r="17909">
      <c r="K17909" s="317"/>
    </row>
    <row r="17910">
      <c r="K17910" s="317"/>
    </row>
    <row r="17911">
      <c r="K17911" s="317"/>
    </row>
    <row r="17912">
      <c r="K17912" s="317"/>
    </row>
    <row r="17913">
      <c r="K17913" s="317"/>
    </row>
    <row r="17914">
      <c r="K17914" s="317"/>
    </row>
    <row r="17915">
      <c r="K17915" s="317"/>
    </row>
    <row r="17916">
      <c r="K17916" s="317"/>
    </row>
    <row r="17917">
      <c r="K17917" s="317"/>
    </row>
    <row r="17918">
      <c r="K17918" s="317"/>
    </row>
    <row r="17919">
      <c r="K17919" s="317"/>
    </row>
    <row r="17920">
      <c r="K17920" s="317"/>
    </row>
    <row r="17921">
      <c r="K17921" s="317"/>
    </row>
    <row r="17922">
      <c r="K17922" s="317"/>
    </row>
    <row r="17923">
      <c r="K17923" s="317"/>
    </row>
    <row r="17924">
      <c r="K17924" s="317"/>
    </row>
    <row r="17925">
      <c r="K17925" s="317"/>
    </row>
    <row r="17926">
      <c r="K17926" s="317"/>
    </row>
    <row r="17927">
      <c r="K17927" s="317"/>
    </row>
    <row r="17928">
      <c r="K17928" s="317"/>
    </row>
    <row r="17929">
      <c r="K17929" s="317"/>
    </row>
    <row r="17930">
      <c r="K17930" s="317"/>
    </row>
    <row r="17931">
      <c r="K17931" s="317"/>
    </row>
    <row r="17932">
      <c r="K17932" s="317"/>
    </row>
    <row r="17933">
      <c r="K17933" s="317"/>
    </row>
    <row r="17934">
      <c r="K17934" s="317"/>
    </row>
    <row r="17935">
      <c r="K17935" s="317"/>
    </row>
    <row r="17936">
      <c r="K17936" s="317"/>
    </row>
    <row r="17937">
      <c r="K17937" s="317"/>
    </row>
    <row r="17938">
      <c r="K17938" s="317"/>
    </row>
    <row r="17939">
      <c r="K17939" s="317"/>
    </row>
    <row r="17940">
      <c r="K17940" s="317"/>
    </row>
    <row r="17941">
      <c r="K17941" s="317"/>
    </row>
    <row r="17942">
      <c r="K17942" s="317"/>
    </row>
    <row r="17943">
      <c r="K17943" s="317"/>
    </row>
    <row r="17944">
      <c r="K17944" s="317"/>
    </row>
    <row r="17945">
      <c r="K17945" s="317"/>
    </row>
    <row r="17946">
      <c r="K17946" s="317"/>
    </row>
    <row r="17947">
      <c r="K17947" s="317"/>
    </row>
    <row r="17948">
      <c r="K17948" s="317"/>
    </row>
    <row r="17949">
      <c r="K17949" s="317"/>
    </row>
    <row r="17950">
      <c r="K17950" s="317"/>
    </row>
    <row r="17951">
      <c r="K17951" s="317"/>
    </row>
    <row r="17952">
      <c r="K17952" s="317"/>
    </row>
    <row r="17953">
      <c r="K17953" s="317"/>
    </row>
    <row r="17954">
      <c r="K17954" s="317"/>
    </row>
    <row r="17955">
      <c r="K17955" s="317"/>
    </row>
    <row r="17956">
      <c r="K17956" s="317"/>
    </row>
    <row r="17957">
      <c r="K17957" s="317"/>
    </row>
    <row r="17958">
      <c r="K17958" s="317"/>
    </row>
    <row r="17959">
      <c r="K17959" s="317"/>
    </row>
    <row r="17960">
      <c r="K17960" s="317"/>
    </row>
    <row r="17961">
      <c r="K17961" s="317"/>
    </row>
    <row r="17962">
      <c r="K17962" s="317"/>
    </row>
    <row r="17963">
      <c r="K17963" s="317"/>
    </row>
    <row r="17964">
      <c r="K17964" s="317"/>
    </row>
    <row r="17965">
      <c r="K17965" s="317"/>
    </row>
    <row r="17966">
      <c r="K17966" s="317"/>
    </row>
    <row r="17967">
      <c r="K17967" s="317"/>
    </row>
    <row r="17968">
      <c r="K17968" s="317"/>
    </row>
    <row r="17969">
      <c r="K17969" s="317"/>
    </row>
    <row r="17970">
      <c r="K17970" s="317"/>
    </row>
    <row r="17971">
      <c r="K17971" s="317"/>
    </row>
    <row r="17972">
      <c r="K17972" s="317"/>
    </row>
    <row r="17973">
      <c r="K17973" s="317"/>
    </row>
    <row r="17974">
      <c r="K17974" s="317"/>
    </row>
    <row r="17975">
      <c r="K17975" s="317"/>
    </row>
    <row r="17976">
      <c r="K17976" s="317"/>
    </row>
    <row r="17977">
      <c r="K17977" s="317"/>
    </row>
    <row r="17978">
      <c r="K17978" s="317"/>
    </row>
    <row r="17979">
      <c r="K17979" s="317"/>
    </row>
    <row r="17980">
      <c r="K17980" s="317"/>
    </row>
    <row r="17981">
      <c r="K17981" s="317"/>
    </row>
    <row r="17982">
      <c r="K17982" s="317"/>
    </row>
    <row r="17983">
      <c r="K17983" s="317"/>
    </row>
    <row r="17984">
      <c r="K17984" s="317"/>
    </row>
    <row r="17985">
      <c r="K17985" s="317"/>
    </row>
    <row r="17986">
      <c r="K17986" s="317"/>
    </row>
    <row r="17987">
      <c r="K17987" s="317"/>
    </row>
    <row r="17988">
      <c r="K17988" s="317"/>
    </row>
    <row r="17989">
      <c r="K17989" s="317"/>
    </row>
    <row r="17990">
      <c r="K17990" s="317"/>
    </row>
    <row r="17991">
      <c r="K17991" s="317"/>
    </row>
    <row r="17992">
      <c r="K17992" s="317"/>
    </row>
    <row r="17993">
      <c r="K17993" s="317"/>
    </row>
    <row r="17994">
      <c r="K17994" s="317"/>
    </row>
    <row r="17995">
      <c r="K17995" s="317"/>
    </row>
    <row r="17996">
      <c r="K17996" s="317"/>
    </row>
    <row r="17997">
      <c r="K17997" s="317"/>
    </row>
    <row r="17998">
      <c r="K17998" s="317"/>
    </row>
    <row r="17999">
      <c r="K17999" s="317"/>
    </row>
    <row r="18000">
      <c r="K18000" s="317"/>
    </row>
    <row r="18001">
      <c r="K18001" s="317"/>
    </row>
    <row r="18002">
      <c r="K18002" s="317"/>
    </row>
    <row r="18003">
      <c r="K18003" s="317"/>
    </row>
    <row r="18004">
      <c r="K18004" s="317"/>
    </row>
    <row r="18005">
      <c r="K18005" s="317"/>
    </row>
    <row r="18006">
      <c r="K18006" s="317"/>
    </row>
    <row r="18007">
      <c r="K18007" s="317"/>
    </row>
    <row r="18008">
      <c r="K18008" s="317"/>
    </row>
    <row r="18009">
      <c r="K18009" s="317"/>
    </row>
    <row r="18010">
      <c r="K18010" s="317"/>
    </row>
    <row r="18011">
      <c r="K18011" s="317"/>
    </row>
    <row r="18012">
      <c r="K18012" s="317"/>
    </row>
    <row r="18013">
      <c r="K18013" s="317"/>
    </row>
    <row r="18014">
      <c r="K18014" s="317"/>
    </row>
    <row r="18015">
      <c r="K18015" s="317"/>
    </row>
    <row r="18016">
      <c r="K18016" s="317"/>
    </row>
    <row r="18017">
      <c r="K18017" s="317"/>
    </row>
    <row r="18018">
      <c r="K18018" s="317"/>
    </row>
    <row r="18019">
      <c r="K18019" s="317"/>
    </row>
    <row r="18020">
      <c r="K18020" s="317"/>
    </row>
    <row r="18021">
      <c r="K18021" s="317"/>
    </row>
    <row r="18022">
      <c r="K18022" s="317"/>
    </row>
    <row r="18023">
      <c r="K18023" s="317"/>
    </row>
    <row r="18024">
      <c r="K18024" s="317"/>
    </row>
    <row r="18025">
      <c r="K18025" s="317"/>
    </row>
    <row r="18026">
      <c r="K18026" s="317"/>
    </row>
    <row r="18027">
      <c r="K18027" s="317"/>
    </row>
    <row r="18028">
      <c r="K18028" s="317"/>
    </row>
    <row r="18029">
      <c r="K18029" s="317"/>
    </row>
    <row r="18030">
      <c r="K18030" s="317"/>
    </row>
    <row r="18031">
      <c r="K18031" s="317"/>
    </row>
    <row r="18032">
      <c r="K18032" s="317"/>
    </row>
    <row r="18033">
      <c r="K18033" s="317"/>
    </row>
    <row r="18034">
      <c r="K18034" s="317"/>
    </row>
    <row r="18035">
      <c r="K18035" s="317"/>
    </row>
    <row r="18036">
      <c r="K18036" s="317"/>
    </row>
    <row r="18037">
      <c r="K18037" s="317"/>
    </row>
    <row r="18038">
      <c r="K18038" s="317"/>
    </row>
    <row r="18039">
      <c r="K18039" s="317"/>
    </row>
    <row r="18040">
      <c r="K18040" s="317"/>
    </row>
    <row r="18041">
      <c r="K18041" s="317"/>
    </row>
    <row r="18042">
      <c r="K18042" s="317"/>
    </row>
    <row r="18043">
      <c r="K18043" s="317"/>
    </row>
    <row r="18044">
      <c r="K18044" s="317"/>
    </row>
    <row r="18045">
      <c r="K18045" s="317"/>
    </row>
    <row r="18046">
      <c r="K18046" s="317"/>
    </row>
    <row r="18047">
      <c r="K18047" s="317"/>
    </row>
    <row r="18048">
      <c r="K18048" s="317"/>
    </row>
    <row r="18049">
      <c r="K18049" s="317"/>
    </row>
    <row r="18050">
      <c r="K18050" s="317"/>
    </row>
    <row r="18051">
      <c r="K18051" s="317"/>
    </row>
    <row r="18052">
      <c r="K18052" s="317"/>
    </row>
    <row r="18053">
      <c r="K18053" s="317"/>
    </row>
    <row r="18054">
      <c r="K18054" s="317"/>
    </row>
    <row r="18055">
      <c r="K18055" s="317"/>
    </row>
    <row r="18056">
      <c r="K18056" s="317"/>
    </row>
    <row r="18057">
      <c r="K18057" s="317"/>
    </row>
    <row r="18058">
      <c r="K18058" s="317"/>
    </row>
    <row r="18059">
      <c r="K18059" s="317"/>
    </row>
    <row r="18060">
      <c r="K18060" s="317"/>
    </row>
    <row r="18061">
      <c r="K18061" s="317"/>
    </row>
    <row r="18062">
      <c r="K18062" s="317"/>
    </row>
    <row r="18063">
      <c r="K18063" s="317"/>
    </row>
    <row r="18064">
      <c r="K18064" s="317"/>
    </row>
    <row r="18065">
      <c r="K18065" s="317"/>
    </row>
    <row r="18066">
      <c r="K18066" s="317"/>
    </row>
    <row r="18067">
      <c r="K18067" s="317"/>
    </row>
    <row r="18068">
      <c r="K18068" s="317"/>
    </row>
    <row r="18069">
      <c r="K18069" s="317"/>
    </row>
    <row r="18070">
      <c r="K18070" s="317"/>
    </row>
    <row r="18071">
      <c r="K18071" s="317"/>
    </row>
    <row r="18072">
      <c r="K18072" s="317"/>
    </row>
    <row r="18073">
      <c r="K18073" s="317"/>
    </row>
    <row r="18074">
      <c r="K18074" s="317"/>
    </row>
    <row r="18075">
      <c r="K18075" s="317"/>
    </row>
    <row r="18076">
      <c r="K18076" s="317"/>
    </row>
    <row r="18077">
      <c r="K18077" s="317"/>
    </row>
    <row r="18078">
      <c r="K18078" s="317"/>
    </row>
    <row r="18079">
      <c r="K18079" s="317"/>
    </row>
    <row r="18080">
      <c r="K18080" s="317"/>
    </row>
    <row r="18081">
      <c r="K18081" s="317"/>
    </row>
    <row r="18082">
      <c r="K18082" s="317"/>
    </row>
    <row r="18083">
      <c r="K18083" s="317"/>
    </row>
    <row r="18084">
      <c r="K18084" s="317"/>
    </row>
    <row r="18085">
      <c r="K18085" s="317"/>
    </row>
    <row r="18086">
      <c r="K18086" s="317"/>
    </row>
    <row r="18087">
      <c r="K18087" s="317"/>
    </row>
    <row r="18088">
      <c r="K18088" s="317"/>
    </row>
    <row r="18089">
      <c r="K18089" s="317"/>
    </row>
    <row r="18090">
      <c r="K18090" s="317"/>
    </row>
    <row r="18091">
      <c r="K18091" s="317"/>
    </row>
    <row r="18092">
      <c r="K18092" s="317"/>
    </row>
    <row r="18093">
      <c r="K18093" s="317"/>
    </row>
    <row r="18094">
      <c r="K18094" s="317"/>
    </row>
    <row r="18095">
      <c r="K18095" s="317"/>
    </row>
    <row r="18096">
      <c r="K18096" s="317"/>
    </row>
    <row r="18097">
      <c r="K18097" s="317"/>
    </row>
    <row r="18098">
      <c r="K18098" s="317"/>
    </row>
    <row r="18099">
      <c r="K18099" s="317"/>
    </row>
    <row r="18100">
      <c r="K18100" s="317"/>
    </row>
    <row r="18101">
      <c r="K18101" s="317"/>
    </row>
    <row r="18102">
      <c r="K18102" s="317"/>
    </row>
    <row r="18103">
      <c r="K18103" s="317"/>
    </row>
    <row r="18104">
      <c r="K18104" s="317"/>
    </row>
    <row r="18105">
      <c r="K18105" s="317"/>
    </row>
    <row r="18106">
      <c r="K18106" s="317"/>
    </row>
    <row r="18107">
      <c r="K18107" s="317"/>
    </row>
    <row r="18108">
      <c r="K18108" s="317"/>
    </row>
    <row r="18109">
      <c r="K18109" s="317"/>
    </row>
    <row r="18110">
      <c r="K18110" s="317"/>
    </row>
    <row r="18111">
      <c r="K18111" s="317"/>
    </row>
    <row r="18112">
      <c r="K18112" s="317"/>
    </row>
    <row r="18113">
      <c r="K18113" s="317"/>
    </row>
    <row r="18114">
      <c r="K18114" s="317"/>
    </row>
    <row r="18115">
      <c r="K18115" s="317"/>
    </row>
    <row r="18116">
      <c r="K18116" s="317"/>
    </row>
    <row r="18117">
      <c r="K18117" s="317"/>
    </row>
    <row r="18118">
      <c r="K18118" s="317"/>
    </row>
    <row r="18119">
      <c r="K18119" s="317"/>
    </row>
    <row r="18120">
      <c r="K18120" s="317"/>
    </row>
    <row r="18121">
      <c r="K18121" s="317"/>
    </row>
    <row r="18122">
      <c r="K18122" s="317"/>
    </row>
    <row r="18123">
      <c r="K18123" s="317"/>
    </row>
    <row r="18124">
      <c r="K18124" s="317"/>
    </row>
    <row r="18125">
      <c r="K18125" s="317"/>
    </row>
    <row r="18126">
      <c r="K18126" s="317"/>
    </row>
    <row r="18127">
      <c r="K18127" s="317"/>
    </row>
    <row r="18128">
      <c r="K18128" s="317"/>
    </row>
    <row r="18129">
      <c r="K18129" s="317"/>
    </row>
    <row r="18130">
      <c r="K18130" s="317"/>
    </row>
    <row r="18131">
      <c r="K18131" s="317"/>
    </row>
    <row r="18132">
      <c r="K18132" s="317"/>
    </row>
    <row r="18133">
      <c r="K18133" s="317"/>
    </row>
    <row r="18134">
      <c r="K18134" s="317"/>
    </row>
    <row r="18135">
      <c r="K18135" s="317"/>
    </row>
    <row r="18136">
      <c r="K18136" s="317"/>
    </row>
    <row r="18137">
      <c r="K18137" s="317"/>
    </row>
    <row r="18138">
      <c r="K18138" s="317"/>
    </row>
    <row r="18139">
      <c r="K18139" s="317"/>
    </row>
    <row r="18140">
      <c r="K18140" s="317"/>
    </row>
    <row r="18141">
      <c r="K18141" s="317"/>
    </row>
    <row r="18142">
      <c r="K18142" s="317"/>
    </row>
    <row r="18143">
      <c r="K18143" s="317"/>
    </row>
    <row r="18144">
      <c r="K18144" s="317"/>
    </row>
    <row r="18145">
      <c r="K18145" s="317"/>
    </row>
    <row r="18146">
      <c r="K18146" s="317"/>
    </row>
    <row r="18147">
      <c r="K18147" s="317"/>
    </row>
    <row r="18148">
      <c r="K18148" s="317"/>
    </row>
    <row r="18149">
      <c r="K18149" s="317"/>
    </row>
    <row r="18150">
      <c r="K18150" s="317"/>
    </row>
    <row r="18151">
      <c r="K18151" s="317"/>
    </row>
    <row r="18152">
      <c r="K18152" s="317"/>
    </row>
    <row r="18153">
      <c r="K18153" s="317"/>
    </row>
    <row r="18154">
      <c r="K18154" s="317"/>
    </row>
    <row r="18155">
      <c r="K18155" s="317"/>
    </row>
    <row r="18156">
      <c r="K18156" s="317"/>
    </row>
    <row r="18157">
      <c r="K18157" s="317"/>
    </row>
    <row r="18158">
      <c r="K18158" s="317"/>
    </row>
    <row r="18159">
      <c r="K18159" s="317"/>
    </row>
    <row r="18160">
      <c r="K18160" s="317"/>
    </row>
    <row r="18161">
      <c r="K18161" s="317"/>
    </row>
    <row r="18162">
      <c r="K18162" s="317"/>
    </row>
    <row r="18163">
      <c r="K18163" s="317"/>
    </row>
    <row r="18164">
      <c r="K18164" s="317"/>
    </row>
    <row r="18165">
      <c r="K18165" s="317"/>
    </row>
    <row r="18166">
      <c r="K18166" s="317"/>
    </row>
    <row r="18167">
      <c r="K18167" s="317"/>
    </row>
    <row r="18168">
      <c r="K18168" s="317"/>
    </row>
    <row r="18169">
      <c r="K18169" s="317"/>
    </row>
    <row r="18170">
      <c r="K18170" s="317"/>
    </row>
    <row r="18171">
      <c r="K18171" s="317"/>
    </row>
    <row r="18172">
      <c r="K18172" s="317"/>
    </row>
    <row r="18173">
      <c r="K18173" s="317"/>
    </row>
    <row r="18174">
      <c r="K18174" s="317"/>
    </row>
    <row r="18175">
      <c r="K18175" s="317"/>
    </row>
    <row r="18176">
      <c r="K18176" s="317"/>
    </row>
    <row r="18177">
      <c r="K18177" s="317"/>
    </row>
    <row r="18178">
      <c r="K18178" s="317"/>
    </row>
    <row r="18179">
      <c r="K18179" s="317"/>
    </row>
    <row r="18180">
      <c r="K18180" s="317"/>
    </row>
    <row r="18181">
      <c r="K18181" s="317"/>
    </row>
    <row r="18182">
      <c r="K18182" s="317"/>
    </row>
    <row r="18183">
      <c r="K18183" s="317"/>
    </row>
    <row r="18184">
      <c r="K18184" s="317"/>
    </row>
    <row r="18185">
      <c r="K18185" s="317"/>
    </row>
    <row r="18186">
      <c r="K18186" s="317"/>
    </row>
    <row r="18187">
      <c r="K18187" s="317"/>
    </row>
    <row r="18188">
      <c r="K18188" s="317"/>
    </row>
    <row r="18189">
      <c r="K18189" s="317"/>
    </row>
    <row r="18190">
      <c r="K18190" s="317"/>
    </row>
    <row r="18191">
      <c r="K18191" s="317"/>
    </row>
    <row r="18192">
      <c r="K18192" s="317"/>
    </row>
    <row r="18193">
      <c r="K18193" s="317"/>
    </row>
    <row r="18194">
      <c r="K18194" s="317"/>
    </row>
    <row r="18195">
      <c r="K18195" s="317"/>
    </row>
    <row r="18196">
      <c r="K18196" s="317"/>
    </row>
    <row r="18197">
      <c r="K18197" s="317"/>
    </row>
    <row r="18198">
      <c r="K18198" s="317"/>
    </row>
    <row r="18199">
      <c r="K18199" s="317"/>
    </row>
    <row r="18200">
      <c r="K18200" s="317"/>
    </row>
    <row r="18201">
      <c r="K18201" s="317"/>
    </row>
    <row r="18202">
      <c r="K18202" s="317"/>
    </row>
    <row r="18203">
      <c r="K18203" s="317"/>
    </row>
    <row r="18204">
      <c r="K18204" s="317"/>
    </row>
    <row r="18205">
      <c r="K18205" s="317"/>
    </row>
    <row r="18206">
      <c r="K18206" s="317"/>
    </row>
    <row r="18207">
      <c r="K18207" s="317"/>
    </row>
    <row r="18208">
      <c r="K18208" s="317"/>
    </row>
    <row r="18209">
      <c r="K18209" s="317"/>
    </row>
    <row r="18210">
      <c r="K18210" s="317"/>
    </row>
    <row r="18211">
      <c r="K18211" s="317"/>
    </row>
    <row r="18212">
      <c r="K18212" s="317"/>
    </row>
    <row r="18213">
      <c r="K18213" s="317"/>
    </row>
    <row r="18214">
      <c r="K18214" s="317"/>
    </row>
    <row r="18215">
      <c r="K18215" s="317"/>
    </row>
    <row r="18216">
      <c r="K18216" s="317"/>
    </row>
    <row r="18217">
      <c r="K18217" s="317"/>
    </row>
    <row r="18218">
      <c r="K18218" s="317"/>
    </row>
    <row r="18219">
      <c r="K18219" s="317"/>
    </row>
    <row r="18220">
      <c r="K18220" s="317"/>
    </row>
    <row r="18221">
      <c r="K18221" s="317"/>
    </row>
    <row r="18222">
      <c r="K18222" s="317"/>
    </row>
    <row r="18223">
      <c r="K18223" s="317"/>
    </row>
    <row r="18224">
      <c r="K18224" s="317"/>
    </row>
    <row r="18225">
      <c r="K18225" s="317"/>
    </row>
    <row r="18226">
      <c r="K18226" s="317"/>
    </row>
    <row r="18227">
      <c r="K18227" s="317"/>
    </row>
    <row r="18228">
      <c r="K18228" s="317"/>
    </row>
    <row r="18229">
      <c r="K18229" s="317"/>
    </row>
    <row r="18230">
      <c r="K18230" s="317"/>
    </row>
    <row r="18231">
      <c r="K18231" s="317"/>
    </row>
    <row r="18232">
      <c r="K18232" s="317"/>
    </row>
    <row r="18233">
      <c r="K18233" s="317"/>
    </row>
    <row r="18234">
      <c r="K18234" s="317"/>
    </row>
    <row r="18235">
      <c r="K18235" s="317"/>
    </row>
    <row r="18236">
      <c r="K18236" s="317"/>
    </row>
    <row r="18237">
      <c r="K18237" s="317"/>
    </row>
    <row r="18238">
      <c r="K18238" s="317"/>
    </row>
    <row r="18239">
      <c r="K18239" s="317"/>
    </row>
    <row r="18240">
      <c r="K18240" s="317"/>
    </row>
    <row r="18241">
      <c r="K18241" s="317"/>
    </row>
    <row r="18242">
      <c r="K18242" s="317"/>
    </row>
    <row r="18243">
      <c r="K18243" s="317"/>
    </row>
    <row r="18244">
      <c r="K18244" s="317"/>
    </row>
    <row r="18245">
      <c r="K18245" s="317"/>
    </row>
    <row r="18246">
      <c r="K18246" s="317"/>
    </row>
    <row r="18247">
      <c r="K18247" s="317"/>
    </row>
    <row r="18248">
      <c r="K18248" s="317"/>
    </row>
    <row r="18249">
      <c r="K18249" s="317"/>
    </row>
    <row r="18250">
      <c r="K18250" s="317"/>
    </row>
    <row r="18251">
      <c r="K18251" s="317"/>
    </row>
    <row r="18252">
      <c r="K18252" s="317"/>
    </row>
    <row r="18253">
      <c r="K18253" s="317"/>
    </row>
    <row r="18254">
      <c r="K18254" s="317"/>
    </row>
    <row r="18255">
      <c r="K18255" s="317"/>
    </row>
    <row r="18256">
      <c r="K18256" s="317"/>
    </row>
    <row r="18257">
      <c r="K18257" s="317"/>
    </row>
    <row r="18258">
      <c r="K18258" s="317"/>
    </row>
    <row r="18259">
      <c r="K18259" s="317"/>
    </row>
    <row r="18260">
      <c r="K18260" s="317"/>
    </row>
    <row r="18261">
      <c r="K18261" s="317"/>
    </row>
    <row r="18262">
      <c r="K18262" s="317"/>
    </row>
    <row r="18263">
      <c r="K18263" s="317"/>
    </row>
    <row r="18264">
      <c r="K18264" s="317"/>
    </row>
    <row r="18265">
      <c r="K18265" s="317"/>
    </row>
    <row r="18266">
      <c r="K18266" s="317"/>
    </row>
    <row r="18267">
      <c r="K18267" s="317"/>
    </row>
    <row r="18268">
      <c r="K18268" s="317"/>
    </row>
    <row r="18269">
      <c r="K18269" s="317"/>
    </row>
    <row r="18270">
      <c r="K18270" s="317"/>
    </row>
    <row r="18271">
      <c r="K18271" s="317"/>
    </row>
    <row r="18272">
      <c r="K18272" s="317"/>
    </row>
    <row r="18273">
      <c r="K18273" s="317"/>
    </row>
    <row r="18274">
      <c r="K18274" s="317"/>
    </row>
    <row r="18275">
      <c r="K18275" s="317"/>
    </row>
    <row r="18276">
      <c r="K18276" s="317"/>
    </row>
    <row r="18277">
      <c r="K18277" s="317"/>
    </row>
    <row r="18278">
      <c r="K18278" s="317"/>
    </row>
    <row r="18279">
      <c r="K18279" s="317"/>
    </row>
    <row r="18280">
      <c r="K18280" s="317"/>
    </row>
    <row r="18281">
      <c r="K18281" s="317"/>
    </row>
    <row r="18282">
      <c r="K18282" s="317"/>
    </row>
    <row r="18283">
      <c r="K18283" s="317"/>
    </row>
    <row r="18284">
      <c r="K18284" s="317"/>
    </row>
    <row r="18285">
      <c r="K18285" s="317"/>
    </row>
    <row r="18286">
      <c r="K18286" s="317"/>
    </row>
    <row r="18287">
      <c r="K18287" s="317"/>
    </row>
    <row r="18288">
      <c r="K18288" s="317"/>
    </row>
    <row r="18289">
      <c r="K18289" s="317"/>
    </row>
    <row r="18290">
      <c r="K18290" s="317"/>
    </row>
    <row r="18291">
      <c r="K18291" s="317"/>
    </row>
    <row r="18292">
      <c r="K18292" s="317"/>
    </row>
    <row r="18293">
      <c r="K18293" s="317"/>
    </row>
    <row r="18294">
      <c r="K18294" s="317"/>
    </row>
    <row r="18295">
      <c r="K18295" s="317"/>
    </row>
    <row r="18296">
      <c r="K18296" s="317"/>
    </row>
    <row r="18297">
      <c r="K18297" s="317"/>
    </row>
    <row r="18298">
      <c r="K18298" s="317"/>
    </row>
    <row r="18299">
      <c r="K18299" s="317"/>
    </row>
    <row r="18300">
      <c r="K18300" s="317"/>
    </row>
    <row r="18301">
      <c r="K18301" s="317"/>
    </row>
    <row r="18302">
      <c r="K18302" s="317"/>
    </row>
    <row r="18303">
      <c r="K18303" s="317"/>
    </row>
    <row r="18304">
      <c r="K18304" s="317"/>
    </row>
    <row r="18305">
      <c r="K18305" s="317"/>
    </row>
    <row r="18306">
      <c r="K18306" s="317"/>
    </row>
    <row r="18307">
      <c r="K18307" s="317"/>
    </row>
    <row r="18308">
      <c r="K18308" s="317"/>
    </row>
    <row r="18309">
      <c r="K18309" s="317"/>
    </row>
    <row r="18310">
      <c r="K18310" s="317"/>
    </row>
    <row r="18311">
      <c r="K18311" s="317"/>
    </row>
    <row r="18312">
      <c r="K18312" s="317"/>
    </row>
    <row r="18313">
      <c r="K18313" s="317"/>
    </row>
    <row r="18314">
      <c r="K18314" s="317"/>
    </row>
    <row r="18315">
      <c r="K18315" s="317"/>
    </row>
    <row r="18316">
      <c r="K18316" s="317"/>
    </row>
    <row r="18317">
      <c r="K18317" s="317"/>
    </row>
    <row r="18318">
      <c r="K18318" s="317"/>
    </row>
    <row r="18319">
      <c r="K18319" s="317"/>
    </row>
    <row r="18320">
      <c r="K18320" s="317"/>
    </row>
    <row r="18321">
      <c r="K18321" s="317"/>
    </row>
    <row r="18322">
      <c r="K18322" s="317"/>
    </row>
    <row r="18323">
      <c r="K18323" s="317"/>
    </row>
    <row r="18324">
      <c r="K18324" s="317"/>
    </row>
    <row r="18325">
      <c r="K18325" s="317"/>
    </row>
    <row r="18326">
      <c r="K18326" s="317"/>
    </row>
    <row r="18327">
      <c r="K18327" s="317"/>
    </row>
    <row r="18328">
      <c r="K18328" s="317"/>
    </row>
    <row r="18329">
      <c r="K18329" s="317"/>
    </row>
    <row r="18330">
      <c r="K18330" s="317"/>
    </row>
    <row r="18331">
      <c r="K18331" s="317"/>
    </row>
    <row r="18332">
      <c r="K18332" s="317"/>
    </row>
    <row r="18333">
      <c r="K18333" s="317"/>
    </row>
    <row r="18334">
      <c r="K18334" s="317"/>
    </row>
    <row r="18335">
      <c r="K18335" s="317"/>
    </row>
    <row r="18336">
      <c r="K18336" s="317"/>
    </row>
    <row r="18337">
      <c r="K18337" s="317"/>
    </row>
    <row r="18338">
      <c r="K18338" s="317"/>
    </row>
    <row r="18339">
      <c r="K18339" s="317"/>
    </row>
    <row r="18340">
      <c r="K18340" s="317"/>
    </row>
    <row r="18341">
      <c r="K18341" s="317"/>
    </row>
    <row r="18342">
      <c r="K18342" s="317"/>
    </row>
    <row r="18343">
      <c r="K18343" s="317"/>
    </row>
    <row r="18344">
      <c r="K18344" s="317"/>
    </row>
    <row r="18345">
      <c r="K18345" s="317"/>
    </row>
    <row r="18346">
      <c r="K18346" s="317"/>
    </row>
    <row r="18347">
      <c r="K18347" s="317"/>
    </row>
    <row r="18348">
      <c r="K18348" s="317"/>
    </row>
    <row r="18349">
      <c r="K18349" s="317"/>
    </row>
    <row r="18350">
      <c r="K18350" s="317"/>
    </row>
    <row r="18351">
      <c r="K18351" s="317"/>
    </row>
    <row r="18352">
      <c r="K18352" s="317"/>
    </row>
    <row r="18353">
      <c r="K18353" s="317"/>
    </row>
    <row r="18354">
      <c r="K18354" s="317"/>
    </row>
    <row r="18355">
      <c r="K18355" s="317"/>
    </row>
    <row r="18356">
      <c r="K18356" s="317"/>
    </row>
    <row r="18357">
      <c r="K18357" s="317"/>
    </row>
    <row r="18358">
      <c r="K18358" s="317"/>
    </row>
    <row r="18359">
      <c r="K18359" s="317"/>
    </row>
    <row r="18360">
      <c r="K18360" s="317"/>
    </row>
    <row r="18361">
      <c r="K18361" s="317"/>
    </row>
    <row r="18362">
      <c r="K18362" s="317"/>
    </row>
    <row r="18363">
      <c r="K18363" s="317"/>
    </row>
    <row r="18364">
      <c r="K18364" s="317"/>
    </row>
    <row r="18365">
      <c r="K18365" s="317"/>
    </row>
    <row r="18366">
      <c r="K18366" s="317"/>
    </row>
    <row r="18367">
      <c r="K18367" s="317"/>
    </row>
    <row r="18368">
      <c r="K18368" s="317"/>
    </row>
    <row r="18369">
      <c r="K18369" s="317"/>
    </row>
    <row r="18370">
      <c r="K18370" s="317"/>
    </row>
    <row r="18371">
      <c r="K18371" s="317"/>
    </row>
    <row r="18372">
      <c r="K18372" s="317"/>
    </row>
    <row r="18373">
      <c r="K18373" s="317"/>
    </row>
    <row r="18374">
      <c r="K18374" s="317"/>
    </row>
    <row r="18375">
      <c r="K18375" s="317"/>
    </row>
    <row r="18376">
      <c r="K18376" s="317"/>
    </row>
    <row r="18377">
      <c r="K18377" s="317"/>
    </row>
    <row r="18378">
      <c r="K18378" s="317"/>
    </row>
    <row r="18379">
      <c r="K18379" s="317"/>
    </row>
    <row r="18380">
      <c r="K18380" s="317"/>
    </row>
    <row r="18381">
      <c r="K18381" s="317"/>
    </row>
    <row r="18382">
      <c r="K18382" s="317"/>
    </row>
    <row r="18383">
      <c r="K18383" s="317"/>
    </row>
    <row r="18384">
      <c r="K18384" s="317"/>
    </row>
    <row r="18385">
      <c r="K18385" s="317"/>
    </row>
    <row r="18386">
      <c r="K18386" s="317"/>
    </row>
    <row r="18387">
      <c r="K18387" s="317"/>
    </row>
    <row r="18388">
      <c r="K18388" s="317"/>
    </row>
    <row r="18389">
      <c r="K18389" s="317"/>
    </row>
    <row r="18390">
      <c r="K18390" s="317"/>
    </row>
    <row r="18391">
      <c r="K18391" s="317"/>
    </row>
    <row r="18392">
      <c r="K18392" s="317"/>
    </row>
    <row r="18393">
      <c r="K18393" s="317"/>
    </row>
    <row r="18394">
      <c r="K18394" s="317"/>
    </row>
    <row r="18395">
      <c r="K18395" s="317"/>
    </row>
    <row r="18396">
      <c r="K18396" s="317"/>
    </row>
    <row r="18397">
      <c r="K18397" s="317"/>
    </row>
    <row r="18398">
      <c r="K18398" s="317"/>
    </row>
    <row r="18399">
      <c r="K18399" s="317"/>
    </row>
    <row r="18400">
      <c r="K18400" s="317"/>
    </row>
    <row r="18401">
      <c r="K18401" s="317"/>
    </row>
    <row r="18402">
      <c r="K18402" s="317"/>
    </row>
    <row r="18403">
      <c r="K18403" s="317"/>
    </row>
    <row r="18404">
      <c r="K18404" s="317"/>
    </row>
    <row r="18405">
      <c r="K18405" s="317"/>
    </row>
    <row r="18406">
      <c r="K18406" s="317"/>
    </row>
    <row r="18407">
      <c r="K18407" s="317"/>
    </row>
    <row r="18408">
      <c r="K18408" s="317"/>
    </row>
    <row r="18409">
      <c r="K18409" s="317"/>
    </row>
    <row r="18410">
      <c r="K18410" s="317"/>
    </row>
    <row r="18411">
      <c r="K18411" s="317"/>
    </row>
    <row r="18412">
      <c r="K18412" s="317"/>
    </row>
    <row r="18413">
      <c r="K18413" s="317"/>
    </row>
    <row r="18414">
      <c r="K18414" s="317"/>
    </row>
    <row r="18415">
      <c r="K18415" s="317"/>
    </row>
    <row r="18416">
      <c r="K18416" s="317"/>
    </row>
    <row r="18417">
      <c r="K18417" s="317"/>
    </row>
    <row r="18418">
      <c r="K18418" s="317"/>
    </row>
    <row r="18419">
      <c r="K18419" s="317"/>
    </row>
    <row r="18420">
      <c r="K18420" s="317"/>
    </row>
    <row r="18421">
      <c r="K18421" s="317"/>
    </row>
    <row r="18422">
      <c r="K18422" s="317"/>
    </row>
    <row r="18423">
      <c r="K18423" s="317"/>
    </row>
    <row r="18424">
      <c r="K18424" s="317"/>
    </row>
    <row r="18425">
      <c r="K18425" s="317"/>
    </row>
    <row r="18426">
      <c r="K18426" s="317"/>
    </row>
    <row r="18427">
      <c r="K18427" s="317"/>
    </row>
    <row r="18428">
      <c r="K18428" s="317"/>
    </row>
    <row r="18429">
      <c r="K18429" s="317"/>
    </row>
    <row r="18430">
      <c r="K18430" s="317"/>
    </row>
    <row r="18431">
      <c r="K18431" s="317"/>
    </row>
    <row r="18432">
      <c r="K18432" s="317"/>
    </row>
    <row r="18433">
      <c r="K18433" s="317"/>
    </row>
    <row r="18434">
      <c r="K18434" s="317"/>
    </row>
    <row r="18435">
      <c r="K18435" s="317"/>
    </row>
    <row r="18436">
      <c r="K18436" s="317"/>
    </row>
    <row r="18437">
      <c r="K18437" s="317"/>
    </row>
    <row r="18438">
      <c r="K18438" s="317"/>
    </row>
    <row r="18439">
      <c r="K18439" s="317"/>
    </row>
    <row r="18440">
      <c r="K18440" s="317"/>
    </row>
    <row r="18441">
      <c r="K18441" s="317"/>
    </row>
    <row r="18442">
      <c r="K18442" s="317"/>
    </row>
    <row r="18443">
      <c r="K18443" s="317"/>
    </row>
    <row r="18444">
      <c r="K18444" s="317"/>
    </row>
    <row r="18445">
      <c r="K18445" s="317"/>
    </row>
    <row r="18446">
      <c r="K18446" s="317"/>
    </row>
    <row r="18447">
      <c r="K18447" s="317"/>
    </row>
    <row r="18448">
      <c r="K18448" s="317"/>
    </row>
    <row r="18449">
      <c r="K18449" s="317"/>
    </row>
    <row r="18450">
      <c r="K18450" s="317"/>
    </row>
    <row r="18451">
      <c r="K18451" s="317"/>
    </row>
    <row r="18452">
      <c r="K18452" s="317"/>
    </row>
    <row r="18453">
      <c r="K18453" s="317"/>
    </row>
    <row r="18454">
      <c r="K18454" s="317"/>
    </row>
    <row r="18455">
      <c r="K18455" s="317"/>
    </row>
    <row r="18456">
      <c r="K18456" s="317"/>
    </row>
    <row r="18457">
      <c r="K18457" s="317"/>
    </row>
    <row r="18458">
      <c r="K18458" s="317"/>
    </row>
    <row r="18459">
      <c r="K18459" s="317"/>
    </row>
    <row r="18460">
      <c r="K18460" s="317"/>
    </row>
    <row r="18461">
      <c r="K18461" s="317"/>
    </row>
    <row r="18462">
      <c r="K18462" s="317"/>
    </row>
    <row r="18463">
      <c r="K18463" s="317"/>
    </row>
    <row r="18464">
      <c r="K18464" s="317"/>
    </row>
    <row r="18465">
      <c r="K18465" s="317"/>
    </row>
    <row r="18466">
      <c r="K18466" s="317"/>
    </row>
    <row r="18467">
      <c r="K18467" s="317"/>
    </row>
    <row r="18468">
      <c r="K18468" s="317"/>
    </row>
    <row r="18469">
      <c r="K18469" s="317"/>
    </row>
    <row r="18470">
      <c r="K18470" s="317"/>
    </row>
    <row r="18471">
      <c r="K18471" s="317"/>
    </row>
    <row r="18472">
      <c r="K18472" s="317"/>
    </row>
    <row r="18473">
      <c r="K18473" s="317"/>
    </row>
    <row r="18474">
      <c r="K18474" s="317"/>
    </row>
    <row r="18475">
      <c r="K18475" s="317"/>
    </row>
    <row r="18476">
      <c r="K18476" s="317"/>
    </row>
    <row r="18477">
      <c r="K18477" s="317"/>
    </row>
    <row r="18478">
      <c r="K18478" s="317"/>
    </row>
    <row r="18479">
      <c r="K18479" s="317"/>
    </row>
    <row r="18480">
      <c r="K18480" s="317"/>
    </row>
    <row r="18481">
      <c r="K18481" s="317"/>
    </row>
    <row r="18482">
      <c r="K18482" s="317"/>
    </row>
    <row r="18483">
      <c r="K18483" s="317"/>
    </row>
    <row r="18484">
      <c r="K18484" s="317"/>
    </row>
    <row r="18485">
      <c r="K18485" s="317"/>
    </row>
    <row r="18486">
      <c r="K18486" s="317"/>
    </row>
    <row r="18487">
      <c r="K18487" s="317"/>
    </row>
    <row r="18488">
      <c r="K18488" s="317"/>
    </row>
    <row r="18489">
      <c r="K18489" s="317"/>
    </row>
    <row r="18490">
      <c r="K18490" s="317"/>
    </row>
    <row r="18491">
      <c r="K18491" s="317"/>
    </row>
    <row r="18492">
      <c r="K18492" s="317"/>
    </row>
    <row r="18493">
      <c r="K18493" s="317"/>
    </row>
    <row r="18494">
      <c r="K18494" s="317"/>
    </row>
    <row r="18495">
      <c r="K18495" s="317"/>
    </row>
    <row r="18496">
      <c r="K18496" s="317"/>
    </row>
    <row r="18497">
      <c r="K18497" s="317"/>
    </row>
    <row r="18498">
      <c r="K18498" s="317"/>
    </row>
    <row r="18499">
      <c r="K18499" s="317"/>
    </row>
    <row r="18500">
      <c r="K18500" s="317"/>
    </row>
    <row r="18501">
      <c r="K18501" s="317"/>
    </row>
    <row r="18502">
      <c r="K18502" s="317"/>
    </row>
    <row r="18503">
      <c r="K18503" s="317"/>
    </row>
    <row r="18504">
      <c r="K18504" s="317"/>
    </row>
    <row r="18505">
      <c r="K18505" s="317"/>
    </row>
    <row r="18506">
      <c r="K18506" s="317"/>
    </row>
    <row r="18507">
      <c r="K18507" s="317"/>
    </row>
    <row r="18508">
      <c r="K18508" s="317"/>
    </row>
    <row r="18509">
      <c r="K18509" s="317"/>
    </row>
    <row r="18510">
      <c r="K18510" s="317"/>
    </row>
    <row r="18511">
      <c r="K18511" s="317"/>
    </row>
    <row r="18512">
      <c r="K18512" s="317"/>
    </row>
    <row r="18513">
      <c r="K18513" s="317"/>
    </row>
    <row r="18514">
      <c r="K18514" s="317"/>
    </row>
    <row r="18515">
      <c r="K18515" s="317"/>
    </row>
    <row r="18516">
      <c r="K18516" s="317"/>
    </row>
    <row r="18517">
      <c r="K18517" s="317"/>
    </row>
    <row r="18518">
      <c r="K18518" s="317"/>
    </row>
    <row r="18519">
      <c r="K18519" s="317"/>
    </row>
    <row r="18520">
      <c r="K18520" s="317"/>
    </row>
    <row r="18521">
      <c r="K18521" s="317"/>
    </row>
    <row r="18522">
      <c r="K18522" s="317"/>
    </row>
    <row r="18523">
      <c r="K18523" s="317"/>
    </row>
    <row r="18524">
      <c r="K18524" s="317"/>
    </row>
    <row r="18525">
      <c r="K18525" s="317"/>
    </row>
    <row r="18526">
      <c r="K18526" s="317"/>
    </row>
    <row r="18527">
      <c r="K18527" s="317"/>
    </row>
    <row r="18528">
      <c r="K18528" s="317"/>
    </row>
    <row r="18529">
      <c r="K18529" s="317"/>
    </row>
    <row r="18530">
      <c r="K18530" s="317"/>
    </row>
    <row r="18531">
      <c r="K18531" s="317"/>
    </row>
    <row r="18532">
      <c r="K18532" s="317"/>
    </row>
    <row r="18533">
      <c r="K18533" s="317"/>
    </row>
    <row r="18534">
      <c r="K18534" s="317"/>
    </row>
    <row r="18535">
      <c r="K18535" s="317"/>
    </row>
    <row r="18536">
      <c r="K18536" s="317"/>
    </row>
    <row r="18537">
      <c r="K18537" s="317"/>
    </row>
    <row r="18538">
      <c r="K18538" s="317"/>
    </row>
    <row r="18539">
      <c r="K18539" s="317"/>
    </row>
    <row r="18540">
      <c r="K18540" s="317"/>
    </row>
    <row r="18541">
      <c r="K18541" s="317"/>
    </row>
    <row r="18542">
      <c r="K18542" s="317"/>
    </row>
    <row r="18543">
      <c r="K18543" s="317"/>
    </row>
    <row r="18544">
      <c r="K18544" s="317"/>
    </row>
    <row r="18545">
      <c r="K18545" s="317"/>
    </row>
    <row r="18546">
      <c r="K18546" s="317"/>
    </row>
    <row r="18547">
      <c r="K18547" s="317"/>
    </row>
    <row r="18548">
      <c r="K18548" s="317"/>
    </row>
    <row r="18549">
      <c r="K18549" s="317"/>
    </row>
    <row r="18550">
      <c r="K18550" s="317"/>
    </row>
    <row r="18551">
      <c r="K18551" s="317"/>
    </row>
    <row r="18552">
      <c r="K18552" s="317"/>
    </row>
    <row r="18553">
      <c r="K18553" s="317"/>
    </row>
    <row r="18554">
      <c r="K18554" s="317"/>
    </row>
    <row r="18555">
      <c r="K18555" s="317"/>
    </row>
    <row r="18556">
      <c r="K18556" s="317"/>
    </row>
    <row r="18557">
      <c r="K18557" s="317"/>
    </row>
    <row r="18558">
      <c r="K18558" s="317"/>
    </row>
    <row r="18559">
      <c r="K18559" s="317"/>
    </row>
    <row r="18560">
      <c r="K18560" s="317"/>
    </row>
    <row r="18561">
      <c r="K18561" s="317"/>
    </row>
    <row r="18562">
      <c r="K18562" s="317"/>
    </row>
    <row r="18563">
      <c r="K18563" s="317"/>
    </row>
    <row r="18564">
      <c r="K18564" s="317"/>
    </row>
    <row r="18565">
      <c r="K18565" s="317"/>
    </row>
    <row r="18566">
      <c r="K18566" s="317"/>
    </row>
    <row r="18567">
      <c r="K18567" s="317"/>
    </row>
    <row r="18568">
      <c r="K18568" s="317"/>
    </row>
    <row r="18569">
      <c r="K18569" s="317"/>
    </row>
    <row r="18570">
      <c r="K18570" s="317"/>
    </row>
    <row r="18571">
      <c r="K18571" s="317"/>
    </row>
    <row r="18572">
      <c r="K18572" s="317"/>
    </row>
    <row r="18573">
      <c r="K18573" s="317"/>
    </row>
    <row r="18574">
      <c r="K18574" s="317"/>
    </row>
    <row r="18575">
      <c r="K18575" s="317"/>
    </row>
    <row r="18576">
      <c r="K18576" s="317"/>
    </row>
    <row r="18577">
      <c r="K18577" s="317"/>
    </row>
    <row r="18578">
      <c r="K18578" s="317"/>
    </row>
    <row r="18579">
      <c r="K18579" s="317"/>
    </row>
    <row r="18580">
      <c r="K18580" s="317"/>
    </row>
    <row r="18581">
      <c r="K18581" s="317"/>
    </row>
    <row r="18582">
      <c r="K18582" s="317"/>
    </row>
    <row r="18583">
      <c r="K18583" s="317"/>
    </row>
    <row r="18584">
      <c r="K18584" s="317"/>
    </row>
    <row r="18585">
      <c r="K18585" s="317"/>
    </row>
    <row r="18586">
      <c r="K18586" s="317"/>
    </row>
    <row r="18587">
      <c r="K18587" s="317"/>
    </row>
    <row r="18588">
      <c r="K18588" s="317"/>
    </row>
    <row r="18589">
      <c r="K18589" s="317"/>
    </row>
    <row r="18590">
      <c r="K18590" s="317"/>
    </row>
    <row r="18591">
      <c r="K18591" s="317"/>
    </row>
    <row r="18592">
      <c r="K18592" s="317"/>
    </row>
    <row r="18593">
      <c r="K18593" s="317"/>
    </row>
    <row r="18594">
      <c r="K18594" s="317"/>
    </row>
    <row r="18595">
      <c r="K18595" s="317"/>
    </row>
    <row r="18596">
      <c r="K18596" s="317"/>
    </row>
    <row r="18597">
      <c r="K18597" s="317"/>
    </row>
    <row r="18598">
      <c r="K18598" s="317"/>
    </row>
    <row r="18599">
      <c r="K18599" s="317"/>
    </row>
    <row r="18600">
      <c r="K18600" s="317"/>
    </row>
    <row r="18601">
      <c r="K18601" s="317"/>
    </row>
    <row r="18602">
      <c r="K18602" s="317"/>
    </row>
    <row r="18603">
      <c r="K18603" s="317"/>
    </row>
    <row r="18604">
      <c r="K18604" s="317"/>
    </row>
    <row r="18605">
      <c r="K18605" s="317"/>
    </row>
    <row r="18606">
      <c r="K18606" s="317"/>
    </row>
    <row r="18607">
      <c r="K18607" s="317"/>
    </row>
    <row r="18608">
      <c r="K18608" s="317"/>
    </row>
    <row r="18609">
      <c r="K18609" s="317"/>
    </row>
    <row r="18610">
      <c r="K18610" s="317"/>
    </row>
    <row r="18611">
      <c r="K18611" s="317"/>
    </row>
    <row r="18612">
      <c r="K18612" s="317"/>
    </row>
    <row r="18613">
      <c r="K18613" s="317"/>
    </row>
    <row r="18614">
      <c r="K18614" s="317"/>
    </row>
    <row r="18615">
      <c r="K18615" s="317"/>
    </row>
    <row r="18616">
      <c r="K18616" s="317"/>
    </row>
    <row r="18617">
      <c r="K18617" s="317"/>
    </row>
    <row r="18618">
      <c r="K18618" s="317"/>
    </row>
    <row r="18619">
      <c r="K18619" s="317"/>
    </row>
    <row r="18620">
      <c r="K18620" s="317"/>
    </row>
    <row r="18621">
      <c r="K18621" s="317"/>
    </row>
    <row r="18622">
      <c r="K18622" s="317"/>
    </row>
    <row r="18623">
      <c r="K18623" s="317"/>
    </row>
    <row r="18624">
      <c r="K18624" s="317"/>
    </row>
    <row r="18625">
      <c r="K18625" s="317"/>
    </row>
    <row r="18626">
      <c r="K18626" s="317"/>
    </row>
    <row r="18627">
      <c r="K18627" s="317"/>
    </row>
    <row r="18628">
      <c r="K18628" s="317"/>
    </row>
    <row r="18629">
      <c r="K18629" s="317"/>
    </row>
    <row r="18630">
      <c r="K18630" s="317"/>
    </row>
    <row r="18631">
      <c r="K18631" s="317"/>
    </row>
    <row r="18632">
      <c r="K18632" s="317"/>
    </row>
    <row r="18633">
      <c r="K18633" s="317"/>
    </row>
    <row r="18634">
      <c r="K18634" s="317"/>
    </row>
    <row r="18635">
      <c r="K18635" s="317"/>
    </row>
    <row r="18636">
      <c r="K18636" s="317"/>
    </row>
    <row r="18637">
      <c r="K18637" s="317"/>
    </row>
    <row r="18638">
      <c r="K18638" s="317"/>
    </row>
    <row r="18639">
      <c r="K18639" s="317"/>
    </row>
    <row r="18640">
      <c r="K18640" s="317"/>
    </row>
    <row r="18641">
      <c r="K18641" s="317"/>
    </row>
    <row r="18642">
      <c r="K18642" s="317"/>
    </row>
    <row r="18643">
      <c r="K18643" s="317"/>
    </row>
    <row r="18644">
      <c r="K18644" s="317"/>
    </row>
    <row r="18645">
      <c r="K18645" s="317"/>
    </row>
    <row r="18646">
      <c r="K18646" s="317"/>
    </row>
    <row r="18647">
      <c r="K18647" s="317"/>
    </row>
    <row r="18648">
      <c r="K18648" s="317"/>
    </row>
    <row r="18649">
      <c r="K18649" s="317"/>
    </row>
    <row r="18650">
      <c r="K18650" s="317"/>
    </row>
    <row r="18651">
      <c r="K18651" s="317"/>
    </row>
    <row r="18652">
      <c r="K18652" s="317"/>
    </row>
    <row r="18653">
      <c r="K18653" s="317"/>
    </row>
    <row r="18654">
      <c r="K18654" s="317"/>
    </row>
    <row r="18655">
      <c r="K18655" s="317"/>
    </row>
    <row r="18656">
      <c r="K18656" s="317"/>
    </row>
    <row r="18657">
      <c r="K18657" s="317"/>
    </row>
    <row r="18658">
      <c r="K18658" s="317"/>
    </row>
    <row r="18659">
      <c r="K18659" s="317"/>
    </row>
    <row r="18660">
      <c r="K18660" s="317"/>
    </row>
    <row r="18661">
      <c r="K18661" s="317"/>
    </row>
    <row r="18662">
      <c r="K18662" s="317"/>
    </row>
    <row r="18663">
      <c r="K18663" s="317"/>
    </row>
    <row r="18664">
      <c r="K18664" s="317"/>
    </row>
    <row r="18665">
      <c r="K18665" s="317"/>
    </row>
    <row r="18666">
      <c r="K18666" s="317"/>
    </row>
    <row r="18667">
      <c r="K18667" s="317"/>
    </row>
    <row r="18668">
      <c r="K18668" s="317"/>
    </row>
    <row r="18669">
      <c r="K18669" s="317"/>
    </row>
    <row r="18670">
      <c r="K18670" s="317"/>
    </row>
    <row r="18671">
      <c r="K18671" s="317"/>
    </row>
    <row r="18672">
      <c r="K18672" s="317"/>
    </row>
    <row r="18673">
      <c r="K18673" s="317"/>
    </row>
    <row r="18674">
      <c r="K18674" s="317"/>
    </row>
    <row r="18675">
      <c r="K18675" s="317"/>
    </row>
    <row r="18676">
      <c r="K18676" s="317"/>
    </row>
    <row r="18677">
      <c r="K18677" s="317"/>
    </row>
    <row r="18678">
      <c r="K18678" s="317"/>
    </row>
    <row r="18679">
      <c r="K18679" s="317"/>
    </row>
    <row r="18680">
      <c r="K18680" s="317"/>
    </row>
    <row r="18681">
      <c r="K18681" s="317"/>
    </row>
    <row r="18682">
      <c r="K18682" s="317"/>
    </row>
    <row r="18683">
      <c r="K18683" s="317"/>
    </row>
    <row r="18684">
      <c r="K18684" s="317"/>
    </row>
    <row r="18685">
      <c r="K18685" s="317"/>
    </row>
    <row r="18686">
      <c r="K18686" s="317"/>
    </row>
    <row r="18687">
      <c r="K18687" s="317"/>
    </row>
    <row r="18688">
      <c r="K18688" s="317"/>
    </row>
    <row r="18689">
      <c r="K18689" s="317"/>
    </row>
    <row r="18690">
      <c r="K18690" s="317"/>
    </row>
    <row r="18691">
      <c r="K18691" s="317"/>
    </row>
    <row r="18692">
      <c r="K18692" s="317"/>
    </row>
    <row r="18693">
      <c r="K18693" s="317"/>
    </row>
    <row r="18694">
      <c r="K18694" s="317"/>
    </row>
    <row r="18695">
      <c r="K18695" s="317"/>
    </row>
    <row r="18696">
      <c r="K18696" s="317"/>
    </row>
    <row r="18697">
      <c r="K18697" s="317"/>
    </row>
    <row r="18698">
      <c r="K18698" s="317"/>
    </row>
    <row r="18699">
      <c r="K18699" s="317"/>
    </row>
    <row r="18700">
      <c r="K18700" s="317"/>
    </row>
    <row r="18701">
      <c r="K18701" s="317"/>
    </row>
    <row r="18702">
      <c r="K18702" s="317"/>
    </row>
    <row r="18703">
      <c r="K18703" s="317"/>
    </row>
    <row r="18704">
      <c r="K18704" s="317"/>
    </row>
    <row r="18705">
      <c r="K18705" s="317"/>
    </row>
    <row r="18706">
      <c r="K18706" s="317"/>
    </row>
    <row r="18707">
      <c r="K18707" s="317"/>
    </row>
    <row r="18708">
      <c r="K18708" s="317"/>
    </row>
    <row r="18709">
      <c r="K18709" s="317"/>
    </row>
    <row r="18710">
      <c r="K18710" s="317"/>
    </row>
    <row r="18711">
      <c r="K18711" s="317"/>
    </row>
    <row r="18712">
      <c r="K18712" s="317"/>
    </row>
    <row r="18713">
      <c r="K18713" s="317"/>
    </row>
    <row r="18714">
      <c r="K18714" s="317"/>
    </row>
    <row r="18715">
      <c r="K18715" s="317"/>
    </row>
    <row r="18716">
      <c r="K18716" s="317"/>
    </row>
    <row r="18717">
      <c r="K18717" s="317"/>
    </row>
    <row r="18718">
      <c r="K18718" s="317"/>
    </row>
    <row r="18719">
      <c r="K18719" s="317"/>
    </row>
    <row r="18720">
      <c r="K18720" s="317"/>
    </row>
    <row r="18721">
      <c r="K18721" s="317"/>
    </row>
    <row r="18722">
      <c r="K18722" s="317"/>
    </row>
    <row r="18723">
      <c r="K18723" s="317"/>
    </row>
    <row r="18724">
      <c r="K18724" s="317"/>
    </row>
    <row r="18725">
      <c r="K18725" s="317"/>
    </row>
    <row r="18726">
      <c r="K18726" s="317"/>
    </row>
    <row r="18727">
      <c r="K18727" s="317"/>
    </row>
    <row r="18728">
      <c r="K18728" s="317"/>
    </row>
    <row r="18729">
      <c r="K18729" s="317"/>
    </row>
    <row r="18730">
      <c r="K18730" s="317"/>
    </row>
    <row r="18731">
      <c r="K18731" s="317"/>
    </row>
    <row r="18732">
      <c r="K18732" s="317"/>
    </row>
    <row r="18733">
      <c r="K18733" s="317"/>
    </row>
    <row r="18734">
      <c r="K18734" s="317"/>
    </row>
    <row r="18735">
      <c r="K18735" s="317"/>
    </row>
    <row r="18736">
      <c r="K18736" s="317"/>
    </row>
    <row r="18737">
      <c r="K18737" s="317"/>
    </row>
    <row r="18738">
      <c r="K18738" s="317"/>
    </row>
    <row r="18739">
      <c r="K18739" s="317"/>
    </row>
    <row r="18740">
      <c r="K18740" s="317"/>
    </row>
    <row r="18741">
      <c r="K18741" s="317"/>
    </row>
    <row r="18742">
      <c r="K18742" s="317"/>
    </row>
    <row r="18743">
      <c r="K18743" s="317"/>
    </row>
    <row r="18744">
      <c r="K18744" s="317"/>
    </row>
    <row r="18745">
      <c r="K18745" s="317"/>
    </row>
    <row r="18746">
      <c r="K18746" s="317"/>
    </row>
    <row r="18747">
      <c r="K18747" s="317"/>
    </row>
    <row r="18748">
      <c r="K18748" s="317"/>
    </row>
    <row r="18749">
      <c r="K18749" s="317"/>
    </row>
    <row r="18750">
      <c r="K18750" s="317"/>
    </row>
    <row r="18751">
      <c r="K18751" s="317"/>
    </row>
    <row r="18752">
      <c r="K18752" s="317"/>
    </row>
    <row r="18753">
      <c r="K18753" s="317"/>
    </row>
    <row r="18754">
      <c r="K18754" s="317"/>
    </row>
    <row r="18755">
      <c r="K18755" s="317"/>
    </row>
    <row r="18756">
      <c r="K18756" s="317"/>
    </row>
    <row r="18757">
      <c r="K18757" s="317"/>
    </row>
    <row r="18758">
      <c r="K18758" s="317"/>
    </row>
    <row r="18759">
      <c r="K18759" s="317"/>
    </row>
    <row r="18760">
      <c r="K18760" s="317"/>
    </row>
    <row r="18761">
      <c r="K18761" s="317"/>
    </row>
    <row r="18762">
      <c r="K18762" s="317"/>
    </row>
    <row r="18763">
      <c r="K18763" s="317"/>
    </row>
    <row r="18764">
      <c r="K18764" s="317"/>
    </row>
    <row r="18765">
      <c r="K18765" s="317"/>
    </row>
    <row r="18766">
      <c r="K18766" s="317"/>
    </row>
    <row r="18767">
      <c r="K18767" s="317"/>
    </row>
    <row r="18768">
      <c r="K18768" s="317"/>
    </row>
    <row r="18769">
      <c r="K18769" s="317"/>
    </row>
    <row r="18770">
      <c r="K18770" s="317"/>
    </row>
    <row r="18771">
      <c r="K18771" s="317"/>
    </row>
    <row r="18772">
      <c r="K18772" s="317"/>
    </row>
    <row r="18773">
      <c r="K18773" s="317"/>
    </row>
    <row r="18774">
      <c r="K18774" s="317"/>
    </row>
    <row r="18775">
      <c r="K18775" s="317"/>
    </row>
    <row r="18776">
      <c r="K18776" s="317"/>
    </row>
    <row r="18777">
      <c r="K18777" s="317"/>
    </row>
    <row r="18778">
      <c r="K18778" s="317"/>
    </row>
    <row r="18779">
      <c r="K18779" s="317"/>
    </row>
    <row r="18780">
      <c r="K18780" s="317"/>
    </row>
    <row r="18781">
      <c r="K18781" s="317"/>
    </row>
    <row r="18782">
      <c r="K18782" s="317"/>
    </row>
    <row r="18783">
      <c r="K18783" s="317"/>
    </row>
    <row r="18784">
      <c r="K18784" s="317"/>
    </row>
    <row r="18785">
      <c r="K18785" s="317"/>
    </row>
    <row r="18786">
      <c r="K18786" s="317"/>
    </row>
    <row r="18787">
      <c r="K18787" s="317"/>
    </row>
    <row r="18788">
      <c r="K18788" s="317"/>
    </row>
    <row r="18789">
      <c r="K18789" s="317"/>
    </row>
    <row r="18790">
      <c r="K18790" s="317"/>
    </row>
    <row r="18791">
      <c r="K18791" s="317"/>
    </row>
    <row r="18792">
      <c r="K18792" s="317"/>
    </row>
    <row r="18793">
      <c r="K18793" s="317"/>
    </row>
    <row r="18794">
      <c r="K18794" s="317"/>
    </row>
    <row r="18795">
      <c r="K18795" s="317"/>
    </row>
    <row r="18796">
      <c r="K18796" s="317"/>
    </row>
    <row r="18797">
      <c r="K18797" s="317"/>
    </row>
    <row r="18798">
      <c r="K18798" s="317"/>
    </row>
    <row r="18799">
      <c r="K18799" s="317"/>
    </row>
    <row r="18800">
      <c r="K18800" s="317"/>
    </row>
    <row r="18801">
      <c r="K18801" s="317"/>
    </row>
    <row r="18802">
      <c r="K18802" s="317"/>
    </row>
    <row r="18803">
      <c r="K18803" s="317"/>
    </row>
    <row r="18804">
      <c r="K18804" s="317"/>
    </row>
    <row r="18805">
      <c r="K18805" s="317"/>
    </row>
    <row r="18806">
      <c r="K18806" s="317"/>
    </row>
    <row r="18807">
      <c r="K18807" s="317"/>
    </row>
    <row r="18808">
      <c r="K18808" s="317"/>
    </row>
    <row r="18809">
      <c r="K18809" s="317"/>
    </row>
    <row r="18810">
      <c r="K18810" s="317"/>
    </row>
    <row r="18811">
      <c r="K18811" s="317"/>
    </row>
    <row r="18812">
      <c r="K18812" s="317"/>
    </row>
    <row r="18813">
      <c r="K18813" s="317"/>
    </row>
    <row r="18814">
      <c r="K18814" s="317"/>
    </row>
    <row r="18815">
      <c r="K18815" s="317"/>
    </row>
    <row r="18816">
      <c r="K18816" s="317"/>
    </row>
    <row r="18817">
      <c r="K18817" s="317"/>
    </row>
    <row r="18818">
      <c r="K18818" s="317"/>
    </row>
    <row r="18819">
      <c r="K18819" s="317"/>
    </row>
    <row r="18820">
      <c r="K18820" s="317"/>
    </row>
    <row r="18821">
      <c r="K18821" s="317"/>
    </row>
    <row r="18822">
      <c r="K18822" s="317"/>
    </row>
    <row r="18823">
      <c r="K18823" s="317"/>
    </row>
    <row r="18824">
      <c r="K18824" s="317"/>
    </row>
    <row r="18825">
      <c r="K18825" s="317"/>
    </row>
    <row r="18826">
      <c r="K18826" s="317"/>
    </row>
    <row r="18827">
      <c r="K18827" s="317"/>
    </row>
    <row r="18828">
      <c r="K18828" s="317"/>
    </row>
    <row r="18829">
      <c r="K18829" s="317"/>
    </row>
    <row r="18830">
      <c r="K18830" s="317"/>
    </row>
    <row r="18831">
      <c r="K18831" s="317"/>
    </row>
    <row r="18832">
      <c r="K18832" s="317"/>
    </row>
    <row r="18833">
      <c r="K18833" s="317"/>
    </row>
    <row r="18834">
      <c r="K18834" s="317"/>
    </row>
    <row r="18835">
      <c r="K18835" s="317"/>
    </row>
    <row r="18836">
      <c r="K18836" s="317"/>
    </row>
    <row r="18837">
      <c r="K18837" s="317"/>
    </row>
    <row r="18838">
      <c r="K18838" s="317"/>
    </row>
    <row r="18839">
      <c r="K18839" s="317"/>
    </row>
    <row r="18840">
      <c r="K18840" s="317"/>
    </row>
    <row r="18841">
      <c r="K18841" s="317"/>
    </row>
    <row r="18842">
      <c r="K18842" s="317"/>
    </row>
    <row r="18843">
      <c r="K18843" s="317"/>
    </row>
    <row r="18844">
      <c r="K18844" s="317"/>
    </row>
    <row r="18845">
      <c r="K18845" s="317"/>
    </row>
    <row r="18846">
      <c r="K18846" s="317"/>
    </row>
    <row r="18847">
      <c r="K18847" s="317"/>
    </row>
    <row r="18848">
      <c r="K18848" s="317"/>
    </row>
    <row r="18849">
      <c r="K18849" s="317"/>
    </row>
    <row r="18850">
      <c r="K18850" s="317"/>
    </row>
    <row r="18851">
      <c r="K18851" s="317"/>
    </row>
    <row r="18852">
      <c r="K18852" s="317"/>
    </row>
    <row r="18853">
      <c r="K18853" s="317"/>
    </row>
    <row r="18854">
      <c r="K18854" s="317"/>
    </row>
    <row r="18855">
      <c r="K18855" s="317"/>
    </row>
    <row r="18856">
      <c r="K18856" s="317"/>
    </row>
    <row r="18857">
      <c r="K18857" s="317"/>
    </row>
    <row r="18858">
      <c r="K18858" s="317"/>
    </row>
    <row r="18859">
      <c r="K18859" s="317"/>
    </row>
    <row r="18860">
      <c r="K18860" s="317"/>
    </row>
    <row r="18861">
      <c r="K18861" s="317"/>
    </row>
    <row r="18862">
      <c r="K18862" s="317"/>
    </row>
    <row r="18863">
      <c r="K18863" s="317"/>
    </row>
    <row r="18864">
      <c r="K18864" s="317"/>
    </row>
    <row r="18865">
      <c r="K18865" s="317"/>
    </row>
    <row r="18866">
      <c r="K18866" s="317"/>
    </row>
    <row r="18867">
      <c r="K18867" s="317"/>
    </row>
    <row r="18868">
      <c r="K18868" s="317"/>
    </row>
    <row r="18869">
      <c r="K18869" s="317"/>
    </row>
    <row r="18870">
      <c r="K18870" s="317"/>
    </row>
    <row r="18871">
      <c r="K18871" s="317"/>
    </row>
    <row r="18872">
      <c r="K18872" s="317"/>
    </row>
    <row r="18873">
      <c r="K18873" s="317"/>
    </row>
    <row r="18874">
      <c r="K18874" s="317"/>
    </row>
    <row r="18875">
      <c r="K18875" s="317"/>
    </row>
    <row r="18876">
      <c r="K18876" s="317"/>
    </row>
    <row r="18877">
      <c r="K18877" s="317"/>
    </row>
    <row r="18878">
      <c r="K18878" s="317"/>
    </row>
    <row r="18879">
      <c r="K18879" s="317"/>
    </row>
    <row r="18880">
      <c r="K18880" s="317"/>
    </row>
    <row r="18881">
      <c r="K18881" s="317"/>
    </row>
    <row r="18882">
      <c r="K18882" s="317"/>
    </row>
    <row r="18883">
      <c r="K18883" s="317"/>
    </row>
    <row r="18884">
      <c r="K18884" s="317"/>
    </row>
    <row r="18885">
      <c r="K18885" s="317"/>
    </row>
    <row r="18886">
      <c r="K18886" s="317"/>
    </row>
    <row r="18887">
      <c r="K18887" s="317"/>
    </row>
    <row r="18888">
      <c r="K18888" s="317"/>
    </row>
    <row r="18889">
      <c r="K18889" s="317"/>
    </row>
    <row r="18890">
      <c r="K18890" s="317"/>
    </row>
    <row r="18891">
      <c r="K18891" s="317"/>
    </row>
    <row r="18892">
      <c r="K18892" s="317"/>
    </row>
    <row r="18893">
      <c r="K18893" s="317"/>
    </row>
    <row r="18894">
      <c r="K18894" s="317"/>
    </row>
    <row r="18895">
      <c r="K18895" s="317"/>
    </row>
    <row r="18896">
      <c r="K18896" s="317"/>
    </row>
    <row r="18897">
      <c r="K18897" s="317"/>
    </row>
    <row r="18898">
      <c r="K18898" s="317"/>
    </row>
    <row r="18899">
      <c r="K18899" s="317"/>
    </row>
    <row r="18900">
      <c r="K18900" s="317"/>
    </row>
    <row r="18901">
      <c r="K18901" s="317"/>
    </row>
    <row r="18902">
      <c r="K18902" s="317"/>
    </row>
    <row r="18903">
      <c r="K18903" s="317"/>
    </row>
    <row r="18904">
      <c r="K18904" s="317"/>
    </row>
    <row r="18905">
      <c r="K18905" s="317"/>
    </row>
    <row r="18906">
      <c r="K18906" s="317"/>
    </row>
    <row r="18907">
      <c r="K18907" s="317"/>
    </row>
    <row r="18908">
      <c r="K18908" s="317"/>
    </row>
    <row r="18909">
      <c r="K18909" s="317"/>
    </row>
    <row r="18910">
      <c r="K18910" s="317"/>
    </row>
    <row r="18911">
      <c r="K18911" s="317"/>
    </row>
    <row r="18912">
      <c r="K18912" s="317"/>
    </row>
    <row r="18913">
      <c r="K18913" s="317"/>
    </row>
    <row r="18914">
      <c r="K18914" s="317"/>
    </row>
    <row r="18915">
      <c r="K18915" s="317"/>
    </row>
    <row r="18916">
      <c r="K18916" s="317"/>
    </row>
    <row r="18917">
      <c r="K18917" s="317"/>
    </row>
    <row r="18918">
      <c r="K18918" s="317"/>
    </row>
    <row r="18919">
      <c r="K18919" s="317"/>
    </row>
    <row r="18920">
      <c r="K18920" s="317"/>
    </row>
    <row r="18921">
      <c r="K18921" s="317"/>
    </row>
    <row r="18922">
      <c r="K18922" s="317"/>
    </row>
    <row r="18923">
      <c r="K18923" s="317"/>
    </row>
    <row r="18924">
      <c r="K18924" s="317"/>
    </row>
    <row r="18925">
      <c r="K18925" s="317"/>
    </row>
    <row r="18926">
      <c r="K18926" s="317"/>
    </row>
    <row r="18927">
      <c r="K18927" s="317"/>
    </row>
    <row r="18928">
      <c r="K18928" s="317"/>
    </row>
    <row r="18929">
      <c r="K18929" s="317"/>
    </row>
    <row r="18930">
      <c r="K18930" s="317"/>
    </row>
    <row r="18931">
      <c r="K18931" s="317"/>
    </row>
    <row r="18932">
      <c r="K18932" s="317"/>
    </row>
    <row r="18933">
      <c r="K18933" s="317"/>
    </row>
    <row r="18934">
      <c r="K18934" s="317"/>
    </row>
    <row r="18935">
      <c r="K18935" s="317"/>
    </row>
    <row r="18936">
      <c r="K18936" s="317"/>
    </row>
    <row r="18937">
      <c r="K18937" s="317"/>
    </row>
    <row r="18938">
      <c r="K18938" s="317"/>
    </row>
    <row r="18939">
      <c r="K18939" s="317"/>
    </row>
    <row r="18940">
      <c r="K18940" s="317"/>
    </row>
    <row r="18941">
      <c r="K18941" s="317"/>
    </row>
    <row r="18942">
      <c r="K18942" s="317"/>
    </row>
    <row r="18943">
      <c r="K18943" s="317"/>
    </row>
    <row r="18944">
      <c r="K18944" s="317"/>
    </row>
    <row r="18945">
      <c r="K18945" s="317"/>
    </row>
    <row r="18946">
      <c r="K18946" s="317"/>
    </row>
    <row r="18947">
      <c r="K18947" s="317"/>
    </row>
    <row r="18948">
      <c r="K18948" s="317"/>
    </row>
    <row r="18949">
      <c r="K18949" s="317"/>
    </row>
    <row r="18950">
      <c r="K18950" s="317"/>
    </row>
    <row r="18951">
      <c r="K18951" s="317"/>
    </row>
    <row r="18952">
      <c r="K18952" s="317"/>
    </row>
    <row r="18953">
      <c r="K18953" s="317"/>
    </row>
    <row r="18954">
      <c r="K18954" s="317"/>
    </row>
    <row r="18955">
      <c r="K18955" s="317"/>
    </row>
    <row r="18956">
      <c r="K18956" s="317"/>
    </row>
    <row r="18957">
      <c r="K18957" s="317"/>
    </row>
    <row r="18958">
      <c r="K18958" s="317"/>
    </row>
    <row r="18959">
      <c r="K18959" s="317"/>
    </row>
    <row r="18960">
      <c r="K18960" s="317"/>
    </row>
    <row r="18961">
      <c r="K18961" s="317"/>
    </row>
    <row r="18962">
      <c r="K18962" s="317"/>
    </row>
    <row r="18963">
      <c r="K18963" s="317"/>
    </row>
    <row r="18964">
      <c r="K18964" s="317"/>
    </row>
    <row r="18965">
      <c r="K18965" s="317"/>
    </row>
    <row r="18966">
      <c r="K18966" s="317"/>
    </row>
    <row r="18967">
      <c r="K18967" s="317"/>
    </row>
    <row r="18968">
      <c r="K18968" s="317"/>
    </row>
    <row r="18969">
      <c r="K18969" s="317"/>
    </row>
    <row r="18970">
      <c r="K18970" s="317"/>
    </row>
    <row r="18971">
      <c r="K18971" s="317"/>
    </row>
    <row r="18972">
      <c r="K18972" s="317"/>
    </row>
    <row r="18973">
      <c r="K18973" s="317"/>
    </row>
    <row r="18974">
      <c r="K18974" s="317"/>
    </row>
    <row r="18975">
      <c r="K18975" s="317"/>
    </row>
    <row r="18976">
      <c r="K18976" s="317"/>
    </row>
    <row r="18977">
      <c r="K18977" s="317"/>
    </row>
    <row r="18978">
      <c r="K18978" s="317"/>
    </row>
    <row r="18979">
      <c r="K18979" s="317"/>
    </row>
    <row r="18980">
      <c r="K18980" s="317"/>
    </row>
    <row r="18981">
      <c r="K18981" s="317"/>
    </row>
    <row r="18982">
      <c r="K18982" s="317"/>
    </row>
    <row r="18983">
      <c r="K18983" s="317"/>
    </row>
    <row r="18984">
      <c r="K18984" s="317"/>
    </row>
    <row r="18985">
      <c r="K18985" s="317"/>
    </row>
    <row r="18986">
      <c r="K18986" s="317"/>
    </row>
    <row r="18987">
      <c r="K18987" s="317"/>
    </row>
    <row r="18988">
      <c r="K18988" s="317"/>
    </row>
    <row r="18989">
      <c r="K18989" s="317"/>
    </row>
    <row r="18990">
      <c r="K18990" s="317"/>
    </row>
    <row r="18991">
      <c r="K18991" s="317"/>
    </row>
    <row r="18992">
      <c r="K18992" s="317"/>
    </row>
    <row r="18993">
      <c r="K18993" s="317"/>
    </row>
    <row r="18994">
      <c r="K18994" s="317"/>
    </row>
    <row r="18995">
      <c r="K18995" s="317"/>
    </row>
    <row r="18996">
      <c r="K18996" s="317"/>
    </row>
    <row r="18997">
      <c r="K18997" s="317"/>
    </row>
    <row r="18998">
      <c r="K18998" s="317"/>
    </row>
    <row r="18999">
      <c r="K18999" s="317"/>
    </row>
    <row r="19000">
      <c r="K19000" s="317"/>
    </row>
    <row r="19001">
      <c r="K19001" s="317"/>
    </row>
    <row r="19002">
      <c r="K19002" s="317"/>
    </row>
    <row r="19003">
      <c r="K19003" s="317"/>
    </row>
    <row r="19004">
      <c r="K19004" s="317"/>
    </row>
    <row r="19005">
      <c r="K19005" s="317"/>
    </row>
    <row r="19006">
      <c r="K19006" s="317"/>
    </row>
    <row r="19007">
      <c r="K19007" s="317"/>
    </row>
    <row r="19008">
      <c r="K19008" s="317"/>
    </row>
    <row r="19009">
      <c r="K19009" s="317"/>
    </row>
    <row r="19010">
      <c r="K19010" s="317"/>
    </row>
    <row r="19011">
      <c r="K19011" s="317"/>
    </row>
    <row r="19012">
      <c r="K19012" s="317"/>
    </row>
    <row r="19013">
      <c r="K19013" s="317"/>
    </row>
    <row r="19014">
      <c r="K19014" s="317"/>
    </row>
    <row r="19015">
      <c r="K19015" s="317"/>
    </row>
    <row r="19016">
      <c r="K19016" s="317"/>
    </row>
    <row r="19017">
      <c r="K19017" s="317"/>
    </row>
    <row r="19018">
      <c r="K19018" s="317"/>
    </row>
    <row r="19019">
      <c r="K19019" s="317"/>
    </row>
    <row r="19020">
      <c r="K19020" s="317"/>
    </row>
    <row r="19021">
      <c r="K19021" s="317"/>
    </row>
    <row r="19022">
      <c r="K19022" s="317"/>
    </row>
    <row r="19023">
      <c r="K19023" s="317"/>
    </row>
    <row r="19024">
      <c r="K19024" s="317"/>
    </row>
    <row r="19025">
      <c r="K19025" s="317"/>
    </row>
    <row r="19026">
      <c r="K19026" s="317"/>
    </row>
    <row r="19027">
      <c r="K19027" s="317"/>
    </row>
    <row r="19028">
      <c r="K19028" s="317"/>
    </row>
    <row r="19029">
      <c r="K19029" s="317"/>
    </row>
    <row r="19030">
      <c r="K19030" s="317"/>
    </row>
    <row r="19031">
      <c r="K19031" s="317"/>
    </row>
    <row r="19032">
      <c r="K19032" s="317"/>
    </row>
    <row r="19033">
      <c r="K19033" s="317"/>
    </row>
    <row r="19034">
      <c r="K19034" s="317"/>
    </row>
    <row r="19035">
      <c r="K19035" s="317"/>
    </row>
    <row r="19036">
      <c r="K19036" s="317"/>
    </row>
    <row r="19037">
      <c r="K19037" s="317"/>
    </row>
    <row r="19038">
      <c r="K19038" s="317"/>
    </row>
    <row r="19039">
      <c r="K19039" s="317"/>
    </row>
    <row r="19040">
      <c r="K19040" s="317"/>
    </row>
    <row r="19041">
      <c r="K19041" s="317"/>
    </row>
    <row r="19042">
      <c r="K19042" s="317"/>
    </row>
    <row r="19043">
      <c r="K19043" s="317"/>
    </row>
    <row r="19044">
      <c r="K19044" s="317"/>
    </row>
    <row r="19045">
      <c r="K19045" s="317"/>
    </row>
    <row r="19046">
      <c r="K19046" s="317"/>
    </row>
    <row r="19047">
      <c r="K19047" s="317"/>
    </row>
    <row r="19048">
      <c r="K19048" s="317"/>
    </row>
    <row r="19049">
      <c r="K19049" s="317"/>
    </row>
    <row r="19050">
      <c r="K19050" s="317"/>
    </row>
    <row r="19051">
      <c r="K19051" s="317"/>
    </row>
    <row r="19052">
      <c r="K19052" s="317"/>
    </row>
    <row r="19053">
      <c r="K19053" s="317"/>
    </row>
    <row r="19054">
      <c r="K19054" s="317"/>
    </row>
    <row r="19055">
      <c r="K19055" s="317"/>
    </row>
    <row r="19056">
      <c r="K19056" s="317"/>
    </row>
    <row r="19057">
      <c r="K19057" s="317"/>
    </row>
    <row r="19058">
      <c r="K19058" s="317"/>
    </row>
    <row r="19059">
      <c r="K19059" s="317"/>
    </row>
    <row r="19060">
      <c r="K19060" s="317"/>
    </row>
    <row r="19061">
      <c r="K19061" s="317"/>
    </row>
    <row r="19062">
      <c r="K19062" s="317"/>
    </row>
    <row r="19063">
      <c r="K19063" s="317"/>
    </row>
    <row r="19064">
      <c r="K19064" s="317"/>
    </row>
    <row r="19065">
      <c r="K19065" s="317"/>
    </row>
    <row r="19066">
      <c r="K19066" s="317"/>
    </row>
    <row r="19067">
      <c r="K19067" s="317"/>
    </row>
    <row r="19068">
      <c r="K19068" s="317"/>
    </row>
    <row r="19069">
      <c r="K19069" s="317"/>
    </row>
    <row r="19070">
      <c r="K19070" s="317"/>
    </row>
    <row r="19071">
      <c r="K19071" s="317"/>
    </row>
    <row r="19072">
      <c r="K19072" s="317"/>
    </row>
    <row r="19073">
      <c r="K19073" s="317"/>
    </row>
    <row r="19074">
      <c r="K19074" s="317"/>
    </row>
    <row r="19075">
      <c r="K19075" s="317"/>
    </row>
    <row r="19076">
      <c r="K19076" s="317"/>
    </row>
    <row r="19077">
      <c r="K19077" s="317"/>
    </row>
    <row r="19078">
      <c r="K19078" s="317"/>
    </row>
    <row r="19079">
      <c r="K19079" s="317"/>
    </row>
    <row r="19080">
      <c r="K19080" s="317"/>
    </row>
    <row r="19081">
      <c r="K19081" s="317"/>
    </row>
    <row r="19082">
      <c r="K19082" s="317"/>
    </row>
    <row r="19083">
      <c r="K19083" s="317"/>
    </row>
    <row r="19084">
      <c r="K19084" s="317"/>
    </row>
    <row r="19085">
      <c r="K19085" s="317"/>
    </row>
    <row r="19086">
      <c r="K19086" s="317"/>
    </row>
    <row r="19087">
      <c r="K19087" s="317"/>
    </row>
    <row r="19088">
      <c r="K19088" s="317"/>
    </row>
    <row r="19089">
      <c r="K19089" s="317"/>
    </row>
    <row r="19090">
      <c r="K19090" s="317"/>
    </row>
    <row r="19091">
      <c r="K19091" s="317"/>
    </row>
    <row r="19092">
      <c r="K19092" s="317"/>
    </row>
    <row r="19093">
      <c r="K19093" s="317"/>
    </row>
    <row r="19094">
      <c r="K19094" s="317"/>
    </row>
    <row r="19095">
      <c r="K19095" s="317"/>
    </row>
    <row r="19096">
      <c r="K19096" s="317"/>
    </row>
    <row r="19097">
      <c r="K19097" s="317"/>
    </row>
    <row r="19098">
      <c r="K19098" s="317"/>
    </row>
    <row r="19099">
      <c r="K19099" s="317"/>
    </row>
    <row r="19100">
      <c r="K19100" s="317"/>
    </row>
    <row r="19101">
      <c r="K19101" s="317"/>
    </row>
    <row r="19102">
      <c r="K19102" s="317"/>
    </row>
    <row r="19103">
      <c r="K19103" s="317"/>
    </row>
    <row r="19104">
      <c r="K19104" s="317"/>
    </row>
    <row r="19105">
      <c r="K19105" s="317"/>
    </row>
    <row r="19106">
      <c r="K19106" s="317"/>
    </row>
    <row r="19107">
      <c r="K19107" s="317"/>
    </row>
    <row r="19108">
      <c r="K19108" s="317"/>
    </row>
    <row r="19109">
      <c r="K19109" s="317"/>
    </row>
    <row r="19110">
      <c r="K19110" s="317"/>
    </row>
    <row r="19111">
      <c r="K19111" s="317"/>
    </row>
    <row r="19112">
      <c r="K19112" s="317"/>
    </row>
    <row r="19113">
      <c r="K19113" s="317"/>
    </row>
    <row r="19114">
      <c r="K19114" s="317"/>
    </row>
    <row r="19115">
      <c r="K19115" s="317"/>
    </row>
    <row r="19116">
      <c r="K19116" s="317"/>
    </row>
    <row r="19117">
      <c r="K19117" s="317"/>
    </row>
    <row r="19118">
      <c r="K19118" s="317"/>
    </row>
    <row r="19119">
      <c r="K19119" s="317"/>
    </row>
    <row r="19120">
      <c r="K19120" s="317"/>
    </row>
    <row r="19121">
      <c r="K19121" s="317"/>
    </row>
    <row r="19122">
      <c r="K19122" s="317"/>
    </row>
    <row r="19123">
      <c r="K19123" s="317"/>
    </row>
    <row r="19124">
      <c r="K19124" s="317"/>
    </row>
    <row r="19125">
      <c r="K19125" s="317"/>
    </row>
    <row r="19126">
      <c r="K19126" s="317"/>
    </row>
    <row r="19127">
      <c r="K19127" s="317"/>
    </row>
    <row r="19128">
      <c r="K19128" s="317"/>
    </row>
    <row r="19129">
      <c r="K19129" s="317"/>
    </row>
    <row r="19130">
      <c r="K19130" s="317"/>
    </row>
    <row r="19131">
      <c r="K19131" s="317"/>
    </row>
    <row r="19132">
      <c r="K19132" s="317"/>
    </row>
    <row r="19133">
      <c r="K19133" s="317"/>
    </row>
    <row r="19134">
      <c r="K19134" s="317"/>
    </row>
    <row r="19135">
      <c r="K19135" s="317"/>
    </row>
    <row r="19136">
      <c r="K19136" s="317"/>
    </row>
    <row r="19137">
      <c r="K19137" s="317"/>
    </row>
    <row r="19138">
      <c r="K19138" s="317"/>
    </row>
    <row r="19139">
      <c r="K19139" s="317"/>
    </row>
    <row r="19140">
      <c r="K19140" s="317"/>
    </row>
    <row r="19141">
      <c r="K19141" s="317"/>
    </row>
    <row r="19142">
      <c r="K19142" s="317"/>
    </row>
    <row r="19143">
      <c r="K19143" s="317"/>
    </row>
    <row r="19144">
      <c r="K19144" s="317"/>
    </row>
    <row r="19145">
      <c r="K19145" s="317"/>
    </row>
    <row r="19146">
      <c r="K19146" s="317"/>
    </row>
    <row r="19147">
      <c r="K19147" s="317"/>
    </row>
    <row r="19148">
      <c r="K19148" s="317"/>
    </row>
    <row r="19149">
      <c r="K19149" s="317"/>
    </row>
    <row r="19150">
      <c r="K19150" s="317"/>
    </row>
    <row r="19151">
      <c r="K19151" s="317"/>
    </row>
    <row r="19152">
      <c r="K19152" s="317"/>
    </row>
    <row r="19153">
      <c r="K19153" s="317"/>
    </row>
    <row r="19154">
      <c r="K19154" s="317"/>
    </row>
    <row r="19155">
      <c r="K19155" s="317"/>
    </row>
    <row r="19156">
      <c r="K19156" s="317"/>
    </row>
    <row r="19157">
      <c r="K19157" s="317"/>
    </row>
    <row r="19158">
      <c r="K19158" s="317"/>
    </row>
    <row r="19159">
      <c r="K19159" s="317"/>
    </row>
    <row r="19160">
      <c r="K19160" s="317"/>
    </row>
    <row r="19161">
      <c r="K19161" s="317"/>
    </row>
    <row r="19162">
      <c r="K19162" s="317"/>
    </row>
    <row r="19163">
      <c r="K19163" s="317"/>
    </row>
    <row r="19164">
      <c r="K19164" s="317"/>
    </row>
    <row r="19165">
      <c r="K19165" s="317"/>
    </row>
    <row r="19166">
      <c r="K19166" s="317"/>
    </row>
    <row r="19167">
      <c r="K19167" s="317"/>
    </row>
    <row r="19168">
      <c r="K19168" s="317"/>
    </row>
    <row r="19169">
      <c r="K19169" s="317"/>
    </row>
    <row r="19170">
      <c r="K19170" s="317"/>
    </row>
    <row r="19171">
      <c r="K19171" s="317"/>
    </row>
    <row r="19172">
      <c r="K19172" s="317"/>
    </row>
    <row r="19173">
      <c r="K19173" s="317"/>
    </row>
    <row r="19174">
      <c r="K19174" s="317"/>
    </row>
    <row r="19175">
      <c r="K19175" s="317"/>
    </row>
    <row r="19176">
      <c r="K19176" s="317"/>
    </row>
    <row r="19177">
      <c r="K19177" s="317"/>
    </row>
    <row r="19178">
      <c r="K19178" s="317"/>
    </row>
    <row r="19179">
      <c r="K19179" s="317"/>
    </row>
    <row r="19180">
      <c r="K19180" s="317"/>
    </row>
    <row r="19181">
      <c r="K19181" s="317"/>
    </row>
    <row r="19182">
      <c r="K19182" s="317"/>
    </row>
    <row r="19183">
      <c r="K19183" s="317"/>
    </row>
    <row r="19184">
      <c r="K19184" s="317"/>
    </row>
    <row r="19185">
      <c r="K19185" s="317"/>
    </row>
    <row r="19186">
      <c r="K19186" s="317"/>
    </row>
    <row r="19187">
      <c r="K19187" s="317"/>
    </row>
    <row r="19188">
      <c r="K19188" s="317"/>
    </row>
    <row r="19189">
      <c r="K19189" s="317"/>
    </row>
    <row r="19190">
      <c r="K19190" s="317"/>
    </row>
    <row r="19191">
      <c r="K19191" s="317"/>
    </row>
    <row r="19192">
      <c r="K19192" s="317"/>
    </row>
    <row r="19193">
      <c r="K19193" s="317"/>
    </row>
    <row r="19194">
      <c r="K19194" s="317"/>
    </row>
    <row r="19195">
      <c r="K19195" s="317"/>
    </row>
    <row r="19196">
      <c r="K19196" s="317"/>
    </row>
    <row r="19197">
      <c r="K19197" s="317"/>
    </row>
    <row r="19198">
      <c r="K19198" s="317"/>
    </row>
    <row r="19199">
      <c r="K19199" s="317"/>
    </row>
    <row r="19200">
      <c r="K19200" s="317"/>
    </row>
    <row r="19201">
      <c r="K19201" s="317"/>
    </row>
    <row r="19202">
      <c r="K19202" s="317"/>
    </row>
    <row r="19203">
      <c r="K19203" s="317"/>
    </row>
    <row r="19204">
      <c r="K19204" s="317"/>
    </row>
    <row r="19205">
      <c r="K19205" s="317"/>
    </row>
    <row r="19206">
      <c r="K19206" s="317"/>
    </row>
    <row r="19207">
      <c r="K19207" s="317"/>
    </row>
    <row r="19208">
      <c r="K19208" s="317"/>
    </row>
    <row r="19209">
      <c r="K19209" s="317"/>
    </row>
    <row r="19210">
      <c r="K19210" s="317"/>
    </row>
    <row r="19211">
      <c r="K19211" s="317"/>
    </row>
    <row r="19212">
      <c r="K19212" s="317"/>
    </row>
    <row r="19213">
      <c r="K19213" s="317"/>
    </row>
    <row r="19214">
      <c r="K19214" s="317"/>
    </row>
    <row r="19215">
      <c r="K19215" s="317"/>
    </row>
    <row r="19216">
      <c r="K19216" s="317"/>
    </row>
    <row r="19217">
      <c r="K19217" s="317"/>
    </row>
    <row r="19218">
      <c r="K19218" s="317"/>
    </row>
    <row r="19219">
      <c r="K19219" s="317"/>
    </row>
    <row r="19220">
      <c r="K19220" s="317"/>
    </row>
    <row r="19221">
      <c r="K19221" s="317"/>
    </row>
    <row r="19222">
      <c r="K19222" s="317"/>
    </row>
    <row r="19223">
      <c r="K19223" s="317"/>
    </row>
    <row r="19224">
      <c r="K19224" s="317"/>
    </row>
    <row r="19225">
      <c r="K19225" s="317"/>
    </row>
    <row r="19226">
      <c r="K19226" s="317"/>
    </row>
    <row r="19227">
      <c r="K19227" s="317"/>
    </row>
    <row r="19228">
      <c r="K19228" s="317"/>
    </row>
    <row r="19229">
      <c r="K19229" s="317"/>
    </row>
    <row r="19230">
      <c r="K19230" s="317"/>
    </row>
    <row r="19231">
      <c r="K19231" s="317"/>
    </row>
    <row r="19232">
      <c r="K19232" s="317"/>
    </row>
    <row r="19233">
      <c r="K19233" s="317"/>
    </row>
    <row r="19234">
      <c r="K19234" s="317"/>
    </row>
    <row r="19235">
      <c r="K19235" s="317"/>
    </row>
    <row r="19236">
      <c r="K19236" s="317"/>
    </row>
    <row r="19237">
      <c r="K19237" s="317"/>
    </row>
    <row r="19238">
      <c r="K19238" s="317"/>
    </row>
    <row r="19239">
      <c r="K19239" s="317"/>
    </row>
    <row r="19240">
      <c r="K19240" s="317"/>
    </row>
    <row r="19241">
      <c r="K19241" s="317"/>
    </row>
    <row r="19242">
      <c r="K19242" s="317"/>
    </row>
    <row r="19243">
      <c r="K19243" s="317"/>
    </row>
    <row r="19244">
      <c r="K19244" s="317"/>
    </row>
    <row r="19245">
      <c r="K19245" s="317"/>
    </row>
    <row r="19246">
      <c r="K19246" s="317"/>
    </row>
    <row r="19247">
      <c r="K19247" s="317"/>
    </row>
    <row r="19248">
      <c r="K19248" s="317"/>
    </row>
    <row r="19249">
      <c r="K19249" s="317"/>
    </row>
    <row r="19250">
      <c r="K19250" s="317"/>
    </row>
    <row r="19251">
      <c r="K19251" s="317"/>
    </row>
    <row r="19252">
      <c r="K19252" s="317"/>
    </row>
    <row r="19253">
      <c r="K19253" s="317"/>
    </row>
    <row r="19254">
      <c r="K19254" s="317"/>
    </row>
    <row r="19255">
      <c r="K19255" s="317"/>
    </row>
    <row r="19256">
      <c r="K19256" s="317"/>
    </row>
    <row r="19257">
      <c r="K19257" s="317"/>
    </row>
    <row r="19258">
      <c r="K19258" s="317"/>
    </row>
    <row r="19259">
      <c r="K19259" s="317"/>
    </row>
    <row r="19260">
      <c r="K19260" s="317"/>
    </row>
    <row r="19261">
      <c r="K19261" s="317"/>
    </row>
    <row r="19262">
      <c r="K19262" s="317"/>
    </row>
    <row r="19263">
      <c r="K19263" s="317"/>
    </row>
    <row r="19264">
      <c r="K19264" s="317"/>
    </row>
    <row r="19265">
      <c r="K19265" s="317"/>
    </row>
    <row r="19266">
      <c r="K19266" s="317"/>
    </row>
    <row r="19267">
      <c r="K19267" s="317"/>
    </row>
    <row r="19268">
      <c r="K19268" s="317"/>
    </row>
    <row r="19269">
      <c r="K19269" s="317"/>
    </row>
    <row r="19270">
      <c r="K19270" s="317"/>
    </row>
    <row r="19271">
      <c r="K19271" s="317"/>
    </row>
    <row r="19272">
      <c r="K19272" s="317"/>
    </row>
    <row r="19273">
      <c r="K19273" s="317"/>
    </row>
    <row r="19274">
      <c r="K19274" s="317"/>
    </row>
    <row r="19275">
      <c r="K19275" s="317"/>
    </row>
    <row r="19276">
      <c r="K19276" s="317"/>
    </row>
    <row r="19277">
      <c r="K19277" s="317"/>
    </row>
    <row r="19278">
      <c r="K19278" s="317"/>
    </row>
    <row r="19279">
      <c r="K19279" s="317"/>
    </row>
    <row r="19280">
      <c r="K19280" s="317"/>
    </row>
    <row r="19281">
      <c r="K19281" s="317"/>
    </row>
    <row r="19282">
      <c r="K19282" s="317"/>
    </row>
    <row r="19283">
      <c r="K19283" s="317"/>
    </row>
    <row r="19284">
      <c r="K19284" s="317"/>
    </row>
    <row r="19285">
      <c r="K19285" s="317"/>
    </row>
    <row r="19286">
      <c r="K19286" s="317"/>
    </row>
    <row r="19287">
      <c r="K19287" s="317"/>
    </row>
    <row r="19288">
      <c r="K19288" s="317"/>
    </row>
    <row r="19289">
      <c r="K19289" s="317"/>
    </row>
    <row r="19290">
      <c r="K19290" s="317"/>
    </row>
    <row r="19291">
      <c r="K19291" s="317"/>
    </row>
    <row r="19292">
      <c r="K19292" s="317"/>
    </row>
    <row r="19293">
      <c r="K19293" s="317"/>
    </row>
    <row r="19294">
      <c r="K19294" s="317"/>
    </row>
    <row r="19295">
      <c r="K19295" s="317"/>
    </row>
    <row r="19296">
      <c r="K19296" s="317"/>
    </row>
    <row r="19297">
      <c r="K19297" s="317"/>
    </row>
    <row r="19298">
      <c r="K19298" s="317"/>
    </row>
    <row r="19299">
      <c r="K19299" s="317"/>
    </row>
    <row r="19300">
      <c r="K19300" s="317"/>
    </row>
    <row r="19301">
      <c r="K19301" s="317"/>
    </row>
    <row r="19302">
      <c r="K19302" s="317"/>
    </row>
    <row r="19303">
      <c r="K19303" s="317"/>
    </row>
    <row r="19304">
      <c r="K19304" s="317"/>
    </row>
    <row r="19305">
      <c r="K19305" s="317"/>
    </row>
    <row r="19306">
      <c r="K19306" s="317"/>
    </row>
    <row r="19307">
      <c r="K19307" s="317"/>
    </row>
    <row r="19308">
      <c r="K19308" s="317"/>
    </row>
    <row r="19309">
      <c r="K19309" s="317"/>
    </row>
    <row r="19310">
      <c r="K19310" s="317"/>
    </row>
    <row r="19311">
      <c r="K19311" s="317"/>
    </row>
    <row r="19312">
      <c r="K19312" s="317"/>
    </row>
    <row r="19313">
      <c r="K19313" s="317"/>
    </row>
    <row r="19314">
      <c r="K19314" s="317"/>
    </row>
    <row r="19315">
      <c r="K19315" s="317"/>
    </row>
    <row r="19316">
      <c r="K19316" s="317"/>
    </row>
    <row r="19317">
      <c r="K19317" s="317"/>
    </row>
    <row r="19318">
      <c r="K19318" s="317"/>
    </row>
    <row r="19319">
      <c r="K19319" s="317"/>
    </row>
    <row r="19320">
      <c r="K19320" s="317"/>
    </row>
    <row r="19321">
      <c r="K19321" s="317"/>
    </row>
    <row r="19322">
      <c r="K19322" s="317"/>
    </row>
    <row r="19323">
      <c r="K19323" s="317"/>
    </row>
    <row r="19324">
      <c r="K19324" s="317"/>
    </row>
    <row r="19325">
      <c r="K19325" s="317"/>
    </row>
    <row r="19326">
      <c r="K19326" s="317"/>
    </row>
    <row r="19327">
      <c r="K19327" s="317"/>
    </row>
    <row r="19328">
      <c r="K19328" s="317"/>
    </row>
    <row r="19329">
      <c r="K19329" s="317"/>
    </row>
    <row r="19330">
      <c r="K19330" s="317"/>
    </row>
    <row r="19331">
      <c r="K19331" s="317"/>
    </row>
    <row r="19332">
      <c r="K19332" s="317"/>
    </row>
    <row r="19333">
      <c r="K19333" s="317"/>
    </row>
    <row r="19334">
      <c r="K19334" s="317"/>
    </row>
    <row r="19335">
      <c r="K19335" s="317"/>
    </row>
    <row r="19336">
      <c r="K19336" s="317"/>
    </row>
    <row r="19337">
      <c r="K19337" s="317"/>
    </row>
    <row r="19338">
      <c r="K19338" s="317"/>
    </row>
    <row r="19339">
      <c r="K19339" s="317"/>
    </row>
    <row r="19340">
      <c r="K19340" s="317"/>
    </row>
    <row r="19341">
      <c r="K19341" s="317"/>
    </row>
    <row r="19342">
      <c r="K19342" s="317"/>
    </row>
    <row r="19343">
      <c r="K19343" s="317"/>
    </row>
    <row r="19344">
      <c r="K19344" s="317"/>
    </row>
    <row r="19345">
      <c r="K19345" s="317"/>
    </row>
    <row r="19346">
      <c r="K19346" s="317"/>
    </row>
    <row r="19347">
      <c r="K19347" s="317"/>
    </row>
    <row r="19348">
      <c r="K19348" s="317"/>
    </row>
    <row r="19349">
      <c r="K19349" s="317"/>
    </row>
    <row r="19350">
      <c r="K19350" s="317"/>
    </row>
    <row r="19351">
      <c r="K19351" s="317"/>
    </row>
    <row r="19352">
      <c r="K19352" s="317"/>
    </row>
    <row r="19353">
      <c r="K19353" s="317"/>
    </row>
    <row r="19354">
      <c r="K19354" s="317"/>
    </row>
    <row r="19355">
      <c r="K19355" s="317"/>
    </row>
    <row r="19356">
      <c r="K19356" s="317"/>
    </row>
    <row r="19357">
      <c r="K19357" s="317"/>
    </row>
    <row r="19358">
      <c r="K19358" s="317"/>
    </row>
    <row r="19359">
      <c r="K19359" s="317"/>
    </row>
    <row r="19360">
      <c r="K19360" s="317"/>
    </row>
    <row r="19361">
      <c r="K19361" s="317"/>
    </row>
    <row r="19362">
      <c r="K19362" s="317"/>
    </row>
    <row r="19363">
      <c r="K19363" s="317"/>
    </row>
    <row r="19364">
      <c r="K19364" s="317"/>
    </row>
    <row r="19365">
      <c r="K19365" s="317"/>
    </row>
    <row r="19366">
      <c r="K19366" s="317"/>
    </row>
    <row r="19367">
      <c r="K19367" s="317"/>
    </row>
    <row r="19368">
      <c r="K19368" s="317"/>
    </row>
    <row r="19369">
      <c r="K19369" s="317"/>
    </row>
    <row r="19370">
      <c r="K19370" s="317"/>
    </row>
    <row r="19371">
      <c r="K19371" s="317"/>
    </row>
    <row r="19372">
      <c r="K19372" s="317"/>
    </row>
    <row r="19373">
      <c r="K19373" s="317"/>
    </row>
    <row r="19374">
      <c r="K19374" s="317"/>
    </row>
    <row r="19375">
      <c r="K19375" s="317"/>
    </row>
    <row r="19376">
      <c r="K19376" s="317"/>
    </row>
    <row r="19377">
      <c r="K19377" s="317"/>
    </row>
    <row r="19378">
      <c r="K19378" s="317"/>
    </row>
    <row r="19379">
      <c r="K19379" s="317"/>
    </row>
    <row r="19380">
      <c r="K19380" s="317"/>
    </row>
    <row r="19381">
      <c r="K19381" s="317"/>
    </row>
    <row r="19382">
      <c r="K19382" s="317"/>
    </row>
    <row r="19383">
      <c r="K19383" s="317"/>
    </row>
    <row r="19384">
      <c r="K19384" s="317"/>
    </row>
    <row r="19385">
      <c r="K19385" s="317"/>
    </row>
    <row r="19386">
      <c r="K19386" s="317"/>
    </row>
    <row r="19387">
      <c r="K19387" s="317"/>
    </row>
    <row r="19388">
      <c r="K19388" s="317"/>
    </row>
    <row r="19389">
      <c r="K19389" s="317"/>
    </row>
    <row r="19390">
      <c r="K19390" s="317"/>
    </row>
    <row r="19391">
      <c r="K19391" s="317"/>
    </row>
    <row r="19392">
      <c r="K19392" s="317"/>
    </row>
    <row r="19393">
      <c r="K19393" s="317"/>
    </row>
    <row r="19394">
      <c r="K19394" s="317"/>
    </row>
    <row r="19395">
      <c r="K19395" s="317"/>
    </row>
    <row r="19396">
      <c r="K19396" s="317"/>
    </row>
    <row r="19397">
      <c r="K19397" s="317"/>
    </row>
    <row r="19398">
      <c r="K19398" s="317"/>
    </row>
    <row r="19399">
      <c r="K19399" s="317"/>
    </row>
    <row r="19400">
      <c r="K19400" s="317"/>
    </row>
    <row r="19401">
      <c r="K19401" s="317"/>
    </row>
    <row r="19402">
      <c r="K19402" s="317"/>
    </row>
    <row r="19403">
      <c r="K19403" s="317"/>
    </row>
    <row r="19404">
      <c r="K19404" s="317"/>
    </row>
    <row r="19405">
      <c r="K19405" s="317"/>
    </row>
    <row r="19406">
      <c r="K19406" s="317"/>
    </row>
    <row r="19407">
      <c r="K19407" s="317"/>
    </row>
    <row r="19408">
      <c r="K19408" s="317"/>
    </row>
    <row r="19409">
      <c r="K19409" s="317"/>
    </row>
    <row r="19410">
      <c r="K19410" s="317"/>
    </row>
    <row r="19411">
      <c r="K19411" s="317"/>
    </row>
    <row r="19412">
      <c r="K19412" s="317"/>
    </row>
    <row r="19413">
      <c r="K19413" s="317"/>
    </row>
    <row r="19414">
      <c r="K19414" s="317"/>
    </row>
    <row r="19415">
      <c r="K19415" s="317"/>
    </row>
    <row r="19416">
      <c r="K19416" s="317"/>
    </row>
    <row r="19417">
      <c r="K19417" s="317"/>
    </row>
    <row r="19418">
      <c r="K19418" s="317"/>
    </row>
    <row r="19419">
      <c r="K19419" s="317"/>
    </row>
    <row r="19420">
      <c r="K19420" s="317"/>
    </row>
    <row r="19421">
      <c r="K19421" s="317"/>
    </row>
    <row r="19422">
      <c r="K19422" s="317"/>
    </row>
    <row r="19423">
      <c r="K19423" s="317"/>
    </row>
    <row r="19424">
      <c r="K19424" s="317"/>
    </row>
    <row r="19425">
      <c r="K19425" s="317"/>
    </row>
    <row r="19426">
      <c r="K19426" s="317"/>
    </row>
    <row r="19427">
      <c r="K19427" s="317"/>
    </row>
    <row r="19428">
      <c r="K19428" s="317"/>
    </row>
    <row r="19429">
      <c r="K19429" s="317"/>
    </row>
    <row r="19430">
      <c r="K19430" s="317"/>
    </row>
    <row r="19431">
      <c r="K19431" s="317"/>
    </row>
    <row r="19432">
      <c r="K19432" s="317"/>
    </row>
    <row r="19433">
      <c r="K19433" s="317"/>
    </row>
    <row r="19434">
      <c r="K19434" s="317"/>
    </row>
    <row r="19435">
      <c r="K19435" s="317"/>
    </row>
    <row r="19436">
      <c r="K19436" s="317"/>
    </row>
    <row r="19437">
      <c r="K19437" s="317"/>
    </row>
    <row r="19438">
      <c r="K19438" s="317"/>
    </row>
    <row r="19439">
      <c r="K19439" s="317"/>
    </row>
    <row r="19440">
      <c r="K19440" s="317"/>
    </row>
    <row r="19441">
      <c r="K19441" s="317"/>
    </row>
    <row r="19442">
      <c r="K19442" s="317"/>
    </row>
    <row r="19443">
      <c r="K19443" s="317"/>
    </row>
    <row r="19444">
      <c r="K19444" s="317"/>
    </row>
    <row r="19445">
      <c r="K19445" s="317"/>
    </row>
    <row r="19446">
      <c r="K19446" s="317"/>
    </row>
    <row r="19447">
      <c r="K19447" s="317"/>
    </row>
    <row r="19448">
      <c r="K19448" s="317"/>
    </row>
    <row r="19449">
      <c r="K19449" s="317"/>
    </row>
    <row r="19450">
      <c r="K19450" s="317"/>
    </row>
    <row r="19451">
      <c r="K19451" s="317"/>
    </row>
    <row r="19452">
      <c r="K19452" s="317"/>
    </row>
    <row r="19453">
      <c r="K19453" s="317"/>
    </row>
    <row r="19454">
      <c r="K19454" s="317"/>
    </row>
    <row r="19455">
      <c r="K19455" s="317"/>
    </row>
    <row r="19456">
      <c r="K19456" s="317"/>
    </row>
    <row r="19457">
      <c r="K19457" s="317"/>
    </row>
    <row r="19458">
      <c r="K19458" s="317"/>
    </row>
    <row r="19459">
      <c r="K19459" s="317"/>
    </row>
    <row r="19460">
      <c r="K19460" s="317"/>
    </row>
    <row r="19461">
      <c r="K19461" s="317"/>
    </row>
    <row r="19462">
      <c r="K19462" s="317"/>
    </row>
    <row r="19463">
      <c r="K19463" s="317"/>
    </row>
    <row r="19464">
      <c r="K19464" s="317"/>
    </row>
    <row r="19465">
      <c r="K19465" s="317"/>
    </row>
    <row r="19466">
      <c r="K19466" s="317"/>
    </row>
    <row r="19467">
      <c r="K19467" s="317"/>
    </row>
    <row r="19468">
      <c r="K19468" s="317"/>
    </row>
    <row r="19469">
      <c r="K19469" s="317"/>
    </row>
    <row r="19470">
      <c r="K19470" s="317"/>
    </row>
    <row r="19471">
      <c r="K19471" s="317"/>
    </row>
    <row r="19472">
      <c r="K19472" s="317"/>
    </row>
    <row r="19473">
      <c r="K19473" s="317"/>
    </row>
    <row r="19474">
      <c r="K19474" s="317"/>
    </row>
    <row r="19475">
      <c r="K19475" s="317"/>
    </row>
    <row r="19476">
      <c r="K19476" s="317"/>
    </row>
    <row r="19477">
      <c r="K19477" s="317"/>
    </row>
    <row r="19478">
      <c r="K19478" s="317"/>
    </row>
    <row r="19479">
      <c r="K19479" s="317"/>
    </row>
    <row r="19480">
      <c r="K19480" s="317"/>
    </row>
    <row r="19481">
      <c r="K19481" s="317"/>
    </row>
    <row r="19482">
      <c r="K19482" s="317"/>
    </row>
    <row r="19483">
      <c r="K19483" s="317"/>
    </row>
    <row r="19484">
      <c r="K19484" s="317"/>
    </row>
    <row r="19485">
      <c r="K19485" s="317"/>
    </row>
    <row r="19486">
      <c r="K19486" s="317"/>
    </row>
    <row r="19487">
      <c r="K19487" s="317"/>
    </row>
    <row r="19488">
      <c r="K19488" s="317"/>
    </row>
    <row r="19489">
      <c r="K19489" s="317"/>
    </row>
    <row r="19490">
      <c r="K19490" s="317"/>
    </row>
    <row r="19491">
      <c r="K19491" s="317"/>
    </row>
    <row r="19492">
      <c r="K19492" s="317"/>
    </row>
    <row r="19493">
      <c r="K19493" s="317"/>
    </row>
    <row r="19494">
      <c r="K19494" s="317"/>
    </row>
    <row r="19495">
      <c r="K19495" s="317"/>
    </row>
    <row r="19496">
      <c r="K19496" s="317"/>
    </row>
    <row r="19497">
      <c r="K19497" s="317"/>
    </row>
    <row r="19498">
      <c r="K19498" s="317"/>
    </row>
    <row r="19499">
      <c r="K19499" s="317"/>
    </row>
    <row r="19500">
      <c r="K19500" s="317"/>
    </row>
    <row r="19501">
      <c r="K19501" s="317"/>
    </row>
    <row r="19502">
      <c r="K19502" s="317"/>
    </row>
    <row r="19503">
      <c r="K19503" s="317"/>
    </row>
    <row r="19504">
      <c r="K19504" s="317"/>
    </row>
    <row r="19505">
      <c r="K19505" s="317"/>
    </row>
    <row r="19506">
      <c r="K19506" s="317"/>
    </row>
    <row r="19507">
      <c r="K19507" s="317"/>
    </row>
    <row r="19508">
      <c r="K19508" s="317"/>
    </row>
    <row r="19509">
      <c r="K19509" s="317"/>
    </row>
    <row r="19510">
      <c r="K19510" s="317"/>
    </row>
    <row r="19511">
      <c r="K19511" s="317"/>
    </row>
    <row r="19512">
      <c r="K19512" s="317"/>
    </row>
    <row r="19513">
      <c r="K19513" s="317"/>
    </row>
    <row r="19514">
      <c r="K19514" s="317"/>
    </row>
    <row r="19515">
      <c r="K19515" s="317"/>
    </row>
    <row r="19516">
      <c r="K19516" s="317"/>
    </row>
    <row r="19517">
      <c r="K19517" s="317"/>
    </row>
    <row r="19518">
      <c r="K19518" s="317"/>
    </row>
    <row r="19519">
      <c r="K19519" s="317"/>
    </row>
    <row r="19520">
      <c r="K19520" s="317"/>
    </row>
    <row r="19521">
      <c r="K19521" s="317"/>
    </row>
    <row r="19522">
      <c r="K19522" s="317"/>
    </row>
    <row r="19523">
      <c r="K19523" s="317"/>
    </row>
    <row r="19524">
      <c r="K19524" s="317"/>
    </row>
    <row r="19525">
      <c r="K19525" s="317"/>
    </row>
    <row r="19526">
      <c r="K19526" s="317"/>
    </row>
    <row r="19527">
      <c r="K19527" s="317"/>
    </row>
    <row r="19528">
      <c r="K19528" s="317"/>
    </row>
    <row r="19529">
      <c r="K19529" s="317"/>
    </row>
    <row r="19530">
      <c r="K19530" s="317"/>
    </row>
    <row r="19531">
      <c r="K19531" s="317"/>
    </row>
    <row r="19532">
      <c r="K19532" s="317"/>
    </row>
    <row r="19533">
      <c r="K19533" s="317"/>
    </row>
    <row r="19534">
      <c r="K19534" s="317"/>
    </row>
    <row r="19535">
      <c r="K19535" s="317"/>
    </row>
    <row r="19536">
      <c r="K19536" s="317"/>
    </row>
    <row r="19537">
      <c r="K19537" s="317"/>
    </row>
    <row r="19538">
      <c r="K19538" s="317"/>
    </row>
    <row r="19539">
      <c r="K19539" s="317"/>
    </row>
    <row r="19540">
      <c r="K19540" s="317"/>
    </row>
    <row r="19541">
      <c r="K19541" s="317"/>
    </row>
    <row r="19542">
      <c r="K19542" s="317"/>
    </row>
    <row r="19543">
      <c r="K19543" s="317"/>
    </row>
    <row r="19544">
      <c r="K19544" s="317"/>
    </row>
    <row r="19545">
      <c r="K19545" s="317"/>
    </row>
    <row r="19546">
      <c r="K19546" s="317"/>
    </row>
    <row r="19547">
      <c r="K19547" s="317"/>
    </row>
    <row r="19548">
      <c r="K19548" s="317"/>
    </row>
    <row r="19549">
      <c r="K19549" s="317"/>
    </row>
    <row r="19550">
      <c r="K19550" s="317"/>
    </row>
    <row r="19551">
      <c r="K19551" s="317"/>
    </row>
    <row r="19552">
      <c r="K19552" s="317"/>
    </row>
    <row r="19553">
      <c r="K19553" s="317"/>
    </row>
    <row r="19554">
      <c r="K19554" s="317"/>
    </row>
    <row r="19555">
      <c r="K19555" s="317"/>
    </row>
    <row r="19556">
      <c r="K19556" s="317"/>
    </row>
    <row r="19557">
      <c r="K19557" s="317"/>
    </row>
    <row r="19558">
      <c r="K19558" s="317"/>
    </row>
    <row r="19559">
      <c r="K19559" s="317"/>
    </row>
    <row r="19560">
      <c r="K19560" s="317"/>
    </row>
    <row r="19561">
      <c r="K19561" s="317"/>
    </row>
    <row r="19562">
      <c r="K19562" s="317"/>
    </row>
    <row r="19563">
      <c r="K19563" s="317"/>
    </row>
    <row r="19564">
      <c r="K19564" s="317"/>
    </row>
    <row r="19565">
      <c r="K19565" s="317"/>
    </row>
    <row r="19566">
      <c r="K19566" s="317"/>
    </row>
    <row r="19567">
      <c r="K19567" s="317"/>
    </row>
    <row r="19568">
      <c r="K19568" s="317"/>
    </row>
    <row r="19569">
      <c r="K19569" s="317"/>
    </row>
    <row r="19570">
      <c r="K19570" s="317"/>
    </row>
    <row r="19571">
      <c r="K19571" s="317"/>
    </row>
    <row r="19572">
      <c r="K19572" s="317"/>
    </row>
    <row r="19573">
      <c r="K19573" s="317"/>
    </row>
    <row r="19574">
      <c r="K19574" s="317"/>
    </row>
    <row r="19575">
      <c r="K19575" s="317"/>
    </row>
    <row r="19576">
      <c r="K19576" s="317"/>
    </row>
    <row r="19577">
      <c r="K19577" s="317"/>
    </row>
    <row r="19578">
      <c r="K19578" s="317"/>
    </row>
    <row r="19579">
      <c r="K19579" s="317"/>
    </row>
    <row r="19580">
      <c r="K19580" s="317"/>
    </row>
    <row r="19581">
      <c r="K19581" s="317"/>
    </row>
    <row r="19582">
      <c r="K19582" s="317"/>
    </row>
    <row r="19583">
      <c r="K19583" s="317"/>
    </row>
    <row r="19584">
      <c r="K19584" s="317"/>
    </row>
    <row r="19585">
      <c r="K19585" s="317"/>
    </row>
    <row r="19586">
      <c r="K19586" s="317"/>
    </row>
    <row r="19587">
      <c r="K19587" s="317"/>
    </row>
    <row r="19588">
      <c r="K19588" s="317"/>
    </row>
    <row r="19589">
      <c r="K19589" s="317"/>
    </row>
    <row r="19590">
      <c r="K19590" s="317"/>
    </row>
    <row r="19591">
      <c r="K19591" s="317"/>
    </row>
    <row r="19592">
      <c r="K19592" s="317"/>
    </row>
    <row r="19593">
      <c r="K19593" s="317"/>
    </row>
    <row r="19594">
      <c r="K19594" s="317"/>
    </row>
    <row r="19595">
      <c r="K19595" s="317"/>
    </row>
    <row r="19596">
      <c r="K19596" s="317"/>
    </row>
    <row r="19597">
      <c r="K19597" s="317"/>
    </row>
    <row r="19598">
      <c r="K19598" s="317"/>
    </row>
    <row r="19599">
      <c r="K19599" s="317"/>
    </row>
    <row r="19600">
      <c r="K19600" s="317"/>
    </row>
    <row r="19601">
      <c r="K19601" s="317"/>
    </row>
    <row r="19602">
      <c r="K19602" s="317"/>
    </row>
    <row r="19603">
      <c r="K19603" s="317"/>
    </row>
    <row r="19604">
      <c r="K19604" s="317"/>
    </row>
    <row r="19605">
      <c r="K19605" s="317"/>
    </row>
    <row r="19606">
      <c r="K19606" s="317"/>
    </row>
    <row r="19607">
      <c r="K19607" s="317"/>
    </row>
    <row r="19608">
      <c r="K19608" s="317"/>
    </row>
    <row r="19609">
      <c r="K19609" s="317"/>
    </row>
    <row r="19610">
      <c r="K19610" s="317"/>
    </row>
    <row r="19611">
      <c r="K19611" s="317"/>
    </row>
    <row r="19612">
      <c r="K19612" s="317"/>
    </row>
    <row r="19613">
      <c r="K19613" s="317"/>
    </row>
    <row r="19614">
      <c r="K19614" s="317"/>
    </row>
    <row r="19615">
      <c r="K19615" s="317"/>
    </row>
    <row r="19616">
      <c r="K19616" s="317"/>
    </row>
    <row r="19617">
      <c r="K19617" s="317"/>
    </row>
    <row r="19618">
      <c r="K19618" s="317"/>
    </row>
    <row r="19619">
      <c r="K19619" s="317"/>
    </row>
    <row r="19620">
      <c r="K19620" s="317"/>
    </row>
    <row r="19621">
      <c r="K19621" s="317"/>
    </row>
    <row r="19622">
      <c r="K19622" s="317"/>
    </row>
    <row r="19623">
      <c r="K19623" s="317"/>
    </row>
    <row r="19624">
      <c r="K19624" s="317"/>
    </row>
    <row r="19625">
      <c r="K19625" s="317"/>
    </row>
    <row r="19626">
      <c r="K19626" s="317"/>
    </row>
    <row r="19627">
      <c r="K19627" s="317"/>
    </row>
    <row r="19628">
      <c r="K19628" s="317"/>
    </row>
    <row r="19629">
      <c r="K19629" s="317"/>
    </row>
    <row r="19630">
      <c r="K19630" s="317"/>
    </row>
    <row r="19631">
      <c r="K19631" s="317"/>
    </row>
    <row r="19632">
      <c r="K19632" s="317"/>
    </row>
    <row r="19633">
      <c r="K19633" s="317"/>
    </row>
    <row r="19634">
      <c r="K19634" s="317"/>
    </row>
    <row r="19635">
      <c r="K19635" s="317"/>
    </row>
    <row r="19636">
      <c r="K19636" s="317"/>
    </row>
    <row r="19637">
      <c r="K19637" s="317"/>
    </row>
    <row r="19638">
      <c r="K19638" s="317"/>
    </row>
    <row r="19639">
      <c r="K19639" s="317"/>
    </row>
    <row r="19640">
      <c r="K19640" s="317"/>
    </row>
    <row r="19641">
      <c r="K19641" s="317"/>
    </row>
    <row r="19642">
      <c r="K19642" s="317"/>
    </row>
    <row r="19643">
      <c r="K19643" s="317"/>
    </row>
    <row r="19644">
      <c r="K19644" s="317"/>
    </row>
    <row r="19645">
      <c r="K19645" s="317"/>
    </row>
    <row r="19646">
      <c r="K19646" s="317"/>
    </row>
    <row r="19647">
      <c r="K19647" s="317"/>
    </row>
    <row r="19648">
      <c r="K19648" s="317"/>
    </row>
    <row r="19649">
      <c r="K19649" s="317"/>
    </row>
    <row r="19650">
      <c r="K19650" s="317"/>
    </row>
    <row r="19651">
      <c r="K19651" s="317"/>
    </row>
    <row r="19652">
      <c r="K19652" s="317"/>
    </row>
    <row r="19653">
      <c r="K19653" s="317"/>
    </row>
    <row r="19654">
      <c r="K19654" s="317"/>
    </row>
    <row r="19655">
      <c r="K19655" s="317"/>
    </row>
    <row r="19656">
      <c r="K19656" s="317"/>
    </row>
    <row r="19657">
      <c r="K19657" s="317"/>
    </row>
    <row r="19658">
      <c r="K19658" s="317"/>
    </row>
    <row r="19659">
      <c r="K19659" s="317"/>
    </row>
    <row r="19660">
      <c r="K19660" s="317"/>
    </row>
    <row r="19661">
      <c r="K19661" s="317"/>
    </row>
    <row r="19662">
      <c r="K19662" s="317"/>
    </row>
    <row r="19663">
      <c r="K19663" s="317"/>
    </row>
    <row r="19664">
      <c r="K19664" s="317"/>
    </row>
    <row r="19665">
      <c r="K19665" s="317"/>
    </row>
    <row r="19666">
      <c r="K19666" s="317"/>
    </row>
    <row r="19667">
      <c r="K19667" s="317"/>
    </row>
    <row r="19668">
      <c r="K19668" s="317"/>
    </row>
    <row r="19669">
      <c r="K19669" s="317"/>
    </row>
    <row r="19670">
      <c r="K19670" s="317"/>
    </row>
    <row r="19671">
      <c r="K19671" s="317"/>
    </row>
    <row r="19672">
      <c r="K19672" s="317"/>
    </row>
    <row r="19673">
      <c r="K19673" s="317"/>
    </row>
    <row r="19674">
      <c r="K19674" s="317"/>
    </row>
    <row r="19675">
      <c r="K19675" s="317"/>
    </row>
    <row r="19676">
      <c r="K19676" s="317"/>
    </row>
    <row r="19677">
      <c r="K19677" s="317"/>
    </row>
    <row r="19678">
      <c r="K19678" s="317"/>
    </row>
    <row r="19679">
      <c r="K19679" s="317"/>
    </row>
    <row r="19680">
      <c r="K19680" s="317"/>
    </row>
    <row r="19681">
      <c r="K19681" s="317"/>
    </row>
    <row r="19682">
      <c r="K19682" s="317"/>
    </row>
    <row r="19683">
      <c r="K19683" s="317"/>
    </row>
    <row r="19684">
      <c r="K19684" s="317"/>
    </row>
    <row r="19685">
      <c r="K19685" s="317"/>
    </row>
    <row r="19686">
      <c r="K19686" s="317"/>
    </row>
    <row r="19687">
      <c r="K19687" s="317"/>
    </row>
    <row r="19688">
      <c r="K19688" s="317"/>
    </row>
    <row r="19689">
      <c r="K19689" s="317"/>
    </row>
    <row r="19690">
      <c r="K19690" s="317"/>
    </row>
    <row r="19691">
      <c r="K19691" s="317"/>
    </row>
    <row r="19692">
      <c r="K19692" s="317"/>
    </row>
    <row r="19693">
      <c r="K19693" s="317"/>
    </row>
    <row r="19694">
      <c r="K19694" s="317"/>
    </row>
    <row r="19695">
      <c r="K19695" s="317"/>
    </row>
    <row r="19696">
      <c r="K19696" s="317"/>
    </row>
    <row r="19697">
      <c r="K19697" s="317"/>
    </row>
    <row r="19698">
      <c r="K19698" s="317"/>
    </row>
    <row r="19699">
      <c r="K19699" s="317"/>
    </row>
    <row r="19700">
      <c r="K19700" s="317"/>
    </row>
    <row r="19701">
      <c r="K19701" s="317"/>
    </row>
    <row r="19702">
      <c r="K19702" s="317"/>
    </row>
    <row r="19703">
      <c r="K19703" s="317"/>
    </row>
    <row r="19704">
      <c r="K19704" s="317"/>
    </row>
    <row r="19705">
      <c r="K19705" s="317"/>
    </row>
    <row r="19706">
      <c r="K19706" s="317"/>
    </row>
    <row r="19707">
      <c r="K19707" s="317"/>
    </row>
    <row r="19708">
      <c r="K19708" s="317"/>
    </row>
    <row r="19709">
      <c r="K19709" s="317"/>
    </row>
    <row r="19710">
      <c r="K19710" s="317"/>
    </row>
    <row r="19711">
      <c r="K19711" s="317"/>
    </row>
    <row r="19712">
      <c r="K19712" s="317"/>
    </row>
    <row r="19713">
      <c r="K19713" s="317"/>
    </row>
    <row r="19714">
      <c r="K19714" s="317"/>
    </row>
    <row r="19715">
      <c r="K19715" s="317"/>
    </row>
    <row r="19716">
      <c r="K19716" s="317"/>
    </row>
    <row r="19717">
      <c r="K19717" s="317"/>
    </row>
    <row r="19718">
      <c r="K19718" s="317"/>
    </row>
    <row r="19719">
      <c r="K19719" s="317"/>
    </row>
    <row r="19720">
      <c r="K19720" s="317"/>
    </row>
    <row r="19721">
      <c r="K19721" s="317"/>
    </row>
    <row r="19722">
      <c r="K19722" s="317"/>
    </row>
    <row r="19723">
      <c r="K19723" s="317"/>
    </row>
    <row r="19724">
      <c r="K19724" s="317"/>
    </row>
    <row r="19725">
      <c r="K19725" s="317"/>
    </row>
    <row r="19726">
      <c r="K19726" s="317"/>
    </row>
    <row r="19727">
      <c r="K19727" s="317"/>
    </row>
    <row r="19728">
      <c r="K19728" s="317"/>
    </row>
    <row r="19729">
      <c r="K19729" s="317"/>
    </row>
    <row r="19730">
      <c r="K19730" s="317"/>
    </row>
    <row r="19731">
      <c r="K19731" s="317"/>
    </row>
    <row r="19732">
      <c r="K19732" s="317"/>
    </row>
    <row r="19733">
      <c r="K19733" s="317"/>
    </row>
    <row r="19734">
      <c r="K19734" s="317"/>
    </row>
    <row r="19735">
      <c r="K19735" s="317"/>
    </row>
    <row r="19736">
      <c r="K19736" s="317"/>
    </row>
    <row r="19737">
      <c r="K19737" s="317"/>
    </row>
    <row r="19738">
      <c r="K19738" s="317"/>
    </row>
    <row r="19739">
      <c r="K19739" s="317"/>
    </row>
    <row r="19740">
      <c r="K19740" s="317"/>
    </row>
    <row r="19741">
      <c r="K19741" s="317"/>
    </row>
    <row r="19742">
      <c r="K19742" s="317"/>
    </row>
    <row r="19743">
      <c r="K19743" s="317"/>
    </row>
    <row r="19744">
      <c r="K19744" s="317"/>
    </row>
    <row r="19745">
      <c r="K19745" s="317"/>
    </row>
    <row r="19746">
      <c r="K19746" s="317"/>
    </row>
    <row r="19747">
      <c r="K19747" s="317"/>
    </row>
    <row r="19748">
      <c r="K19748" s="317"/>
    </row>
    <row r="19749">
      <c r="K19749" s="317"/>
    </row>
    <row r="19750">
      <c r="K19750" s="317"/>
    </row>
    <row r="19751">
      <c r="K19751" s="317"/>
    </row>
    <row r="19752">
      <c r="K19752" s="317"/>
    </row>
    <row r="19753">
      <c r="K19753" s="317"/>
    </row>
    <row r="19754">
      <c r="K19754" s="317"/>
    </row>
    <row r="19755">
      <c r="K19755" s="317"/>
    </row>
    <row r="19756">
      <c r="K19756" s="317"/>
    </row>
    <row r="19757">
      <c r="K19757" s="317"/>
    </row>
    <row r="19758">
      <c r="K19758" s="317"/>
    </row>
    <row r="19759">
      <c r="K19759" s="317"/>
    </row>
    <row r="19760">
      <c r="K19760" s="317"/>
    </row>
    <row r="19761">
      <c r="K19761" s="317"/>
    </row>
    <row r="19762">
      <c r="K19762" s="317"/>
    </row>
    <row r="19763">
      <c r="K19763" s="317"/>
    </row>
    <row r="19764">
      <c r="K19764" s="317"/>
    </row>
    <row r="19765">
      <c r="K19765" s="317"/>
    </row>
    <row r="19766">
      <c r="K19766" s="317"/>
    </row>
    <row r="19767">
      <c r="K19767" s="317"/>
    </row>
    <row r="19768">
      <c r="K19768" s="317"/>
    </row>
    <row r="19769">
      <c r="K19769" s="317"/>
    </row>
    <row r="19770">
      <c r="K19770" s="317"/>
    </row>
    <row r="19771">
      <c r="K19771" s="317"/>
    </row>
    <row r="19772">
      <c r="K19772" s="317"/>
    </row>
    <row r="19773">
      <c r="K19773" s="317"/>
    </row>
    <row r="19774">
      <c r="K19774" s="317"/>
    </row>
    <row r="19775">
      <c r="K19775" s="317"/>
    </row>
    <row r="19776">
      <c r="K19776" s="317"/>
    </row>
    <row r="19777">
      <c r="K19777" s="317"/>
    </row>
    <row r="19778">
      <c r="K19778" s="317"/>
    </row>
    <row r="19779">
      <c r="K19779" s="317"/>
    </row>
    <row r="19780">
      <c r="K19780" s="317"/>
    </row>
    <row r="19781">
      <c r="K19781" s="317"/>
    </row>
    <row r="19782">
      <c r="K19782" s="317"/>
    </row>
    <row r="19783">
      <c r="K19783" s="317"/>
    </row>
    <row r="19784">
      <c r="K19784" s="317"/>
    </row>
    <row r="19785">
      <c r="K19785" s="317"/>
    </row>
    <row r="19786">
      <c r="K19786" s="317"/>
    </row>
    <row r="19787">
      <c r="K19787" s="317"/>
    </row>
    <row r="19788">
      <c r="K19788" s="317"/>
    </row>
    <row r="19789">
      <c r="K19789" s="317"/>
    </row>
    <row r="19790">
      <c r="K19790" s="317"/>
    </row>
    <row r="19791">
      <c r="K19791" s="317"/>
    </row>
    <row r="19792">
      <c r="K19792" s="317"/>
    </row>
    <row r="19793">
      <c r="K19793" s="317"/>
    </row>
    <row r="19794">
      <c r="K19794" s="317"/>
    </row>
    <row r="19795">
      <c r="K19795" s="317"/>
    </row>
    <row r="19796">
      <c r="K19796" s="317"/>
    </row>
    <row r="19797">
      <c r="K19797" s="317"/>
    </row>
    <row r="19798">
      <c r="K19798" s="317"/>
    </row>
    <row r="19799">
      <c r="K19799" s="317"/>
    </row>
    <row r="19800">
      <c r="K19800" s="317"/>
    </row>
    <row r="19801">
      <c r="K19801" s="317"/>
    </row>
    <row r="19802">
      <c r="K19802" s="317"/>
    </row>
    <row r="19803">
      <c r="K19803" s="317"/>
    </row>
    <row r="19804">
      <c r="K19804" s="317"/>
    </row>
    <row r="19805">
      <c r="K19805" s="317"/>
    </row>
    <row r="19806">
      <c r="K19806" s="317"/>
    </row>
    <row r="19807">
      <c r="K19807" s="317"/>
    </row>
    <row r="19808">
      <c r="K19808" s="317"/>
    </row>
    <row r="19809">
      <c r="K19809" s="317"/>
    </row>
    <row r="19810">
      <c r="K19810" s="317"/>
    </row>
    <row r="19811">
      <c r="K19811" s="317"/>
    </row>
    <row r="19812">
      <c r="K19812" s="317"/>
    </row>
    <row r="19813">
      <c r="K19813" s="317"/>
    </row>
    <row r="19814">
      <c r="K19814" s="317"/>
    </row>
    <row r="19815">
      <c r="K19815" s="317"/>
    </row>
    <row r="19816">
      <c r="K19816" s="317"/>
    </row>
    <row r="19817">
      <c r="K19817" s="317"/>
    </row>
    <row r="19818">
      <c r="K19818" s="317"/>
    </row>
    <row r="19819">
      <c r="K19819" s="317"/>
    </row>
    <row r="19820">
      <c r="K19820" s="317"/>
    </row>
    <row r="19821">
      <c r="K19821" s="317"/>
    </row>
    <row r="19822">
      <c r="K19822" s="317"/>
    </row>
    <row r="19823">
      <c r="K19823" s="317"/>
    </row>
    <row r="19824">
      <c r="K19824" s="317"/>
    </row>
    <row r="19825">
      <c r="K19825" s="317"/>
    </row>
    <row r="19826">
      <c r="K19826" s="317"/>
    </row>
    <row r="19827">
      <c r="K19827" s="317"/>
    </row>
    <row r="19828">
      <c r="K19828" s="317"/>
    </row>
    <row r="19829">
      <c r="K19829" s="317"/>
    </row>
    <row r="19830">
      <c r="K19830" s="317"/>
    </row>
    <row r="19831">
      <c r="K19831" s="317"/>
    </row>
    <row r="19832">
      <c r="K19832" s="317"/>
    </row>
    <row r="19833">
      <c r="K19833" s="317"/>
    </row>
    <row r="19834">
      <c r="K19834" s="317"/>
    </row>
    <row r="19835">
      <c r="K19835" s="317"/>
    </row>
    <row r="19836">
      <c r="K19836" s="317"/>
    </row>
    <row r="19837">
      <c r="K19837" s="317"/>
    </row>
    <row r="19838">
      <c r="K19838" s="317"/>
    </row>
    <row r="19839">
      <c r="K19839" s="317"/>
    </row>
    <row r="19840">
      <c r="K19840" s="317"/>
    </row>
    <row r="19841">
      <c r="K19841" s="317"/>
    </row>
    <row r="19842">
      <c r="K19842" s="317"/>
    </row>
    <row r="19843">
      <c r="K19843" s="317"/>
    </row>
    <row r="19844">
      <c r="K19844" s="317"/>
    </row>
    <row r="19845">
      <c r="K19845" s="317"/>
    </row>
    <row r="19846">
      <c r="K19846" s="317"/>
    </row>
    <row r="19847">
      <c r="K19847" s="317"/>
    </row>
    <row r="19848">
      <c r="K19848" s="317"/>
    </row>
    <row r="19849">
      <c r="K19849" s="317"/>
    </row>
    <row r="19850">
      <c r="K19850" s="317"/>
    </row>
    <row r="19851">
      <c r="K19851" s="317"/>
    </row>
    <row r="19852">
      <c r="K19852" s="317"/>
    </row>
    <row r="19853">
      <c r="K19853" s="317"/>
    </row>
    <row r="19854">
      <c r="K19854" s="317"/>
    </row>
    <row r="19855">
      <c r="K19855" s="317"/>
    </row>
    <row r="19856">
      <c r="K19856" s="317"/>
    </row>
    <row r="19857">
      <c r="K19857" s="317"/>
    </row>
    <row r="19858">
      <c r="K19858" s="317"/>
    </row>
    <row r="19859">
      <c r="K19859" s="317"/>
    </row>
    <row r="19860">
      <c r="K19860" s="317"/>
    </row>
    <row r="19861">
      <c r="K19861" s="317"/>
    </row>
    <row r="19862">
      <c r="K19862" s="317"/>
    </row>
    <row r="19863">
      <c r="K19863" s="317"/>
    </row>
    <row r="19864">
      <c r="K19864" s="317"/>
    </row>
    <row r="19865">
      <c r="K19865" s="317"/>
    </row>
    <row r="19866">
      <c r="K19866" s="317"/>
    </row>
    <row r="19867">
      <c r="K19867" s="317"/>
    </row>
    <row r="19868">
      <c r="K19868" s="317"/>
    </row>
    <row r="19869">
      <c r="K19869" s="317"/>
    </row>
    <row r="19870">
      <c r="K19870" s="317"/>
    </row>
    <row r="19871">
      <c r="K19871" s="317"/>
    </row>
    <row r="19872">
      <c r="K19872" s="317"/>
    </row>
    <row r="19873">
      <c r="K19873" s="317"/>
    </row>
    <row r="19874">
      <c r="K19874" s="317"/>
    </row>
    <row r="19875">
      <c r="K19875" s="317"/>
    </row>
    <row r="19876">
      <c r="K19876" s="317"/>
    </row>
    <row r="19877">
      <c r="K19877" s="317"/>
    </row>
    <row r="19878">
      <c r="K19878" s="317"/>
    </row>
    <row r="19879">
      <c r="K19879" s="317"/>
    </row>
    <row r="19880">
      <c r="K19880" s="317"/>
    </row>
    <row r="19881">
      <c r="K19881" s="317"/>
    </row>
    <row r="19882">
      <c r="K19882" s="317"/>
    </row>
    <row r="19883">
      <c r="K19883" s="317"/>
    </row>
    <row r="19884">
      <c r="K19884" s="317"/>
    </row>
    <row r="19885">
      <c r="K19885" s="317"/>
    </row>
    <row r="19886">
      <c r="K19886" s="317"/>
    </row>
    <row r="19887">
      <c r="K19887" s="317"/>
    </row>
    <row r="19888">
      <c r="K19888" s="317"/>
    </row>
    <row r="19889">
      <c r="K19889" s="317"/>
    </row>
    <row r="19890">
      <c r="K19890" s="317"/>
    </row>
    <row r="19891">
      <c r="K19891" s="317"/>
    </row>
    <row r="19892">
      <c r="K19892" s="317"/>
    </row>
    <row r="19893">
      <c r="K19893" s="317"/>
    </row>
    <row r="19894">
      <c r="K19894" s="317"/>
    </row>
    <row r="19895">
      <c r="K19895" s="317"/>
    </row>
    <row r="19896">
      <c r="K19896" s="317"/>
    </row>
    <row r="19897">
      <c r="K19897" s="317"/>
    </row>
    <row r="19898">
      <c r="K19898" s="317"/>
    </row>
    <row r="19899">
      <c r="K19899" s="317"/>
    </row>
    <row r="19900">
      <c r="K19900" s="317"/>
    </row>
    <row r="19901">
      <c r="K19901" s="317"/>
    </row>
    <row r="19902">
      <c r="K19902" s="317"/>
    </row>
    <row r="19903">
      <c r="K19903" s="317"/>
    </row>
    <row r="19904">
      <c r="K19904" s="317"/>
    </row>
    <row r="19905">
      <c r="K19905" s="317"/>
    </row>
    <row r="19906">
      <c r="K19906" s="317"/>
    </row>
    <row r="19907">
      <c r="K19907" s="317"/>
    </row>
    <row r="19908">
      <c r="K19908" s="317"/>
    </row>
    <row r="19909">
      <c r="K19909" s="317"/>
    </row>
    <row r="19910">
      <c r="K19910" s="317"/>
    </row>
    <row r="19911">
      <c r="K19911" s="317"/>
    </row>
    <row r="19912">
      <c r="K19912" s="317"/>
    </row>
    <row r="19913">
      <c r="K19913" s="317"/>
    </row>
    <row r="19914">
      <c r="K19914" s="317"/>
    </row>
    <row r="19915">
      <c r="K19915" s="317"/>
    </row>
    <row r="19916">
      <c r="K19916" s="317"/>
    </row>
    <row r="19917">
      <c r="K19917" s="317"/>
    </row>
    <row r="19918">
      <c r="K19918" s="317"/>
    </row>
    <row r="19919">
      <c r="K19919" s="317"/>
    </row>
    <row r="19920">
      <c r="K19920" s="317"/>
    </row>
    <row r="19921">
      <c r="K19921" s="317"/>
    </row>
    <row r="19922">
      <c r="K19922" s="317"/>
    </row>
    <row r="19923">
      <c r="K19923" s="317"/>
    </row>
    <row r="19924">
      <c r="K19924" s="317"/>
    </row>
    <row r="19925">
      <c r="K19925" s="317"/>
    </row>
    <row r="19926">
      <c r="K19926" s="317"/>
    </row>
    <row r="19927">
      <c r="K19927" s="317"/>
    </row>
    <row r="19928">
      <c r="K19928" s="317"/>
    </row>
    <row r="19929">
      <c r="K19929" s="317"/>
    </row>
    <row r="19930">
      <c r="K19930" s="317"/>
    </row>
    <row r="19931">
      <c r="K19931" s="317"/>
    </row>
    <row r="19932">
      <c r="K19932" s="317"/>
    </row>
    <row r="19933">
      <c r="K19933" s="317"/>
    </row>
    <row r="19934">
      <c r="K19934" s="317"/>
    </row>
    <row r="19935">
      <c r="K19935" s="317"/>
    </row>
    <row r="19936">
      <c r="K19936" s="317"/>
    </row>
    <row r="19937">
      <c r="K19937" s="317"/>
    </row>
    <row r="19938">
      <c r="K19938" s="317"/>
    </row>
    <row r="19939">
      <c r="K19939" s="317"/>
    </row>
    <row r="19940">
      <c r="K19940" s="317"/>
    </row>
    <row r="19941">
      <c r="K19941" s="317"/>
    </row>
    <row r="19942">
      <c r="K19942" s="317"/>
    </row>
    <row r="19943">
      <c r="K19943" s="317"/>
    </row>
    <row r="19944">
      <c r="K19944" s="317"/>
    </row>
    <row r="19945">
      <c r="K19945" s="317"/>
    </row>
    <row r="19946">
      <c r="K19946" s="317"/>
    </row>
    <row r="19947">
      <c r="K19947" s="317"/>
    </row>
    <row r="19948">
      <c r="K19948" s="317"/>
    </row>
    <row r="19949">
      <c r="K19949" s="317"/>
    </row>
    <row r="19950">
      <c r="K19950" s="317"/>
    </row>
    <row r="19951">
      <c r="K19951" s="317"/>
    </row>
    <row r="19952">
      <c r="K19952" s="317"/>
    </row>
    <row r="19953">
      <c r="K19953" s="317"/>
    </row>
    <row r="19954">
      <c r="K19954" s="317"/>
    </row>
    <row r="19955">
      <c r="K19955" s="317"/>
    </row>
    <row r="19956">
      <c r="K19956" s="317"/>
    </row>
    <row r="19957">
      <c r="K19957" s="317"/>
    </row>
    <row r="19958">
      <c r="K19958" s="317"/>
    </row>
    <row r="19959">
      <c r="K19959" s="317"/>
    </row>
    <row r="19960">
      <c r="K19960" s="317"/>
    </row>
    <row r="19961">
      <c r="K19961" s="317"/>
    </row>
    <row r="19962">
      <c r="K19962" s="317"/>
    </row>
    <row r="19963">
      <c r="K19963" s="317"/>
    </row>
    <row r="19964">
      <c r="K19964" s="317"/>
    </row>
    <row r="19965">
      <c r="K19965" s="317"/>
    </row>
    <row r="19966">
      <c r="K19966" s="317"/>
    </row>
    <row r="19967">
      <c r="K19967" s="317"/>
    </row>
    <row r="19968">
      <c r="K19968" s="317"/>
    </row>
    <row r="19969">
      <c r="K19969" s="317"/>
    </row>
    <row r="19970">
      <c r="K19970" s="317"/>
    </row>
    <row r="19971">
      <c r="K19971" s="317"/>
    </row>
    <row r="19972">
      <c r="K19972" s="317"/>
    </row>
    <row r="19973">
      <c r="K19973" s="317"/>
    </row>
    <row r="19974">
      <c r="K19974" s="317"/>
    </row>
    <row r="19975">
      <c r="K19975" s="317"/>
    </row>
    <row r="19976">
      <c r="K19976" s="317"/>
    </row>
    <row r="19977">
      <c r="K19977" s="317"/>
    </row>
    <row r="19978">
      <c r="K19978" s="317"/>
    </row>
    <row r="19979">
      <c r="K19979" s="317"/>
    </row>
    <row r="19980">
      <c r="K19980" s="317"/>
    </row>
    <row r="19981">
      <c r="K19981" s="317"/>
    </row>
    <row r="19982">
      <c r="K19982" s="317"/>
    </row>
    <row r="19983">
      <c r="K19983" s="317"/>
    </row>
    <row r="19984">
      <c r="K19984" s="317"/>
    </row>
    <row r="19985">
      <c r="K19985" s="317"/>
    </row>
    <row r="19986">
      <c r="K19986" s="317"/>
    </row>
    <row r="19987">
      <c r="K19987" s="317"/>
    </row>
    <row r="19988">
      <c r="K19988" s="317"/>
    </row>
    <row r="19989">
      <c r="K19989" s="317"/>
    </row>
    <row r="19990">
      <c r="K19990" s="317"/>
    </row>
    <row r="19991">
      <c r="K19991" s="317"/>
    </row>
    <row r="19992">
      <c r="K19992" s="317"/>
    </row>
    <row r="19993">
      <c r="K19993" s="317"/>
    </row>
    <row r="19994">
      <c r="K19994" s="317"/>
    </row>
    <row r="19995">
      <c r="K19995" s="317"/>
    </row>
    <row r="19996">
      <c r="K19996" s="317"/>
    </row>
    <row r="19997">
      <c r="K19997" s="317"/>
    </row>
    <row r="19998">
      <c r="K19998" s="317"/>
    </row>
    <row r="19999">
      <c r="K19999" s="317"/>
    </row>
    <row r="20000">
      <c r="K20000" s="317"/>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3C47D"/>
    <outlinePr summaryBelow="0" summaryRight="0"/>
  </sheetPr>
  <sheetViews>
    <sheetView workbookViewId="0">
      <pane xSplit="3.0" ySplit="1.0" topLeftCell="D2" activePane="bottomRight" state="frozen"/>
      <selection activeCell="D1" sqref="D1" pane="topRight"/>
      <selection activeCell="A2" sqref="A2" pane="bottomLeft"/>
      <selection activeCell="D2" sqref="D2" pane="bottomRight"/>
    </sheetView>
  </sheetViews>
  <sheetFormatPr customHeight="1" defaultColWidth="12.63" defaultRowHeight="15.75"/>
  <cols>
    <col customWidth="1" hidden="1" min="1" max="1" width="31.88"/>
    <col customWidth="1" min="2" max="2" width="22.0"/>
    <col customWidth="1" min="3" max="3" width="20.63"/>
    <col customWidth="1" min="4" max="4" width="17.0"/>
    <col customWidth="1" min="5" max="5" width="12.5"/>
    <col customWidth="1" min="6" max="6" width="13.5"/>
    <col customWidth="1" min="7" max="7" width="8.38"/>
    <col customWidth="1" min="8" max="8" width="7.13"/>
    <col customWidth="1" min="9" max="9" width="8.5"/>
    <col customWidth="1" min="10" max="10" width="10.5"/>
    <col customWidth="1" min="11" max="11" width="49.5"/>
    <col customWidth="1" min="12" max="12" width="12.13"/>
    <col customWidth="1" min="13" max="13" width="9.88"/>
    <col customWidth="1" min="14" max="14" width="9.63"/>
    <col customWidth="1" min="15" max="15" width="38.63"/>
    <col customWidth="1" min="16" max="16" width="10.63"/>
    <col customWidth="1" min="17" max="17" width="11.38"/>
    <col customWidth="1" min="18" max="18" width="13.38"/>
    <col customWidth="1" min="19" max="19" width="10.63"/>
    <col customWidth="1" min="20" max="20" width="5.38"/>
    <col customWidth="1" hidden="1" min="21" max="26" width="5.38"/>
  </cols>
  <sheetData>
    <row r="1" ht="33.75" customHeight="1">
      <c r="A1" s="101" t="str">
        <f t="array" ref="A1:A1209">if(B:B="","", B:B&amp;" : "&amp;C:C)</f>
        <v>Client : Title</v>
      </c>
      <c r="B1" s="101" t="s">
        <v>0</v>
      </c>
      <c r="C1" s="101" t="s">
        <v>1137</v>
      </c>
      <c r="D1" s="101" t="s">
        <v>7</v>
      </c>
      <c r="E1" s="101" t="s">
        <v>6</v>
      </c>
      <c r="F1" s="101" t="s">
        <v>1138</v>
      </c>
      <c r="G1" s="101" t="s">
        <v>1139</v>
      </c>
      <c r="H1" s="101" t="s">
        <v>1140</v>
      </c>
      <c r="I1" s="101" t="s">
        <v>10</v>
      </c>
      <c r="J1" s="101" t="s">
        <v>1141</v>
      </c>
      <c r="K1" s="101" t="s">
        <v>8</v>
      </c>
      <c r="L1" s="101" t="s">
        <v>1142</v>
      </c>
      <c r="M1" s="102" t="s">
        <v>1143</v>
      </c>
      <c r="N1" s="103" t="s">
        <v>2</v>
      </c>
      <c r="O1" s="101" t="s">
        <v>14</v>
      </c>
      <c r="P1" s="101" t="s">
        <v>1144</v>
      </c>
      <c r="Q1" s="104"/>
      <c r="R1" s="101" t="s">
        <v>1145</v>
      </c>
      <c r="S1" s="101">
        <f t="array" ref="S1:S1209">if(B:B="","", sumif(Invoices!A:A,A:A,Invoices!B:B))</f>
        <v>0</v>
      </c>
      <c r="T1" s="101" t="s">
        <v>1146</v>
      </c>
      <c r="U1" s="101" t="s">
        <v>1147</v>
      </c>
      <c r="V1" s="101" t="s">
        <v>1147</v>
      </c>
      <c r="W1" s="101" t="s">
        <v>1147</v>
      </c>
      <c r="X1" s="101" t="s">
        <v>1147</v>
      </c>
      <c r="Y1" s="101" t="s">
        <v>1147</v>
      </c>
      <c r="Z1" s="101" t="s">
        <v>1148</v>
      </c>
    </row>
    <row r="2">
      <c r="A2" s="105" t="s">
        <v>1149</v>
      </c>
      <c r="B2" s="103" t="s">
        <v>1150</v>
      </c>
      <c r="C2" s="103" t="s">
        <v>1151</v>
      </c>
      <c r="D2" s="103" t="s">
        <v>1152</v>
      </c>
      <c r="E2" s="103" t="s">
        <v>209</v>
      </c>
      <c r="F2" s="103" t="s">
        <v>252</v>
      </c>
      <c r="G2" s="106">
        <v>0.0</v>
      </c>
      <c r="H2" s="107" t="s">
        <v>21</v>
      </c>
      <c r="I2" s="103">
        <v>30.0</v>
      </c>
      <c r="J2" s="108">
        <v>44197.0</v>
      </c>
      <c r="K2" s="109" t="s">
        <v>1153</v>
      </c>
      <c r="L2" s="110"/>
      <c r="M2" s="111"/>
      <c r="N2" s="103" t="s">
        <v>1154</v>
      </c>
      <c r="O2" s="112"/>
      <c r="P2" s="113" t="str">
        <f>if(D2="Monthly",mod(DATEDIF(J6,today(),"m")-1,var_monthly),
if(D2="Quarterly",mod(DATEDIF(J6,today(),"m")-1,var_quarterly),
if(D2="Yearly",mod(DATEDIF(J6,today(),"m")-1,var_yearly),
"")))</f>
        <v/>
      </c>
      <c r="Q2" s="114" t="str">
        <f>IFERROR(__xludf.DUMMYFUNCTION("if(N2=""Active"",
iferror(date(
  year(EDATE(today(),P2)),
  month(EDATE(today(),P2)),
  if(REGEXMATCH(F2, ""Month End""),
     eomonth(2,-1),
     if(REGEXMATCH(F2, ""Mid Month""),16,""err""))
)-1,""not scheduled""),""not active"")"),"not scheduled")</f>
        <v>not scheduled</v>
      </c>
      <c r="R2" s="108" t="str">
        <f>if(MAXIFS(Invoices!E:E,Invoices!A:A,A:A)=0,"",MAXIFS(Invoices!E:E,Invoices!A:A,A:A))</f>
        <v/>
      </c>
      <c r="S2" s="115">
        <v>0.0</v>
      </c>
      <c r="T2" s="103" t="b">
        <v>0</v>
      </c>
      <c r="U2" s="103"/>
      <c r="V2" s="103"/>
      <c r="W2" s="103"/>
      <c r="X2" s="103"/>
      <c r="Y2" s="103"/>
      <c r="Z2" s="103"/>
    </row>
    <row r="3">
      <c r="A3" s="110" t="s">
        <v>77</v>
      </c>
      <c r="B3" s="103" t="s">
        <v>1155</v>
      </c>
      <c r="C3" s="103" t="s">
        <v>1156</v>
      </c>
      <c r="D3" s="103" t="s">
        <v>52</v>
      </c>
      <c r="E3" s="103"/>
      <c r="F3" s="103" t="s">
        <v>52</v>
      </c>
      <c r="G3" s="106">
        <v>495.0</v>
      </c>
      <c r="H3" s="107" t="s">
        <v>21</v>
      </c>
      <c r="I3" s="103">
        <v>15.0</v>
      </c>
      <c r="J3" s="108">
        <v>44440.0</v>
      </c>
      <c r="K3" s="109" t="s">
        <v>78</v>
      </c>
      <c r="L3" s="110"/>
      <c r="M3" s="111"/>
      <c r="N3" s="103" t="s">
        <v>1157</v>
      </c>
      <c r="O3" s="112"/>
      <c r="P3" s="113">
        <f>if(D3="Monthly",mod(DATEDIF(J7,today(),"m")-1,var_monthly),
if(D3="Quarterly",mod(DATEDIF(J7,today(),"m")-1,var_quarterly),
if(D3="Yearly",mod(DATEDIF(J7,today(),"m")-1,var_yearly),
"")))</f>
        <v>0</v>
      </c>
      <c r="Q3" s="114" t="str">
        <f>IFERROR(__xludf.DUMMYFUNCTION("if(N3=""Active"",
iferror(date(
  year(EDATE(today(),P3)),
  month(EDATE(today(),P3)),
  if(REGEXMATCH(F3, ""Month End""),
     eomonth(2,-1),
     if(REGEXMATCH(F3, ""Mid Month""),16,""err""))
)-1,""not scheduled""),""not active"")"),"not active")</f>
        <v>not active</v>
      </c>
      <c r="R3" s="108">
        <f>if(MAXIFS(Invoices!E:E,Invoices!A:A,A:A)=0,"",MAXIFS(Invoices!E:E,Invoices!A:A,A:A))</f>
        <v>44501</v>
      </c>
      <c r="S3" s="115">
        <v>990.0</v>
      </c>
      <c r="T3" s="103" t="b">
        <v>1</v>
      </c>
      <c r="U3" s="103"/>
      <c r="V3" s="103"/>
      <c r="W3" s="103"/>
      <c r="X3" s="103"/>
      <c r="Y3" s="103"/>
      <c r="Z3" s="103"/>
    </row>
    <row r="4">
      <c r="A4" s="110" t="s">
        <v>189</v>
      </c>
      <c r="B4" s="103" t="s">
        <v>1158</v>
      </c>
      <c r="C4" s="103" t="s">
        <v>1159</v>
      </c>
      <c r="D4" s="103" t="s">
        <v>1160</v>
      </c>
      <c r="E4" s="103" t="s">
        <v>209</v>
      </c>
      <c r="F4" s="103" t="s">
        <v>459</v>
      </c>
      <c r="G4" s="106">
        <v>950.0</v>
      </c>
      <c r="H4" s="107" t="s">
        <v>9</v>
      </c>
      <c r="I4" s="103">
        <v>30.0</v>
      </c>
      <c r="J4" s="108">
        <v>44545.0</v>
      </c>
      <c r="K4" s="109" t="s">
        <v>1161</v>
      </c>
      <c r="L4" s="110"/>
      <c r="M4" s="111"/>
      <c r="N4" s="103" t="s">
        <v>1157</v>
      </c>
      <c r="O4" s="112"/>
      <c r="P4" s="113" t="str">
        <f>if(D4="Monthly",mod(DATEDIF(J8,today(),"m")-1,var_monthly),
if(D4="Quarterly",mod(DATEDIF(J8,today(),"m")-1,var_quarterly),
if(D4="Yearly",mod(DATEDIF(J8,today(),"m")-1,var_yearly),
"")))</f>
        <v/>
      </c>
      <c r="Q4" s="114" t="str">
        <f>IFERROR(__xludf.DUMMYFUNCTION("if(N4=""Active"",
iferror(date(
  year(EDATE(today(),P4)),
  month(EDATE(today(),P4)),
  if(REGEXMATCH(F4, ""Month End""),
     eomonth(2,-1),
     if(REGEXMATCH(F4, ""Mid Month""),16,""err""))
)-1,""not scheduled""),""not active"")"),"not active")</f>
        <v>not active</v>
      </c>
      <c r="R4" s="108">
        <f>if(MAXIFS(Invoices!E:E,Invoices!A:A,A:A)=0,"",MAXIFS(Invoices!E:E,Invoices!A:A,A:A))</f>
        <v>44865</v>
      </c>
      <c r="S4" s="115">
        <v>2366.11848</v>
      </c>
      <c r="T4" s="103" t="b">
        <v>0</v>
      </c>
      <c r="U4" s="103"/>
      <c r="V4" s="103"/>
      <c r="W4" s="103"/>
      <c r="X4" s="103"/>
      <c r="Y4" s="103"/>
      <c r="Z4" s="103"/>
    </row>
    <row r="5">
      <c r="A5" s="110" t="s">
        <v>129</v>
      </c>
      <c r="B5" s="103" t="s">
        <v>1158</v>
      </c>
      <c r="C5" s="103" t="s">
        <v>1162</v>
      </c>
      <c r="D5" s="103" t="s">
        <v>1160</v>
      </c>
      <c r="E5" s="103"/>
      <c r="F5" s="103" t="s">
        <v>252</v>
      </c>
      <c r="G5" s="106">
        <v>801.37</v>
      </c>
      <c r="H5" s="107" t="s">
        <v>9</v>
      </c>
      <c r="I5" s="103">
        <v>30.0</v>
      </c>
      <c r="J5" s="108">
        <v>44470.0</v>
      </c>
      <c r="K5" s="109" t="s">
        <v>131</v>
      </c>
      <c r="L5" s="110"/>
      <c r="M5" s="111"/>
      <c r="N5" s="103" t="s">
        <v>1157</v>
      </c>
      <c r="O5" s="112"/>
      <c r="P5" s="113" t="str">
        <f>if(D5="Monthly",mod(DATEDIF(J9,today(),"m")-1,var_monthly),
if(D5="Quarterly",mod(DATEDIF(J9,today(),"m")-1,var_quarterly),
if(D5="Yearly",mod(DATEDIF(J9,today(),"m")-1,var_yearly),
"")))</f>
        <v/>
      </c>
      <c r="Q5" s="114" t="str">
        <f>IFERROR(__xludf.DUMMYFUNCTION("if(N5=""Active"",
iferror(date(
  year(EDATE(today(),P5)),
  month(EDATE(today(),P5)),
  if(REGEXMATCH(F5, ""Month End""),
     eomonth(2,-1),
     if(REGEXMATCH(F5, ""Mid Month""),16,""err""))
)-1,""not scheduled""),""not active"")"),"not active")</f>
        <v>not active</v>
      </c>
      <c r="R5" s="108">
        <f>if(MAXIFS(Invoices!E:E,Invoices!A:A,A:A)=0,"",MAXIFS(Invoices!E:E,Invoices!A:A,A:A))</f>
        <v>44470</v>
      </c>
      <c r="S5" s="115">
        <v>801.37</v>
      </c>
      <c r="T5" s="103" t="b">
        <v>1</v>
      </c>
      <c r="U5" s="103"/>
      <c r="V5" s="103"/>
      <c r="W5" s="103"/>
      <c r="X5" s="103"/>
      <c r="Y5" s="103"/>
      <c r="Z5" s="103"/>
    </row>
    <row r="6">
      <c r="A6" s="110" t="s">
        <v>180</v>
      </c>
      <c r="B6" s="103" t="s">
        <v>1158</v>
      </c>
      <c r="C6" s="103" t="s">
        <v>1163</v>
      </c>
      <c r="D6" s="103" t="s">
        <v>716</v>
      </c>
      <c r="E6" s="103" t="s">
        <v>51</v>
      </c>
      <c r="F6" s="103" t="s">
        <v>716</v>
      </c>
      <c r="G6" s="106">
        <v>120.0</v>
      </c>
      <c r="H6" s="107" t="s">
        <v>9</v>
      </c>
      <c r="I6" s="103">
        <v>30.0</v>
      </c>
      <c r="J6" s="108">
        <v>44531.0</v>
      </c>
      <c r="K6" s="116" t="s">
        <v>184</v>
      </c>
      <c r="L6" s="110"/>
      <c r="M6" s="111"/>
      <c r="N6" s="103" t="s">
        <v>1154</v>
      </c>
      <c r="O6" s="109"/>
      <c r="P6" s="113">
        <f>if(D6="Monthly",mod(DATEDIF(J10,today(),"m")-1,var_monthly),
if(D6="Quarterly",mod(DATEDIF(J10,today(),"m")-1,var_quarterly),
if(D6="Yearly",mod(var_yearly,DATEDIF(J10,today(),"m")),
"")))</f>
        <v>3</v>
      </c>
      <c r="Q6" s="114" t="str">
        <f>IFERROR(__xludf.DUMMYFUNCTION("if(N6=""Active"",
iferror(date(
  year(EDATE(today(),P6)),
  month(EDATE(today(),P6)),
  if(REGEXMATCH(F6, ""Month End""),
     eomonth(2,-1),
     if(REGEXMATCH(F6, ""Mid Month""),16,""err""))
)-1,""not scheduled""),""not active"")"),"not scheduled")</f>
        <v>not scheduled</v>
      </c>
      <c r="R6" s="108">
        <f>if(MAXIFS(Invoices!E:E,Invoices!A:A,A:A)=0,"",MAXIFS(Invoices!E:E,Invoices!A:A,A:A))</f>
        <v>44910</v>
      </c>
      <c r="S6" s="115">
        <v>302.64024000000006</v>
      </c>
      <c r="T6" s="103" t="b">
        <v>0</v>
      </c>
      <c r="U6" s="103"/>
      <c r="V6" s="103"/>
      <c r="W6" s="103"/>
      <c r="X6" s="103"/>
      <c r="Y6" s="103"/>
      <c r="Z6" s="103"/>
    </row>
    <row r="7">
      <c r="A7" s="110" t="s">
        <v>394</v>
      </c>
      <c r="B7" s="103" t="s">
        <v>1158</v>
      </c>
      <c r="C7" s="103" t="s">
        <v>1164</v>
      </c>
      <c r="D7" s="103" t="s">
        <v>257</v>
      </c>
      <c r="E7" s="103" t="s">
        <v>447</v>
      </c>
      <c r="F7" s="103" t="s">
        <v>257</v>
      </c>
      <c r="G7" s="106">
        <v>150.0</v>
      </c>
      <c r="H7" s="107" t="s">
        <v>9</v>
      </c>
      <c r="I7" s="103">
        <v>30.0</v>
      </c>
      <c r="J7" s="108">
        <v>44531.0</v>
      </c>
      <c r="K7" s="117" t="s">
        <v>1165</v>
      </c>
      <c r="L7" s="110"/>
      <c r="M7" s="111"/>
      <c r="N7" s="103" t="s">
        <v>1154</v>
      </c>
      <c r="O7" s="118"/>
      <c r="P7" s="113">
        <f>if(D7="Monthly",mod(DATEDIF(J11,today(),"m")-1,var_monthly),
if(D7="Quarterly",mod(DATEDIF(J11,today(),"m")+var_quarterly-1,var_quarterly),
if(D7="Yearly",mod(DATEDIF(J11,today(),"m")+var_yearly-1,var_yearly),
"")))</f>
        <v>0</v>
      </c>
      <c r="Q7" s="114" t="str">
        <f>IFERROR(__xludf.DUMMYFUNCTION("if(N7=""Active"",
iferror(date(
  year(EDATE(today(),P7)),
  month(EDATE(today(),P7)),
  if(REGEXMATCH(F7, ""Month End""),
     eomonth(2,-1),
     if(REGEXMATCH(F7, ""Mid Month""),16,""err""))
)-1,""not scheduled""),""not active"")"),"not scheduled")</f>
        <v>not scheduled</v>
      </c>
      <c r="R7" s="108">
        <f>if(MAXIFS(Invoices!E:E,Invoices!A:A,A:A)=0,"",MAXIFS(Invoices!E:E,Invoices!A:A,A:A))</f>
        <v>45230</v>
      </c>
      <c r="S7" s="115">
        <v>1502.085</v>
      </c>
      <c r="T7" s="103" t="b">
        <v>0</v>
      </c>
      <c r="U7" s="103"/>
      <c r="V7" s="103"/>
      <c r="W7" s="103"/>
      <c r="X7" s="103"/>
      <c r="Y7" s="103"/>
      <c r="Z7" s="103"/>
    </row>
    <row r="8">
      <c r="A8" s="110" t="s">
        <v>1166</v>
      </c>
      <c r="B8" s="103" t="s">
        <v>1167</v>
      </c>
      <c r="C8" s="103" t="s">
        <v>1168</v>
      </c>
      <c r="D8" s="103" t="s">
        <v>1160</v>
      </c>
      <c r="E8" s="110"/>
      <c r="F8" s="110"/>
      <c r="G8" s="115"/>
      <c r="H8" s="107" t="s">
        <v>9</v>
      </c>
      <c r="I8" s="103">
        <v>30.0</v>
      </c>
      <c r="J8" s="108">
        <v>44501.0</v>
      </c>
      <c r="K8" s="112"/>
      <c r="L8" s="110"/>
      <c r="M8" s="111"/>
      <c r="N8" s="103" t="s">
        <v>1157</v>
      </c>
      <c r="O8" s="109" t="s">
        <v>1169</v>
      </c>
      <c r="P8" s="115"/>
      <c r="Q8" s="114"/>
      <c r="R8" s="108" t="str">
        <f>if(MAXIFS(Invoices!E:E,Invoices!A:A,A:A)=0,"",MAXIFS(Invoices!E:E,Invoices!A:A,A:A))</f>
        <v/>
      </c>
      <c r="S8" s="115">
        <v>0.0</v>
      </c>
      <c r="T8" s="103" t="b">
        <v>1</v>
      </c>
      <c r="U8" s="103"/>
      <c r="V8" s="103"/>
      <c r="W8" s="103"/>
      <c r="X8" s="103"/>
      <c r="Y8" s="103"/>
      <c r="Z8" s="103"/>
    </row>
    <row r="9">
      <c r="A9" s="110" t="s">
        <v>144</v>
      </c>
      <c r="B9" s="103" t="s">
        <v>1170</v>
      </c>
      <c r="C9" s="103" t="s">
        <v>1156</v>
      </c>
      <c r="D9" s="103" t="s">
        <v>1160</v>
      </c>
      <c r="E9" s="103" t="s">
        <v>209</v>
      </c>
      <c r="F9" s="103" t="s">
        <v>459</v>
      </c>
      <c r="G9" s="106">
        <v>905.0</v>
      </c>
      <c r="H9" s="107" t="s">
        <v>21</v>
      </c>
      <c r="I9" s="103">
        <v>30.0</v>
      </c>
      <c r="J9" s="108">
        <v>44531.0</v>
      </c>
      <c r="K9" s="109" t="s">
        <v>145</v>
      </c>
      <c r="L9" s="110"/>
      <c r="M9" s="111"/>
      <c r="N9" s="103" t="s">
        <v>1157</v>
      </c>
      <c r="O9" s="118" t="s">
        <v>1171</v>
      </c>
      <c r="P9" s="113" t="str">
        <f>if(D9="Monthly",mod(DATEDIF(J13,today(),"m")-1,var_monthly),
if(D9="Quarterly",mod(DATEDIF(J13,today(),"m")-1,var_quarterly),
if(D9="Yearly",mod(DATEDIF(J13,today(),"m")-1,var_yearly),
"")))</f>
        <v/>
      </c>
      <c r="Q9" s="114" t="str">
        <f>IFERROR(__xludf.DUMMYFUNCTION("if(N9=""Active"",
iferror(date(
  year(EDATE(today(),P9)),
  month(EDATE(today(),P9)),
  if(REGEXMATCH(F9, ""Month End""),
     eomonth(2,-1),
     if(REGEXMATCH(F9, ""Mid Month""),16,""err""))
)-1,""not scheduled""),""not active"")"),"not active")</f>
        <v>not active</v>
      </c>
      <c r="R9" s="108">
        <f>if(MAXIFS(Invoices!E:E,Invoices!A:A,A:A)=0,"",MAXIFS(Invoices!E:E,Invoices!A:A,A:A))</f>
        <v>44501</v>
      </c>
      <c r="S9" s="115">
        <v>905.0</v>
      </c>
      <c r="T9" s="103" t="b">
        <v>0</v>
      </c>
      <c r="U9" s="103"/>
      <c r="V9" s="103"/>
      <c r="W9" s="103"/>
      <c r="X9" s="103"/>
      <c r="Y9" s="103"/>
      <c r="Z9" s="103"/>
    </row>
    <row r="10">
      <c r="A10" s="110" t="s">
        <v>39</v>
      </c>
      <c r="B10" s="103" t="s">
        <v>1170</v>
      </c>
      <c r="C10" s="103" t="s">
        <v>1172</v>
      </c>
      <c r="D10" s="103" t="s">
        <v>1160</v>
      </c>
      <c r="E10" s="103"/>
      <c r="F10" s="103" t="s">
        <v>196</v>
      </c>
      <c r="G10" s="106">
        <v>1800.0</v>
      </c>
      <c r="H10" s="107" t="s">
        <v>21</v>
      </c>
      <c r="I10" s="103">
        <v>30.0</v>
      </c>
      <c r="J10" s="108">
        <v>44470.0</v>
      </c>
      <c r="K10" s="112"/>
      <c r="L10" s="110"/>
      <c r="M10" s="111"/>
      <c r="N10" s="103" t="s">
        <v>1157</v>
      </c>
      <c r="O10" s="112"/>
      <c r="P10" s="115"/>
      <c r="Q10" s="114"/>
      <c r="R10" s="108">
        <f>if(MAXIFS(Invoices!E:E,Invoices!A:A,A:A)=0,"",MAXIFS(Invoices!E:E,Invoices!A:A,A:A))</f>
        <v>44501</v>
      </c>
      <c r="S10" s="115">
        <v>1800.0</v>
      </c>
      <c r="T10" s="103" t="b">
        <v>1</v>
      </c>
      <c r="U10" s="103"/>
      <c r="V10" s="103"/>
      <c r="W10" s="103"/>
      <c r="X10" s="103"/>
      <c r="Y10" s="103"/>
      <c r="Z10" s="103"/>
    </row>
    <row r="11">
      <c r="A11" s="110" t="s">
        <v>1173</v>
      </c>
      <c r="B11" s="103" t="s">
        <v>1174</v>
      </c>
      <c r="C11" s="103" t="s">
        <v>1175</v>
      </c>
      <c r="D11" s="103" t="s">
        <v>1160</v>
      </c>
      <c r="E11" s="103"/>
      <c r="F11" s="103" t="s">
        <v>196</v>
      </c>
      <c r="G11" s="106">
        <v>10000.0</v>
      </c>
      <c r="H11" s="107" t="s">
        <v>21</v>
      </c>
      <c r="I11" s="103">
        <v>30.0</v>
      </c>
      <c r="J11" s="108">
        <v>44348.0</v>
      </c>
      <c r="K11" s="112"/>
      <c r="L11" s="110"/>
      <c r="M11" s="111"/>
      <c r="N11" s="103" t="s">
        <v>1157</v>
      </c>
      <c r="O11" s="112"/>
      <c r="P11" s="115"/>
      <c r="Q11" s="114"/>
      <c r="R11" s="108" t="str">
        <f>if(MAXIFS(Invoices!E:E,Invoices!A:A,A:A)=0,"",MAXIFS(Invoices!E:E,Invoices!A:A,A:A))</f>
        <v/>
      </c>
      <c r="S11" s="115">
        <v>0.0</v>
      </c>
      <c r="T11" s="103" t="b">
        <v>1</v>
      </c>
      <c r="U11" s="103"/>
      <c r="V11" s="103"/>
      <c r="W11" s="103"/>
      <c r="X11" s="103"/>
      <c r="Y11" s="103"/>
      <c r="Z11" s="103"/>
    </row>
    <row r="12">
      <c r="A12" s="110" t="s">
        <v>223</v>
      </c>
      <c r="B12" s="103" t="s">
        <v>1176</v>
      </c>
      <c r="C12" s="103" t="s">
        <v>1156</v>
      </c>
      <c r="D12" s="103" t="s">
        <v>52</v>
      </c>
      <c r="E12" s="103" t="s">
        <v>51</v>
      </c>
      <c r="F12" s="103" t="s">
        <v>52</v>
      </c>
      <c r="G12" s="106">
        <v>880.0</v>
      </c>
      <c r="H12" s="107" t="s">
        <v>21</v>
      </c>
      <c r="I12" s="103">
        <v>30.0</v>
      </c>
      <c r="J12" s="103" t="s">
        <v>1177</v>
      </c>
      <c r="K12" s="109" t="s">
        <v>247</v>
      </c>
      <c r="L12" s="110"/>
      <c r="M12" s="111"/>
      <c r="N12" s="103" t="s">
        <v>1154</v>
      </c>
      <c r="O12" s="112"/>
      <c r="P12" s="115"/>
      <c r="Q12" s="114"/>
      <c r="R12" s="108">
        <f>if(MAXIFS(Invoices!E:E,Invoices!A:A,A:A)=0,"",MAXIFS(Invoices!E:E,Invoices!A:A,A:A))</f>
        <v>45169</v>
      </c>
      <c r="S12" s="115">
        <v>18429.5</v>
      </c>
      <c r="T12" s="103" t="b">
        <v>0</v>
      </c>
      <c r="U12" s="103"/>
      <c r="V12" s="103"/>
      <c r="W12" s="103"/>
      <c r="X12" s="103"/>
      <c r="Y12" s="103"/>
      <c r="Z12" s="103"/>
    </row>
    <row r="13">
      <c r="A13" s="110" t="s">
        <v>264</v>
      </c>
      <c r="B13" s="103" t="s">
        <v>1178</v>
      </c>
      <c r="C13" s="103" t="s">
        <v>1179</v>
      </c>
      <c r="D13" s="103" t="s">
        <v>1160</v>
      </c>
      <c r="E13" s="103"/>
      <c r="F13" s="103" t="s">
        <v>252</v>
      </c>
      <c r="G13" s="106">
        <v>0.0</v>
      </c>
      <c r="H13" s="107" t="s">
        <v>21</v>
      </c>
      <c r="I13" s="103">
        <v>30.0</v>
      </c>
      <c r="J13" s="108">
        <v>44470.0</v>
      </c>
      <c r="K13" s="109" t="s">
        <v>1180</v>
      </c>
      <c r="L13" s="110"/>
      <c r="M13" s="111"/>
      <c r="N13" s="103" t="s">
        <v>1157</v>
      </c>
      <c r="O13" s="109" t="s">
        <v>1181</v>
      </c>
      <c r="P13" s="113" t="str">
        <f>if(D13="Monthly",mod(DATEDIF(J17,today(),"m")-1,var_monthly),
if(D13="Quarterly",mod(DATEDIF(J17,today(),"m")-1,var_quarterly),
if(D13="Yearly",mod(DATEDIF(J17,today(),"m")-1,var_yearly),
"")))</f>
        <v/>
      </c>
      <c r="Q13" s="114" t="str">
        <f>IFERROR(__xludf.DUMMYFUNCTION("if(N13=""Active"",
iferror(date(
  year(EDATE(today(),P13)),
  month(EDATE(today(),P13)),
  if(REGEXMATCH(F13, ""Month End""),
     eomonth(2,-1),
     if(REGEXMATCH(F13, ""Mid Month""),16,""err""))
)-1,""not scheduled""),""not active"")"),"not active")</f>
        <v>not active</v>
      </c>
      <c r="R13" s="108">
        <f>if(MAXIFS(Invoices!E:E,Invoices!A:A,A:A)=0,"",MAXIFS(Invoices!E:E,Invoices!A:A,A:A))</f>
        <v>44788</v>
      </c>
      <c r="S13" s="115">
        <v>5350.0</v>
      </c>
      <c r="T13" s="103" t="b">
        <v>1</v>
      </c>
      <c r="U13" s="103"/>
      <c r="V13" s="103"/>
      <c r="W13" s="103"/>
      <c r="X13" s="103"/>
      <c r="Y13" s="103"/>
      <c r="Z13" s="103"/>
    </row>
    <row r="14">
      <c r="A14" s="110" t="s">
        <v>68</v>
      </c>
      <c r="B14" s="103" t="s">
        <v>1178</v>
      </c>
      <c r="C14" s="103" t="s">
        <v>1156</v>
      </c>
      <c r="D14" s="103" t="s">
        <v>52</v>
      </c>
      <c r="E14" s="103" t="s">
        <v>27</v>
      </c>
      <c r="F14" s="103" t="s">
        <v>52</v>
      </c>
      <c r="G14" s="106">
        <v>650.0</v>
      </c>
      <c r="H14" s="107" t="s">
        <v>21</v>
      </c>
      <c r="I14" s="103">
        <v>30.0</v>
      </c>
      <c r="J14" s="108">
        <v>44197.0</v>
      </c>
      <c r="K14" s="109" t="s">
        <v>69</v>
      </c>
      <c r="L14" s="110"/>
      <c r="M14" s="111"/>
      <c r="N14" s="103" t="s">
        <v>1182</v>
      </c>
      <c r="O14" s="112"/>
      <c r="P14" s="113">
        <f>if(D14="Monthly",mod(DATEDIF(J18,today(),"m")-1,var_monthly),
if(D14="Quarterly",mod(DATEDIF(J18,today(),"m")-1,var_quarterly),
if(D14="Yearly",mod(DATEDIF(J18,today(),"m")-1,var_yearly),
"")))</f>
        <v>0</v>
      </c>
      <c r="Q14" s="114" t="str">
        <f>IFERROR(__xludf.DUMMYFUNCTION("if(N14=""Active"",
iferror(date(
  year(EDATE(today(),P14)),
  month(EDATE(today(),P14)),
  if(REGEXMATCH(F14, ""Month End""),
     eomonth(2,-1),
     if(REGEXMATCH(F14, ""Mid Month""),16,""err""))
)-1,""not scheduled""),""not active"")"),"not active")</f>
        <v>not active</v>
      </c>
      <c r="R14" s="108">
        <f>if(MAXIFS(Invoices!E:E,Invoices!A:A,A:A)=0,"",MAXIFS(Invoices!E:E,Invoices!A:A,A:A))</f>
        <v>44819</v>
      </c>
      <c r="S14" s="115">
        <v>7800.0</v>
      </c>
      <c r="T14" s="103" t="b">
        <v>0</v>
      </c>
      <c r="U14" s="103"/>
      <c r="V14" s="103"/>
      <c r="W14" s="103"/>
      <c r="X14" s="103"/>
      <c r="Y14" s="103"/>
      <c r="Z14" s="103"/>
    </row>
    <row r="15">
      <c r="A15" s="110" t="s">
        <v>1183</v>
      </c>
      <c r="B15" s="103" t="s">
        <v>1184</v>
      </c>
      <c r="C15" s="103" t="s">
        <v>1175</v>
      </c>
      <c r="D15" s="103" t="s">
        <v>1160</v>
      </c>
      <c r="E15" s="103"/>
      <c r="F15" s="103" t="s">
        <v>196</v>
      </c>
      <c r="G15" s="106">
        <v>10000.0</v>
      </c>
      <c r="H15" s="107" t="s">
        <v>21</v>
      </c>
      <c r="I15" s="103">
        <v>30.0</v>
      </c>
      <c r="J15" s="108">
        <v>44256.0</v>
      </c>
      <c r="K15" s="112"/>
      <c r="L15" s="110"/>
      <c r="M15" s="111"/>
      <c r="N15" s="103" t="s">
        <v>1157</v>
      </c>
      <c r="O15" s="112"/>
      <c r="P15" s="115"/>
      <c r="Q15" s="114"/>
      <c r="R15" s="108" t="str">
        <f>if(MAXIFS(Invoices!E:E,Invoices!A:A,A:A)=0,"",MAXIFS(Invoices!E:E,Invoices!A:A,A:A))</f>
        <v/>
      </c>
      <c r="S15" s="115">
        <v>0.0</v>
      </c>
      <c r="T15" s="103" t="b">
        <v>1</v>
      </c>
      <c r="U15" s="103"/>
      <c r="V15" s="103"/>
      <c r="W15" s="103"/>
      <c r="X15" s="103"/>
      <c r="Y15" s="103"/>
      <c r="Z15" s="103"/>
    </row>
    <row r="16">
      <c r="A16" s="110" t="s">
        <v>246</v>
      </c>
      <c r="B16" s="103" t="s">
        <v>1184</v>
      </c>
      <c r="C16" s="103" t="s">
        <v>1156</v>
      </c>
      <c r="D16" s="103" t="s">
        <v>52</v>
      </c>
      <c r="E16" s="103" t="s">
        <v>27</v>
      </c>
      <c r="F16" s="103" t="s">
        <v>52</v>
      </c>
      <c r="G16" s="106">
        <v>500.0</v>
      </c>
      <c r="H16" s="107" t="s">
        <v>21</v>
      </c>
      <c r="I16" s="103">
        <v>30.0</v>
      </c>
      <c r="J16" s="108">
        <v>44576.0</v>
      </c>
      <c r="K16" s="109" t="s">
        <v>247</v>
      </c>
      <c r="L16" s="110"/>
      <c r="M16" s="111"/>
      <c r="N16" s="103" t="s">
        <v>1182</v>
      </c>
      <c r="O16" s="112"/>
      <c r="P16" s="115"/>
      <c r="Q16" s="114"/>
      <c r="R16" s="108">
        <f>if(MAXIFS(Invoices!E:E,Invoices!A:A,A:A)=0,"",MAXIFS(Invoices!E:E,Invoices!A:A,A:A))</f>
        <v>44666</v>
      </c>
      <c r="S16" s="115">
        <v>2000.0</v>
      </c>
      <c r="T16" s="103" t="b">
        <v>0</v>
      </c>
      <c r="U16" s="103"/>
      <c r="V16" s="103"/>
      <c r="W16" s="103"/>
      <c r="X16" s="103"/>
      <c r="Y16" s="103"/>
      <c r="Z16" s="103"/>
    </row>
    <row r="17">
      <c r="A17" s="110" t="s">
        <v>60</v>
      </c>
      <c r="B17" s="103" t="s">
        <v>1185</v>
      </c>
      <c r="C17" s="103" t="s">
        <v>1168</v>
      </c>
      <c r="D17" s="103" t="s">
        <v>1160</v>
      </c>
      <c r="E17" s="103"/>
      <c r="F17" s="103" t="s">
        <v>196</v>
      </c>
      <c r="G17" s="106">
        <v>5300.0</v>
      </c>
      <c r="H17" s="107" t="s">
        <v>21</v>
      </c>
      <c r="I17" s="103">
        <v>30.0</v>
      </c>
      <c r="J17" s="108">
        <v>44501.0</v>
      </c>
      <c r="K17" s="109" t="s">
        <v>61</v>
      </c>
      <c r="L17" s="110"/>
      <c r="M17" s="111"/>
      <c r="N17" s="103" t="s">
        <v>1157</v>
      </c>
      <c r="O17" s="112"/>
      <c r="P17" s="113" t="str">
        <f>if(D17="Monthly",mod(DATEDIF(J21,today(),"m")-1,var_monthly),
if(D17="Quarterly",mod(DATEDIF(J21,today(),"m")-1,var_quarterly),
if(D17="Yearly",mod(DATEDIF(J21,today(),"m")-1,var_yearly),
"")))</f>
        <v/>
      </c>
      <c r="Q17" s="114" t="str">
        <f>IFERROR(__xludf.DUMMYFUNCTION("if(N17=""Active"",
iferror(date(
  year(EDATE(today(),P17)),
  month(EDATE(today(),P17)),
  if(REGEXMATCH(F17, ""Month End""),
     eomonth(2,-1),
     if(REGEXMATCH(F17, ""Mid Month""),16,""err""))
)-1,""not scheduled""),""not active"")"),"not active")</f>
        <v>not active</v>
      </c>
      <c r="R17" s="108">
        <f>if(MAXIFS(Invoices!E:E,Invoices!A:A,A:A)=0,"",MAXIFS(Invoices!E:E,Invoices!A:A,A:A))</f>
        <v>44531</v>
      </c>
      <c r="S17" s="115">
        <v>5300.0</v>
      </c>
      <c r="T17" s="103" t="b">
        <v>1</v>
      </c>
      <c r="U17" s="103"/>
      <c r="V17" s="103"/>
      <c r="W17" s="103"/>
      <c r="X17" s="103"/>
      <c r="Y17" s="103"/>
      <c r="Z17" s="103"/>
    </row>
    <row r="18">
      <c r="A18" s="110" t="s">
        <v>251</v>
      </c>
      <c r="B18" s="103" t="s">
        <v>1185</v>
      </c>
      <c r="C18" s="103" t="s">
        <v>1186</v>
      </c>
      <c r="D18" s="103" t="s">
        <v>1160</v>
      </c>
      <c r="E18" s="103" t="s">
        <v>209</v>
      </c>
      <c r="F18" s="103" t="s">
        <v>459</v>
      </c>
      <c r="G18" s="106">
        <v>500.0</v>
      </c>
      <c r="H18" s="107" t="s">
        <v>21</v>
      </c>
      <c r="I18" s="103">
        <v>30.0</v>
      </c>
      <c r="J18" s="108">
        <v>44546.0</v>
      </c>
      <c r="K18" s="109" t="s">
        <v>253</v>
      </c>
      <c r="L18" s="110"/>
      <c r="M18" s="111"/>
      <c r="N18" s="103" t="s">
        <v>1157</v>
      </c>
      <c r="O18" s="112"/>
      <c r="P18" s="115"/>
      <c r="Q18" s="114"/>
      <c r="R18" s="108">
        <f>if(MAXIFS(Invoices!E:E,Invoices!A:A,A:A)=0,"",MAXIFS(Invoices!E:E,Invoices!A:A,A:A))</f>
        <v>44575</v>
      </c>
      <c r="S18" s="115">
        <v>500.0</v>
      </c>
      <c r="T18" s="103" t="b">
        <v>0</v>
      </c>
      <c r="U18" s="103"/>
      <c r="V18" s="103"/>
      <c r="W18" s="103"/>
      <c r="X18" s="103"/>
      <c r="Y18" s="103"/>
      <c r="Z18" s="103"/>
    </row>
    <row r="19">
      <c r="A19" s="110" t="s">
        <v>54</v>
      </c>
      <c r="B19" s="103" t="s">
        <v>1187</v>
      </c>
      <c r="C19" s="103" t="s">
        <v>1156</v>
      </c>
      <c r="D19" s="103" t="s">
        <v>52</v>
      </c>
      <c r="E19" s="103" t="s">
        <v>51</v>
      </c>
      <c r="F19" s="103" t="s">
        <v>52</v>
      </c>
      <c r="G19" s="106">
        <v>750.0</v>
      </c>
      <c r="H19" s="107" t="s">
        <v>21</v>
      </c>
      <c r="I19" s="103">
        <v>30.0</v>
      </c>
      <c r="J19" s="108"/>
      <c r="K19" s="109" t="s">
        <v>55</v>
      </c>
      <c r="L19" s="110"/>
      <c r="M19" s="111"/>
      <c r="N19" s="103" t="s">
        <v>1154</v>
      </c>
      <c r="O19" s="112"/>
      <c r="P19" s="113">
        <f>if(D19="Monthly",mod(DATEDIF(J23,today(),"m")-1,var_monthly),
if(D19="Quarterly",mod(DATEDIF(J23,today(),"m")-1,var_quarterly),
if(D19="Yearly",mod(DATEDIF(J23,today(),"m")-1,var_yearly),
"")))</f>
        <v>0</v>
      </c>
      <c r="Q19" s="114" t="str">
        <f>IFERROR(__xludf.DUMMYFUNCTION("if(N19=""Active"",
iferror(date(
  year(EDATE(today(),P19)),
  month(EDATE(today(),P19)),
  if(REGEXMATCH(F19, ""Month End""),
     eomonth(2,-1),
     if(REGEXMATCH(F19, ""Mid Month""),16,""err""))
)-1,""not scheduled""),""not active"")"),"not scheduled")</f>
        <v>not scheduled</v>
      </c>
      <c r="R19" s="108">
        <f>if(MAXIFS(Invoices!E:E,Invoices!A:A,A:A)=0,"",MAXIFS(Invoices!E:E,Invoices!A:A,A:A))</f>
        <v>45169</v>
      </c>
      <c r="S19" s="115">
        <v>18350.0</v>
      </c>
      <c r="T19" s="103" t="b">
        <v>0</v>
      </c>
      <c r="U19" s="103"/>
      <c r="V19" s="103"/>
      <c r="W19" s="103"/>
      <c r="X19" s="103"/>
      <c r="Y19" s="103"/>
      <c r="Z19" s="103"/>
    </row>
    <row r="20">
      <c r="A20" s="110" t="s">
        <v>96</v>
      </c>
      <c r="B20" s="103" t="s">
        <v>1188</v>
      </c>
      <c r="C20" s="103" t="s">
        <v>1156</v>
      </c>
      <c r="D20" s="103" t="s">
        <v>52</v>
      </c>
      <c r="E20" s="103"/>
      <c r="F20" s="103" t="s">
        <v>52</v>
      </c>
      <c r="G20" s="106">
        <v>550.0</v>
      </c>
      <c r="H20" s="107" t="s">
        <v>21</v>
      </c>
      <c r="I20" s="103">
        <v>30.0</v>
      </c>
      <c r="J20" s="108">
        <v>44197.0</v>
      </c>
      <c r="K20" s="109" t="s">
        <v>69</v>
      </c>
      <c r="L20" s="110"/>
      <c r="M20" s="111"/>
      <c r="N20" s="103" t="s">
        <v>1157</v>
      </c>
      <c r="O20" s="112"/>
      <c r="P20" s="113">
        <f>if(D20="Monthly",mod(DATEDIF(J24,today(),"m")-1,var_monthly),
if(D20="Quarterly",mod(DATEDIF(J24,today(),"m")-1,var_quarterly),
if(D20="Yearly",mod(DATEDIF(J24,today(),"m")-1,var_yearly),
"")))</f>
        <v>0</v>
      </c>
      <c r="Q20" s="114" t="str">
        <f>IFERROR(__xludf.DUMMYFUNCTION("if(N20=""Active"",
iferror(date(
  year(EDATE(today(),P20)),
  month(EDATE(today(),P20)),
  if(REGEXMATCH(F20, ""Month End""),
     eomonth(2,-1),
     if(REGEXMATCH(F20, ""Mid Month""),16,""err""))
)-1,""not scheduled""),""not active"")"),"not active")</f>
        <v>not active</v>
      </c>
      <c r="R20" s="108">
        <f>if(MAXIFS(Invoices!E:E,Invoices!A:A,A:A)=0,"",MAXIFS(Invoices!E:E,Invoices!A:A,A:A))</f>
        <v>44470</v>
      </c>
      <c r="S20" s="115">
        <v>550.0</v>
      </c>
      <c r="T20" s="103" t="b">
        <v>1</v>
      </c>
      <c r="U20" s="103"/>
      <c r="V20" s="103"/>
      <c r="W20" s="103"/>
      <c r="X20" s="103"/>
      <c r="Y20" s="103"/>
      <c r="Z20" s="103"/>
    </row>
    <row r="21">
      <c r="A21" s="110" t="s">
        <v>208</v>
      </c>
      <c r="B21" s="103" t="s">
        <v>1189</v>
      </c>
      <c r="C21" s="103" t="s">
        <v>1190</v>
      </c>
      <c r="D21" s="103" t="s">
        <v>1152</v>
      </c>
      <c r="E21" s="103" t="s">
        <v>209</v>
      </c>
      <c r="F21" s="103" t="s">
        <v>459</v>
      </c>
      <c r="G21" s="106">
        <v>600.0</v>
      </c>
      <c r="H21" s="107" t="s">
        <v>21</v>
      </c>
      <c r="I21" s="103">
        <v>30.0</v>
      </c>
      <c r="J21" s="108">
        <v>44562.0</v>
      </c>
      <c r="K21" s="109" t="s">
        <v>143</v>
      </c>
      <c r="L21" s="110"/>
      <c r="M21" s="111"/>
      <c r="N21" s="103" t="s">
        <v>1157</v>
      </c>
      <c r="O21" s="112"/>
      <c r="P21" s="115"/>
      <c r="Q21" s="114"/>
      <c r="R21" s="108">
        <f>if(MAXIFS(Invoices!E:E,Invoices!A:A,A:A)=0,"",MAXIFS(Invoices!E:E,Invoices!A:A,A:A))</f>
        <v>44561</v>
      </c>
      <c r="S21" s="115">
        <v>600.0</v>
      </c>
      <c r="T21" s="103" t="b">
        <v>0</v>
      </c>
      <c r="U21" s="103"/>
      <c r="V21" s="103"/>
      <c r="W21" s="103"/>
      <c r="X21" s="103"/>
      <c r="Y21" s="103"/>
      <c r="Z21" s="103"/>
    </row>
    <row r="22">
      <c r="A22" s="110" t="s">
        <v>149</v>
      </c>
      <c r="B22" s="103" t="s">
        <v>1191</v>
      </c>
      <c r="C22" s="103" t="s">
        <v>1190</v>
      </c>
      <c r="D22" s="103" t="s">
        <v>1152</v>
      </c>
      <c r="E22" s="103" t="s">
        <v>209</v>
      </c>
      <c r="F22" s="103" t="s">
        <v>459</v>
      </c>
      <c r="G22" s="106">
        <v>600.0</v>
      </c>
      <c r="H22" s="107" t="s">
        <v>21</v>
      </c>
      <c r="I22" s="103">
        <v>30.0</v>
      </c>
      <c r="J22" s="108">
        <v>44531.0</v>
      </c>
      <c r="K22" s="109" t="s">
        <v>143</v>
      </c>
      <c r="L22" s="110"/>
      <c r="M22" s="111"/>
      <c r="N22" s="103" t="s">
        <v>1154</v>
      </c>
      <c r="O22" s="112"/>
      <c r="P22" s="113" t="str">
        <f>if(D22="Monthly",mod(DATEDIF(J26,today(),"m")-1,var_monthly),
if(D22="Quarterly",mod(DATEDIF(J26,today(),"m")-1,var_quarterly),
if(D22="Yearly",mod(DATEDIF(J26,today(),"m")-1,var_yearly),
"")))</f>
        <v/>
      </c>
      <c r="Q22" s="114" t="str">
        <f>IFERROR(__xludf.DUMMYFUNCTION("if(N22=""Active"",
iferror(date(
  year(EDATE(today(),P22)),
  month(EDATE(today(),P22)),
  if(REGEXMATCH(F22, ""Month End""),
     eomonth(2,-1),
     if(REGEXMATCH(F22, ""Mid Month""),16,""err""))
)-1,""not scheduled""),""not active"")"),"not scheduled")</f>
        <v>not scheduled</v>
      </c>
      <c r="R22" s="108">
        <f>if(MAXIFS(Invoices!E:E,Invoices!A:A,A:A)=0,"",MAXIFS(Invoices!E:E,Invoices!A:A,A:A))</f>
        <v>44531</v>
      </c>
      <c r="S22" s="115">
        <v>600.0</v>
      </c>
      <c r="T22" s="103" t="b">
        <v>0</v>
      </c>
      <c r="U22" s="103"/>
      <c r="V22" s="103"/>
      <c r="W22" s="103"/>
      <c r="X22" s="103"/>
      <c r="Y22" s="103"/>
      <c r="Z22" s="103"/>
    </row>
    <row r="23">
      <c r="A23" s="110" t="s">
        <v>99</v>
      </c>
      <c r="B23" s="103" t="s">
        <v>1192</v>
      </c>
      <c r="C23" s="103" t="s">
        <v>1156</v>
      </c>
      <c r="D23" s="103" t="s">
        <v>52</v>
      </c>
      <c r="E23" s="103" t="s">
        <v>27</v>
      </c>
      <c r="F23" s="103" t="s">
        <v>52</v>
      </c>
      <c r="G23" s="106">
        <f>1300+(1300*0.1)</f>
        <v>1430</v>
      </c>
      <c r="H23" s="107" t="s">
        <v>9</v>
      </c>
      <c r="I23" s="103">
        <v>30.0</v>
      </c>
      <c r="J23" s="108">
        <v>44197.0</v>
      </c>
      <c r="K23" s="109" t="s">
        <v>101</v>
      </c>
      <c r="L23" s="119" t="s">
        <v>1193</v>
      </c>
      <c r="M23" s="120">
        <v>0.2</v>
      </c>
      <c r="N23" s="103" t="s">
        <v>1154</v>
      </c>
      <c r="O23" s="112"/>
      <c r="P23" s="113">
        <f>if(D23="Monthly",mod(DATEDIF(J27,today(),"m")-1,var_monthly),
if(D23="Quarterly",mod(DATEDIF(J27,today(),"m")-1,var_quarterly),
if(D23="Yearly",mod(DATEDIF(J27,today(),"m")-1,var_yearly),
"")))</f>
        <v>0</v>
      </c>
      <c r="Q23" s="114" t="str">
        <f>IFERROR(__xludf.DUMMYFUNCTION("if(N23=""Active"",
iferror(date(
  year(EDATE(today(),P23)),
  month(EDATE(today(),P23)),
  if(REGEXMATCH(F23, ""Month End""),
     eomonth(2,-1),
     if(REGEXMATCH(F23, ""Mid Month""),16,""err""))
)-1,""not scheduled""),""not active"")"),"not scheduled")</f>
        <v>not scheduled</v>
      </c>
      <c r="R23" s="108">
        <f>if(MAXIFS(Invoices!E:E,Invoices!A:A,A:A)=0,"",MAXIFS(Invoices!E:E,Invoices!A:A,A:A))</f>
        <v>45153</v>
      </c>
      <c r="S23" s="115">
        <v>39681.046729999995</v>
      </c>
      <c r="T23" s="103" t="b">
        <v>0</v>
      </c>
      <c r="U23" s="103"/>
      <c r="V23" s="103"/>
      <c r="W23" s="103"/>
      <c r="X23" s="103"/>
      <c r="Y23" s="103"/>
      <c r="Z23" s="103"/>
    </row>
    <row r="24">
      <c r="A24" s="110" t="s">
        <v>147</v>
      </c>
      <c r="B24" s="103" t="s">
        <v>1194</v>
      </c>
      <c r="C24" s="103" t="s">
        <v>1156</v>
      </c>
      <c r="D24" s="103" t="s">
        <v>52</v>
      </c>
      <c r="E24" s="103" t="s">
        <v>51</v>
      </c>
      <c r="F24" s="103" t="s">
        <v>52</v>
      </c>
      <c r="G24" s="106">
        <v>900.0</v>
      </c>
      <c r="H24" s="107" t="s">
        <v>21</v>
      </c>
      <c r="I24" s="103">
        <v>30.0</v>
      </c>
      <c r="J24" s="108">
        <v>44197.0</v>
      </c>
      <c r="K24" s="109" t="s">
        <v>1195</v>
      </c>
      <c r="L24" s="110"/>
      <c r="M24" s="111"/>
      <c r="N24" s="103" t="s">
        <v>1182</v>
      </c>
      <c r="O24" s="109" t="s">
        <v>1196</v>
      </c>
      <c r="P24" s="113">
        <f>if(D24="Monthly",mod(DATEDIF(J28,today(),"m")-1,var_monthly),
if(D24="Quarterly",mod(DATEDIF(J28,today(),"m")-1,var_quarterly),
if(D24="Yearly",mod(DATEDIF(J28,today(),"m")-1,var_yearly),
"")))</f>
        <v>0</v>
      </c>
      <c r="Q24" s="114" t="str">
        <f>IFERROR(__xludf.DUMMYFUNCTION("if(N24=""Active"",
iferror(date(
  year(EDATE(today(),P24)),
  month(EDATE(today(),P24)),
  if(REGEXMATCH(F24, ""Month End""),
     eomonth(2,-1),
     if(REGEXMATCH(F24, ""Mid Month""),16,""err""))
)-1,""not scheduled""),""not active"")"),"not active")</f>
        <v>not active</v>
      </c>
      <c r="R24" s="108">
        <f>if(MAXIFS(Invoices!E:E,Invoices!A:A,A:A)=0,"",MAXIFS(Invoices!E:E,Invoices!A:A,A:A))</f>
        <v>44804</v>
      </c>
      <c r="S24" s="115">
        <v>9000.0</v>
      </c>
      <c r="T24" s="103" t="b">
        <v>0</v>
      </c>
      <c r="U24" s="103"/>
      <c r="V24" s="103"/>
      <c r="W24" s="103"/>
      <c r="X24" s="103"/>
      <c r="Y24" s="103"/>
      <c r="Z24" s="103"/>
    </row>
    <row r="25">
      <c r="A25" s="110" t="s">
        <v>58</v>
      </c>
      <c r="B25" s="103" t="s">
        <v>1197</v>
      </c>
      <c r="C25" s="103" t="s">
        <v>1156</v>
      </c>
      <c r="D25" s="103" t="s">
        <v>52</v>
      </c>
      <c r="E25" s="103" t="s">
        <v>51</v>
      </c>
      <c r="F25" s="103" t="s">
        <v>52</v>
      </c>
      <c r="G25" s="115">
        <f>900+650</f>
        <v>1550</v>
      </c>
      <c r="H25" s="107" t="s">
        <v>21</v>
      </c>
      <c r="I25" s="103">
        <v>30.0</v>
      </c>
      <c r="J25" s="108">
        <v>44256.0</v>
      </c>
      <c r="K25" s="121" t="s">
        <v>59</v>
      </c>
      <c r="L25" s="103"/>
      <c r="M25" s="120"/>
      <c r="N25" s="103" t="s">
        <v>1182</v>
      </c>
      <c r="O25" s="112"/>
      <c r="P25" s="115"/>
      <c r="Q25" s="114"/>
      <c r="R25" s="108">
        <f>if(MAXIFS(Invoices!E:E,Invoices!A:A,A:A)=0,"",MAXIFS(Invoices!E:E,Invoices!A:A,A:A))</f>
        <v>44883</v>
      </c>
      <c r="S25" s="115">
        <v>23173.65</v>
      </c>
      <c r="T25" s="103" t="b">
        <v>0</v>
      </c>
      <c r="U25" s="103"/>
      <c r="V25" s="103"/>
      <c r="W25" s="103"/>
      <c r="X25" s="103"/>
      <c r="Y25" s="103"/>
      <c r="Z25" s="103"/>
    </row>
    <row r="26">
      <c r="A26" s="110" t="s">
        <v>334</v>
      </c>
      <c r="B26" s="103" t="s">
        <v>1197</v>
      </c>
      <c r="C26" s="103" t="s">
        <v>1198</v>
      </c>
      <c r="D26" s="103" t="s">
        <v>1160</v>
      </c>
      <c r="E26" s="103" t="s">
        <v>209</v>
      </c>
      <c r="F26" s="110"/>
      <c r="G26" s="115"/>
      <c r="H26" s="107" t="s">
        <v>21</v>
      </c>
      <c r="I26" s="103">
        <v>30.0</v>
      </c>
      <c r="J26" s="108"/>
      <c r="K26" s="109" t="s">
        <v>1199</v>
      </c>
      <c r="L26" s="110"/>
      <c r="M26" s="111"/>
      <c r="N26" s="103" t="s">
        <v>1157</v>
      </c>
      <c r="O26" s="112"/>
      <c r="P26" s="115"/>
      <c r="Q26" s="114"/>
      <c r="R26" s="108">
        <f>if(MAXIFS(Invoices!E:E,Invoices!A:A,A:A)=0,"",MAXIFS(Invoices!E:E,Invoices!A:A,A:A))</f>
        <v>44651</v>
      </c>
      <c r="S26" s="115">
        <v>178.2</v>
      </c>
      <c r="T26" s="103" t="b">
        <v>0</v>
      </c>
      <c r="U26" s="103"/>
      <c r="V26" s="103"/>
      <c r="W26" s="103"/>
      <c r="X26" s="103"/>
      <c r="Y26" s="103"/>
      <c r="Z26" s="103"/>
    </row>
    <row r="27">
      <c r="A27" s="110" t="s">
        <v>159</v>
      </c>
      <c r="B27" s="103" t="s">
        <v>1200</v>
      </c>
      <c r="C27" s="103" t="s">
        <v>1201</v>
      </c>
      <c r="D27" s="103" t="s">
        <v>1160</v>
      </c>
      <c r="E27" s="103"/>
      <c r="F27" s="103" t="s">
        <v>196</v>
      </c>
      <c r="G27" s="106">
        <v>1900.0</v>
      </c>
      <c r="H27" s="107" t="s">
        <v>9</v>
      </c>
      <c r="I27" s="103">
        <v>30.0</v>
      </c>
      <c r="J27" s="108">
        <v>44501.0</v>
      </c>
      <c r="K27" s="109" t="s">
        <v>161</v>
      </c>
      <c r="L27" s="110"/>
      <c r="M27" s="111"/>
      <c r="N27" s="103" t="s">
        <v>1157</v>
      </c>
      <c r="O27" s="112"/>
      <c r="P27" s="115"/>
      <c r="Q27" s="114"/>
      <c r="R27" s="108">
        <f>if(MAXIFS(Invoices!E:E,Invoices!A:A,A:A)=0,"",MAXIFS(Invoices!E:E,Invoices!A:A,A:A))</f>
        <v>44531</v>
      </c>
      <c r="S27" s="115">
        <v>2333.4849999999997</v>
      </c>
      <c r="T27" s="103" t="b">
        <v>1</v>
      </c>
      <c r="U27" s="103"/>
      <c r="V27" s="103"/>
      <c r="W27" s="103"/>
      <c r="X27" s="103"/>
      <c r="Y27" s="103"/>
      <c r="Z27" s="103"/>
    </row>
    <row r="28">
      <c r="A28" s="110" t="s">
        <v>162</v>
      </c>
      <c r="B28" s="103" t="s">
        <v>1200</v>
      </c>
      <c r="C28" s="103" t="s">
        <v>1202</v>
      </c>
      <c r="D28" s="103" t="s">
        <v>1160</v>
      </c>
      <c r="E28" s="103"/>
      <c r="F28" s="103" t="s">
        <v>196</v>
      </c>
      <c r="G28" s="106">
        <v>1900.0</v>
      </c>
      <c r="H28" s="107" t="s">
        <v>9</v>
      </c>
      <c r="I28" s="103">
        <v>30.0</v>
      </c>
      <c r="J28" s="108">
        <v>44501.0</v>
      </c>
      <c r="K28" s="109" t="s">
        <v>161</v>
      </c>
      <c r="L28" s="110"/>
      <c r="M28" s="111"/>
      <c r="N28" s="103" t="s">
        <v>1157</v>
      </c>
      <c r="O28" s="112"/>
      <c r="P28" s="115"/>
      <c r="Q28" s="114"/>
      <c r="R28" s="108">
        <f>if(MAXIFS(Invoices!E:E,Invoices!A:A,A:A)=0,"",MAXIFS(Invoices!E:E,Invoices!A:A,A:A))</f>
        <v>44666</v>
      </c>
      <c r="S28" s="115">
        <v>5417.485</v>
      </c>
      <c r="T28" s="103" t="b">
        <v>1</v>
      </c>
      <c r="U28" s="103"/>
      <c r="V28" s="103"/>
      <c r="W28" s="103"/>
      <c r="X28" s="103"/>
      <c r="Y28" s="103"/>
      <c r="Z28" s="103"/>
    </row>
    <row r="29">
      <c r="A29" s="110" t="s">
        <v>203</v>
      </c>
      <c r="B29" s="103" t="s">
        <v>1200</v>
      </c>
      <c r="C29" s="103" t="s">
        <v>1203</v>
      </c>
      <c r="D29" s="103" t="s">
        <v>1160</v>
      </c>
      <c r="E29" s="103" t="s">
        <v>447</v>
      </c>
      <c r="F29" s="103" t="s">
        <v>196</v>
      </c>
      <c r="G29" s="106">
        <v>2500.0</v>
      </c>
      <c r="H29" s="107" t="s">
        <v>9</v>
      </c>
      <c r="I29" s="103">
        <v>30.0</v>
      </c>
      <c r="J29" s="108">
        <v>44197.0</v>
      </c>
      <c r="K29" s="109" t="s">
        <v>1204</v>
      </c>
      <c r="L29" s="110"/>
      <c r="M29" s="111"/>
      <c r="N29" s="103" t="s">
        <v>1157</v>
      </c>
      <c r="O29" s="112"/>
      <c r="P29" s="115"/>
      <c r="Q29" s="114"/>
      <c r="R29" s="108">
        <f>if(MAXIFS(Invoices!E:E,Invoices!A:A,A:A)=0,"",MAXIFS(Invoices!E:E,Invoices!A:A,A:A))</f>
        <v>44635</v>
      </c>
      <c r="S29" s="115">
        <v>3094.75</v>
      </c>
      <c r="T29" s="103" t="b">
        <v>0</v>
      </c>
      <c r="U29" s="103"/>
      <c r="V29" s="103"/>
      <c r="W29" s="103"/>
      <c r="X29" s="103"/>
      <c r="Y29" s="103"/>
      <c r="Z29" s="103"/>
    </row>
    <row r="30">
      <c r="A30" s="110" t="s">
        <v>296</v>
      </c>
      <c r="B30" s="103" t="s">
        <v>1200</v>
      </c>
      <c r="C30" s="103" t="s">
        <v>1205</v>
      </c>
      <c r="D30" s="103" t="s">
        <v>52</v>
      </c>
      <c r="E30" s="103" t="s">
        <v>27</v>
      </c>
      <c r="F30" s="103" t="s">
        <v>52</v>
      </c>
      <c r="G30" s="106">
        <v>2500.0</v>
      </c>
      <c r="H30" s="107" t="s">
        <v>9</v>
      </c>
      <c r="I30" s="103">
        <v>30.0</v>
      </c>
      <c r="J30" s="108">
        <v>44593.0</v>
      </c>
      <c r="K30" s="109" t="s">
        <v>1206</v>
      </c>
      <c r="L30" s="110"/>
      <c r="M30" s="111"/>
      <c r="N30" s="103" t="s">
        <v>1157</v>
      </c>
      <c r="O30" s="112"/>
      <c r="P30" s="115"/>
      <c r="Q30" s="114"/>
      <c r="R30" s="108">
        <f>if(MAXIFS(Invoices!E:E,Invoices!A:A,A:A)=0,"",MAXIFS(Invoices!E:E,Invoices!A:A,A:A))</f>
        <v>44666</v>
      </c>
      <c r="S30" s="115">
        <v>7363.5</v>
      </c>
      <c r="T30" s="103" t="b">
        <v>0</v>
      </c>
      <c r="U30" s="103"/>
      <c r="V30" s="103"/>
      <c r="W30" s="103"/>
      <c r="X30" s="103"/>
      <c r="Y30" s="103"/>
      <c r="Z30" s="103"/>
    </row>
    <row r="31">
      <c r="A31" s="110" t="s">
        <v>299</v>
      </c>
      <c r="B31" s="103" t="s">
        <v>1200</v>
      </c>
      <c r="C31" s="103" t="s">
        <v>1207</v>
      </c>
      <c r="D31" s="103" t="s">
        <v>52</v>
      </c>
      <c r="E31" s="103" t="s">
        <v>27</v>
      </c>
      <c r="F31" s="103" t="s">
        <v>52</v>
      </c>
      <c r="G31" s="106">
        <v>1500.0</v>
      </c>
      <c r="H31" s="107" t="s">
        <v>9</v>
      </c>
      <c r="I31" s="103">
        <v>30.0</v>
      </c>
      <c r="J31" s="108">
        <v>44593.0</v>
      </c>
      <c r="K31" s="86" t="s">
        <v>1208</v>
      </c>
      <c r="L31" s="110"/>
      <c r="M31" s="111"/>
      <c r="N31" s="103" t="s">
        <v>1157</v>
      </c>
      <c r="O31" s="112"/>
      <c r="P31" s="115"/>
      <c r="Q31" s="114"/>
      <c r="R31" s="108">
        <f>if(MAXIFS(Invoices!E:E,Invoices!A:A,A:A)=0,"",MAXIFS(Invoices!E:E,Invoices!A:A,A:A))</f>
        <v>44666</v>
      </c>
      <c r="S31" s="115">
        <v>5534.85</v>
      </c>
      <c r="T31" s="103" t="b">
        <v>0</v>
      </c>
      <c r="U31" s="103"/>
      <c r="V31" s="103"/>
      <c r="W31" s="103"/>
      <c r="X31" s="103"/>
      <c r="Y31" s="103"/>
      <c r="Z31" s="103"/>
    </row>
    <row r="32">
      <c r="A32" s="110" t="s">
        <v>326</v>
      </c>
      <c r="B32" s="103" t="s">
        <v>1209</v>
      </c>
      <c r="C32" s="103" t="s">
        <v>1210</v>
      </c>
      <c r="D32" s="103" t="s">
        <v>1160</v>
      </c>
      <c r="E32" s="103" t="s">
        <v>447</v>
      </c>
      <c r="F32" s="103" t="s">
        <v>19</v>
      </c>
      <c r="G32" s="106">
        <v>2000.0</v>
      </c>
      <c r="H32" s="107" t="s">
        <v>9</v>
      </c>
      <c r="I32" s="103">
        <v>0.0</v>
      </c>
      <c r="J32" s="108"/>
      <c r="K32" s="109" t="s">
        <v>1211</v>
      </c>
      <c r="L32" s="103" t="s">
        <v>1193</v>
      </c>
      <c r="M32" s="120">
        <v>0.2</v>
      </c>
      <c r="N32" s="103" t="s">
        <v>1154</v>
      </c>
      <c r="O32" s="112"/>
      <c r="P32" s="115"/>
      <c r="Q32" s="114"/>
      <c r="R32" s="108">
        <f>if(MAXIFS(Invoices!E:E,Invoices!A:A,A:A)=0,"",MAXIFS(Invoices!E:E,Invoices!A:A,A:A))</f>
        <v>44666</v>
      </c>
      <c r="S32" s="115">
        <v>2457.495</v>
      </c>
      <c r="T32" s="103" t="b">
        <v>0</v>
      </c>
      <c r="U32" s="103"/>
      <c r="V32" s="103"/>
      <c r="W32" s="103"/>
      <c r="X32" s="103"/>
      <c r="Y32" s="103"/>
      <c r="Z32" s="103"/>
    </row>
    <row r="33">
      <c r="A33" s="110" t="s">
        <v>239</v>
      </c>
      <c r="B33" s="103" t="s">
        <v>1212</v>
      </c>
      <c r="C33" s="103" t="s">
        <v>36</v>
      </c>
      <c r="D33" s="103" t="s">
        <v>1160</v>
      </c>
      <c r="E33" s="103" t="s">
        <v>209</v>
      </c>
      <c r="F33" s="103" t="s">
        <v>459</v>
      </c>
      <c r="G33" s="106">
        <v>1800.0</v>
      </c>
      <c r="H33" s="107" t="s">
        <v>21</v>
      </c>
      <c r="I33" s="103">
        <v>30.0</v>
      </c>
      <c r="J33" s="108"/>
      <c r="K33" s="112"/>
      <c r="L33" s="110"/>
      <c r="M33" s="111"/>
      <c r="N33" s="103" t="s">
        <v>1157</v>
      </c>
      <c r="O33" s="112"/>
      <c r="P33" s="115"/>
      <c r="Q33" s="114"/>
      <c r="R33" s="108">
        <f>if(MAXIFS(Invoices!E:E,Invoices!A:A,A:A)=0,"",MAXIFS(Invoices!E:E,Invoices!A:A,A:A))</f>
        <v>44575</v>
      </c>
      <c r="S33" s="115">
        <v>1800.0</v>
      </c>
      <c r="T33" s="103" t="b">
        <v>0</v>
      </c>
      <c r="U33" s="103"/>
      <c r="V33" s="103"/>
      <c r="W33" s="103"/>
      <c r="X33" s="103"/>
      <c r="Y33" s="103"/>
      <c r="Z33" s="103"/>
    </row>
    <row r="34">
      <c r="A34" s="110" t="s">
        <v>241</v>
      </c>
      <c r="B34" s="103" t="s">
        <v>1212</v>
      </c>
      <c r="C34" s="103" t="s">
        <v>1213</v>
      </c>
      <c r="D34" s="103" t="s">
        <v>716</v>
      </c>
      <c r="E34" s="103"/>
      <c r="F34" s="103" t="s">
        <v>727</v>
      </c>
      <c r="G34" s="115">
        <f>30*11</f>
        <v>330</v>
      </c>
      <c r="H34" s="107" t="s">
        <v>21</v>
      </c>
      <c r="I34" s="103">
        <v>30.0</v>
      </c>
      <c r="J34" s="108">
        <v>44579.0</v>
      </c>
      <c r="K34" s="109" t="s">
        <v>1214</v>
      </c>
      <c r="L34" s="110"/>
      <c r="M34" s="111"/>
      <c r="N34" s="103" t="s">
        <v>1157</v>
      </c>
      <c r="O34" s="112"/>
      <c r="P34" s="115"/>
      <c r="Q34" s="114"/>
      <c r="R34" s="108">
        <f>if(MAXIFS(Invoices!E:E,Invoices!A:A,A:A)=0,"",MAXIFS(Invoices!E:E,Invoices!A:A,A:A))</f>
        <v>44575</v>
      </c>
      <c r="S34" s="115">
        <v>330.0</v>
      </c>
      <c r="T34" s="103" t="b">
        <v>0</v>
      </c>
      <c r="U34" s="103"/>
      <c r="V34" s="103"/>
      <c r="W34" s="103"/>
      <c r="X34" s="103"/>
      <c r="Y34" s="103"/>
      <c r="Z34" s="103"/>
    </row>
    <row r="35">
      <c r="A35" s="110" t="s">
        <v>120</v>
      </c>
      <c r="B35" s="103" t="s">
        <v>1215</v>
      </c>
      <c r="C35" s="103" t="s">
        <v>1156</v>
      </c>
      <c r="D35" s="103" t="s">
        <v>52</v>
      </c>
      <c r="E35" s="103" t="s">
        <v>51</v>
      </c>
      <c r="F35" s="103" t="s">
        <v>52</v>
      </c>
      <c r="G35" s="106">
        <v>1000.0</v>
      </c>
      <c r="H35" s="107" t="s">
        <v>9</v>
      </c>
      <c r="I35" s="103">
        <v>30.0</v>
      </c>
      <c r="J35" s="108">
        <v>44228.0</v>
      </c>
      <c r="K35" s="109" t="s">
        <v>947</v>
      </c>
      <c r="L35" s="119" t="s">
        <v>1193</v>
      </c>
      <c r="M35" s="120">
        <v>0.2</v>
      </c>
      <c r="N35" s="103" t="s">
        <v>1154</v>
      </c>
      <c r="O35" s="112"/>
      <c r="P35" s="115"/>
      <c r="Q35" s="114"/>
      <c r="R35" s="108">
        <f>if(MAXIFS(Invoices!E:E,Invoices!A:A,A:A)=0,"",MAXIFS(Invoices!E:E,Invoices!A:A,A:A))</f>
        <v>45169</v>
      </c>
      <c r="S35" s="115">
        <v>40517.549048999994</v>
      </c>
      <c r="T35" s="103" t="b">
        <v>0</v>
      </c>
      <c r="U35" s="103"/>
      <c r="V35" s="103"/>
      <c r="W35" s="103"/>
      <c r="X35" s="103"/>
      <c r="Y35" s="103"/>
      <c r="Z35" s="103"/>
    </row>
    <row r="36">
      <c r="A36" s="110" t="s">
        <v>221</v>
      </c>
      <c r="B36" s="103" t="s">
        <v>1216</v>
      </c>
      <c r="C36" s="103" t="s">
        <v>1217</v>
      </c>
      <c r="D36" s="103" t="s">
        <v>1160</v>
      </c>
      <c r="E36" s="103" t="s">
        <v>209</v>
      </c>
      <c r="F36" s="103" t="s">
        <v>459</v>
      </c>
      <c r="G36" s="106">
        <v>800.0</v>
      </c>
      <c r="H36" s="107" t="s">
        <v>21</v>
      </c>
      <c r="I36" s="103">
        <v>30.0</v>
      </c>
      <c r="J36" s="108">
        <v>44531.0</v>
      </c>
      <c r="K36" s="112"/>
      <c r="L36" s="110"/>
      <c r="M36" s="111"/>
      <c r="N36" s="103" t="s">
        <v>1157</v>
      </c>
      <c r="O36" s="109"/>
      <c r="P36" s="115"/>
      <c r="Q36" s="114"/>
      <c r="R36" s="108">
        <f>if(MAXIFS(Invoices!E:E,Invoices!A:A,A:A)=0,"",MAXIFS(Invoices!E:E,Invoices!A:A,A:A))</f>
        <v>44561</v>
      </c>
      <c r="S36" s="115">
        <v>800.0</v>
      </c>
      <c r="T36" s="103" t="b">
        <v>0</v>
      </c>
      <c r="U36" s="103"/>
      <c r="V36" s="103"/>
      <c r="W36" s="103"/>
      <c r="X36" s="103"/>
      <c r="Y36" s="103"/>
      <c r="Z36" s="103"/>
    </row>
    <row r="37">
      <c r="A37" s="110" t="s">
        <v>26</v>
      </c>
      <c r="B37" s="103" t="s">
        <v>1216</v>
      </c>
      <c r="C37" s="103" t="s">
        <v>1175</v>
      </c>
      <c r="D37" s="103" t="s">
        <v>1160</v>
      </c>
      <c r="E37" s="103" t="s">
        <v>209</v>
      </c>
      <c r="F37" s="103" t="s">
        <v>459</v>
      </c>
      <c r="G37" s="106">
        <v>6095.0</v>
      </c>
      <c r="H37" s="107" t="s">
        <v>21</v>
      </c>
      <c r="I37" s="103">
        <v>30.0</v>
      </c>
      <c r="J37" s="108">
        <v>44378.0</v>
      </c>
      <c r="K37" s="112"/>
      <c r="L37" s="110"/>
      <c r="M37" s="111"/>
      <c r="N37" s="103" t="s">
        <v>1157</v>
      </c>
      <c r="O37" s="109" t="s">
        <v>1218</v>
      </c>
      <c r="P37" s="106"/>
      <c r="Q37" s="114"/>
      <c r="R37" s="108">
        <f>if(MAXIFS(Invoices!E:E,Invoices!A:A,A:A)=0,"",MAXIFS(Invoices!E:E,Invoices!A:A,A:A))</f>
        <v>44409</v>
      </c>
      <c r="S37" s="106">
        <v>2895.0</v>
      </c>
      <c r="T37" s="103" t="b">
        <v>0</v>
      </c>
      <c r="U37" s="103"/>
      <c r="V37" s="103"/>
      <c r="W37" s="103"/>
      <c r="X37" s="103"/>
      <c r="Y37" s="103"/>
      <c r="Z37" s="103"/>
    </row>
    <row r="38">
      <c r="A38" s="110" t="s">
        <v>1219</v>
      </c>
      <c r="B38" s="103" t="s">
        <v>1216</v>
      </c>
      <c r="C38" s="103" t="s">
        <v>1220</v>
      </c>
      <c r="D38" s="103" t="s">
        <v>1160</v>
      </c>
      <c r="E38" s="103" t="s">
        <v>209</v>
      </c>
      <c r="F38" s="103" t="s">
        <v>459</v>
      </c>
      <c r="G38" s="106">
        <v>400.0</v>
      </c>
      <c r="H38" s="107" t="s">
        <v>21</v>
      </c>
      <c r="I38" s="103">
        <v>30.0</v>
      </c>
      <c r="J38" s="108">
        <v>44409.0</v>
      </c>
      <c r="K38" s="109" t="s">
        <v>1221</v>
      </c>
      <c r="L38" s="110"/>
      <c r="M38" s="111"/>
      <c r="N38" s="103" t="s">
        <v>1157</v>
      </c>
      <c r="O38" s="109"/>
      <c r="P38" s="106"/>
      <c r="Q38" s="114"/>
      <c r="R38" s="108" t="str">
        <f>if(MAXIFS(Invoices!E:E,Invoices!A:A,A:A)=0,"",MAXIFS(Invoices!E:E,Invoices!A:A,A:A))</f>
        <v/>
      </c>
      <c r="S38" s="106">
        <v>0.0</v>
      </c>
      <c r="T38" s="103" t="b">
        <v>0</v>
      </c>
      <c r="U38" s="103"/>
      <c r="V38" s="103"/>
      <c r="W38" s="103"/>
      <c r="X38" s="103"/>
      <c r="Y38" s="103"/>
      <c r="Z38" s="103"/>
    </row>
    <row r="39">
      <c r="A39" s="110" t="s">
        <v>311</v>
      </c>
      <c r="B39" s="103" t="s">
        <v>1216</v>
      </c>
      <c r="C39" s="103" t="s">
        <v>1222</v>
      </c>
      <c r="D39" s="103" t="s">
        <v>52</v>
      </c>
      <c r="E39" s="103" t="s">
        <v>27</v>
      </c>
      <c r="F39" s="103" t="s">
        <v>52</v>
      </c>
      <c r="G39" s="106">
        <v>600.0</v>
      </c>
      <c r="H39" s="107" t="s">
        <v>21</v>
      </c>
      <c r="I39" s="103">
        <v>30.0</v>
      </c>
      <c r="J39" s="108">
        <v>44621.0</v>
      </c>
      <c r="K39" s="109" t="s">
        <v>344</v>
      </c>
      <c r="L39" s="110"/>
      <c r="M39" s="111"/>
      <c r="N39" s="103" t="s">
        <v>1157</v>
      </c>
      <c r="O39" s="112"/>
      <c r="P39" s="115"/>
      <c r="Q39" s="114"/>
      <c r="R39" s="108">
        <f>if(MAXIFS(Invoices!E:E,Invoices!A:A,A:A)=0,"",MAXIFS(Invoices!E:E,Invoices!A:A,A:A))</f>
        <v>44666</v>
      </c>
      <c r="S39" s="115">
        <v>2600.0</v>
      </c>
      <c r="T39" s="103" t="b">
        <v>0</v>
      </c>
      <c r="U39" s="103"/>
      <c r="V39" s="103"/>
      <c r="W39" s="103"/>
      <c r="X39" s="103"/>
      <c r="Y39" s="103"/>
      <c r="Z39" s="103"/>
    </row>
    <row r="40">
      <c r="A40" s="110" t="s">
        <v>232</v>
      </c>
      <c r="B40" s="103" t="s">
        <v>1223</v>
      </c>
      <c r="C40" s="103" t="s">
        <v>1224</v>
      </c>
      <c r="D40" s="103" t="s">
        <v>1160</v>
      </c>
      <c r="E40" s="103" t="s">
        <v>209</v>
      </c>
      <c r="F40" s="103" t="s">
        <v>459</v>
      </c>
      <c r="G40" s="106">
        <v>1300.0</v>
      </c>
      <c r="H40" s="107" t="s">
        <v>21</v>
      </c>
      <c r="I40" s="103">
        <v>30.0</v>
      </c>
      <c r="J40" s="108">
        <v>44565.0</v>
      </c>
      <c r="K40" s="109" t="s">
        <v>1225</v>
      </c>
      <c r="L40" s="110"/>
      <c r="M40" s="111"/>
      <c r="N40" s="103" t="s">
        <v>1157</v>
      </c>
      <c r="O40" s="112"/>
      <c r="P40" s="115"/>
      <c r="Q40" s="114"/>
      <c r="R40" s="108">
        <f>if(MAXIFS(Invoices!E:E,Invoices!A:A,A:A)=0,"",MAXIFS(Invoices!E:E,Invoices!A:A,A:A))</f>
        <v>44567</v>
      </c>
      <c r="S40" s="115">
        <v>1300.0</v>
      </c>
      <c r="T40" s="103" t="b">
        <v>0</v>
      </c>
      <c r="U40" s="103"/>
      <c r="V40" s="103"/>
      <c r="W40" s="103"/>
      <c r="X40" s="103"/>
      <c r="Y40" s="103"/>
      <c r="Z40" s="103"/>
    </row>
    <row r="41">
      <c r="A41" s="110" t="s">
        <v>254</v>
      </c>
      <c r="B41" s="103" t="s">
        <v>1223</v>
      </c>
      <c r="C41" s="103" t="s">
        <v>1226</v>
      </c>
      <c r="D41" s="103" t="s">
        <v>1160</v>
      </c>
      <c r="E41" s="103" t="s">
        <v>209</v>
      </c>
      <c r="F41" s="103" t="s">
        <v>459</v>
      </c>
      <c r="G41" s="106">
        <v>550.0</v>
      </c>
      <c r="H41" s="107" t="s">
        <v>9</v>
      </c>
      <c r="I41" s="103">
        <v>30.0</v>
      </c>
      <c r="J41" s="108">
        <v>44574.0</v>
      </c>
      <c r="K41" s="109" t="s">
        <v>256</v>
      </c>
      <c r="L41" s="110"/>
      <c r="M41" s="111"/>
      <c r="N41" s="103" t="s">
        <v>1157</v>
      </c>
      <c r="O41" s="112"/>
      <c r="P41" s="115"/>
      <c r="Q41" s="114"/>
      <c r="R41" s="108">
        <f>if(MAXIFS(Invoices!E:E,Invoices!A:A,A:A)=0,"",MAXIFS(Invoices!E:E,Invoices!A:A,A:A))</f>
        <v>44575</v>
      </c>
      <c r="S41" s="115">
        <v>666.7683000000001</v>
      </c>
      <c r="T41" s="103" t="b">
        <v>0</v>
      </c>
      <c r="U41" s="103"/>
      <c r="V41" s="103"/>
      <c r="W41" s="103"/>
      <c r="X41" s="103"/>
      <c r="Y41" s="103"/>
      <c r="Z41" s="103"/>
    </row>
    <row r="42">
      <c r="A42" s="110" t="s">
        <v>84</v>
      </c>
      <c r="B42" s="103" t="s">
        <v>1227</v>
      </c>
      <c r="C42" s="103" t="s">
        <v>1156</v>
      </c>
      <c r="D42" s="103" t="s">
        <v>52</v>
      </c>
      <c r="E42" s="103" t="s">
        <v>51</v>
      </c>
      <c r="F42" s="103" t="s">
        <v>52</v>
      </c>
      <c r="G42" s="106">
        <v>1000.0</v>
      </c>
      <c r="H42" s="107" t="s">
        <v>21</v>
      </c>
      <c r="I42" s="103">
        <v>30.0</v>
      </c>
      <c r="J42" s="108">
        <v>44197.0</v>
      </c>
      <c r="K42" s="109" t="s">
        <v>85</v>
      </c>
      <c r="L42" s="103"/>
      <c r="M42" s="120"/>
      <c r="N42" s="103" t="s">
        <v>1182</v>
      </c>
      <c r="O42" s="112"/>
      <c r="P42" s="115"/>
      <c r="Q42" s="114"/>
      <c r="R42" s="108">
        <f>if(MAXIFS(Invoices!E:E,Invoices!A:A,A:A)=0,"",MAXIFS(Invoices!E:E,Invoices!A:A,A:A))</f>
        <v>44985</v>
      </c>
      <c r="S42" s="115">
        <v>17100.0</v>
      </c>
      <c r="T42" s="103" t="b">
        <v>0</v>
      </c>
      <c r="U42" s="103"/>
      <c r="V42" s="103"/>
      <c r="W42" s="103"/>
      <c r="X42" s="103"/>
      <c r="Y42" s="103"/>
      <c r="Z42" s="103"/>
    </row>
    <row r="43">
      <c r="A43" s="110" t="s">
        <v>261</v>
      </c>
      <c r="B43" s="103" t="s">
        <v>1228</v>
      </c>
      <c r="C43" s="103" t="s">
        <v>1186</v>
      </c>
      <c r="D43" s="103" t="s">
        <v>1160</v>
      </c>
      <c r="E43" s="103" t="s">
        <v>447</v>
      </c>
      <c r="F43" s="103" t="s">
        <v>196</v>
      </c>
      <c r="G43" s="115">
        <f>750+500</f>
        <v>1250</v>
      </c>
      <c r="H43" s="107" t="s">
        <v>9</v>
      </c>
      <c r="I43" s="103">
        <v>30.0</v>
      </c>
      <c r="J43" s="108">
        <v>44593.0</v>
      </c>
      <c r="K43" s="109" t="s">
        <v>263</v>
      </c>
      <c r="L43" s="110"/>
      <c r="M43" s="111"/>
      <c r="N43" s="103" t="s">
        <v>1157</v>
      </c>
      <c r="O43" s="112"/>
      <c r="P43" s="115"/>
      <c r="Q43" s="114"/>
      <c r="R43" s="108">
        <f>if(MAXIFS(Invoices!E:E,Invoices!A:A,A:A)=0,"",MAXIFS(Invoices!E:E,Invoices!A:A,A:A))</f>
        <v>44589</v>
      </c>
      <c r="S43" s="115">
        <v>1391.7849999999999</v>
      </c>
      <c r="T43" s="103" t="b">
        <v>0</v>
      </c>
      <c r="U43" s="103"/>
      <c r="V43" s="103"/>
      <c r="W43" s="103"/>
      <c r="X43" s="103"/>
      <c r="Y43" s="103"/>
      <c r="Z43" s="103"/>
    </row>
    <row r="44">
      <c r="A44" s="110" t="s">
        <v>305</v>
      </c>
      <c r="B44" s="103" t="s">
        <v>1229</v>
      </c>
      <c r="C44" s="103" t="s">
        <v>1230</v>
      </c>
      <c r="D44" s="103" t="s">
        <v>1160</v>
      </c>
      <c r="E44" s="103" t="s">
        <v>209</v>
      </c>
      <c r="F44" s="103" t="s">
        <v>252</v>
      </c>
      <c r="G44" s="106">
        <v>500.0</v>
      </c>
      <c r="H44" s="107" t="s">
        <v>9</v>
      </c>
      <c r="I44" s="103">
        <v>30.0</v>
      </c>
      <c r="J44" s="108"/>
      <c r="K44" s="109" t="s">
        <v>307</v>
      </c>
      <c r="L44" s="110"/>
      <c r="M44" s="111"/>
      <c r="N44" s="103" t="s">
        <v>1154</v>
      </c>
      <c r="O44" s="112"/>
      <c r="P44" s="115"/>
      <c r="Q44" s="114"/>
      <c r="R44" s="108">
        <f>if(MAXIFS(Invoices!E:E,Invoices!A:A,A:A)=0,"",MAXIFS(Invoices!E:E,Invoices!A:A,A:A))</f>
        <v>44607</v>
      </c>
      <c r="S44" s="115">
        <v>616.823</v>
      </c>
      <c r="T44" s="103" t="b">
        <v>0</v>
      </c>
      <c r="U44" s="103"/>
      <c r="V44" s="103"/>
      <c r="W44" s="103"/>
      <c r="X44" s="103"/>
      <c r="Y44" s="103"/>
      <c r="Z44" s="103"/>
    </row>
    <row r="45">
      <c r="A45" s="110" t="s">
        <v>30</v>
      </c>
      <c r="B45" s="103" t="s">
        <v>1231</v>
      </c>
      <c r="C45" s="103" t="s">
        <v>1232</v>
      </c>
      <c r="D45" s="103" t="s">
        <v>1160</v>
      </c>
      <c r="E45" s="103"/>
      <c r="F45" s="103" t="s">
        <v>196</v>
      </c>
      <c r="G45" s="106">
        <v>600.0</v>
      </c>
      <c r="H45" s="107" t="s">
        <v>21</v>
      </c>
      <c r="I45" s="103">
        <v>30.0</v>
      </c>
      <c r="J45" s="108">
        <v>44378.0</v>
      </c>
      <c r="K45" s="109" t="s">
        <v>32</v>
      </c>
      <c r="L45" s="110"/>
      <c r="M45" s="111"/>
      <c r="N45" s="103" t="s">
        <v>1157</v>
      </c>
      <c r="O45" s="112"/>
      <c r="P45" s="115"/>
      <c r="Q45" s="114"/>
      <c r="R45" s="108">
        <f>if(MAXIFS(Invoices!E:E,Invoices!A:A,A:A)=0,"",MAXIFS(Invoices!E:E,Invoices!A:A,A:A))</f>
        <v>44440</v>
      </c>
      <c r="S45" s="115">
        <v>600.0</v>
      </c>
      <c r="T45" s="103" t="b">
        <v>1</v>
      </c>
      <c r="U45" s="103"/>
      <c r="V45" s="103"/>
      <c r="W45" s="103"/>
      <c r="X45" s="103"/>
      <c r="Y45" s="103"/>
      <c r="Z45" s="103"/>
    </row>
    <row r="46">
      <c r="A46" s="110" t="s">
        <v>177</v>
      </c>
      <c r="B46" s="103" t="s">
        <v>1233</v>
      </c>
      <c r="C46" s="103" t="s">
        <v>1234</v>
      </c>
      <c r="D46" s="103" t="s">
        <v>1160</v>
      </c>
      <c r="E46" s="103" t="s">
        <v>447</v>
      </c>
      <c r="F46" s="103" t="s">
        <v>196</v>
      </c>
      <c r="G46" s="106">
        <v>2095.0</v>
      </c>
      <c r="H46" s="107" t="s">
        <v>21</v>
      </c>
      <c r="I46" s="103">
        <v>30.0</v>
      </c>
      <c r="J46" s="108">
        <v>44531.0</v>
      </c>
      <c r="K46" s="109" t="s">
        <v>179</v>
      </c>
      <c r="L46" s="110"/>
      <c r="M46" s="111"/>
      <c r="N46" s="103" t="s">
        <v>1157</v>
      </c>
      <c r="O46" s="112"/>
      <c r="P46" s="115"/>
      <c r="Q46" s="114"/>
      <c r="R46" s="108">
        <f>if(MAXIFS(Invoices!E:E,Invoices!A:A,A:A)=0,"",MAXIFS(Invoices!E:E,Invoices!A:A,A:A))</f>
        <v>44635</v>
      </c>
      <c r="S46" s="115">
        <v>2580.6037530000003</v>
      </c>
      <c r="T46" s="103" t="b">
        <v>0</v>
      </c>
      <c r="U46" s="103"/>
      <c r="V46" s="103"/>
      <c r="W46" s="103"/>
      <c r="X46" s="103"/>
      <c r="Y46" s="103"/>
      <c r="Z46" s="103"/>
    </row>
    <row r="47">
      <c r="A47" s="110" t="s">
        <v>302</v>
      </c>
      <c r="B47" s="103" t="s">
        <v>1233</v>
      </c>
      <c r="C47" s="103" t="s">
        <v>36</v>
      </c>
      <c r="D47" s="103" t="s">
        <v>1160</v>
      </c>
      <c r="E47" s="103" t="s">
        <v>209</v>
      </c>
      <c r="F47" s="103" t="s">
        <v>459</v>
      </c>
      <c r="G47" s="106">
        <v>2500.0</v>
      </c>
      <c r="H47" s="107" t="s">
        <v>9</v>
      </c>
      <c r="I47" s="103">
        <v>15.0</v>
      </c>
      <c r="J47" s="108">
        <v>44607.0</v>
      </c>
      <c r="K47" s="109" t="s">
        <v>304</v>
      </c>
      <c r="L47" s="110"/>
      <c r="M47" s="111"/>
      <c r="N47" s="103" t="s">
        <v>1157</v>
      </c>
      <c r="O47" s="112"/>
      <c r="P47" s="115"/>
      <c r="Q47" s="114"/>
      <c r="R47" s="108">
        <f>if(MAXIFS(Invoices!E:E,Invoices!A:A,A:A)=0,"",MAXIFS(Invoices!E:E,Invoices!A:A,A:A))</f>
        <v>44607</v>
      </c>
      <c r="S47" s="115">
        <v>3078.2949999999996</v>
      </c>
      <c r="T47" s="103" t="b">
        <v>0</v>
      </c>
      <c r="U47" s="103"/>
      <c r="V47" s="103"/>
      <c r="W47" s="103"/>
      <c r="X47" s="103"/>
      <c r="Y47" s="103"/>
      <c r="Z47" s="103"/>
    </row>
    <row r="48">
      <c r="A48" s="110" t="s">
        <v>86</v>
      </c>
      <c r="B48" s="103" t="s">
        <v>1235</v>
      </c>
      <c r="C48" s="103" t="s">
        <v>1156</v>
      </c>
      <c r="D48" s="103" t="s">
        <v>52</v>
      </c>
      <c r="E48" s="103" t="s">
        <v>51</v>
      </c>
      <c r="F48" s="103" t="s">
        <v>52</v>
      </c>
      <c r="G48" s="106">
        <v>550.0</v>
      </c>
      <c r="H48" s="107" t="s">
        <v>21</v>
      </c>
      <c r="I48" s="103">
        <v>30.0</v>
      </c>
      <c r="J48" s="108">
        <v>44197.0</v>
      </c>
      <c r="K48" s="109" t="s">
        <v>87</v>
      </c>
      <c r="L48" s="110"/>
      <c r="M48" s="111"/>
      <c r="N48" s="103" t="s">
        <v>1182</v>
      </c>
      <c r="O48" s="112"/>
      <c r="P48" s="115"/>
      <c r="Q48" s="114"/>
      <c r="R48" s="108">
        <f>if(MAXIFS(Invoices!E:E,Invoices!A:A,A:A)=0,"",MAXIFS(Invoices!E:E,Invoices!A:A,A:A))</f>
        <v>44771</v>
      </c>
      <c r="S48" s="115">
        <v>4787.5</v>
      </c>
      <c r="T48" s="103" t="b">
        <v>0</v>
      </c>
      <c r="U48" s="103"/>
      <c r="V48" s="103"/>
      <c r="W48" s="103"/>
      <c r="X48" s="103"/>
      <c r="Y48" s="103"/>
      <c r="Z48" s="103"/>
    </row>
    <row r="49">
      <c r="A49" s="110" t="s">
        <v>42</v>
      </c>
      <c r="B49" s="103" t="s">
        <v>1236</v>
      </c>
      <c r="C49" s="103" t="s">
        <v>1156</v>
      </c>
      <c r="D49" s="103" t="s">
        <v>52</v>
      </c>
      <c r="E49" s="103" t="s">
        <v>51</v>
      </c>
      <c r="F49" s="103" t="s">
        <v>52</v>
      </c>
      <c r="G49" s="106">
        <v>1500.0</v>
      </c>
      <c r="H49" s="107" t="s">
        <v>21</v>
      </c>
      <c r="I49" s="103">
        <v>30.0</v>
      </c>
      <c r="J49" s="108">
        <v>44287.0</v>
      </c>
      <c r="K49" s="109" t="s">
        <v>43</v>
      </c>
      <c r="L49" s="119" t="s">
        <v>1237</v>
      </c>
      <c r="M49" s="120">
        <v>0.15</v>
      </c>
      <c r="N49" s="103" t="s">
        <v>1154</v>
      </c>
      <c r="O49" s="112"/>
      <c r="P49" s="115"/>
      <c r="Q49" s="114"/>
      <c r="R49" s="108">
        <f>if(MAXIFS(Invoices!E:E,Invoices!A:A,A:A)=0,"",MAXIFS(Invoices!E:E,Invoices!A:A,A:A))</f>
        <v>45169</v>
      </c>
      <c r="S49" s="115">
        <v>36000.0</v>
      </c>
      <c r="T49" s="103" t="b">
        <v>0</v>
      </c>
      <c r="U49" s="103"/>
      <c r="V49" s="103"/>
      <c r="W49" s="103"/>
      <c r="X49" s="103"/>
      <c r="Y49" s="103"/>
      <c r="Z49" s="103"/>
    </row>
    <row r="50">
      <c r="A50" s="110" t="s">
        <v>79</v>
      </c>
      <c r="B50" s="103" t="s">
        <v>1238</v>
      </c>
      <c r="C50" s="103" t="s">
        <v>1156</v>
      </c>
      <c r="D50" s="103" t="s">
        <v>52</v>
      </c>
      <c r="E50" s="103" t="s">
        <v>51</v>
      </c>
      <c r="F50" s="103" t="s">
        <v>52</v>
      </c>
      <c r="G50" s="106">
        <v>1200.0</v>
      </c>
      <c r="H50" s="107" t="s">
        <v>21</v>
      </c>
      <c r="I50" s="103">
        <v>30.0</v>
      </c>
      <c r="J50" s="108">
        <v>44348.0</v>
      </c>
      <c r="K50" s="109" t="s">
        <v>80</v>
      </c>
      <c r="L50" s="110"/>
      <c r="M50" s="111"/>
      <c r="N50" s="103" t="s">
        <v>1157</v>
      </c>
      <c r="O50" s="112"/>
      <c r="P50" s="115"/>
      <c r="Q50" s="114"/>
      <c r="R50" s="108">
        <f>if(MAXIFS(Invoices!E:E,Invoices!A:A,A:A)=0,"",MAXIFS(Invoices!E:E,Invoices!A:A,A:A))</f>
        <v>44592</v>
      </c>
      <c r="S50" s="115">
        <v>4400.0</v>
      </c>
      <c r="T50" s="103" t="b">
        <v>0</v>
      </c>
      <c r="U50" s="103"/>
      <c r="V50" s="103"/>
      <c r="W50" s="103"/>
      <c r="X50" s="103"/>
      <c r="Y50" s="103"/>
      <c r="Z50" s="103"/>
    </row>
    <row r="51">
      <c r="A51" s="110" t="s">
        <v>82</v>
      </c>
      <c r="B51" s="103" t="s">
        <v>1124</v>
      </c>
      <c r="C51" s="103" t="s">
        <v>1156</v>
      </c>
      <c r="D51" s="103" t="s">
        <v>52</v>
      </c>
      <c r="E51" s="103" t="s">
        <v>51</v>
      </c>
      <c r="F51" s="103" t="s">
        <v>52</v>
      </c>
      <c r="G51" s="106">
        <v>860.0</v>
      </c>
      <c r="H51" s="107" t="s">
        <v>21</v>
      </c>
      <c r="I51" s="103">
        <v>30.0</v>
      </c>
      <c r="J51" s="108">
        <v>44228.0</v>
      </c>
      <c r="K51" s="109" t="s">
        <v>1023</v>
      </c>
      <c r="L51" s="110"/>
      <c r="M51" s="111"/>
      <c r="N51" s="103" t="s">
        <v>1154</v>
      </c>
      <c r="O51" s="112"/>
      <c r="P51" s="115"/>
      <c r="Q51" s="114"/>
      <c r="R51" s="108">
        <f>if(MAXIFS(Invoices!E:E,Invoices!A:A,A:A)=0,"",MAXIFS(Invoices!E:E,Invoices!A:A,A:A))</f>
        <v>45138</v>
      </c>
      <c r="S51" s="115">
        <v>17900.0</v>
      </c>
      <c r="T51" s="103" t="b">
        <v>0</v>
      </c>
      <c r="U51" s="103"/>
      <c r="V51" s="103"/>
      <c r="W51" s="103"/>
      <c r="X51" s="103"/>
      <c r="Y51" s="103"/>
      <c r="Z51" s="103"/>
    </row>
    <row r="52">
      <c r="A52" s="110" t="s">
        <v>148</v>
      </c>
      <c r="B52" s="103" t="s">
        <v>1239</v>
      </c>
      <c r="C52" s="103" t="s">
        <v>1190</v>
      </c>
      <c r="D52" s="103" t="s">
        <v>1160</v>
      </c>
      <c r="E52" s="103" t="s">
        <v>209</v>
      </c>
      <c r="F52" s="103" t="s">
        <v>459</v>
      </c>
      <c r="G52" s="106">
        <v>599.0</v>
      </c>
      <c r="H52" s="107" t="s">
        <v>21</v>
      </c>
      <c r="I52" s="103">
        <v>30.0</v>
      </c>
      <c r="J52" s="108">
        <v>44440.0</v>
      </c>
      <c r="K52" s="109" t="s">
        <v>143</v>
      </c>
      <c r="L52" s="110"/>
      <c r="M52" s="111"/>
      <c r="N52" s="103" t="s">
        <v>1154</v>
      </c>
      <c r="O52" s="112"/>
      <c r="P52" s="115"/>
      <c r="Q52" s="114"/>
      <c r="R52" s="108">
        <f>if(MAXIFS(Invoices!E:E,Invoices!A:A,A:A)=0,"",MAXIFS(Invoices!E:E,Invoices!A:A,A:A))</f>
        <v>44531</v>
      </c>
      <c r="S52" s="115">
        <v>599.0</v>
      </c>
      <c r="T52" s="103" t="b">
        <v>0</v>
      </c>
      <c r="U52" s="103"/>
      <c r="V52" s="103"/>
      <c r="W52" s="103"/>
      <c r="X52" s="103"/>
      <c r="Y52" s="103"/>
      <c r="Z52" s="103"/>
    </row>
    <row r="53">
      <c r="A53" s="110" t="s">
        <v>70</v>
      </c>
      <c r="B53" s="103" t="s">
        <v>1239</v>
      </c>
      <c r="C53" s="103" t="s">
        <v>1168</v>
      </c>
      <c r="D53" s="103" t="s">
        <v>1160</v>
      </c>
      <c r="E53" s="103"/>
      <c r="F53" s="103" t="s">
        <v>196</v>
      </c>
      <c r="G53" s="115">
        <f>5300</f>
        <v>5300</v>
      </c>
      <c r="H53" s="107" t="s">
        <v>21</v>
      </c>
      <c r="I53" s="103">
        <v>15.0</v>
      </c>
      <c r="J53" s="108">
        <v>44409.0</v>
      </c>
      <c r="K53" s="109" t="s">
        <v>36</v>
      </c>
      <c r="L53" s="110"/>
      <c r="M53" s="111"/>
      <c r="N53" s="103" t="s">
        <v>1157</v>
      </c>
      <c r="O53" s="112"/>
      <c r="P53" s="115"/>
      <c r="Q53" s="114"/>
      <c r="R53" s="108">
        <f>if(MAXIFS(Invoices!E:E,Invoices!A:A,A:A)=0,"",MAXIFS(Invoices!E:E,Invoices!A:A,A:A))</f>
        <v>45107</v>
      </c>
      <c r="S53" s="115">
        <v>13199.999999999998</v>
      </c>
      <c r="T53" s="103" t="b">
        <v>1</v>
      </c>
      <c r="U53" s="103"/>
      <c r="V53" s="103"/>
      <c r="W53" s="103"/>
      <c r="X53" s="103"/>
      <c r="Y53" s="103"/>
      <c r="Z53" s="103"/>
    </row>
    <row r="54">
      <c r="A54" s="110" t="s">
        <v>289</v>
      </c>
      <c r="B54" s="103" t="s">
        <v>1240</v>
      </c>
      <c r="C54" s="103" t="s">
        <v>1186</v>
      </c>
      <c r="D54" s="103" t="s">
        <v>1160</v>
      </c>
      <c r="E54" s="103" t="s">
        <v>447</v>
      </c>
      <c r="F54" s="103" t="s">
        <v>196</v>
      </c>
      <c r="G54" s="115">
        <f>725+700</f>
        <v>1425</v>
      </c>
      <c r="H54" s="107" t="s">
        <v>21</v>
      </c>
      <c r="I54" s="103">
        <v>15.0</v>
      </c>
      <c r="J54" s="108">
        <v>44621.0</v>
      </c>
      <c r="K54" s="109" t="s">
        <v>1241</v>
      </c>
      <c r="L54" s="110"/>
      <c r="M54" s="111"/>
      <c r="N54" s="103" t="s">
        <v>1157</v>
      </c>
      <c r="O54" s="112"/>
      <c r="P54" s="115"/>
      <c r="Q54" s="114"/>
      <c r="R54" s="108">
        <f>if(MAXIFS(Invoices!E:E,Invoices!A:A,A:A)=0,"",MAXIFS(Invoices!E:E,Invoices!A:A,A:A))</f>
        <v>44607</v>
      </c>
      <c r="S54" s="115">
        <v>1425.0</v>
      </c>
      <c r="T54" s="103" t="b">
        <v>0</v>
      </c>
      <c r="U54" s="103"/>
      <c r="V54" s="103"/>
      <c r="W54" s="103"/>
      <c r="X54" s="103"/>
      <c r="Y54" s="103"/>
      <c r="Z54" s="103"/>
    </row>
    <row r="55">
      <c r="A55" s="110" t="s">
        <v>1242</v>
      </c>
      <c r="B55" s="103" t="s">
        <v>1243</v>
      </c>
      <c r="C55" s="103" t="s">
        <v>1190</v>
      </c>
      <c r="D55" s="103" t="s">
        <v>1152</v>
      </c>
      <c r="E55" s="103" t="s">
        <v>209</v>
      </c>
      <c r="F55" s="103" t="s">
        <v>459</v>
      </c>
      <c r="G55" s="106">
        <v>500.0</v>
      </c>
      <c r="H55" s="107" t="s">
        <v>9</v>
      </c>
      <c r="I55" s="103">
        <v>30.0</v>
      </c>
      <c r="J55" s="108">
        <v>44409.0</v>
      </c>
      <c r="K55" s="109" t="s">
        <v>143</v>
      </c>
      <c r="L55" s="110"/>
      <c r="M55" s="111"/>
      <c r="N55" s="103" t="s">
        <v>1154</v>
      </c>
      <c r="O55" s="112"/>
      <c r="P55" s="115"/>
      <c r="Q55" s="114"/>
      <c r="R55" s="108" t="str">
        <f>if(MAXIFS(Invoices!E:E,Invoices!A:A,A:A)=0,"",MAXIFS(Invoices!E:E,Invoices!A:A,A:A))</f>
        <v/>
      </c>
      <c r="S55" s="115">
        <v>0.0</v>
      </c>
      <c r="T55" s="103" t="b">
        <v>0</v>
      </c>
      <c r="U55" s="103"/>
      <c r="V55" s="103"/>
      <c r="W55" s="103"/>
      <c r="X55" s="103"/>
      <c r="Y55" s="103"/>
      <c r="Z55" s="103"/>
    </row>
    <row r="56">
      <c r="A56" s="110" t="s">
        <v>37</v>
      </c>
      <c r="B56" s="103" t="s">
        <v>1244</v>
      </c>
      <c r="C56" s="103" t="s">
        <v>1168</v>
      </c>
      <c r="D56" s="103" t="s">
        <v>1160</v>
      </c>
      <c r="E56" s="103" t="s">
        <v>447</v>
      </c>
      <c r="F56" s="103" t="s">
        <v>19</v>
      </c>
      <c r="G56" s="106">
        <v>5350.0</v>
      </c>
      <c r="H56" s="107" t="s">
        <v>21</v>
      </c>
      <c r="I56" s="103">
        <v>30.0</v>
      </c>
      <c r="J56" s="108">
        <v>44501.0</v>
      </c>
      <c r="K56" s="109" t="s">
        <v>38</v>
      </c>
      <c r="L56" s="110"/>
      <c r="M56" s="111"/>
      <c r="N56" s="103" t="s">
        <v>1157</v>
      </c>
      <c r="O56" s="112"/>
      <c r="P56" s="115"/>
      <c r="Q56" s="114"/>
      <c r="R56" s="108">
        <f>if(MAXIFS(Invoices!E:E,Invoices!A:A,A:A)=0,"",MAXIFS(Invoices!E:E,Invoices!A:A,A:A))</f>
        <v>44530</v>
      </c>
      <c r="S56" s="115">
        <v>5350.0</v>
      </c>
      <c r="T56" s="103" t="b">
        <v>0</v>
      </c>
      <c r="U56" s="103"/>
      <c r="V56" s="103"/>
      <c r="W56" s="103"/>
      <c r="X56" s="103"/>
      <c r="Y56" s="103"/>
      <c r="Z56" s="103"/>
    </row>
    <row r="57">
      <c r="A57" s="110" t="s">
        <v>64</v>
      </c>
      <c r="B57" s="103" t="s">
        <v>1245</v>
      </c>
      <c r="C57" s="103" t="s">
        <v>1156</v>
      </c>
      <c r="D57" s="103" t="s">
        <v>52</v>
      </c>
      <c r="E57" s="103"/>
      <c r="F57" s="103" t="s">
        <v>52</v>
      </c>
      <c r="G57" s="106">
        <v>500.0</v>
      </c>
      <c r="H57" s="107" t="s">
        <v>21</v>
      </c>
      <c r="I57" s="103">
        <v>15.0</v>
      </c>
      <c r="J57" s="108">
        <v>44197.0</v>
      </c>
      <c r="K57" s="109" t="s">
        <v>65</v>
      </c>
      <c r="L57" s="110"/>
      <c r="M57" s="111"/>
      <c r="N57" s="103" t="s">
        <v>1157</v>
      </c>
      <c r="O57" s="112"/>
      <c r="P57" s="115"/>
      <c r="Q57" s="114"/>
      <c r="R57" s="108">
        <f>if(MAXIFS(Invoices!E:E,Invoices!A:A,A:A)=0,"",MAXIFS(Invoices!E:E,Invoices!A:A,A:A))</f>
        <v>45169</v>
      </c>
      <c r="S57" s="115">
        <v>2700.0</v>
      </c>
      <c r="T57" s="103" t="b">
        <v>1</v>
      </c>
      <c r="U57" s="103"/>
      <c r="V57" s="103"/>
      <c r="W57" s="103"/>
      <c r="X57" s="103"/>
      <c r="Y57" s="103"/>
      <c r="Z57" s="103"/>
    </row>
    <row r="58">
      <c r="A58" s="110" t="s">
        <v>40</v>
      </c>
      <c r="B58" s="103" t="s">
        <v>1246</v>
      </c>
      <c r="C58" s="103" t="s">
        <v>1247</v>
      </c>
      <c r="D58" s="103" t="s">
        <v>1160</v>
      </c>
      <c r="E58" s="103"/>
      <c r="F58" s="103" t="s">
        <v>19</v>
      </c>
      <c r="G58" s="106">
        <f>1150*2</f>
        <v>2300</v>
      </c>
      <c r="H58" s="107" t="s">
        <v>21</v>
      </c>
      <c r="I58" s="103">
        <v>30.0</v>
      </c>
      <c r="J58" s="108">
        <v>44440.0</v>
      </c>
      <c r="K58" s="109" t="s">
        <v>41</v>
      </c>
      <c r="L58" s="110"/>
      <c r="M58" s="111"/>
      <c r="N58" s="103" t="s">
        <v>1157</v>
      </c>
      <c r="O58" s="112"/>
      <c r="P58" s="115"/>
      <c r="Q58" s="114"/>
      <c r="R58" s="108">
        <f>if(MAXIFS(Invoices!E:E,Invoices!A:A,A:A)=0,"",MAXIFS(Invoices!E:E,Invoices!A:A,A:A))</f>
        <v>44470</v>
      </c>
      <c r="S58" s="115">
        <v>2600.0</v>
      </c>
      <c r="T58" s="103" t="b">
        <v>1</v>
      </c>
      <c r="U58" s="103"/>
      <c r="V58" s="103"/>
      <c r="W58" s="103"/>
      <c r="X58" s="103"/>
      <c r="Y58" s="103"/>
      <c r="Z58" s="103"/>
    </row>
    <row r="59">
      <c r="A59" s="110" t="s">
        <v>259</v>
      </c>
      <c r="B59" s="103" t="s">
        <v>1248</v>
      </c>
      <c r="C59" s="103" t="s">
        <v>1249</v>
      </c>
      <c r="D59" s="103" t="s">
        <v>1160</v>
      </c>
      <c r="E59" s="103" t="s">
        <v>209</v>
      </c>
      <c r="F59" s="103" t="s">
        <v>459</v>
      </c>
      <c r="G59" s="106">
        <v>950.0</v>
      </c>
      <c r="H59" s="107" t="s">
        <v>21</v>
      </c>
      <c r="I59" s="103">
        <v>30.0</v>
      </c>
      <c r="J59" s="108">
        <v>44585.0</v>
      </c>
      <c r="K59" s="109" t="s">
        <v>260</v>
      </c>
      <c r="L59" s="110"/>
      <c r="M59" s="111"/>
      <c r="N59" s="103" t="s">
        <v>1157</v>
      </c>
      <c r="O59" s="112"/>
      <c r="P59" s="115"/>
      <c r="Q59" s="114"/>
      <c r="R59" s="108">
        <f>if(MAXIFS(Invoices!E:E,Invoices!A:A,A:A)=0,"",MAXIFS(Invoices!E:E,Invoices!A:A,A:A))</f>
        <v>44585</v>
      </c>
      <c r="S59" s="115">
        <v>950.0</v>
      </c>
      <c r="T59" s="103" t="b">
        <v>0</v>
      </c>
      <c r="U59" s="103"/>
      <c r="V59" s="103"/>
      <c r="W59" s="103"/>
      <c r="X59" s="103"/>
      <c r="Y59" s="103"/>
      <c r="Z59" s="103"/>
    </row>
    <row r="60">
      <c r="A60" s="110" t="s">
        <v>71</v>
      </c>
      <c r="B60" s="103" t="s">
        <v>1250</v>
      </c>
      <c r="C60" s="103" t="s">
        <v>1251</v>
      </c>
      <c r="D60" s="103" t="s">
        <v>1160</v>
      </c>
      <c r="E60" s="103"/>
      <c r="F60" s="103" t="s">
        <v>252</v>
      </c>
      <c r="G60" s="106">
        <v>1000.0</v>
      </c>
      <c r="H60" s="107" t="s">
        <v>21</v>
      </c>
      <c r="I60" s="103">
        <v>30.0</v>
      </c>
      <c r="J60" s="108">
        <v>44470.0</v>
      </c>
      <c r="K60" s="109" t="s">
        <v>72</v>
      </c>
      <c r="L60" s="110"/>
      <c r="M60" s="111"/>
      <c r="N60" s="103" t="s">
        <v>1157</v>
      </c>
      <c r="O60" s="112"/>
      <c r="P60" s="115"/>
      <c r="Q60" s="114"/>
      <c r="R60" s="108">
        <f>if(MAXIFS(Invoices!E:E,Invoices!A:A,A:A)=0,"",MAXIFS(Invoices!E:E,Invoices!A:A,A:A))</f>
        <v>44499</v>
      </c>
      <c r="S60" s="115">
        <v>1000.0</v>
      </c>
      <c r="T60" s="103" t="b">
        <v>1</v>
      </c>
      <c r="U60" s="103"/>
      <c r="V60" s="103"/>
      <c r="W60" s="103"/>
      <c r="X60" s="103"/>
      <c r="Y60" s="103"/>
      <c r="Z60" s="103"/>
    </row>
    <row r="61">
      <c r="A61" s="110" t="s">
        <v>313</v>
      </c>
      <c r="B61" s="103" t="s">
        <v>1252</v>
      </c>
      <c r="C61" s="103" t="s">
        <v>1253</v>
      </c>
      <c r="D61" s="103" t="s">
        <v>1160</v>
      </c>
      <c r="E61" s="103" t="s">
        <v>447</v>
      </c>
      <c r="F61" s="103" t="s">
        <v>19</v>
      </c>
      <c r="G61" s="115"/>
      <c r="H61" s="107" t="s">
        <v>21</v>
      </c>
      <c r="I61" s="103">
        <v>0.0</v>
      </c>
      <c r="J61" s="108"/>
      <c r="K61" s="109" t="s">
        <v>1254</v>
      </c>
      <c r="L61" s="110"/>
      <c r="M61" s="111"/>
      <c r="N61" s="103" t="s">
        <v>1157</v>
      </c>
      <c r="O61" s="112"/>
      <c r="P61" s="115"/>
      <c r="Q61" s="114"/>
      <c r="R61" s="108">
        <f>if(MAXIFS(Invoices!E:E,Invoices!A:A,A:A)=0,"",MAXIFS(Invoices!E:E,Invoices!A:A,A:A))</f>
        <v>44651</v>
      </c>
      <c r="S61" s="115">
        <v>10150.0</v>
      </c>
      <c r="T61" s="103" t="b">
        <v>0</v>
      </c>
      <c r="U61" s="103"/>
      <c r="V61" s="103"/>
      <c r="W61" s="103"/>
      <c r="X61" s="103"/>
      <c r="Y61" s="103"/>
      <c r="Z61" s="103"/>
    </row>
    <row r="62">
      <c r="A62" s="110" t="s">
        <v>81</v>
      </c>
      <c r="B62" s="103" t="s">
        <v>1255</v>
      </c>
      <c r="C62" s="103" t="s">
        <v>1156</v>
      </c>
      <c r="D62" s="103" t="s">
        <v>52</v>
      </c>
      <c r="E62" s="103" t="s">
        <v>51</v>
      </c>
      <c r="F62" s="103" t="s">
        <v>52</v>
      </c>
      <c r="G62" s="106">
        <v>1200.0</v>
      </c>
      <c r="H62" s="107" t="s">
        <v>21</v>
      </c>
      <c r="I62" s="103">
        <v>30.0</v>
      </c>
      <c r="J62" s="108">
        <v>44256.0</v>
      </c>
      <c r="K62" s="109" t="s">
        <v>38</v>
      </c>
      <c r="L62" s="110"/>
      <c r="M62" s="111"/>
      <c r="N62" s="103" t="s">
        <v>1157</v>
      </c>
      <c r="O62" s="112"/>
      <c r="P62" s="115"/>
      <c r="Q62" s="114"/>
      <c r="R62" s="108">
        <f>if(MAXIFS(Invoices!E:E,Invoices!A:A,A:A)=0,"",MAXIFS(Invoices!E:E,Invoices!A:A,A:A))</f>
        <v>44651</v>
      </c>
      <c r="S62" s="115">
        <v>7200.0</v>
      </c>
      <c r="T62" s="103" t="b">
        <v>1</v>
      </c>
      <c r="U62" s="103"/>
      <c r="V62" s="103"/>
      <c r="W62" s="103"/>
      <c r="X62" s="103"/>
      <c r="Y62" s="103"/>
      <c r="Z62" s="103"/>
    </row>
    <row r="63">
      <c r="A63" s="110" t="s">
        <v>88</v>
      </c>
      <c r="B63" s="103" t="s">
        <v>1256</v>
      </c>
      <c r="C63" s="103" t="s">
        <v>1156</v>
      </c>
      <c r="D63" s="103" t="s">
        <v>52</v>
      </c>
      <c r="E63" s="103" t="s">
        <v>51</v>
      </c>
      <c r="F63" s="103" t="s">
        <v>52</v>
      </c>
      <c r="G63" s="106">
        <v>500.0</v>
      </c>
      <c r="H63" s="107" t="s">
        <v>21</v>
      </c>
      <c r="I63" s="103">
        <v>30.0</v>
      </c>
      <c r="J63" s="108">
        <v>44197.0</v>
      </c>
      <c r="K63" s="109" t="s">
        <v>89</v>
      </c>
      <c r="L63" s="110"/>
      <c r="M63" s="111"/>
      <c r="N63" s="103" t="s">
        <v>1154</v>
      </c>
      <c r="O63" s="112"/>
      <c r="P63" s="115"/>
      <c r="Q63" s="114"/>
      <c r="R63" s="108">
        <f>if(MAXIFS(Invoices!E:E,Invoices!A:A,A:A)=0,"",MAXIFS(Invoices!E:E,Invoices!A:A,A:A))</f>
        <v>45169</v>
      </c>
      <c r="S63" s="115">
        <v>11850.0</v>
      </c>
      <c r="T63" s="103" t="b">
        <v>0</v>
      </c>
      <c r="U63" s="103"/>
      <c r="V63" s="103"/>
      <c r="W63" s="103"/>
      <c r="X63" s="103"/>
      <c r="Y63" s="103"/>
      <c r="Z63" s="103"/>
    </row>
    <row r="64">
      <c r="A64" s="110" t="s">
        <v>225</v>
      </c>
      <c r="B64" s="103" t="s">
        <v>1257</v>
      </c>
      <c r="C64" s="103" t="s">
        <v>1156</v>
      </c>
      <c r="D64" s="103" t="s">
        <v>52</v>
      </c>
      <c r="E64" s="103" t="s">
        <v>27</v>
      </c>
      <c r="F64" s="103" t="s">
        <v>52</v>
      </c>
      <c r="G64" s="106">
        <v>5000.0</v>
      </c>
      <c r="H64" s="107" t="s">
        <v>21</v>
      </c>
      <c r="I64" s="103">
        <v>30.0</v>
      </c>
      <c r="J64" s="103" t="s">
        <v>1258</v>
      </c>
      <c r="K64" s="109" t="s">
        <v>649</v>
      </c>
      <c r="L64" s="110"/>
      <c r="M64" s="111"/>
      <c r="N64" s="103" t="s">
        <v>1154</v>
      </c>
      <c r="O64" s="112"/>
      <c r="P64" s="115"/>
      <c r="Q64" s="114"/>
      <c r="R64" s="108">
        <f>if(MAXIFS(Invoices!E:E,Invoices!A:A,A:A)=0,"",MAXIFS(Invoices!E:E,Invoices!A:A,A:A))</f>
        <v>45153</v>
      </c>
      <c r="S64" s="115">
        <v>101000.0</v>
      </c>
      <c r="T64" s="103" t="b">
        <v>0</v>
      </c>
      <c r="U64" s="103"/>
      <c r="V64" s="103"/>
      <c r="W64" s="103"/>
      <c r="X64" s="103"/>
      <c r="Y64" s="103"/>
      <c r="Z64" s="103"/>
    </row>
    <row r="65">
      <c r="A65" s="110" t="s">
        <v>166</v>
      </c>
      <c r="B65" s="103" t="s">
        <v>1259</v>
      </c>
      <c r="C65" s="103" t="s">
        <v>1168</v>
      </c>
      <c r="D65" s="103" t="s">
        <v>1160</v>
      </c>
      <c r="E65" s="103" t="s">
        <v>447</v>
      </c>
      <c r="F65" s="103" t="s">
        <v>19</v>
      </c>
      <c r="G65" s="106">
        <v>2000.0</v>
      </c>
      <c r="H65" s="107" t="s">
        <v>9</v>
      </c>
      <c r="I65" s="103">
        <v>30.0</v>
      </c>
      <c r="J65" s="108">
        <v>44501.0</v>
      </c>
      <c r="K65" s="109" t="s">
        <v>168</v>
      </c>
      <c r="L65" s="110"/>
      <c r="M65" s="111"/>
      <c r="N65" s="103" t="s">
        <v>1157</v>
      </c>
      <c r="O65" s="112"/>
      <c r="P65" s="115"/>
      <c r="Q65" s="114"/>
      <c r="R65" s="108">
        <f>if(MAXIFS(Invoices!E:E,Invoices!A:A,A:A)=0,"",MAXIFS(Invoices!E:E,Invoices!A:A,A:A))</f>
        <v>44561</v>
      </c>
      <c r="S65" s="115">
        <v>2453.632</v>
      </c>
      <c r="T65" s="103" t="b">
        <v>0</v>
      </c>
      <c r="U65" s="103"/>
      <c r="V65" s="103"/>
      <c r="W65" s="103"/>
      <c r="X65" s="103"/>
      <c r="Y65" s="103"/>
      <c r="Z65" s="103"/>
    </row>
    <row r="66">
      <c r="A66" s="110" t="s">
        <v>102</v>
      </c>
      <c r="B66" s="103" t="s">
        <v>1259</v>
      </c>
      <c r="C66" s="103" t="s">
        <v>1156</v>
      </c>
      <c r="D66" s="103" t="s">
        <v>52</v>
      </c>
      <c r="E66" s="103" t="s">
        <v>27</v>
      </c>
      <c r="F66" s="103" t="s">
        <v>52</v>
      </c>
      <c r="G66" s="106">
        <v>350.0</v>
      </c>
      <c r="H66" s="107" t="s">
        <v>9</v>
      </c>
      <c r="I66" s="103">
        <v>30.0</v>
      </c>
      <c r="J66" s="108">
        <v>44317.0</v>
      </c>
      <c r="K66" s="109" t="s">
        <v>104</v>
      </c>
      <c r="L66" s="110"/>
      <c r="M66" s="111"/>
      <c r="N66" s="103" t="s">
        <v>1154</v>
      </c>
      <c r="O66" s="112"/>
      <c r="P66" s="115"/>
      <c r="Q66" s="114"/>
      <c r="R66" s="108">
        <f>if(MAXIFS(Invoices!E:E,Invoices!A:A,A:A)=0,"",MAXIFS(Invoices!E:E,Invoices!A:A,A:A))</f>
        <v>45153</v>
      </c>
      <c r="S66" s="115">
        <v>10249.8564</v>
      </c>
      <c r="T66" s="103" t="b">
        <v>0</v>
      </c>
      <c r="U66" s="103"/>
      <c r="V66" s="103"/>
      <c r="W66" s="103"/>
      <c r="X66" s="103"/>
      <c r="Y66" s="103"/>
      <c r="Z66" s="103"/>
    </row>
    <row r="67">
      <c r="A67" s="110" t="s">
        <v>1260</v>
      </c>
      <c r="B67" s="103" t="s">
        <v>1259</v>
      </c>
      <c r="C67" s="103" t="s">
        <v>1213</v>
      </c>
      <c r="D67" s="103" t="s">
        <v>716</v>
      </c>
      <c r="E67" s="103"/>
      <c r="F67" s="103" t="s">
        <v>727</v>
      </c>
      <c r="G67" s="106">
        <f>50*6</f>
        <v>300</v>
      </c>
      <c r="H67" s="107" t="s">
        <v>9</v>
      </c>
      <c r="I67" s="103">
        <v>30.0</v>
      </c>
      <c r="J67" s="108">
        <v>44562.0</v>
      </c>
      <c r="K67" s="109" t="s">
        <v>1261</v>
      </c>
      <c r="L67" s="110"/>
      <c r="M67" s="111"/>
      <c r="N67" s="103" t="s">
        <v>1157</v>
      </c>
      <c r="O67" s="112"/>
      <c r="P67" s="115"/>
      <c r="Q67" s="114"/>
      <c r="R67" s="108" t="str">
        <f>if(MAXIFS(Invoices!E:E,Invoices!A:A,A:A)=0,"",MAXIFS(Invoices!E:E,Invoices!A:A,A:A))</f>
        <v/>
      </c>
      <c r="S67" s="115">
        <v>0.0</v>
      </c>
      <c r="T67" s="103" t="b">
        <v>1</v>
      </c>
      <c r="U67" s="103"/>
      <c r="V67" s="103"/>
      <c r="W67" s="103"/>
      <c r="X67" s="103"/>
      <c r="Y67" s="103"/>
      <c r="Z67" s="103"/>
    </row>
    <row r="68">
      <c r="A68" s="110" t="s">
        <v>151</v>
      </c>
      <c r="B68" s="103" t="s">
        <v>1262</v>
      </c>
      <c r="C68" s="103" t="s">
        <v>1156</v>
      </c>
      <c r="D68" s="103" t="s">
        <v>52</v>
      </c>
      <c r="E68" s="103" t="s">
        <v>51</v>
      </c>
      <c r="F68" s="103" t="s">
        <v>52</v>
      </c>
      <c r="G68" s="106">
        <v>650.0</v>
      </c>
      <c r="H68" s="107" t="s">
        <v>9</v>
      </c>
      <c r="I68" s="103">
        <v>30.0</v>
      </c>
      <c r="J68" s="108">
        <v>44228.0</v>
      </c>
      <c r="K68" s="109" t="s">
        <v>122</v>
      </c>
      <c r="L68" s="110"/>
      <c r="M68" s="111"/>
      <c r="N68" s="103" t="s">
        <v>1182</v>
      </c>
      <c r="O68" s="112"/>
      <c r="P68" s="115"/>
      <c r="Q68" s="114"/>
      <c r="R68" s="108">
        <f>if(MAXIFS(Invoices!E:E,Invoices!A:A,A:A)=0,"",MAXIFS(Invoices!E:E,Invoices!A:A,A:A))</f>
        <v>44742</v>
      </c>
      <c r="S68" s="115">
        <v>7219.6663499999995</v>
      </c>
      <c r="T68" s="103" t="b">
        <v>0</v>
      </c>
      <c r="U68" s="103"/>
      <c r="V68" s="103"/>
      <c r="W68" s="103"/>
      <c r="X68" s="103"/>
      <c r="Y68" s="103"/>
      <c r="Z68" s="103"/>
    </row>
    <row r="69">
      <c r="A69" s="110" t="s">
        <v>1263</v>
      </c>
      <c r="B69" s="103" t="s">
        <v>1264</v>
      </c>
      <c r="C69" s="103" t="s">
        <v>1265</v>
      </c>
      <c r="D69" s="103" t="s">
        <v>1152</v>
      </c>
      <c r="E69" s="103"/>
      <c r="F69" s="103"/>
      <c r="G69" s="115"/>
      <c r="H69" s="107" t="s">
        <v>21</v>
      </c>
      <c r="I69" s="103">
        <v>0.0</v>
      </c>
      <c r="J69" s="108">
        <v>44197.0</v>
      </c>
      <c r="K69" s="103" t="s">
        <v>1265</v>
      </c>
      <c r="L69" s="110"/>
      <c r="M69" s="111"/>
      <c r="N69" s="103" t="s">
        <v>1154</v>
      </c>
      <c r="O69" s="112"/>
      <c r="P69" s="115"/>
      <c r="Q69" s="114"/>
      <c r="R69" s="108" t="str">
        <f>if(MAXIFS(Invoices!E:E,Invoices!A:A,A:A)=0,"",MAXIFS(Invoices!E:E,Invoices!A:A,A:A))</f>
        <v/>
      </c>
      <c r="S69" s="115">
        <v>0.0</v>
      </c>
      <c r="T69" s="103" t="b">
        <v>0</v>
      </c>
      <c r="U69" s="103"/>
      <c r="V69" s="103"/>
      <c r="W69" s="103"/>
      <c r="X69" s="103"/>
      <c r="Y69" s="103"/>
      <c r="Z69" s="103"/>
    </row>
    <row r="70">
      <c r="A70" s="110" t="s">
        <v>1266</v>
      </c>
      <c r="B70" s="103" t="s">
        <v>1264</v>
      </c>
      <c r="C70" s="103" t="s">
        <v>1267</v>
      </c>
      <c r="D70" s="103" t="s">
        <v>1152</v>
      </c>
      <c r="E70" s="103"/>
      <c r="F70" s="103"/>
      <c r="G70" s="115"/>
      <c r="H70" s="107" t="s">
        <v>21</v>
      </c>
      <c r="I70" s="103">
        <v>0.0</v>
      </c>
      <c r="J70" s="108">
        <v>44197.0</v>
      </c>
      <c r="K70" s="109" t="s">
        <v>1268</v>
      </c>
      <c r="L70" s="110"/>
      <c r="M70" s="111"/>
      <c r="N70" s="103" t="s">
        <v>1154</v>
      </c>
      <c r="O70" s="112"/>
      <c r="P70" s="115"/>
      <c r="Q70" s="114"/>
      <c r="R70" s="108" t="str">
        <f>if(MAXIFS(Invoices!E:E,Invoices!A:A,A:A)=0,"",MAXIFS(Invoices!E:E,Invoices!A:A,A:A))</f>
        <v/>
      </c>
      <c r="S70" s="115">
        <v>0.0</v>
      </c>
      <c r="T70" s="103" t="b">
        <v>0</v>
      </c>
      <c r="U70" s="103"/>
      <c r="V70" s="103"/>
      <c r="W70" s="103"/>
      <c r="X70" s="103"/>
      <c r="Y70" s="103"/>
      <c r="Z70" s="103"/>
    </row>
    <row r="71">
      <c r="A71" s="110" t="s">
        <v>1269</v>
      </c>
      <c r="B71" s="103" t="s">
        <v>1264</v>
      </c>
      <c r="C71" s="103" t="s">
        <v>1270</v>
      </c>
      <c r="D71" s="103" t="s">
        <v>1152</v>
      </c>
      <c r="E71" s="103"/>
      <c r="F71" s="103"/>
      <c r="G71" s="115"/>
      <c r="H71" s="107" t="s">
        <v>21</v>
      </c>
      <c r="I71" s="103">
        <v>0.0</v>
      </c>
      <c r="J71" s="108">
        <v>44197.0</v>
      </c>
      <c r="K71" s="109" t="s">
        <v>1270</v>
      </c>
      <c r="L71" s="110"/>
      <c r="M71" s="111"/>
      <c r="N71" s="103" t="s">
        <v>1154</v>
      </c>
      <c r="O71" s="112"/>
      <c r="P71" s="115"/>
      <c r="Q71" s="114"/>
      <c r="R71" s="108" t="str">
        <f>if(MAXIFS(Invoices!E:E,Invoices!A:A,A:A)=0,"",MAXIFS(Invoices!E:E,Invoices!A:A,A:A))</f>
        <v/>
      </c>
      <c r="S71" s="115">
        <v>0.0</v>
      </c>
      <c r="T71" s="103" t="b">
        <v>0</v>
      </c>
      <c r="U71" s="103"/>
      <c r="V71" s="103"/>
      <c r="W71" s="103"/>
      <c r="X71" s="103"/>
      <c r="Y71" s="103"/>
      <c r="Z71" s="103"/>
    </row>
    <row r="72">
      <c r="A72" s="110" t="s">
        <v>1271</v>
      </c>
      <c r="B72" s="103" t="s">
        <v>1264</v>
      </c>
      <c r="C72" s="103" t="s">
        <v>1272</v>
      </c>
      <c r="D72" s="103" t="s">
        <v>1152</v>
      </c>
      <c r="E72" s="103"/>
      <c r="F72" s="103"/>
      <c r="G72" s="115"/>
      <c r="H72" s="107" t="s">
        <v>21</v>
      </c>
      <c r="I72" s="103">
        <v>0.0</v>
      </c>
      <c r="J72" s="108">
        <v>44197.0</v>
      </c>
      <c r="K72" s="109" t="s">
        <v>1273</v>
      </c>
      <c r="L72" s="110"/>
      <c r="M72" s="111"/>
      <c r="N72" s="103" t="s">
        <v>1154</v>
      </c>
      <c r="O72" s="112"/>
      <c r="P72" s="115"/>
      <c r="Q72" s="114"/>
      <c r="R72" s="108" t="str">
        <f>if(MAXIFS(Invoices!E:E,Invoices!A:A,A:A)=0,"",MAXIFS(Invoices!E:E,Invoices!A:A,A:A))</f>
        <v/>
      </c>
      <c r="S72" s="115">
        <v>0.0</v>
      </c>
      <c r="T72" s="103" t="b">
        <v>0</v>
      </c>
      <c r="U72" s="103"/>
      <c r="V72" s="103"/>
      <c r="W72" s="103"/>
      <c r="X72" s="103"/>
      <c r="Y72" s="103"/>
      <c r="Z72" s="103"/>
    </row>
    <row r="73">
      <c r="A73" s="110" t="s">
        <v>1274</v>
      </c>
      <c r="B73" s="103" t="s">
        <v>1275</v>
      </c>
      <c r="C73" s="103" t="s">
        <v>1175</v>
      </c>
      <c r="D73" s="103" t="s">
        <v>1160</v>
      </c>
      <c r="E73" s="103"/>
      <c r="F73" s="103" t="s">
        <v>19</v>
      </c>
      <c r="G73" s="106">
        <v>1000.0</v>
      </c>
      <c r="H73" s="107" t="s">
        <v>21</v>
      </c>
      <c r="I73" s="103">
        <v>15.0</v>
      </c>
      <c r="J73" s="108">
        <v>44228.0</v>
      </c>
      <c r="K73" s="109" t="s">
        <v>1276</v>
      </c>
      <c r="L73" s="110"/>
      <c r="M73" s="111"/>
      <c r="N73" s="103" t="s">
        <v>1157</v>
      </c>
      <c r="O73" s="112"/>
      <c r="P73" s="115"/>
      <c r="Q73" s="114"/>
      <c r="R73" s="108" t="str">
        <f>if(MAXIFS(Invoices!E:E,Invoices!A:A,A:A)=0,"",MAXIFS(Invoices!E:E,Invoices!A:A,A:A))</f>
        <v/>
      </c>
      <c r="S73" s="115">
        <v>0.0</v>
      </c>
      <c r="T73" s="103" t="b">
        <v>1</v>
      </c>
      <c r="U73" s="103"/>
      <c r="V73" s="103"/>
      <c r="W73" s="103"/>
      <c r="X73" s="103"/>
      <c r="Y73" s="103"/>
      <c r="Z73" s="103"/>
    </row>
    <row r="74">
      <c r="A74" s="110" t="s">
        <v>50</v>
      </c>
      <c r="B74" s="103" t="s">
        <v>1275</v>
      </c>
      <c r="C74" s="103" t="s">
        <v>1156</v>
      </c>
      <c r="D74" s="103" t="s">
        <v>52</v>
      </c>
      <c r="E74" s="103" t="s">
        <v>51</v>
      </c>
      <c r="F74" s="103" t="s">
        <v>52</v>
      </c>
      <c r="G74" s="106">
        <f>375+(375*0.1)</f>
        <v>412.5</v>
      </c>
      <c r="H74" s="107" t="s">
        <v>21</v>
      </c>
      <c r="I74" s="103">
        <v>30.0</v>
      </c>
      <c r="J74" s="108">
        <v>44378.0</v>
      </c>
      <c r="K74" s="109" t="s">
        <v>400</v>
      </c>
      <c r="L74" s="110"/>
      <c r="M74" s="111"/>
      <c r="N74" s="103" t="s">
        <v>1154</v>
      </c>
      <c r="O74" s="112"/>
      <c r="P74" s="115"/>
      <c r="Q74" s="114"/>
      <c r="R74" s="108">
        <f>if(MAXIFS(Invoices!E:E,Invoices!A:A,A:A)=0,"",MAXIFS(Invoices!E:E,Invoices!A:A,A:A))</f>
        <v>45169</v>
      </c>
      <c r="S74" s="115">
        <v>9612.5</v>
      </c>
      <c r="T74" s="103" t="b">
        <v>0</v>
      </c>
      <c r="U74" s="103"/>
      <c r="V74" s="103"/>
      <c r="W74" s="103"/>
      <c r="X74" s="103"/>
      <c r="Y74" s="103"/>
      <c r="Z74" s="103"/>
    </row>
    <row r="75">
      <c r="A75" s="110" t="s">
        <v>244</v>
      </c>
      <c r="B75" s="103" t="s">
        <v>1275</v>
      </c>
      <c r="C75" s="103" t="s">
        <v>1277</v>
      </c>
      <c r="D75" s="103" t="s">
        <v>1160</v>
      </c>
      <c r="E75" s="103" t="s">
        <v>209</v>
      </c>
      <c r="F75" s="103" t="s">
        <v>459</v>
      </c>
      <c r="G75" s="106">
        <v>650.0</v>
      </c>
      <c r="H75" s="107" t="s">
        <v>21</v>
      </c>
      <c r="I75" s="103">
        <v>15.0</v>
      </c>
      <c r="J75" s="108">
        <v>44573.0</v>
      </c>
      <c r="K75" s="109" t="s">
        <v>1278</v>
      </c>
      <c r="L75" s="110"/>
      <c r="M75" s="111"/>
      <c r="N75" s="103" t="s">
        <v>1157</v>
      </c>
      <c r="O75" s="112"/>
      <c r="P75" s="115"/>
      <c r="Q75" s="114"/>
      <c r="R75" s="108">
        <f>if(MAXIFS(Invoices!E:E,Invoices!A:A,A:A)=0,"",MAXIFS(Invoices!E:E,Invoices!A:A,A:A))</f>
        <v>44575</v>
      </c>
      <c r="S75" s="115">
        <v>650.0</v>
      </c>
      <c r="T75" s="103" t="b">
        <v>0</v>
      </c>
      <c r="U75" s="103"/>
      <c r="V75" s="103"/>
      <c r="W75" s="103"/>
      <c r="X75" s="103"/>
      <c r="Y75" s="103"/>
      <c r="Z75" s="103"/>
    </row>
    <row r="76">
      <c r="A76" s="110" t="s">
        <v>75</v>
      </c>
      <c r="B76" s="103" t="s">
        <v>1279</v>
      </c>
      <c r="C76" s="103" t="s">
        <v>1156</v>
      </c>
      <c r="D76" s="103" t="s">
        <v>52</v>
      </c>
      <c r="E76" s="103" t="s">
        <v>51</v>
      </c>
      <c r="F76" s="103" t="s">
        <v>52</v>
      </c>
      <c r="G76" s="106">
        <v>500.0</v>
      </c>
      <c r="H76" s="107" t="s">
        <v>21</v>
      </c>
      <c r="I76" s="103">
        <v>30.0</v>
      </c>
      <c r="J76" s="108">
        <v>44317.0</v>
      </c>
      <c r="K76" s="109" t="s">
        <v>76</v>
      </c>
      <c r="L76" s="110"/>
      <c r="M76" s="111"/>
      <c r="N76" s="103" t="s">
        <v>1182</v>
      </c>
      <c r="O76" s="112"/>
      <c r="P76" s="115"/>
      <c r="Q76" s="114"/>
      <c r="R76" s="108">
        <f>if(MAXIFS(Invoices!E:E,Invoices!A:A,A:A)=0,"",MAXIFS(Invoices!E:E,Invoices!A:A,A:A))</f>
        <v>44833</v>
      </c>
      <c r="S76" s="115">
        <v>6000.0</v>
      </c>
      <c r="T76" s="103" t="b">
        <v>0</v>
      </c>
      <c r="U76" s="103"/>
      <c r="V76" s="103"/>
      <c r="W76" s="103"/>
      <c r="X76" s="103"/>
      <c r="Y76" s="103"/>
      <c r="Z76" s="103"/>
    </row>
    <row r="77">
      <c r="A77" s="110" t="s">
        <v>22</v>
      </c>
      <c r="B77" s="103" t="s">
        <v>1280</v>
      </c>
      <c r="C77" s="103" t="s">
        <v>1168</v>
      </c>
      <c r="D77" s="103" t="s">
        <v>1160</v>
      </c>
      <c r="E77" s="103"/>
      <c r="F77" s="103" t="s">
        <v>688</v>
      </c>
      <c r="G77" s="115">
        <f>3150*3</f>
        <v>9450</v>
      </c>
      <c r="H77" s="107" t="s">
        <v>9</v>
      </c>
      <c r="I77" s="103">
        <v>30.0</v>
      </c>
      <c r="J77" s="108">
        <v>44317.0</v>
      </c>
      <c r="K77" s="109" t="s">
        <v>25</v>
      </c>
      <c r="L77" s="110"/>
      <c r="M77" s="111"/>
      <c r="N77" s="103" t="s">
        <v>1157</v>
      </c>
      <c r="O77" s="112"/>
      <c r="P77" s="115"/>
      <c r="Q77" s="114"/>
      <c r="R77" s="108">
        <f>if(MAXIFS(Invoices!E:E,Invoices!A:A,A:A)=0,"",MAXIFS(Invoices!E:E,Invoices!A:A,A:A))</f>
        <v>44317</v>
      </c>
      <c r="S77" s="115">
        <v>5006.12</v>
      </c>
      <c r="T77" s="103" t="b">
        <v>1</v>
      </c>
      <c r="U77" s="103"/>
      <c r="V77" s="103"/>
      <c r="W77" s="103"/>
      <c r="X77" s="103"/>
      <c r="Y77" s="103"/>
      <c r="Z77" s="103"/>
    </row>
    <row r="78">
      <c r="A78" s="110" t="s">
        <v>924</v>
      </c>
      <c r="B78" s="103" t="s">
        <v>1280</v>
      </c>
      <c r="C78" s="103" t="s">
        <v>1281</v>
      </c>
      <c r="D78" s="103" t="s">
        <v>52</v>
      </c>
      <c r="E78" s="103" t="s">
        <v>27</v>
      </c>
      <c r="F78" s="103" t="s">
        <v>52</v>
      </c>
      <c r="G78" s="106">
        <v>60.0</v>
      </c>
      <c r="H78" s="107" t="s">
        <v>9</v>
      </c>
      <c r="I78" s="103">
        <v>30.0</v>
      </c>
      <c r="J78" s="108">
        <v>44348.0</v>
      </c>
      <c r="K78" s="109" t="s">
        <v>926</v>
      </c>
      <c r="L78" s="110"/>
      <c r="M78" s="111"/>
      <c r="N78" s="103" t="s">
        <v>1154</v>
      </c>
      <c r="O78" s="109"/>
      <c r="P78" s="115"/>
      <c r="Q78" s="114"/>
      <c r="R78" s="108">
        <f>if(MAXIFS(Invoices!E:E,Invoices!A:A,A:A)=0,"",MAXIFS(Invoices!E:E,Invoices!A:A,A:A))</f>
        <v>45153</v>
      </c>
      <c r="S78" s="115">
        <v>388.5723</v>
      </c>
      <c r="T78" s="103" t="b">
        <v>0</v>
      </c>
      <c r="U78" s="103"/>
      <c r="V78" s="103"/>
      <c r="W78" s="103"/>
      <c r="X78" s="103"/>
      <c r="Y78" s="103"/>
      <c r="Z78" s="103"/>
    </row>
    <row r="79">
      <c r="A79" s="110" t="s">
        <v>90</v>
      </c>
      <c r="B79" s="103" t="s">
        <v>1282</v>
      </c>
      <c r="C79" s="103" t="s">
        <v>1156</v>
      </c>
      <c r="D79" s="103" t="s">
        <v>52</v>
      </c>
      <c r="E79" s="103" t="s">
        <v>51</v>
      </c>
      <c r="F79" s="103" t="s">
        <v>52</v>
      </c>
      <c r="G79" s="106">
        <v>1150.0</v>
      </c>
      <c r="H79" s="107" t="s">
        <v>21</v>
      </c>
      <c r="I79" s="103">
        <v>30.0</v>
      </c>
      <c r="J79" s="108">
        <v>44197.0</v>
      </c>
      <c r="K79" s="109" t="s">
        <v>215</v>
      </c>
      <c r="L79" s="110"/>
      <c r="M79" s="111"/>
      <c r="N79" s="103" t="s">
        <v>1182</v>
      </c>
      <c r="O79" s="112"/>
      <c r="P79" s="115"/>
      <c r="Q79" s="114"/>
      <c r="R79" s="108">
        <f>if(MAXIFS(Invoices!E:E,Invoices!A:A,A:A)=0,"",MAXIFS(Invoices!E:E,Invoices!A:A,A:A))</f>
        <v>44985</v>
      </c>
      <c r="S79" s="115">
        <v>11450.0</v>
      </c>
      <c r="T79" s="103" t="b">
        <v>0</v>
      </c>
      <c r="U79" s="103"/>
      <c r="V79" s="103"/>
      <c r="W79" s="103"/>
      <c r="X79" s="103"/>
      <c r="Y79" s="103"/>
      <c r="Z79" s="103"/>
    </row>
    <row r="80">
      <c r="A80" s="110" t="s">
        <v>248</v>
      </c>
      <c r="B80" s="103" t="s">
        <v>1283</v>
      </c>
      <c r="C80" s="103" t="s">
        <v>1284</v>
      </c>
      <c r="D80" s="103" t="s">
        <v>1160</v>
      </c>
      <c r="E80" s="103" t="s">
        <v>447</v>
      </c>
      <c r="F80" s="103" t="s">
        <v>19</v>
      </c>
      <c r="G80" s="106">
        <v>1400.0</v>
      </c>
      <c r="H80" s="107" t="s">
        <v>21</v>
      </c>
      <c r="I80" s="103">
        <v>30.0</v>
      </c>
      <c r="J80" s="108">
        <v>44576.0</v>
      </c>
      <c r="K80" s="109" t="s">
        <v>1285</v>
      </c>
      <c r="L80" s="110"/>
      <c r="M80" s="111"/>
      <c r="N80" s="103" t="s">
        <v>1157</v>
      </c>
      <c r="O80" s="112"/>
      <c r="P80" s="115"/>
      <c r="Q80" s="114"/>
      <c r="R80" s="108">
        <f>if(MAXIFS(Invoices!E:E,Invoices!A:A,A:A)=0,"",MAXIFS(Invoices!E:E,Invoices!A:A,A:A))</f>
        <v>44635</v>
      </c>
      <c r="S80" s="115">
        <v>1400.0</v>
      </c>
      <c r="T80" s="103" t="b">
        <v>0</v>
      </c>
      <c r="U80" s="103"/>
      <c r="V80" s="103"/>
      <c r="W80" s="103"/>
      <c r="X80" s="103"/>
      <c r="Y80" s="103"/>
      <c r="Z80" s="103"/>
    </row>
    <row r="81">
      <c r="A81" s="110" t="s">
        <v>97</v>
      </c>
      <c r="B81" s="103" t="s">
        <v>1286</v>
      </c>
      <c r="C81" s="103" t="s">
        <v>1156</v>
      </c>
      <c r="D81" s="103" t="s">
        <v>52</v>
      </c>
      <c r="E81" s="103" t="s">
        <v>51</v>
      </c>
      <c r="F81" s="103" t="s">
        <v>52</v>
      </c>
      <c r="G81" s="106">
        <f>300+(300*0.1)</f>
        <v>330</v>
      </c>
      <c r="H81" s="107" t="s">
        <v>21</v>
      </c>
      <c r="I81" s="103">
        <v>30.0</v>
      </c>
      <c r="J81" s="108">
        <v>44197.0</v>
      </c>
      <c r="K81" s="109" t="s">
        <v>98</v>
      </c>
      <c r="L81" s="110"/>
      <c r="M81" s="111"/>
      <c r="N81" s="103" t="s">
        <v>1154</v>
      </c>
      <c r="O81" s="112"/>
      <c r="P81" s="115"/>
      <c r="Q81" s="114"/>
      <c r="R81" s="108">
        <f>if(MAXIFS(Invoices!E:E,Invoices!A:A,A:A)=0,"",MAXIFS(Invoices!E:E,Invoices!A:A,A:A))</f>
        <v>45169</v>
      </c>
      <c r="S81" s="115">
        <v>7110.0</v>
      </c>
      <c r="T81" s="103" t="b">
        <v>0</v>
      </c>
      <c r="U81" s="103"/>
      <c r="V81" s="103"/>
      <c r="W81" s="103"/>
      <c r="X81" s="103"/>
      <c r="Y81" s="103"/>
      <c r="Z81" s="103"/>
    </row>
    <row r="82">
      <c r="A82" s="110" t="s">
        <v>108</v>
      </c>
      <c r="B82" s="103" t="s">
        <v>1287</v>
      </c>
      <c r="C82" s="103" t="s">
        <v>1288</v>
      </c>
      <c r="D82" s="103" t="s">
        <v>52</v>
      </c>
      <c r="E82" s="103" t="s">
        <v>51</v>
      </c>
      <c r="F82" s="103" t="s">
        <v>52</v>
      </c>
      <c r="G82" s="115"/>
      <c r="H82" s="107" t="s">
        <v>9</v>
      </c>
      <c r="I82" s="103"/>
      <c r="J82" s="108">
        <v>44501.0</v>
      </c>
      <c r="K82" s="109" t="s">
        <v>111</v>
      </c>
      <c r="L82" s="110"/>
      <c r="M82" s="111"/>
      <c r="N82" s="103" t="s">
        <v>1182</v>
      </c>
      <c r="O82" s="112"/>
      <c r="P82" s="115"/>
      <c r="Q82" s="114"/>
      <c r="R82" s="108">
        <f>if(MAXIFS(Invoices!E:E,Invoices!A:A,A:A)=0,"",MAXIFS(Invoices!E:E,Invoices!A:A,A:A))</f>
        <v>44673</v>
      </c>
      <c r="S82" s="115">
        <v>154.73918360000002</v>
      </c>
      <c r="T82" s="103" t="b">
        <v>0</v>
      </c>
      <c r="U82" s="103"/>
      <c r="V82" s="103"/>
      <c r="W82" s="103"/>
      <c r="X82" s="103"/>
      <c r="Y82" s="103"/>
      <c r="Z82" s="103"/>
    </row>
    <row r="83">
      <c r="A83" s="110" t="s">
        <v>92</v>
      </c>
      <c r="B83" s="103" t="s">
        <v>1289</v>
      </c>
      <c r="C83" s="103" t="s">
        <v>1156</v>
      </c>
      <c r="D83" s="103" t="s">
        <v>52</v>
      </c>
      <c r="E83" s="103" t="s">
        <v>51</v>
      </c>
      <c r="F83" s="103" t="s">
        <v>52</v>
      </c>
      <c r="G83" s="106">
        <v>2500.0</v>
      </c>
      <c r="H83" s="107" t="s">
        <v>21</v>
      </c>
      <c r="I83" s="103">
        <v>30.0</v>
      </c>
      <c r="J83" s="108">
        <v>44197.0</v>
      </c>
      <c r="K83" s="109" t="s">
        <v>93</v>
      </c>
      <c r="L83" s="103"/>
      <c r="M83" s="120"/>
      <c r="N83" s="103" t="s">
        <v>1154</v>
      </c>
      <c r="O83" s="112"/>
      <c r="P83" s="115"/>
      <c r="Q83" s="114"/>
      <c r="R83" s="108">
        <f>if(MAXIFS(Invoices!E:E,Invoices!A:A,A:A)=0,"",MAXIFS(Invoices!E:E,Invoices!A:A,A:A))</f>
        <v>45169</v>
      </c>
      <c r="S83" s="115">
        <v>57900.0</v>
      </c>
      <c r="T83" s="103" t="b">
        <v>0</v>
      </c>
      <c r="U83" s="103"/>
      <c r="V83" s="103"/>
      <c r="W83" s="103"/>
      <c r="X83" s="103"/>
      <c r="Y83" s="103"/>
      <c r="Z83" s="103"/>
    </row>
    <row r="84">
      <c r="A84" s="110" t="s">
        <v>1290</v>
      </c>
      <c r="B84" s="103" t="s">
        <v>1291</v>
      </c>
      <c r="C84" s="103" t="s">
        <v>1249</v>
      </c>
      <c r="D84" s="103" t="s">
        <v>1152</v>
      </c>
      <c r="E84" s="103" t="s">
        <v>209</v>
      </c>
      <c r="F84" s="103" t="s">
        <v>459</v>
      </c>
      <c r="G84" s="106">
        <v>995.0</v>
      </c>
      <c r="H84" s="107" t="s">
        <v>21</v>
      </c>
      <c r="I84" s="103">
        <v>30.0</v>
      </c>
      <c r="J84" s="108">
        <v>44440.0</v>
      </c>
      <c r="K84" s="109" t="s">
        <v>260</v>
      </c>
      <c r="L84" s="110"/>
      <c r="M84" s="111"/>
      <c r="N84" s="103" t="s">
        <v>1157</v>
      </c>
      <c r="O84" s="112"/>
      <c r="P84" s="115"/>
      <c r="Q84" s="114"/>
      <c r="R84" s="108" t="str">
        <f>if(MAXIFS(Invoices!E:E,Invoices!A:A,A:A)=0,"",MAXIFS(Invoices!E:E,Invoices!A:A,A:A))</f>
        <v/>
      </c>
      <c r="S84" s="115">
        <v>0.0</v>
      </c>
      <c r="T84" s="103" t="b">
        <v>0</v>
      </c>
      <c r="U84" s="103"/>
      <c r="V84" s="103"/>
      <c r="W84" s="103"/>
      <c r="X84" s="103"/>
      <c r="Y84" s="103"/>
      <c r="Z84" s="103"/>
    </row>
    <row r="85">
      <c r="A85" s="110" t="s">
        <v>141</v>
      </c>
      <c r="B85" s="103" t="s">
        <v>1292</v>
      </c>
      <c r="C85" s="103" t="s">
        <v>1190</v>
      </c>
      <c r="D85" s="103" t="s">
        <v>1152</v>
      </c>
      <c r="E85" s="103" t="s">
        <v>209</v>
      </c>
      <c r="F85" s="103" t="s">
        <v>459</v>
      </c>
      <c r="G85" s="106">
        <v>600.0</v>
      </c>
      <c r="H85" s="107" t="s">
        <v>21</v>
      </c>
      <c r="I85" s="103">
        <v>30.0</v>
      </c>
      <c r="J85" s="108">
        <v>44531.0</v>
      </c>
      <c r="K85" s="109" t="s">
        <v>143</v>
      </c>
      <c r="L85" s="110"/>
      <c r="M85" s="111"/>
      <c r="N85" s="103" t="s">
        <v>1157</v>
      </c>
      <c r="O85" s="112"/>
      <c r="P85" s="115"/>
      <c r="Q85" s="114"/>
      <c r="R85" s="108">
        <f>if(MAXIFS(Invoices!E:E,Invoices!A:A,A:A)=0,"",MAXIFS(Invoices!E:E,Invoices!A:A,A:A))</f>
        <v>44819</v>
      </c>
      <c r="S85" s="115">
        <v>1800.0</v>
      </c>
      <c r="T85" s="103" t="b">
        <v>0</v>
      </c>
      <c r="U85" s="103"/>
      <c r="V85" s="103"/>
      <c r="W85" s="103"/>
      <c r="X85" s="103"/>
      <c r="Y85" s="103"/>
      <c r="Z85" s="103"/>
    </row>
    <row r="86">
      <c r="A86" s="110" t="s">
        <v>156</v>
      </c>
      <c r="B86" s="103" t="s">
        <v>1293</v>
      </c>
      <c r="C86" s="103" t="s">
        <v>1156</v>
      </c>
      <c r="D86" s="103" t="s">
        <v>52</v>
      </c>
      <c r="E86" s="103" t="s">
        <v>27</v>
      </c>
      <c r="F86" s="103" t="s">
        <v>52</v>
      </c>
      <c r="G86" s="106">
        <v>500.0</v>
      </c>
      <c r="H86" s="107" t="s">
        <v>9</v>
      </c>
      <c r="I86" s="103">
        <v>30.0</v>
      </c>
      <c r="J86" s="108">
        <v>44348.0</v>
      </c>
      <c r="K86" s="109" t="s">
        <v>158</v>
      </c>
      <c r="L86" s="119" t="s">
        <v>1193</v>
      </c>
      <c r="M86" s="120">
        <v>0.2</v>
      </c>
      <c r="N86" s="103" t="s">
        <v>1182</v>
      </c>
      <c r="O86" s="112"/>
      <c r="P86" s="115"/>
      <c r="Q86" s="114"/>
      <c r="R86" s="108">
        <f>if(MAXIFS(Invoices!E:E,Invoices!A:A,A:A)=0,"",MAXIFS(Invoices!E:E,Invoices!A:A,A:A))</f>
        <v>44727</v>
      </c>
      <c r="S86" s="115">
        <v>5949.9724</v>
      </c>
      <c r="T86" s="103" t="b">
        <v>0</v>
      </c>
      <c r="U86" s="103"/>
      <c r="V86" s="103"/>
      <c r="W86" s="103"/>
      <c r="X86" s="103"/>
      <c r="Y86" s="103"/>
      <c r="Z86" s="103"/>
    </row>
    <row r="87">
      <c r="A87" s="110" t="s">
        <v>33</v>
      </c>
      <c r="B87" s="103" t="s">
        <v>1294</v>
      </c>
      <c r="C87" s="103" t="s">
        <v>1168</v>
      </c>
      <c r="D87" s="103" t="s">
        <v>1160</v>
      </c>
      <c r="E87" s="103" t="s">
        <v>447</v>
      </c>
      <c r="F87" s="103" t="s">
        <v>688</v>
      </c>
      <c r="G87" s="106">
        <v>9700.0</v>
      </c>
      <c r="H87" s="107" t="s">
        <v>9</v>
      </c>
      <c r="I87" s="103">
        <v>30.0</v>
      </c>
      <c r="J87" s="108">
        <v>44409.0</v>
      </c>
      <c r="K87" s="109" t="s">
        <v>36</v>
      </c>
      <c r="L87" s="110"/>
      <c r="M87" s="111"/>
      <c r="N87" s="103" t="s">
        <v>1157</v>
      </c>
      <c r="O87" s="112"/>
      <c r="P87" s="115"/>
      <c r="Q87" s="114"/>
      <c r="R87" s="108">
        <f>if(MAXIFS(Invoices!E:E,Invoices!A:A,A:A)=0,"",MAXIFS(Invoices!E:E,Invoices!A:A,A:A))</f>
        <v>44561</v>
      </c>
      <c r="S87" s="115">
        <v>11698.209417020002</v>
      </c>
      <c r="T87" s="103" t="b">
        <v>0</v>
      </c>
      <c r="U87" s="103"/>
      <c r="V87" s="103"/>
      <c r="W87" s="103"/>
      <c r="X87" s="103"/>
      <c r="Y87" s="103"/>
      <c r="Z87" s="103"/>
    </row>
    <row r="88">
      <c r="A88" s="110" t="s">
        <v>227</v>
      </c>
      <c r="B88" s="103" t="s">
        <v>1294</v>
      </c>
      <c r="C88" s="103" t="s">
        <v>1163</v>
      </c>
      <c r="D88" s="103" t="s">
        <v>716</v>
      </c>
      <c r="E88" s="103" t="s">
        <v>51</v>
      </c>
      <c r="F88" s="103" t="s">
        <v>716</v>
      </c>
      <c r="G88" s="115">
        <f>70*12</f>
        <v>840</v>
      </c>
      <c r="H88" s="107" t="s">
        <v>9</v>
      </c>
      <c r="I88" s="103">
        <v>30.0</v>
      </c>
      <c r="J88" s="108">
        <v>44530.0</v>
      </c>
      <c r="K88" s="109" t="s">
        <v>229</v>
      </c>
      <c r="L88" s="110"/>
      <c r="M88" s="111"/>
      <c r="N88" s="103" t="s">
        <v>1154</v>
      </c>
      <c r="O88" s="109" t="s">
        <v>1295</v>
      </c>
      <c r="P88" s="115"/>
      <c r="Q88" s="114"/>
      <c r="R88" s="108">
        <f>if(MAXIFS(Invoices!E:E,Invoices!A:A,A:A)=0,"",MAXIFS(Invoices!E:E,Invoices!A:A,A:A))</f>
        <v>44895</v>
      </c>
      <c r="S88" s="115">
        <v>2106.74688</v>
      </c>
      <c r="T88" s="103" t="b">
        <v>0</v>
      </c>
      <c r="U88" s="103"/>
      <c r="V88" s="103"/>
      <c r="W88" s="103"/>
      <c r="X88" s="103"/>
      <c r="Y88" s="103"/>
      <c r="Z88" s="103"/>
    </row>
    <row r="89">
      <c r="A89" s="110" t="s">
        <v>231</v>
      </c>
      <c r="B89" s="103" t="s">
        <v>1294</v>
      </c>
      <c r="C89" s="103" t="s">
        <v>1190</v>
      </c>
      <c r="D89" s="103" t="s">
        <v>1152</v>
      </c>
      <c r="E89" s="103" t="s">
        <v>209</v>
      </c>
      <c r="F89" s="103" t="s">
        <v>459</v>
      </c>
      <c r="G89" s="106">
        <v>595.0</v>
      </c>
      <c r="H89" s="107" t="s">
        <v>9</v>
      </c>
      <c r="I89" s="103">
        <v>30.0</v>
      </c>
      <c r="J89" s="108">
        <v>44565.0</v>
      </c>
      <c r="K89" s="109" t="s">
        <v>143</v>
      </c>
      <c r="L89" s="110"/>
      <c r="M89" s="111"/>
      <c r="N89" s="103" t="s">
        <v>1154</v>
      </c>
      <c r="O89" s="112"/>
      <c r="P89" s="115"/>
      <c r="Q89" s="114"/>
      <c r="R89" s="108">
        <f>if(MAXIFS(Invoices!E:E,Invoices!A:A,A:A)=0,"",MAXIFS(Invoices!E:E,Invoices!A:A,A:A))</f>
        <v>44567</v>
      </c>
      <c r="S89" s="115">
        <v>718.494035</v>
      </c>
      <c r="T89" s="103" t="b">
        <v>0</v>
      </c>
      <c r="U89" s="103"/>
      <c r="V89" s="103"/>
      <c r="W89" s="103"/>
      <c r="X89" s="103"/>
      <c r="Y89" s="103"/>
      <c r="Z89" s="103"/>
    </row>
    <row r="90">
      <c r="A90" s="110" t="s">
        <v>112</v>
      </c>
      <c r="B90" s="103" t="s">
        <v>1296</v>
      </c>
      <c r="C90" s="122" t="s">
        <v>1297</v>
      </c>
      <c r="D90" s="103" t="s">
        <v>52</v>
      </c>
      <c r="E90" s="103" t="s">
        <v>51</v>
      </c>
      <c r="F90" s="103" t="s">
        <v>52</v>
      </c>
      <c r="G90" s="106">
        <v>350.0</v>
      </c>
      <c r="H90" s="107" t="s">
        <v>9</v>
      </c>
      <c r="I90" s="103">
        <v>30.0</v>
      </c>
      <c r="J90" s="108">
        <v>44197.0</v>
      </c>
      <c r="K90" s="109" t="s">
        <v>114</v>
      </c>
      <c r="L90" s="110"/>
      <c r="M90" s="111"/>
      <c r="N90" s="103" t="s">
        <v>1182</v>
      </c>
      <c r="O90" s="112"/>
      <c r="P90" s="115"/>
      <c r="Q90" s="114"/>
      <c r="R90" s="108">
        <f>if(MAXIFS(Invoices!E:E,Invoices!A:A,A:A)=0,"",MAXIFS(Invoices!E:E,Invoices!A:A,A:A))</f>
        <v>44771</v>
      </c>
      <c r="S90" s="115">
        <v>6661.798444000001</v>
      </c>
      <c r="T90" s="103" t="b">
        <v>0</v>
      </c>
      <c r="U90" s="103"/>
      <c r="V90" s="103"/>
      <c r="W90" s="103"/>
      <c r="X90" s="103"/>
      <c r="Y90" s="103"/>
      <c r="Z90" s="103"/>
    </row>
    <row r="91">
      <c r="A91" s="110" t="s">
        <v>1298</v>
      </c>
      <c r="B91" s="103" t="s">
        <v>1296</v>
      </c>
      <c r="C91" s="103" t="s">
        <v>1299</v>
      </c>
      <c r="D91" s="103" t="s">
        <v>52</v>
      </c>
      <c r="E91" s="103" t="s">
        <v>51</v>
      </c>
      <c r="F91" s="103" t="s">
        <v>52</v>
      </c>
      <c r="G91" s="106">
        <v>350.0</v>
      </c>
      <c r="H91" s="107" t="s">
        <v>9</v>
      </c>
      <c r="I91" s="103">
        <v>30.0</v>
      </c>
      <c r="J91" s="108">
        <v>44470.0</v>
      </c>
      <c r="K91" s="123" t="s">
        <v>114</v>
      </c>
      <c r="L91" s="110"/>
      <c r="M91" s="111"/>
      <c r="N91" s="103" t="s">
        <v>1182</v>
      </c>
      <c r="O91" s="112"/>
      <c r="P91" s="115"/>
      <c r="Q91" s="114"/>
      <c r="R91" s="108" t="str">
        <f>if(MAXIFS(Invoices!E:E,Invoices!A:A,A:A)=0,"",MAXIFS(Invoices!E:E,Invoices!A:A,A:A))</f>
        <v/>
      </c>
      <c r="S91" s="115">
        <v>0.0</v>
      </c>
      <c r="T91" s="103" t="b">
        <v>0</v>
      </c>
      <c r="U91" s="103"/>
      <c r="V91" s="103"/>
      <c r="W91" s="103"/>
      <c r="X91" s="103"/>
      <c r="Y91" s="103"/>
      <c r="Z91" s="103"/>
    </row>
    <row r="92">
      <c r="A92" s="110" t="s">
        <v>123</v>
      </c>
      <c r="B92" s="103" t="s">
        <v>1300</v>
      </c>
      <c r="C92" s="103" t="s">
        <v>1156</v>
      </c>
      <c r="D92" s="103" t="s">
        <v>52</v>
      </c>
      <c r="E92" s="103" t="s">
        <v>51</v>
      </c>
      <c r="F92" s="103" t="s">
        <v>52</v>
      </c>
      <c r="G92" s="106">
        <v>250.0</v>
      </c>
      <c r="H92" s="107" t="s">
        <v>9</v>
      </c>
      <c r="I92" s="103">
        <v>30.0</v>
      </c>
      <c r="J92" s="108">
        <v>44348.0</v>
      </c>
      <c r="K92" s="86" t="s">
        <v>1301</v>
      </c>
      <c r="L92" s="119" t="s">
        <v>1193</v>
      </c>
      <c r="M92" s="120">
        <v>0.2</v>
      </c>
      <c r="N92" s="103" t="s">
        <v>1154</v>
      </c>
      <c r="O92" s="112"/>
      <c r="P92" s="115"/>
      <c r="Q92" s="114"/>
      <c r="R92" s="108">
        <f>if(MAXIFS(Invoices!E:E,Invoices!A:A,A:A)=0,"",MAXIFS(Invoices!E:E,Invoices!A:A,A:A))</f>
        <v>45169</v>
      </c>
      <c r="S92" s="115">
        <v>122905.48300000001</v>
      </c>
      <c r="T92" s="103" t="b">
        <v>0</v>
      </c>
      <c r="U92" s="103"/>
      <c r="V92" s="103"/>
      <c r="W92" s="103"/>
      <c r="X92" s="103"/>
      <c r="Y92" s="103"/>
      <c r="Z92" s="103"/>
    </row>
    <row r="93">
      <c r="A93" s="110" t="s">
        <v>276</v>
      </c>
      <c r="B93" s="103" t="s">
        <v>1300</v>
      </c>
      <c r="C93" s="103" t="s">
        <v>1302</v>
      </c>
      <c r="D93" s="103" t="s">
        <v>716</v>
      </c>
      <c r="E93" s="103" t="s">
        <v>51</v>
      </c>
      <c r="F93" s="103" t="s">
        <v>716</v>
      </c>
      <c r="G93" s="115">
        <f>25*12</f>
        <v>300</v>
      </c>
      <c r="H93" s="107" t="s">
        <v>9</v>
      </c>
      <c r="I93" s="103">
        <v>30.0</v>
      </c>
      <c r="J93" s="108">
        <v>44593.0</v>
      </c>
      <c r="K93" s="109" t="s">
        <v>1303</v>
      </c>
      <c r="L93" s="110"/>
      <c r="M93" s="111"/>
      <c r="N93" s="103" t="s">
        <v>1157</v>
      </c>
      <c r="O93" s="112"/>
      <c r="P93" s="115"/>
      <c r="Q93" s="114"/>
      <c r="R93" s="108">
        <f>if(MAXIFS(Invoices!E:E,Invoices!A:A,A:A)=0,"",MAXIFS(Invoices!E:E,Invoices!A:A,A:A))</f>
        <v>44620</v>
      </c>
      <c r="S93" s="115">
        <v>337.9189</v>
      </c>
      <c r="T93" s="103" t="b">
        <v>0</v>
      </c>
      <c r="U93" s="103"/>
      <c r="V93" s="103"/>
      <c r="W93" s="103"/>
      <c r="X93" s="103"/>
      <c r="Y93" s="103"/>
      <c r="Z93" s="103"/>
    </row>
    <row r="94">
      <c r="A94" s="110" t="s">
        <v>62</v>
      </c>
      <c r="B94" s="103" t="s">
        <v>1304</v>
      </c>
      <c r="C94" s="103" t="s">
        <v>1156</v>
      </c>
      <c r="D94" s="103" t="s">
        <v>52</v>
      </c>
      <c r="E94" s="103" t="s">
        <v>27</v>
      </c>
      <c r="F94" s="103" t="s">
        <v>52</v>
      </c>
      <c r="G94" s="106">
        <v>1600.0</v>
      </c>
      <c r="H94" s="107" t="s">
        <v>21</v>
      </c>
      <c r="I94" s="103">
        <v>30.0</v>
      </c>
      <c r="J94" s="108">
        <v>44197.0</v>
      </c>
      <c r="K94" s="109" t="s">
        <v>63</v>
      </c>
      <c r="L94" s="103"/>
      <c r="M94" s="120"/>
      <c r="N94" s="103" t="s">
        <v>1154</v>
      </c>
      <c r="O94" s="112"/>
      <c r="P94" s="115"/>
      <c r="Q94" s="114"/>
      <c r="R94" s="108">
        <f>if(MAXIFS(Invoices!E:E,Invoices!A:A,A:A)=0,"",MAXIFS(Invoices!E:E,Invoices!A:A,A:A))</f>
        <v>45153</v>
      </c>
      <c r="S94" s="115">
        <v>37900.0</v>
      </c>
      <c r="T94" s="103" t="b">
        <v>0</v>
      </c>
      <c r="U94" s="103"/>
      <c r="V94" s="103"/>
      <c r="W94" s="103"/>
      <c r="X94" s="103"/>
      <c r="Y94" s="103"/>
      <c r="Z94" s="103"/>
    </row>
    <row r="95">
      <c r="A95" s="110" t="s">
        <v>279</v>
      </c>
      <c r="B95" s="103" t="s">
        <v>1305</v>
      </c>
      <c r="C95" s="103" t="s">
        <v>1306</v>
      </c>
      <c r="D95" s="103" t="s">
        <v>1160</v>
      </c>
      <c r="E95" s="103" t="s">
        <v>447</v>
      </c>
      <c r="F95" s="103" t="s">
        <v>1307</v>
      </c>
      <c r="G95" s="106">
        <v>10000.0</v>
      </c>
      <c r="H95" s="107" t="s">
        <v>21</v>
      </c>
      <c r="I95" s="103">
        <v>15.0</v>
      </c>
      <c r="J95" s="108">
        <v>44621.0</v>
      </c>
      <c r="K95" s="112"/>
      <c r="L95" s="110"/>
      <c r="M95" s="111"/>
      <c r="N95" s="103" t="s">
        <v>1157</v>
      </c>
      <c r="O95" s="112"/>
      <c r="P95" s="115"/>
      <c r="Q95" s="114"/>
      <c r="R95" s="108">
        <f>if(MAXIFS(Invoices!E:E,Invoices!A:A,A:A)=0,"",MAXIFS(Invoices!E:E,Invoices!A:A,A:A))</f>
        <v>44819</v>
      </c>
      <c r="S95" s="115">
        <v>15833.3</v>
      </c>
      <c r="T95" s="103" t="b">
        <v>0</v>
      </c>
      <c r="U95" s="103"/>
      <c r="V95" s="103"/>
      <c r="W95" s="103"/>
      <c r="X95" s="103"/>
      <c r="Y95" s="103"/>
      <c r="Z95" s="103"/>
    </row>
    <row r="96">
      <c r="A96" s="110" t="s">
        <v>115</v>
      </c>
      <c r="B96" s="103" t="s">
        <v>1308</v>
      </c>
      <c r="C96" s="103" t="s">
        <v>1156</v>
      </c>
      <c r="D96" s="103" t="s">
        <v>52</v>
      </c>
      <c r="E96" s="103" t="s">
        <v>51</v>
      </c>
      <c r="F96" s="103" t="s">
        <v>52</v>
      </c>
      <c r="G96" s="106">
        <v>2500.0</v>
      </c>
      <c r="H96" s="107" t="s">
        <v>9</v>
      </c>
      <c r="I96" s="103">
        <v>30.0</v>
      </c>
      <c r="J96" s="108">
        <v>44197.0</v>
      </c>
      <c r="K96" s="109" t="s">
        <v>117</v>
      </c>
      <c r="L96" s="103"/>
      <c r="M96" s="120"/>
      <c r="N96" s="103" t="s">
        <v>1154</v>
      </c>
      <c r="O96" s="112"/>
      <c r="P96" s="115"/>
      <c r="Q96" s="114"/>
      <c r="R96" s="108">
        <f>if(MAXIFS(Invoices!E:E,Invoices!A:A,A:A)=0,"",MAXIFS(Invoices!E:E,Invoices!A:A,A:A))</f>
        <v>45169</v>
      </c>
      <c r="S96" s="115">
        <v>63305.070016</v>
      </c>
      <c r="T96" s="103" t="b">
        <v>0</v>
      </c>
      <c r="U96" s="103"/>
      <c r="V96" s="103"/>
      <c r="W96" s="103"/>
      <c r="X96" s="103"/>
      <c r="Y96" s="103"/>
      <c r="Z96" s="103"/>
    </row>
    <row r="97">
      <c r="A97" s="110" t="s">
        <v>137</v>
      </c>
      <c r="B97" s="103" t="s">
        <v>1309</v>
      </c>
      <c r="C97" s="103" t="s">
        <v>1310</v>
      </c>
      <c r="D97" s="103" t="s">
        <v>1160</v>
      </c>
      <c r="E97" s="103" t="s">
        <v>447</v>
      </c>
      <c r="F97" s="103" t="s">
        <v>19</v>
      </c>
      <c r="G97" s="106">
        <v>6000.0</v>
      </c>
      <c r="H97" s="107" t="s">
        <v>21</v>
      </c>
      <c r="I97" s="103">
        <v>30.0</v>
      </c>
      <c r="J97" s="108">
        <v>44531.0</v>
      </c>
      <c r="K97" s="109" t="s">
        <v>138</v>
      </c>
      <c r="L97" s="110"/>
      <c r="M97" s="111"/>
      <c r="N97" s="103" t="s">
        <v>1157</v>
      </c>
      <c r="O97" s="112"/>
      <c r="P97" s="115"/>
      <c r="Q97" s="114"/>
      <c r="R97" s="108">
        <f>if(MAXIFS(Invoices!E:E,Invoices!A:A,A:A)=0,"",MAXIFS(Invoices!E:E,Invoices!A:A,A:A))</f>
        <v>44599</v>
      </c>
      <c r="S97" s="115">
        <v>7000.0</v>
      </c>
      <c r="T97" s="103" t="b">
        <v>0</v>
      </c>
      <c r="U97" s="103"/>
      <c r="V97" s="103"/>
      <c r="W97" s="103"/>
      <c r="X97" s="103"/>
      <c r="Y97" s="103"/>
      <c r="Z97" s="103"/>
    </row>
    <row r="98">
      <c r="A98" s="110" t="s">
        <v>135</v>
      </c>
      <c r="B98" s="103" t="s">
        <v>1311</v>
      </c>
      <c r="C98" s="103" t="s">
        <v>1168</v>
      </c>
      <c r="D98" s="103" t="s">
        <v>1160</v>
      </c>
      <c r="E98" s="103" t="s">
        <v>447</v>
      </c>
      <c r="F98" s="103" t="s">
        <v>19</v>
      </c>
      <c r="G98" s="106">
        <v>2800.0</v>
      </c>
      <c r="H98" s="107" t="s">
        <v>21</v>
      </c>
      <c r="I98" s="103"/>
      <c r="J98" s="108">
        <v>44501.0</v>
      </c>
      <c r="K98" s="109" t="s">
        <v>136</v>
      </c>
      <c r="L98" s="103"/>
      <c r="M98" s="120"/>
      <c r="N98" s="103" t="s">
        <v>1157</v>
      </c>
      <c r="O98" s="112"/>
      <c r="P98" s="115"/>
      <c r="Q98" s="114"/>
      <c r="R98" s="108">
        <f>if(MAXIFS(Invoices!E:E,Invoices!A:A,A:A)=0,"",MAXIFS(Invoices!E:E,Invoices!A:A,A:A))</f>
        <v>44642</v>
      </c>
      <c r="S98" s="115">
        <v>5050.0</v>
      </c>
      <c r="T98" s="103" t="b">
        <v>0</v>
      </c>
      <c r="U98" s="103"/>
      <c r="V98" s="103"/>
      <c r="W98" s="103"/>
      <c r="X98" s="103"/>
      <c r="Y98" s="103"/>
      <c r="Z98" s="103"/>
    </row>
    <row r="99">
      <c r="A99" s="110" t="s">
        <v>118</v>
      </c>
      <c r="B99" s="103" t="s">
        <v>1312</v>
      </c>
      <c r="C99" s="103" t="s">
        <v>1156</v>
      </c>
      <c r="D99" s="103" t="s">
        <v>52</v>
      </c>
      <c r="E99" s="103" t="s">
        <v>51</v>
      </c>
      <c r="F99" s="103" t="s">
        <v>52</v>
      </c>
      <c r="G99" s="106">
        <v>2500.0</v>
      </c>
      <c r="H99" s="107" t="s">
        <v>9</v>
      </c>
      <c r="I99" s="103">
        <v>30.0</v>
      </c>
      <c r="J99" s="108">
        <v>44197.0</v>
      </c>
      <c r="K99" s="109" t="s">
        <v>117</v>
      </c>
      <c r="L99" s="103"/>
      <c r="M99" s="120"/>
      <c r="N99" s="103" t="s">
        <v>1154</v>
      </c>
      <c r="O99" s="112"/>
      <c r="P99" s="115"/>
      <c r="Q99" s="114"/>
      <c r="R99" s="108">
        <f>if(MAXIFS(Invoices!E:E,Invoices!A:A,A:A)=0,"",MAXIFS(Invoices!E:E,Invoices!A:A,A:A))</f>
        <v>45169</v>
      </c>
      <c r="S99" s="115">
        <v>63305.070016</v>
      </c>
      <c r="T99" s="103" t="b">
        <v>0</v>
      </c>
      <c r="U99" s="103"/>
      <c r="V99" s="103"/>
      <c r="W99" s="103"/>
      <c r="X99" s="103"/>
      <c r="Y99" s="103"/>
      <c r="Z99" s="103"/>
    </row>
    <row r="100">
      <c r="A100" s="110" t="s">
        <v>1313</v>
      </c>
      <c r="B100" s="103" t="s">
        <v>1314</v>
      </c>
      <c r="C100" s="103" t="s">
        <v>1315</v>
      </c>
      <c r="D100" s="103" t="s">
        <v>1160</v>
      </c>
      <c r="E100" s="103" t="s">
        <v>209</v>
      </c>
      <c r="F100" s="103" t="s">
        <v>459</v>
      </c>
      <c r="G100" s="106">
        <v>1000.0</v>
      </c>
      <c r="H100" s="107" t="s">
        <v>21</v>
      </c>
      <c r="I100" s="103">
        <v>30.0</v>
      </c>
      <c r="J100" s="108">
        <v>44470.0</v>
      </c>
      <c r="K100" s="109" t="s">
        <v>1316</v>
      </c>
      <c r="L100" s="110"/>
      <c r="M100" s="111"/>
      <c r="N100" s="103" t="s">
        <v>1157</v>
      </c>
      <c r="O100" s="112"/>
      <c r="P100" s="115"/>
      <c r="Q100" s="114"/>
      <c r="R100" s="108" t="str">
        <f>if(MAXIFS(Invoices!E:E,Invoices!A:A,A:A)=0,"",MAXIFS(Invoices!E:E,Invoices!A:A,A:A))</f>
        <v/>
      </c>
      <c r="S100" s="115">
        <v>0.0</v>
      </c>
      <c r="T100" s="103" t="b">
        <v>0</v>
      </c>
      <c r="U100" s="103"/>
      <c r="V100" s="103"/>
      <c r="W100" s="103"/>
      <c r="X100" s="103"/>
      <c r="Y100" s="103"/>
      <c r="Z100" s="103"/>
    </row>
    <row r="101">
      <c r="A101" s="110" t="s">
        <v>1317</v>
      </c>
      <c r="B101" s="103" t="s">
        <v>1314</v>
      </c>
      <c r="C101" s="103" t="s">
        <v>1318</v>
      </c>
      <c r="D101" s="103" t="s">
        <v>1160</v>
      </c>
      <c r="E101" s="103" t="s">
        <v>209</v>
      </c>
      <c r="F101" s="103" t="s">
        <v>459</v>
      </c>
      <c r="G101" s="106">
        <v>2000.0</v>
      </c>
      <c r="H101" s="107" t="s">
        <v>21</v>
      </c>
      <c r="I101" s="103">
        <v>30.0</v>
      </c>
      <c r="J101" s="108">
        <v>44470.0</v>
      </c>
      <c r="K101" s="109" t="s">
        <v>1316</v>
      </c>
      <c r="L101" s="110"/>
      <c r="M101" s="111"/>
      <c r="N101" s="103" t="s">
        <v>1157</v>
      </c>
      <c r="O101" s="112"/>
      <c r="P101" s="115"/>
      <c r="Q101" s="114"/>
      <c r="R101" s="108" t="str">
        <f>if(MAXIFS(Invoices!E:E,Invoices!A:A,A:A)=0,"",MAXIFS(Invoices!E:E,Invoices!A:A,A:A))</f>
        <v/>
      </c>
      <c r="S101" s="115">
        <v>0.0</v>
      </c>
      <c r="T101" s="103" t="b">
        <v>0</v>
      </c>
      <c r="U101" s="103"/>
      <c r="V101" s="103"/>
      <c r="W101" s="103"/>
      <c r="X101" s="103"/>
      <c r="Y101" s="103"/>
      <c r="Z101" s="103"/>
    </row>
    <row r="102">
      <c r="A102" s="110" t="s">
        <v>1319</v>
      </c>
      <c r="B102" s="103" t="s">
        <v>1314</v>
      </c>
      <c r="C102" s="124" t="s">
        <v>1320</v>
      </c>
      <c r="D102" s="103" t="s">
        <v>1160</v>
      </c>
      <c r="E102" s="103" t="s">
        <v>209</v>
      </c>
      <c r="F102" s="103" t="s">
        <v>459</v>
      </c>
      <c r="G102" s="106">
        <v>2000.0</v>
      </c>
      <c r="H102" s="107" t="s">
        <v>21</v>
      </c>
      <c r="I102" s="103">
        <v>30.0</v>
      </c>
      <c r="J102" s="108">
        <v>44470.0</v>
      </c>
      <c r="K102" s="109" t="s">
        <v>1316</v>
      </c>
      <c r="L102" s="110"/>
      <c r="M102" s="111"/>
      <c r="N102" s="103" t="s">
        <v>1157</v>
      </c>
      <c r="O102" s="112"/>
      <c r="P102" s="115"/>
      <c r="Q102" s="114"/>
      <c r="R102" s="108" t="str">
        <f>if(MAXIFS(Invoices!E:E,Invoices!A:A,A:A)=0,"",MAXIFS(Invoices!E:E,Invoices!A:A,A:A))</f>
        <v/>
      </c>
      <c r="S102" s="115">
        <v>0.0</v>
      </c>
      <c r="T102" s="103" t="b">
        <v>0</v>
      </c>
      <c r="U102" s="103"/>
      <c r="V102" s="103"/>
      <c r="W102" s="103"/>
      <c r="X102" s="103"/>
      <c r="Y102" s="103"/>
      <c r="Z102" s="103"/>
    </row>
    <row r="103">
      <c r="A103" s="110" t="s">
        <v>1321</v>
      </c>
      <c r="B103" s="103" t="s">
        <v>1314</v>
      </c>
      <c r="C103" s="124" t="s">
        <v>1189</v>
      </c>
      <c r="D103" s="103" t="s">
        <v>1160</v>
      </c>
      <c r="E103" s="103" t="s">
        <v>209</v>
      </c>
      <c r="F103" s="103" t="s">
        <v>459</v>
      </c>
      <c r="G103" s="106">
        <v>2000.0</v>
      </c>
      <c r="H103" s="107" t="s">
        <v>21</v>
      </c>
      <c r="I103" s="103">
        <v>30.0</v>
      </c>
      <c r="J103" s="108">
        <v>44470.0</v>
      </c>
      <c r="K103" s="109" t="s">
        <v>1316</v>
      </c>
      <c r="L103" s="110"/>
      <c r="M103" s="111"/>
      <c r="N103" s="103" t="s">
        <v>1157</v>
      </c>
      <c r="O103" s="112"/>
      <c r="P103" s="115"/>
      <c r="Q103" s="114"/>
      <c r="R103" s="108" t="str">
        <f>if(MAXIFS(Invoices!E:E,Invoices!A:A,A:A)=0,"",MAXIFS(Invoices!E:E,Invoices!A:A,A:A))</f>
        <v/>
      </c>
      <c r="S103" s="115">
        <v>0.0</v>
      </c>
      <c r="T103" s="103" t="b">
        <v>0</v>
      </c>
      <c r="U103" s="103"/>
      <c r="V103" s="103"/>
      <c r="W103" s="103"/>
      <c r="X103" s="103"/>
      <c r="Y103" s="103"/>
      <c r="Z103" s="103"/>
    </row>
    <row r="104">
      <c r="A104" s="110" t="s">
        <v>1322</v>
      </c>
      <c r="B104" s="103" t="s">
        <v>1314</v>
      </c>
      <c r="C104" s="124" t="s">
        <v>1323</v>
      </c>
      <c r="D104" s="103" t="s">
        <v>1160</v>
      </c>
      <c r="E104" s="103" t="s">
        <v>209</v>
      </c>
      <c r="F104" s="103" t="s">
        <v>459</v>
      </c>
      <c r="G104" s="106">
        <v>2000.0</v>
      </c>
      <c r="H104" s="107" t="s">
        <v>21</v>
      </c>
      <c r="I104" s="103">
        <v>30.0</v>
      </c>
      <c r="J104" s="108">
        <v>44470.0</v>
      </c>
      <c r="K104" s="109" t="s">
        <v>1316</v>
      </c>
      <c r="L104" s="110"/>
      <c r="M104" s="111"/>
      <c r="N104" s="103" t="s">
        <v>1157</v>
      </c>
      <c r="O104" s="112"/>
      <c r="P104" s="115"/>
      <c r="Q104" s="114"/>
      <c r="R104" s="108" t="str">
        <f>if(MAXIFS(Invoices!E:E,Invoices!A:A,A:A)=0,"",MAXIFS(Invoices!E:E,Invoices!A:A,A:A))</f>
        <v/>
      </c>
      <c r="S104" s="115">
        <v>0.0</v>
      </c>
      <c r="T104" s="103" t="b">
        <v>0</v>
      </c>
      <c r="U104" s="103"/>
      <c r="V104" s="103"/>
      <c r="W104" s="103"/>
      <c r="X104" s="103"/>
      <c r="Y104" s="103"/>
      <c r="Z104" s="103"/>
    </row>
    <row r="105">
      <c r="A105" s="110" t="s">
        <v>66</v>
      </c>
      <c r="B105" s="103" t="s">
        <v>1324</v>
      </c>
      <c r="C105" s="103" t="s">
        <v>1156</v>
      </c>
      <c r="D105" s="103" t="s">
        <v>52</v>
      </c>
      <c r="E105" s="103" t="s">
        <v>27</v>
      </c>
      <c r="F105" s="103" t="s">
        <v>52</v>
      </c>
      <c r="G105" s="106">
        <f>900+(900*0.1)</f>
        <v>990</v>
      </c>
      <c r="H105" s="107" t="s">
        <v>21</v>
      </c>
      <c r="I105" s="103">
        <v>30.0</v>
      </c>
      <c r="J105" s="108">
        <v>44197.0</v>
      </c>
      <c r="K105" s="109" t="s">
        <v>294</v>
      </c>
      <c r="L105" s="110"/>
      <c r="M105" s="111"/>
      <c r="N105" s="103" t="s">
        <v>1182</v>
      </c>
      <c r="O105" s="112"/>
      <c r="P105" s="115"/>
      <c r="Q105" s="114"/>
      <c r="R105" s="108">
        <f>if(MAXIFS(Invoices!E:E,Invoices!A:A,A:A)=0,"",MAXIFS(Invoices!E:E,Invoices!A:A,A:A))</f>
        <v>45022</v>
      </c>
      <c r="S105" s="115">
        <v>15170.0</v>
      </c>
      <c r="T105" s="103" t="b">
        <v>0</v>
      </c>
      <c r="U105" s="103"/>
      <c r="V105" s="103"/>
      <c r="W105" s="103"/>
      <c r="X105" s="103"/>
      <c r="Y105" s="103"/>
      <c r="Z105" s="103"/>
    </row>
    <row r="106">
      <c r="A106" s="110" t="s">
        <v>17</v>
      </c>
      <c r="B106" s="103" t="s">
        <v>1325</v>
      </c>
      <c r="C106" s="103" t="s">
        <v>1175</v>
      </c>
      <c r="D106" s="103" t="s">
        <v>1160</v>
      </c>
      <c r="E106" s="103"/>
      <c r="F106" s="103" t="s">
        <v>19</v>
      </c>
      <c r="G106" s="106">
        <v>10000.0</v>
      </c>
      <c r="H106" s="107" t="s">
        <v>21</v>
      </c>
      <c r="I106" s="103">
        <v>30.0</v>
      </c>
      <c r="J106" s="108">
        <v>44317.0</v>
      </c>
      <c r="K106" s="109" t="s">
        <v>20</v>
      </c>
      <c r="L106" s="110"/>
      <c r="M106" s="111"/>
      <c r="N106" s="103" t="s">
        <v>1157</v>
      </c>
      <c r="O106" s="109" t="s">
        <v>1326</v>
      </c>
      <c r="P106" s="115"/>
      <c r="Q106" s="114"/>
      <c r="R106" s="108">
        <f>if(MAXIFS(Invoices!E:E,Invoices!A:A,A:A)=0,"",MAXIFS(Invoices!E:E,Invoices!A:A,A:A))</f>
        <v>44409</v>
      </c>
      <c r="S106" s="115">
        <v>15000.0</v>
      </c>
      <c r="T106" s="103" t="b">
        <v>1</v>
      </c>
      <c r="U106" s="103"/>
      <c r="V106" s="103"/>
      <c r="W106" s="103"/>
      <c r="X106" s="103"/>
      <c r="Y106" s="103"/>
      <c r="Z106" s="103"/>
    </row>
    <row r="107">
      <c r="A107" s="110" t="s">
        <v>73</v>
      </c>
      <c r="B107" s="103" t="s">
        <v>1327</v>
      </c>
      <c r="C107" s="103" t="s">
        <v>1156</v>
      </c>
      <c r="D107" s="103" t="s">
        <v>52</v>
      </c>
      <c r="E107" s="103" t="s">
        <v>51</v>
      </c>
      <c r="F107" s="103" t="s">
        <v>52</v>
      </c>
      <c r="G107" s="106">
        <f>700+(700*0.1)</f>
        <v>770</v>
      </c>
      <c r="H107" s="107" t="s">
        <v>21</v>
      </c>
      <c r="I107" s="103">
        <v>30.0</v>
      </c>
      <c r="J107" s="108">
        <v>44378.0</v>
      </c>
      <c r="K107" s="109" t="s">
        <v>74</v>
      </c>
      <c r="L107" s="110"/>
      <c r="M107" s="111"/>
      <c r="N107" s="103" t="s">
        <v>1154</v>
      </c>
      <c r="O107" s="112"/>
      <c r="P107" s="115"/>
      <c r="Q107" s="114"/>
      <c r="R107" s="108">
        <f>if(MAXIFS(Invoices!E:E,Invoices!A:A,A:A)=0,"",MAXIFS(Invoices!E:E,Invoices!A:A,A:A))</f>
        <v>45169</v>
      </c>
      <c r="S107" s="115">
        <v>16590.0</v>
      </c>
      <c r="T107" s="103" t="b">
        <v>0</v>
      </c>
      <c r="U107" s="103"/>
      <c r="V107" s="103"/>
      <c r="W107" s="103"/>
      <c r="X107" s="103"/>
      <c r="Y107" s="103"/>
      <c r="Z107" s="103"/>
    </row>
    <row r="108">
      <c r="A108" s="110" t="s">
        <v>1328</v>
      </c>
      <c r="B108" s="103" t="s">
        <v>1329</v>
      </c>
      <c r="C108" s="103" t="s">
        <v>1190</v>
      </c>
      <c r="D108" s="103" t="s">
        <v>1152</v>
      </c>
      <c r="E108" s="103" t="s">
        <v>209</v>
      </c>
      <c r="F108" s="103" t="s">
        <v>459</v>
      </c>
      <c r="G108" s="106">
        <v>400.0</v>
      </c>
      <c r="H108" s="107" t="s">
        <v>21</v>
      </c>
      <c r="I108" s="103">
        <v>30.0</v>
      </c>
      <c r="J108" s="108">
        <v>44228.0</v>
      </c>
      <c r="K108" s="109" t="s">
        <v>143</v>
      </c>
      <c r="L108" s="110"/>
      <c r="M108" s="111"/>
      <c r="N108" s="103" t="s">
        <v>1154</v>
      </c>
      <c r="O108" s="112"/>
      <c r="P108" s="115"/>
      <c r="Q108" s="114"/>
      <c r="R108" s="108" t="str">
        <f>if(MAXIFS(Invoices!E:E,Invoices!A:A,A:A)=0,"",MAXIFS(Invoices!E:E,Invoices!A:A,A:A))</f>
        <v/>
      </c>
      <c r="S108" s="115">
        <v>0.0</v>
      </c>
      <c r="T108" s="103" t="b">
        <v>0</v>
      </c>
      <c r="U108" s="103"/>
      <c r="V108" s="103"/>
      <c r="W108" s="103"/>
      <c r="X108" s="103"/>
      <c r="Y108" s="103"/>
      <c r="Z108" s="103"/>
    </row>
    <row r="109">
      <c r="A109" s="110" t="s">
        <v>347</v>
      </c>
      <c r="B109" s="103" t="s">
        <v>1330</v>
      </c>
      <c r="C109" s="103" t="s">
        <v>1331</v>
      </c>
      <c r="D109" s="124" t="s">
        <v>1160</v>
      </c>
      <c r="E109" s="103" t="s">
        <v>447</v>
      </c>
      <c r="F109" s="103" t="s">
        <v>19</v>
      </c>
      <c r="G109" s="106">
        <v>750.0</v>
      </c>
      <c r="H109" s="107" t="s">
        <v>21</v>
      </c>
      <c r="I109" s="103">
        <v>0.0</v>
      </c>
      <c r="J109" s="108"/>
      <c r="K109" s="125" t="s">
        <v>1332</v>
      </c>
      <c r="L109" s="110"/>
      <c r="M109" s="111"/>
      <c r="N109" s="103" t="s">
        <v>1154</v>
      </c>
      <c r="O109" s="112"/>
      <c r="P109" s="115"/>
      <c r="Q109" s="114"/>
      <c r="R109" s="108">
        <f>if(MAXIFS(Invoices!E:E,Invoices!A:A,A:A)=0,"",MAXIFS(Invoices!E:E,Invoices!A:A,A:A))</f>
        <v>44680</v>
      </c>
      <c r="S109" s="115">
        <v>1500.0</v>
      </c>
      <c r="T109" s="103" t="b">
        <v>0</v>
      </c>
      <c r="U109" s="103"/>
      <c r="V109" s="103"/>
      <c r="W109" s="103"/>
      <c r="X109" s="103"/>
      <c r="Y109" s="103"/>
      <c r="Z109" s="103"/>
    </row>
    <row r="110">
      <c r="A110" s="110" t="s">
        <v>350</v>
      </c>
      <c r="B110" s="103" t="s">
        <v>1333</v>
      </c>
      <c r="C110" s="103" t="s">
        <v>36</v>
      </c>
      <c r="D110" s="124" t="s">
        <v>1160</v>
      </c>
      <c r="E110" s="103" t="s">
        <v>447</v>
      </c>
      <c r="F110" s="103" t="s">
        <v>19</v>
      </c>
      <c r="G110" s="106">
        <v>1200.0</v>
      </c>
      <c r="H110" s="107" t="s">
        <v>21</v>
      </c>
      <c r="I110" s="103">
        <v>15.0</v>
      </c>
      <c r="J110" s="108">
        <v>44635.0</v>
      </c>
      <c r="K110" s="109" t="s">
        <v>351</v>
      </c>
      <c r="L110" s="110"/>
      <c r="M110" s="111"/>
      <c r="N110" s="103" t="s">
        <v>1157</v>
      </c>
      <c r="O110" s="112"/>
      <c r="P110" s="115"/>
      <c r="Q110" s="114"/>
      <c r="R110" s="108">
        <f>if(MAXIFS(Invoices!E:E,Invoices!A:A,A:A)=0,"",MAXIFS(Invoices!E:E,Invoices!A:A,A:A))</f>
        <v>44635</v>
      </c>
      <c r="S110" s="115">
        <v>1200.0</v>
      </c>
      <c r="T110" s="103" t="b">
        <v>0</v>
      </c>
      <c r="U110" s="103"/>
      <c r="V110" s="103"/>
      <c r="W110" s="103"/>
      <c r="X110" s="103"/>
      <c r="Y110" s="103"/>
      <c r="Z110" s="103"/>
    </row>
    <row r="111">
      <c r="A111" s="110" t="s">
        <v>352</v>
      </c>
      <c r="B111" s="103" t="s">
        <v>1283</v>
      </c>
      <c r="C111" s="103" t="s">
        <v>1334</v>
      </c>
      <c r="D111" s="103" t="s">
        <v>1160</v>
      </c>
      <c r="E111" s="103" t="s">
        <v>209</v>
      </c>
      <c r="F111" s="103" t="s">
        <v>459</v>
      </c>
      <c r="G111" s="115"/>
      <c r="H111" s="107" t="s">
        <v>21</v>
      </c>
      <c r="I111" s="103">
        <v>30.0</v>
      </c>
      <c r="J111" s="108">
        <v>44652.0</v>
      </c>
      <c r="K111" s="109" t="s">
        <v>1335</v>
      </c>
      <c r="L111" s="110"/>
      <c r="M111" s="111"/>
      <c r="N111" s="103" t="s">
        <v>1154</v>
      </c>
      <c r="O111" s="112"/>
      <c r="P111" s="115"/>
      <c r="Q111" s="114"/>
      <c r="R111" s="108">
        <f>if(MAXIFS(Invoices!E:E,Invoices!A:A,A:A)=0,"",MAXIFS(Invoices!E:E,Invoices!A:A,A:A))</f>
        <v>44651</v>
      </c>
      <c r="S111" s="115">
        <v>700.0</v>
      </c>
      <c r="T111" s="103" t="b">
        <v>0</v>
      </c>
      <c r="U111" s="103"/>
      <c r="V111" s="103"/>
      <c r="W111" s="103"/>
      <c r="X111" s="103"/>
      <c r="Y111" s="103"/>
      <c r="Z111" s="103"/>
    </row>
    <row r="112">
      <c r="A112" s="110" t="s">
        <v>354</v>
      </c>
      <c r="B112" s="103" t="s">
        <v>1309</v>
      </c>
      <c r="C112" s="103" t="s">
        <v>1336</v>
      </c>
      <c r="D112" s="103" t="s">
        <v>52</v>
      </c>
      <c r="E112" s="103" t="s">
        <v>447</v>
      </c>
      <c r="F112" s="103" t="s">
        <v>1337</v>
      </c>
      <c r="G112" s="106">
        <v>2000.0</v>
      </c>
      <c r="H112" s="107" t="s">
        <v>21</v>
      </c>
      <c r="I112" s="103">
        <v>30.0</v>
      </c>
      <c r="J112" s="108">
        <v>44652.0</v>
      </c>
      <c r="K112" s="109" t="s">
        <v>1338</v>
      </c>
      <c r="L112" s="110"/>
      <c r="M112" s="111"/>
      <c r="N112" s="103" t="s">
        <v>1182</v>
      </c>
      <c r="O112" s="109" t="s">
        <v>1339</v>
      </c>
      <c r="P112" s="115"/>
      <c r="Q112" s="114"/>
      <c r="R112" s="108">
        <f>if(MAXIFS(Invoices!E:E,Invoices!A:A,A:A)=0,"",MAXIFS(Invoices!E:E,Invoices!A:A,A:A))</f>
        <v>44819</v>
      </c>
      <c r="S112" s="115">
        <v>15000.0</v>
      </c>
      <c r="T112" s="103" t="b">
        <v>0</v>
      </c>
      <c r="U112" s="103"/>
      <c r="V112" s="103"/>
      <c r="W112" s="103"/>
      <c r="X112" s="103"/>
      <c r="Y112" s="103"/>
      <c r="Z112" s="103"/>
    </row>
    <row r="113">
      <c r="A113" s="110" t="s">
        <v>356</v>
      </c>
      <c r="B113" s="103" t="s">
        <v>1216</v>
      </c>
      <c r="C113" s="103" t="s">
        <v>1340</v>
      </c>
      <c r="D113" s="103" t="s">
        <v>1160</v>
      </c>
      <c r="E113" s="103" t="s">
        <v>209</v>
      </c>
      <c r="F113" s="103" t="s">
        <v>459</v>
      </c>
      <c r="G113" s="106">
        <v>300.0</v>
      </c>
      <c r="H113" s="107" t="s">
        <v>21</v>
      </c>
      <c r="I113" s="103">
        <v>30.0</v>
      </c>
      <c r="J113" s="108">
        <v>44641.0</v>
      </c>
      <c r="K113" s="109" t="s">
        <v>1335</v>
      </c>
      <c r="L113" s="110"/>
      <c r="M113" s="111"/>
      <c r="N113" s="103" t="s">
        <v>1157</v>
      </c>
      <c r="O113" s="112"/>
      <c r="P113" s="115"/>
      <c r="Q113" s="114"/>
      <c r="R113" s="108">
        <f>if(MAXIFS(Invoices!E:E,Invoices!A:A,A:A)=0,"",MAXIFS(Invoices!E:E,Invoices!A:A,A:A))</f>
        <v>44642</v>
      </c>
      <c r="S113" s="115">
        <v>300.0</v>
      </c>
      <c r="T113" s="103" t="b">
        <v>0</v>
      </c>
      <c r="U113" s="103"/>
      <c r="V113" s="103"/>
      <c r="W113" s="103"/>
      <c r="X113" s="103"/>
      <c r="Y113" s="103"/>
      <c r="Z113" s="103"/>
    </row>
    <row r="114">
      <c r="A114" s="110" t="s">
        <v>358</v>
      </c>
      <c r="B114" s="103" t="s">
        <v>1176</v>
      </c>
      <c r="C114" s="103" t="s">
        <v>1341</v>
      </c>
      <c r="D114" s="103" t="s">
        <v>1160</v>
      </c>
      <c r="E114" s="103" t="s">
        <v>209</v>
      </c>
      <c r="F114" s="103" t="s">
        <v>459</v>
      </c>
      <c r="G114" s="106">
        <v>1300.0</v>
      </c>
      <c r="H114" s="107" t="s">
        <v>21</v>
      </c>
      <c r="I114" s="103">
        <v>30.0</v>
      </c>
      <c r="J114" s="108">
        <v>44652.0</v>
      </c>
      <c r="K114" s="109" t="s">
        <v>360</v>
      </c>
      <c r="L114" s="110"/>
      <c r="M114" s="111"/>
      <c r="N114" s="103" t="s">
        <v>1154</v>
      </c>
      <c r="O114" s="112"/>
      <c r="P114" s="115"/>
      <c r="Q114" s="114"/>
      <c r="R114" s="108" t="str">
        <f>if(MAXIFS(Invoices!E:E,Invoices!A:A,A:A)=0,"",MAXIFS(Invoices!E:E,Invoices!A:A,A:A))</f>
        <v/>
      </c>
      <c r="S114" s="115">
        <v>1300.0</v>
      </c>
      <c r="T114" s="103" t="b">
        <v>0</v>
      </c>
      <c r="U114" s="103"/>
      <c r="V114" s="103"/>
      <c r="W114" s="103"/>
      <c r="X114" s="103"/>
      <c r="Y114" s="103"/>
      <c r="Z114" s="103"/>
    </row>
    <row r="115">
      <c r="A115" s="110" t="s">
        <v>373</v>
      </c>
      <c r="B115" s="103" t="s">
        <v>1342</v>
      </c>
      <c r="C115" s="103" t="s">
        <v>1341</v>
      </c>
      <c r="D115" s="103" t="s">
        <v>1160</v>
      </c>
      <c r="E115" s="103" t="s">
        <v>209</v>
      </c>
      <c r="F115" s="103" t="s">
        <v>459</v>
      </c>
      <c r="G115" s="106">
        <v>1700.0</v>
      </c>
      <c r="H115" s="107" t="s">
        <v>21</v>
      </c>
      <c r="I115" s="103">
        <v>15.0</v>
      </c>
      <c r="J115" s="108">
        <v>44652.0</v>
      </c>
      <c r="K115" s="109" t="s">
        <v>374</v>
      </c>
      <c r="L115" s="110"/>
      <c r="M115" s="111"/>
      <c r="N115" s="103" t="s">
        <v>1157</v>
      </c>
      <c r="O115" s="112"/>
      <c r="P115" s="115"/>
      <c r="Q115" s="114"/>
      <c r="R115" s="108">
        <f>if(MAXIFS(Invoices!E:E,Invoices!A:A,A:A)=0,"",MAXIFS(Invoices!E:E,Invoices!A:A,A:A))</f>
        <v>44680</v>
      </c>
      <c r="S115" s="115">
        <v>1700.0</v>
      </c>
      <c r="T115" s="103" t="b">
        <v>0</v>
      </c>
      <c r="U115" s="103"/>
      <c r="V115" s="103"/>
      <c r="W115" s="103"/>
      <c r="X115" s="103"/>
      <c r="Y115" s="103"/>
      <c r="Z115" s="103"/>
    </row>
    <row r="116">
      <c r="A116" s="110" t="s">
        <v>385</v>
      </c>
      <c r="B116" s="103" t="s">
        <v>1209</v>
      </c>
      <c r="C116" s="103" t="s">
        <v>1343</v>
      </c>
      <c r="D116" s="103" t="s">
        <v>1160</v>
      </c>
      <c r="E116" s="103" t="s">
        <v>447</v>
      </c>
      <c r="F116" s="103" t="s">
        <v>19</v>
      </c>
      <c r="G116" s="106">
        <v>6500.0</v>
      </c>
      <c r="H116" s="107" t="s">
        <v>9</v>
      </c>
      <c r="I116" s="103">
        <v>0.0</v>
      </c>
      <c r="J116" s="108">
        <v>44666.0</v>
      </c>
      <c r="K116" s="109" t="s">
        <v>387</v>
      </c>
      <c r="L116" s="103" t="s">
        <v>1193</v>
      </c>
      <c r="M116" s="120">
        <v>0.2</v>
      </c>
      <c r="N116" s="103" t="s">
        <v>1157</v>
      </c>
      <c r="O116" s="112"/>
      <c r="P116" s="115"/>
      <c r="Q116" s="114"/>
      <c r="R116" s="108">
        <f>if(MAXIFS(Invoices!E:E,Invoices!A:A,A:A)=0,"",MAXIFS(Invoices!E:E,Invoices!A:A,A:A))</f>
        <v>44712</v>
      </c>
      <c r="S116" s="115">
        <v>8023.1125</v>
      </c>
      <c r="T116" s="103" t="b">
        <v>0</v>
      </c>
      <c r="U116" s="103"/>
      <c r="V116" s="103"/>
      <c r="W116" s="103"/>
      <c r="X116" s="103"/>
      <c r="Y116" s="103"/>
      <c r="Z116" s="103"/>
    </row>
    <row r="117">
      <c r="A117" s="110" t="s">
        <v>390</v>
      </c>
      <c r="B117" s="103" t="s">
        <v>1311</v>
      </c>
      <c r="C117" s="103" t="s">
        <v>1344</v>
      </c>
      <c r="D117" s="103" t="s">
        <v>1160</v>
      </c>
      <c r="E117" s="103" t="s">
        <v>209</v>
      </c>
      <c r="F117" s="103" t="s">
        <v>391</v>
      </c>
      <c r="G117" s="106">
        <v>350.0</v>
      </c>
      <c r="H117" s="107" t="s">
        <v>21</v>
      </c>
      <c r="I117" s="103">
        <v>30.0</v>
      </c>
      <c r="J117" s="108">
        <v>44635.0</v>
      </c>
      <c r="K117" s="109" t="s">
        <v>392</v>
      </c>
      <c r="L117" s="110"/>
      <c r="M117" s="111"/>
      <c r="N117" s="103" t="s">
        <v>1157</v>
      </c>
      <c r="O117" s="112"/>
      <c r="P117" s="115"/>
      <c r="Q117" s="114"/>
      <c r="R117" s="108">
        <f>if(MAXIFS(Invoices!E:E,Invoices!A:A,A:A)=0,"",MAXIFS(Invoices!E:E,Invoices!A:A,A:A))</f>
        <v>44680</v>
      </c>
      <c r="S117" s="115">
        <v>350.0</v>
      </c>
      <c r="T117" s="103" t="b">
        <v>0</v>
      </c>
      <c r="U117" s="103"/>
      <c r="V117" s="103"/>
      <c r="W117" s="103"/>
      <c r="X117" s="103"/>
      <c r="Y117" s="103"/>
      <c r="Z117" s="103"/>
    </row>
    <row r="118">
      <c r="A118" s="110" t="s">
        <v>414</v>
      </c>
      <c r="B118" s="103" t="s">
        <v>1345</v>
      </c>
      <c r="C118" s="103" t="s">
        <v>1346</v>
      </c>
      <c r="D118" s="103" t="s">
        <v>1160</v>
      </c>
      <c r="E118" s="103" t="s">
        <v>209</v>
      </c>
      <c r="F118" s="103" t="s">
        <v>1347</v>
      </c>
      <c r="G118" s="115">
        <f>11150+500+800</f>
        <v>12450</v>
      </c>
      <c r="H118" s="107" t="s">
        <v>21</v>
      </c>
      <c r="I118" s="103">
        <v>0.0</v>
      </c>
      <c r="J118" s="108">
        <v>44652.0</v>
      </c>
      <c r="K118" s="109" t="s">
        <v>1348</v>
      </c>
      <c r="L118" s="110"/>
      <c r="M118" s="111"/>
      <c r="N118" s="103" t="s">
        <v>1182</v>
      </c>
      <c r="O118" s="112"/>
      <c r="P118" s="115"/>
      <c r="Q118" s="114"/>
      <c r="R118" s="108">
        <f>if(MAXIFS(Invoices!E:E,Invoices!A:A,A:A)=0,"",MAXIFS(Invoices!E:E,Invoices!A:A,A:A))</f>
        <v>44727</v>
      </c>
      <c r="S118" s="115">
        <v>12450.0</v>
      </c>
      <c r="T118" s="103" t="b">
        <v>0</v>
      </c>
      <c r="U118" s="103"/>
      <c r="V118" s="103"/>
      <c r="W118" s="103"/>
      <c r="X118" s="103"/>
      <c r="Y118" s="103"/>
      <c r="Z118" s="103"/>
    </row>
    <row r="119">
      <c r="A119" s="110" t="s">
        <v>1349</v>
      </c>
      <c r="B119" s="103" t="s">
        <v>1345</v>
      </c>
      <c r="C119" s="103" t="s">
        <v>1350</v>
      </c>
      <c r="D119" s="103" t="s">
        <v>1160</v>
      </c>
      <c r="E119" s="103" t="s">
        <v>209</v>
      </c>
      <c r="F119" s="103" t="s">
        <v>459</v>
      </c>
      <c r="G119" s="106">
        <v>1300.0</v>
      </c>
      <c r="H119" s="107" t="s">
        <v>21</v>
      </c>
      <c r="I119" s="103">
        <v>0.0</v>
      </c>
      <c r="J119" s="108">
        <v>44682.0</v>
      </c>
      <c r="K119" s="109" t="s">
        <v>1351</v>
      </c>
      <c r="L119" s="110"/>
      <c r="M119" s="111"/>
      <c r="N119" s="103" t="s">
        <v>1182</v>
      </c>
      <c r="O119" s="112"/>
      <c r="P119" s="115"/>
      <c r="Q119" s="114"/>
      <c r="R119" s="108" t="str">
        <f>if(MAXIFS(Invoices!E:E,Invoices!A:A,A:A)=0,"",MAXIFS(Invoices!E:E,Invoices!A:A,A:A))</f>
        <v/>
      </c>
      <c r="S119" s="115">
        <v>0.0</v>
      </c>
      <c r="T119" s="103" t="b">
        <v>0</v>
      </c>
      <c r="U119" s="103"/>
      <c r="V119" s="103"/>
      <c r="W119" s="103"/>
      <c r="X119" s="103"/>
      <c r="Y119" s="103"/>
      <c r="Z119" s="103"/>
    </row>
    <row r="120">
      <c r="A120" s="110" t="s">
        <v>420</v>
      </c>
      <c r="B120" s="103" t="s">
        <v>1352</v>
      </c>
      <c r="C120" s="103" t="s">
        <v>1353</v>
      </c>
      <c r="D120" s="103" t="s">
        <v>1160</v>
      </c>
      <c r="E120" s="103" t="s">
        <v>209</v>
      </c>
      <c r="F120" s="103" t="s">
        <v>459</v>
      </c>
      <c r="G120" s="115">
        <f>1200+900+1200+900+2250</f>
        <v>6450</v>
      </c>
      <c r="H120" s="107" t="s">
        <v>21</v>
      </c>
      <c r="I120" s="103">
        <v>0.0</v>
      </c>
      <c r="J120" s="108">
        <v>44682.0</v>
      </c>
      <c r="K120" s="109" t="s">
        <v>1354</v>
      </c>
      <c r="L120" s="110"/>
      <c r="M120" s="111"/>
      <c r="N120" s="103" t="s">
        <v>1157</v>
      </c>
      <c r="O120" s="112"/>
      <c r="P120" s="115"/>
      <c r="Q120" s="114"/>
      <c r="R120" s="108">
        <f>if(MAXIFS(Invoices!E:E,Invoices!A:A,A:A)=0,"",MAXIFS(Invoices!E:E,Invoices!A:A,A:A))</f>
        <v>44742</v>
      </c>
      <c r="S120" s="115">
        <v>7200.0</v>
      </c>
      <c r="T120" s="103" t="b">
        <v>0</v>
      </c>
      <c r="U120" s="103"/>
      <c r="V120" s="103"/>
      <c r="W120" s="103"/>
      <c r="X120" s="103"/>
      <c r="Y120" s="103"/>
      <c r="Z120" s="103"/>
    </row>
    <row r="121">
      <c r="A121" s="110" t="s">
        <v>427</v>
      </c>
      <c r="B121" s="103" t="s">
        <v>1216</v>
      </c>
      <c r="C121" s="103" t="s">
        <v>1355</v>
      </c>
      <c r="D121" s="103" t="s">
        <v>1160</v>
      </c>
      <c r="E121" s="103" t="s">
        <v>209</v>
      </c>
      <c r="F121" s="103" t="s">
        <v>252</v>
      </c>
      <c r="G121" s="106">
        <v>1220.0</v>
      </c>
      <c r="H121" s="107" t="s">
        <v>21</v>
      </c>
      <c r="I121" s="103">
        <v>30.0</v>
      </c>
      <c r="J121" s="108">
        <v>44696.0</v>
      </c>
      <c r="K121" s="109" t="s">
        <v>428</v>
      </c>
      <c r="L121" s="110"/>
      <c r="M121" s="111"/>
      <c r="N121" s="103" t="s">
        <v>1157</v>
      </c>
      <c r="O121" s="112"/>
      <c r="P121" s="115"/>
      <c r="Q121" s="114"/>
      <c r="R121" s="108">
        <f>if(MAXIFS(Invoices!E:E,Invoices!A:A,A:A)=0,"",MAXIFS(Invoices!E:E,Invoices!A:A,A:A))</f>
        <v>44712</v>
      </c>
      <c r="S121" s="115">
        <v>1220.0</v>
      </c>
      <c r="T121" s="103" t="b">
        <v>0</v>
      </c>
      <c r="U121" s="103"/>
      <c r="V121" s="103"/>
      <c r="W121" s="103"/>
      <c r="X121" s="103"/>
      <c r="Y121" s="103"/>
      <c r="Z121" s="103"/>
    </row>
    <row r="122">
      <c r="A122" s="110" t="s">
        <v>433</v>
      </c>
      <c r="B122" s="103" t="s">
        <v>1333</v>
      </c>
      <c r="C122" s="103" t="s">
        <v>1190</v>
      </c>
      <c r="D122" s="103" t="s">
        <v>1152</v>
      </c>
      <c r="E122" s="103" t="s">
        <v>209</v>
      </c>
      <c r="F122" s="103" t="s">
        <v>459</v>
      </c>
      <c r="G122" s="106">
        <v>400.0</v>
      </c>
      <c r="H122" s="107" t="s">
        <v>21</v>
      </c>
      <c r="I122" s="103">
        <v>30.0</v>
      </c>
      <c r="J122" s="108">
        <v>44696.0</v>
      </c>
      <c r="K122" s="65" t="s">
        <v>434</v>
      </c>
      <c r="L122" s="103"/>
      <c r="M122" s="120"/>
      <c r="N122" s="103" t="s">
        <v>1157</v>
      </c>
      <c r="O122" s="112"/>
      <c r="P122" s="115"/>
      <c r="Q122" s="114"/>
      <c r="R122" s="108">
        <f>if(MAXIFS(Invoices!E:E,Invoices!A:A,A:A)=0,"",MAXIFS(Invoices!E:E,Invoices!A:A,A:A))</f>
        <v>44708</v>
      </c>
      <c r="S122" s="115">
        <v>400.0</v>
      </c>
      <c r="T122" s="103" t="b">
        <v>0</v>
      </c>
      <c r="U122" s="103"/>
      <c r="V122" s="103"/>
      <c r="W122" s="103"/>
      <c r="X122" s="103"/>
      <c r="Y122" s="103"/>
      <c r="Z122" s="103"/>
    </row>
    <row r="123">
      <c r="A123" s="110" t="s">
        <v>1356</v>
      </c>
      <c r="B123" s="103" t="s">
        <v>1357</v>
      </c>
      <c r="C123" s="103" t="s">
        <v>1358</v>
      </c>
      <c r="D123" s="103" t="s">
        <v>1160</v>
      </c>
      <c r="E123" s="103" t="s">
        <v>447</v>
      </c>
      <c r="F123" s="103" t="s">
        <v>19</v>
      </c>
      <c r="G123" s="106">
        <v>1020.0</v>
      </c>
      <c r="H123" s="107" t="s">
        <v>21</v>
      </c>
      <c r="I123" s="103">
        <v>15.0</v>
      </c>
      <c r="J123" s="108">
        <v>44682.0</v>
      </c>
      <c r="K123" s="109" t="s">
        <v>1359</v>
      </c>
      <c r="L123" s="110"/>
      <c r="M123" s="111"/>
      <c r="N123" s="103" t="s">
        <v>1157</v>
      </c>
      <c r="O123" s="112"/>
      <c r="P123" s="115"/>
      <c r="Q123" s="114"/>
      <c r="R123" s="108"/>
      <c r="S123" s="115">
        <v>0.0</v>
      </c>
      <c r="T123" s="103" t="b">
        <v>0</v>
      </c>
      <c r="U123" s="103"/>
      <c r="V123" s="103"/>
      <c r="W123" s="103"/>
      <c r="X123" s="103"/>
      <c r="Y123" s="103"/>
      <c r="Z123" s="103"/>
    </row>
    <row r="124">
      <c r="A124" s="110" t="s">
        <v>523</v>
      </c>
      <c r="B124" s="103" t="s">
        <v>1357</v>
      </c>
      <c r="C124" s="103" t="s">
        <v>1156</v>
      </c>
      <c r="D124" s="103" t="s">
        <v>52</v>
      </c>
      <c r="E124" s="103" t="s">
        <v>27</v>
      </c>
      <c r="F124" s="103" t="s">
        <v>52</v>
      </c>
      <c r="G124" s="106">
        <v>500.0</v>
      </c>
      <c r="H124" s="107" t="s">
        <v>21</v>
      </c>
      <c r="I124" s="103">
        <v>15.0</v>
      </c>
      <c r="J124" s="108">
        <v>44713.0</v>
      </c>
      <c r="K124" s="109" t="s">
        <v>466</v>
      </c>
      <c r="L124" s="110"/>
      <c r="M124" s="111"/>
      <c r="N124" s="103" t="s">
        <v>1182</v>
      </c>
      <c r="O124" s="112"/>
      <c r="P124" s="115"/>
      <c r="Q124" s="114"/>
      <c r="R124" s="108">
        <f>if(MAXIFS(Invoices!E:E,Invoices!A:A,A:A)=0,"",MAXIFS(Invoices!E:E,Invoices!A:A,A:A))</f>
        <v>44849</v>
      </c>
      <c r="S124" s="115">
        <v>1500.0</v>
      </c>
      <c r="T124" s="103" t="b">
        <v>0</v>
      </c>
      <c r="U124" s="103"/>
      <c r="V124" s="103"/>
      <c r="W124" s="103"/>
      <c r="X124" s="103"/>
      <c r="Y124" s="103"/>
      <c r="Z124" s="103"/>
    </row>
    <row r="125">
      <c r="A125" s="110" t="s">
        <v>408</v>
      </c>
      <c r="B125" s="103" t="s">
        <v>1360</v>
      </c>
      <c r="C125" s="103" t="s">
        <v>1361</v>
      </c>
      <c r="D125" s="103" t="s">
        <v>1160</v>
      </c>
      <c r="E125" s="103" t="s">
        <v>447</v>
      </c>
      <c r="F125" s="103" t="s">
        <v>19</v>
      </c>
      <c r="G125" s="106">
        <v>1500.0</v>
      </c>
      <c r="H125" s="107" t="s">
        <v>21</v>
      </c>
      <c r="I125" s="103">
        <v>15.0</v>
      </c>
      <c r="J125" s="108">
        <v>44682.0</v>
      </c>
      <c r="K125" s="109" t="s">
        <v>1362</v>
      </c>
      <c r="L125" s="110"/>
      <c r="M125" s="111"/>
      <c r="N125" s="103" t="s">
        <v>1157</v>
      </c>
      <c r="O125" s="112"/>
      <c r="P125" s="115"/>
      <c r="Q125" s="114"/>
      <c r="R125" s="108"/>
      <c r="S125" s="115">
        <v>1500.0</v>
      </c>
      <c r="T125" s="103" t="b">
        <v>0</v>
      </c>
      <c r="U125" s="103"/>
      <c r="V125" s="103"/>
      <c r="W125" s="103"/>
      <c r="X125" s="103"/>
      <c r="Y125" s="103"/>
      <c r="Z125" s="103"/>
    </row>
    <row r="126">
      <c r="A126" s="110" t="s">
        <v>451</v>
      </c>
      <c r="B126" s="103" t="s">
        <v>1363</v>
      </c>
      <c r="C126" s="103" t="s">
        <v>1364</v>
      </c>
      <c r="D126" s="103" t="s">
        <v>1160</v>
      </c>
      <c r="E126" s="103" t="s">
        <v>447</v>
      </c>
      <c r="F126" s="103" t="s">
        <v>19</v>
      </c>
      <c r="G126" s="106">
        <f>2100</f>
        <v>2100</v>
      </c>
      <c r="H126" s="107" t="s">
        <v>9</v>
      </c>
      <c r="I126" s="103">
        <v>0.0</v>
      </c>
      <c r="J126" s="108">
        <v>44713.0</v>
      </c>
      <c r="K126" s="109" t="s">
        <v>454</v>
      </c>
      <c r="L126" s="110"/>
      <c r="M126" s="111"/>
      <c r="N126" s="103" t="s">
        <v>1154</v>
      </c>
      <c r="O126" s="112"/>
      <c r="P126" s="115"/>
      <c r="Q126" s="114"/>
      <c r="R126" s="108">
        <f>if(MAXIFS(Invoices!E:E,Invoices!A:A,A:A)=0,"",MAXIFS(Invoices!E:E,Invoices!A:A,A:A))</f>
        <v>44757</v>
      </c>
      <c r="S126" s="115">
        <v>2605.323</v>
      </c>
      <c r="T126" s="103" t="b">
        <v>0</v>
      </c>
      <c r="U126" s="103"/>
      <c r="V126" s="103"/>
      <c r="W126" s="103"/>
      <c r="X126" s="103"/>
      <c r="Y126" s="103"/>
      <c r="Z126" s="103"/>
    </row>
    <row r="127">
      <c r="A127" s="110" t="s">
        <v>457</v>
      </c>
      <c r="B127" s="103" t="s">
        <v>1365</v>
      </c>
      <c r="C127" s="103" t="s">
        <v>1366</v>
      </c>
      <c r="D127" s="103" t="s">
        <v>1160</v>
      </c>
      <c r="E127" s="103" t="s">
        <v>447</v>
      </c>
      <c r="F127" s="103" t="s">
        <v>252</v>
      </c>
      <c r="G127" s="106">
        <v>450.0</v>
      </c>
      <c r="H127" s="107" t="s">
        <v>21</v>
      </c>
      <c r="I127" s="103">
        <v>30.0</v>
      </c>
      <c r="J127" s="108">
        <v>44713.0</v>
      </c>
      <c r="K127" s="109" t="s">
        <v>1367</v>
      </c>
      <c r="L127" s="110"/>
      <c r="M127" s="111"/>
      <c r="N127" s="103" t="s">
        <v>1157</v>
      </c>
      <c r="O127" s="112"/>
      <c r="P127" s="115"/>
      <c r="Q127" s="114"/>
      <c r="R127" s="108">
        <f>if(MAXIFS(Invoices!E:E,Invoices!A:A,A:A)=0,"",MAXIFS(Invoices!E:E,Invoices!A:A,A:A))</f>
        <v>44712</v>
      </c>
      <c r="S127" s="115">
        <v>450.0</v>
      </c>
      <c r="T127" s="103" t="b">
        <v>0</v>
      </c>
      <c r="U127" s="103"/>
      <c r="V127" s="103"/>
      <c r="W127" s="103"/>
      <c r="X127" s="103"/>
      <c r="Y127" s="103"/>
      <c r="Z127" s="103"/>
    </row>
    <row r="128">
      <c r="A128" s="110" t="s">
        <v>467</v>
      </c>
      <c r="B128" s="103" t="s">
        <v>1209</v>
      </c>
      <c r="C128" s="103" t="s">
        <v>469</v>
      </c>
      <c r="D128" s="103" t="s">
        <v>52</v>
      </c>
      <c r="E128" s="103" t="s">
        <v>27</v>
      </c>
      <c r="F128" s="103" t="s">
        <v>52</v>
      </c>
      <c r="G128" s="106">
        <v>280.0</v>
      </c>
      <c r="H128" s="107" t="s">
        <v>9</v>
      </c>
      <c r="I128" s="103">
        <v>0.0</v>
      </c>
      <c r="J128" s="108">
        <v>44713.0</v>
      </c>
      <c r="K128" s="103" t="s">
        <v>469</v>
      </c>
      <c r="L128" s="103" t="s">
        <v>1193</v>
      </c>
      <c r="M128" s="120">
        <v>0.2</v>
      </c>
      <c r="N128" s="103" t="s">
        <v>1154</v>
      </c>
      <c r="O128" s="112"/>
      <c r="P128" s="115"/>
      <c r="Q128" s="114"/>
      <c r="R128" s="108">
        <f>if(MAXIFS(Invoices!E:E,Invoices!A:A,A:A)=0,"",MAXIFS(Invoices!E:E,Invoices!A:A,A:A))</f>
        <v>45153</v>
      </c>
      <c r="S128" s="115">
        <v>5113.03604</v>
      </c>
      <c r="T128" s="103" t="b">
        <v>0</v>
      </c>
      <c r="U128" s="103"/>
      <c r="V128" s="103"/>
      <c r="W128" s="103"/>
      <c r="X128" s="103"/>
      <c r="Y128" s="103"/>
      <c r="Z128" s="103"/>
    </row>
    <row r="129">
      <c r="A129" s="110" t="s">
        <v>470</v>
      </c>
      <c r="B129" s="103" t="s">
        <v>1368</v>
      </c>
      <c r="C129" s="103" t="s">
        <v>1369</v>
      </c>
      <c r="D129" s="103" t="s">
        <v>1160</v>
      </c>
      <c r="E129" s="103" t="s">
        <v>51</v>
      </c>
      <c r="F129" s="103" t="s">
        <v>52</v>
      </c>
      <c r="G129" s="106">
        <v>600.0</v>
      </c>
      <c r="H129" s="107" t="s">
        <v>9</v>
      </c>
      <c r="I129" s="103">
        <v>0.0</v>
      </c>
      <c r="J129" s="108">
        <v>44713.0</v>
      </c>
      <c r="K129" s="109" t="s">
        <v>1370</v>
      </c>
      <c r="L129" s="110"/>
      <c r="M129" s="111"/>
      <c r="N129" s="103" t="s">
        <v>1157</v>
      </c>
      <c r="O129" s="112"/>
      <c r="P129" s="115"/>
      <c r="Q129" s="114"/>
      <c r="R129" s="108">
        <f>if(MAXIFS(Invoices!E:E,Invoices!A:A,A:A)=0,"",MAXIFS(Invoices!E:E,Invoices!A:A,A:A))</f>
        <v>44771</v>
      </c>
      <c r="S129" s="115">
        <v>858.2768550000001</v>
      </c>
      <c r="T129" s="103" t="b">
        <v>0</v>
      </c>
      <c r="U129" s="103"/>
      <c r="V129" s="103"/>
      <c r="W129" s="103"/>
      <c r="X129" s="103"/>
      <c r="Y129" s="103"/>
      <c r="Z129" s="103"/>
    </row>
    <row r="130">
      <c r="A130" s="110" t="s">
        <v>476</v>
      </c>
      <c r="B130" s="103" t="s">
        <v>1371</v>
      </c>
      <c r="C130" s="103" t="s">
        <v>1372</v>
      </c>
      <c r="D130" s="103" t="s">
        <v>1160</v>
      </c>
      <c r="E130" s="103" t="s">
        <v>447</v>
      </c>
      <c r="F130" s="103" t="s">
        <v>252</v>
      </c>
      <c r="G130" s="106">
        <v>1500.0</v>
      </c>
      <c r="H130" s="107" t="s">
        <v>21</v>
      </c>
      <c r="I130" s="103">
        <v>30.0</v>
      </c>
      <c r="J130" s="108">
        <v>44713.0</v>
      </c>
      <c r="K130" s="109" t="s">
        <v>477</v>
      </c>
      <c r="L130" s="110"/>
      <c r="M130" s="111"/>
      <c r="N130" s="103" t="s">
        <v>1157</v>
      </c>
      <c r="O130" s="112"/>
      <c r="P130" s="115"/>
      <c r="Q130" s="114"/>
      <c r="R130" s="108">
        <f>if(MAXIFS(Invoices!E:E,Invoices!A:A,A:A)=0,"",MAXIFS(Invoices!E:E,Invoices!A:A,A:A))</f>
        <v>44813</v>
      </c>
      <c r="S130" s="115">
        <v>2000.0</v>
      </c>
      <c r="T130" s="103" t="b">
        <v>0</v>
      </c>
      <c r="U130" s="103"/>
      <c r="V130" s="103"/>
      <c r="W130" s="103"/>
      <c r="X130" s="103"/>
      <c r="Y130" s="103"/>
      <c r="Z130" s="103"/>
    </row>
    <row r="131">
      <c r="A131" s="110" t="s">
        <v>478</v>
      </c>
      <c r="B131" s="103" t="s">
        <v>1200</v>
      </c>
      <c r="C131" s="103" t="s">
        <v>1373</v>
      </c>
      <c r="D131" s="103" t="s">
        <v>1160</v>
      </c>
      <c r="E131" s="103" t="s">
        <v>447</v>
      </c>
      <c r="F131" s="103" t="s">
        <v>252</v>
      </c>
      <c r="G131" s="106">
        <v>1000.0</v>
      </c>
      <c r="H131" s="107" t="s">
        <v>9</v>
      </c>
      <c r="I131" s="103">
        <v>30.0</v>
      </c>
      <c r="J131" s="108">
        <v>44713.0</v>
      </c>
      <c r="K131" s="109" t="s">
        <v>480</v>
      </c>
      <c r="L131" s="110"/>
      <c r="M131" s="111"/>
      <c r="N131" s="103" t="s">
        <v>1157</v>
      </c>
      <c r="O131" s="112"/>
      <c r="P131" s="115"/>
      <c r="Q131" s="114"/>
      <c r="R131" s="108">
        <f>if(MAXIFS(Invoices!E:E,Invoices!A:A,A:A)=0,"",MAXIFS(Invoices!E:E,Invoices!A:A,A:A))</f>
        <v>44742</v>
      </c>
      <c r="S131" s="115">
        <v>1251.0</v>
      </c>
      <c r="T131" s="103" t="b">
        <v>0</v>
      </c>
      <c r="U131" s="103"/>
      <c r="V131" s="103"/>
      <c r="W131" s="103"/>
      <c r="X131" s="103"/>
      <c r="Y131" s="103"/>
      <c r="Z131" s="103"/>
    </row>
    <row r="132">
      <c r="A132" s="110" t="s">
        <v>481</v>
      </c>
      <c r="B132" s="103" t="s">
        <v>1200</v>
      </c>
      <c r="C132" s="103" t="s">
        <v>1374</v>
      </c>
      <c r="D132" s="103" t="s">
        <v>1160</v>
      </c>
      <c r="E132" s="103" t="s">
        <v>447</v>
      </c>
      <c r="F132" s="103" t="s">
        <v>52</v>
      </c>
      <c r="G132" s="106">
        <v>700.0</v>
      </c>
      <c r="H132" s="107" t="s">
        <v>9</v>
      </c>
      <c r="I132" s="103">
        <v>30.0</v>
      </c>
      <c r="J132" s="108">
        <v>44713.0</v>
      </c>
      <c r="K132" s="109" t="s">
        <v>483</v>
      </c>
      <c r="L132" s="110"/>
      <c r="M132" s="111"/>
      <c r="N132" s="103" t="s">
        <v>1182</v>
      </c>
      <c r="O132" s="112"/>
      <c r="P132" s="115"/>
      <c r="Q132" s="114"/>
      <c r="R132" s="108">
        <f>if(MAXIFS(Invoices!E:E,Invoices!A:A,A:A)=0,"",MAXIFS(Invoices!E:E,Invoices!A:A,A:A))</f>
        <v>44957</v>
      </c>
      <c r="S132" s="115">
        <v>6163.990000000001</v>
      </c>
      <c r="T132" s="103" t="b">
        <v>0</v>
      </c>
      <c r="U132" s="103"/>
      <c r="V132" s="103"/>
      <c r="W132" s="103"/>
      <c r="X132" s="103"/>
      <c r="Y132" s="103"/>
      <c r="Z132" s="103"/>
    </row>
    <row r="133">
      <c r="A133" s="110" t="s">
        <v>499</v>
      </c>
      <c r="B133" s="103" t="s">
        <v>1330</v>
      </c>
      <c r="C133" s="103" t="s">
        <v>1375</v>
      </c>
      <c r="D133" s="103" t="s">
        <v>52</v>
      </c>
      <c r="E133" s="103" t="s">
        <v>51</v>
      </c>
      <c r="F133" s="103" t="s">
        <v>52</v>
      </c>
      <c r="G133" s="106">
        <v>1650.0</v>
      </c>
      <c r="H133" s="107" t="s">
        <v>21</v>
      </c>
      <c r="I133" s="103">
        <v>30.0</v>
      </c>
      <c r="J133" s="108">
        <v>44713.0</v>
      </c>
      <c r="K133" s="109" t="s">
        <v>500</v>
      </c>
      <c r="L133" s="110"/>
      <c r="M133" s="111"/>
      <c r="N133" s="103" t="s">
        <v>1154</v>
      </c>
      <c r="O133" s="109"/>
      <c r="P133" s="115"/>
      <c r="Q133" s="114"/>
      <c r="R133" s="108">
        <f>if(MAXIFS(Invoices!E:E,Invoices!A:A,A:A)=0,"",MAXIFS(Invoices!E:E,Invoices!A:A,A:A))</f>
        <v>45169</v>
      </c>
      <c r="S133" s="115">
        <v>23350.0</v>
      </c>
      <c r="T133" s="103" t="b">
        <v>0</v>
      </c>
      <c r="U133" s="103"/>
      <c r="V133" s="103"/>
      <c r="W133" s="103"/>
      <c r="X133" s="103"/>
      <c r="Y133" s="103"/>
      <c r="Z133" s="103"/>
    </row>
    <row r="134">
      <c r="A134" s="110" t="s">
        <v>886</v>
      </c>
      <c r="B134" s="103" t="s">
        <v>1200</v>
      </c>
      <c r="C134" s="103" t="s">
        <v>1376</v>
      </c>
      <c r="D134" s="103" t="s">
        <v>1160</v>
      </c>
      <c r="E134" s="103" t="s">
        <v>447</v>
      </c>
      <c r="F134" s="103" t="s">
        <v>52</v>
      </c>
      <c r="G134" s="106">
        <v>500.0</v>
      </c>
      <c r="H134" s="107" t="s">
        <v>9</v>
      </c>
      <c r="I134" s="103">
        <v>30.0</v>
      </c>
      <c r="J134" s="108">
        <v>45000.0</v>
      </c>
      <c r="K134" s="109" t="s">
        <v>483</v>
      </c>
      <c r="L134" s="110"/>
      <c r="M134" s="111"/>
      <c r="N134" s="103" t="s">
        <v>1157</v>
      </c>
      <c r="O134" s="109"/>
      <c r="P134" s="115"/>
      <c r="Q134" s="114"/>
      <c r="R134" s="108"/>
      <c r="S134" s="115">
        <v>992.0</v>
      </c>
      <c r="T134" s="103" t="b">
        <v>0</v>
      </c>
      <c r="U134" s="103"/>
      <c r="V134" s="103"/>
      <c r="W134" s="103"/>
      <c r="X134" s="103"/>
      <c r="Y134" s="103"/>
      <c r="Z134" s="103"/>
    </row>
    <row r="135">
      <c r="A135" s="110" t="s">
        <v>501</v>
      </c>
      <c r="B135" s="103" t="s">
        <v>1377</v>
      </c>
      <c r="C135" s="109" t="s">
        <v>1378</v>
      </c>
      <c r="D135" s="103" t="s">
        <v>1160</v>
      </c>
      <c r="E135" s="103" t="s">
        <v>447</v>
      </c>
      <c r="F135" s="109" t="s">
        <v>503</v>
      </c>
      <c r="G135" s="106">
        <v>6150.0</v>
      </c>
      <c r="H135" s="107" t="s">
        <v>9</v>
      </c>
      <c r="I135" s="103">
        <v>0.0</v>
      </c>
      <c r="J135" s="108">
        <v>40725.0</v>
      </c>
      <c r="K135" s="109" t="s">
        <v>1379</v>
      </c>
      <c r="L135" s="110"/>
      <c r="M135" s="111"/>
      <c r="N135" s="103" t="s">
        <v>1157</v>
      </c>
      <c r="O135" s="112"/>
      <c r="P135" s="115"/>
      <c r="Q135" s="114"/>
      <c r="R135" s="108">
        <f>if(MAXIFS(Invoices!E:E,Invoices!A:A,A:A)=0,"",MAXIFS(Invoices!E:E,Invoices!A:A,A:A))</f>
        <v>44804</v>
      </c>
      <c r="S135" s="115">
        <v>7245.329320999999</v>
      </c>
      <c r="T135" s="103" t="b">
        <v>0</v>
      </c>
      <c r="U135" s="103"/>
      <c r="V135" s="103"/>
      <c r="W135" s="103"/>
      <c r="X135" s="103"/>
      <c r="Y135" s="103"/>
      <c r="Z135" s="103"/>
    </row>
    <row r="136">
      <c r="A136" s="110" t="s">
        <v>1380</v>
      </c>
      <c r="B136" s="103" t="s">
        <v>1209</v>
      </c>
      <c r="C136" s="103" t="s">
        <v>1179</v>
      </c>
      <c r="D136" s="103" t="s">
        <v>1160</v>
      </c>
      <c r="E136" s="103" t="s">
        <v>447</v>
      </c>
      <c r="F136" s="103" t="s">
        <v>252</v>
      </c>
      <c r="G136" s="106">
        <v>500.0</v>
      </c>
      <c r="H136" s="107" t="s">
        <v>9</v>
      </c>
      <c r="I136" s="103">
        <v>0.0</v>
      </c>
      <c r="J136" s="108">
        <v>44757.0</v>
      </c>
      <c r="K136" s="112"/>
      <c r="L136" s="103" t="s">
        <v>1193</v>
      </c>
      <c r="M136" s="120">
        <v>0.2</v>
      </c>
      <c r="N136" s="103" t="s">
        <v>1182</v>
      </c>
      <c r="O136" s="112"/>
      <c r="P136" s="115"/>
      <c r="Q136" s="114"/>
      <c r="R136" s="108" t="str">
        <f>if(MAXIFS(Invoices!E:E,Invoices!A:A,A:A)=0,"",MAXIFS(Invoices!E:E,Invoices!A:A,A:A))</f>
        <v/>
      </c>
      <c r="S136" s="115">
        <v>0.0</v>
      </c>
      <c r="T136" s="103" t="b">
        <v>0</v>
      </c>
      <c r="U136" s="103"/>
      <c r="V136" s="103"/>
      <c r="W136" s="103"/>
      <c r="X136" s="103"/>
      <c r="Y136" s="103"/>
      <c r="Z136" s="103"/>
    </row>
    <row r="137">
      <c r="A137" s="110" t="s">
        <v>510</v>
      </c>
      <c r="B137" s="103" t="s">
        <v>1368</v>
      </c>
      <c r="C137" s="103" t="s">
        <v>1381</v>
      </c>
      <c r="D137" s="103" t="s">
        <v>1160</v>
      </c>
      <c r="E137" s="103" t="s">
        <v>447</v>
      </c>
      <c r="F137" s="103" t="s">
        <v>19</v>
      </c>
      <c r="G137" s="106">
        <v>800.0</v>
      </c>
      <c r="H137" s="107" t="s">
        <v>9</v>
      </c>
      <c r="I137" s="103">
        <v>0.0</v>
      </c>
      <c r="J137" s="108">
        <v>44743.0</v>
      </c>
      <c r="K137" s="109" t="s">
        <v>1382</v>
      </c>
      <c r="L137" s="110"/>
      <c r="M137" s="111"/>
      <c r="N137" s="103" t="s">
        <v>1157</v>
      </c>
      <c r="O137" s="112"/>
      <c r="P137" s="115"/>
      <c r="Q137" s="114"/>
      <c r="R137" s="108">
        <f>if(MAXIFS(Invoices!E:E,Invoices!A:A,A:A)=0,"",MAXIFS(Invoices!E:E,Invoices!A:A,A:A))</f>
        <v>44771</v>
      </c>
      <c r="S137" s="115">
        <v>997.9360000000001</v>
      </c>
      <c r="T137" s="103" t="b">
        <v>0</v>
      </c>
      <c r="U137" s="103"/>
      <c r="V137" s="103"/>
      <c r="W137" s="103"/>
      <c r="X137" s="103"/>
      <c r="Y137" s="103"/>
      <c r="Z137" s="103"/>
    </row>
    <row r="138">
      <c r="A138" s="110" t="s">
        <v>515</v>
      </c>
      <c r="B138" s="103" t="s">
        <v>1383</v>
      </c>
      <c r="C138" s="103" t="s">
        <v>1384</v>
      </c>
      <c r="D138" s="103" t="s">
        <v>1160</v>
      </c>
      <c r="E138" s="103" t="s">
        <v>447</v>
      </c>
      <c r="F138" s="103" t="s">
        <v>19</v>
      </c>
      <c r="G138" s="106">
        <v>3800.0</v>
      </c>
      <c r="H138" s="107" t="s">
        <v>9</v>
      </c>
      <c r="I138" s="103"/>
      <c r="J138" s="108">
        <v>44757.0</v>
      </c>
      <c r="K138" s="109" t="s">
        <v>1385</v>
      </c>
      <c r="L138" s="126" t="s">
        <v>1193</v>
      </c>
      <c r="M138" s="127">
        <v>0.2</v>
      </c>
      <c r="N138" s="103" t="s">
        <v>1157</v>
      </c>
      <c r="O138" s="112"/>
      <c r="P138" s="115"/>
      <c r="Q138" s="114"/>
      <c r="R138" s="108">
        <f>if(MAXIFS(Invoices!E:E,Invoices!A:A,A:A)=0,"",MAXIFS(Invoices!E:E,Invoices!A:A,A:A))</f>
        <v>44796</v>
      </c>
      <c r="S138" s="115">
        <v>4808.9399</v>
      </c>
      <c r="T138" s="103" t="b">
        <v>0</v>
      </c>
      <c r="U138" s="103"/>
      <c r="V138" s="103"/>
      <c r="W138" s="103"/>
      <c r="X138" s="103"/>
      <c r="Y138" s="103"/>
      <c r="Z138" s="103"/>
    </row>
    <row r="139">
      <c r="A139" s="110" t="s">
        <v>528</v>
      </c>
      <c r="B139" s="103" t="s">
        <v>1345</v>
      </c>
      <c r="C139" s="103" t="s">
        <v>1179</v>
      </c>
      <c r="D139" s="103" t="s">
        <v>1160</v>
      </c>
      <c r="E139" s="103" t="s">
        <v>447</v>
      </c>
      <c r="F139" s="103" t="s">
        <v>252</v>
      </c>
      <c r="G139" s="115"/>
      <c r="H139" s="107" t="s">
        <v>21</v>
      </c>
      <c r="I139" s="103">
        <v>0.0</v>
      </c>
      <c r="J139" s="108">
        <v>44757.0</v>
      </c>
      <c r="K139" s="109" t="s">
        <v>1386</v>
      </c>
      <c r="L139" s="110"/>
      <c r="M139" s="111"/>
      <c r="N139" s="103" t="s">
        <v>1157</v>
      </c>
      <c r="O139" s="112"/>
      <c r="P139" s="115"/>
      <c r="Q139" s="114"/>
      <c r="R139" s="108">
        <f>if(MAXIFS(Invoices!E:E,Invoices!A:A,A:A)=0,"",MAXIFS(Invoices!E:E,Invoices!A:A,A:A))</f>
        <v>44895</v>
      </c>
      <c r="S139" s="115">
        <v>1450.0</v>
      </c>
      <c r="T139" s="103" t="b">
        <v>0</v>
      </c>
      <c r="U139" s="103"/>
      <c r="V139" s="103"/>
      <c r="W139" s="103"/>
      <c r="X139" s="103"/>
      <c r="Y139" s="103"/>
      <c r="Z139" s="103"/>
    </row>
    <row r="140">
      <c r="A140" s="110" t="s">
        <v>532</v>
      </c>
      <c r="B140" s="103" t="s">
        <v>1345</v>
      </c>
      <c r="C140" s="103" t="s">
        <v>1387</v>
      </c>
      <c r="D140" s="103" t="s">
        <v>52</v>
      </c>
      <c r="E140" s="103" t="s">
        <v>27</v>
      </c>
      <c r="F140" s="103" t="s">
        <v>252</v>
      </c>
      <c r="G140" s="115"/>
      <c r="H140" s="107" t="s">
        <v>21</v>
      </c>
      <c r="I140" s="103">
        <v>0.0</v>
      </c>
      <c r="J140" s="108">
        <v>44757.0</v>
      </c>
      <c r="K140" s="109" t="s">
        <v>1388</v>
      </c>
      <c r="L140" s="110"/>
      <c r="M140" s="111"/>
      <c r="N140" s="103" t="s">
        <v>1157</v>
      </c>
      <c r="O140" s="112"/>
      <c r="P140" s="115"/>
      <c r="Q140" s="114"/>
      <c r="R140" s="108">
        <f>if(MAXIFS(Invoices!E:E,Invoices!A:A,A:A)=0,"",MAXIFS(Invoices!E:E,Invoices!A:A,A:A))</f>
        <v>44788</v>
      </c>
      <c r="S140" s="115">
        <v>1300.0</v>
      </c>
      <c r="T140" s="103" t="b">
        <v>0</v>
      </c>
      <c r="U140" s="103"/>
      <c r="V140" s="103"/>
      <c r="W140" s="103"/>
      <c r="X140" s="103"/>
      <c r="Y140" s="103"/>
      <c r="Z140" s="103"/>
    </row>
    <row r="141">
      <c r="A141" s="110" t="s">
        <v>526</v>
      </c>
      <c r="B141" s="103" t="s">
        <v>1389</v>
      </c>
      <c r="C141" s="103" t="s">
        <v>1179</v>
      </c>
      <c r="D141" s="103" t="s">
        <v>1160</v>
      </c>
      <c r="E141" s="103" t="s">
        <v>447</v>
      </c>
      <c r="F141" s="103" t="s">
        <v>459</v>
      </c>
      <c r="G141" s="115"/>
      <c r="H141" s="107" t="s">
        <v>21</v>
      </c>
      <c r="I141" s="103">
        <v>0.0</v>
      </c>
      <c r="J141" s="108">
        <v>44753.0</v>
      </c>
      <c r="K141" s="109" t="s">
        <v>1386</v>
      </c>
      <c r="L141" s="110"/>
      <c r="M141" s="111"/>
      <c r="N141" s="103" t="s">
        <v>1154</v>
      </c>
      <c r="O141" s="112"/>
      <c r="P141" s="115"/>
      <c r="Q141" s="114"/>
      <c r="R141" s="108">
        <f>if(MAXIFS(Invoices!E:E,Invoices!A:A,A:A)=0,"",MAXIFS(Invoices!E:E,Invoices!A:A,A:A))</f>
        <v>44757</v>
      </c>
      <c r="S141" s="115">
        <v>560.0</v>
      </c>
      <c r="T141" s="103" t="b">
        <v>0</v>
      </c>
      <c r="U141" s="103"/>
      <c r="V141" s="103"/>
      <c r="W141" s="103"/>
      <c r="X141" s="103"/>
      <c r="Y141" s="103"/>
      <c r="Z141" s="103"/>
    </row>
    <row r="142">
      <c r="A142" s="110" t="s">
        <v>530</v>
      </c>
      <c r="B142" s="103" t="s">
        <v>1390</v>
      </c>
      <c r="C142" s="103" t="s">
        <v>1391</v>
      </c>
      <c r="D142" s="103" t="s">
        <v>1152</v>
      </c>
      <c r="E142" s="103" t="s">
        <v>447</v>
      </c>
      <c r="F142" s="103" t="s">
        <v>252</v>
      </c>
      <c r="G142" s="115"/>
      <c r="H142" s="107" t="s">
        <v>21</v>
      </c>
      <c r="I142" s="103"/>
      <c r="J142" s="108">
        <v>44756.0</v>
      </c>
      <c r="K142" s="109" t="s">
        <v>1386</v>
      </c>
      <c r="L142" s="110"/>
      <c r="M142" s="111"/>
      <c r="N142" s="103" t="s">
        <v>1157</v>
      </c>
      <c r="O142" s="112"/>
      <c r="P142" s="115"/>
      <c r="Q142" s="114"/>
      <c r="R142" s="108">
        <f>if(MAXIFS(Invoices!E:E,Invoices!A:A,A:A)=0,"",MAXIFS(Invoices!E:E,Invoices!A:A,A:A))</f>
        <v>44771</v>
      </c>
      <c r="S142" s="115">
        <v>1182.5</v>
      </c>
      <c r="T142" s="103" t="b">
        <v>0</v>
      </c>
      <c r="U142" s="103"/>
      <c r="V142" s="103"/>
      <c r="W142" s="103"/>
      <c r="X142" s="103"/>
      <c r="Y142" s="103"/>
      <c r="Z142" s="103"/>
    </row>
    <row r="143">
      <c r="A143" s="110" t="s">
        <v>534</v>
      </c>
      <c r="B143" s="103" t="s">
        <v>1377</v>
      </c>
      <c r="C143" s="103" t="s">
        <v>1392</v>
      </c>
      <c r="D143" s="103" t="s">
        <v>1160</v>
      </c>
      <c r="E143" s="103" t="s">
        <v>447</v>
      </c>
      <c r="F143" s="103" t="s">
        <v>252</v>
      </c>
      <c r="G143" s="115"/>
      <c r="H143" s="107" t="s">
        <v>9</v>
      </c>
      <c r="I143" s="103">
        <v>30.0</v>
      </c>
      <c r="J143" s="108">
        <v>44770.0</v>
      </c>
      <c r="K143" s="109" t="s">
        <v>1386</v>
      </c>
      <c r="L143" s="110"/>
      <c r="M143" s="111"/>
      <c r="N143" s="103" t="s">
        <v>1157</v>
      </c>
      <c r="O143" s="112"/>
      <c r="P143" s="115"/>
      <c r="Q143" s="114"/>
      <c r="R143" s="108">
        <f>if(MAXIFS(Invoices!E:E,Invoices!A:A,A:A)=0,"",MAXIFS(Invoices!E:E,Invoices!A:A,A:A))</f>
        <v>44771</v>
      </c>
      <c r="S143" s="115">
        <v>702.340000002</v>
      </c>
      <c r="T143" s="103" t="b">
        <v>0</v>
      </c>
      <c r="U143" s="103"/>
      <c r="V143" s="103"/>
      <c r="W143" s="103"/>
      <c r="X143" s="103"/>
      <c r="Y143" s="103"/>
      <c r="Z143" s="103"/>
    </row>
    <row r="144">
      <c r="A144" s="110" t="s">
        <v>549</v>
      </c>
      <c r="B144" s="103" t="s">
        <v>1368</v>
      </c>
      <c r="C144" s="103" t="s">
        <v>1393</v>
      </c>
      <c r="D144" s="103" t="s">
        <v>52</v>
      </c>
      <c r="E144" s="103" t="s">
        <v>51</v>
      </c>
      <c r="F144" s="103" t="s">
        <v>52</v>
      </c>
      <c r="G144" s="106">
        <v>600.0</v>
      </c>
      <c r="H144" s="107" t="s">
        <v>9</v>
      </c>
      <c r="I144" s="103">
        <v>0.0</v>
      </c>
      <c r="J144" s="108">
        <v>44774.0</v>
      </c>
      <c r="K144" s="109" t="s">
        <v>551</v>
      </c>
      <c r="L144" s="110"/>
      <c r="M144" s="111"/>
      <c r="N144" s="103" t="s">
        <v>1182</v>
      </c>
      <c r="O144" s="112"/>
      <c r="P144" s="115"/>
      <c r="Q144" s="114"/>
      <c r="R144" s="108">
        <f>if(MAXIFS(Invoices!E:E,Invoices!A:A,A:A)=0,"",MAXIFS(Invoices!E:E,Invoices!A:A,A:A))</f>
        <v>45077</v>
      </c>
      <c r="S144" s="115">
        <v>4730.61725</v>
      </c>
      <c r="T144" s="103" t="b">
        <v>0</v>
      </c>
      <c r="U144" s="103"/>
      <c r="V144" s="103"/>
      <c r="W144" s="103"/>
      <c r="X144" s="103"/>
      <c r="Y144" s="103"/>
      <c r="Z144" s="103"/>
    </row>
    <row r="145">
      <c r="A145" s="110" t="s">
        <v>552</v>
      </c>
      <c r="B145" s="103" t="s">
        <v>1394</v>
      </c>
      <c r="C145" s="103" t="s">
        <v>1387</v>
      </c>
      <c r="D145" s="103" t="s">
        <v>1160</v>
      </c>
      <c r="E145" s="103" t="s">
        <v>27</v>
      </c>
      <c r="F145" s="103" t="s">
        <v>252</v>
      </c>
      <c r="G145" s="106">
        <v>450.0</v>
      </c>
      <c r="H145" s="107" t="s">
        <v>21</v>
      </c>
      <c r="I145" s="103">
        <v>15.0</v>
      </c>
      <c r="J145" s="108">
        <v>44788.0</v>
      </c>
      <c r="K145" s="109" t="s">
        <v>553</v>
      </c>
      <c r="L145" s="110"/>
      <c r="M145" s="111"/>
      <c r="N145" s="103" t="s">
        <v>1157</v>
      </c>
      <c r="O145" s="112"/>
      <c r="P145" s="115"/>
      <c r="Q145" s="114"/>
      <c r="R145" s="108">
        <f>if(MAXIFS(Invoices!E:E,Invoices!A:A,A:A)=0,"",MAXIFS(Invoices!E:E,Invoices!A:A,A:A))</f>
        <v>44788</v>
      </c>
      <c r="S145" s="115">
        <v>450.0</v>
      </c>
      <c r="T145" s="103" t="b">
        <v>0</v>
      </c>
      <c r="U145" s="103"/>
      <c r="V145" s="103"/>
      <c r="W145" s="103"/>
      <c r="X145" s="103"/>
      <c r="Y145" s="103"/>
      <c r="Z145" s="103"/>
    </row>
    <row r="146">
      <c r="A146" s="110" t="s">
        <v>560</v>
      </c>
      <c r="B146" s="103" t="s">
        <v>1395</v>
      </c>
      <c r="C146" s="103" t="s">
        <v>36</v>
      </c>
      <c r="D146" s="103" t="s">
        <v>1160</v>
      </c>
      <c r="E146" s="103" t="s">
        <v>447</v>
      </c>
      <c r="F146" s="103" t="s">
        <v>252</v>
      </c>
      <c r="G146" s="106">
        <v>5800.0</v>
      </c>
      <c r="H146" s="107" t="s">
        <v>9</v>
      </c>
      <c r="I146" s="103"/>
      <c r="J146" s="108">
        <v>44795.0</v>
      </c>
      <c r="K146" s="128" t="s">
        <v>1396</v>
      </c>
      <c r="L146" s="110"/>
      <c r="M146" s="111"/>
      <c r="N146" s="103" t="s">
        <v>1157</v>
      </c>
      <c r="O146" s="112"/>
      <c r="P146" s="115"/>
      <c r="Q146" s="114"/>
      <c r="R146" s="108">
        <f>if(MAXIFS(Invoices!E:E,Invoices!A:A,A:A)=0,"",MAXIFS(Invoices!E:E,Invoices!A:A,A:A))</f>
        <v>44849</v>
      </c>
      <c r="S146" s="115">
        <v>7547.175999999999</v>
      </c>
      <c r="T146" s="103" t="b">
        <v>0</v>
      </c>
      <c r="U146" s="103"/>
      <c r="V146" s="103"/>
      <c r="W146" s="103"/>
      <c r="X146" s="103"/>
      <c r="Y146" s="103"/>
      <c r="Z146" s="103"/>
    </row>
    <row r="147">
      <c r="A147" s="110" t="s">
        <v>629</v>
      </c>
      <c r="B147" s="103" t="s">
        <v>1395</v>
      </c>
      <c r="C147" s="103" t="s">
        <v>469</v>
      </c>
      <c r="D147" s="103" t="s">
        <v>52</v>
      </c>
      <c r="E147" s="103" t="s">
        <v>27</v>
      </c>
      <c r="F147" s="103" t="s">
        <v>52</v>
      </c>
      <c r="G147" s="106">
        <v>280.0</v>
      </c>
      <c r="H147" s="107" t="s">
        <v>9</v>
      </c>
      <c r="I147" s="103"/>
      <c r="J147" s="108">
        <v>44795.0</v>
      </c>
      <c r="K147" s="103" t="s">
        <v>469</v>
      </c>
      <c r="L147" s="110"/>
      <c r="M147" s="111"/>
      <c r="N147" s="103" t="s">
        <v>1154</v>
      </c>
      <c r="O147" s="112"/>
      <c r="P147" s="115"/>
      <c r="Q147" s="114"/>
      <c r="R147" s="108">
        <f>if(MAXIFS(Invoices!E:E,Invoices!A:A,A:A)=0,"",MAXIFS(Invoices!E:E,Invoices!A:A,A:A))</f>
        <v>45153</v>
      </c>
      <c r="S147" s="115">
        <v>4167.5718</v>
      </c>
      <c r="T147" s="103" t="b">
        <v>0</v>
      </c>
      <c r="U147" s="103"/>
      <c r="V147" s="103"/>
      <c r="W147" s="103"/>
      <c r="X147" s="103"/>
      <c r="Y147" s="103"/>
      <c r="Z147" s="103"/>
    </row>
    <row r="148">
      <c r="A148" s="110" t="s">
        <v>637</v>
      </c>
      <c r="B148" s="103" t="s">
        <v>1395</v>
      </c>
      <c r="C148" s="103" t="s">
        <v>1397</v>
      </c>
      <c r="D148" s="103" t="s">
        <v>1160</v>
      </c>
      <c r="E148" s="103" t="s">
        <v>447</v>
      </c>
      <c r="F148" s="103" t="s">
        <v>252</v>
      </c>
      <c r="G148" s="106">
        <v>650.0</v>
      </c>
      <c r="H148" s="107" t="s">
        <v>9</v>
      </c>
      <c r="I148" s="103"/>
      <c r="J148" s="108">
        <v>44805.0</v>
      </c>
      <c r="K148" s="109" t="s">
        <v>639</v>
      </c>
      <c r="L148" s="110"/>
      <c r="M148" s="111"/>
      <c r="N148" s="103" t="s">
        <v>1154</v>
      </c>
      <c r="O148" s="112"/>
      <c r="P148" s="115"/>
      <c r="Q148" s="114"/>
      <c r="R148" s="108">
        <f>if(MAXIFS(Invoices!E:E,Invoices!A:A,A:A)=0,"",MAXIFS(Invoices!E:E,Invoices!A:A,A:A))</f>
        <v>44833</v>
      </c>
      <c r="S148" s="115">
        <v>873.3204999999999</v>
      </c>
      <c r="T148" s="103" t="b">
        <v>0</v>
      </c>
      <c r="U148" s="103"/>
      <c r="V148" s="103"/>
      <c r="W148" s="103"/>
      <c r="X148" s="103"/>
      <c r="Y148" s="103"/>
      <c r="Z148" s="103"/>
    </row>
    <row r="149">
      <c r="A149" s="110" t="s">
        <v>565</v>
      </c>
      <c r="B149" s="103" t="s">
        <v>1398</v>
      </c>
      <c r="C149" s="103" t="s">
        <v>1399</v>
      </c>
      <c r="D149" s="103" t="s">
        <v>1160</v>
      </c>
      <c r="E149" s="103" t="s">
        <v>447</v>
      </c>
      <c r="F149" s="103" t="s">
        <v>252</v>
      </c>
      <c r="G149" s="106">
        <v>2800.0</v>
      </c>
      <c r="H149" s="107" t="s">
        <v>9</v>
      </c>
      <c r="I149" s="103">
        <v>15.0</v>
      </c>
      <c r="J149" s="108"/>
      <c r="K149" s="128" t="s">
        <v>1400</v>
      </c>
      <c r="L149" s="110"/>
      <c r="M149" s="111"/>
      <c r="N149" s="103" t="s">
        <v>1157</v>
      </c>
      <c r="O149" s="112"/>
      <c r="P149" s="115"/>
      <c r="Q149" s="114"/>
      <c r="R149" s="108">
        <f>if(MAXIFS(Invoices!E:E,Invoices!A:A,A:A)=0,"",MAXIFS(Invoices!E:E,Invoices!A:A,A:A))</f>
        <v>44833</v>
      </c>
      <c r="S149" s="115">
        <v>3668.5447811964</v>
      </c>
      <c r="T149" s="103" t="b">
        <v>0</v>
      </c>
      <c r="U149" s="103"/>
      <c r="V149" s="103"/>
      <c r="W149" s="103"/>
      <c r="X149" s="103"/>
      <c r="Y149" s="103"/>
      <c r="Z149" s="103"/>
    </row>
    <row r="150">
      <c r="A150" s="110" t="s">
        <v>570</v>
      </c>
      <c r="B150" s="103" t="s">
        <v>1398</v>
      </c>
      <c r="C150" s="103" t="s">
        <v>1401</v>
      </c>
      <c r="D150" s="103" t="s">
        <v>1160</v>
      </c>
      <c r="E150" s="103" t="s">
        <v>447</v>
      </c>
      <c r="F150" s="103" t="s">
        <v>252</v>
      </c>
      <c r="G150" s="106">
        <v>1066.0</v>
      </c>
      <c r="H150" s="107" t="s">
        <v>9</v>
      </c>
      <c r="I150" s="103">
        <v>15.0</v>
      </c>
      <c r="J150" s="108"/>
      <c r="K150" s="128" t="s">
        <v>1402</v>
      </c>
      <c r="L150" s="110"/>
      <c r="M150" s="111"/>
      <c r="N150" s="103" t="s">
        <v>1154</v>
      </c>
      <c r="O150" s="112"/>
      <c r="P150" s="115"/>
      <c r="Q150" s="114"/>
      <c r="R150" s="108">
        <f>if(MAXIFS(Invoices!E:E,Invoices!A:A,A:A)=0,"",MAXIFS(Invoices!E:E,Invoices!A:A,A:A))</f>
        <v>44813</v>
      </c>
      <c r="S150" s="115">
        <v>1235.998363127372</v>
      </c>
      <c r="T150" s="103" t="b">
        <v>0</v>
      </c>
      <c r="U150" s="103"/>
      <c r="V150" s="103"/>
      <c r="W150" s="103"/>
      <c r="X150" s="103"/>
      <c r="Y150" s="103"/>
      <c r="Z150" s="103"/>
    </row>
    <row r="151">
      <c r="A151" s="110" t="s">
        <v>584</v>
      </c>
      <c r="B151" s="103" t="s">
        <v>1398</v>
      </c>
      <c r="C151" s="103" t="s">
        <v>1403</v>
      </c>
      <c r="D151" s="103" t="s">
        <v>1160</v>
      </c>
      <c r="E151" s="103" t="s">
        <v>447</v>
      </c>
      <c r="F151" s="103" t="s">
        <v>252</v>
      </c>
      <c r="G151" s="106">
        <v>995.0</v>
      </c>
      <c r="H151" s="107" t="s">
        <v>9</v>
      </c>
      <c r="I151" s="103">
        <v>15.0</v>
      </c>
      <c r="J151" s="108"/>
      <c r="K151" s="109" t="s">
        <v>1118</v>
      </c>
      <c r="L151" s="110"/>
      <c r="M151" s="111"/>
      <c r="N151" s="103" t="s">
        <v>1154</v>
      </c>
      <c r="O151" s="112"/>
      <c r="P151" s="115"/>
      <c r="Q151" s="114"/>
      <c r="R151" s="108">
        <f>if(MAXIFS(Invoices!E:E,Invoices!A:A,A:A)=0,"",MAXIFS(Invoices!E:E,Invoices!A:A,A:A))</f>
        <v>45169</v>
      </c>
      <c r="S151" s="115">
        <v>4307.542223030434</v>
      </c>
      <c r="T151" s="103" t="b">
        <v>0</v>
      </c>
      <c r="U151" s="103"/>
      <c r="V151" s="103"/>
      <c r="W151" s="103"/>
      <c r="X151" s="103"/>
      <c r="Y151" s="103"/>
      <c r="Z151" s="103"/>
    </row>
    <row r="152">
      <c r="A152" s="110" t="s">
        <v>586</v>
      </c>
      <c r="B152" s="103" t="s">
        <v>1404</v>
      </c>
      <c r="C152" s="103" t="s">
        <v>1403</v>
      </c>
      <c r="D152" s="103" t="s">
        <v>1160</v>
      </c>
      <c r="E152" s="103" t="s">
        <v>447</v>
      </c>
      <c r="F152" s="103" t="s">
        <v>252</v>
      </c>
      <c r="G152" s="106">
        <v>995.0</v>
      </c>
      <c r="H152" s="107" t="s">
        <v>9</v>
      </c>
      <c r="I152" s="103">
        <v>15.0</v>
      </c>
      <c r="J152" s="108"/>
      <c r="K152" s="109" t="s">
        <v>1405</v>
      </c>
      <c r="L152" s="110"/>
      <c r="M152" s="111"/>
      <c r="N152" s="103" t="s">
        <v>1154</v>
      </c>
      <c r="O152" s="112"/>
      <c r="P152" s="115"/>
      <c r="Q152" s="114"/>
      <c r="R152" s="108"/>
      <c r="S152" s="115">
        <v>3198.035436505</v>
      </c>
      <c r="T152" s="103" t="b">
        <v>0</v>
      </c>
      <c r="U152" s="103"/>
      <c r="V152" s="103"/>
      <c r="W152" s="103"/>
      <c r="X152" s="103"/>
      <c r="Y152" s="103"/>
      <c r="Z152" s="103"/>
    </row>
    <row r="153">
      <c r="A153" s="110" t="s">
        <v>587</v>
      </c>
      <c r="B153" s="103" t="s">
        <v>1406</v>
      </c>
      <c r="C153" s="103" t="s">
        <v>1403</v>
      </c>
      <c r="D153" s="103" t="s">
        <v>1160</v>
      </c>
      <c r="E153" s="103" t="s">
        <v>447</v>
      </c>
      <c r="F153" s="103" t="s">
        <v>252</v>
      </c>
      <c r="G153" s="106">
        <v>995.0</v>
      </c>
      <c r="H153" s="107" t="s">
        <v>9</v>
      </c>
      <c r="I153" s="103">
        <v>15.0</v>
      </c>
      <c r="J153" s="108"/>
      <c r="K153" s="109" t="s">
        <v>931</v>
      </c>
      <c r="L153" s="110"/>
      <c r="M153" s="111"/>
      <c r="N153" s="103" t="s">
        <v>1154</v>
      </c>
      <c r="O153" s="112"/>
      <c r="P153" s="115"/>
      <c r="Q153" s="114"/>
      <c r="R153" s="108"/>
      <c r="S153" s="115">
        <v>4338.987074000001</v>
      </c>
      <c r="T153" s="103" t="b">
        <v>0</v>
      </c>
      <c r="U153" s="103"/>
      <c r="V153" s="103"/>
      <c r="W153" s="103"/>
      <c r="X153" s="103"/>
      <c r="Y153" s="103"/>
      <c r="Z153" s="103"/>
    </row>
    <row r="154">
      <c r="A154" s="110" t="s">
        <v>588</v>
      </c>
      <c r="B154" s="103" t="s">
        <v>1398</v>
      </c>
      <c r="C154" s="103" t="s">
        <v>1407</v>
      </c>
      <c r="D154" s="103" t="s">
        <v>1160</v>
      </c>
      <c r="E154" s="103" t="s">
        <v>447</v>
      </c>
      <c r="F154" s="103" t="s">
        <v>252</v>
      </c>
      <c r="G154" s="106">
        <v>233.34</v>
      </c>
      <c r="H154" s="107" t="s">
        <v>9</v>
      </c>
      <c r="I154" s="103">
        <v>15.0</v>
      </c>
      <c r="J154" s="108"/>
      <c r="K154" s="109" t="s">
        <v>1408</v>
      </c>
      <c r="L154" s="110"/>
      <c r="M154" s="111"/>
      <c r="N154" s="103" t="s">
        <v>1157</v>
      </c>
      <c r="O154" s="112"/>
      <c r="P154" s="115"/>
      <c r="Q154" s="114"/>
      <c r="R154" s="108">
        <f>if(MAXIFS(Invoices!E:E,Invoices!A:A,A:A)=0,"",MAXIFS(Invoices!E:E,Invoices!A:A,A:A))</f>
        <v>44813</v>
      </c>
      <c r="S154" s="115">
        <v>307.76292317474855</v>
      </c>
      <c r="T154" s="103" t="b">
        <v>0</v>
      </c>
      <c r="U154" s="103"/>
      <c r="V154" s="103"/>
      <c r="W154" s="103"/>
      <c r="X154" s="103"/>
      <c r="Y154" s="103"/>
      <c r="Z154" s="103"/>
    </row>
    <row r="155">
      <c r="A155" s="110" t="s">
        <v>590</v>
      </c>
      <c r="B155" s="103" t="s">
        <v>1404</v>
      </c>
      <c r="C155" s="103" t="s">
        <v>1407</v>
      </c>
      <c r="D155" s="103" t="s">
        <v>1160</v>
      </c>
      <c r="E155" s="103" t="s">
        <v>447</v>
      </c>
      <c r="F155" s="103" t="s">
        <v>252</v>
      </c>
      <c r="G155" s="106">
        <v>233.33</v>
      </c>
      <c r="H155" s="107" t="s">
        <v>9</v>
      </c>
      <c r="I155" s="103">
        <v>15.0</v>
      </c>
      <c r="J155" s="108"/>
      <c r="K155" s="109" t="s">
        <v>1408</v>
      </c>
      <c r="L155" s="110"/>
      <c r="M155" s="111"/>
      <c r="N155" s="103" t="s">
        <v>1157</v>
      </c>
      <c r="O155" s="112"/>
      <c r="P155" s="115"/>
      <c r="Q155" s="114"/>
      <c r="R155" s="108"/>
      <c r="S155" s="115">
        <v>309.32558100000006</v>
      </c>
      <c r="T155" s="103" t="b">
        <v>0</v>
      </c>
      <c r="U155" s="103"/>
      <c r="V155" s="103"/>
      <c r="W155" s="103"/>
      <c r="X155" s="103"/>
      <c r="Y155" s="103"/>
      <c r="Z155" s="103"/>
    </row>
    <row r="156">
      <c r="A156" s="110" t="s">
        <v>591</v>
      </c>
      <c r="B156" s="103" t="s">
        <v>1406</v>
      </c>
      <c r="C156" s="103" t="s">
        <v>1407</v>
      </c>
      <c r="D156" s="103" t="s">
        <v>1160</v>
      </c>
      <c r="E156" s="103" t="s">
        <v>447</v>
      </c>
      <c r="F156" s="103" t="s">
        <v>252</v>
      </c>
      <c r="G156" s="106">
        <v>233.33</v>
      </c>
      <c r="H156" s="107" t="s">
        <v>9</v>
      </c>
      <c r="I156" s="103">
        <v>15.0</v>
      </c>
      <c r="J156" s="108"/>
      <c r="K156" s="109" t="s">
        <v>1408</v>
      </c>
      <c r="L156" s="110"/>
      <c r="M156" s="111"/>
      <c r="N156" s="103" t="s">
        <v>1157</v>
      </c>
      <c r="O156" s="112"/>
      <c r="P156" s="115"/>
      <c r="Q156" s="114"/>
      <c r="R156" s="108"/>
      <c r="S156" s="115">
        <v>312.40553700000004</v>
      </c>
      <c r="T156" s="103" t="b">
        <v>0</v>
      </c>
      <c r="U156" s="103"/>
      <c r="V156" s="103"/>
      <c r="W156" s="103"/>
      <c r="X156" s="103"/>
      <c r="Y156" s="103"/>
      <c r="Z156" s="103"/>
    </row>
    <row r="157">
      <c r="A157" s="110" t="s">
        <v>576</v>
      </c>
      <c r="B157" s="103" t="s">
        <v>1404</v>
      </c>
      <c r="C157" s="103" t="s">
        <v>1409</v>
      </c>
      <c r="D157" s="103" t="s">
        <v>1160</v>
      </c>
      <c r="E157" s="103" t="s">
        <v>447</v>
      </c>
      <c r="F157" s="103" t="s">
        <v>252</v>
      </c>
      <c r="G157" s="106">
        <v>1066.0</v>
      </c>
      <c r="H157" s="107" t="s">
        <v>9</v>
      </c>
      <c r="I157" s="103">
        <v>15.0</v>
      </c>
      <c r="J157" s="108"/>
      <c r="K157" s="128" t="s">
        <v>1410</v>
      </c>
      <c r="L157" s="110"/>
      <c r="M157" s="111"/>
      <c r="N157" s="103" t="s">
        <v>1154</v>
      </c>
      <c r="O157" s="112"/>
      <c r="P157" s="115"/>
      <c r="Q157" s="114"/>
      <c r="R157" s="108">
        <f>if(MAXIFS(Invoices!E:E,Invoices!A:A,A:A)=0,"",MAXIFS(Invoices!E:E,Invoices!A:A,A:A))</f>
        <v>44813</v>
      </c>
      <c r="S157" s="115">
        <v>1784.711968</v>
      </c>
      <c r="T157" s="103" t="b">
        <v>0</v>
      </c>
      <c r="U157" s="103"/>
      <c r="V157" s="103"/>
      <c r="W157" s="103"/>
      <c r="X157" s="103"/>
      <c r="Y157" s="103"/>
      <c r="Z157" s="103"/>
    </row>
    <row r="158">
      <c r="A158" s="110" t="s">
        <v>580</v>
      </c>
      <c r="B158" s="103" t="s">
        <v>1406</v>
      </c>
      <c r="C158" s="103" t="s">
        <v>1411</v>
      </c>
      <c r="D158" s="103" t="s">
        <v>1160</v>
      </c>
      <c r="E158" s="103" t="s">
        <v>447</v>
      </c>
      <c r="F158" s="103" t="s">
        <v>252</v>
      </c>
      <c r="G158" s="106">
        <v>1066.0</v>
      </c>
      <c r="H158" s="107" t="s">
        <v>9</v>
      </c>
      <c r="I158" s="103">
        <v>15.0</v>
      </c>
      <c r="J158" s="108"/>
      <c r="K158" s="128" t="s">
        <v>1412</v>
      </c>
      <c r="L158" s="110"/>
      <c r="M158" s="111"/>
      <c r="N158" s="103" t="s">
        <v>1154</v>
      </c>
      <c r="O158" s="112"/>
      <c r="P158" s="115"/>
      <c r="Q158" s="114"/>
      <c r="R158" s="108">
        <f>if(MAXIFS(Invoices!E:E,Invoices!A:A,A:A)=0,"",MAXIFS(Invoices!E:E,Invoices!A:A,A:A))</f>
        <v>44813</v>
      </c>
      <c r="S158" s="115">
        <v>1772.865628</v>
      </c>
      <c r="T158" s="103" t="b">
        <v>0</v>
      </c>
      <c r="U158" s="103"/>
      <c r="V158" s="103"/>
      <c r="W158" s="103"/>
      <c r="X158" s="103"/>
      <c r="Y158" s="103"/>
      <c r="Z158" s="103"/>
    </row>
    <row r="159">
      <c r="A159" s="110" t="s">
        <v>594</v>
      </c>
      <c r="B159" s="103" t="s">
        <v>1404</v>
      </c>
      <c r="C159" s="103" t="s">
        <v>1413</v>
      </c>
      <c r="D159" s="103"/>
      <c r="E159" s="103" t="s">
        <v>447</v>
      </c>
      <c r="F159" s="103" t="s">
        <v>459</v>
      </c>
      <c r="G159" s="106">
        <f t="shared" ref="G159:G161" si="1">(40+40+13.33)*4</f>
        <v>373.32</v>
      </c>
      <c r="H159" s="107" t="s">
        <v>9</v>
      </c>
      <c r="I159" s="103">
        <v>15.0</v>
      </c>
      <c r="J159" s="108"/>
      <c r="K159" s="109" t="s">
        <v>593</v>
      </c>
      <c r="L159" s="110"/>
      <c r="M159" s="111"/>
      <c r="N159" s="103" t="s">
        <v>1157</v>
      </c>
      <c r="O159" s="112"/>
      <c r="P159" s="115"/>
      <c r="Q159" s="114"/>
      <c r="R159" s="108"/>
      <c r="S159" s="115">
        <v>494.910324</v>
      </c>
      <c r="T159" s="103" t="b">
        <v>0</v>
      </c>
      <c r="U159" s="103"/>
      <c r="V159" s="103"/>
      <c r="W159" s="103"/>
      <c r="X159" s="103"/>
      <c r="Y159" s="103"/>
      <c r="Z159" s="103"/>
    </row>
    <row r="160">
      <c r="A160" s="110" t="s">
        <v>592</v>
      </c>
      <c r="B160" s="103" t="s">
        <v>1398</v>
      </c>
      <c r="C160" s="103" t="s">
        <v>1413</v>
      </c>
      <c r="D160" s="103"/>
      <c r="E160" s="103" t="s">
        <v>447</v>
      </c>
      <c r="F160" s="103" t="s">
        <v>459</v>
      </c>
      <c r="G160" s="106">
        <f t="shared" si="1"/>
        <v>373.32</v>
      </c>
      <c r="H160" s="107" t="s">
        <v>9</v>
      </c>
      <c r="I160" s="103">
        <v>15.0</v>
      </c>
      <c r="J160" s="108"/>
      <c r="K160" s="109" t="s">
        <v>593</v>
      </c>
      <c r="L160" s="110"/>
      <c r="M160" s="111"/>
      <c r="N160" s="103" t="s">
        <v>1157</v>
      </c>
      <c r="O160" s="112"/>
      <c r="P160" s="115"/>
      <c r="Q160" s="114"/>
      <c r="R160" s="108"/>
      <c r="S160" s="115">
        <v>492.38902236906284</v>
      </c>
      <c r="T160" s="103" t="b">
        <v>0</v>
      </c>
      <c r="U160" s="103"/>
      <c r="V160" s="103"/>
      <c r="W160" s="103"/>
      <c r="X160" s="103"/>
      <c r="Y160" s="103"/>
      <c r="Z160" s="103"/>
    </row>
    <row r="161">
      <c r="A161" s="110" t="s">
        <v>595</v>
      </c>
      <c r="B161" s="103" t="s">
        <v>1406</v>
      </c>
      <c r="C161" s="103" t="s">
        <v>1413</v>
      </c>
      <c r="D161" s="103"/>
      <c r="E161" s="103" t="s">
        <v>447</v>
      </c>
      <c r="F161" s="103" t="s">
        <v>459</v>
      </c>
      <c r="G161" s="106">
        <f t="shared" si="1"/>
        <v>373.32</v>
      </c>
      <c r="H161" s="107" t="s">
        <v>9</v>
      </c>
      <c r="I161" s="103">
        <v>15.0</v>
      </c>
      <c r="J161" s="108"/>
      <c r="K161" s="109" t="s">
        <v>593</v>
      </c>
      <c r="L161" s="110"/>
      <c r="M161" s="111"/>
      <c r="N161" s="103" t="s">
        <v>1157</v>
      </c>
      <c r="O161" s="112"/>
      <c r="P161" s="115"/>
      <c r="Q161" s="114"/>
      <c r="R161" s="108"/>
      <c r="S161" s="115">
        <v>499.838148</v>
      </c>
      <c r="T161" s="103" t="b">
        <v>0</v>
      </c>
      <c r="U161" s="103"/>
      <c r="V161" s="103"/>
      <c r="W161" s="103"/>
      <c r="X161" s="103"/>
      <c r="Y161" s="103"/>
      <c r="Z161" s="103"/>
    </row>
    <row r="162">
      <c r="A162" s="110" t="s">
        <v>596</v>
      </c>
      <c r="B162" s="103" t="s">
        <v>1404</v>
      </c>
      <c r="C162" s="103" t="s">
        <v>1414</v>
      </c>
      <c r="D162" s="103"/>
      <c r="E162" s="103" t="s">
        <v>447</v>
      </c>
      <c r="F162" s="103" t="s">
        <v>459</v>
      </c>
      <c r="G162" s="106">
        <f t="shared" ref="G162:G164" si="2">(40+40+13.33)*12</f>
        <v>1119.96</v>
      </c>
      <c r="H162" s="107" t="s">
        <v>9</v>
      </c>
      <c r="I162" s="103">
        <v>15.0</v>
      </c>
      <c r="J162" s="108"/>
      <c r="K162" s="109" t="s">
        <v>1415</v>
      </c>
      <c r="L162" s="110"/>
      <c r="M162" s="111"/>
      <c r="N162" s="103" t="s">
        <v>1154</v>
      </c>
      <c r="O162" s="112"/>
      <c r="P162" s="115"/>
      <c r="Q162" s="114"/>
      <c r="R162" s="108"/>
      <c r="S162" s="115">
        <v>850.890816</v>
      </c>
      <c r="T162" s="103" t="b">
        <v>0</v>
      </c>
      <c r="U162" s="103"/>
      <c r="V162" s="103"/>
      <c r="W162" s="103"/>
      <c r="X162" s="103"/>
      <c r="Y162" s="103"/>
      <c r="Z162" s="103"/>
    </row>
    <row r="163">
      <c r="A163" s="110" t="s">
        <v>599</v>
      </c>
      <c r="B163" s="103" t="s">
        <v>1398</v>
      </c>
      <c r="C163" s="103" t="s">
        <v>1416</v>
      </c>
      <c r="D163" s="103"/>
      <c r="E163" s="103" t="s">
        <v>447</v>
      </c>
      <c r="F163" s="103" t="s">
        <v>459</v>
      </c>
      <c r="G163" s="106">
        <f t="shared" si="2"/>
        <v>1119.96</v>
      </c>
      <c r="H163" s="107" t="s">
        <v>9</v>
      </c>
      <c r="I163" s="103">
        <v>15.0</v>
      </c>
      <c r="J163" s="108"/>
      <c r="K163" s="109" t="s">
        <v>1415</v>
      </c>
      <c r="L163" s="110"/>
      <c r="M163" s="111"/>
      <c r="N163" s="103" t="s">
        <v>1154</v>
      </c>
      <c r="O163" s="112"/>
      <c r="P163" s="115"/>
      <c r="Q163" s="114"/>
      <c r="R163" s="108"/>
      <c r="S163" s="115">
        <v>1466.63465832</v>
      </c>
      <c r="T163" s="103" t="b">
        <v>0</v>
      </c>
      <c r="U163" s="103"/>
      <c r="V163" s="103"/>
      <c r="W163" s="103"/>
      <c r="X163" s="103"/>
      <c r="Y163" s="103"/>
      <c r="Z163" s="103"/>
    </row>
    <row r="164">
      <c r="A164" s="110" t="s">
        <v>602</v>
      </c>
      <c r="B164" s="103" t="s">
        <v>1406</v>
      </c>
      <c r="C164" s="103" t="s">
        <v>1416</v>
      </c>
      <c r="D164" s="103"/>
      <c r="E164" s="103" t="s">
        <v>447</v>
      </c>
      <c r="F164" s="103" t="s">
        <v>459</v>
      </c>
      <c r="G164" s="106">
        <f t="shared" si="2"/>
        <v>1119.96</v>
      </c>
      <c r="H164" s="107" t="s">
        <v>9</v>
      </c>
      <c r="I164" s="103">
        <v>15.0</v>
      </c>
      <c r="J164" s="108"/>
      <c r="K164" s="109" t="s">
        <v>1415</v>
      </c>
      <c r="L164" s="110"/>
      <c r="M164" s="111"/>
      <c r="N164" s="103" t="s">
        <v>1154</v>
      </c>
      <c r="O164" s="112"/>
      <c r="P164" s="115"/>
      <c r="Q164" s="114"/>
      <c r="R164" s="108"/>
      <c r="S164" s="115">
        <v>1463.675724</v>
      </c>
      <c r="T164" s="103" t="b">
        <v>0</v>
      </c>
      <c r="U164" s="103"/>
      <c r="V164" s="103"/>
      <c r="W164" s="103"/>
      <c r="X164" s="103"/>
      <c r="Y164" s="103"/>
      <c r="Z164" s="103"/>
    </row>
    <row r="165">
      <c r="A165" s="110" t="s">
        <v>630</v>
      </c>
      <c r="B165" s="103" t="s">
        <v>1345</v>
      </c>
      <c r="C165" s="103" t="s">
        <v>469</v>
      </c>
      <c r="D165" s="103" t="s">
        <v>52</v>
      </c>
      <c r="E165" s="103" t="s">
        <v>27</v>
      </c>
      <c r="F165" s="103" t="s">
        <v>252</v>
      </c>
      <c r="G165" s="106">
        <v>280.0</v>
      </c>
      <c r="H165" s="107" t="s">
        <v>21</v>
      </c>
      <c r="I165" s="103">
        <v>0.0</v>
      </c>
      <c r="J165" s="108"/>
      <c r="K165" s="109" t="s">
        <v>701</v>
      </c>
      <c r="L165" s="110"/>
      <c r="M165" s="111"/>
      <c r="N165" s="103" t="s">
        <v>1157</v>
      </c>
      <c r="O165" s="112"/>
      <c r="P165" s="115"/>
      <c r="Q165" s="114"/>
      <c r="R165" s="108">
        <f>if(MAXIFS(Invoices!E:E,Invoices!A:A,A:A)=0,"",MAXIFS(Invoices!E:E,Invoices!A:A,A:A))</f>
        <v>44939</v>
      </c>
      <c r="S165" s="115">
        <v>1400.0</v>
      </c>
      <c r="T165" s="103" t="b">
        <v>0</v>
      </c>
      <c r="U165" s="103"/>
      <c r="V165" s="103"/>
      <c r="W165" s="103"/>
      <c r="X165" s="103"/>
      <c r="Y165" s="103"/>
      <c r="Z165" s="103"/>
    </row>
    <row r="166">
      <c r="A166" s="110" t="s">
        <v>606</v>
      </c>
      <c r="B166" s="103" t="s">
        <v>1256</v>
      </c>
      <c r="C166" s="103" t="s">
        <v>1190</v>
      </c>
      <c r="D166" s="103" t="s">
        <v>1160</v>
      </c>
      <c r="E166" s="103" t="s">
        <v>447</v>
      </c>
      <c r="F166" s="103" t="s">
        <v>252</v>
      </c>
      <c r="G166" s="106">
        <v>599.0</v>
      </c>
      <c r="H166" s="107" t="s">
        <v>21</v>
      </c>
      <c r="I166" s="103">
        <v>30.0</v>
      </c>
      <c r="J166" s="108">
        <v>44811.0</v>
      </c>
      <c r="K166" s="65" t="s">
        <v>434</v>
      </c>
      <c r="L166" s="110"/>
      <c r="M166" s="111"/>
      <c r="N166" s="103" t="s">
        <v>1154</v>
      </c>
      <c r="O166" s="112"/>
      <c r="P166" s="115"/>
      <c r="Q166" s="114"/>
      <c r="R166" s="108">
        <f>if(MAXIFS(Invoices!E:E,Invoices!A:A,A:A)=0,"",MAXIFS(Invoices!E:E,Invoices!A:A,A:A))</f>
        <v>44813</v>
      </c>
      <c r="S166" s="115">
        <v>599.0</v>
      </c>
      <c r="T166" s="103" t="b">
        <v>0</v>
      </c>
      <c r="U166" s="103"/>
      <c r="V166" s="103"/>
      <c r="W166" s="103"/>
      <c r="X166" s="103"/>
      <c r="Y166" s="103"/>
      <c r="Z166" s="103"/>
    </row>
    <row r="167">
      <c r="A167" s="110" t="s">
        <v>608</v>
      </c>
      <c r="B167" s="103" t="s">
        <v>1417</v>
      </c>
      <c r="C167" s="103" t="s">
        <v>1418</v>
      </c>
      <c r="D167" s="103" t="s">
        <v>1160</v>
      </c>
      <c r="E167" s="103" t="s">
        <v>447</v>
      </c>
      <c r="F167" s="103" t="s">
        <v>252</v>
      </c>
      <c r="G167" s="115"/>
      <c r="H167" s="107" t="s">
        <v>9</v>
      </c>
      <c r="I167" s="103"/>
      <c r="J167" s="108"/>
      <c r="K167" s="109" t="s">
        <v>1419</v>
      </c>
      <c r="L167" s="110"/>
      <c r="M167" s="111"/>
      <c r="N167" s="103" t="s">
        <v>1154</v>
      </c>
      <c r="O167" s="112"/>
      <c r="P167" s="115"/>
      <c r="Q167" s="114"/>
      <c r="R167" s="108">
        <f>if(MAXIFS(Invoices!E:E,Invoices!A:A,A:A)=0,"",MAXIFS(Invoices!E:E,Invoices!A:A,A:A))</f>
        <v>44819</v>
      </c>
      <c r="S167" s="115">
        <v>1135.74875</v>
      </c>
      <c r="T167" s="103" t="b">
        <v>0</v>
      </c>
      <c r="U167" s="103"/>
      <c r="V167" s="103"/>
      <c r="W167" s="103"/>
      <c r="X167" s="103"/>
      <c r="Y167" s="103"/>
      <c r="Z167" s="103"/>
    </row>
    <row r="168">
      <c r="A168" s="110" t="s">
        <v>611</v>
      </c>
      <c r="B168" s="103" t="s">
        <v>1377</v>
      </c>
      <c r="C168" s="103" t="s">
        <v>1420</v>
      </c>
      <c r="D168" s="103" t="s">
        <v>1160</v>
      </c>
      <c r="E168" s="103" t="s">
        <v>447</v>
      </c>
      <c r="F168" s="103" t="s">
        <v>52</v>
      </c>
      <c r="G168" s="106">
        <v>1500.0</v>
      </c>
      <c r="H168" s="107" t="s">
        <v>9</v>
      </c>
      <c r="I168" s="103">
        <v>30.0</v>
      </c>
      <c r="J168" s="103"/>
      <c r="K168" s="109" t="s">
        <v>615</v>
      </c>
      <c r="L168" s="110"/>
      <c r="M168" s="111"/>
      <c r="N168" s="103" t="s">
        <v>1157</v>
      </c>
      <c r="O168" s="112"/>
      <c r="P168" s="115"/>
      <c r="Q168" s="114"/>
      <c r="R168" s="108">
        <f>if(MAXIFS(Invoices!E:E,Invoices!A:A,A:A)=0,"",MAXIFS(Invoices!E:E,Invoices!A:A,A:A))</f>
        <v>44880</v>
      </c>
      <c r="S168" s="115">
        <v>8713.602901999999</v>
      </c>
      <c r="T168" s="103" t="b">
        <v>0</v>
      </c>
      <c r="U168" s="103"/>
      <c r="V168" s="103"/>
      <c r="W168" s="103"/>
      <c r="X168" s="103"/>
      <c r="Y168" s="103"/>
      <c r="Z168" s="103"/>
    </row>
    <row r="169">
      <c r="A169" s="110" t="s">
        <v>618</v>
      </c>
      <c r="B169" s="103" t="s">
        <v>1377</v>
      </c>
      <c r="C169" s="103" t="s">
        <v>1421</v>
      </c>
      <c r="D169" s="103" t="s">
        <v>1160</v>
      </c>
      <c r="E169" s="103" t="s">
        <v>447</v>
      </c>
      <c r="F169" s="103" t="s">
        <v>252</v>
      </c>
      <c r="G169" s="106">
        <v>850.0</v>
      </c>
      <c r="H169" s="107" t="s">
        <v>9</v>
      </c>
      <c r="I169" s="103">
        <v>30.0</v>
      </c>
      <c r="J169" s="108"/>
      <c r="K169" s="109" t="s">
        <v>620</v>
      </c>
      <c r="L169" s="110"/>
      <c r="M169" s="111"/>
      <c r="N169" s="103" t="s">
        <v>1157</v>
      </c>
      <c r="O169" s="112"/>
      <c r="P169" s="115"/>
      <c r="Q169" s="114"/>
      <c r="R169" s="108" t="str">
        <f>if(MAXIFS(Invoices!E:E,Invoices!A:A,A:A)=0,"",MAXIFS(Invoices!E:E,Invoices!A:A,A:A))</f>
        <v/>
      </c>
      <c r="S169" s="115">
        <v>850.0</v>
      </c>
      <c r="T169" s="103" t="b">
        <v>0</v>
      </c>
      <c r="U169" s="103"/>
      <c r="V169" s="103"/>
      <c r="W169" s="103"/>
      <c r="X169" s="103"/>
      <c r="Y169" s="103"/>
      <c r="Z169" s="103"/>
    </row>
    <row r="170">
      <c r="A170" s="110" t="s">
        <v>621</v>
      </c>
      <c r="B170" s="103" t="s">
        <v>1404</v>
      </c>
      <c r="C170" s="103" t="s">
        <v>1422</v>
      </c>
      <c r="D170" s="103" t="s">
        <v>1160</v>
      </c>
      <c r="E170" s="103" t="s">
        <v>447</v>
      </c>
      <c r="F170" s="103" t="s">
        <v>252</v>
      </c>
      <c r="G170" s="115"/>
      <c r="H170" s="107" t="s">
        <v>9</v>
      </c>
      <c r="I170" s="103">
        <v>15.0</v>
      </c>
      <c r="J170" s="108"/>
      <c r="K170" s="109" t="s">
        <v>1423</v>
      </c>
      <c r="L170" s="110"/>
      <c r="M170" s="111"/>
      <c r="N170" s="103" t="s">
        <v>1157</v>
      </c>
      <c r="O170" s="112"/>
      <c r="P170" s="115"/>
      <c r="Q170" s="114"/>
      <c r="R170" s="108">
        <f>if(MAXIFS(Invoices!E:E,Invoices!A:A,A:A)=0,"",MAXIFS(Invoices!E:E,Invoices!A:A,A:A))</f>
        <v>44819</v>
      </c>
      <c r="S170" s="115">
        <v>675.2</v>
      </c>
      <c r="T170" s="103" t="b">
        <v>0</v>
      </c>
      <c r="U170" s="103"/>
      <c r="V170" s="103"/>
      <c r="W170" s="103"/>
      <c r="X170" s="103"/>
      <c r="Y170" s="103"/>
      <c r="Z170" s="103"/>
    </row>
    <row r="171">
      <c r="A171" s="110" t="s">
        <v>632</v>
      </c>
      <c r="B171" s="103" t="s">
        <v>1383</v>
      </c>
      <c r="C171" s="103" t="s">
        <v>36</v>
      </c>
      <c r="D171" s="103" t="s">
        <v>1160</v>
      </c>
      <c r="E171" s="103" t="s">
        <v>447</v>
      </c>
      <c r="F171" s="103" t="s">
        <v>252</v>
      </c>
      <c r="G171" s="106">
        <v>9200.0</v>
      </c>
      <c r="H171" s="107" t="s">
        <v>9</v>
      </c>
      <c r="I171" s="103">
        <v>15.0</v>
      </c>
      <c r="J171" s="108"/>
      <c r="K171" s="109" t="s">
        <v>1424</v>
      </c>
      <c r="L171" s="103" t="s">
        <v>1193</v>
      </c>
      <c r="M171" s="120">
        <v>0.2</v>
      </c>
      <c r="N171" s="103" t="s">
        <v>1157</v>
      </c>
      <c r="O171" s="112"/>
      <c r="P171" s="115"/>
      <c r="Q171" s="114"/>
      <c r="R171" s="108">
        <f>if(MAXIFS(Invoices!E:E,Invoices!A:A,A:A)=0,"",MAXIFS(Invoices!E:E,Invoices!A:A,A:A))</f>
        <v>44888</v>
      </c>
      <c r="S171" s="115">
        <v>11941.2044</v>
      </c>
      <c r="T171" s="103" t="b">
        <v>0</v>
      </c>
      <c r="U171" s="103"/>
      <c r="V171" s="103"/>
      <c r="W171" s="103"/>
      <c r="X171" s="103"/>
      <c r="Y171" s="103"/>
      <c r="Z171" s="103"/>
    </row>
    <row r="172">
      <c r="A172" s="110" t="s">
        <v>645</v>
      </c>
      <c r="B172" s="103" t="s">
        <v>1283</v>
      </c>
      <c r="C172" s="103" t="s">
        <v>36</v>
      </c>
      <c r="D172" s="103" t="s">
        <v>1160</v>
      </c>
      <c r="E172" s="103" t="s">
        <v>447</v>
      </c>
      <c r="F172" s="103" t="s">
        <v>252</v>
      </c>
      <c r="G172" s="106">
        <v>3700.0</v>
      </c>
      <c r="H172" s="107" t="s">
        <v>21</v>
      </c>
      <c r="I172" s="103">
        <v>30.0</v>
      </c>
      <c r="J172" s="108"/>
      <c r="K172" s="109" t="s">
        <v>1425</v>
      </c>
      <c r="L172" s="110"/>
      <c r="M172" s="111"/>
      <c r="N172" s="103" t="s">
        <v>1157</v>
      </c>
      <c r="O172" s="112"/>
      <c r="P172" s="115"/>
      <c r="Q172" s="114"/>
      <c r="R172" s="108">
        <f>if(MAXIFS(Invoices!E:E,Invoices!A:A,A:A)=0,"",MAXIFS(Invoices!E:E,Invoices!A:A,A:A))</f>
        <v>44880</v>
      </c>
      <c r="S172" s="115">
        <v>3700.0</v>
      </c>
      <c r="T172" s="103" t="b">
        <v>0</v>
      </c>
      <c r="U172" s="103"/>
      <c r="V172" s="103"/>
      <c r="W172" s="103"/>
      <c r="X172" s="103"/>
      <c r="Y172" s="103"/>
      <c r="Z172" s="103"/>
    </row>
    <row r="173">
      <c r="A173" s="110" t="s">
        <v>653</v>
      </c>
      <c r="B173" s="103" t="s">
        <v>1426</v>
      </c>
      <c r="C173" s="103" t="s">
        <v>1427</v>
      </c>
      <c r="D173" s="103" t="s">
        <v>1160</v>
      </c>
      <c r="E173" s="103" t="s">
        <v>447</v>
      </c>
      <c r="F173" s="103" t="s">
        <v>654</v>
      </c>
      <c r="G173" s="106">
        <v>3700.0</v>
      </c>
      <c r="H173" s="107" t="s">
        <v>21</v>
      </c>
      <c r="I173" s="103">
        <v>15.0</v>
      </c>
      <c r="J173" s="108"/>
      <c r="K173" s="109" t="s">
        <v>1428</v>
      </c>
      <c r="L173" s="110"/>
      <c r="M173" s="111"/>
      <c r="N173" s="103" t="s">
        <v>1157</v>
      </c>
      <c r="O173" s="112"/>
      <c r="P173" s="115"/>
      <c r="Q173" s="114"/>
      <c r="R173" s="108">
        <f>if(MAXIFS(Invoices!E:E,Invoices!A:A,A:A)=0,"",MAXIFS(Invoices!E:E,Invoices!A:A,A:A))</f>
        <v>44910</v>
      </c>
      <c r="S173" s="115">
        <v>3700.0</v>
      </c>
      <c r="T173" s="103" t="b">
        <v>0</v>
      </c>
      <c r="U173" s="103"/>
      <c r="V173" s="103"/>
      <c r="W173" s="103"/>
      <c r="X173" s="103"/>
      <c r="Y173" s="103"/>
      <c r="Z173" s="103"/>
    </row>
    <row r="174">
      <c r="A174" s="110" t="s">
        <v>659</v>
      </c>
      <c r="B174" s="103" t="s">
        <v>1429</v>
      </c>
      <c r="C174" s="103" t="s">
        <v>1430</v>
      </c>
      <c r="D174" s="103" t="s">
        <v>1160</v>
      </c>
      <c r="E174" s="103" t="s">
        <v>447</v>
      </c>
      <c r="F174" s="103" t="s">
        <v>459</v>
      </c>
      <c r="G174" s="106">
        <v>1015.0</v>
      </c>
      <c r="H174" s="107" t="s">
        <v>21</v>
      </c>
      <c r="I174" s="103">
        <v>15.0</v>
      </c>
      <c r="J174" s="108"/>
      <c r="K174" s="109" t="s">
        <v>1431</v>
      </c>
      <c r="L174" s="110"/>
      <c r="M174" s="111"/>
      <c r="N174" s="103" t="s">
        <v>1157</v>
      </c>
      <c r="O174" s="112"/>
      <c r="P174" s="115"/>
      <c r="Q174" s="114"/>
      <c r="R174" s="108">
        <f>if(MAXIFS(Invoices!E:E,Invoices!A:A,A:A)=0,"",MAXIFS(Invoices!E:E,Invoices!A:A,A:A))</f>
        <v>44895</v>
      </c>
      <c r="S174" s="115">
        <v>1275.0</v>
      </c>
      <c r="T174" s="103" t="b">
        <v>0</v>
      </c>
      <c r="U174" s="103"/>
      <c r="V174" s="103"/>
      <c r="W174" s="103"/>
      <c r="X174" s="103"/>
      <c r="Y174" s="103"/>
      <c r="Z174" s="103"/>
    </row>
    <row r="175">
      <c r="A175" s="110" t="s">
        <v>762</v>
      </c>
      <c r="B175" s="103" t="s">
        <v>1429</v>
      </c>
      <c r="C175" s="103" t="s">
        <v>1432</v>
      </c>
      <c r="D175" s="103" t="s">
        <v>52</v>
      </c>
      <c r="E175" s="103" t="s">
        <v>27</v>
      </c>
      <c r="F175" s="103" t="s">
        <v>52</v>
      </c>
      <c r="G175" s="106">
        <v>865.0</v>
      </c>
      <c r="H175" s="107" t="s">
        <v>21</v>
      </c>
      <c r="I175" s="103">
        <v>15.0</v>
      </c>
      <c r="J175" s="108">
        <v>44896.0</v>
      </c>
      <c r="K175" s="109" t="s">
        <v>763</v>
      </c>
      <c r="L175" s="110"/>
      <c r="M175" s="111"/>
      <c r="N175" s="103" t="s">
        <v>1154</v>
      </c>
      <c r="O175" s="112"/>
      <c r="P175" s="115"/>
      <c r="Q175" s="114"/>
      <c r="R175" s="108">
        <f>if(MAXIFS(Invoices!E:E,Invoices!A:A,A:A)=0,"",MAXIFS(Invoices!E:E,Invoices!A:A,A:A))</f>
        <v>45153</v>
      </c>
      <c r="S175" s="115">
        <v>5595.0</v>
      </c>
      <c r="T175" s="103" t="b">
        <v>0</v>
      </c>
      <c r="U175" s="103"/>
      <c r="V175" s="103"/>
      <c r="W175" s="103"/>
      <c r="X175" s="103"/>
      <c r="Y175" s="103"/>
      <c r="Z175" s="103"/>
    </row>
    <row r="176">
      <c r="A176" s="110" t="s">
        <v>662</v>
      </c>
      <c r="B176" s="103" t="s">
        <v>1433</v>
      </c>
      <c r="C176" s="103" t="s">
        <v>1434</v>
      </c>
      <c r="D176" s="103" t="s">
        <v>52</v>
      </c>
      <c r="E176" s="103" t="s">
        <v>27</v>
      </c>
      <c r="F176" s="103" t="s">
        <v>52</v>
      </c>
      <c r="G176" s="106">
        <v>2500.0</v>
      </c>
      <c r="H176" s="107" t="s">
        <v>21</v>
      </c>
      <c r="I176" s="103">
        <v>15.0</v>
      </c>
      <c r="J176" s="108">
        <v>44896.0</v>
      </c>
      <c r="K176" s="109" t="s">
        <v>764</v>
      </c>
      <c r="L176" s="110"/>
      <c r="M176" s="111"/>
      <c r="N176" s="103" t="s">
        <v>1154</v>
      </c>
      <c r="O176" s="112"/>
      <c r="P176" s="115"/>
      <c r="Q176" s="114"/>
      <c r="R176" s="108">
        <f>if(MAXIFS(Invoices!E:E,Invoices!A:A,A:A)=0,"",MAXIFS(Invoices!E:E,Invoices!A:A,A:A))</f>
        <v>45153</v>
      </c>
      <c r="S176" s="115">
        <v>25000.0</v>
      </c>
      <c r="T176" s="103" t="b">
        <v>0</v>
      </c>
      <c r="U176" s="103"/>
      <c r="V176" s="103"/>
      <c r="W176" s="103"/>
      <c r="X176" s="103"/>
      <c r="Y176" s="103"/>
      <c r="Z176" s="103"/>
    </row>
    <row r="177">
      <c r="A177" s="110" t="s">
        <v>806</v>
      </c>
      <c r="B177" s="103" t="s">
        <v>1305</v>
      </c>
      <c r="C177" s="103" t="s">
        <v>1435</v>
      </c>
      <c r="D177" s="103" t="s">
        <v>1436</v>
      </c>
      <c r="E177" s="103" t="s">
        <v>51</v>
      </c>
      <c r="F177" s="103" t="s">
        <v>52</v>
      </c>
      <c r="G177" s="106">
        <v>400.0</v>
      </c>
      <c r="H177" s="107" t="s">
        <v>21</v>
      </c>
      <c r="I177" s="103">
        <v>15.0</v>
      </c>
      <c r="J177" s="103" t="s">
        <v>1437</v>
      </c>
      <c r="K177" s="109" t="s">
        <v>807</v>
      </c>
      <c r="L177" s="110"/>
      <c r="M177" s="111"/>
      <c r="N177" s="103" t="s">
        <v>1157</v>
      </c>
      <c r="O177" s="109" t="s">
        <v>1438</v>
      </c>
      <c r="P177" s="115"/>
      <c r="Q177" s="114"/>
      <c r="R177" s="108">
        <f>if(MAXIFS(Invoices!E:E,Invoices!A:A,A:A)=0,"",MAXIFS(Invoices!E:E,Invoices!A:A,A:A))</f>
        <v>45077</v>
      </c>
      <c r="S177" s="115">
        <v>1200.0</v>
      </c>
      <c r="T177" s="103" t="b">
        <v>0</v>
      </c>
      <c r="U177" s="103"/>
      <c r="V177" s="103"/>
      <c r="W177" s="103"/>
      <c r="X177" s="103"/>
      <c r="Y177" s="103"/>
      <c r="Z177" s="103"/>
    </row>
    <row r="178">
      <c r="A178" s="110" t="s">
        <v>667</v>
      </c>
      <c r="B178" s="103" t="s">
        <v>1439</v>
      </c>
      <c r="C178" s="103" t="s">
        <v>1190</v>
      </c>
      <c r="D178" s="103" t="s">
        <v>1160</v>
      </c>
      <c r="E178" s="103" t="s">
        <v>447</v>
      </c>
      <c r="F178" s="103" t="s">
        <v>252</v>
      </c>
      <c r="G178" s="106">
        <v>599.0</v>
      </c>
      <c r="H178" s="107" t="s">
        <v>21</v>
      </c>
      <c r="I178" s="103"/>
      <c r="J178" s="108"/>
      <c r="K178" s="65" t="s">
        <v>434</v>
      </c>
      <c r="L178" s="110"/>
      <c r="M178" s="111"/>
      <c r="N178" s="103" t="s">
        <v>1154</v>
      </c>
      <c r="O178" s="112"/>
      <c r="P178" s="115"/>
      <c r="Q178" s="114"/>
      <c r="R178" s="108">
        <f>if(MAXIFS(Invoices!E:E,Invoices!A:A,A:A)=0,"",MAXIFS(Invoices!E:E,Invoices!A:A,A:A))</f>
        <v>44861</v>
      </c>
      <c r="S178" s="115">
        <v>599.0</v>
      </c>
      <c r="T178" s="103" t="b">
        <v>0</v>
      </c>
      <c r="U178" s="103"/>
      <c r="V178" s="103"/>
      <c r="W178" s="103"/>
      <c r="X178" s="103"/>
      <c r="Y178" s="103"/>
      <c r="Z178" s="103"/>
    </row>
    <row r="179">
      <c r="A179" s="110" t="s">
        <v>668</v>
      </c>
      <c r="B179" s="103" t="s">
        <v>1223</v>
      </c>
      <c r="C179" s="103" t="s">
        <v>1440</v>
      </c>
      <c r="D179" s="103" t="s">
        <v>1160</v>
      </c>
      <c r="E179" s="103" t="s">
        <v>447</v>
      </c>
      <c r="F179" s="103" t="s">
        <v>252</v>
      </c>
      <c r="G179" s="106">
        <v>6200.0</v>
      </c>
      <c r="H179" s="107" t="s">
        <v>9</v>
      </c>
      <c r="I179" s="103">
        <v>15.0</v>
      </c>
      <c r="J179" s="108"/>
      <c r="K179" s="129" t="s">
        <v>670</v>
      </c>
      <c r="L179" s="103" t="s">
        <v>1193</v>
      </c>
      <c r="M179" s="120">
        <v>0.2</v>
      </c>
      <c r="N179" s="103" t="s">
        <v>1157</v>
      </c>
      <c r="O179" s="112"/>
      <c r="P179" s="115"/>
      <c r="Q179" s="114"/>
      <c r="R179" s="108">
        <f>if(MAXIFS(Invoices!E:E,Invoices!A:A,A:A)=0,"",MAXIFS(Invoices!E:E,Invoices!A:A,A:A))</f>
        <v>44861</v>
      </c>
      <c r="S179" s="115">
        <v>8062.580005999999</v>
      </c>
      <c r="T179" s="103" t="b">
        <v>0</v>
      </c>
      <c r="U179" s="103"/>
      <c r="V179" s="103"/>
      <c r="W179" s="103"/>
      <c r="X179" s="103"/>
      <c r="Y179" s="103"/>
      <c r="Z179" s="103"/>
    </row>
    <row r="180">
      <c r="A180" s="110" t="s">
        <v>676</v>
      </c>
      <c r="B180" s="103" t="s">
        <v>1441</v>
      </c>
      <c r="C180" s="103" t="s">
        <v>1442</v>
      </c>
      <c r="D180" s="103" t="s">
        <v>1160</v>
      </c>
      <c r="E180" s="103" t="s">
        <v>447</v>
      </c>
      <c r="F180" s="103" t="s">
        <v>19</v>
      </c>
      <c r="G180" s="106">
        <v>1950.0</v>
      </c>
      <c r="H180" s="107" t="s">
        <v>21</v>
      </c>
      <c r="I180" s="103">
        <v>15.0</v>
      </c>
      <c r="J180" s="108"/>
      <c r="K180" s="109" t="s">
        <v>1443</v>
      </c>
      <c r="L180" s="110"/>
      <c r="M180" s="111"/>
      <c r="N180" s="103" t="s">
        <v>1154</v>
      </c>
      <c r="O180" s="112"/>
      <c r="P180" s="115"/>
      <c r="Q180" s="114"/>
      <c r="R180" s="108">
        <f>if(MAXIFS(Invoices!E:E,Invoices!A:A,A:A)=0,"",MAXIFS(Invoices!E:E,Invoices!A:A,A:A))</f>
        <v>44959</v>
      </c>
      <c r="S180" s="115">
        <v>2950.0</v>
      </c>
      <c r="T180" s="103" t="b">
        <v>0</v>
      </c>
      <c r="U180" s="103"/>
      <c r="V180" s="103"/>
      <c r="W180" s="103"/>
      <c r="X180" s="103"/>
      <c r="Y180" s="103"/>
      <c r="Z180" s="103"/>
    </row>
    <row r="181">
      <c r="A181" s="110" t="s">
        <v>681</v>
      </c>
      <c r="B181" s="103" t="s">
        <v>1444</v>
      </c>
      <c r="C181" s="103" t="s">
        <v>1445</v>
      </c>
      <c r="D181" s="103" t="s">
        <v>1160</v>
      </c>
      <c r="E181" s="103" t="s">
        <v>447</v>
      </c>
      <c r="F181" s="103" t="s">
        <v>19</v>
      </c>
      <c r="G181" s="115">
        <f>1900+500</f>
        <v>2400</v>
      </c>
      <c r="H181" s="107" t="s">
        <v>21</v>
      </c>
      <c r="I181" s="103"/>
      <c r="J181" s="108"/>
      <c r="K181" s="109" t="s">
        <v>1446</v>
      </c>
      <c r="L181" s="110"/>
      <c r="M181" s="111"/>
      <c r="N181" s="103" t="s">
        <v>1157</v>
      </c>
      <c r="O181" s="112"/>
      <c r="P181" s="115"/>
      <c r="Q181" s="114"/>
      <c r="R181" s="108">
        <f>if(MAXIFS(Invoices!E:E,Invoices!A:A,A:A)=0,"",MAXIFS(Invoices!E:E,Invoices!A:A,A:A))</f>
        <v>44949</v>
      </c>
      <c r="S181" s="115">
        <v>2400.0</v>
      </c>
      <c r="T181" s="103" t="b">
        <v>0</v>
      </c>
      <c r="U181" s="103"/>
      <c r="V181" s="103"/>
      <c r="W181" s="103"/>
      <c r="X181" s="103"/>
      <c r="Y181" s="103"/>
      <c r="Z181" s="103"/>
    </row>
    <row r="182">
      <c r="A182" s="110" t="s">
        <v>686</v>
      </c>
      <c r="B182" s="103" t="s">
        <v>1447</v>
      </c>
      <c r="C182" s="103" t="s">
        <v>1448</v>
      </c>
      <c r="D182" s="103" t="s">
        <v>1160</v>
      </c>
      <c r="E182" s="103" t="s">
        <v>687</v>
      </c>
      <c r="F182" s="103" t="s">
        <v>688</v>
      </c>
      <c r="G182" s="106">
        <v>3388.0</v>
      </c>
      <c r="H182" s="107" t="s">
        <v>21</v>
      </c>
      <c r="I182" s="103">
        <v>15.0</v>
      </c>
      <c r="J182" s="108">
        <v>44866.0</v>
      </c>
      <c r="K182" s="109" t="s">
        <v>1449</v>
      </c>
      <c r="L182" s="110"/>
      <c r="M182" s="111"/>
      <c r="N182" s="103" t="s">
        <v>1154</v>
      </c>
      <c r="O182" s="112"/>
      <c r="P182" s="115"/>
      <c r="Q182" s="114"/>
      <c r="R182" s="108">
        <f>if(MAXIFS(Invoices!E:E,Invoices!A:A,A:A)=0,"",MAXIFS(Invoices!E:E,Invoices!A:A,A:A))</f>
        <v>44925</v>
      </c>
      <c r="S182" s="115">
        <v>3388.0</v>
      </c>
      <c r="T182" s="103" t="b">
        <v>0</v>
      </c>
      <c r="U182" s="103"/>
      <c r="V182" s="103"/>
      <c r="W182" s="103"/>
      <c r="X182" s="103"/>
      <c r="Y182" s="103"/>
      <c r="Z182" s="103"/>
    </row>
    <row r="183">
      <c r="A183" s="110" t="s">
        <v>692</v>
      </c>
      <c r="B183" s="103" t="s">
        <v>1216</v>
      </c>
      <c r="C183" s="103" t="s">
        <v>1450</v>
      </c>
      <c r="D183" s="103" t="s">
        <v>1160</v>
      </c>
      <c r="E183" s="103" t="s">
        <v>693</v>
      </c>
      <c r="F183" s="103" t="s">
        <v>252</v>
      </c>
      <c r="G183" s="106">
        <v>2400.0</v>
      </c>
      <c r="H183" s="107" t="s">
        <v>21</v>
      </c>
      <c r="I183" s="103">
        <v>30.0</v>
      </c>
      <c r="J183" s="108">
        <v>44743.0</v>
      </c>
      <c r="K183" s="109" t="s">
        <v>694</v>
      </c>
      <c r="L183" s="110"/>
      <c r="M183" s="111"/>
      <c r="N183" s="103" t="s">
        <v>1157</v>
      </c>
      <c r="O183" s="112"/>
      <c r="P183" s="115"/>
      <c r="Q183" s="114"/>
      <c r="R183" s="108">
        <f>if(MAXIFS(Invoices!E:E,Invoices!A:A,A:A)=0,"",MAXIFS(Invoices!E:E,Invoices!A:A,A:A))</f>
        <v>45169</v>
      </c>
      <c r="S183" s="115">
        <v>2850.0</v>
      </c>
      <c r="T183" s="103" t="b">
        <v>0</v>
      </c>
      <c r="U183" s="103"/>
      <c r="V183" s="103"/>
      <c r="W183" s="103"/>
      <c r="X183" s="103"/>
      <c r="Y183" s="103"/>
      <c r="Z183" s="103"/>
    </row>
    <row r="184">
      <c r="A184" s="110" t="s">
        <v>695</v>
      </c>
      <c r="B184" s="103" t="s">
        <v>1216</v>
      </c>
      <c r="C184" s="103" t="s">
        <v>1451</v>
      </c>
      <c r="D184" s="103" t="s">
        <v>52</v>
      </c>
      <c r="E184" s="103" t="s">
        <v>51</v>
      </c>
      <c r="F184" s="103" t="s">
        <v>52</v>
      </c>
      <c r="G184" s="106">
        <v>600.0</v>
      </c>
      <c r="H184" s="107" t="s">
        <v>21</v>
      </c>
      <c r="I184" s="103">
        <v>30.0</v>
      </c>
      <c r="J184" s="108">
        <v>44835.0</v>
      </c>
      <c r="K184" s="109" t="s">
        <v>696</v>
      </c>
      <c r="L184" s="110"/>
      <c r="M184" s="111"/>
      <c r="N184" s="103" t="s">
        <v>1154</v>
      </c>
      <c r="O184" s="112"/>
      <c r="P184" s="115"/>
      <c r="Q184" s="114"/>
      <c r="R184" s="108">
        <f>if(MAXIFS(Invoices!E:E,Invoices!A:A,A:A)=0,"",MAXIFS(Invoices!E:E,Invoices!A:A,A:A))</f>
        <v>45169</v>
      </c>
      <c r="S184" s="115">
        <v>6000.0</v>
      </c>
      <c r="T184" s="103" t="b">
        <v>0</v>
      </c>
      <c r="U184" s="103"/>
      <c r="V184" s="103"/>
      <c r="W184" s="103"/>
      <c r="X184" s="103"/>
      <c r="Y184" s="103"/>
      <c r="Z184" s="103"/>
    </row>
    <row r="185">
      <c r="A185" s="110" t="s">
        <v>707</v>
      </c>
      <c r="B185" s="103" t="s">
        <v>1452</v>
      </c>
      <c r="C185" s="103" t="s">
        <v>1232</v>
      </c>
      <c r="D185" s="103" t="s">
        <v>1160</v>
      </c>
      <c r="E185" s="103" t="s">
        <v>693</v>
      </c>
      <c r="F185" s="103" t="s">
        <v>252</v>
      </c>
      <c r="G185" s="106">
        <v>1200.0</v>
      </c>
      <c r="H185" s="107" t="s">
        <v>21</v>
      </c>
      <c r="I185" s="103">
        <v>30.0</v>
      </c>
      <c r="J185" s="108">
        <v>44866.0</v>
      </c>
      <c r="K185" s="109" t="s">
        <v>1453</v>
      </c>
      <c r="L185" s="110"/>
      <c r="M185" s="111"/>
      <c r="N185" s="103" t="s">
        <v>1157</v>
      </c>
      <c r="O185" s="112"/>
      <c r="P185" s="115"/>
      <c r="Q185" s="114"/>
      <c r="R185" s="108">
        <f>if(MAXIFS(Invoices!E:E,Invoices!A:A,A:A)=0,"",MAXIFS(Invoices!E:E,Invoices!A:A,A:A))</f>
        <v>44925</v>
      </c>
      <c r="S185" s="115">
        <v>1200.0</v>
      </c>
      <c r="T185" s="103" t="b">
        <v>0</v>
      </c>
      <c r="U185" s="103"/>
      <c r="V185" s="103"/>
      <c r="W185" s="103"/>
      <c r="X185" s="103"/>
      <c r="Y185" s="103"/>
      <c r="Z185" s="103"/>
    </row>
    <row r="186">
      <c r="A186" s="110" t="s">
        <v>710</v>
      </c>
      <c r="B186" s="103" t="s">
        <v>1454</v>
      </c>
      <c r="C186" s="103" t="s">
        <v>1455</v>
      </c>
      <c r="D186" s="103" t="s">
        <v>1160</v>
      </c>
      <c r="E186" s="103" t="s">
        <v>693</v>
      </c>
      <c r="F186" s="103" t="s">
        <v>252</v>
      </c>
      <c r="G186" s="106">
        <v>700.0</v>
      </c>
      <c r="H186" s="107" t="s">
        <v>9</v>
      </c>
      <c r="I186" s="103"/>
      <c r="J186" s="108">
        <v>44896.0</v>
      </c>
      <c r="K186" s="109" t="s">
        <v>712</v>
      </c>
      <c r="L186" s="110"/>
      <c r="M186" s="111"/>
      <c r="N186" s="103" t="s">
        <v>1157</v>
      </c>
      <c r="O186" s="112"/>
      <c r="P186" s="115"/>
      <c r="Q186" s="114"/>
      <c r="R186" s="108">
        <f>if(MAXIFS(Invoices!E:E,Invoices!A:A,A:A)=0,"",MAXIFS(Invoices!E:E,Invoices!A:A,A:A))</f>
        <v>44888</v>
      </c>
      <c r="S186" s="115">
        <v>910.3353</v>
      </c>
      <c r="T186" s="103" t="b">
        <v>0</v>
      </c>
      <c r="U186" s="103"/>
      <c r="V186" s="103"/>
      <c r="W186" s="103"/>
      <c r="X186" s="103"/>
      <c r="Y186" s="103"/>
      <c r="Z186" s="103"/>
    </row>
    <row r="187">
      <c r="A187" s="110" t="s">
        <v>713</v>
      </c>
      <c r="B187" s="103" t="s">
        <v>1456</v>
      </c>
      <c r="C187" s="103" t="s">
        <v>1179</v>
      </c>
      <c r="D187" s="103" t="s">
        <v>1160</v>
      </c>
      <c r="E187" s="103" t="s">
        <v>693</v>
      </c>
      <c r="F187" s="103" t="s">
        <v>252</v>
      </c>
      <c r="G187" s="106">
        <v>0.0</v>
      </c>
      <c r="H187" s="107" t="s">
        <v>21</v>
      </c>
      <c r="I187" s="103">
        <v>30.0</v>
      </c>
      <c r="J187" s="108"/>
      <c r="K187" s="109" t="s">
        <v>1457</v>
      </c>
      <c r="L187" s="110"/>
      <c r="M187" s="111"/>
      <c r="N187" s="103" t="s">
        <v>1154</v>
      </c>
      <c r="O187" s="112"/>
      <c r="P187" s="115"/>
      <c r="Q187" s="114"/>
      <c r="R187" s="108">
        <f>if(MAXIFS(Invoices!E:E,Invoices!A:A,A:A)=0,"",MAXIFS(Invoices!E:E,Invoices!A:A,A:A))</f>
        <v>44895</v>
      </c>
      <c r="S187" s="115">
        <v>850.0</v>
      </c>
      <c r="T187" s="103" t="b">
        <v>0</v>
      </c>
      <c r="U187" s="103"/>
      <c r="V187" s="103"/>
      <c r="W187" s="103"/>
      <c r="X187" s="103"/>
      <c r="Y187" s="103"/>
      <c r="Z187" s="103"/>
    </row>
    <row r="188">
      <c r="A188" s="110" t="s">
        <v>731</v>
      </c>
      <c r="B188" s="103" t="s">
        <v>1283</v>
      </c>
      <c r="C188" s="103" t="s">
        <v>1190</v>
      </c>
      <c r="D188" s="103" t="s">
        <v>1160</v>
      </c>
      <c r="E188" s="103" t="s">
        <v>693</v>
      </c>
      <c r="F188" s="103" t="s">
        <v>252</v>
      </c>
      <c r="G188" s="106">
        <v>599.0</v>
      </c>
      <c r="H188" s="107" t="s">
        <v>21</v>
      </c>
      <c r="I188" s="103">
        <v>30.0</v>
      </c>
      <c r="J188" s="108"/>
      <c r="K188" s="112" t="s">
        <v>143</v>
      </c>
      <c r="L188" s="110"/>
      <c r="M188" s="111"/>
      <c r="N188" s="103" t="s">
        <v>1154</v>
      </c>
      <c r="O188" s="112"/>
      <c r="P188" s="115"/>
      <c r="Q188" s="114"/>
      <c r="R188" s="108">
        <f>if(MAXIFS(Invoices!E:E,Invoices!A:A,A:A)=0,"",MAXIFS(Invoices!E:E,Invoices!A:A,A:A))</f>
        <v>44895</v>
      </c>
      <c r="S188" s="115">
        <v>599.0</v>
      </c>
      <c r="T188" s="103" t="b">
        <v>0</v>
      </c>
      <c r="U188" s="103"/>
      <c r="V188" s="103"/>
      <c r="W188" s="103"/>
      <c r="X188" s="103"/>
      <c r="Y188" s="103"/>
      <c r="Z188" s="103"/>
    </row>
    <row r="189">
      <c r="A189" s="110" t="s">
        <v>725</v>
      </c>
      <c r="B189" s="103" t="s">
        <v>1286</v>
      </c>
      <c r="C189" s="103" t="s">
        <v>1458</v>
      </c>
      <c r="D189" s="103" t="s">
        <v>716</v>
      </c>
      <c r="E189" s="103" t="s">
        <v>726</v>
      </c>
      <c r="F189" s="103" t="s">
        <v>727</v>
      </c>
      <c r="G189" s="106">
        <f>240</f>
        <v>240</v>
      </c>
      <c r="H189" s="107" t="s">
        <v>21</v>
      </c>
      <c r="I189" s="103">
        <v>30.0</v>
      </c>
      <c r="J189" s="108">
        <v>44895.0</v>
      </c>
      <c r="K189" s="130" t="s">
        <v>728</v>
      </c>
      <c r="L189" s="110"/>
      <c r="M189" s="111"/>
      <c r="N189" s="103" t="s">
        <v>1154</v>
      </c>
      <c r="O189" s="112"/>
      <c r="P189" s="115"/>
      <c r="Q189" s="114"/>
      <c r="R189" s="108">
        <f>if(MAXIFS(Invoices!E:E,Invoices!A:A,A:A)=0,"",MAXIFS(Invoices!E:E,Invoices!A:A,A:A))</f>
        <v>44895</v>
      </c>
      <c r="S189" s="115">
        <v>240.0</v>
      </c>
      <c r="T189" s="103" t="b">
        <v>0</v>
      </c>
      <c r="U189" s="103"/>
      <c r="V189" s="103"/>
      <c r="W189" s="103"/>
      <c r="X189" s="103"/>
      <c r="Y189" s="103"/>
      <c r="Z189" s="103"/>
    </row>
    <row r="190">
      <c r="A190" s="110" t="s">
        <v>729</v>
      </c>
      <c r="B190" s="103" t="s">
        <v>1300</v>
      </c>
      <c r="C190" s="103" t="s">
        <v>1458</v>
      </c>
      <c r="D190" s="103" t="s">
        <v>716</v>
      </c>
      <c r="E190" s="103" t="s">
        <v>726</v>
      </c>
      <c r="F190" s="103" t="s">
        <v>727</v>
      </c>
      <c r="G190" s="106">
        <v>360.0</v>
      </c>
      <c r="H190" s="107" t="s">
        <v>9</v>
      </c>
      <c r="I190" s="103">
        <v>30.0</v>
      </c>
      <c r="J190" s="108">
        <v>44895.0</v>
      </c>
      <c r="K190" s="130" t="s">
        <v>728</v>
      </c>
      <c r="L190" s="110"/>
      <c r="M190" s="111"/>
      <c r="N190" s="103" t="s">
        <v>1154</v>
      </c>
      <c r="O190" s="112"/>
      <c r="P190" s="115"/>
      <c r="Q190" s="114"/>
      <c r="R190" s="108">
        <f>if(MAXIFS(Invoices!E:E,Invoices!A:A,A:A)=0,"",MAXIFS(Invoices!E:E,Invoices!A:A,A:A))</f>
        <v>44895</v>
      </c>
      <c r="S190" s="115">
        <v>466.14708</v>
      </c>
      <c r="T190" s="103" t="b">
        <v>0</v>
      </c>
      <c r="U190" s="103"/>
      <c r="V190" s="103"/>
      <c r="W190" s="103"/>
      <c r="X190" s="103"/>
      <c r="Y190" s="103"/>
      <c r="Z190" s="103"/>
    </row>
    <row r="191">
      <c r="A191" s="110" t="s">
        <v>732</v>
      </c>
      <c r="B191" s="103" t="s">
        <v>1283</v>
      </c>
      <c r="C191" s="103" t="s">
        <v>1179</v>
      </c>
      <c r="D191" s="103" t="s">
        <v>1160</v>
      </c>
      <c r="E191" s="103" t="s">
        <v>693</v>
      </c>
      <c r="F191" s="103" t="s">
        <v>252</v>
      </c>
      <c r="G191" s="115"/>
      <c r="H191" s="107" t="s">
        <v>21</v>
      </c>
      <c r="I191" s="103">
        <v>30.0</v>
      </c>
      <c r="J191" s="108"/>
      <c r="K191" s="109" t="s">
        <v>1457</v>
      </c>
      <c r="L191" s="110"/>
      <c r="M191" s="111"/>
      <c r="N191" s="103" t="s">
        <v>1157</v>
      </c>
      <c r="O191" s="112"/>
      <c r="P191" s="115"/>
      <c r="Q191" s="114"/>
      <c r="R191" s="108">
        <f>if(MAXIFS(Invoices!E:E,Invoices!A:A,A:A)=0,"",MAXIFS(Invoices!E:E,Invoices!A:A,A:A))</f>
        <v>44895</v>
      </c>
      <c r="S191" s="115">
        <v>1090.0</v>
      </c>
      <c r="T191" s="103" t="b">
        <v>0</v>
      </c>
      <c r="U191" s="103"/>
      <c r="V191" s="103"/>
      <c r="W191" s="103"/>
      <c r="X191" s="103"/>
      <c r="Y191" s="103"/>
      <c r="Z191" s="103"/>
    </row>
    <row r="192">
      <c r="A192" s="110" t="s">
        <v>734</v>
      </c>
      <c r="B192" s="103" t="s">
        <v>1398</v>
      </c>
      <c r="C192" s="103" t="s">
        <v>1459</v>
      </c>
      <c r="D192" s="103" t="s">
        <v>1160</v>
      </c>
      <c r="E192" s="103" t="s">
        <v>693</v>
      </c>
      <c r="F192" s="103" t="s">
        <v>252</v>
      </c>
      <c r="G192" s="106">
        <v>175.0</v>
      </c>
      <c r="H192" s="107" t="s">
        <v>9</v>
      </c>
      <c r="I192" s="103">
        <v>15.0</v>
      </c>
      <c r="J192" s="108"/>
      <c r="K192" s="109" t="s">
        <v>781</v>
      </c>
      <c r="L192" s="110"/>
      <c r="M192" s="111"/>
      <c r="N192" s="103" t="s">
        <v>1154</v>
      </c>
      <c r="O192" s="112"/>
      <c r="P192" s="115"/>
      <c r="Q192" s="114"/>
      <c r="R192" s="108">
        <f>if(MAXIFS(Invoices!E:E,Invoices!A:A,A:A)=0,"",MAXIFS(Invoices!E:E,Invoices!A:A,A:A))</f>
        <v>45077</v>
      </c>
      <c r="S192" s="115">
        <v>932.116941</v>
      </c>
      <c r="T192" s="103" t="b">
        <v>0</v>
      </c>
      <c r="U192" s="103"/>
      <c r="V192" s="103"/>
      <c r="W192" s="103"/>
      <c r="X192" s="103"/>
      <c r="Y192" s="103"/>
      <c r="Z192" s="103"/>
    </row>
    <row r="193">
      <c r="A193" s="110" t="s">
        <v>737</v>
      </c>
      <c r="B193" s="103" t="s">
        <v>1460</v>
      </c>
      <c r="C193" s="103" t="s">
        <v>1461</v>
      </c>
      <c r="D193" s="103" t="s">
        <v>1160</v>
      </c>
      <c r="E193" s="103" t="s">
        <v>687</v>
      </c>
      <c r="F193" s="103" t="s">
        <v>252</v>
      </c>
      <c r="G193" s="106">
        <v>1375.0</v>
      </c>
      <c r="H193" s="107" t="s">
        <v>21</v>
      </c>
      <c r="I193" s="103">
        <v>15.0</v>
      </c>
      <c r="J193" s="108"/>
      <c r="K193" s="109" t="s">
        <v>1462</v>
      </c>
      <c r="L193" s="110"/>
      <c r="M193" s="111"/>
      <c r="N193" s="103" t="s">
        <v>1157</v>
      </c>
      <c r="O193" s="112"/>
      <c r="P193" s="115"/>
      <c r="Q193" s="114"/>
      <c r="R193" s="108">
        <f>if(MAXIFS(Invoices!E:E,Invoices!A:A,A:A)=0,"",MAXIFS(Invoices!E:E,Invoices!A:A,A:A))</f>
        <v>44939</v>
      </c>
      <c r="S193" s="115">
        <v>1375.0</v>
      </c>
      <c r="T193" s="103" t="b">
        <v>0</v>
      </c>
      <c r="U193" s="103"/>
      <c r="V193" s="103"/>
      <c r="W193" s="103"/>
      <c r="X193" s="103"/>
      <c r="Y193" s="103"/>
      <c r="Z193" s="103"/>
    </row>
    <row r="194">
      <c r="A194" s="110" t="s">
        <v>740</v>
      </c>
      <c r="B194" s="103" t="s">
        <v>1209</v>
      </c>
      <c r="C194" s="103" t="s">
        <v>1463</v>
      </c>
      <c r="D194" s="103" t="s">
        <v>1160</v>
      </c>
      <c r="E194" s="103" t="s">
        <v>693</v>
      </c>
      <c r="F194" s="103" t="s">
        <v>688</v>
      </c>
      <c r="G194" s="106">
        <v>5900.0</v>
      </c>
      <c r="H194" s="107" t="s">
        <v>9</v>
      </c>
      <c r="I194" s="103">
        <v>15.0</v>
      </c>
      <c r="J194" s="108">
        <v>44562.0</v>
      </c>
      <c r="K194" s="109" t="s">
        <v>1464</v>
      </c>
      <c r="L194" s="103" t="s">
        <v>1193</v>
      </c>
      <c r="M194" s="131">
        <v>0.11864</v>
      </c>
      <c r="N194" s="103" t="s">
        <v>1157</v>
      </c>
      <c r="O194" s="112"/>
      <c r="P194" s="115"/>
      <c r="Q194" s="114"/>
      <c r="R194" s="108">
        <f>if(MAXIFS(Invoices!E:E,Invoices!A:A,A:A)=0,"",MAXIFS(Invoices!E:E,Invoices!A:A,A:A))</f>
        <v>45000</v>
      </c>
      <c r="S194" s="115">
        <v>7700.47412349</v>
      </c>
      <c r="T194" s="103" t="b">
        <v>0</v>
      </c>
      <c r="U194" s="103"/>
      <c r="V194" s="103"/>
      <c r="W194" s="103"/>
      <c r="X194" s="103"/>
      <c r="Y194" s="103"/>
      <c r="Z194" s="103"/>
    </row>
    <row r="195">
      <c r="A195" s="110" t="s">
        <v>747</v>
      </c>
      <c r="B195" s="103" t="s">
        <v>1395</v>
      </c>
      <c r="C195" s="103" t="s">
        <v>1179</v>
      </c>
      <c r="D195" s="103" t="s">
        <v>1160</v>
      </c>
      <c r="E195" s="103" t="s">
        <v>693</v>
      </c>
      <c r="F195" s="103" t="s">
        <v>252</v>
      </c>
      <c r="G195" s="115"/>
      <c r="H195" s="107" t="s">
        <v>9</v>
      </c>
      <c r="I195" s="103">
        <v>30.0</v>
      </c>
      <c r="J195" s="108"/>
      <c r="K195" s="109" t="s">
        <v>1457</v>
      </c>
      <c r="L195" s="110"/>
      <c r="M195" s="111"/>
      <c r="N195" s="103" t="s">
        <v>1154</v>
      </c>
      <c r="O195" s="112"/>
      <c r="P195" s="115"/>
      <c r="Q195" s="114"/>
      <c r="R195" s="108">
        <f>if(MAXIFS(Invoices!E:E,Invoices!A:A,A:A)=0,"",MAXIFS(Invoices!E:E,Invoices!A:A,A:A))</f>
        <v>44910</v>
      </c>
      <c r="S195" s="115">
        <v>1015.0484</v>
      </c>
      <c r="T195" s="103" t="b">
        <v>0</v>
      </c>
      <c r="U195" s="103"/>
      <c r="V195" s="103"/>
      <c r="W195" s="103"/>
      <c r="X195" s="103"/>
      <c r="Y195" s="103"/>
      <c r="Z195" s="103"/>
    </row>
    <row r="196">
      <c r="A196" s="110" t="s">
        <v>754</v>
      </c>
      <c r="B196" s="103" t="s">
        <v>1215</v>
      </c>
      <c r="C196" s="103" t="s">
        <v>1302</v>
      </c>
      <c r="D196" s="103" t="s">
        <v>716</v>
      </c>
      <c r="E196" s="103" t="s">
        <v>693</v>
      </c>
      <c r="F196" s="103" t="s">
        <v>727</v>
      </c>
      <c r="G196" s="106">
        <v>300.0</v>
      </c>
      <c r="H196" s="107" t="s">
        <v>9</v>
      </c>
      <c r="I196" s="103">
        <v>30.0</v>
      </c>
      <c r="J196" s="108"/>
      <c r="K196" s="130" t="s">
        <v>728</v>
      </c>
      <c r="L196" s="110"/>
      <c r="M196" s="111"/>
      <c r="N196" s="103" t="s">
        <v>1154</v>
      </c>
      <c r="O196" s="112"/>
      <c r="P196" s="115"/>
      <c r="Q196" s="114"/>
      <c r="R196" s="108">
        <f>if(MAXIFS(Invoices!E:E,Invoices!A:A,A:A)=0,"",MAXIFS(Invoices!E:E,Invoices!A:A,A:A))</f>
        <v>44902</v>
      </c>
      <c r="S196" s="115">
        <v>393.9267</v>
      </c>
      <c r="T196" s="103" t="b">
        <v>0</v>
      </c>
      <c r="U196" s="103"/>
      <c r="V196" s="103"/>
      <c r="W196" s="103"/>
      <c r="X196" s="103"/>
      <c r="Y196" s="103"/>
      <c r="Z196" s="103"/>
    </row>
    <row r="197">
      <c r="A197" s="110" t="s">
        <v>755</v>
      </c>
      <c r="B197" s="103" t="s">
        <v>1259</v>
      </c>
      <c r="C197" s="103" t="s">
        <v>1302</v>
      </c>
      <c r="D197" s="103" t="s">
        <v>716</v>
      </c>
      <c r="E197" s="103" t="s">
        <v>693</v>
      </c>
      <c r="F197" s="103" t="s">
        <v>727</v>
      </c>
      <c r="G197" s="106">
        <v>300.0</v>
      </c>
      <c r="H197" s="107" t="s">
        <v>9</v>
      </c>
      <c r="I197" s="103">
        <v>30.0</v>
      </c>
      <c r="J197" s="108"/>
      <c r="K197" s="130" t="s">
        <v>728</v>
      </c>
      <c r="L197" s="110"/>
      <c r="M197" s="111"/>
      <c r="N197" s="103" t="s">
        <v>1154</v>
      </c>
      <c r="O197" s="112"/>
      <c r="P197" s="115"/>
      <c r="Q197" s="114"/>
      <c r="R197" s="108">
        <f>if(MAXIFS(Invoices!E:E,Invoices!A:A,A:A)=0,"",MAXIFS(Invoices!E:E,Invoices!A:A,A:A))</f>
        <v>44910</v>
      </c>
      <c r="S197" s="115">
        <v>390.813</v>
      </c>
      <c r="T197" s="103" t="b">
        <v>0</v>
      </c>
      <c r="U197" s="103"/>
      <c r="V197" s="103"/>
      <c r="W197" s="103"/>
      <c r="X197" s="103"/>
      <c r="Y197" s="103"/>
      <c r="Z197" s="103"/>
    </row>
    <row r="198">
      <c r="A198" s="110" t="s">
        <v>1465</v>
      </c>
      <c r="B198" s="103" t="s">
        <v>1283</v>
      </c>
      <c r="C198" s="103" t="s">
        <v>1302</v>
      </c>
      <c r="D198" s="103" t="s">
        <v>716</v>
      </c>
      <c r="E198" s="103" t="s">
        <v>693</v>
      </c>
      <c r="F198" s="103" t="s">
        <v>727</v>
      </c>
      <c r="G198" s="106">
        <v>300.0</v>
      </c>
      <c r="H198" s="107" t="s">
        <v>21</v>
      </c>
      <c r="I198" s="103">
        <v>30.0</v>
      </c>
      <c r="J198" s="108"/>
      <c r="K198" s="130" t="s">
        <v>728</v>
      </c>
      <c r="L198" s="110"/>
      <c r="M198" s="111"/>
      <c r="N198" s="103" t="s">
        <v>1154</v>
      </c>
      <c r="O198" s="112"/>
      <c r="P198" s="115"/>
      <c r="Q198" s="114"/>
      <c r="R198" s="108" t="str">
        <f>if(MAXIFS(Invoices!E:E,Invoices!A:A,A:A)=0,"",MAXIFS(Invoices!E:E,Invoices!A:A,A:A))</f>
        <v/>
      </c>
      <c r="S198" s="115">
        <v>0.0</v>
      </c>
      <c r="T198" s="103" t="b">
        <v>0</v>
      </c>
      <c r="U198" s="103"/>
      <c r="V198" s="103"/>
      <c r="W198" s="103"/>
      <c r="X198" s="103"/>
      <c r="Y198" s="103"/>
      <c r="Z198" s="103"/>
    </row>
    <row r="199">
      <c r="A199" s="110" t="s">
        <v>757</v>
      </c>
      <c r="B199" s="103" t="s">
        <v>1289</v>
      </c>
      <c r="C199" s="103" t="s">
        <v>1302</v>
      </c>
      <c r="D199" s="103" t="s">
        <v>716</v>
      </c>
      <c r="E199" s="103" t="s">
        <v>693</v>
      </c>
      <c r="F199" s="103" t="s">
        <v>727</v>
      </c>
      <c r="G199" s="106">
        <v>420.0</v>
      </c>
      <c r="H199" s="107" t="s">
        <v>21</v>
      </c>
      <c r="I199" s="103">
        <v>30.0</v>
      </c>
      <c r="J199" s="108"/>
      <c r="K199" s="130" t="s">
        <v>728</v>
      </c>
      <c r="L199" s="110"/>
      <c r="M199" s="111"/>
      <c r="N199" s="103" t="s">
        <v>1157</v>
      </c>
      <c r="O199" s="112"/>
      <c r="P199" s="115"/>
      <c r="Q199" s="114"/>
      <c r="R199" s="108">
        <f>if(MAXIFS(Invoices!E:E,Invoices!A:A,A:A)=0,"",MAXIFS(Invoices!E:E,Invoices!A:A,A:A))</f>
        <v>44925</v>
      </c>
      <c r="S199" s="115">
        <v>420.0</v>
      </c>
      <c r="T199" s="103" t="b">
        <v>0</v>
      </c>
      <c r="U199" s="103"/>
      <c r="V199" s="103"/>
      <c r="W199" s="103"/>
      <c r="X199" s="103"/>
      <c r="Y199" s="103"/>
      <c r="Z199" s="103"/>
    </row>
    <row r="200">
      <c r="A200" s="110" t="s">
        <v>276</v>
      </c>
      <c r="B200" s="103" t="s">
        <v>1300</v>
      </c>
      <c r="C200" s="103" t="s">
        <v>1302</v>
      </c>
      <c r="D200" s="103" t="s">
        <v>716</v>
      </c>
      <c r="E200" s="103" t="s">
        <v>693</v>
      </c>
      <c r="F200" s="103" t="s">
        <v>727</v>
      </c>
      <c r="G200" s="106">
        <v>360.0</v>
      </c>
      <c r="H200" s="107" t="s">
        <v>9</v>
      </c>
      <c r="I200" s="103">
        <v>30.0</v>
      </c>
      <c r="J200" s="108"/>
      <c r="K200" s="130" t="s">
        <v>728</v>
      </c>
      <c r="L200" s="110"/>
      <c r="M200" s="111"/>
      <c r="N200" s="103" t="s">
        <v>1154</v>
      </c>
      <c r="O200" s="112"/>
      <c r="P200" s="115"/>
      <c r="Q200" s="114"/>
      <c r="R200" s="108">
        <f>if(MAXIFS(Invoices!E:E,Invoices!A:A,A:A)=0,"",MAXIFS(Invoices!E:E,Invoices!A:A,A:A))</f>
        <v>44620</v>
      </c>
      <c r="S200" s="115">
        <v>337.9189</v>
      </c>
      <c r="T200" s="103" t="b">
        <v>0</v>
      </c>
      <c r="U200" s="103"/>
      <c r="V200" s="103"/>
      <c r="W200" s="103"/>
      <c r="X200" s="103"/>
      <c r="Y200" s="103"/>
      <c r="Z200" s="103"/>
    </row>
    <row r="201">
      <c r="A201" s="110" t="s">
        <v>1466</v>
      </c>
      <c r="B201" s="103" t="s">
        <v>1345</v>
      </c>
      <c r="C201" s="103" t="s">
        <v>1302</v>
      </c>
      <c r="D201" s="103" t="s">
        <v>716</v>
      </c>
      <c r="E201" s="103" t="s">
        <v>693</v>
      </c>
      <c r="F201" s="103" t="s">
        <v>727</v>
      </c>
      <c r="G201" s="106">
        <v>360.0</v>
      </c>
      <c r="H201" s="107" t="s">
        <v>21</v>
      </c>
      <c r="I201" s="103">
        <v>30.0</v>
      </c>
      <c r="J201" s="108"/>
      <c r="K201" s="130" t="s">
        <v>728</v>
      </c>
      <c r="L201" s="110"/>
      <c r="M201" s="111"/>
      <c r="N201" s="103" t="s">
        <v>1154</v>
      </c>
      <c r="O201" s="112"/>
      <c r="P201" s="115"/>
      <c r="Q201" s="114"/>
      <c r="R201" s="108" t="str">
        <f>if(MAXIFS(Invoices!E:E,Invoices!A:A,A:A)=0,"",MAXIFS(Invoices!E:E,Invoices!A:A,A:A))</f>
        <v/>
      </c>
      <c r="S201" s="115">
        <v>0.0</v>
      </c>
      <c r="T201" s="103" t="b">
        <v>0</v>
      </c>
      <c r="U201" s="103"/>
      <c r="V201" s="103"/>
      <c r="W201" s="103"/>
      <c r="X201" s="103"/>
      <c r="Y201" s="103"/>
      <c r="Z201" s="103"/>
    </row>
    <row r="202">
      <c r="A202" s="110" t="s">
        <v>765</v>
      </c>
      <c r="B202" s="103" t="s">
        <v>1467</v>
      </c>
      <c r="C202" s="103" t="s">
        <v>1468</v>
      </c>
      <c r="D202" s="103" t="s">
        <v>1160</v>
      </c>
      <c r="E202" s="103" t="s">
        <v>766</v>
      </c>
      <c r="F202" s="103" t="s">
        <v>252</v>
      </c>
      <c r="G202" s="106">
        <v>300.0</v>
      </c>
      <c r="H202" s="107" t="s">
        <v>21</v>
      </c>
      <c r="I202" s="103">
        <v>30.0</v>
      </c>
      <c r="J202" s="108"/>
      <c r="K202" s="130" t="s">
        <v>1469</v>
      </c>
      <c r="L202" s="110"/>
      <c r="M202" s="111"/>
      <c r="N202" s="103" t="s">
        <v>1154</v>
      </c>
      <c r="O202" s="112"/>
      <c r="P202" s="115"/>
      <c r="Q202" s="114"/>
      <c r="R202" s="108">
        <f>if(MAXIFS(Invoices!E:E,Invoices!A:A,A:A)=0,"",MAXIFS(Invoices!E:E,Invoices!A:A,A:A))</f>
        <v>44925</v>
      </c>
      <c r="S202" s="115">
        <v>300.0</v>
      </c>
      <c r="T202" s="103" t="b">
        <v>0</v>
      </c>
      <c r="U202" s="103"/>
      <c r="V202" s="103"/>
      <c r="W202" s="103"/>
      <c r="X202" s="103"/>
      <c r="Y202" s="103"/>
      <c r="Z202" s="103"/>
    </row>
    <row r="203">
      <c r="A203" s="110" t="s">
        <v>768</v>
      </c>
      <c r="B203" s="103" t="s">
        <v>1383</v>
      </c>
      <c r="C203" s="103" t="s">
        <v>1179</v>
      </c>
      <c r="D203" s="103" t="s">
        <v>1160</v>
      </c>
      <c r="E203" s="103" t="s">
        <v>766</v>
      </c>
      <c r="F203" s="103" t="s">
        <v>252</v>
      </c>
      <c r="G203" s="115"/>
      <c r="H203" s="107" t="s">
        <v>9</v>
      </c>
      <c r="I203" s="103">
        <v>15.0</v>
      </c>
      <c r="J203" s="108"/>
      <c r="K203" s="109" t="s">
        <v>1457</v>
      </c>
      <c r="L203" s="110"/>
      <c r="M203" s="111"/>
      <c r="N203" s="103" t="s">
        <v>1154</v>
      </c>
      <c r="O203" s="112"/>
      <c r="P203" s="115"/>
      <c r="Q203" s="114"/>
      <c r="R203" s="108">
        <f>if(MAXIFS(Invoices!E:E,Invoices!A:A,A:A)=0,"",MAXIFS(Invoices!E:E,Invoices!A:A,A:A))</f>
        <v>45030</v>
      </c>
      <c r="S203" s="115">
        <v>5157.684</v>
      </c>
      <c r="T203" s="103" t="b">
        <v>0</v>
      </c>
      <c r="U203" s="103"/>
      <c r="V203" s="103"/>
      <c r="W203" s="103"/>
      <c r="X203" s="103"/>
      <c r="Y203" s="103"/>
      <c r="Z203" s="103"/>
    </row>
    <row r="204">
      <c r="A204" s="110" t="s">
        <v>773</v>
      </c>
      <c r="B204" s="103" t="s">
        <v>1304</v>
      </c>
      <c r="C204" s="103" t="s">
        <v>1190</v>
      </c>
      <c r="D204" s="103" t="s">
        <v>1160</v>
      </c>
      <c r="E204" s="103" t="s">
        <v>766</v>
      </c>
      <c r="F204" s="103" t="s">
        <v>252</v>
      </c>
      <c r="G204" s="106">
        <v>600.0</v>
      </c>
      <c r="H204" s="107" t="s">
        <v>21</v>
      </c>
      <c r="I204" s="103">
        <v>30.0</v>
      </c>
      <c r="J204" s="108"/>
      <c r="K204" s="112" t="s">
        <v>143</v>
      </c>
      <c r="L204" s="110"/>
      <c r="M204" s="111"/>
      <c r="N204" s="103" t="s">
        <v>1154</v>
      </c>
      <c r="O204" s="112"/>
      <c r="P204" s="115"/>
      <c r="Q204" s="114"/>
      <c r="R204" s="108">
        <f>if(MAXIFS(Invoices!E:E,Invoices!A:A,A:A)=0,"",MAXIFS(Invoices!E:E,Invoices!A:A,A:A))</f>
        <v>44939</v>
      </c>
      <c r="S204" s="115">
        <v>1200.0</v>
      </c>
      <c r="T204" s="103" t="b">
        <v>0</v>
      </c>
      <c r="U204" s="103"/>
      <c r="V204" s="103"/>
      <c r="W204" s="103"/>
      <c r="X204" s="103"/>
      <c r="Y204" s="103"/>
      <c r="Z204" s="103"/>
    </row>
    <row r="205">
      <c r="A205" s="110" t="s">
        <v>782</v>
      </c>
      <c r="B205" s="103" t="s">
        <v>1406</v>
      </c>
      <c r="C205" s="103" t="s">
        <v>1459</v>
      </c>
      <c r="D205" s="103" t="s">
        <v>1160</v>
      </c>
      <c r="E205" s="103" t="s">
        <v>693</v>
      </c>
      <c r="F205" s="103" t="s">
        <v>252</v>
      </c>
      <c r="G205" s="106">
        <v>175.0</v>
      </c>
      <c r="H205" s="107" t="s">
        <v>9</v>
      </c>
      <c r="I205" s="103">
        <v>15.0</v>
      </c>
      <c r="J205" s="108"/>
      <c r="K205" s="109" t="s">
        <v>784</v>
      </c>
      <c r="L205" s="110"/>
      <c r="M205" s="111"/>
      <c r="N205" s="103" t="s">
        <v>1154</v>
      </c>
      <c r="O205" s="112"/>
      <c r="P205" s="115"/>
      <c r="Q205" s="114"/>
      <c r="R205" s="108">
        <f>if(MAXIFS(Invoices!E:E,Invoices!A:A,A:A)=0,"",MAXIFS(Invoices!E:E,Invoices!A:A,A:A))</f>
        <v>44939</v>
      </c>
      <c r="S205" s="115">
        <v>130.69</v>
      </c>
      <c r="T205" s="103" t="b">
        <v>0</v>
      </c>
      <c r="U205" s="103"/>
      <c r="V205" s="103"/>
      <c r="W205" s="103"/>
      <c r="X205" s="103"/>
      <c r="Y205" s="103"/>
      <c r="Z205" s="103"/>
    </row>
    <row r="206">
      <c r="A206" s="110" t="s">
        <v>785</v>
      </c>
      <c r="B206" s="103" t="s">
        <v>1368</v>
      </c>
      <c r="C206" s="103" t="s">
        <v>1190</v>
      </c>
      <c r="D206" s="103" t="s">
        <v>1160</v>
      </c>
      <c r="E206" s="103" t="s">
        <v>766</v>
      </c>
      <c r="F206" s="103" t="s">
        <v>252</v>
      </c>
      <c r="G206" s="106">
        <v>600.0</v>
      </c>
      <c r="H206" s="107" t="s">
        <v>9</v>
      </c>
      <c r="I206" s="103">
        <v>0.0</v>
      </c>
      <c r="J206" s="108"/>
      <c r="K206" s="109" t="s">
        <v>787</v>
      </c>
      <c r="L206" s="110"/>
      <c r="M206" s="111"/>
      <c r="N206" s="103" t="s">
        <v>1157</v>
      </c>
      <c r="O206" s="112"/>
      <c r="P206" s="115"/>
      <c r="Q206" s="114"/>
      <c r="R206" s="108">
        <f>if(MAXIFS(Invoices!E:E,Invoices!A:A,A:A)=0,"",MAXIFS(Invoices!E:E,Invoices!A:A,A:A))</f>
        <v>45000</v>
      </c>
      <c r="S206" s="115">
        <v>1176.8601629999998</v>
      </c>
      <c r="T206" s="103" t="b">
        <v>0</v>
      </c>
      <c r="U206" s="103"/>
      <c r="V206" s="103"/>
      <c r="W206" s="103"/>
      <c r="X206" s="103"/>
      <c r="Y206" s="103"/>
      <c r="Z206" s="103"/>
    </row>
    <row r="207">
      <c r="A207" s="110" t="s">
        <v>788</v>
      </c>
      <c r="B207" s="103" t="s">
        <v>1250</v>
      </c>
      <c r="C207" s="103" t="s">
        <v>1470</v>
      </c>
      <c r="D207" s="103" t="s">
        <v>52</v>
      </c>
      <c r="E207" s="103" t="s">
        <v>27</v>
      </c>
      <c r="F207" s="103" t="s">
        <v>52</v>
      </c>
      <c r="G207" s="106">
        <v>2000.0</v>
      </c>
      <c r="H207" s="107" t="s">
        <v>21</v>
      </c>
      <c r="I207" s="103">
        <v>15.0</v>
      </c>
      <c r="J207" s="108"/>
      <c r="K207" s="109" t="s">
        <v>789</v>
      </c>
      <c r="L207" s="110"/>
      <c r="M207" s="111"/>
      <c r="N207" s="103" t="s">
        <v>1154</v>
      </c>
      <c r="O207" s="112"/>
      <c r="P207" s="115"/>
      <c r="Q207" s="114"/>
      <c r="R207" s="108">
        <f>if(MAXIFS(Invoices!E:E,Invoices!A:A,A:A)=0,"",MAXIFS(Invoices!E:E,Invoices!A:A,A:A))</f>
        <v>45153</v>
      </c>
      <c r="S207" s="115">
        <v>20090.0</v>
      </c>
      <c r="T207" s="103" t="b">
        <v>0</v>
      </c>
      <c r="U207" s="103"/>
      <c r="V207" s="103"/>
      <c r="W207" s="103"/>
      <c r="X207" s="103"/>
      <c r="Y207" s="103"/>
      <c r="Z207" s="103"/>
    </row>
    <row r="208">
      <c r="A208" s="110" t="s">
        <v>795</v>
      </c>
      <c r="B208" s="103" t="s">
        <v>1352</v>
      </c>
      <c r="C208" s="103" t="s">
        <v>1393</v>
      </c>
      <c r="D208" s="103" t="s">
        <v>52</v>
      </c>
      <c r="E208" s="103" t="s">
        <v>27</v>
      </c>
      <c r="F208" s="103" t="s">
        <v>52</v>
      </c>
      <c r="G208" s="106">
        <v>2000.0</v>
      </c>
      <c r="H208" s="107" t="s">
        <v>21</v>
      </c>
      <c r="I208" s="103">
        <v>0.0</v>
      </c>
      <c r="J208" s="108"/>
      <c r="K208" s="109" t="s">
        <v>796</v>
      </c>
      <c r="L208" s="110"/>
      <c r="M208" s="111"/>
      <c r="N208" s="103" t="s">
        <v>1154</v>
      </c>
      <c r="O208" s="112"/>
      <c r="P208" s="115"/>
      <c r="Q208" s="114"/>
      <c r="R208" s="108">
        <f>if(MAXIFS(Invoices!E:E,Invoices!A:A,A:A)=0,"",MAXIFS(Invoices!E:E,Invoices!A:A,A:A))</f>
        <v>45153</v>
      </c>
      <c r="S208" s="115">
        <v>14600.0</v>
      </c>
      <c r="T208" s="103" t="b">
        <v>0</v>
      </c>
      <c r="U208" s="103"/>
      <c r="V208" s="103"/>
      <c r="W208" s="103"/>
      <c r="X208" s="103"/>
      <c r="Y208" s="103"/>
      <c r="Z208" s="103"/>
    </row>
    <row r="209">
      <c r="A209" s="110" t="s">
        <v>808</v>
      </c>
      <c r="B209" s="103" t="s">
        <v>1352</v>
      </c>
      <c r="C209" s="103" t="s">
        <v>1471</v>
      </c>
      <c r="D209" s="103" t="s">
        <v>1160</v>
      </c>
      <c r="E209" s="103" t="s">
        <v>766</v>
      </c>
      <c r="F209" s="103" t="s">
        <v>252</v>
      </c>
      <c r="G209" s="106">
        <v>900.0</v>
      </c>
      <c r="H209" s="107" t="s">
        <v>21</v>
      </c>
      <c r="I209" s="103">
        <v>0.0</v>
      </c>
      <c r="J209" s="108"/>
      <c r="K209" s="109" t="s">
        <v>809</v>
      </c>
      <c r="L209" s="110"/>
      <c r="M209" s="111"/>
      <c r="N209" s="103" t="s">
        <v>1157</v>
      </c>
      <c r="O209" s="112"/>
      <c r="P209" s="115"/>
      <c r="Q209" s="114"/>
      <c r="R209" s="108"/>
      <c r="S209" s="115">
        <v>900.0</v>
      </c>
      <c r="T209" s="103" t="b">
        <v>0</v>
      </c>
      <c r="U209" s="103"/>
      <c r="V209" s="103"/>
      <c r="W209" s="103"/>
      <c r="X209" s="103"/>
      <c r="Y209" s="103"/>
      <c r="Z209" s="103"/>
    </row>
    <row r="210">
      <c r="A210" s="110" t="s">
        <v>1472</v>
      </c>
      <c r="B210" s="103" t="s">
        <v>1215</v>
      </c>
      <c r="C210" s="103" t="s">
        <v>1471</v>
      </c>
      <c r="D210" s="103" t="s">
        <v>1160</v>
      </c>
      <c r="E210" s="103" t="s">
        <v>766</v>
      </c>
      <c r="F210" s="103" t="s">
        <v>252</v>
      </c>
      <c r="G210" s="115">
        <f>1399/2</f>
        <v>699.5</v>
      </c>
      <c r="H210" s="107" t="s">
        <v>9</v>
      </c>
      <c r="I210" s="103">
        <v>30.0</v>
      </c>
      <c r="J210" s="108"/>
      <c r="K210" s="109" t="s">
        <v>843</v>
      </c>
      <c r="L210" s="110"/>
      <c r="M210" s="111"/>
      <c r="N210" s="103" t="s">
        <v>1157</v>
      </c>
      <c r="O210" s="112"/>
      <c r="P210" s="115"/>
      <c r="Q210" s="114"/>
      <c r="R210" s="108"/>
      <c r="S210" s="115">
        <v>0.0</v>
      </c>
      <c r="T210" s="103" t="b">
        <v>0</v>
      </c>
      <c r="U210" s="103"/>
      <c r="V210" s="103"/>
      <c r="W210" s="103"/>
      <c r="X210" s="103"/>
      <c r="Y210" s="103"/>
      <c r="Z210" s="103"/>
    </row>
    <row r="211">
      <c r="A211" s="110" t="s">
        <v>810</v>
      </c>
      <c r="B211" s="103" t="s">
        <v>1363</v>
      </c>
      <c r="C211" s="103" t="s">
        <v>1393</v>
      </c>
      <c r="D211" s="103" t="s">
        <v>52</v>
      </c>
      <c r="E211" s="103" t="s">
        <v>51</v>
      </c>
      <c r="F211" s="103" t="s">
        <v>52</v>
      </c>
      <c r="G211" s="115">
        <f>800+(800*0.1)</f>
        <v>880</v>
      </c>
      <c r="H211" s="107" t="s">
        <v>9</v>
      </c>
      <c r="I211" s="103">
        <v>0.0</v>
      </c>
      <c r="J211" s="108"/>
      <c r="K211" s="109" t="s">
        <v>854</v>
      </c>
      <c r="L211" s="110"/>
      <c r="M211" s="111"/>
      <c r="N211" s="103" t="s">
        <v>1154</v>
      </c>
      <c r="O211" s="112"/>
      <c r="P211" s="115"/>
      <c r="Q211" s="114"/>
      <c r="R211" s="108"/>
      <c r="S211" s="115">
        <v>12918.22768</v>
      </c>
      <c r="T211" s="103" t="b">
        <v>0</v>
      </c>
      <c r="U211" s="103"/>
      <c r="V211" s="103"/>
      <c r="W211" s="103"/>
      <c r="X211" s="103"/>
      <c r="Y211" s="103"/>
      <c r="Z211" s="103"/>
    </row>
    <row r="212">
      <c r="A212" s="110" t="s">
        <v>817</v>
      </c>
      <c r="B212" s="103" t="s">
        <v>1473</v>
      </c>
      <c r="C212" s="103" t="s">
        <v>1393</v>
      </c>
      <c r="D212" s="103" t="s">
        <v>52</v>
      </c>
      <c r="E212" s="103" t="s">
        <v>27</v>
      </c>
      <c r="F212" s="103" t="s">
        <v>52</v>
      </c>
      <c r="G212" s="106">
        <v>7000.0</v>
      </c>
      <c r="H212" s="107" t="s">
        <v>21</v>
      </c>
      <c r="I212" s="103">
        <v>30.0</v>
      </c>
      <c r="J212" s="108"/>
      <c r="K212" s="109" t="s">
        <v>833</v>
      </c>
      <c r="L212" s="110"/>
      <c r="M212" s="111"/>
      <c r="N212" s="103" t="s">
        <v>1182</v>
      </c>
      <c r="O212" s="109" t="s">
        <v>1474</v>
      </c>
      <c r="P212" s="115"/>
      <c r="Q212" s="114"/>
      <c r="R212" s="108"/>
      <c r="S212" s="115">
        <v>21500.0</v>
      </c>
      <c r="T212" s="103" t="b">
        <v>0</v>
      </c>
      <c r="U212" s="103"/>
      <c r="V212" s="103"/>
      <c r="W212" s="103"/>
      <c r="X212" s="103"/>
      <c r="Y212" s="103"/>
      <c r="Z212" s="103"/>
    </row>
    <row r="213">
      <c r="A213" s="110" t="s">
        <v>821</v>
      </c>
      <c r="B213" s="103" t="s">
        <v>1475</v>
      </c>
      <c r="C213" s="103" t="s">
        <v>1476</v>
      </c>
      <c r="D213" s="103" t="s">
        <v>1160</v>
      </c>
      <c r="E213" s="103" t="s">
        <v>693</v>
      </c>
      <c r="F213" s="103" t="s">
        <v>19</v>
      </c>
      <c r="G213" s="106">
        <v>1500.0</v>
      </c>
      <c r="H213" s="107" t="s">
        <v>21</v>
      </c>
      <c r="I213" s="103">
        <v>15.0</v>
      </c>
      <c r="J213" s="108"/>
      <c r="K213" s="109" t="s">
        <v>1477</v>
      </c>
      <c r="L213" s="110"/>
      <c r="M213" s="111"/>
      <c r="N213" s="103" t="s">
        <v>1157</v>
      </c>
      <c r="O213" s="112"/>
      <c r="P213" s="115"/>
      <c r="Q213" s="114"/>
      <c r="R213" s="108"/>
      <c r="S213" s="115">
        <v>1500.0</v>
      </c>
      <c r="T213" s="103" t="b">
        <v>0</v>
      </c>
      <c r="U213" s="103"/>
      <c r="V213" s="103"/>
      <c r="W213" s="103"/>
      <c r="X213" s="103"/>
      <c r="Y213" s="103"/>
      <c r="Z213" s="103"/>
    </row>
    <row r="214">
      <c r="A214" s="110" t="s">
        <v>835</v>
      </c>
      <c r="B214" s="103" t="s">
        <v>1478</v>
      </c>
      <c r="C214" s="103" t="s">
        <v>36</v>
      </c>
      <c r="D214" s="103" t="s">
        <v>1160</v>
      </c>
      <c r="E214" s="103" t="s">
        <v>693</v>
      </c>
      <c r="F214" s="103" t="s">
        <v>688</v>
      </c>
      <c r="G214" s="115">
        <f>8900++800</f>
        <v>9700</v>
      </c>
      <c r="H214" s="107" t="s">
        <v>21</v>
      </c>
      <c r="I214" s="103">
        <v>30.0</v>
      </c>
      <c r="J214" s="108"/>
      <c r="K214" s="128" t="s">
        <v>1479</v>
      </c>
      <c r="L214" s="110"/>
      <c r="M214" s="111"/>
      <c r="N214" s="103" t="s">
        <v>1154</v>
      </c>
      <c r="O214" s="112"/>
      <c r="P214" s="115"/>
      <c r="Q214" s="114"/>
      <c r="R214" s="108"/>
      <c r="S214" s="115">
        <v>9700.01</v>
      </c>
      <c r="T214" s="103" t="b">
        <v>0</v>
      </c>
      <c r="U214" s="103"/>
      <c r="V214" s="103"/>
      <c r="W214" s="103"/>
      <c r="X214" s="103"/>
      <c r="Y214" s="103"/>
      <c r="Z214" s="103"/>
    </row>
    <row r="215">
      <c r="A215" s="110" t="s">
        <v>840</v>
      </c>
      <c r="B215" s="103" t="s">
        <v>1216</v>
      </c>
      <c r="C215" s="103" t="s">
        <v>1471</v>
      </c>
      <c r="D215" s="103" t="s">
        <v>1160</v>
      </c>
      <c r="E215" s="103" t="s">
        <v>693</v>
      </c>
      <c r="F215" s="103" t="s">
        <v>252</v>
      </c>
      <c r="G215" s="106">
        <v>489.0</v>
      </c>
      <c r="H215" s="107" t="s">
        <v>21</v>
      </c>
      <c r="I215" s="103">
        <v>30.0</v>
      </c>
      <c r="J215" s="108"/>
      <c r="K215" s="109" t="s">
        <v>841</v>
      </c>
      <c r="L215" s="110"/>
      <c r="M215" s="111"/>
      <c r="N215" s="103" t="s">
        <v>1157</v>
      </c>
      <c r="O215" s="112"/>
      <c r="P215" s="115"/>
      <c r="Q215" s="114"/>
      <c r="R215" s="108"/>
      <c r="S215" s="115">
        <v>978.0</v>
      </c>
      <c r="T215" s="103" t="b">
        <v>0</v>
      </c>
      <c r="U215" s="103"/>
      <c r="V215" s="103"/>
      <c r="W215" s="103"/>
      <c r="X215" s="103"/>
      <c r="Y215" s="103"/>
      <c r="Z215" s="103"/>
    </row>
    <row r="216">
      <c r="A216" s="110" t="s">
        <v>855</v>
      </c>
      <c r="B216" s="103" t="s">
        <v>1283</v>
      </c>
      <c r="C216" s="103" t="s">
        <v>1480</v>
      </c>
      <c r="D216" s="103" t="s">
        <v>52</v>
      </c>
      <c r="E216" s="103" t="s">
        <v>51</v>
      </c>
      <c r="F216" s="103" t="s">
        <v>52</v>
      </c>
      <c r="G216" s="106">
        <v>250.0</v>
      </c>
      <c r="H216" s="107" t="s">
        <v>21</v>
      </c>
      <c r="I216" s="103">
        <v>30.0</v>
      </c>
      <c r="J216" s="108"/>
      <c r="K216" s="109" t="s">
        <v>857</v>
      </c>
      <c r="L216" s="110"/>
      <c r="M216" s="111"/>
      <c r="N216" s="103" t="s">
        <v>1154</v>
      </c>
      <c r="O216" s="112"/>
      <c r="P216" s="115"/>
      <c r="Q216" s="114"/>
      <c r="R216" s="108"/>
      <c r="S216" s="115">
        <v>1750.0</v>
      </c>
      <c r="T216" s="103" t="b">
        <v>0</v>
      </c>
      <c r="U216" s="103"/>
      <c r="V216" s="103"/>
      <c r="W216" s="103"/>
      <c r="X216" s="103"/>
      <c r="Y216" s="103"/>
      <c r="Z216" s="103"/>
    </row>
    <row r="217">
      <c r="A217" s="110" t="s">
        <v>842</v>
      </c>
      <c r="B217" s="103" t="s">
        <v>1324</v>
      </c>
      <c r="C217" s="103" t="s">
        <v>1471</v>
      </c>
      <c r="D217" s="103" t="s">
        <v>1160</v>
      </c>
      <c r="E217" s="103" t="s">
        <v>693</v>
      </c>
      <c r="F217" s="103" t="s">
        <v>252</v>
      </c>
      <c r="G217" s="115">
        <f>1399/2</f>
        <v>699.5</v>
      </c>
      <c r="H217" s="107" t="s">
        <v>21</v>
      </c>
      <c r="I217" s="103">
        <v>30.0</v>
      </c>
      <c r="J217" s="108"/>
      <c r="K217" s="109" t="s">
        <v>843</v>
      </c>
      <c r="L217" s="110"/>
      <c r="M217" s="111"/>
      <c r="N217" s="103" t="s">
        <v>1157</v>
      </c>
      <c r="O217" s="112"/>
      <c r="P217" s="115"/>
      <c r="Q217" s="114"/>
      <c r="R217" s="108"/>
      <c r="S217" s="115">
        <v>699.5</v>
      </c>
      <c r="T217" s="103" t="b">
        <v>0</v>
      </c>
      <c r="U217" s="103"/>
      <c r="V217" s="103"/>
      <c r="W217" s="103"/>
      <c r="X217" s="103"/>
      <c r="Y217" s="103"/>
      <c r="Z217" s="103"/>
    </row>
    <row r="218">
      <c r="A218" s="110" t="s">
        <v>858</v>
      </c>
      <c r="B218" s="103" t="s">
        <v>1481</v>
      </c>
      <c r="C218" s="103" t="s">
        <v>1482</v>
      </c>
      <c r="D218" s="103" t="s">
        <v>1160</v>
      </c>
      <c r="E218" s="103" t="s">
        <v>687</v>
      </c>
      <c r="F218" s="103" t="s">
        <v>252</v>
      </c>
      <c r="G218" s="115">
        <f>1900+700</f>
        <v>2600</v>
      </c>
      <c r="H218" s="107" t="s">
        <v>9</v>
      </c>
      <c r="I218" s="103"/>
      <c r="J218" s="108"/>
      <c r="K218" s="109" t="s">
        <v>860</v>
      </c>
      <c r="L218" s="103" t="s">
        <v>1193</v>
      </c>
      <c r="M218" s="120">
        <v>0.2</v>
      </c>
      <c r="N218" s="103" t="s">
        <v>1154</v>
      </c>
      <c r="O218" s="112"/>
      <c r="P218" s="115"/>
      <c r="Q218" s="114"/>
      <c r="R218" s="108"/>
      <c r="S218" s="115">
        <v>3418.0665999999997</v>
      </c>
      <c r="T218" s="103" t="b">
        <v>0</v>
      </c>
      <c r="U218" s="103"/>
      <c r="V218" s="103"/>
      <c r="W218" s="103"/>
      <c r="X218" s="103"/>
      <c r="Y218" s="103"/>
      <c r="Z218" s="103"/>
    </row>
    <row r="219">
      <c r="A219" s="110" t="s">
        <v>861</v>
      </c>
      <c r="B219" s="103" t="s">
        <v>1483</v>
      </c>
      <c r="C219" s="103" t="s">
        <v>1393</v>
      </c>
      <c r="D219" s="103" t="s">
        <v>52</v>
      </c>
      <c r="E219" s="103" t="s">
        <v>51</v>
      </c>
      <c r="F219" s="103" t="s">
        <v>52</v>
      </c>
      <c r="G219" s="106">
        <v>1750.0</v>
      </c>
      <c r="H219" s="107" t="s">
        <v>9</v>
      </c>
      <c r="I219" s="103">
        <v>15.0</v>
      </c>
      <c r="J219" s="108"/>
      <c r="K219" s="109" t="s">
        <v>962</v>
      </c>
      <c r="L219" s="103" t="s">
        <v>1193</v>
      </c>
      <c r="M219" s="120">
        <v>0.2</v>
      </c>
      <c r="N219" s="103" t="s">
        <v>1154</v>
      </c>
      <c r="O219" s="109" t="s">
        <v>1484</v>
      </c>
      <c r="P219" s="115"/>
      <c r="Q219" s="114"/>
      <c r="R219" s="108"/>
      <c r="S219" s="115">
        <v>17301.771099999998</v>
      </c>
      <c r="T219" s="103" t="b">
        <v>0</v>
      </c>
      <c r="U219" s="103"/>
      <c r="V219" s="103"/>
      <c r="W219" s="103"/>
      <c r="X219" s="103"/>
      <c r="Y219" s="103"/>
      <c r="Z219" s="103"/>
    </row>
    <row r="220">
      <c r="A220" s="110" t="s">
        <v>963</v>
      </c>
      <c r="B220" s="103" t="s">
        <v>1485</v>
      </c>
      <c r="C220" s="103" t="s">
        <v>1393</v>
      </c>
      <c r="D220" s="103" t="s">
        <v>52</v>
      </c>
      <c r="E220" s="103" t="s">
        <v>51</v>
      </c>
      <c r="F220" s="103" t="s">
        <v>52</v>
      </c>
      <c r="G220" s="106">
        <v>750.0</v>
      </c>
      <c r="H220" s="107" t="s">
        <v>9</v>
      </c>
      <c r="I220" s="103">
        <v>15.0</v>
      </c>
      <c r="J220" s="108"/>
      <c r="K220" s="109" t="s">
        <v>965</v>
      </c>
      <c r="L220" s="103" t="s">
        <v>1193</v>
      </c>
      <c r="M220" s="120">
        <v>0.2</v>
      </c>
      <c r="N220" s="103" t="s">
        <v>1154</v>
      </c>
      <c r="O220" s="109" t="s">
        <v>1486</v>
      </c>
      <c r="P220" s="115"/>
      <c r="Q220" s="114"/>
      <c r="R220" s="108"/>
      <c r="S220" s="115">
        <v>5342.535690000001</v>
      </c>
      <c r="T220" s="103" t="b">
        <v>0</v>
      </c>
      <c r="U220" s="103"/>
      <c r="V220" s="103"/>
      <c r="W220" s="103"/>
      <c r="X220" s="103"/>
      <c r="Y220" s="103"/>
      <c r="Z220" s="103"/>
    </row>
    <row r="221">
      <c r="A221" s="110" t="s">
        <v>865</v>
      </c>
      <c r="B221" s="103" t="s">
        <v>1487</v>
      </c>
      <c r="C221" s="103" t="s">
        <v>1172</v>
      </c>
      <c r="D221" s="103" t="s">
        <v>1160</v>
      </c>
      <c r="E221" s="103" t="s">
        <v>766</v>
      </c>
      <c r="F221" s="103" t="s">
        <v>459</v>
      </c>
      <c r="G221" s="115"/>
      <c r="H221" s="107" t="s">
        <v>21</v>
      </c>
      <c r="I221" s="103">
        <v>15.0</v>
      </c>
      <c r="J221" s="108"/>
      <c r="K221" s="109" t="s">
        <v>866</v>
      </c>
      <c r="L221" s="103" t="s">
        <v>1488</v>
      </c>
      <c r="M221" s="120">
        <v>0.1</v>
      </c>
      <c r="N221" s="103" t="s">
        <v>1154</v>
      </c>
      <c r="O221" s="112"/>
      <c r="P221" s="115"/>
      <c r="Q221" s="114"/>
      <c r="R221" s="108"/>
      <c r="S221" s="115">
        <v>900.0</v>
      </c>
      <c r="T221" s="103" t="b">
        <v>0</v>
      </c>
      <c r="U221" s="103"/>
      <c r="V221" s="103"/>
      <c r="W221" s="103"/>
      <c r="X221" s="103"/>
      <c r="Y221" s="103"/>
      <c r="Z221" s="103"/>
    </row>
    <row r="222">
      <c r="A222" s="110" t="s">
        <v>867</v>
      </c>
      <c r="B222" s="103" t="s">
        <v>1456</v>
      </c>
      <c r="C222" s="103" t="s">
        <v>1151</v>
      </c>
      <c r="D222" s="103" t="s">
        <v>1160</v>
      </c>
      <c r="E222" s="103" t="s">
        <v>766</v>
      </c>
      <c r="F222" s="103" t="s">
        <v>459</v>
      </c>
      <c r="G222" s="115"/>
      <c r="H222" s="107" t="s">
        <v>21</v>
      </c>
      <c r="I222" s="103">
        <v>30.0</v>
      </c>
      <c r="J222" s="108"/>
      <c r="K222" s="109" t="s">
        <v>1489</v>
      </c>
      <c r="L222" s="110"/>
      <c r="M222" s="111"/>
      <c r="N222" s="103" t="s">
        <v>1154</v>
      </c>
      <c r="O222" s="112"/>
      <c r="P222" s="115"/>
      <c r="Q222" s="114"/>
      <c r="R222" s="108"/>
      <c r="S222" s="115">
        <v>600.0</v>
      </c>
      <c r="T222" s="103" t="b">
        <v>0</v>
      </c>
      <c r="U222" s="103"/>
      <c r="V222" s="103"/>
      <c r="W222" s="103"/>
      <c r="X222" s="103"/>
      <c r="Y222" s="103"/>
      <c r="Z222" s="103"/>
    </row>
    <row r="223">
      <c r="A223" s="110" t="s">
        <v>869</v>
      </c>
      <c r="B223" s="103" t="s">
        <v>1352</v>
      </c>
      <c r="C223" s="103" t="s">
        <v>1490</v>
      </c>
      <c r="D223" s="103" t="s">
        <v>1160</v>
      </c>
      <c r="E223" s="103" t="s">
        <v>766</v>
      </c>
      <c r="F223" s="103" t="s">
        <v>459</v>
      </c>
      <c r="G223" s="115"/>
      <c r="H223" s="107" t="s">
        <v>21</v>
      </c>
      <c r="I223" s="103">
        <v>30.0</v>
      </c>
      <c r="J223" s="108"/>
      <c r="K223" s="109" t="s">
        <v>870</v>
      </c>
      <c r="L223" s="110"/>
      <c r="M223" s="111"/>
      <c r="N223" s="103" t="s">
        <v>1154</v>
      </c>
      <c r="O223" s="112"/>
      <c r="P223" s="115"/>
      <c r="Q223" s="114"/>
      <c r="R223" s="108"/>
      <c r="S223" s="115">
        <v>250.0</v>
      </c>
      <c r="T223" s="103" t="b">
        <v>0</v>
      </c>
      <c r="U223" s="103"/>
      <c r="V223" s="103"/>
      <c r="W223" s="103"/>
      <c r="X223" s="103"/>
      <c r="Y223" s="103"/>
      <c r="Z223" s="103"/>
    </row>
    <row r="224">
      <c r="A224" s="110" t="s">
        <v>871</v>
      </c>
      <c r="B224" s="103" t="s">
        <v>1491</v>
      </c>
      <c r="C224" s="103" t="s">
        <v>1492</v>
      </c>
      <c r="D224" s="103" t="s">
        <v>1160</v>
      </c>
      <c r="E224" s="103" t="s">
        <v>766</v>
      </c>
      <c r="F224" s="103" t="s">
        <v>459</v>
      </c>
      <c r="G224" s="115"/>
      <c r="H224" s="107" t="s">
        <v>9</v>
      </c>
      <c r="I224" s="103"/>
      <c r="J224" s="108"/>
      <c r="K224" s="109" t="s">
        <v>873</v>
      </c>
      <c r="L224" s="110"/>
      <c r="M224" s="111"/>
      <c r="N224" s="103" t="s">
        <v>1154</v>
      </c>
      <c r="O224" s="112"/>
      <c r="P224" s="115"/>
      <c r="Q224" s="114"/>
      <c r="R224" s="108"/>
      <c r="S224" s="115">
        <v>533.768</v>
      </c>
      <c r="T224" s="103" t="b">
        <v>0</v>
      </c>
      <c r="U224" s="103"/>
      <c r="V224" s="103"/>
      <c r="W224" s="103"/>
      <c r="X224" s="103"/>
      <c r="Y224" s="103"/>
      <c r="Z224" s="103"/>
    </row>
    <row r="225">
      <c r="A225" s="110" t="s">
        <v>884</v>
      </c>
      <c r="B225" s="103" t="s">
        <v>1493</v>
      </c>
      <c r="C225" s="103" t="s">
        <v>1494</v>
      </c>
      <c r="D225" s="103" t="s">
        <v>52</v>
      </c>
      <c r="E225" s="103" t="s">
        <v>27</v>
      </c>
      <c r="F225" s="103" t="s">
        <v>52</v>
      </c>
      <c r="G225" s="106">
        <v>250.0</v>
      </c>
      <c r="H225" s="107" t="s">
        <v>9</v>
      </c>
      <c r="I225" s="103"/>
      <c r="J225" s="108"/>
      <c r="K225" s="109" t="s">
        <v>857</v>
      </c>
      <c r="L225" s="103" t="s">
        <v>1193</v>
      </c>
      <c r="M225" s="120">
        <v>0.2</v>
      </c>
      <c r="N225" s="103" t="s">
        <v>1154</v>
      </c>
      <c r="O225" s="112"/>
      <c r="P225" s="115"/>
      <c r="Q225" s="114"/>
      <c r="R225" s="108"/>
      <c r="S225" s="115">
        <v>1882.8392500000002</v>
      </c>
      <c r="T225" s="103" t="b">
        <v>0</v>
      </c>
      <c r="U225" s="103"/>
      <c r="V225" s="103"/>
      <c r="W225" s="103"/>
      <c r="X225" s="103"/>
      <c r="Y225" s="103"/>
      <c r="Z225" s="103"/>
    </row>
    <row r="226">
      <c r="A226" s="110" t="s">
        <v>874</v>
      </c>
      <c r="B226" s="103" t="s">
        <v>1495</v>
      </c>
      <c r="C226" s="103" t="s">
        <v>1496</v>
      </c>
      <c r="D226" s="103" t="s">
        <v>1160</v>
      </c>
      <c r="E226" s="103" t="s">
        <v>766</v>
      </c>
      <c r="F226" s="103" t="s">
        <v>252</v>
      </c>
      <c r="G226" s="106">
        <v>2975.0</v>
      </c>
      <c r="H226" s="107" t="s">
        <v>21</v>
      </c>
      <c r="I226" s="103" t="s">
        <v>1497</v>
      </c>
      <c r="J226" s="108"/>
      <c r="K226" s="109" t="s">
        <v>1498</v>
      </c>
      <c r="L226" s="110"/>
      <c r="M226" s="111"/>
      <c r="N226" s="103" t="s">
        <v>1154</v>
      </c>
      <c r="O226" s="112"/>
      <c r="P226" s="115"/>
      <c r="Q226" s="114"/>
      <c r="R226" s="108"/>
      <c r="S226" s="115">
        <v>2975.0</v>
      </c>
      <c r="T226" s="103" t="b">
        <v>0</v>
      </c>
      <c r="U226" s="103"/>
      <c r="V226" s="103"/>
      <c r="W226" s="103"/>
      <c r="X226" s="103"/>
      <c r="Y226" s="103"/>
      <c r="Z226" s="103"/>
    </row>
    <row r="227">
      <c r="A227" s="110" t="s">
        <v>890</v>
      </c>
      <c r="B227" s="103" t="s">
        <v>1475</v>
      </c>
      <c r="C227" s="103" t="s">
        <v>1499</v>
      </c>
      <c r="D227" s="103" t="s">
        <v>52</v>
      </c>
      <c r="E227" s="103" t="s">
        <v>51</v>
      </c>
      <c r="F227" s="103" t="s">
        <v>52</v>
      </c>
      <c r="G227" s="106">
        <v>1700.0</v>
      </c>
      <c r="H227" s="107" t="s">
        <v>21</v>
      </c>
      <c r="I227" s="103">
        <v>15.0</v>
      </c>
      <c r="J227" s="108"/>
      <c r="K227" s="109" t="s">
        <v>891</v>
      </c>
      <c r="L227" s="110"/>
      <c r="M227" s="111"/>
      <c r="N227" s="103" t="s">
        <v>1157</v>
      </c>
      <c r="O227" s="109" t="s">
        <v>1500</v>
      </c>
      <c r="P227" s="115"/>
      <c r="Q227" s="114"/>
      <c r="R227" s="108"/>
      <c r="S227" s="115">
        <v>5100.0</v>
      </c>
      <c r="T227" s="103" t="b">
        <v>0</v>
      </c>
      <c r="U227" s="103"/>
      <c r="V227" s="103"/>
      <c r="W227" s="103"/>
      <c r="X227" s="103"/>
      <c r="Y227" s="103"/>
      <c r="Z227" s="103"/>
    </row>
    <row r="228">
      <c r="A228" s="110" t="s">
        <v>896</v>
      </c>
      <c r="B228" s="103" t="s">
        <v>1501</v>
      </c>
      <c r="C228" s="103" t="s">
        <v>1471</v>
      </c>
      <c r="D228" s="103" t="s">
        <v>1160</v>
      </c>
      <c r="E228" s="103" t="s">
        <v>766</v>
      </c>
      <c r="F228" s="103" t="s">
        <v>252</v>
      </c>
      <c r="G228" s="106">
        <v>1399.0</v>
      </c>
      <c r="H228" s="107" t="s">
        <v>21</v>
      </c>
      <c r="I228" s="103"/>
      <c r="J228" s="108"/>
      <c r="K228" s="128" t="s">
        <v>1502</v>
      </c>
      <c r="L228" s="110"/>
      <c r="M228" s="111"/>
      <c r="N228" s="103" t="s">
        <v>1154</v>
      </c>
      <c r="O228" s="112"/>
      <c r="P228" s="115"/>
      <c r="Q228" s="114"/>
      <c r="R228" s="108"/>
      <c r="S228" s="115">
        <v>1649.0</v>
      </c>
      <c r="T228" s="103" t="b">
        <v>0</v>
      </c>
      <c r="U228" s="103"/>
      <c r="V228" s="103"/>
      <c r="W228" s="103"/>
      <c r="X228" s="103"/>
      <c r="Y228" s="103"/>
      <c r="Z228" s="103"/>
    </row>
    <row r="229">
      <c r="A229" s="110" t="s">
        <v>898</v>
      </c>
      <c r="B229" s="103" t="s">
        <v>1383</v>
      </c>
      <c r="C229" s="103" t="s">
        <v>1503</v>
      </c>
      <c r="D229" s="103" t="s">
        <v>1160</v>
      </c>
      <c r="E229" s="103" t="s">
        <v>766</v>
      </c>
      <c r="F229" s="103" t="s">
        <v>19</v>
      </c>
      <c r="G229" s="106">
        <v>3000.0</v>
      </c>
      <c r="H229" s="107" t="s">
        <v>9</v>
      </c>
      <c r="I229" s="103">
        <v>15.0</v>
      </c>
      <c r="J229" s="108"/>
      <c r="K229" s="109" t="s">
        <v>1504</v>
      </c>
      <c r="L229" s="110"/>
      <c r="M229" s="111"/>
      <c r="N229" s="103" t="s">
        <v>1154</v>
      </c>
      <c r="O229" s="112"/>
      <c r="P229" s="115"/>
      <c r="Q229" s="114"/>
      <c r="R229" s="108"/>
      <c r="S229" s="115">
        <v>3884.1195</v>
      </c>
      <c r="T229" s="103" t="b">
        <v>0</v>
      </c>
      <c r="U229" s="103"/>
      <c r="V229" s="103"/>
      <c r="W229" s="103"/>
      <c r="X229" s="103"/>
      <c r="Y229" s="103"/>
      <c r="Z229" s="103"/>
    </row>
    <row r="230">
      <c r="A230" s="110" t="s">
        <v>913</v>
      </c>
      <c r="B230" s="103" t="s">
        <v>1429</v>
      </c>
      <c r="C230" s="103" t="s">
        <v>1471</v>
      </c>
      <c r="D230" s="103" t="s">
        <v>1160</v>
      </c>
      <c r="E230" s="103" t="s">
        <v>766</v>
      </c>
      <c r="F230" s="103" t="s">
        <v>252</v>
      </c>
      <c r="G230" s="106">
        <v>700.0</v>
      </c>
      <c r="H230" s="107" t="s">
        <v>21</v>
      </c>
      <c r="I230" s="103">
        <v>15.0</v>
      </c>
      <c r="J230" s="108"/>
      <c r="K230" s="109" t="s">
        <v>914</v>
      </c>
      <c r="L230" s="110"/>
      <c r="M230" s="111"/>
      <c r="N230" s="103" t="s">
        <v>1154</v>
      </c>
      <c r="O230" s="112"/>
      <c r="P230" s="115"/>
      <c r="Q230" s="114"/>
      <c r="R230" s="108"/>
      <c r="S230" s="115">
        <v>700.0</v>
      </c>
      <c r="T230" s="103" t="b">
        <v>0</v>
      </c>
      <c r="U230" s="103"/>
      <c r="V230" s="103"/>
      <c r="W230" s="103"/>
      <c r="X230" s="103"/>
      <c r="Y230" s="103"/>
      <c r="Z230" s="103"/>
    </row>
    <row r="231">
      <c r="A231" s="110" t="s">
        <v>915</v>
      </c>
      <c r="B231" s="103" t="s">
        <v>1389</v>
      </c>
      <c r="C231" s="103" t="s">
        <v>1505</v>
      </c>
      <c r="D231" s="103" t="s">
        <v>1160</v>
      </c>
      <c r="E231" s="103" t="s">
        <v>766</v>
      </c>
      <c r="F231" s="103" t="s">
        <v>252</v>
      </c>
      <c r="G231" s="106">
        <v>599.0</v>
      </c>
      <c r="H231" s="107" t="s">
        <v>21</v>
      </c>
      <c r="I231" s="103">
        <v>0.0</v>
      </c>
      <c r="J231" s="108"/>
      <c r="K231" s="109" t="s">
        <v>916</v>
      </c>
      <c r="L231" s="110"/>
      <c r="M231" s="111"/>
      <c r="N231" s="103" t="s">
        <v>1154</v>
      </c>
      <c r="O231" s="112"/>
      <c r="P231" s="115"/>
      <c r="Q231" s="114"/>
      <c r="R231" s="108"/>
      <c r="S231" s="115">
        <v>599.0</v>
      </c>
      <c r="T231" s="103" t="b">
        <v>0</v>
      </c>
      <c r="U231" s="103"/>
      <c r="V231" s="103"/>
      <c r="W231" s="103"/>
      <c r="X231" s="103"/>
      <c r="Y231" s="103"/>
      <c r="Z231" s="103"/>
    </row>
    <row r="232">
      <c r="A232" s="110" t="s">
        <v>918</v>
      </c>
      <c r="B232" s="103" t="s">
        <v>1439</v>
      </c>
      <c r="C232" s="103" t="s">
        <v>36</v>
      </c>
      <c r="D232" s="103" t="s">
        <v>1160</v>
      </c>
      <c r="E232" s="103" t="s">
        <v>766</v>
      </c>
      <c r="F232" s="103" t="s">
        <v>19</v>
      </c>
      <c r="G232" s="106">
        <v>2800.0</v>
      </c>
      <c r="H232" s="107" t="s">
        <v>21</v>
      </c>
      <c r="I232" s="103">
        <v>0.0</v>
      </c>
      <c r="J232" s="108"/>
      <c r="K232" s="109" t="s">
        <v>1506</v>
      </c>
      <c r="L232" s="110"/>
      <c r="M232" s="111"/>
      <c r="N232" s="103" t="s">
        <v>1154</v>
      </c>
      <c r="O232" s="112"/>
      <c r="P232" s="115"/>
      <c r="Q232" s="114"/>
      <c r="R232" s="108"/>
      <c r="S232" s="115">
        <v>2800.0</v>
      </c>
      <c r="T232" s="103" t="b">
        <v>0</v>
      </c>
      <c r="U232" s="103"/>
      <c r="V232" s="103"/>
      <c r="W232" s="103"/>
      <c r="X232" s="103"/>
      <c r="Y232" s="103"/>
      <c r="Z232" s="103"/>
    </row>
    <row r="233">
      <c r="A233" s="110" t="s">
        <v>932</v>
      </c>
      <c r="B233" s="103" t="s">
        <v>1507</v>
      </c>
      <c r="C233" s="103" t="s">
        <v>1381</v>
      </c>
      <c r="D233" s="103" t="s">
        <v>1160</v>
      </c>
      <c r="E233" s="103" t="s">
        <v>766</v>
      </c>
      <c r="F233" s="103" t="s">
        <v>19</v>
      </c>
      <c r="G233" s="106">
        <v>1600.0</v>
      </c>
      <c r="H233" s="107" t="s">
        <v>21</v>
      </c>
      <c r="I233" s="103">
        <v>15.0</v>
      </c>
      <c r="J233" s="108"/>
      <c r="K233" s="109" t="s">
        <v>1508</v>
      </c>
      <c r="L233" s="110"/>
      <c r="M233" s="111"/>
      <c r="N233" s="103" t="s">
        <v>1154</v>
      </c>
      <c r="O233" s="112"/>
      <c r="P233" s="115"/>
      <c r="Q233" s="114"/>
      <c r="R233" s="108"/>
      <c r="S233" s="115">
        <v>1600.0</v>
      </c>
      <c r="T233" s="103" t="b">
        <v>0</v>
      </c>
      <c r="U233" s="103"/>
      <c r="V233" s="103"/>
      <c r="W233" s="103"/>
      <c r="X233" s="103"/>
      <c r="Y233" s="103"/>
      <c r="Z233" s="103"/>
    </row>
    <row r="234">
      <c r="A234" s="110" t="s">
        <v>935</v>
      </c>
      <c r="B234" s="103" t="s">
        <v>1282</v>
      </c>
      <c r="C234" s="103" t="s">
        <v>1509</v>
      </c>
      <c r="D234" s="103" t="s">
        <v>1160</v>
      </c>
      <c r="E234" s="103" t="s">
        <v>766</v>
      </c>
      <c r="F234" s="103" t="s">
        <v>252</v>
      </c>
      <c r="G234" s="106">
        <v>2400.0</v>
      </c>
      <c r="H234" s="107" t="s">
        <v>21</v>
      </c>
      <c r="I234" s="103">
        <v>30.0</v>
      </c>
      <c r="J234" s="108"/>
      <c r="K234" s="109" t="s">
        <v>936</v>
      </c>
      <c r="L234" s="110"/>
      <c r="M234" s="111"/>
      <c r="N234" s="103" t="s">
        <v>1154</v>
      </c>
      <c r="O234" s="112"/>
      <c r="P234" s="115"/>
      <c r="Q234" s="114"/>
      <c r="R234" s="108"/>
      <c r="S234" s="115">
        <v>2400.0</v>
      </c>
      <c r="T234" s="103" t="b">
        <v>0</v>
      </c>
      <c r="U234" s="103"/>
      <c r="V234" s="103"/>
      <c r="W234" s="103"/>
      <c r="X234" s="103"/>
      <c r="Y234" s="103"/>
      <c r="Z234" s="103"/>
    </row>
    <row r="235">
      <c r="A235" s="110" t="s">
        <v>966</v>
      </c>
      <c r="B235" s="103" t="s">
        <v>1487</v>
      </c>
      <c r="C235" s="103" t="s">
        <v>1510</v>
      </c>
      <c r="D235" s="103" t="s">
        <v>52</v>
      </c>
      <c r="E235" s="103" t="s">
        <v>27</v>
      </c>
      <c r="F235" s="103" t="s">
        <v>52</v>
      </c>
      <c r="G235" s="106">
        <v>1800.0</v>
      </c>
      <c r="H235" s="107" t="s">
        <v>21</v>
      </c>
      <c r="I235" s="103">
        <v>15.0</v>
      </c>
      <c r="J235" s="108"/>
      <c r="K235" s="109" t="s">
        <v>1080</v>
      </c>
      <c r="L235" s="103" t="s">
        <v>1488</v>
      </c>
      <c r="M235" s="120">
        <v>0.1</v>
      </c>
      <c r="N235" s="103" t="s">
        <v>1154</v>
      </c>
      <c r="O235" s="112"/>
      <c r="P235" s="115"/>
      <c r="Q235" s="114"/>
      <c r="R235" s="108"/>
      <c r="S235" s="115">
        <v>9100.0</v>
      </c>
      <c r="T235" s="103" t="b">
        <v>0</v>
      </c>
      <c r="U235" s="103"/>
      <c r="V235" s="103"/>
      <c r="W235" s="103"/>
      <c r="X235" s="103"/>
      <c r="Y235" s="103"/>
      <c r="Z235" s="103"/>
    </row>
    <row r="236">
      <c r="A236" s="110" t="s">
        <v>979</v>
      </c>
      <c r="B236" s="103" t="s">
        <v>1511</v>
      </c>
      <c r="C236" s="103" t="s">
        <v>1512</v>
      </c>
      <c r="D236" s="103" t="s">
        <v>1160</v>
      </c>
      <c r="E236" s="103" t="s">
        <v>766</v>
      </c>
      <c r="F236" s="103" t="s">
        <v>252</v>
      </c>
      <c r="G236" s="106">
        <v>3300.0</v>
      </c>
      <c r="H236" s="107" t="s">
        <v>9</v>
      </c>
      <c r="I236" s="103">
        <v>0.0</v>
      </c>
      <c r="J236" s="108"/>
      <c r="K236" s="109" t="s">
        <v>1513</v>
      </c>
      <c r="L236" s="110"/>
      <c r="M236" s="111"/>
      <c r="N236" s="103" t="s">
        <v>1154</v>
      </c>
      <c r="O236" s="112"/>
      <c r="P236" s="115"/>
      <c r="Q236" s="114"/>
      <c r="R236" s="108"/>
      <c r="S236" s="115">
        <v>4254.875900000001</v>
      </c>
      <c r="T236" s="103" t="b">
        <v>0</v>
      </c>
      <c r="U236" s="103"/>
      <c r="V236" s="103"/>
      <c r="W236" s="103"/>
      <c r="X236" s="103"/>
      <c r="Y236" s="103"/>
      <c r="Z236" s="103"/>
    </row>
    <row r="237">
      <c r="A237" s="110" t="s">
        <v>1001</v>
      </c>
      <c r="B237" s="103" t="s">
        <v>1294</v>
      </c>
      <c r="C237" s="103" t="s">
        <v>1471</v>
      </c>
      <c r="D237" s="103" t="s">
        <v>1160</v>
      </c>
      <c r="E237" s="103" t="s">
        <v>766</v>
      </c>
      <c r="F237" s="103" t="s">
        <v>252</v>
      </c>
      <c r="G237" s="132">
        <v>490.0</v>
      </c>
      <c r="H237" s="107" t="s">
        <v>9</v>
      </c>
      <c r="I237" s="103">
        <v>30.0</v>
      </c>
      <c r="J237" s="108"/>
      <c r="K237" s="109" t="s">
        <v>1003</v>
      </c>
      <c r="L237" s="110"/>
      <c r="M237" s="111"/>
      <c r="N237" s="103" t="s">
        <v>1154</v>
      </c>
      <c r="O237" s="112"/>
      <c r="P237" s="115"/>
      <c r="Q237" s="114"/>
      <c r="R237" s="108"/>
      <c r="S237" s="115">
        <v>624.59173</v>
      </c>
      <c r="T237" s="103" t="b">
        <v>0</v>
      </c>
      <c r="U237" s="103"/>
      <c r="V237" s="103"/>
      <c r="W237" s="103"/>
      <c r="X237" s="103"/>
      <c r="Y237" s="103"/>
      <c r="Z237" s="103"/>
    </row>
    <row r="238">
      <c r="A238" s="110" t="s">
        <v>1006</v>
      </c>
      <c r="B238" s="103" t="s">
        <v>1250</v>
      </c>
      <c r="C238" s="103" t="s">
        <v>1514</v>
      </c>
      <c r="D238" s="103" t="s">
        <v>1160</v>
      </c>
      <c r="E238" s="103" t="s">
        <v>766</v>
      </c>
      <c r="F238" s="103" t="s">
        <v>252</v>
      </c>
      <c r="G238" s="106">
        <v>1000.0</v>
      </c>
      <c r="H238" s="107" t="s">
        <v>21</v>
      </c>
      <c r="I238" s="103">
        <v>30.0</v>
      </c>
      <c r="J238" s="108"/>
      <c r="K238" s="109" t="s">
        <v>1515</v>
      </c>
      <c r="L238" s="110"/>
      <c r="M238" s="111"/>
      <c r="N238" s="103" t="s">
        <v>1154</v>
      </c>
      <c r="O238" s="112"/>
      <c r="P238" s="115"/>
      <c r="Q238" s="114"/>
      <c r="R238" s="108"/>
      <c r="S238" s="115">
        <v>1000.0</v>
      </c>
      <c r="T238" s="103" t="b">
        <v>0</v>
      </c>
      <c r="U238" s="103"/>
      <c r="V238" s="103"/>
      <c r="W238" s="103"/>
      <c r="X238" s="103"/>
      <c r="Y238" s="103"/>
      <c r="Z238" s="103"/>
    </row>
    <row r="239">
      <c r="A239" s="110" t="s">
        <v>1008</v>
      </c>
      <c r="B239" s="103" t="s">
        <v>1516</v>
      </c>
      <c r="C239" s="103" t="s">
        <v>1509</v>
      </c>
      <c r="D239" s="103" t="s">
        <v>1160</v>
      </c>
      <c r="E239" s="103" t="s">
        <v>766</v>
      </c>
      <c r="F239" s="103" t="s">
        <v>252</v>
      </c>
      <c r="G239" s="106">
        <v>2400.0</v>
      </c>
      <c r="H239" s="107" t="s">
        <v>21</v>
      </c>
      <c r="I239" s="103"/>
      <c r="J239" s="108"/>
      <c r="K239" s="109" t="s">
        <v>1517</v>
      </c>
      <c r="L239" s="110"/>
      <c r="M239" s="111"/>
      <c r="N239" s="103" t="s">
        <v>1154</v>
      </c>
      <c r="O239" s="112"/>
      <c r="P239" s="115"/>
      <c r="Q239" s="114"/>
      <c r="R239" s="108"/>
      <c r="S239" s="115">
        <v>2400.0</v>
      </c>
      <c r="T239" s="103" t="b">
        <v>0</v>
      </c>
      <c r="U239" s="103"/>
      <c r="V239" s="103"/>
      <c r="W239" s="103"/>
      <c r="X239" s="103"/>
      <c r="Y239" s="103"/>
      <c r="Z239" s="103"/>
    </row>
    <row r="240">
      <c r="A240" s="110" t="s">
        <v>1011</v>
      </c>
      <c r="B240" s="103" t="s">
        <v>1404</v>
      </c>
      <c r="C240" s="103" t="s">
        <v>1518</v>
      </c>
      <c r="D240" s="103" t="s">
        <v>1160</v>
      </c>
      <c r="E240" s="103" t="s">
        <v>766</v>
      </c>
      <c r="F240" s="103" t="s">
        <v>252</v>
      </c>
      <c r="G240" s="106">
        <v>2200.0</v>
      </c>
      <c r="H240" s="107" t="s">
        <v>9</v>
      </c>
      <c r="I240" s="103">
        <v>15.0</v>
      </c>
      <c r="J240" s="108"/>
      <c r="K240" s="109" t="s">
        <v>1013</v>
      </c>
      <c r="L240" s="110"/>
      <c r="M240" s="111"/>
      <c r="N240" s="103" t="s">
        <v>1154</v>
      </c>
      <c r="O240" s="112"/>
      <c r="P240" s="115"/>
      <c r="Q240" s="114"/>
      <c r="R240" s="108"/>
      <c r="S240" s="115">
        <v>2200.0</v>
      </c>
      <c r="T240" s="103" t="b">
        <v>0</v>
      </c>
      <c r="U240" s="103"/>
      <c r="V240" s="103"/>
      <c r="W240" s="103"/>
      <c r="X240" s="103"/>
      <c r="Y240" s="103"/>
      <c r="Z240" s="103"/>
    </row>
    <row r="241">
      <c r="A241" s="110" t="s">
        <v>1014</v>
      </c>
      <c r="B241" s="103" t="s">
        <v>1519</v>
      </c>
      <c r="C241" s="103" t="s">
        <v>1509</v>
      </c>
      <c r="D241" s="103" t="s">
        <v>1160</v>
      </c>
      <c r="E241" s="103" t="s">
        <v>766</v>
      </c>
      <c r="F241" s="103" t="s">
        <v>252</v>
      </c>
      <c r="G241" s="106">
        <v>2400.0</v>
      </c>
      <c r="H241" s="107" t="s">
        <v>21</v>
      </c>
      <c r="I241" s="103">
        <v>30.0</v>
      </c>
      <c r="J241" s="108"/>
      <c r="K241" s="109" t="s">
        <v>1517</v>
      </c>
      <c r="L241" s="110"/>
      <c r="M241" s="111"/>
      <c r="N241" s="103" t="s">
        <v>1154</v>
      </c>
      <c r="O241" s="112"/>
      <c r="P241" s="115"/>
      <c r="Q241" s="114"/>
      <c r="R241" s="108"/>
      <c r="S241" s="115">
        <v>2400.0</v>
      </c>
      <c r="T241" s="103" t="b">
        <v>0</v>
      </c>
      <c r="U241" s="103"/>
      <c r="V241" s="103"/>
      <c r="W241" s="103"/>
      <c r="X241" s="103"/>
      <c r="Y241" s="103"/>
      <c r="Z241" s="103"/>
    </row>
    <row r="242">
      <c r="A242" s="110" t="s">
        <v>1018</v>
      </c>
      <c r="B242" s="103" t="s">
        <v>1520</v>
      </c>
      <c r="C242" s="103" t="s">
        <v>1168</v>
      </c>
      <c r="D242" s="103" t="s">
        <v>1160</v>
      </c>
      <c r="E242" s="103" t="s">
        <v>766</v>
      </c>
      <c r="F242" s="103" t="s">
        <v>19</v>
      </c>
      <c r="G242" s="106">
        <v>1700.0</v>
      </c>
      <c r="H242" s="107" t="s">
        <v>9</v>
      </c>
      <c r="I242" s="103"/>
      <c r="J242" s="108"/>
      <c r="K242" s="109" t="s">
        <v>1521</v>
      </c>
      <c r="L242" s="103" t="s">
        <v>1193</v>
      </c>
      <c r="M242" s="120">
        <v>0.2</v>
      </c>
      <c r="N242" s="103" t="s">
        <v>1154</v>
      </c>
      <c r="O242" s="112"/>
      <c r="P242" s="115"/>
      <c r="Q242" s="114"/>
      <c r="R242" s="108"/>
      <c r="S242" s="115">
        <v>2193.08755</v>
      </c>
      <c r="T242" s="103" t="b">
        <v>0</v>
      </c>
      <c r="U242" s="103"/>
      <c r="V242" s="103"/>
      <c r="W242" s="103"/>
      <c r="X242" s="103"/>
      <c r="Y242" s="103"/>
      <c r="Z242" s="103"/>
    </row>
    <row r="243">
      <c r="A243" s="110" t="s">
        <v>1031</v>
      </c>
      <c r="B243" s="103" t="s">
        <v>1216</v>
      </c>
      <c r="C243" s="103" t="s">
        <v>1522</v>
      </c>
      <c r="D243" s="103" t="s">
        <v>1160</v>
      </c>
      <c r="E243" s="103" t="s">
        <v>766</v>
      </c>
      <c r="F243" s="103" t="s">
        <v>252</v>
      </c>
      <c r="G243" s="115">
        <f>490</f>
        <v>490</v>
      </c>
      <c r="H243" s="107" t="s">
        <v>21</v>
      </c>
      <c r="I243" s="103">
        <v>30.0</v>
      </c>
      <c r="J243" s="108"/>
      <c r="K243" s="109" t="s">
        <v>1523</v>
      </c>
      <c r="L243" s="110"/>
      <c r="M243" s="111"/>
      <c r="N243" s="103" t="s">
        <v>1154</v>
      </c>
      <c r="O243" s="112"/>
      <c r="P243" s="115"/>
      <c r="Q243" s="114"/>
      <c r="R243" s="108"/>
      <c r="S243" s="115">
        <v>980.0</v>
      </c>
      <c r="T243" s="103" t="b">
        <v>0</v>
      </c>
      <c r="U243" s="103"/>
      <c r="V243" s="103"/>
      <c r="W243" s="103"/>
      <c r="X243" s="103"/>
      <c r="Y243" s="103"/>
      <c r="Z243" s="103"/>
    </row>
    <row r="244">
      <c r="A244" s="110" t="s">
        <v>1040</v>
      </c>
      <c r="B244" s="103" t="s">
        <v>1289</v>
      </c>
      <c r="C244" s="103" t="s">
        <v>1524</v>
      </c>
      <c r="D244" s="103" t="s">
        <v>1160</v>
      </c>
      <c r="E244" s="103" t="s">
        <v>766</v>
      </c>
      <c r="F244" s="103" t="s">
        <v>252</v>
      </c>
      <c r="G244" s="106">
        <v>700.0</v>
      </c>
      <c r="H244" s="107" t="s">
        <v>21</v>
      </c>
      <c r="I244" s="103">
        <v>30.0</v>
      </c>
      <c r="J244" s="108"/>
      <c r="K244" s="109" t="s">
        <v>914</v>
      </c>
      <c r="L244" s="110"/>
      <c r="M244" s="111"/>
      <c r="N244" s="103" t="s">
        <v>1154</v>
      </c>
      <c r="O244" s="112"/>
      <c r="P244" s="115"/>
      <c r="Q244" s="114"/>
      <c r="R244" s="108"/>
      <c r="S244" s="115">
        <v>700.0</v>
      </c>
      <c r="T244" s="103" t="b">
        <v>0</v>
      </c>
      <c r="U244" s="103"/>
      <c r="V244" s="103"/>
      <c r="W244" s="103"/>
      <c r="X244" s="103"/>
      <c r="Y244" s="103"/>
      <c r="Z244" s="103"/>
    </row>
    <row r="245">
      <c r="A245" s="110" t="s">
        <v>1041</v>
      </c>
      <c r="B245" s="103" t="s">
        <v>1475</v>
      </c>
      <c r="C245" s="103" t="s">
        <v>1525</v>
      </c>
      <c r="D245" s="103" t="s">
        <v>52</v>
      </c>
      <c r="E245" s="103" t="s">
        <v>51</v>
      </c>
      <c r="F245" s="103" t="s">
        <v>52</v>
      </c>
      <c r="G245" s="106">
        <v>1000.0</v>
      </c>
      <c r="H245" s="107" t="s">
        <v>21</v>
      </c>
      <c r="I245" s="103">
        <v>15.0</v>
      </c>
      <c r="J245" s="108"/>
      <c r="K245" s="109" t="s">
        <v>1132</v>
      </c>
      <c r="L245" s="110"/>
      <c r="M245" s="111"/>
      <c r="N245" s="103" t="s">
        <v>1182</v>
      </c>
      <c r="O245" s="109" t="s">
        <v>1526</v>
      </c>
      <c r="P245" s="115"/>
      <c r="Q245" s="114"/>
      <c r="R245" s="108"/>
      <c r="S245" s="115">
        <v>2700.0</v>
      </c>
      <c r="T245" s="103" t="b">
        <v>0</v>
      </c>
      <c r="U245" s="103"/>
      <c r="V245" s="103"/>
      <c r="W245" s="103"/>
      <c r="X245" s="103"/>
      <c r="Y245" s="103"/>
      <c r="Z245" s="103"/>
    </row>
    <row r="246">
      <c r="A246" s="110" t="s">
        <v>1527</v>
      </c>
      <c r="B246" s="103" t="s">
        <v>1289</v>
      </c>
      <c r="C246" s="103" t="s">
        <v>1471</v>
      </c>
      <c r="D246" s="103" t="s">
        <v>1160</v>
      </c>
      <c r="E246" s="103" t="s">
        <v>766</v>
      </c>
      <c r="F246" s="103" t="s">
        <v>252</v>
      </c>
      <c r="G246" s="106">
        <v>350.0</v>
      </c>
      <c r="H246" s="107" t="s">
        <v>21</v>
      </c>
      <c r="I246" s="103">
        <v>30.0</v>
      </c>
      <c r="J246" s="108"/>
      <c r="K246" s="109" t="s">
        <v>1528</v>
      </c>
      <c r="L246" s="110"/>
      <c r="M246" s="111"/>
      <c r="N246" s="103" t="s">
        <v>1154</v>
      </c>
      <c r="O246" s="112"/>
      <c r="P246" s="115"/>
      <c r="Q246" s="114"/>
      <c r="R246" s="108"/>
      <c r="S246" s="115">
        <v>0.0</v>
      </c>
      <c r="T246" s="103" t="b">
        <v>0</v>
      </c>
      <c r="U246" s="103"/>
      <c r="V246" s="103"/>
      <c r="W246" s="103"/>
      <c r="X246" s="103"/>
      <c r="Y246" s="103"/>
      <c r="Z246" s="103"/>
    </row>
    <row r="247">
      <c r="A247" s="110" t="s">
        <v>1053</v>
      </c>
      <c r="B247" s="103" t="s">
        <v>1398</v>
      </c>
      <c r="C247" s="103" t="s">
        <v>1471</v>
      </c>
      <c r="D247" s="103" t="s">
        <v>1160</v>
      </c>
      <c r="E247" s="103" t="s">
        <v>766</v>
      </c>
      <c r="F247" s="103" t="s">
        <v>252</v>
      </c>
      <c r="G247" s="106">
        <v>750.0</v>
      </c>
      <c r="H247" s="107" t="s">
        <v>9</v>
      </c>
      <c r="I247" s="103">
        <v>15.0</v>
      </c>
      <c r="J247" s="108"/>
      <c r="K247" s="109" t="s">
        <v>914</v>
      </c>
      <c r="L247" s="110"/>
      <c r="M247" s="111"/>
      <c r="N247" s="103" t="s">
        <v>1154</v>
      </c>
      <c r="O247" s="112"/>
      <c r="P247" s="115"/>
      <c r="Q247" s="114"/>
      <c r="R247" s="108"/>
      <c r="S247" s="115">
        <v>929.81025</v>
      </c>
      <c r="T247" s="103" t="b">
        <v>0</v>
      </c>
      <c r="U247" s="103"/>
      <c r="V247" s="103"/>
      <c r="W247" s="103"/>
      <c r="X247" s="103"/>
      <c r="Y247" s="103"/>
      <c r="Z247" s="103"/>
    </row>
    <row r="248">
      <c r="A248" s="110" t="s">
        <v>1055</v>
      </c>
      <c r="B248" s="103" t="s">
        <v>1404</v>
      </c>
      <c r="C248" s="103" t="s">
        <v>1471</v>
      </c>
      <c r="D248" s="103" t="s">
        <v>1160</v>
      </c>
      <c r="E248" s="103" t="s">
        <v>766</v>
      </c>
      <c r="F248" s="103" t="s">
        <v>252</v>
      </c>
      <c r="G248" s="106">
        <v>750.0</v>
      </c>
      <c r="H248" s="107" t="s">
        <v>9</v>
      </c>
      <c r="I248" s="103">
        <v>15.0</v>
      </c>
      <c r="J248" s="108"/>
      <c r="K248" s="109" t="s">
        <v>914</v>
      </c>
      <c r="L248" s="110"/>
      <c r="M248" s="111"/>
      <c r="N248" s="103" t="s">
        <v>1154</v>
      </c>
      <c r="O248" s="112"/>
      <c r="P248" s="115"/>
      <c r="Q248" s="114"/>
      <c r="R248" s="108"/>
      <c r="S248" s="115">
        <v>929.4502499999999</v>
      </c>
      <c r="T248" s="103" t="b">
        <v>0</v>
      </c>
      <c r="U248" s="103"/>
      <c r="V248" s="103"/>
      <c r="W248" s="103"/>
      <c r="X248" s="103"/>
      <c r="Y248" s="103"/>
      <c r="Z248" s="103"/>
    </row>
    <row r="249">
      <c r="A249" s="110" t="s">
        <v>1529</v>
      </c>
      <c r="B249" s="103" t="s">
        <v>1124</v>
      </c>
      <c r="C249" s="103" t="s">
        <v>1530</v>
      </c>
      <c r="D249" s="103" t="s">
        <v>1160</v>
      </c>
      <c r="E249" s="103" t="s">
        <v>766</v>
      </c>
      <c r="F249" s="103" t="s">
        <v>252</v>
      </c>
      <c r="G249" s="106">
        <v>2400.0</v>
      </c>
      <c r="H249" s="107" t="s">
        <v>21</v>
      </c>
      <c r="I249" s="103">
        <v>30.0</v>
      </c>
      <c r="J249" s="108"/>
      <c r="K249" s="109" t="s">
        <v>1531</v>
      </c>
      <c r="L249" s="110"/>
      <c r="M249" s="111"/>
      <c r="N249" s="103" t="s">
        <v>1154</v>
      </c>
      <c r="O249" s="112"/>
      <c r="P249" s="115"/>
      <c r="Q249" s="114"/>
      <c r="R249" s="108"/>
      <c r="S249" s="115">
        <v>0.0</v>
      </c>
      <c r="T249" s="103" t="b">
        <v>0</v>
      </c>
      <c r="U249" s="103"/>
      <c r="V249" s="103"/>
      <c r="W249" s="103"/>
      <c r="X249" s="103"/>
      <c r="Y249" s="103"/>
      <c r="Z249" s="103"/>
    </row>
    <row r="250">
      <c r="A250" s="110" t="s">
        <v>1060</v>
      </c>
      <c r="B250" s="103" t="s">
        <v>1532</v>
      </c>
      <c r="C250" s="103" t="s">
        <v>1533</v>
      </c>
      <c r="D250" s="103" t="s">
        <v>1160</v>
      </c>
      <c r="E250" s="103" t="s">
        <v>766</v>
      </c>
      <c r="F250" s="103" t="s">
        <v>252</v>
      </c>
      <c r="G250" s="106">
        <v>3800.0</v>
      </c>
      <c r="H250" s="107" t="s">
        <v>9</v>
      </c>
      <c r="I250" s="103">
        <v>15.0</v>
      </c>
      <c r="J250" s="108"/>
      <c r="K250" s="109" t="s">
        <v>1534</v>
      </c>
      <c r="L250" s="103" t="s">
        <v>1193</v>
      </c>
      <c r="M250" s="120">
        <v>0.2</v>
      </c>
      <c r="N250" s="103" t="s">
        <v>1154</v>
      </c>
      <c r="O250" s="109" t="s">
        <v>1535</v>
      </c>
      <c r="P250" s="115"/>
      <c r="Q250" s="114"/>
      <c r="R250" s="108"/>
      <c r="S250" s="115">
        <v>4922.837299999999</v>
      </c>
      <c r="T250" s="103" t="b">
        <v>0</v>
      </c>
      <c r="U250" s="103"/>
      <c r="V250" s="103"/>
      <c r="W250" s="103"/>
      <c r="X250" s="103"/>
      <c r="Y250" s="103"/>
      <c r="Z250" s="103"/>
    </row>
    <row r="251">
      <c r="A251" s="110" t="s">
        <v>1101</v>
      </c>
      <c r="B251" s="103" t="s">
        <v>1532</v>
      </c>
      <c r="C251" s="103" t="s">
        <v>1536</v>
      </c>
      <c r="D251" s="103" t="s">
        <v>52</v>
      </c>
      <c r="E251" s="103" t="s">
        <v>27</v>
      </c>
      <c r="F251" s="103" t="s">
        <v>52</v>
      </c>
      <c r="G251" s="106">
        <v>4000.0</v>
      </c>
      <c r="H251" s="107" t="s">
        <v>9</v>
      </c>
      <c r="I251" s="103">
        <v>15.0</v>
      </c>
      <c r="J251" s="108"/>
      <c r="K251" s="109" t="s">
        <v>1537</v>
      </c>
      <c r="L251" s="103" t="s">
        <v>1193</v>
      </c>
      <c r="M251" s="120">
        <v>0.2</v>
      </c>
      <c r="N251" s="103" t="s">
        <v>1154</v>
      </c>
      <c r="O251" s="109" t="s">
        <v>1538</v>
      </c>
      <c r="P251" s="115"/>
      <c r="Q251" s="114"/>
      <c r="R251" s="108"/>
      <c r="S251" s="115">
        <v>1963.377</v>
      </c>
      <c r="T251" s="103" t="b">
        <v>0</v>
      </c>
      <c r="U251" s="103"/>
      <c r="V251" s="103"/>
      <c r="W251" s="103"/>
      <c r="X251" s="103"/>
      <c r="Y251" s="103"/>
      <c r="Z251" s="103"/>
    </row>
    <row r="252">
      <c r="A252" s="110" t="s">
        <v>1066</v>
      </c>
      <c r="B252" s="103" t="s">
        <v>1286</v>
      </c>
      <c r="C252" s="103" t="s">
        <v>1168</v>
      </c>
      <c r="D252" s="103" t="s">
        <v>1160</v>
      </c>
      <c r="E252" s="103" t="s">
        <v>766</v>
      </c>
      <c r="F252" s="103" t="s">
        <v>688</v>
      </c>
      <c r="G252" s="106">
        <v>6100.0</v>
      </c>
      <c r="H252" s="107" t="s">
        <v>21</v>
      </c>
      <c r="I252" s="103">
        <v>30.0</v>
      </c>
      <c r="J252" s="108"/>
      <c r="K252" s="109" t="s">
        <v>1539</v>
      </c>
      <c r="L252" s="110"/>
      <c r="M252" s="111"/>
      <c r="N252" s="103" t="s">
        <v>1154</v>
      </c>
      <c r="O252" s="112"/>
      <c r="P252" s="115"/>
      <c r="Q252" s="114"/>
      <c r="R252" s="108"/>
      <c r="S252" s="115">
        <v>6100.0</v>
      </c>
      <c r="T252" s="103" t="b">
        <v>0</v>
      </c>
      <c r="U252" s="103"/>
      <c r="V252" s="103"/>
      <c r="W252" s="103"/>
      <c r="X252" s="103"/>
      <c r="Y252" s="103"/>
      <c r="Z252" s="103"/>
    </row>
    <row r="253">
      <c r="A253" s="110" t="s">
        <v>1070</v>
      </c>
      <c r="B253" s="103" t="s">
        <v>1540</v>
      </c>
      <c r="C253" s="103" t="s">
        <v>1393</v>
      </c>
      <c r="D253" s="103" t="s">
        <v>52</v>
      </c>
      <c r="E253" s="103" t="s">
        <v>27</v>
      </c>
      <c r="F253" s="103" t="s">
        <v>52</v>
      </c>
      <c r="G253" s="106">
        <v>750.0</v>
      </c>
      <c r="H253" s="107" t="s">
        <v>9</v>
      </c>
      <c r="I253" s="103">
        <v>15.0</v>
      </c>
      <c r="J253" s="108"/>
      <c r="K253" s="109" t="s">
        <v>1072</v>
      </c>
      <c r="L253" s="103" t="s">
        <v>1193</v>
      </c>
      <c r="M253" s="120">
        <v>0.2</v>
      </c>
      <c r="N253" s="103" t="s">
        <v>1154</v>
      </c>
      <c r="O253" s="112"/>
      <c r="P253" s="115"/>
      <c r="Q253" s="114"/>
      <c r="R253" s="108"/>
      <c r="S253" s="115">
        <v>1731.61575</v>
      </c>
      <c r="T253" s="103" t="b">
        <v>0</v>
      </c>
      <c r="U253" s="103"/>
      <c r="V253" s="103"/>
      <c r="W253" s="103"/>
      <c r="X253" s="103"/>
      <c r="Y253" s="103"/>
      <c r="Z253" s="103"/>
    </row>
    <row r="254">
      <c r="A254" s="110" t="s">
        <v>1105</v>
      </c>
      <c r="B254" s="103" t="s">
        <v>1501</v>
      </c>
      <c r="C254" s="103" t="s">
        <v>1541</v>
      </c>
      <c r="D254" s="103" t="s">
        <v>1160</v>
      </c>
      <c r="E254" s="103" t="s">
        <v>687</v>
      </c>
      <c r="F254" s="103" t="s">
        <v>252</v>
      </c>
      <c r="G254" s="106">
        <v>2000.0</v>
      </c>
      <c r="H254" s="107" t="s">
        <v>21</v>
      </c>
      <c r="I254" s="103">
        <v>15.0</v>
      </c>
      <c r="J254" s="108"/>
      <c r="K254" s="109" t="s">
        <v>1542</v>
      </c>
      <c r="L254" s="110"/>
      <c r="M254" s="111"/>
      <c r="N254" s="103"/>
      <c r="O254" s="112"/>
      <c r="P254" s="115"/>
      <c r="Q254" s="114"/>
      <c r="R254" s="108"/>
      <c r="S254" s="115">
        <v>2000.0</v>
      </c>
      <c r="T254" s="103" t="b">
        <v>0</v>
      </c>
      <c r="U254" s="103"/>
      <c r="V254" s="103"/>
      <c r="W254" s="103"/>
      <c r="X254" s="103"/>
      <c r="Y254" s="103"/>
      <c r="Z254" s="103"/>
    </row>
    <row r="255">
      <c r="A255" s="110" t="s">
        <v>1109</v>
      </c>
      <c r="B255" s="103" t="s">
        <v>1250</v>
      </c>
      <c r="C255" s="103" t="s">
        <v>1543</v>
      </c>
      <c r="D255" s="103" t="s">
        <v>52</v>
      </c>
      <c r="E255" s="103" t="s">
        <v>27</v>
      </c>
      <c r="F255" s="103" t="s">
        <v>52</v>
      </c>
      <c r="G255" s="106">
        <v>1800.0</v>
      </c>
      <c r="H255" s="107" t="s">
        <v>21</v>
      </c>
      <c r="I255" s="103">
        <v>30.0</v>
      </c>
      <c r="J255" s="108"/>
      <c r="K255" s="109" t="s">
        <v>1544</v>
      </c>
      <c r="L255" s="110"/>
      <c r="M255" s="111"/>
      <c r="N255" s="103"/>
      <c r="O255" s="112"/>
      <c r="P255" s="115"/>
      <c r="Q255" s="114"/>
      <c r="R255" s="108"/>
      <c r="S255" s="115">
        <v>1800.0</v>
      </c>
      <c r="T255" s="103" t="b">
        <v>0</v>
      </c>
      <c r="U255" s="103"/>
      <c r="V255" s="103"/>
      <c r="W255" s="103"/>
      <c r="X255" s="103"/>
      <c r="Y255" s="103"/>
      <c r="Z255" s="103"/>
    </row>
    <row r="256">
      <c r="A256" s="110" t="s">
        <v>1111</v>
      </c>
      <c r="B256" s="103" t="s">
        <v>1545</v>
      </c>
      <c r="C256" s="103" t="s">
        <v>1168</v>
      </c>
      <c r="D256" s="103" t="s">
        <v>1160</v>
      </c>
      <c r="E256" s="103" t="s">
        <v>687</v>
      </c>
      <c r="F256" s="103" t="s">
        <v>252</v>
      </c>
      <c r="G256" s="106">
        <v>15000.0</v>
      </c>
      <c r="H256" s="107" t="s">
        <v>9</v>
      </c>
      <c r="I256" s="103">
        <v>30.0</v>
      </c>
      <c r="J256" s="108"/>
      <c r="K256" s="109" t="s">
        <v>1546</v>
      </c>
      <c r="L256" s="103" t="s">
        <v>1193</v>
      </c>
      <c r="M256" s="111"/>
      <c r="N256" s="103" t="s">
        <v>1154</v>
      </c>
      <c r="O256" s="112"/>
      <c r="P256" s="115"/>
      <c r="Q256" s="114"/>
      <c r="R256" s="108"/>
      <c r="S256" s="115">
        <v>15000.0</v>
      </c>
      <c r="T256" s="103" t="b">
        <v>0</v>
      </c>
      <c r="U256" s="103"/>
      <c r="V256" s="103"/>
      <c r="W256" s="103"/>
      <c r="X256" s="103"/>
      <c r="Y256" s="103"/>
      <c r="Z256" s="103"/>
    </row>
    <row r="257">
      <c r="A257" s="110" t="s">
        <v>1114</v>
      </c>
      <c r="B257" s="103" t="s">
        <v>1547</v>
      </c>
      <c r="C257" s="103" t="s">
        <v>1548</v>
      </c>
      <c r="D257" s="103" t="s">
        <v>1160</v>
      </c>
      <c r="E257" s="103" t="s">
        <v>687</v>
      </c>
      <c r="F257" s="103" t="s">
        <v>252</v>
      </c>
      <c r="G257" s="106">
        <v>1500.0</v>
      </c>
      <c r="H257" s="107" t="s">
        <v>9</v>
      </c>
      <c r="I257" s="103"/>
      <c r="J257" s="108"/>
      <c r="K257" s="112"/>
      <c r="L257" s="110"/>
      <c r="M257" s="111"/>
      <c r="N257" s="103"/>
      <c r="O257" s="112"/>
      <c r="P257" s="115"/>
      <c r="Q257" s="114"/>
      <c r="R257" s="108"/>
      <c r="S257" s="115">
        <v>1963.377</v>
      </c>
      <c r="T257" s="103" t="b">
        <v>0</v>
      </c>
      <c r="U257" s="103"/>
      <c r="V257" s="103"/>
      <c r="W257" s="103"/>
      <c r="X257" s="103"/>
      <c r="Y257" s="103"/>
      <c r="Z257" s="103"/>
    </row>
    <row r="258">
      <c r="A258" s="110" t="s">
        <v>1120</v>
      </c>
      <c r="B258" s="103" t="s">
        <v>1549</v>
      </c>
      <c r="C258" s="103" t="s">
        <v>1168</v>
      </c>
      <c r="D258" s="103" t="s">
        <v>1160</v>
      </c>
      <c r="E258" s="103" t="s">
        <v>687</v>
      </c>
      <c r="F258" s="103" t="s">
        <v>252</v>
      </c>
      <c r="G258" s="106">
        <v>3000.0</v>
      </c>
      <c r="H258" s="107" t="s">
        <v>9</v>
      </c>
      <c r="I258" s="103"/>
      <c r="J258" s="108"/>
      <c r="K258" s="109" t="s">
        <v>1550</v>
      </c>
      <c r="L258" s="103"/>
      <c r="M258" s="111"/>
      <c r="N258" s="103" t="s">
        <v>1154</v>
      </c>
      <c r="O258" s="112"/>
      <c r="P258" s="115"/>
      <c r="Q258" s="114"/>
      <c r="R258" s="108"/>
      <c r="S258" s="115">
        <v>1500.0</v>
      </c>
      <c r="T258" s="103" t="b">
        <v>0</v>
      </c>
      <c r="U258" s="103"/>
      <c r="V258" s="103"/>
      <c r="W258" s="103"/>
      <c r="X258" s="103"/>
      <c r="Y258" s="103"/>
      <c r="Z258" s="103"/>
    </row>
    <row r="259">
      <c r="A259" s="110" t="s">
        <v>1133</v>
      </c>
      <c r="B259" s="103" t="s">
        <v>1291</v>
      </c>
      <c r="C259" s="103" t="s">
        <v>1551</v>
      </c>
      <c r="D259" s="103" t="s">
        <v>1160</v>
      </c>
      <c r="E259" s="103" t="s">
        <v>687</v>
      </c>
      <c r="F259" s="103" t="s">
        <v>252</v>
      </c>
      <c r="G259" s="106">
        <v>1100.0</v>
      </c>
      <c r="H259" s="107" t="s">
        <v>21</v>
      </c>
      <c r="I259" s="103">
        <v>30.0</v>
      </c>
      <c r="J259" s="108"/>
      <c r="K259" s="109" t="s">
        <v>1134</v>
      </c>
      <c r="L259" s="110"/>
      <c r="M259" s="111"/>
      <c r="N259" s="103" t="s">
        <v>1154</v>
      </c>
      <c r="O259" s="112"/>
      <c r="P259" s="115"/>
      <c r="Q259" s="114"/>
      <c r="R259" s="108"/>
      <c r="S259" s="115">
        <v>1100.0</v>
      </c>
      <c r="T259" s="103" t="b">
        <v>0</v>
      </c>
      <c r="U259" s="103"/>
      <c r="V259" s="103"/>
      <c r="W259" s="103"/>
      <c r="X259" s="103"/>
      <c r="Y259" s="103"/>
      <c r="Z259" s="103"/>
    </row>
    <row r="260">
      <c r="A260" s="110" t="s">
        <v>1552</v>
      </c>
      <c r="B260" s="103" t="s">
        <v>1245</v>
      </c>
      <c r="C260" s="103" t="s">
        <v>1509</v>
      </c>
      <c r="D260" s="103" t="s">
        <v>1160</v>
      </c>
      <c r="E260" s="103" t="s">
        <v>687</v>
      </c>
      <c r="F260" s="103" t="s">
        <v>252</v>
      </c>
      <c r="G260" s="106">
        <v>2400.0</v>
      </c>
      <c r="H260" s="107" t="s">
        <v>21</v>
      </c>
      <c r="I260" s="103">
        <v>0.0</v>
      </c>
      <c r="J260" s="108"/>
      <c r="K260" s="109" t="s">
        <v>1135</v>
      </c>
      <c r="L260" s="110"/>
      <c r="M260" s="111"/>
      <c r="N260" s="103"/>
      <c r="O260" s="112"/>
      <c r="P260" s="115"/>
      <c r="Q260" s="114"/>
      <c r="R260" s="108"/>
      <c r="S260" s="115">
        <v>0.0</v>
      </c>
      <c r="T260" s="103" t="b">
        <v>0</v>
      </c>
      <c r="U260" s="103"/>
      <c r="V260" s="103"/>
      <c r="W260" s="103"/>
      <c r="X260" s="103"/>
      <c r="Y260" s="103"/>
      <c r="Z260" s="103"/>
    </row>
    <row r="261">
      <c r="A261" s="110" t="s">
        <v>1553</v>
      </c>
      <c r="B261" s="103" t="s">
        <v>1216</v>
      </c>
      <c r="C261" s="103" t="s">
        <v>1393</v>
      </c>
      <c r="D261" s="103" t="s">
        <v>52</v>
      </c>
      <c r="E261" s="103" t="s">
        <v>687</v>
      </c>
      <c r="F261" s="103" t="s">
        <v>52</v>
      </c>
      <c r="G261" s="106">
        <v>450.0</v>
      </c>
      <c r="H261" s="107" t="s">
        <v>21</v>
      </c>
      <c r="I261" s="103">
        <v>30.0</v>
      </c>
      <c r="J261" s="108"/>
      <c r="K261" s="109" t="s">
        <v>1136</v>
      </c>
      <c r="L261" s="110"/>
      <c r="M261" s="111"/>
      <c r="N261" s="103" t="s">
        <v>1154</v>
      </c>
      <c r="O261" s="112"/>
      <c r="P261" s="115"/>
      <c r="Q261" s="114"/>
      <c r="R261" s="108"/>
      <c r="S261" s="115">
        <v>0.0</v>
      </c>
      <c r="T261" s="103" t="b">
        <v>0</v>
      </c>
      <c r="U261" s="103"/>
      <c r="V261" s="103"/>
      <c r="W261" s="103"/>
      <c r="X261" s="103"/>
      <c r="Y261" s="103"/>
      <c r="Z261" s="103"/>
    </row>
    <row r="262">
      <c r="A262" s="110" t="s">
        <v>200</v>
      </c>
      <c r="B262" s="110"/>
      <c r="C262" s="110"/>
      <c r="D262" s="110"/>
      <c r="E262" s="110"/>
      <c r="F262" s="110"/>
      <c r="G262" s="115"/>
      <c r="H262" s="133"/>
      <c r="I262" s="103"/>
      <c r="J262" s="108"/>
      <c r="K262" s="112"/>
      <c r="L262" s="110"/>
      <c r="M262" s="111"/>
      <c r="N262" s="103"/>
      <c r="O262" s="112"/>
      <c r="P262" s="115"/>
      <c r="Q262" s="114"/>
      <c r="R262" s="108"/>
      <c r="S262" s="115" t="s">
        <v>200</v>
      </c>
      <c r="T262" s="103" t="b">
        <v>0</v>
      </c>
      <c r="U262" s="103"/>
      <c r="V262" s="103"/>
      <c r="W262" s="103"/>
      <c r="X262" s="103"/>
      <c r="Y262" s="103"/>
      <c r="Z262" s="103"/>
    </row>
    <row r="263">
      <c r="A263" s="110" t="s">
        <v>200</v>
      </c>
      <c r="B263" s="110"/>
      <c r="C263" s="110"/>
      <c r="D263" s="110"/>
      <c r="E263" s="110"/>
      <c r="F263" s="110"/>
      <c r="G263" s="115"/>
      <c r="H263" s="133"/>
      <c r="I263" s="103"/>
      <c r="J263" s="108"/>
      <c r="K263" s="112"/>
      <c r="L263" s="110"/>
      <c r="M263" s="111"/>
      <c r="N263" s="103"/>
      <c r="O263" s="112"/>
      <c r="P263" s="115"/>
      <c r="Q263" s="114"/>
      <c r="R263" s="108"/>
      <c r="S263" s="115" t="s">
        <v>200</v>
      </c>
      <c r="T263" s="103" t="b">
        <v>0</v>
      </c>
      <c r="U263" s="103"/>
      <c r="V263" s="103"/>
      <c r="W263" s="103"/>
      <c r="X263" s="103"/>
      <c r="Y263" s="103"/>
      <c r="Z263" s="103"/>
    </row>
    <row r="264">
      <c r="A264" s="110" t="s">
        <v>200</v>
      </c>
      <c r="B264" s="110"/>
      <c r="C264" s="110"/>
      <c r="D264" s="110"/>
      <c r="E264" s="110"/>
      <c r="F264" s="110"/>
      <c r="G264" s="115"/>
      <c r="H264" s="133"/>
      <c r="I264" s="103"/>
      <c r="J264" s="108"/>
      <c r="K264" s="112"/>
      <c r="L264" s="110"/>
      <c r="M264" s="111"/>
      <c r="N264" s="103"/>
      <c r="O264" s="112"/>
      <c r="P264" s="115"/>
      <c r="Q264" s="114"/>
      <c r="R264" s="108"/>
      <c r="S264" s="115" t="s">
        <v>200</v>
      </c>
      <c r="T264" s="103" t="b">
        <v>0</v>
      </c>
      <c r="U264" s="103"/>
      <c r="V264" s="103"/>
      <c r="W264" s="103"/>
      <c r="X264" s="103"/>
      <c r="Y264" s="103"/>
      <c r="Z264" s="103"/>
    </row>
    <row r="265">
      <c r="A265" s="110" t="s">
        <v>200</v>
      </c>
      <c r="B265" s="110"/>
      <c r="C265" s="110"/>
      <c r="D265" s="110"/>
      <c r="E265" s="110"/>
      <c r="F265" s="110"/>
      <c r="G265" s="115"/>
      <c r="H265" s="133"/>
      <c r="I265" s="103"/>
      <c r="J265" s="108"/>
      <c r="K265" s="112"/>
      <c r="L265" s="110"/>
      <c r="M265" s="111"/>
      <c r="N265" s="103"/>
      <c r="O265" s="112"/>
      <c r="P265" s="115"/>
      <c r="Q265" s="114"/>
      <c r="R265" s="108"/>
      <c r="S265" s="115" t="s">
        <v>200</v>
      </c>
      <c r="T265" s="103" t="b">
        <v>0</v>
      </c>
      <c r="U265" s="103"/>
      <c r="V265" s="103"/>
      <c r="W265" s="103"/>
      <c r="X265" s="103"/>
      <c r="Y265" s="103"/>
      <c r="Z265" s="103"/>
    </row>
    <row r="266">
      <c r="A266" s="110" t="s">
        <v>200</v>
      </c>
      <c r="B266" s="110"/>
      <c r="C266" s="110"/>
      <c r="D266" s="110"/>
      <c r="E266" s="110"/>
      <c r="F266" s="110"/>
      <c r="G266" s="115"/>
      <c r="H266" s="133"/>
      <c r="I266" s="103"/>
      <c r="J266" s="108"/>
      <c r="K266" s="112"/>
      <c r="L266" s="110"/>
      <c r="M266" s="111"/>
      <c r="N266" s="103"/>
      <c r="O266" s="112"/>
      <c r="P266" s="115"/>
      <c r="Q266" s="114"/>
      <c r="R266" s="108"/>
      <c r="S266" s="115" t="s">
        <v>200</v>
      </c>
      <c r="T266" s="103" t="b">
        <v>0</v>
      </c>
      <c r="U266" s="103"/>
      <c r="V266" s="103"/>
      <c r="W266" s="103"/>
      <c r="X266" s="103"/>
      <c r="Y266" s="103"/>
      <c r="Z266" s="103"/>
    </row>
    <row r="267">
      <c r="A267" s="110" t="s">
        <v>200</v>
      </c>
      <c r="B267" s="110"/>
      <c r="C267" s="110"/>
      <c r="D267" s="110"/>
      <c r="E267" s="110"/>
      <c r="F267" s="110"/>
      <c r="G267" s="115"/>
      <c r="H267" s="133"/>
      <c r="I267" s="103"/>
      <c r="J267" s="108"/>
      <c r="K267" s="112"/>
      <c r="L267" s="110"/>
      <c r="M267" s="111"/>
      <c r="N267" s="103"/>
      <c r="O267" s="112"/>
      <c r="P267" s="115"/>
      <c r="Q267" s="114"/>
      <c r="R267" s="108"/>
      <c r="S267" s="115" t="s">
        <v>200</v>
      </c>
      <c r="T267" s="103" t="b">
        <v>0</v>
      </c>
      <c r="U267" s="103"/>
      <c r="V267" s="103"/>
      <c r="W267" s="103"/>
      <c r="X267" s="103"/>
      <c r="Y267" s="103"/>
      <c r="Z267" s="103"/>
    </row>
    <row r="268">
      <c r="A268" s="110" t="s">
        <v>200</v>
      </c>
      <c r="B268" s="110"/>
      <c r="C268" s="110"/>
      <c r="D268" s="110"/>
      <c r="E268" s="110"/>
      <c r="F268" s="110"/>
      <c r="G268" s="115"/>
      <c r="H268" s="133"/>
      <c r="I268" s="103"/>
      <c r="J268" s="108"/>
      <c r="K268" s="112"/>
      <c r="L268" s="110"/>
      <c r="M268" s="111"/>
      <c r="N268" s="103"/>
      <c r="O268" s="112"/>
      <c r="P268" s="115"/>
      <c r="Q268" s="114"/>
      <c r="R268" s="108"/>
      <c r="S268" s="115" t="s">
        <v>200</v>
      </c>
      <c r="T268" s="103" t="b">
        <v>0</v>
      </c>
      <c r="U268" s="103"/>
      <c r="V268" s="103"/>
      <c r="W268" s="103"/>
      <c r="X268" s="103"/>
      <c r="Y268" s="103"/>
      <c r="Z268" s="103"/>
    </row>
    <row r="269">
      <c r="A269" s="110" t="s">
        <v>200</v>
      </c>
      <c r="B269" s="110"/>
      <c r="C269" s="110"/>
      <c r="D269" s="110"/>
      <c r="E269" s="110"/>
      <c r="F269" s="110"/>
      <c r="G269" s="115"/>
      <c r="H269" s="133"/>
      <c r="I269" s="103"/>
      <c r="J269" s="108"/>
      <c r="K269" s="112"/>
      <c r="L269" s="110"/>
      <c r="M269" s="111"/>
      <c r="N269" s="103"/>
      <c r="O269" s="112"/>
      <c r="P269" s="115"/>
      <c r="Q269" s="114"/>
      <c r="R269" s="108"/>
      <c r="S269" s="115" t="s">
        <v>200</v>
      </c>
      <c r="T269" s="103" t="b">
        <v>0</v>
      </c>
      <c r="U269" s="103"/>
      <c r="V269" s="103"/>
      <c r="W269" s="103"/>
      <c r="X269" s="103"/>
      <c r="Y269" s="103"/>
      <c r="Z269" s="103"/>
    </row>
    <row r="270">
      <c r="A270" s="110" t="s">
        <v>200</v>
      </c>
      <c r="B270" s="110"/>
      <c r="C270" s="110"/>
      <c r="D270" s="110"/>
      <c r="E270" s="110"/>
      <c r="F270" s="110"/>
      <c r="G270" s="115"/>
      <c r="H270" s="133"/>
      <c r="I270" s="103"/>
      <c r="J270" s="108"/>
      <c r="K270" s="112"/>
      <c r="L270" s="110"/>
      <c r="M270" s="111"/>
      <c r="N270" s="103"/>
      <c r="O270" s="112"/>
      <c r="P270" s="115"/>
      <c r="Q270" s="114"/>
      <c r="R270" s="108"/>
      <c r="S270" s="115" t="s">
        <v>200</v>
      </c>
      <c r="T270" s="103" t="b">
        <v>0</v>
      </c>
      <c r="U270" s="103"/>
      <c r="V270" s="103"/>
      <c r="W270" s="103"/>
      <c r="X270" s="103"/>
      <c r="Y270" s="103"/>
      <c r="Z270" s="103"/>
    </row>
    <row r="271">
      <c r="A271" s="110" t="s">
        <v>200</v>
      </c>
      <c r="B271" s="110"/>
      <c r="C271" s="110"/>
      <c r="D271" s="110"/>
      <c r="E271" s="110"/>
      <c r="F271" s="110"/>
      <c r="G271" s="115"/>
      <c r="H271" s="133"/>
      <c r="I271" s="103"/>
      <c r="J271" s="108"/>
      <c r="K271" s="112"/>
      <c r="L271" s="110"/>
      <c r="M271" s="111"/>
      <c r="N271" s="103"/>
      <c r="O271" s="112"/>
      <c r="P271" s="115"/>
      <c r="Q271" s="114"/>
      <c r="R271" s="108"/>
      <c r="S271" s="115" t="s">
        <v>200</v>
      </c>
      <c r="T271" s="103" t="b">
        <v>0</v>
      </c>
      <c r="U271" s="103"/>
      <c r="V271" s="103"/>
      <c r="W271" s="103"/>
      <c r="X271" s="103"/>
      <c r="Y271" s="103"/>
      <c r="Z271" s="103"/>
    </row>
    <row r="272">
      <c r="A272" s="110" t="s">
        <v>200</v>
      </c>
      <c r="B272" s="110"/>
      <c r="C272" s="110"/>
      <c r="D272" s="110"/>
      <c r="E272" s="110"/>
      <c r="F272" s="110"/>
      <c r="G272" s="115"/>
      <c r="H272" s="133"/>
      <c r="I272" s="103"/>
      <c r="J272" s="108"/>
      <c r="K272" s="112"/>
      <c r="L272" s="110"/>
      <c r="M272" s="111"/>
      <c r="N272" s="103"/>
      <c r="O272" s="112"/>
      <c r="P272" s="115"/>
      <c r="Q272" s="114"/>
      <c r="R272" s="108"/>
      <c r="S272" s="115" t="s">
        <v>200</v>
      </c>
      <c r="T272" s="103" t="b">
        <v>0</v>
      </c>
      <c r="U272" s="103"/>
      <c r="V272" s="103"/>
      <c r="W272" s="103"/>
      <c r="X272" s="103"/>
      <c r="Y272" s="103"/>
      <c r="Z272" s="103"/>
    </row>
    <row r="273">
      <c r="A273" s="110" t="s">
        <v>200</v>
      </c>
      <c r="B273" s="110"/>
      <c r="C273" s="110"/>
      <c r="D273" s="110"/>
      <c r="E273" s="110"/>
      <c r="F273" s="110"/>
      <c r="G273" s="115"/>
      <c r="H273" s="133"/>
      <c r="I273" s="103"/>
      <c r="J273" s="108"/>
      <c r="K273" s="112"/>
      <c r="L273" s="110"/>
      <c r="M273" s="111"/>
      <c r="N273" s="103"/>
      <c r="O273" s="112"/>
      <c r="P273" s="115"/>
      <c r="Q273" s="114"/>
      <c r="R273" s="108"/>
      <c r="S273" s="115" t="s">
        <v>200</v>
      </c>
      <c r="T273" s="103" t="b">
        <v>0</v>
      </c>
      <c r="U273" s="103"/>
      <c r="V273" s="103"/>
      <c r="W273" s="103"/>
      <c r="X273" s="103"/>
      <c r="Y273" s="103"/>
      <c r="Z273" s="103"/>
    </row>
    <row r="274">
      <c r="A274" s="110" t="s">
        <v>200</v>
      </c>
      <c r="B274" s="110"/>
      <c r="C274" s="110"/>
      <c r="D274" s="110"/>
      <c r="E274" s="110"/>
      <c r="F274" s="110"/>
      <c r="G274" s="115"/>
      <c r="H274" s="133"/>
      <c r="I274" s="103"/>
      <c r="J274" s="108"/>
      <c r="K274" s="112"/>
      <c r="L274" s="110"/>
      <c r="M274" s="111"/>
      <c r="N274" s="103"/>
      <c r="O274" s="112"/>
      <c r="P274" s="115"/>
      <c r="Q274" s="114"/>
      <c r="R274" s="108"/>
      <c r="S274" s="115" t="s">
        <v>200</v>
      </c>
      <c r="T274" s="103" t="b">
        <v>0</v>
      </c>
      <c r="U274" s="103"/>
      <c r="V274" s="103"/>
      <c r="W274" s="103"/>
      <c r="X274" s="103"/>
      <c r="Y274" s="103"/>
      <c r="Z274" s="103"/>
    </row>
    <row r="275">
      <c r="A275" s="110" t="s">
        <v>200</v>
      </c>
      <c r="B275" s="110"/>
      <c r="C275" s="110"/>
      <c r="D275" s="110"/>
      <c r="E275" s="110"/>
      <c r="F275" s="110"/>
      <c r="G275" s="115"/>
      <c r="H275" s="133"/>
      <c r="I275" s="103"/>
      <c r="J275" s="108"/>
      <c r="K275" s="112"/>
      <c r="L275" s="110"/>
      <c r="M275" s="111"/>
      <c r="N275" s="103"/>
      <c r="O275" s="112"/>
      <c r="P275" s="115"/>
      <c r="Q275" s="114"/>
      <c r="R275" s="108"/>
      <c r="S275" s="115" t="s">
        <v>200</v>
      </c>
      <c r="T275" s="103" t="b">
        <v>0</v>
      </c>
      <c r="U275" s="103"/>
      <c r="V275" s="103"/>
      <c r="W275" s="103"/>
      <c r="X275" s="103"/>
      <c r="Y275" s="103"/>
      <c r="Z275" s="103"/>
    </row>
    <row r="276">
      <c r="A276" s="110" t="s">
        <v>200</v>
      </c>
      <c r="B276" s="110"/>
      <c r="C276" s="110"/>
      <c r="D276" s="110"/>
      <c r="E276" s="110"/>
      <c r="F276" s="110"/>
      <c r="G276" s="115"/>
      <c r="H276" s="133"/>
      <c r="I276" s="103"/>
      <c r="J276" s="108"/>
      <c r="K276" s="112"/>
      <c r="L276" s="110"/>
      <c r="M276" s="111"/>
      <c r="N276" s="103"/>
      <c r="O276" s="112"/>
      <c r="P276" s="115"/>
      <c r="Q276" s="114"/>
      <c r="R276" s="108"/>
      <c r="S276" s="115" t="s">
        <v>200</v>
      </c>
      <c r="T276" s="103" t="b">
        <v>0</v>
      </c>
      <c r="U276" s="103"/>
      <c r="V276" s="103"/>
      <c r="W276" s="103"/>
      <c r="X276" s="103"/>
      <c r="Y276" s="103"/>
      <c r="Z276" s="103"/>
    </row>
    <row r="277">
      <c r="A277" s="110" t="s">
        <v>200</v>
      </c>
      <c r="B277" s="110"/>
      <c r="C277" s="110"/>
      <c r="D277" s="110"/>
      <c r="E277" s="110"/>
      <c r="F277" s="110"/>
      <c r="G277" s="115"/>
      <c r="H277" s="133"/>
      <c r="I277" s="103"/>
      <c r="J277" s="108"/>
      <c r="K277" s="112"/>
      <c r="L277" s="110"/>
      <c r="M277" s="111"/>
      <c r="N277" s="103"/>
      <c r="O277" s="112"/>
      <c r="P277" s="115"/>
      <c r="Q277" s="114"/>
      <c r="R277" s="108"/>
      <c r="S277" s="115" t="s">
        <v>200</v>
      </c>
      <c r="T277" s="103" t="b">
        <v>0</v>
      </c>
      <c r="U277" s="103"/>
      <c r="V277" s="103"/>
      <c r="W277" s="103"/>
      <c r="X277" s="103"/>
      <c r="Y277" s="103"/>
      <c r="Z277" s="103"/>
    </row>
    <row r="278">
      <c r="A278" s="110" t="s">
        <v>200</v>
      </c>
      <c r="B278" s="110"/>
      <c r="C278" s="110"/>
      <c r="D278" s="110"/>
      <c r="E278" s="110"/>
      <c r="F278" s="110"/>
      <c r="G278" s="115"/>
      <c r="H278" s="133"/>
      <c r="I278" s="103"/>
      <c r="J278" s="108"/>
      <c r="K278" s="112"/>
      <c r="L278" s="110"/>
      <c r="M278" s="111"/>
      <c r="N278" s="103"/>
      <c r="O278" s="112"/>
      <c r="P278" s="115"/>
      <c r="Q278" s="114"/>
      <c r="R278" s="108"/>
      <c r="S278" s="115" t="s">
        <v>200</v>
      </c>
      <c r="T278" s="103" t="b">
        <v>0</v>
      </c>
      <c r="U278" s="103"/>
      <c r="V278" s="103"/>
      <c r="W278" s="103"/>
      <c r="X278" s="103"/>
      <c r="Y278" s="103"/>
      <c r="Z278" s="103"/>
    </row>
    <row r="279">
      <c r="A279" s="110" t="s">
        <v>200</v>
      </c>
      <c r="B279" s="110"/>
      <c r="C279" s="110"/>
      <c r="D279" s="110"/>
      <c r="E279" s="110"/>
      <c r="F279" s="110"/>
      <c r="G279" s="115"/>
      <c r="H279" s="133"/>
      <c r="I279" s="103"/>
      <c r="J279" s="108"/>
      <c r="K279" s="112"/>
      <c r="L279" s="110"/>
      <c r="M279" s="111"/>
      <c r="N279" s="103"/>
      <c r="O279" s="112"/>
      <c r="P279" s="115"/>
      <c r="Q279" s="114"/>
      <c r="R279" s="108"/>
      <c r="S279" s="115" t="s">
        <v>200</v>
      </c>
      <c r="T279" s="103" t="b">
        <v>0</v>
      </c>
      <c r="U279" s="103"/>
      <c r="V279" s="103"/>
      <c r="W279" s="103"/>
      <c r="X279" s="103"/>
      <c r="Y279" s="103"/>
      <c r="Z279" s="103"/>
    </row>
    <row r="280">
      <c r="A280" s="110" t="s">
        <v>200</v>
      </c>
      <c r="B280" s="110"/>
      <c r="C280" s="110"/>
      <c r="D280" s="110"/>
      <c r="E280" s="110"/>
      <c r="F280" s="110"/>
      <c r="G280" s="115"/>
      <c r="H280" s="133"/>
      <c r="I280" s="103"/>
      <c r="J280" s="108"/>
      <c r="K280" s="112"/>
      <c r="L280" s="110"/>
      <c r="M280" s="111"/>
      <c r="N280" s="103"/>
      <c r="O280" s="112"/>
      <c r="P280" s="115"/>
      <c r="Q280" s="114"/>
      <c r="R280" s="108"/>
      <c r="S280" s="115" t="s">
        <v>200</v>
      </c>
      <c r="T280" s="103" t="b">
        <v>0</v>
      </c>
      <c r="U280" s="103"/>
      <c r="V280" s="103"/>
      <c r="W280" s="103"/>
      <c r="X280" s="103"/>
      <c r="Y280" s="103"/>
      <c r="Z280" s="103"/>
    </row>
    <row r="281">
      <c r="A281" s="110" t="s">
        <v>200</v>
      </c>
      <c r="B281" s="110"/>
      <c r="C281" s="110"/>
      <c r="D281" s="110"/>
      <c r="E281" s="110"/>
      <c r="F281" s="110"/>
      <c r="G281" s="115"/>
      <c r="H281" s="133"/>
      <c r="I281" s="103"/>
      <c r="J281" s="108"/>
      <c r="K281" s="112"/>
      <c r="L281" s="110"/>
      <c r="M281" s="111"/>
      <c r="N281" s="103"/>
      <c r="O281" s="112"/>
      <c r="P281" s="115"/>
      <c r="Q281" s="114"/>
      <c r="R281" s="108"/>
      <c r="S281" s="115" t="s">
        <v>200</v>
      </c>
      <c r="T281" s="103" t="b">
        <v>0</v>
      </c>
      <c r="U281" s="103"/>
      <c r="V281" s="103"/>
      <c r="W281" s="103"/>
      <c r="X281" s="103"/>
      <c r="Y281" s="103"/>
      <c r="Z281" s="103"/>
    </row>
    <row r="282">
      <c r="A282" s="110" t="s">
        <v>200</v>
      </c>
      <c r="B282" s="110"/>
      <c r="C282" s="110"/>
      <c r="D282" s="110"/>
      <c r="E282" s="110"/>
      <c r="F282" s="110"/>
      <c r="G282" s="115"/>
      <c r="H282" s="133"/>
      <c r="I282" s="103"/>
      <c r="J282" s="108"/>
      <c r="K282" s="112"/>
      <c r="L282" s="110"/>
      <c r="M282" s="111"/>
      <c r="N282" s="103"/>
      <c r="O282" s="112"/>
      <c r="P282" s="115"/>
      <c r="Q282" s="114"/>
      <c r="R282" s="108"/>
      <c r="S282" s="115" t="s">
        <v>200</v>
      </c>
      <c r="T282" s="103" t="b">
        <v>0</v>
      </c>
      <c r="U282" s="103"/>
      <c r="V282" s="103"/>
      <c r="W282" s="103"/>
      <c r="X282" s="103"/>
      <c r="Y282" s="103"/>
      <c r="Z282" s="103"/>
    </row>
    <row r="283">
      <c r="A283" s="110" t="s">
        <v>200</v>
      </c>
      <c r="B283" s="110"/>
      <c r="C283" s="110"/>
      <c r="D283" s="110"/>
      <c r="E283" s="110"/>
      <c r="F283" s="110"/>
      <c r="G283" s="115"/>
      <c r="H283" s="133"/>
      <c r="I283" s="103"/>
      <c r="J283" s="108"/>
      <c r="K283" s="112"/>
      <c r="L283" s="110"/>
      <c r="M283" s="111"/>
      <c r="N283" s="103"/>
      <c r="O283" s="112"/>
      <c r="P283" s="115"/>
      <c r="Q283" s="114"/>
      <c r="R283" s="108"/>
      <c r="S283" s="115" t="s">
        <v>200</v>
      </c>
      <c r="T283" s="103" t="b">
        <v>0</v>
      </c>
      <c r="U283" s="103"/>
      <c r="V283" s="103"/>
      <c r="W283" s="103"/>
      <c r="X283" s="103"/>
      <c r="Y283" s="103"/>
      <c r="Z283" s="103"/>
    </row>
    <row r="284">
      <c r="A284" s="110" t="s">
        <v>200</v>
      </c>
      <c r="B284" s="110"/>
      <c r="C284" s="110"/>
      <c r="D284" s="110"/>
      <c r="E284" s="110"/>
      <c r="F284" s="110"/>
      <c r="G284" s="115"/>
      <c r="H284" s="133"/>
      <c r="I284" s="103"/>
      <c r="J284" s="108"/>
      <c r="K284" s="112"/>
      <c r="L284" s="110"/>
      <c r="M284" s="111"/>
      <c r="N284" s="103"/>
      <c r="O284" s="112"/>
      <c r="P284" s="115"/>
      <c r="Q284" s="114"/>
      <c r="R284" s="108"/>
      <c r="S284" s="115" t="s">
        <v>200</v>
      </c>
      <c r="T284" s="103" t="b">
        <v>0</v>
      </c>
      <c r="U284" s="103"/>
      <c r="V284" s="103"/>
      <c r="W284" s="103"/>
      <c r="X284" s="103"/>
      <c r="Y284" s="103"/>
      <c r="Z284" s="103"/>
    </row>
    <row r="285">
      <c r="A285" s="110" t="s">
        <v>200</v>
      </c>
      <c r="B285" s="110"/>
      <c r="C285" s="110"/>
      <c r="D285" s="110"/>
      <c r="E285" s="110"/>
      <c r="F285" s="110"/>
      <c r="G285" s="115"/>
      <c r="H285" s="133"/>
      <c r="I285" s="103"/>
      <c r="J285" s="108"/>
      <c r="K285" s="112"/>
      <c r="L285" s="110"/>
      <c r="M285" s="111"/>
      <c r="N285" s="103"/>
      <c r="O285" s="112"/>
      <c r="P285" s="115"/>
      <c r="Q285" s="114"/>
      <c r="R285" s="108"/>
      <c r="S285" s="115" t="s">
        <v>200</v>
      </c>
      <c r="T285" s="103" t="b">
        <v>0</v>
      </c>
      <c r="U285" s="103"/>
      <c r="V285" s="103"/>
      <c r="W285" s="103"/>
      <c r="X285" s="103"/>
      <c r="Y285" s="103"/>
      <c r="Z285" s="103"/>
    </row>
    <row r="286">
      <c r="A286" s="110" t="s">
        <v>200</v>
      </c>
      <c r="B286" s="110"/>
      <c r="C286" s="110"/>
      <c r="D286" s="110"/>
      <c r="E286" s="110"/>
      <c r="F286" s="110"/>
      <c r="G286" s="115"/>
      <c r="H286" s="133"/>
      <c r="I286" s="103"/>
      <c r="J286" s="108"/>
      <c r="K286" s="112"/>
      <c r="L286" s="110"/>
      <c r="M286" s="111"/>
      <c r="N286" s="103"/>
      <c r="O286" s="112"/>
      <c r="P286" s="115"/>
      <c r="Q286" s="114"/>
      <c r="R286" s="108"/>
      <c r="S286" s="115" t="s">
        <v>200</v>
      </c>
      <c r="T286" s="103" t="b">
        <v>0</v>
      </c>
      <c r="U286" s="103"/>
      <c r="V286" s="103"/>
      <c r="W286" s="103"/>
      <c r="X286" s="103"/>
      <c r="Y286" s="103"/>
      <c r="Z286" s="103"/>
    </row>
    <row r="287">
      <c r="A287" s="110" t="s">
        <v>200</v>
      </c>
      <c r="B287" s="110"/>
      <c r="C287" s="110"/>
      <c r="D287" s="110"/>
      <c r="E287" s="110"/>
      <c r="F287" s="110"/>
      <c r="G287" s="115"/>
      <c r="H287" s="133"/>
      <c r="I287" s="103"/>
      <c r="J287" s="108"/>
      <c r="K287" s="112"/>
      <c r="L287" s="110"/>
      <c r="M287" s="111"/>
      <c r="N287" s="103"/>
      <c r="O287" s="112"/>
      <c r="P287" s="115"/>
      <c r="Q287" s="114"/>
      <c r="R287" s="108"/>
      <c r="S287" s="115" t="s">
        <v>200</v>
      </c>
      <c r="T287" s="103" t="b">
        <v>0</v>
      </c>
      <c r="U287" s="103"/>
      <c r="V287" s="103"/>
      <c r="W287" s="103"/>
      <c r="X287" s="103"/>
      <c r="Y287" s="103"/>
      <c r="Z287" s="103"/>
    </row>
    <row r="288">
      <c r="A288" s="110" t="s">
        <v>200</v>
      </c>
      <c r="B288" s="110"/>
      <c r="C288" s="110"/>
      <c r="D288" s="110"/>
      <c r="E288" s="110"/>
      <c r="F288" s="110"/>
      <c r="G288" s="115"/>
      <c r="H288" s="133"/>
      <c r="I288" s="103"/>
      <c r="J288" s="108"/>
      <c r="K288" s="112"/>
      <c r="L288" s="110"/>
      <c r="M288" s="111"/>
      <c r="N288" s="103"/>
      <c r="O288" s="112"/>
      <c r="P288" s="115"/>
      <c r="Q288" s="114"/>
      <c r="R288" s="108"/>
      <c r="S288" s="115" t="s">
        <v>200</v>
      </c>
      <c r="T288" s="103" t="b">
        <v>0</v>
      </c>
      <c r="U288" s="103"/>
      <c r="V288" s="103"/>
      <c r="W288" s="103"/>
      <c r="X288" s="103"/>
      <c r="Y288" s="103"/>
      <c r="Z288" s="103"/>
    </row>
    <row r="289">
      <c r="A289" s="110" t="s">
        <v>200</v>
      </c>
      <c r="B289" s="110"/>
      <c r="C289" s="110"/>
      <c r="D289" s="110"/>
      <c r="E289" s="110"/>
      <c r="F289" s="110"/>
      <c r="G289" s="115"/>
      <c r="H289" s="133"/>
      <c r="I289" s="103"/>
      <c r="J289" s="108"/>
      <c r="K289" s="112"/>
      <c r="L289" s="110"/>
      <c r="M289" s="111"/>
      <c r="N289" s="103"/>
      <c r="O289" s="112"/>
      <c r="P289" s="115"/>
      <c r="Q289" s="114"/>
      <c r="R289" s="108"/>
      <c r="S289" s="115" t="s">
        <v>200</v>
      </c>
      <c r="T289" s="103" t="b">
        <v>0</v>
      </c>
      <c r="U289" s="103"/>
      <c r="V289" s="103"/>
      <c r="W289" s="103"/>
      <c r="X289" s="103"/>
      <c r="Y289" s="103"/>
      <c r="Z289" s="103"/>
    </row>
    <row r="290">
      <c r="A290" s="110" t="s">
        <v>200</v>
      </c>
      <c r="B290" s="110"/>
      <c r="C290" s="110"/>
      <c r="D290" s="110"/>
      <c r="E290" s="110"/>
      <c r="F290" s="110"/>
      <c r="G290" s="115"/>
      <c r="H290" s="133"/>
      <c r="I290" s="103"/>
      <c r="J290" s="108"/>
      <c r="K290" s="112"/>
      <c r="L290" s="110"/>
      <c r="M290" s="111"/>
      <c r="N290" s="103"/>
      <c r="O290" s="112"/>
      <c r="P290" s="115"/>
      <c r="Q290" s="114"/>
      <c r="R290" s="108"/>
      <c r="S290" s="115" t="s">
        <v>200</v>
      </c>
      <c r="T290" s="103" t="b">
        <v>0</v>
      </c>
      <c r="U290" s="103"/>
      <c r="V290" s="103"/>
      <c r="W290" s="103"/>
      <c r="X290" s="103"/>
      <c r="Y290" s="103"/>
      <c r="Z290" s="103"/>
    </row>
    <row r="291">
      <c r="A291" s="110" t="s">
        <v>200</v>
      </c>
      <c r="B291" s="110"/>
      <c r="C291" s="110"/>
      <c r="D291" s="110"/>
      <c r="E291" s="110"/>
      <c r="F291" s="110"/>
      <c r="G291" s="115"/>
      <c r="H291" s="133"/>
      <c r="I291" s="103"/>
      <c r="J291" s="108"/>
      <c r="K291" s="112"/>
      <c r="L291" s="110"/>
      <c r="M291" s="111"/>
      <c r="N291" s="103"/>
      <c r="O291" s="112"/>
      <c r="P291" s="115"/>
      <c r="Q291" s="114"/>
      <c r="R291" s="108"/>
      <c r="S291" s="115" t="s">
        <v>200</v>
      </c>
      <c r="T291" s="103" t="b">
        <v>0</v>
      </c>
      <c r="U291" s="103"/>
      <c r="V291" s="103"/>
      <c r="W291" s="103"/>
      <c r="X291" s="103"/>
      <c r="Y291" s="103"/>
      <c r="Z291" s="103"/>
    </row>
    <row r="292">
      <c r="A292" s="110" t="s">
        <v>200</v>
      </c>
      <c r="B292" s="110"/>
      <c r="C292" s="110"/>
      <c r="D292" s="110"/>
      <c r="E292" s="110"/>
      <c r="F292" s="110"/>
      <c r="G292" s="115"/>
      <c r="H292" s="133"/>
      <c r="I292" s="103"/>
      <c r="J292" s="108"/>
      <c r="K292" s="112"/>
      <c r="L292" s="110"/>
      <c r="M292" s="111"/>
      <c r="N292" s="103"/>
      <c r="O292" s="112"/>
      <c r="P292" s="115"/>
      <c r="Q292" s="114"/>
      <c r="R292" s="108"/>
      <c r="S292" s="115" t="s">
        <v>200</v>
      </c>
      <c r="T292" s="103" t="b">
        <v>0</v>
      </c>
      <c r="U292" s="103"/>
      <c r="V292" s="103"/>
      <c r="W292" s="103"/>
      <c r="X292" s="103"/>
      <c r="Y292" s="103"/>
      <c r="Z292" s="103"/>
    </row>
    <row r="293">
      <c r="A293" s="110" t="s">
        <v>200</v>
      </c>
      <c r="B293" s="110"/>
      <c r="C293" s="110"/>
      <c r="D293" s="110"/>
      <c r="E293" s="110"/>
      <c r="F293" s="110"/>
      <c r="G293" s="115"/>
      <c r="H293" s="133"/>
      <c r="I293" s="103"/>
      <c r="J293" s="108"/>
      <c r="K293" s="112"/>
      <c r="L293" s="110"/>
      <c r="M293" s="111"/>
      <c r="N293" s="103"/>
      <c r="O293" s="112"/>
      <c r="P293" s="115"/>
      <c r="Q293" s="114"/>
      <c r="R293" s="108"/>
      <c r="S293" s="115" t="s">
        <v>200</v>
      </c>
      <c r="T293" s="103" t="b">
        <v>0</v>
      </c>
      <c r="U293" s="103"/>
      <c r="V293" s="103"/>
      <c r="W293" s="103"/>
      <c r="X293" s="103"/>
      <c r="Y293" s="103"/>
      <c r="Z293" s="103"/>
    </row>
    <row r="294">
      <c r="A294" s="110" t="s">
        <v>200</v>
      </c>
      <c r="B294" s="110"/>
      <c r="C294" s="110"/>
      <c r="D294" s="110"/>
      <c r="E294" s="110"/>
      <c r="F294" s="110"/>
      <c r="G294" s="115"/>
      <c r="H294" s="133"/>
      <c r="I294" s="103"/>
      <c r="J294" s="108"/>
      <c r="K294" s="112"/>
      <c r="L294" s="110"/>
      <c r="M294" s="111"/>
      <c r="N294" s="103"/>
      <c r="O294" s="112"/>
      <c r="P294" s="115"/>
      <c r="Q294" s="114"/>
      <c r="R294" s="108"/>
      <c r="S294" s="115" t="s">
        <v>200</v>
      </c>
      <c r="T294" s="103" t="b">
        <v>0</v>
      </c>
      <c r="U294" s="103"/>
      <c r="V294" s="103"/>
      <c r="W294" s="103"/>
      <c r="X294" s="103"/>
      <c r="Y294" s="103"/>
      <c r="Z294" s="103"/>
    </row>
    <row r="295">
      <c r="A295" s="110" t="s">
        <v>200</v>
      </c>
      <c r="B295" s="110"/>
      <c r="C295" s="110"/>
      <c r="D295" s="110"/>
      <c r="E295" s="110"/>
      <c r="F295" s="110"/>
      <c r="G295" s="115"/>
      <c r="H295" s="133"/>
      <c r="I295" s="103"/>
      <c r="J295" s="108"/>
      <c r="K295" s="112"/>
      <c r="L295" s="110"/>
      <c r="M295" s="111"/>
      <c r="N295" s="103"/>
      <c r="O295" s="112"/>
      <c r="P295" s="115"/>
      <c r="Q295" s="114"/>
      <c r="R295" s="108"/>
      <c r="S295" s="115" t="s">
        <v>200</v>
      </c>
      <c r="T295" s="103" t="b">
        <v>0</v>
      </c>
      <c r="U295" s="103"/>
      <c r="V295" s="103"/>
      <c r="W295" s="103"/>
      <c r="X295" s="103"/>
      <c r="Y295" s="103"/>
      <c r="Z295" s="103"/>
    </row>
    <row r="296">
      <c r="A296" s="110" t="s">
        <v>200</v>
      </c>
      <c r="B296" s="110"/>
      <c r="C296" s="110"/>
      <c r="D296" s="110"/>
      <c r="E296" s="110"/>
      <c r="F296" s="110"/>
      <c r="G296" s="115"/>
      <c r="H296" s="133"/>
      <c r="I296" s="103"/>
      <c r="J296" s="108"/>
      <c r="K296" s="112"/>
      <c r="L296" s="110"/>
      <c r="M296" s="111"/>
      <c r="N296" s="103"/>
      <c r="O296" s="112"/>
      <c r="P296" s="115"/>
      <c r="Q296" s="114"/>
      <c r="R296" s="108"/>
      <c r="S296" s="115" t="s">
        <v>200</v>
      </c>
      <c r="T296" s="103" t="b">
        <v>0</v>
      </c>
      <c r="U296" s="103"/>
      <c r="V296" s="103"/>
      <c r="W296" s="103"/>
      <c r="X296" s="103"/>
      <c r="Y296" s="103"/>
      <c r="Z296" s="103"/>
    </row>
    <row r="297">
      <c r="A297" s="110" t="s">
        <v>200</v>
      </c>
      <c r="B297" s="110"/>
      <c r="C297" s="110"/>
      <c r="D297" s="110"/>
      <c r="E297" s="110"/>
      <c r="F297" s="110"/>
      <c r="G297" s="115"/>
      <c r="H297" s="133"/>
      <c r="I297" s="103"/>
      <c r="J297" s="108"/>
      <c r="K297" s="112"/>
      <c r="L297" s="110"/>
      <c r="M297" s="111"/>
      <c r="N297" s="103"/>
      <c r="O297" s="112"/>
      <c r="P297" s="115"/>
      <c r="Q297" s="114"/>
      <c r="R297" s="108"/>
      <c r="S297" s="115" t="s">
        <v>200</v>
      </c>
      <c r="T297" s="103" t="b">
        <v>0</v>
      </c>
      <c r="U297" s="103"/>
      <c r="V297" s="103"/>
      <c r="W297" s="103"/>
      <c r="X297" s="103"/>
      <c r="Y297" s="103"/>
      <c r="Z297" s="103"/>
    </row>
    <row r="298">
      <c r="A298" s="110" t="s">
        <v>200</v>
      </c>
      <c r="B298" s="110"/>
      <c r="C298" s="110"/>
      <c r="D298" s="110"/>
      <c r="E298" s="110"/>
      <c r="F298" s="110"/>
      <c r="G298" s="115"/>
      <c r="H298" s="133"/>
      <c r="I298" s="103"/>
      <c r="J298" s="108"/>
      <c r="K298" s="112"/>
      <c r="L298" s="110"/>
      <c r="M298" s="111"/>
      <c r="N298" s="103"/>
      <c r="O298" s="112"/>
      <c r="P298" s="115"/>
      <c r="Q298" s="114"/>
      <c r="R298" s="108"/>
      <c r="S298" s="115" t="s">
        <v>200</v>
      </c>
      <c r="T298" s="103" t="b">
        <v>0</v>
      </c>
      <c r="U298" s="103"/>
      <c r="V298" s="103"/>
      <c r="W298" s="103"/>
      <c r="X298" s="103"/>
      <c r="Y298" s="103"/>
      <c r="Z298" s="103"/>
    </row>
    <row r="299">
      <c r="A299" s="110" t="s">
        <v>200</v>
      </c>
      <c r="B299" s="110"/>
      <c r="C299" s="110"/>
      <c r="D299" s="110"/>
      <c r="E299" s="110"/>
      <c r="F299" s="110"/>
      <c r="G299" s="115"/>
      <c r="H299" s="133"/>
      <c r="I299" s="103"/>
      <c r="J299" s="108"/>
      <c r="K299" s="112"/>
      <c r="L299" s="110"/>
      <c r="M299" s="111"/>
      <c r="N299" s="103"/>
      <c r="O299" s="112"/>
      <c r="P299" s="115"/>
      <c r="Q299" s="114"/>
      <c r="R299" s="108"/>
      <c r="S299" s="115" t="s">
        <v>200</v>
      </c>
      <c r="T299" s="103" t="b">
        <v>0</v>
      </c>
      <c r="U299" s="103"/>
      <c r="V299" s="103"/>
      <c r="W299" s="103"/>
      <c r="X299" s="103"/>
      <c r="Y299" s="103"/>
      <c r="Z299" s="103"/>
    </row>
    <row r="300">
      <c r="A300" s="110" t="s">
        <v>200</v>
      </c>
      <c r="B300" s="110"/>
      <c r="C300" s="110"/>
      <c r="D300" s="110"/>
      <c r="E300" s="110"/>
      <c r="F300" s="110"/>
      <c r="G300" s="115"/>
      <c r="H300" s="133"/>
      <c r="I300" s="103"/>
      <c r="J300" s="108"/>
      <c r="K300" s="112"/>
      <c r="L300" s="110"/>
      <c r="M300" s="111"/>
      <c r="N300" s="103"/>
      <c r="O300" s="112"/>
      <c r="P300" s="115"/>
      <c r="Q300" s="114"/>
      <c r="R300" s="108"/>
      <c r="S300" s="115" t="s">
        <v>200</v>
      </c>
      <c r="T300" s="103" t="b">
        <v>0</v>
      </c>
      <c r="U300" s="103"/>
      <c r="V300" s="103"/>
      <c r="W300" s="103"/>
      <c r="X300" s="103"/>
      <c r="Y300" s="103"/>
      <c r="Z300" s="103"/>
    </row>
    <row r="301">
      <c r="A301" s="110" t="s">
        <v>200</v>
      </c>
      <c r="B301" s="110"/>
      <c r="C301" s="110"/>
      <c r="D301" s="110"/>
      <c r="E301" s="110"/>
      <c r="F301" s="110"/>
      <c r="G301" s="115"/>
      <c r="H301" s="133"/>
      <c r="I301" s="103"/>
      <c r="J301" s="108"/>
      <c r="K301" s="112"/>
      <c r="L301" s="110"/>
      <c r="M301" s="111"/>
      <c r="N301" s="103"/>
      <c r="O301" s="112"/>
      <c r="P301" s="115"/>
      <c r="Q301" s="114"/>
      <c r="R301" s="108"/>
      <c r="S301" s="115" t="s">
        <v>200</v>
      </c>
      <c r="T301" s="103" t="b">
        <v>0</v>
      </c>
      <c r="U301" s="103"/>
      <c r="V301" s="103"/>
      <c r="W301" s="103"/>
      <c r="X301" s="103"/>
      <c r="Y301" s="103"/>
      <c r="Z301" s="103"/>
    </row>
    <row r="302">
      <c r="A302" s="110" t="s">
        <v>200</v>
      </c>
      <c r="B302" s="110"/>
      <c r="C302" s="110"/>
      <c r="D302" s="110"/>
      <c r="E302" s="110"/>
      <c r="F302" s="110"/>
      <c r="G302" s="115"/>
      <c r="H302" s="133"/>
      <c r="I302" s="103"/>
      <c r="J302" s="108"/>
      <c r="K302" s="112"/>
      <c r="L302" s="110"/>
      <c r="M302" s="111"/>
      <c r="N302" s="103"/>
      <c r="O302" s="112"/>
      <c r="P302" s="115"/>
      <c r="Q302" s="114"/>
      <c r="R302" s="108"/>
      <c r="S302" s="115" t="s">
        <v>200</v>
      </c>
      <c r="T302" s="103" t="b">
        <v>0</v>
      </c>
      <c r="U302" s="103"/>
      <c r="V302" s="103"/>
      <c r="W302" s="103"/>
      <c r="X302" s="103"/>
      <c r="Y302" s="103"/>
      <c r="Z302" s="103"/>
    </row>
    <row r="303">
      <c r="A303" s="110" t="s">
        <v>200</v>
      </c>
      <c r="B303" s="110"/>
      <c r="C303" s="110"/>
      <c r="D303" s="110"/>
      <c r="E303" s="110"/>
      <c r="F303" s="110"/>
      <c r="G303" s="115"/>
      <c r="H303" s="133"/>
      <c r="I303" s="103"/>
      <c r="J303" s="108"/>
      <c r="K303" s="112"/>
      <c r="L303" s="110"/>
      <c r="M303" s="111"/>
      <c r="N303" s="103"/>
      <c r="O303" s="112"/>
      <c r="P303" s="115"/>
      <c r="Q303" s="114"/>
      <c r="R303" s="108"/>
      <c r="S303" s="115" t="s">
        <v>200</v>
      </c>
      <c r="T303" s="103" t="b">
        <v>0</v>
      </c>
      <c r="U303" s="103"/>
      <c r="V303" s="103"/>
      <c r="W303" s="103"/>
      <c r="X303" s="103"/>
      <c r="Y303" s="103"/>
      <c r="Z303" s="103"/>
    </row>
    <row r="304">
      <c r="A304" s="110" t="s">
        <v>200</v>
      </c>
      <c r="B304" s="110"/>
      <c r="C304" s="110"/>
      <c r="D304" s="110"/>
      <c r="E304" s="110"/>
      <c r="F304" s="110"/>
      <c r="G304" s="115"/>
      <c r="H304" s="133"/>
      <c r="I304" s="103"/>
      <c r="J304" s="108"/>
      <c r="K304" s="112"/>
      <c r="L304" s="110"/>
      <c r="M304" s="111"/>
      <c r="N304" s="103"/>
      <c r="O304" s="112"/>
      <c r="P304" s="115"/>
      <c r="Q304" s="114"/>
      <c r="R304" s="108"/>
      <c r="S304" s="115" t="s">
        <v>200</v>
      </c>
      <c r="T304" s="103" t="b">
        <v>0</v>
      </c>
      <c r="U304" s="103"/>
      <c r="V304" s="103"/>
      <c r="W304" s="103"/>
      <c r="X304" s="103"/>
      <c r="Y304" s="103"/>
      <c r="Z304" s="103"/>
    </row>
    <row r="305">
      <c r="A305" s="110" t="s">
        <v>200</v>
      </c>
      <c r="B305" s="110"/>
      <c r="C305" s="110"/>
      <c r="D305" s="110"/>
      <c r="E305" s="110"/>
      <c r="F305" s="110"/>
      <c r="G305" s="115"/>
      <c r="H305" s="133"/>
      <c r="I305" s="103"/>
      <c r="J305" s="108"/>
      <c r="K305" s="112"/>
      <c r="L305" s="110"/>
      <c r="M305" s="111"/>
      <c r="N305" s="103"/>
      <c r="O305" s="112"/>
      <c r="P305" s="115"/>
      <c r="Q305" s="114"/>
      <c r="R305" s="108"/>
      <c r="S305" s="115" t="s">
        <v>200</v>
      </c>
      <c r="T305" s="103" t="b">
        <v>0</v>
      </c>
      <c r="U305" s="103"/>
      <c r="V305" s="103"/>
      <c r="W305" s="103"/>
      <c r="X305" s="103"/>
      <c r="Y305" s="103"/>
      <c r="Z305" s="103"/>
    </row>
    <row r="306">
      <c r="A306" s="110" t="s">
        <v>200</v>
      </c>
      <c r="B306" s="110"/>
      <c r="C306" s="110"/>
      <c r="D306" s="110"/>
      <c r="E306" s="110"/>
      <c r="F306" s="110"/>
      <c r="G306" s="115"/>
      <c r="H306" s="133"/>
      <c r="I306" s="103"/>
      <c r="J306" s="108"/>
      <c r="K306" s="112"/>
      <c r="L306" s="110"/>
      <c r="M306" s="111"/>
      <c r="N306" s="103"/>
      <c r="O306" s="112"/>
      <c r="P306" s="115"/>
      <c r="Q306" s="114"/>
      <c r="R306" s="108"/>
      <c r="S306" s="115" t="s">
        <v>200</v>
      </c>
      <c r="T306" s="103" t="b">
        <v>0</v>
      </c>
      <c r="U306" s="103"/>
      <c r="V306" s="103"/>
      <c r="W306" s="103"/>
      <c r="X306" s="103"/>
      <c r="Y306" s="103"/>
      <c r="Z306" s="103"/>
    </row>
    <row r="307">
      <c r="A307" s="110" t="s">
        <v>200</v>
      </c>
      <c r="B307" s="110"/>
      <c r="C307" s="110"/>
      <c r="D307" s="110"/>
      <c r="E307" s="110"/>
      <c r="F307" s="110"/>
      <c r="G307" s="115"/>
      <c r="H307" s="133"/>
      <c r="I307" s="103"/>
      <c r="J307" s="108"/>
      <c r="K307" s="112"/>
      <c r="L307" s="110"/>
      <c r="M307" s="111"/>
      <c r="N307" s="103"/>
      <c r="O307" s="112"/>
      <c r="P307" s="115"/>
      <c r="Q307" s="114"/>
      <c r="R307" s="108"/>
      <c r="S307" s="115" t="s">
        <v>200</v>
      </c>
      <c r="T307" s="103" t="b">
        <v>0</v>
      </c>
      <c r="U307" s="103"/>
      <c r="V307" s="103"/>
      <c r="W307" s="103"/>
      <c r="X307" s="103"/>
      <c r="Y307" s="103"/>
      <c r="Z307" s="103"/>
    </row>
    <row r="308">
      <c r="A308" s="110" t="s">
        <v>200</v>
      </c>
      <c r="B308" s="110"/>
      <c r="C308" s="110"/>
      <c r="D308" s="110"/>
      <c r="E308" s="110"/>
      <c r="F308" s="110"/>
      <c r="G308" s="115"/>
      <c r="H308" s="133"/>
      <c r="I308" s="103"/>
      <c r="J308" s="108"/>
      <c r="K308" s="112"/>
      <c r="L308" s="110"/>
      <c r="M308" s="111"/>
      <c r="N308" s="103"/>
      <c r="O308" s="112"/>
      <c r="P308" s="115"/>
      <c r="Q308" s="114"/>
      <c r="R308" s="108"/>
      <c r="S308" s="115" t="s">
        <v>200</v>
      </c>
      <c r="T308" s="103" t="b">
        <v>0</v>
      </c>
      <c r="U308" s="103"/>
      <c r="V308" s="103"/>
      <c r="W308" s="103"/>
      <c r="X308" s="103"/>
      <c r="Y308" s="103"/>
      <c r="Z308" s="103"/>
    </row>
    <row r="309">
      <c r="A309" s="110" t="s">
        <v>200</v>
      </c>
      <c r="B309" s="110"/>
      <c r="C309" s="110"/>
      <c r="D309" s="110"/>
      <c r="E309" s="110"/>
      <c r="F309" s="110"/>
      <c r="G309" s="115"/>
      <c r="H309" s="133"/>
      <c r="I309" s="103"/>
      <c r="J309" s="108"/>
      <c r="K309" s="112"/>
      <c r="L309" s="110"/>
      <c r="M309" s="111"/>
      <c r="N309" s="103"/>
      <c r="O309" s="112"/>
      <c r="P309" s="115"/>
      <c r="Q309" s="114"/>
      <c r="R309" s="108"/>
      <c r="S309" s="115" t="s">
        <v>200</v>
      </c>
      <c r="T309" s="103" t="b">
        <v>0</v>
      </c>
      <c r="U309" s="103"/>
      <c r="V309" s="103"/>
      <c r="W309" s="103"/>
      <c r="X309" s="103"/>
      <c r="Y309" s="103"/>
      <c r="Z309" s="103"/>
    </row>
    <row r="310">
      <c r="A310" s="110" t="s">
        <v>200</v>
      </c>
      <c r="B310" s="110"/>
      <c r="C310" s="110"/>
      <c r="D310" s="110"/>
      <c r="E310" s="110"/>
      <c r="F310" s="110"/>
      <c r="G310" s="115"/>
      <c r="H310" s="133"/>
      <c r="I310" s="103"/>
      <c r="J310" s="108"/>
      <c r="K310" s="112"/>
      <c r="L310" s="110"/>
      <c r="M310" s="111"/>
      <c r="N310" s="103"/>
      <c r="O310" s="112"/>
      <c r="P310" s="115"/>
      <c r="Q310" s="114"/>
      <c r="R310" s="108"/>
      <c r="S310" s="115" t="s">
        <v>200</v>
      </c>
      <c r="T310" s="103" t="b">
        <v>0</v>
      </c>
      <c r="U310" s="103"/>
      <c r="V310" s="103"/>
      <c r="W310" s="103"/>
      <c r="X310" s="103"/>
      <c r="Y310" s="103"/>
      <c r="Z310" s="103"/>
    </row>
    <row r="311">
      <c r="A311" s="110" t="s">
        <v>200</v>
      </c>
      <c r="B311" s="110"/>
      <c r="C311" s="110"/>
      <c r="D311" s="110"/>
      <c r="E311" s="110"/>
      <c r="F311" s="110"/>
      <c r="G311" s="115"/>
      <c r="H311" s="133"/>
      <c r="I311" s="103"/>
      <c r="J311" s="108"/>
      <c r="K311" s="112"/>
      <c r="L311" s="110"/>
      <c r="M311" s="111"/>
      <c r="N311" s="103"/>
      <c r="O311" s="112"/>
      <c r="P311" s="115"/>
      <c r="Q311" s="114"/>
      <c r="R311" s="108"/>
      <c r="S311" s="115" t="s">
        <v>200</v>
      </c>
      <c r="T311" s="103" t="b">
        <v>0</v>
      </c>
      <c r="U311" s="103"/>
      <c r="V311" s="103"/>
      <c r="W311" s="103"/>
      <c r="X311" s="103"/>
      <c r="Y311" s="103"/>
      <c r="Z311" s="103"/>
    </row>
    <row r="312">
      <c r="A312" s="110" t="s">
        <v>200</v>
      </c>
      <c r="B312" s="110"/>
      <c r="C312" s="110"/>
      <c r="D312" s="110"/>
      <c r="E312" s="110"/>
      <c r="F312" s="110"/>
      <c r="G312" s="115"/>
      <c r="H312" s="133"/>
      <c r="I312" s="103"/>
      <c r="J312" s="108"/>
      <c r="K312" s="112"/>
      <c r="L312" s="110"/>
      <c r="M312" s="111"/>
      <c r="N312" s="103"/>
      <c r="O312" s="112"/>
      <c r="P312" s="115"/>
      <c r="Q312" s="114"/>
      <c r="R312" s="108"/>
      <c r="S312" s="115" t="s">
        <v>200</v>
      </c>
      <c r="T312" s="103" t="b">
        <v>0</v>
      </c>
      <c r="U312" s="103"/>
      <c r="V312" s="103"/>
      <c r="W312" s="103"/>
      <c r="X312" s="103"/>
      <c r="Y312" s="103"/>
      <c r="Z312" s="103"/>
    </row>
    <row r="313">
      <c r="A313" s="110" t="s">
        <v>200</v>
      </c>
      <c r="B313" s="110"/>
      <c r="C313" s="110"/>
      <c r="D313" s="110"/>
      <c r="E313" s="110"/>
      <c r="F313" s="110"/>
      <c r="G313" s="115"/>
      <c r="H313" s="133"/>
      <c r="I313" s="103"/>
      <c r="J313" s="108"/>
      <c r="K313" s="112"/>
      <c r="L313" s="110"/>
      <c r="M313" s="111"/>
      <c r="N313" s="103"/>
      <c r="O313" s="112"/>
      <c r="P313" s="115"/>
      <c r="Q313" s="114"/>
      <c r="R313" s="108"/>
      <c r="S313" s="115" t="s">
        <v>200</v>
      </c>
      <c r="T313" s="103" t="b">
        <v>0</v>
      </c>
      <c r="U313" s="103"/>
      <c r="V313" s="103"/>
      <c r="W313" s="103"/>
      <c r="X313" s="103"/>
      <c r="Y313" s="103"/>
      <c r="Z313" s="103"/>
    </row>
    <row r="314">
      <c r="A314" s="110" t="s">
        <v>200</v>
      </c>
      <c r="B314" s="110"/>
      <c r="C314" s="110"/>
      <c r="D314" s="110"/>
      <c r="E314" s="110"/>
      <c r="F314" s="110"/>
      <c r="G314" s="115"/>
      <c r="H314" s="133"/>
      <c r="I314" s="103"/>
      <c r="J314" s="108"/>
      <c r="K314" s="112"/>
      <c r="L314" s="110"/>
      <c r="M314" s="111"/>
      <c r="N314" s="103"/>
      <c r="O314" s="112"/>
      <c r="P314" s="115"/>
      <c r="Q314" s="114"/>
      <c r="R314" s="108"/>
      <c r="S314" s="115" t="s">
        <v>200</v>
      </c>
      <c r="T314" s="103" t="b">
        <v>0</v>
      </c>
      <c r="U314" s="103"/>
      <c r="V314" s="103"/>
      <c r="W314" s="103"/>
      <c r="X314" s="103"/>
      <c r="Y314" s="103"/>
      <c r="Z314" s="103"/>
    </row>
    <row r="315">
      <c r="A315" s="110" t="s">
        <v>200</v>
      </c>
      <c r="B315" s="110"/>
      <c r="C315" s="110"/>
      <c r="D315" s="110"/>
      <c r="E315" s="110"/>
      <c r="F315" s="110"/>
      <c r="G315" s="115"/>
      <c r="H315" s="133"/>
      <c r="I315" s="103"/>
      <c r="J315" s="108"/>
      <c r="K315" s="112"/>
      <c r="L315" s="110"/>
      <c r="M315" s="111"/>
      <c r="N315" s="103"/>
      <c r="O315" s="112"/>
      <c r="P315" s="115"/>
      <c r="Q315" s="114"/>
      <c r="R315" s="108"/>
      <c r="S315" s="115" t="s">
        <v>200</v>
      </c>
      <c r="T315" s="103" t="b">
        <v>0</v>
      </c>
      <c r="U315" s="103"/>
      <c r="V315" s="103"/>
      <c r="W315" s="103"/>
      <c r="X315" s="103"/>
      <c r="Y315" s="103"/>
      <c r="Z315" s="103"/>
    </row>
    <row r="316">
      <c r="A316" s="110" t="s">
        <v>200</v>
      </c>
      <c r="B316" s="110"/>
      <c r="C316" s="110"/>
      <c r="D316" s="110"/>
      <c r="E316" s="110"/>
      <c r="F316" s="110"/>
      <c r="G316" s="115"/>
      <c r="H316" s="133"/>
      <c r="I316" s="103"/>
      <c r="J316" s="108"/>
      <c r="K316" s="112"/>
      <c r="L316" s="110"/>
      <c r="M316" s="111"/>
      <c r="N316" s="103"/>
      <c r="O316" s="112"/>
      <c r="P316" s="115"/>
      <c r="Q316" s="114"/>
      <c r="R316" s="108"/>
      <c r="S316" s="115" t="s">
        <v>200</v>
      </c>
      <c r="T316" s="103" t="b">
        <v>0</v>
      </c>
      <c r="U316" s="103"/>
      <c r="V316" s="103"/>
      <c r="W316" s="103"/>
      <c r="X316" s="103"/>
      <c r="Y316" s="103"/>
      <c r="Z316" s="103"/>
    </row>
    <row r="317">
      <c r="A317" s="110" t="s">
        <v>200</v>
      </c>
      <c r="B317" s="110"/>
      <c r="C317" s="110"/>
      <c r="D317" s="110"/>
      <c r="E317" s="110"/>
      <c r="F317" s="110"/>
      <c r="G317" s="115"/>
      <c r="H317" s="133"/>
      <c r="I317" s="103"/>
      <c r="J317" s="108"/>
      <c r="K317" s="112"/>
      <c r="L317" s="110"/>
      <c r="M317" s="111"/>
      <c r="N317" s="103"/>
      <c r="O317" s="112"/>
      <c r="P317" s="115"/>
      <c r="Q317" s="114"/>
      <c r="R317" s="108"/>
      <c r="S317" s="115" t="s">
        <v>200</v>
      </c>
      <c r="T317" s="103" t="b">
        <v>0</v>
      </c>
      <c r="U317" s="103"/>
      <c r="V317" s="103"/>
      <c r="W317" s="103"/>
      <c r="X317" s="103"/>
      <c r="Y317" s="103"/>
      <c r="Z317" s="103"/>
    </row>
    <row r="318">
      <c r="A318" s="110" t="s">
        <v>200</v>
      </c>
      <c r="B318" s="110"/>
      <c r="C318" s="110"/>
      <c r="D318" s="110"/>
      <c r="E318" s="110"/>
      <c r="F318" s="110"/>
      <c r="G318" s="115"/>
      <c r="H318" s="133"/>
      <c r="I318" s="103"/>
      <c r="J318" s="108"/>
      <c r="K318" s="112"/>
      <c r="L318" s="110"/>
      <c r="M318" s="111"/>
      <c r="N318" s="103"/>
      <c r="O318" s="112"/>
      <c r="P318" s="115"/>
      <c r="Q318" s="114"/>
      <c r="R318" s="108"/>
      <c r="S318" s="115" t="s">
        <v>200</v>
      </c>
      <c r="T318" s="103" t="b">
        <v>0</v>
      </c>
      <c r="U318" s="103"/>
      <c r="V318" s="103"/>
      <c r="W318" s="103"/>
      <c r="X318" s="103"/>
      <c r="Y318" s="103"/>
      <c r="Z318" s="103"/>
    </row>
    <row r="319">
      <c r="A319" s="110" t="s">
        <v>200</v>
      </c>
      <c r="B319" s="110"/>
      <c r="C319" s="110"/>
      <c r="D319" s="110"/>
      <c r="E319" s="110"/>
      <c r="F319" s="110"/>
      <c r="G319" s="115"/>
      <c r="H319" s="133"/>
      <c r="I319" s="103"/>
      <c r="J319" s="108"/>
      <c r="K319" s="112"/>
      <c r="L319" s="110"/>
      <c r="M319" s="111"/>
      <c r="N319" s="103"/>
      <c r="O319" s="112"/>
      <c r="P319" s="115"/>
      <c r="Q319" s="114"/>
      <c r="R319" s="108"/>
      <c r="S319" s="115" t="s">
        <v>200</v>
      </c>
      <c r="T319" s="103" t="b">
        <v>0</v>
      </c>
      <c r="U319" s="103"/>
      <c r="V319" s="103"/>
      <c r="W319" s="103"/>
      <c r="X319" s="103"/>
      <c r="Y319" s="103"/>
      <c r="Z319" s="103"/>
    </row>
    <row r="320">
      <c r="A320" s="110" t="s">
        <v>200</v>
      </c>
      <c r="B320" s="110"/>
      <c r="C320" s="110"/>
      <c r="D320" s="110"/>
      <c r="E320" s="110"/>
      <c r="F320" s="110"/>
      <c r="G320" s="115"/>
      <c r="H320" s="133"/>
      <c r="I320" s="103"/>
      <c r="J320" s="108"/>
      <c r="K320" s="112"/>
      <c r="L320" s="110"/>
      <c r="M320" s="111"/>
      <c r="N320" s="103"/>
      <c r="O320" s="112"/>
      <c r="P320" s="115"/>
      <c r="Q320" s="114"/>
      <c r="R320" s="108"/>
      <c r="S320" s="115" t="s">
        <v>200</v>
      </c>
      <c r="T320" s="103" t="b">
        <v>0</v>
      </c>
      <c r="U320" s="103"/>
      <c r="V320" s="103"/>
      <c r="W320" s="103"/>
      <c r="X320" s="103"/>
      <c r="Y320" s="103"/>
      <c r="Z320" s="103"/>
    </row>
    <row r="321">
      <c r="A321" s="110" t="s">
        <v>200</v>
      </c>
      <c r="B321" s="110"/>
      <c r="C321" s="110"/>
      <c r="D321" s="110"/>
      <c r="E321" s="110"/>
      <c r="F321" s="110"/>
      <c r="G321" s="115"/>
      <c r="H321" s="133"/>
      <c r="I321" s="103"/>
      <c r="J321" s="108"/>
      <c r="K321" s="112"/>
      <c r="L321" s="110"/>
      <c r="M321" s="111"/>
      <c r="N321" s="103"/>
      <c r="O321" s="112"/>
      <c r="P321" s="115"/>
      <c r="Q321" s="114"/>
      <c r="R321" s="108"/>
      <c r="S321" s="115" t="s">
        <v>200</v>
      </c>
      <c r="T321" s="103" t="b">
        <v>0</v>
      </c>
      <c r="U321" s="103"/>
      <c r="V321" s="103"/>
      <c r="W321" s="103"/>
      <c r="X321" s="103"/>
      <c r="Y321" s="103"/>
      <c r="Z321" s="103"/>
    </row>
    <row r="322">
      <c r="A322" s="110" t="s">
        <v>200</v>
      </c>
      <c r="B322" s="110"/>
      <c r="C322" s="110"/>
      <c r="D322" s="110"/>
      <c r="E322" s="110"/>
      <c r="F322" s="110"/>
      <c r="G322" s="115"/>
      <c r="H322" s="133"/>
      <c r="I322" s="103"/>
      <c r="J322" s="108"/>
      <c r="K322" s="112"/>
      <c r="L322" s="110"/>
      <c r="M322" s="111"/>
      <c r="N322" s="103"/>
      <c r="O322" s="112"/>
      <c r="P322" s="115"/>
      <c r="Q322" s="114"/>
      <c r="R322" s="108"/>
      <c r="S322" s="115" t="s">
        <v>200</v>
      </c>
      <c r="T322" s="103" t="b">
        <v>0</v>
      </c>
      <c r="U322" s="103"/>
      <c r="V322" s="103"/>
      <c r="W322" s="103"/>
      <c r="X322" s="103"/>
      <c r="Y322" s="103"/>
      <c r="Z322" s="103"/>
    </row>
    <row r="323">
      <c r="A323" s="110" t="s">
        <v>200</v>
      </c>
      <c r="B323" s="110"/>
      <c r="C323" s="110"/>
      <c r="D323" s="110"/>
      <c r="E323" s="110"/>
      <c r="F323" s="110"/>
      <c r="G323" s="115"/>
      <c r="H323" s="133"/>
      <c r="I323" s="103"/>
      <c r="J323" s="108"/>
      <c r="K323" s="112"/>
      <c r="L323" s="110"/>
      <c r="M323" s="111"/>
      <c r="N323" s="103"/>
      <c r="O323" s="112"/>
      <c r="P323" s="115"/>
      <c r="Q323" s="114"/>
      <c r="R323" s="108"/>
      <c r="S323" s="115" t="s">
        <v>200</v>
      </c>
      <c r="T323" s="103" t="b">
        <v>0</v>
      </c>
      <c r="U323" s="103"/>
      <c r="V323" s="103"/>
      <c r="W323" s="103"/>
      <c r="X323" s="103"/>
      <c r="Y323" s="103"/>
      <c r="Z323" s="103"/>
    </row>
    <row r="324">
      <c r="A324" s="110" t="s">
        <v>200</v>
      </c>
      <c r="B324" s="110"/>
      <c r="C324" s="110"/>
      <c r="D324" s="110"/>
      <c r="E324" s="110"/>
      <c r="F324" s="110"/>
      <c r="G324" s="115"/>
      <c r="H324" s="133"/>
      <c r="I324" s="103"/>
      <c r="J324" s="108"/>
      <c r="K324" s="112"/>
      <c r="L324" s="110"/>
      <c r="M324" s="111"/>
      <c r="N324" s="103"/>
      <c r="O324" s="112"/>
      <c r="P324" s="115"/>
      <c r="Q324" s="114"/>
      <c r="R324" s="108"/>
      <c r="S324" s="115" t="s">
        <v>200</v>
      </c>
      <c r="T324" s="103" t="b">
        <v>0</v>
      </c>
      <c r="U324" s="103"/>
      <c r="V324" s="103"/>
      <c r="W324" s="103"/>
      <c r="X324" s="103"/>
      <c r="Y324" s="103"/>
      <c r="Z324" s="103"/>
    </row>
    <row r="325">
      <c r="A325" s="110" t="s">
        <v>200</v>
      </c>
      <c r="B325" s="110"/>
      <c r="C325" s="110"/>
      <c r="D325" s="110"/>
      <c r="E325" s="110"/>
      <c r="F325" s="110"/>
      <c r="G325" s="115"/>
      <c r="H325" s="133"/>
      <c r="I325" s="103"/>
      <c r="J325" s="108"/>
      <c r="K325" s="112"/>
      <c r="L325" s="110"/>
      <c r="M325" s="111"/>
      <c r="N325" s="103"/>
      <c r="O325" s="112"/>
      <c r="P325" s="115"/>
      <c r="Q325" s="114"/>
      <c r="R325" s="108"/>
      <c r="S325" s="115" t="s">
        <v>200</v>
      </c>
      <c r="T325" s="103" t="b">
        <v>0</v>
      </c>
      <c r="U325" s="103"/>
      <c r="V325" s="103"/>
      <c r="W325" s="103"/>
      <c r="X325" s="103"/>
      <c r="Y325" s="103"/>
      <c r="Z325" s="103"/>
    </row>
    <row r="326">
      <c r="A326" s="110" t="s">
        <v>200</v>
      </c>
      <c r="B326" s="110"/>
      <c r="C326" s="110"/>
      <c r="D326" s="110"/>
      <c r="E326" s="110"/>
      <c r="F326" s="110"/>
      <c r="G326" s="115"/>
      <c r="H326" s="133"/>
      <c r="I326" s="103"/>
      <c r="J326" s="108"/>
      <c r="K326" s="112"/>
      <c r="L326" s="110"/>
      <c r="M326" s="111"/>
      <c r="N326" s="103"/>
      <c r="O326" s="112"/>
      <c r="P326" s="115"/>
      <c r="Q326" s="114"/>
      <c r="R326" s="108"/>
      <c r="S326" s="115" t="s">
        <v>200</v>
      </c>
      <c r="T326" s="103" t="b">
        <v>0</v>
      </c>
      <c r="U326" s="103"/>
      <c r="V326" s="103"/>
      <c r="W326" s="103"/>
      <c r="X326" s="103"/>
      <c r="Y326" s="103"/>
      <c r="Z326" s="103"/>
    </row>
    <row r="327">
      <c r="A327" s="110" t="s">
        <v>200</v>
      </c>
      <c r="B327" s="110"/>
      <c r="C327" s="110"/>
      <c r="D327" s="110"/>
      <c r="E327" s="110"/>
      <c r="F327" s="110"/>
      <c r="G327" s="115"/>
      <c r="H327" s="133"/>
      <c r="I327" s="103"/>
      <c r="J327" s="108"/>
      <c r="K327" s="112"/>
      <c r="L327" s="110"/>
      <c r="M327" s="111"/>
      <c r="N327" s="103"/>
      <c r="O327" s="112"/>
      <c r="P327" s="115"/>
      <c r="Q327" s="114"/>
      <c r="R327" s="108"/>
      <c r="S327" s="115" t="s">
        <v>200</v>
      </c>
      <c r="T327" s="103" t="b">
        <v>0</v>
      </c>
      <c r="U327" s="103"/>
      <c r="V327" s="103"/>
      <c r="W327" s="103"/>
      <c r="X327" s="103"/>
      <c r="Y327" s="103"/>
      <c r="Z327" s="103"/>
    </row>
    <row r="328">
      <c r="A328" s="110" t="s">
        <v>200</v>
      </c>
      <c r="B328" s="110"/>
      <c r="C328" s="110"/>
      <c r="D328" s="110"/>
      <c r="E328" s="110"/>
      <c r="F328" s="110"/>
      <c r="G328" s="115"/>
      <c r="H328" s="133"/>
      <c r="I328" s="103"/>
      <c r="J328" s="108"/>
      <c r="K328" s="112"/>
      <c r="L328" s="110"/>
      <c r="M328" s="111"/>
      <c r="N328" s="103"/>
      <c r="O328" s="112"/>
      <c r="P328" s="115"/>
      <c r="Q328" s="114"/>
      <c r="R328" s="108"/>
      <c r="S328" s="115" t="s">
        <v>200</v>
      </c>
      <c r="T328" s="103" t="b">
        <v>0</v>
      </c>
      <c r="U328" s="103"/>
      <c r="V328" s="103"/>
      <c r="W328" s="103"/>
      <c r="X328" s="103"/>
      <c r="Y328" s="103"/>
      <c r="Z328" s="103"/>
    </row>
    <row r="329">
      <c r="A329" s="110" t="s">
        <v>200</v>
      </c>
      <c r="B329" s="110"/>
      <c r="C329" s="110"/>
      <c r="D329" s="110"/>
      <c r="E329" s="110"/>
      <c r="F329" s="110"/>
      <c r="G329" s="115"/>
      <c r="H329" s="133"/>
      <c r="I329" s="103"/>
      <c r="J329" s="108"/>
      <c r="K329" s="112"/>
      <c r="L329" s="110"/>
      <c r="M329" s="111"/>
      <c r="N329" s="103"/>
      <c r="O329" s="112"/>
      <c r="P329" s="115"/>
      <c r="Q329" s="114"/>
      <c r="R329" s="108"/>
      <c r="S329" s="115" t="s">
        <v>200</v>
      </c>
      <c r="T329" s="103" t="b">
        <v>0</v>
      </c>
      <c r="U329" s="103"/>
      <c r="V329" s="103"/>
      <c r="W329" s="103"/>
      <c r="X329" s="103"/>
      <c r="Y329" s="103"/>
      <c r="Z329" s="103"/>
    </row>
    <row r="330">
      <c r="A330" s="110" t="s">
        <v>200</v>
      </c>
      <c r="B330" s="110"/>
      <c r="C330" s="110"/>
      <c r="D330" s="110"/>
      <c r="E330" s="110"/>
      <c r="F330" s="110"/>
      <c r="G330" s="115"/>
      <c r="H330" s="133"/>
      <c r="I330" s="103"/>
      <c r="J330" s="108"/>
      <c r="K330" s="112"/>
      <c r="L330" s="110"/>
      <c r="M330" s="111"/>
      <c r="N330" s="103"/>
      <c r="O330" s="112"/>
      <c r="P330" s="115"/>
      <c r="Q330" s="114"/>
      <c r="R330" s="108"/>
      <c r="S330" s="115" t="s">
        <v>200</v>
      </c>
      <c r="T330" s="103" t="b">
        <v>0</v>
      </c>
      <c r="U330" s="103"/>
      <c r="V330" s="103"/>
      <c r="W330" s="103"/>
      <c r="X330" s="103"/>
      <c r="Y330" s="103"/>
      <c r="Z330" s="103"/>
    </row>
    <row r="331">
      <c r="A331" s="110" t="s">
        <v>200</v>
      </c>
      <c r="B331" s="110"/>
      <c r="C331" s="110"/>
      <c r="D331" s="110"/>
      <c r="E331" s="110"/>
      <c r="F331" s="110"/>
      <c r="G331" s="115"/>
      <c r="H331" s="133"/>
      <c r="I331" s="103"/>
      <c r="J331" s="108"/>
      <c r="K331" s="112"/>
      <c r="L331" s="110"/>
      <c r="M331" s="111"/>
      <c r="N331" s="103"/>
      <c r="O331" s="112"/>
      <c r="P331" s="115"/>
      <c r="Q331" s="114"/>
      <c r="R331" s="108"/>
      <c r="S331" s="115" t="s">
        <v>200</v>
      </c>
      <c r="T331" s="103" t="b">
        <v>0</v>
      </c>
      <c r="U331" s="103"/>
      <c r="V331" s="103"/>
      <c r="W331" s="103"/>
      <c r="X331" s="103"/>
      <c r="Y331" s="103"/>
      <c r="Z331" s="103"/>
    </row>
    <row r="332">
      <c r="A332" s="110" t="s">
        <v>200</v>
      </c>
      <c r="B332" s="110"/>
      <c r="C332" s="110"/>
      <c r="D332" s="110"/>
      <c r="E332" s="110"/>
      <c r="F332" s="110"/>
      <c r="G332" s="115"/>
      <c r="H332" s="133"/>
      <c r="I332" s="103"/>
      <c r="J332" s="108"/>
      <c r="K332" s="112"/>
      <c r="L332" s="110"/>
      <c r="M332" s="111"/>
      <c r="N332" s="103"/>
      <c r="O332" s="112"/>
      <c r="P332" s="115"/>
      <c r="Q332" s="114"/>
      <c r="R332" s="108"/>
      <c r="S332" s="115" t="s">
        <v>200</v>
      </c>
      <c r="T332" s="103" t="b">
        <v>0</v>
      </c>
      <c r="U332" s="103"/>
      <c r="V332" s="103"/>
      <c r="W332" s="103"/>
      <c r="X332" s="103"/>
      <c r="Y332" s="103"/>
      <c r="Z332" s="103"/>
    </row>
    <row r="333">
      <c r="A333" s="110" t="s">
        <v>200</v>
      </c>
      <c r="B333" s="110"/>
      <c r="C333" s="110"/>
      <c r="D333" s="110"/>
      <c r="E333" s="110"/>
      <c r="F333" s="110"/>
      <c r="G333" s="115"/>
      <c r="H333" s="133"/>
      <c r="I333" s="103"/>
      <c r="J333" s="108"/>
      <c r="K333" s="112"/>
      <c r="L333" s="110"/>
      <c r="M333" s="111"/>
      <c r="N333" s="103"/>
      <c r="O333" s="112"/>
      <c r="P333" s="115"/>
      <c r="Q333" s="114"/>
      <c r="R333" s="108"/>
      <c r="S333" s="115" t="s">
        <v>200</v>
      </c>
      <c r="T333" s="103" t="b">
        <v>0</v>
      </c>
      <c r="U333" s="103"/>
      <c r="V333" s="103"/>
      <c r="W333" s="103"/>
      <c r="X333" s="103"/>
      <c r="Y333" s="103"/>
      <c r="Z333" s="103"/>
    </row>
    <row r="334">
      <c r="A334" s="110" t="s">
        <v>200</v>
      </c>
      <c r="B334" s="110"/>
      <c r="C334" s="110"/>
      <c r="D334" s="110"/>
      <c r="E334" s="110"/>
      <c r="F334" s="110"/>
      <c r="G334" s="115"/>
      <c r="H334" s="133"/>
      <c r="I334" s="103"/>
      <c r="J334" s="108"/>
      <c r="K334" s="112"/>
      <c r="L334" s="110"/>
      <c r="M334" s="111"/>
      <c r="N334" s="103"/>
      <c r="O334" s="112"/>
      <c r="P334" s="115"/>
      <c r="Q334" s="114"/>
      <c r="R334" s="108"/>
      <c r="S334" s="115" t="s">
        <v>200</v>
      </c>
      <c r="T334" s="103" t="b">
        <v>0</v>
      </c>
      <c r="U334" s="103"/>
      <c r="V334" s="103"/>
      <c r="W334" s="103"/>
      <c r="X334" s="103"/>
      <c r="Y334" s="103"/>
      <c r="Z334" s="103"/>
    </row>
    <row r="335">
      <c r="A335" s="110" t="s">
        <v>200</v>
      </c>
      <c r="B335" s="110"/>
      <c r="C335" s="110"/>
      <c r="D335" s="110"/>
      <c r="E335" s="110"/>
      <c r="F335" s="110"/>
      <c r="G335" s="115"/>
      <c r="H335" s="133"/>
      <c r="I335" s="103"/>
      <c r="J335" s="108"/>
      <c r="K335" s="112"/>
      <c r="L335" s="110"/>
      <c r="M335" s="111"/>
      <c r="N335" s="103"/>
      <c r="O335" s="112"/>
      <c r="P335" s="115"/>
      <c r="Q335" s="114"/>
      <c r="R335" s="108"/>
      <c r="S335" s="115" t="s">
        <v>200</v>
      </c>
      <c r="T335" s="103" t="b">
        <v>0</v>
      </c>
      <c r="U335" s="103"/>
      <c r="V335" s="103"/>
      <c r="W335" s="103"/>
      <c r="X335" s="103"/>
      <c r="Y335" s="103"/>
      <c r="Z335" s="103"/>
    </row>
    <row r="336">
      <c r="A336" s="110" t="s">
        <v>200</v>
      </c>
      <c r="B336" s="110"/>
      <c r="C336" s="110"/>
      <c r="D336" s="110"/>
      <c r="E336" s="110"/>
      <c r="F336" s="110"/>
      <c r="G336" s="115"/>
      <c r="H336" s="133"/>
      <c r="I336" s="103"/>
      <c r="J336" s="108"/>
      <c r="K336" s="112"/>
      <c r="L336" s="110"/>
      <c r="M336" s="111"/>
      <c r="N336" s="103"/>
      <c r="O336" s="112"/>
      <c r="P336" s="115"/>
      <c r="Q336" s="114"/>
      <c r="R336" s="108"/>
      <c r="S336" s="115" t="s">
        <v>200</v>
      </c>
      <c r="T336" s="103" t="b">
        <v>0</v>
      </c>
      <c r="U336" s="103"/>
      <c r="V336" s="103"/>
      <c r="W336" s="103"/>
      <c r="X336" s="103"/>
      <c r="Y336" s="103"/>
      <c r="Z336" s="103"/>
    </row>
    <row r="337">
      <c r="A337" s="110" t="s">
        <v>200</v>
      </c>
      <c r="B337" s="110"/>
      <c r="C337" s="110"/>
      <c r="D337" s="110"/>
      <c r="E337" s="110"/>
      <c r="F337" s="110"/>
      <c r="G337" s="115"/>
      <c r="H337" s="133"/>
      <c r="I337" s="103"/>
      <c r="J337" s="108"/>
      <c r="K337" s="112"/>
      <c r="L337" s="110"/>
      <c r="M337" s="111"/>
      <c r="N337" s="103"/>
      <c r="O337" s="112"/>
      <c r="P337" s="115"/>
      <c r="Q337" s="114"/>
      <c r="R337" s="108"/>
      <c r="S337" s="115" t="s">
        <v>200</v>
      </c>
      <c r="T337" s="103" t="b">
        <v>0</v>
      </c>
      <c r="U337" s="103"/>
      <c r="V337" s="103"/>
      <c r="W337" s="103"/>
      <c r="X337" s="103"/>
      <c r="Y337" s="103"/>
      <c r="Z337" s="103"/>
    </row>
    <row r="338">
      <c r="A338" s="110" t="s">
        <v>200</v>
      </c>
      <c r="B338" s="110"/>
      <c r="C338" s="110"/>
      <c r="D338" s="110"/>
      <c r="E338" s="110"/>
      <c r="F338" s="110"/>
      <c r="G338" s="115"/>
      <c r="H338" s="133"/>
      <c r="I338" s="103"/>
      <c r="J338" s="108"/>
      <c r="K338" s="112"/>
      <c r="L338" s="110"/>
      <c r="M338" s="111"/>
      <c r="N338" s="103"/>
      <c r="O338" s="112"/>
      <c r="P338" s="115"/>
      <c r="Q338" s="114"/>
      <c r="R338" s="108"/>
      <c r="S338" s="115" t="s">
        <v>200</v>
      </c>
      <c r="T338" s="103" t="b">
        <v>0</v>
      </c>
      <c r="U338" s="103"/>
      <c r="V338" s="103"/>
      <c r="W338" s="103"/>
      <c r="X338" s="103"/>
      <c r="Y338" s="103"/>
      <c r="Z338" s="103"/>
    </row>
    <row r="339">
      <c r="A339" s="110" t="s">
        <v>200</v>
      </c>
      <c r="B339" s="110"/>
      <c r="C339" s="110"/>
      <c r="D339" s="110"/>
      <c r="E339" s="110"/>
      <c r="F339" s="110"/>
      <c r="G339" s="115"/>
      <c r="H339" s="133"/>
      <c r="I339" s="103"/>
      <c r="J339" s="108"/>
      <c r="K339" s="112"/>
      <c r="L339" s="110"/>
      <c r="M339" s="111"/>
      <c r="N339" s="103"/>
      <c r="O339" s="112"/>
      <c r="P339" s="115"/>
      <c r="Q339" s="114"/>
      <c r="R339" s="108"/>
      <c r="S339" s="115" t="s">
        <v>200</v>
      </c>
      <c r="T339" s="103" t="b">
        <v>0</v>
      </c>
      <c r="U339" s="103"/>
      <c r="V339" s="103"/>
      <c r="W339" s="103"/>
      <c r="X339" s="103"/>
      <c r="Y339" s="103"/>
      <c r="Z339" s="103"/>
    </row>
    <row r="340">
      <c r="A340" s="110" t="s">
        <v>200</v>
      </c>
      <c r="B340" s="110"/>
      <c r="C340" s="110"/>
      <c r="D340" s="110"/>
      <c r="E340" s="110"/>
      <c r="F340" s="110"/>
      <c r="G340" s="115"/>
      <c r="H340" s="133"/>
      <c r="I340" s="103"/>
      <c r="J340" s="108"/>
      <c r="K340" s="112"/>
      <c r="L340" s="110"/>
      <c r="M340" s="111"/>
      <c r="N340" s="103"/>
      <c r="O340" s="112"/>
      <c r="P340" s="115"/>
      <c r="Q340" s="114"/>
      <c r="R340" s="108"/>
      <c r="S340" s="115" t="s">
        <v>200</v>
      </c>
      <c r="T340" s="103" t="b">
        <v>0</v>
      </c>
      <c r="U340" s="103"/>
      <c r="V340" s="103"/>
      <c r="W340" s="103"/>
      <c r="X340" s="103"/>
      <c r="Y340" s="103"/>
      <c r="Z340" s="103"/>
    </row>
    <row r="341">
      <c r="A341" s="110" t="s">
        <v>200</v>
      </c>
      <c r="B341" s="110"/>
      <c r="C341" s="110"/>
      <c r="D341" s="110"/>
      <c r="E341" s="110"/>
      <c r="F341" s="110"/>
      <c r="G341" s="115"/>
      <c r="H341" s="133"/>
      <c r="I341" s="103"/>
      <c r="J341" s="108"/>
      <c r="K341" s="112"/>
      <c r="L341" s="110"/>
      <c r="M341" s="111"/>
      <c r="N341" s="103"/>
      <c r="O341" s="112"/>
      <c r="P341" s="115"/>
      <c r="Q341" s="114"/>
      <c r="R341" s="108"/>
      <c r="S341" s="115" t="s">
        <v>200</v>
      </c>
      <c r="T341" s="103" t="b">
        <v>0</v>
      </c>
      <c r="U341" s="103"/>
      <c r="V341" s="103"/>
      <c r="W341" s="103"/>
      <c r="X341" s="103"/>
      <c r="Y341" s="103"/>
      <c r="Z341" s="103"/>
    </row>
    <row r="342">
      <c r="A342" s="110" t="s">
        <v>200</v>
      </c>
      <c r="B342" s="110"/>
      <c r="C342" s="110"/>
      <c r="D342" s="110"/>
      <c r="E342" s="110"/>
      <c r="F342" s="110"/>
      <c r="G342" s="115"/>
      <c r="H342" s="133"/>
      <c r="I342" s="103"/>
      <c r="J342" s="108"/>
      <c r="K342" s="112"/>
      <c r="L342" s="110"/>
      <c r="M342" s="111"/>
      <c r="N342" s="103"/>
      <c r="O342" s="112"/>
      <c r="P342" s="115"/>
      <c r="Q342" s="114"/>
      <c r="R342" s="108"/>
      <c r="S342" s="115" t="s">
        <v>200</v>
      </c>
      <c r="T342" s="103" t="b">
        <v>0</v>
      </c>
      <c r="U342" s="103"/>
      <c r="V342" s="103"/>
      <c r="W342" s="103"/>
      <c r="X342" s="103"/>
      <c r="Y342" s="103"/>
      <c r="Z342" s="103"/>
    </row>
    <row r="343">
      <c r="A343" s="110" t="s">
        <v>200</v>
      </c>
      <c r="B343" s="110"/>
      <c r="C343" s="110"/>
      <c r="D343" s="110"/>
      <c r="E343" s="110"/>
      <c r="F343" s="110"/>
      <c r="G343" s="115"/>
      <c r="H343" s="133"/>
      <c r="I343" s="103"/>
      <c r="J343" s="108"/>
      <c r="K343" s="112"/>
      <c r="L343" s="110"/>
      <c r="M343" s="111"/>
      <c r="N343" s="103"/>
      <c r="O343" s="112"/>
      <c r="P343" s="115"/>
      <c r="Q343" s="114"/>
      <c r="R343" s="108"/>
      <c r="S343" s="115" t="s">
        <v>200</v>
      </c>
      <c r="T343" s="103" t="b">
        <v>0</v>
      </c>
      <c r="U343" s="103"/>
      <c r="V343" s="103"/>
      <c r="W343" s="103"/>
      <c r="X343" s="103"/>
      <c r="Y343" s="103"/>
      <c r="Z343" s="103"/>
    </row>
    <row r="344">
      <c r="A344" s="110" t="s">
        <v>200</v>
      </c>
      <c r="B344" s="110"/>
      <c r="C344" s="110"/>
      <c r="D344" s="110"/>
      <c r="E344" s="110"/>
      <c r="F344" s="110"/>
      <c r="G344" s="115"/>
      <c r="H344" s="133"/>
      <c r="I344" s="103"/>
      <c r="J344" s="108"/>
      <c r="K344" s="112"/>
      <c r="L344" s="110"/>
      <c r="M344" s="111"/>
      <c r="N344" s="103"/>
      <c r="O344" s="112"/>
      <c r="P344" s="115"/>
      <c r="Q344" s="114"/>
      <c r="R344" s="108"/>
      <c r="S344" s="115" t="s">
        <v>200</v>
      </c>
      <c r="T344" s="103" t="b">
        <v>0</v>
      </c>
      <c r="U344" s="103"/>
      <c r="V344" s="103"/>
      <c r="W344" s="103"/>
      <c r="X344" s="103"/>
      <c r="Y344" s="103"/>
      <c r="Z344" s="103"/>
    </row>
    <row r="345">
      <c r="A345" s="110" t="s">
        <v>200</v>
      </c>
      <c r="B345" s="110"/>
      <c r="C345" s="110"/>
      <c r="D345" s="110"/>
      <c r="E345" s="110"/>
      <c r="F345" s="110"/>
      <c r="G345" s="115"/>
      <c r="H345" s="133"/>
      <c r="I345" s="103"/>
      <c r="J345" s="108"/>
      <c r="K345" s="112"/>
      <c r="L345" s="110"/>
      <c r="M345" s="111"/>
      <c r="N345" s="103"/>
      <c r="O345" s="112"/>
      <c r="P345" s="115"/>
      <c r="Q345" s="114"/>
      <c r="R345" s="108"/>
      <c r="S345" s="115" t="s">
        <v>200</v>
      </c>
      <c r="T345" s="103" t="b">
        <v>0</v>
      </c>
      <c r="U345" s="103"/>
      <c r="V345" s="103"/>
      <c r="W345" s="103"/>
      <c r="X345" s="103"/>
      <c r="Y345" s="103"/>
      <c r="Z345" s="103"/>
    </row>
    <row r="346">
      <c r="A346" s="110" t="s">
        <v>200</v>
      </c>
      <c r="B346" s="110"/>
      <c r="C346" s="110"/>
      <c r="D346" s="110"/>
      <c r="E346" s="110"/>
      <c r="F346" s="110"/>
      <c r="G346" s="115"/>
      <c r="H346" s="133"/>
      <c r="I346" s="103"/>
      <c r="J346" s="108"/>
      <c r="K346" s="112"/>
      <c r="L346" s="110"/>
      <c r="M346" s="111"/>
      <c r="N346" s="103"/>
      <c r="O346" s="112"/>
      <c r="P346" s="115"/>
      <c r="Q346" s="114"/>
      <c r="R346" s="108"/>
      <c r="S346" s="115" t="s">
        <v>200</v>
      </c>
      <c r="T346" s="103" t="b">
        <v>0</v>
      </c>
      <c r="U346" s="103"/>
      <c r="V346" s="103"/>
      <c r="W346" s="103"/>
      <c r="X346" s="103"/>
      <c r="Y346" s="103"/>
      <c r="Z346" s="103"/>
    </row>
    <row r="347">
      <c r="A347" s="110" t="s">
        <v>200</v>
      </c>
      <c r="B347" s="110"/>
      <c r="C347" s="110"/>
      <c r="D347" s="110"/>
      <c r="E347" s="110"/>
      <c r="F347" s="110"/>
      <c r="G347" s="115"/>
      <c r="H347" s="133"/>
      <c r="I347" s="103"/>
      <c r="J347" s="108"/>
      <c r="K347" s="112"/>
      <c r="L347" s="110"/>
      <c r="M347" s="111"/>
      <c r="N347" s="103"/>
      <c r="O347" s="112"/>
      <c r="P347" s="115"/>
      <c r="Q347" s="114"/>
      <c r="R347" s="108"/>
      <c r="S347" s="115" t="s">
        <v>200</v>
      </c>
      <c r="T347" s="103" t="b">
        <v>0</v>
      </c>
      <c r="U347" s="103"/>
      <c r="V347" s="103"/>
      <c r="W347" s="103"/>
      <c r="X347" s="103"/>
      <c r="Y347" s="103"/>
      <c r="Z347" s="103"/>
    </row>
    <row r="348">
      <c r="A348" s="110" t="s">
        <v>200</v>
      </c>
      <c r="B348" s="110"/>
      <c r="C348" s="110"/>
      <c r="D348" s="110"/>
      <c r="E348" s="110"/>
      <c r="F348" s="110"/>
      <c r="G348" s="115"/>
      <c r="H348" s="133"/>
      <c r="I348" s="103"/>
      <c r="J348" s="108"/>
      <c r="K348" s="112"/>
      <c r="L348" s="110"/>
      <c r="M348" s="111"/>
      <c r="N348" s="103"/>
      <c r="O348" s="112"/>
      <c r="P348" s="115"/>
      <c r="Q348" s="114"/>
      <c r="R348" s="108"/>
      <c r="S348" s="115" t="s">
        <v>200</v>
      </c>
      <c r="T348" s="103" t="b">
        <v>0</v>
      </c>
      <c r="U348" s="103"/>
      <c r="V348" s="103"/>
      <c r="W348" s="103"/>
      <c r="X348" s="103"/>
      <c r="Y348" s="103"/>
      <c r="Z348" s="103"/>
    </row>
    <row r="349">
      <c r="A349" s="110" t="s">
        <v>200</v>
      </c>
      <c r="B349" s="110"/>
      <c r="C349" s="110"/>
      <c r="D349" s="110"/>
      <c r="E349" s="110"/>
      <c r="F349" s="110"/>
      <c r="G349" s="115"/>
      <c r="H349" s="133"/>
      <c r="I349" s="103"/>
      <c r="J349" s="108"/>
      <c r="K349" s="112"/>
      <c r="L349" s="110"/>
      <c r="M349" s="111"/>
      <c r="N349" s="103"/>
      <c r="O349" s="112"/>
      <c r="P349" s="115"/>
      <c r="Q349" s="114"/>
      <c r="R349" s="108"/>
      <c r="S349" s="115" t="s">
        <v>200</v>
      </c>
      <c r="T349" s="103" t="b">
        <v>0</v>
      </c>
      <c r="U349" s="103"/>
      <c r="V349" s="103"/>
      <c r="W349" s="103"/>
      <c r="X349" s="103"/>
      <c r="Y349" s="103"/>
      <c r="Z349" s="103"/>
    </row>
    <row r="350">
      <c r="A350" s="110" t="s">
        <v>200</v>
      </c>
      <c r="B350" s="110"/>
      <c r="C350" s="110"/>
      <c r="D350" s="110"/>
      <c r="E350" s="110"/>
      <c r="F350" s="110"/>
      <c r="G350" s="115"/>
      <c r="H350" s="133"/>
      <c r="I350" s="103"/>
      <c r="J350" s="108"/>
      <c r="K350" s="112"/>
      <c r="L350" s="110"/>
      <c r="M350" s="111"/>
      <c r="N350" s="103"/>
      <c r="O350" s="112"/>
      <c r="P350" s="115"/>
      <c r="Q350" s="114"/>
      <c r="R350" s="108"/>
      <c r="S350" s="115" t="s">
        <v>200</v>
      </c>
      <c r="T350" s="103" t="b">
        <v>0</v>
      </c>
      <c r="U350" s="103"/>
      <c r="V350" s="103"/>
      <c r="W350" s="103"/>
      <c r="X350" s="103"/>
      <c r="Y350" s="103"/>
      <c r="Z350" s="103"/>
    </row>
    <row r="351">
      <c r="A351" s="110" t="s">
        <v>200</v>
      </c>
      <c r="B351" s="110"/>
      <c r="C351" s="110"/>
      <c r="D351" s="110"/>
      <c r="E351" s="110"/>
      <c r="F351" s="110"/>
      <c r="G351" s="115"/>
      <c r="H351" s="133"/>
      <c r="I351" s="103"/>
      <c r="J351" s="108"/>
      <c r="K351" s="112"/>
      <c r="L351" s="110"/>
      <c r="M351" s="111"/>
      <c r="N351" s="103"/>
      <c r="O351" s="112"/>
      <c r="P351" s="115"/>
      <c r="Q351" s="114"/>
      <c r="R351" s="108"/>
      <c r="S351" s="115" t="s">
        <v>200</v>
      </c>
      <c r="T351" s="103" t="b">
        <v>0</v>
      </c>
      <c r="U351" s="103"/>
      <c r="V351" s="103"/>
      <c r="W351" s="103"/>
      <c r="X351" s="103"/>
      <c r="Y351" s="103"/>
      <c r="Z351" s="103"/>
    </row>
    <row r="352">
      <c r="A352" s="110" t="s">
        <v>200</v>
      </c>
      <c r="B352" s="110"/>
      <c r="C352" s="110"/>
      <c r="D352" s="110"/>
      <c r="E352" s="110"/>
      <c r="F352" s="110"/>
      <c r="G352" s="115"/>
      <c r="H352" s="133"/>
      <c r="I352" s="103"/>
      <c r="J352" s="108"/>
      <c r="K352" s="112"/>
      <c r="L352" s="110"/>
      <c r="M352" s="111"/>
      <c r="N352" s="103"/>
      <c r="O352" s="112"/>
      <c r="P352" s="115"/>
      <c r="Q352" s="114"/>
      <c r="R352" s="108"/>
      <c r="S352" s="115" t="s">
        <v>200</v>
      </c>
      <c r="T352" s="103" t="b">
        <v>0</v>
      </c>
      <c r="U352" s="103"/>
      <c r="V352" s="103"/>
      <c r="W352" s="103"/>
      <c r="X352" s="103"/>
      <c r="Y352" s="103"/>
      <c r="Z352" s="103"/>
    </row>
    <row r="353">
      <c r="A353" s="110" t="s">
        <v>200</v>
      </c>
      <c r="B353" s="110"/>
      <c r="C353" s="110"/>
      <c r="D353" s="110"/>
      <c r="E353" s="110"/>
      <c r="F353" s="110"/>
      <c r="G353" s="115"/>
      <c r="H353" s="133"/>
      <c r="I353" s="103"/>
      <c r="J353" s="108"/>
      <c r="K353" s="112"/>
      <c r="L353" s="110"/>
      <c r="M353" s="111"/>
      <c r="N353" s="103"/>
      <c r="O353" s="112"/>
      <c r="P353" s="115"/>
      <c r="Q353" s="114"/>
      <c r="R353" s="108"/>
      <c r="S353" s="115" t="s">
        <v>200</v>
      </c>
      <c r="T353" s="103" t="b">
        <v>0</v>
      </c>
      <c r="U353" s="103"/>
      <c r="V353" s="103"/>
      <c r="W353" s="103"/>
      <c r="X353" s="103"/>
      <c r="Y353" s="103"/>
      <c r="Z353" s="103"/>
    </row>
    <row r="354">
      <c r="A354" s="110" t="s">
        <v>200</v>
      </c>
      <c r="B354" s="110"/>
      <c r="C354" s="110"/>
      <c r="D354" s="110"/>
      <c r="E354" s="110"/>
      <c r="F354" s="110"/>
      <c r="G354" s="115"/>
      <c r="H354" s="133"/>
      <c r="I354" s="103"/>
      <c r="J354" s="108"/>
      <c r="K354" s="112"/>
      <c r="L354" s="110"/>
      <c r="M354" s="111"/>
      <c r="N354" s="103"/>
      <c r="O354" s="112"/>
      <c r="P354" s="115"/>
      <c r="Q354" s="114"/>
      <c r="R354" s="108"/>
      <c r="S354" s="115" t="s">
        <v>200</v>
      </c>
      <c r="T354" s="103" t="b">
        <v>0</v>
      </c>
      <c r="U354" s="103"/>
      <c r="V354" s="103"/>
      <c r="W354" s="103"/>
      <c r="X354" s="103"/>
      <c r="Y354" s="103"/>
      <c r="Z354" s="103"/>
    </row>
    <row r="355">
      <c r="A355" s="110" t="s">
        <v>200</v>
      </c>
      <c r="B355" s="110"/>
      <c r="C355" s="110"/>
      <c r="D355" s="110"/>
      <c r="E355" s="110"/>
      <c r="F355" s="110"/>
      <c r="G355" s="115"/>
      <c r="H355" s="133"/>
      <c r="I355" s="103"/>
      <c r="J355" s="108"/>
      <c r="K355" s="112"/>
      <c r="L355" s="110"/>
      <c r="M355" s="111"/>
      <c r="N355" s="103"/>
      <c r="O355" s="112"/>
      <c r="P355" s="115"/>
      <c r="Q355" s="114"/>
      <c r="R355" s="108"/>
      <c r="S355" s="115" t="s">
        <v>200</v>
      </c>
      <c r="T355" s="103" t="b">
        <v>0</v>
      </c>
      <c r="U355" s="103"/>
      <c r="V355" s="103"/>
      <c r="W355" s="103"/>
      <c r="X355" s="103"/>
      <c r="Y355" s="103"/>
      <c r="Z355" s="103"/>
    </row>
    <row r="356">
      <c r="A356" s="110" t="s">
        <v>200</v>
      </c>
      <c r="B356" s="110"/>
      <c r="C356" s="110"/>
      <c r="D356" s="110"/>
      <c r="E356" s="110"/>
      <c r="F356" s="110"/>
      <c r="G356" s="115"/>
      <c r="H356" s="133"/>
      <c r="I356" s="103"/>
      <c r="J356" s="108"/>
      <c r="K356" s="112"/>
      <c r="L356" s="110"/>
      <c r="M356" s="111"/>
      <c r="N356" s="103"/>
      <c r="O356" s="112"/>
      <c r="P356" s="115"/>
      <c r="Q356" s="114"/>
      <c r="R356" s="108"/>
      <c r="S356" s="115" t="s">
        <v>200</v>
      </c>
      <c r="T356" s="103" t="b">
        <v>0</v>
      </c>
      <c r="U356" s="103"/>
      <c r="V356" s="103"/>
      <c r="W356" s="103"/>
      <c r="X356" s="103"/>
      <c r="Y356" s="103"/>
      <c r="Z356" s="103"/>
    </row>
    <row r="357">
      <c r="A357" s="110" t="s">
        <v>200</v>
      </c>
      <c r="B357" s="110"/>
      <c r="C357" s="110"/>
      <c r="D357" s="110"/>
      <c r="E357" s="110"/>
      <c r="F357" s="110"/>
      <c r="G357" s="115"/>
      <c r="H357" s="133"/>
      <c r="I357" s="103"/>
      <c r="J357" s="108"/>
      <c r="K357" s="112"/>
      <c r="L357" s="110"/>
      <c r="M357" s="111"/>
      <c r="N357" s="103"/>
      <c r="O357" s="112"/>
      <c r="P357" s="115"/>
      <c r="Q357" s="114"/>
      <c r="R357" s="108"/>
      <c r="S357" s="115" t="s">
        <v>200</v>
      </c>
      <c r="T357" s="103" t="b">
        <v>0</v>
      </c>
      <c r="U357" s="103"/>
      <c r="V357" s="103"/>
      <c r="W357" s="103"/>
      <c r="X357" s="103"/>
      <c r="Y357" s="103"/>
      <c r="Z357" s="103"/>
    </row>
    <row r="358">
      <c r="A358" s="110" t="s">
        <v>200</v>
      </c>
      <c r="B358" s="110"/>
      <c r="C358" s="110"/>
      <c r="D358" s="110"/>
      <c r="E358" s="110"/>
      <c r="F358" s="110"/>
      <c r="G358" s="115"/>
      <c r="H358" s="133"/>
      <c r="I358" s="103"/>
      <c r="J358" s="108"/>
      <c r="K358" s="112"/>
      <c r="L358" s="110"/>
      <c r="M358" s="111"/>
      <c r="N358" s="103"/>
      <c r="O358" s="112"/>
      <c r="P358" s="115"/>
      <c r="Q358" s="114"/>
      <c r="R358" s="108"/>
      <c r="S358" s="115" t="s">
        <v>200</v>
      </c>
      <c r="T358" s="103" t="b">
        <v>0</v>
      </c>
      <c r="U358" s="103"/>
      <c r="V358" s="103"/>
      <c r="W358" s="103"/>
      <c r="X358" s="103"/>
      <c r="Y358" s="103"/>
      <c r="Z358" s="103"/>
    </row>
    <row r="359">
      <c r="A359" s="110" t="s">
        <v>200</v>
      </c>
      <c r="B359" s="110"/>
      <c r="C359" s="110"/>
      <c r="D359" s="110"/>
      <c r="E359" s="110"/>
      <c r="F359" s="110"/>
      <c r="G359" s="115"/>
      <c r="H359" s="133"/>
      <c r="I359" s="103"/>
      <c r="J359" s="108"/>
      <c r="K359" s="112"/>
      <c r="L359" s="110"/>
      <c r="M359" s="111"/>
      <c r="N359" s="103"/>
      <c r="O359" s="112"/>
      <c r="P359" s="115"/>
      <c r="Q359" s="114"/>
      <c r="R359" s="108"/>
      <c r="S359" s="115" t="s">
        <v>200</v>
      </c>
      <c r="T359" s="103" t="b">
        <v>0</v>
      </c>
      <c r="U359" s="103"/>
      <c r="V359" s="103"/>
      <c r="W359" s="103"/>
      <c r="X359" s="103"/>
      <c r="Y359" s="103"/>
      <c r="Z359" s="103"/>
    </row>
    <row r="360">
      <c r="A360" s="110" t="s">
        <v>200</v>
      </c>
      <c r="B360" s="110"/>
      <c r="C360" s="110"/>
      <c r="D360" s="110"/>
      <c r="E360" s="110"/>
      <c r="F360" s="110"/>
      <c r="G360" s="115"/>
      <c r="H360" s="133"/>
      <c r="I360" s="103"/>
      <c r="J360" s="108"/>
      <c r="K360" s="112"/>
      <c r="L360" s="110"/>
      <c r="M360" s="111"/>
      <c r="N360" s="103"/>
      <c r="O360" s="112"/>
      <c r="P360" s="115"/>
      <c r="Q360" s="114"/>
      <c r="R360" s="108"/>
      <c r="S360" s="115" t="s">
        <v>200</v>
      </c>
      <c r="T360" s="103" t="b">
        <v>0</v>
      </c>
      <c r="U360" s="103"/>
      <c r="V360" s="103"/>
      <c r="W360" s="103"/>
      <c r="X360" s="103"/>
      <c r="Y360" s="103"/>
      <c r="Z360" s="103"/>
    </row>
    <row r="361">
      <c r="A361" s="110" t="s">
        <v>200</v>
      </c>
      <c r="B361" s="110"/>
      <c r="C361" s="110"/>
      <c r="D361" s="110"/>
      <c r="E361" s="110"/>
      <c r="F361" s="110"/>
      <c r="G361" s="115"/>
      <c r="H361" s="133"/>
      <c r="I361" s="103"/>
      <c r="J361" s="108"/>
      <c r="K361" s="112"/>
      <c r="L361" s="110"/>
      <c r="M361" s="111"/>
      <c r="N361" s="103"/>
      <c r="O361" s="112"/>
      <c r="P361" s="115"/>
      <c r="Q361" s="114"/>
      <c r="R361" s="108"/>
      <c r="S361" s="115" t="s">
        <v>200</v>
      </c>
      <c r="T361" s="103" t="b">
        <v>0</v>
      </c>
      <c r="U361" s="103"/>
      <c r="V361" s="103"/>
      <c r="W361" s="103"/>
      <c r="X361" s="103"/>
      <c r="Y361" s="103"/>
      <c r="Z361" s="103"/>
    </row>
    <row r="362">
      <c r="A362" s="110" t="s">
        <v>200</v>
      </c>
      <c r="B362" s="110"/>
      <c r="C362" s="110"/>
      <c r="D362" s="110"/>
      <c r="E362" s="110"/>
      <c r="F362" s="110"/>
      <c r="G362" s="115"/>
      <c r="H362" s="133"/>
      <c r="I362" s="103"/>
      <c r="J362" s="108"/>
      <c r="K362" s="112"/>
      <c r="L362" s="110"/>
      <c r="M362" s="111"/>
      <c r="N362" s="103"/>
      <c r="O362" s="112"/>
      <c r="P362" s="115"/>
      <c r="Q362" s="114"/>
      <c r="R362" s="108"/>
      <c r="S362" s="115" t="s">
        <v>200</v>
      </c>
      <c r="T362" s="103" t="b">
        <v>0</v>
      </c>
      <c r="U362" s="103"/>
      <c r="V362" s="103"/>
      <c r="W362" s="103"/>
      <c r="X362" s="103"/>
      <c r="Y362" s="103"/>
      <c r="Z362" s="103"/>
    </row>
    <row r="363">
      <c r="A363" s="110" t="s">
        <v>200</v>
      </c>
      <c r="B363" s="110"/>
      <c r="C363" s="110"/>
      <c r="D363" s="110"/>
      <c r="E363" s="110"/>
      <c r="F363" s="110"/>
      <c r="G363" s="115"/>
      <c r="H363" s="133"/>
      <c r="I363" s="103"/>
      <c r="J363" s="108"/>
      <c r="K363" s="112"/>
      <c r="L363" s="110"/>
      <c r="M363" s="111"/>
      <c r="N363" s="103"/>
      <c r="O363" s="112"/>
      <c r="P363" s="115"/>
      <c r="Q363" s="114"/>
      <c r="R363" s="108"/>
      <c r="S363" s="115" t="s">
        <v>200</v>
      </c>
      <c r="T363" s="103" t="b">
        <v>0</v>
      </c>
      <c r="U363" s="103"/>
      <c r="V363" s="103"/>
      <c r="W363" s="103"/>
      <c r="X363" s="103"/>
      <c r="Y363" s="103"/>
      <c r="Z363" s="103"/>
    </row>
    <row r="364">
      <c r="A364" s="110" t="s">
        <v>200</v>
      </c>
      <c r="B364" s="110"/>
      <c r="C364" s="110"/>
      <c r="D364" s="110"/>
      <c r="E364" s="110"/>
      <c r="F364" s="110"/>
      <c r="G364" s="115"/>
      <c r="H364" s="133"/>
      <c r="I364" s="103"/>
      <c r="J364" s="108"/>
      <c r="K364" s="112"/>
      <c r="L364" s="110"/>
      <c r="M364" s="111"/>
      <c r="N364" s="103"/>
      <c r="O364" s="112"/>
      <c r="P364" s="115"/>
      <c r="Q364" s="114"/>
      <c r="R364" s="108"/>
      <c r="S364" s="115" t="s">
        <v>200</v>
      </c>
      <c r="T364" s="103" t="b">
        <v>0</v>
      </c>
      <c r="U364" s="103"/>
      <c r="V364" s="103"/>
      <c r="W364" s="103"/>
      <c r="X364" s="103"/>
      <c r="Y364" s="103"/>
      <c r="Z364" s="103"/>
    </row>
    <row r="365">
      <c r="A365" s="110" t="s">
        <v>200</v>
      </c>
      <c r="B365" s="110"/>
      <c r="C365" s="110"/>
      <c r="D365" s="110"/>
      <c r="E365" s="110"/>
      <c r="F365" s="110"/>
      <c r="G365" s="115"/>
      <c r="H365" s="133"/>
      <c r="I365" s="103"/>
      <c r="J365" s="108"/>
      <c r="K365" s="112"/>
      <c r="L365" s="110"/>
      <c r="M365" s="111"/>
      <c r="N365" s="103"/>
      <c r="O365" s="112"/>
      <c r="P365" s="115"/>
      <c r="Q365" s="114"/>
      <c r="R365" s="108"/>
      <c r="S365" s="115" t="s">
        <v>200</v>
      </c>
      <c r="T365" s="103" t="b">
        <v>0</v>
      </c>
      <c r="U365" s="103"/>
      <c r="V365" s="103"/>
      <c r="W365" s="103"/>
      <c r="X365" s="103"/>
      <c r="Y365" s="103"/>
      <c r="Z365" s="103"/>
    </row>
    <row r="366">
      <c r="A366" s="110" t="s">
        <v>200</v>
      </c>
      <c r="B366" s="110"/>
      <c r="C366" s="110"/>
      <c r="D366" s="110"/>
      <c r="E366" s="110"/>
      <c r="F366" s="110"/>
      <c r="G366" s="115"/>
      <c r="H366" s="133"/>
      <c r="I366" s="103"/>
      <c r="J366" s="108"/>
      <c r="K366" s="112"/>
      <c r="L366" s="110"/>
      <c r="M366" s="111"/>
      <c r="N366" s="103"/>
      <c r="O366" s="112"/>
      <c r="P366" s="115"/>
      <c r="Q366" s="114"/>
      <c r="R366" s="108"/>
      <c r="S366" s="115" t="s">
        <v>200</v>
      </c>
      <c r="T366" s="103" t="b">
        <v>0</v>
      </c>
      <c r="U366" s="103"/>
      <c r="V366" s="103"/>
      <c r="W366" s="103"/>
      <c r="X366" s="103"/>
      <c r="Y366" s="103"/>
      <c r="Z366" s="103"/>
    </row>
    <row r="367">
      <c r="A367" s="110" t="s">
        <v>200</v>
      </c>
      <c r="B367" s="110"/>
      <c r="C367" s="110"/>
      <c r="D367" s="110"/>
      <c r="E367" s="110"/>
      <c r="F367" s="110"/>
      <c r="G367" s="115"/>
      <c r="H367" s="133"/>
      <c r="I367" s="103"/>
      <c r="J367" s="108"/>
      <c r="K367" s="112"/>
      <c r="L367" s="110"/>
      <c r="M367" s="111"/>
      <c r="N367" s="103"/>
      <c r="O367" s="112"/>
      <c r="P367" s="115"/>
      <c r="Q367" s="114"/>
      <c r="R367" s="108"/>
      <c r="S367" s="115" t="s">
        <v>200</v>
      </c>
      <c r="T367" s="103" t="b">
        <v>0</v>
      </c>
      <c r="U367" s="103"/>
      <c r="V367" s="103"/>
      <c r="W367" s="103"/>
      <c r="X367" s="103"/>
      <c r="Y367" s="103"/>
      <c r="Z367" s="103"/>
    </row>
    <row r="368">
      <c r="A368" s="110" t="s">
        <v>200</v>
      </c>
      <c r="B368" s="110"/>
      <c r="C368" s="110"/>
      <c r="D368" s="110"/>
      <c r="E368" s="110"/>
      <c r="F368" s="110"/>
      <c r="G368" s="115"/>
      <c r="H368" s="133"/>
      <c r="I368" s="103"/>
      <c r="J368" s="108"/>
      <c r="K368" s="112"/>
      <c r="L368" s="110"/>
      <c r="M368" s="111"/>
      <c r="N368" s="103"/>
      <c r="O368" s="112"/>
      <c r="P368" s="115"/>
      <c r="Q368" s="114"/>
      <c r="R368" s="108"/>
      <c r="S368" s="115" t="s">
        <v>200</v>
      </c>
      <c r="T368" s="103" t="b">
        <v>0</v>
      </c>
      <c r="U368" s="103"/>
      <c r="V368" s="103"/>
      <c r="W368" s="103"/>
      <c r="X368" s="103"/>
      <c r="Y368" s="103"/>
      <c r="Z368" s="103"/>
    </row>
    <row r="369">
      <c r="A369" s="110" t="s">
        <v>200</v>
      </c>
      <c r="B369" s="110"/>
      <c r="C369" s="110"/>
      <c r="D369" s="110"/>
      <c r="E369" s="110"/>
      <c r="F369" s="110"/>
      <c r="G369" s="115"/>
      <c r="H369" s="133"/>
      <c r="I369" s="103"/>
      <c r="J369" s="108"/>
      <c r="K369" s="112"/>
      <c r="L369" s="110"/>
      <c r="M369" s="111"/>
      <c r="N369" s="103"/>
      <c r="O369" s="112"/>
      <c r="P369" s="115"/>
      <c r="Q369" s="114"/>
      <c r="R369" s="108"/>
      <c r="S369" s="115" t="s">
        <v>200</v>
      </c>
      <c r="T369" s="103" t="b">
        <v>0</v>
      </c>
      <c r="U369" s="103"/>
      <c r="V369" s="103"/>
      <c r="W369" s="103"/>
      <c r="X369" s="103"/>
      <c r="Y369" s="103"/>
      <c r="Z369" s="103"/>
    </row>
    <row r="370">
      <c r="A370" s="110" t="s">
        <v>200</v>
      </c>
      <c r="B370" s="110"/>
      <c r="C370" s="110"/>
      <c r="D370" s="110"/>
      <c r="E370" s="110"/>
      <c r="F370" s="110"/>
      <c r="G370" s="115"/>
      <c r="H370" s="133"/>
      <c r="I370" s="103"/>
      <c r="J370" s="108"/>
      <c r="K370" s="112"/>
      <c r="L370" s="110"/>
      <c r="M370" s="111"/>
      <c r="N370" s="103"/>
      <c r="O370" s="112"/>
      <c r="P370" s="115"/>
      <c r="Q370" s="114"/>
      <c r="R370" s="108"/>
      <c r="S370" s="115" t="s">
        <v>200</v>
      </c>
      <c r="T370" s="103" t="b">
        <v>0</v>
      </c>
      <c r="U370" s="103"/>
      <c r="V370" s="103"/>
      <c r="W370" s="103"/>
      <c r="X370" s="103"/>
      <c r="Y370" s="103"/>
      <c r="Z370" s="103"/>
    </row>
    <row r="371">
      <c r="A371" s="110" t="s">
        <v>200</v>
      </c>
      <c r="B371" s="110"/>
      <c r="C371" s="110"/>
      <c r="D371" s="110"/>
      <c r="E371" s="110"/>
      <c r="F371" s="110"/>
      <c r="G371" s="115"/>
      <c r="H371" s="133"/>
      <c r="I371" s="103"/>
      <c r="J371" s="108"/>
      <c r="K371" s="112"/>
      <c r="L371" s="110"/>
      <c r="M371" s="111"/>
      <c r="N371" s="103"/>
      <c r="O371" s="112"/>
      <c r="P371" s="115"/>
      <c r="Q371" s="114"/>
      <c r="R371" s="108"/>
      <c r="S371" s="115" t="s">
        <v>200</v>
      </c>
      <c r="T371" s="103" t="b">
        <v>0</v>
      </c>
      <c r="U371" s="103"/>
      <c r="V371" s="103"/>
      <c r="W371" s="103"/>
      <c r="X371" s="103"/>
      <c r="Y371" s="103"/>
      <c r="Z371" s="103"/>
    </row>
    <row r="372">
      <c r="A372" s="110" t="s">
        <v>200</v>
      </c>
      <c r="B372" s="110"/>
      <c r="C372" s="110"/>
      <c r="D372" s="110"/>
      <c r="E372" s="110"/>
      <c r="F372" s="110"/>
      <c r="G372" s="115"/>
      <c r="H372" s="133"/>
      <c r="I372" s="103"/>
      <c r="J372" s="108"/>
      <c r="K372" s="112"/>
      <c r="L372" s="110"/>
      <c r="M372" s="111"/>
      <c r="N372" s="103"/>
      <c r="O372" s="112"/>
      <c r="P372" s="115"/>
      <c r="Q372" s="114"/>
      <c r="R372" s="108"/>
      <c r="S372" s="115" t="s">
        <v>200</v>
      </c>
      <c r="T372" s="103" t="b">
        <v>0</v>
      </c>
      <c r="U372" s="103"/>
      <c r="V372" s="103"/>
      <c r="W372" s="103"/>
      <c r="X372" s="103"/>
      <c r="Y372" s="103"/>
      <c r="Z372" s="103"/>
    </row>
    <row r="373">
      <c r="A373" s="110" t="s">
        <v>200</v>
      </c>
      <c r="B373" s="110"/>
      <c r="C373" s="110"/>
      <c r="D373" s="110"/>
      <c r="E373" s="110"/>
      <c r="F373" s="110"/>
      <c r="G373" s="115"/>
      <c r="H373" s="133"/>
      <c r="I373" s="103"/>
      <c r="J373" s="108"/>
      <c r="K373" s="112"/>
      <c r="L373" s="110"/>
      <c r="M373" s="111"/>
      <c r="N373" s="103"/>
      <c r="O373" s="112"/>
      <c r="P373" s="115"/>
      <c r="Q373" s="114"/>
      <c r="R373" s="108"/>
      <c r="S373" s="115" t="s">
        <v>200</v>
      </c>
      <c r="T373" s="103" t="b">
        <v>0</v>
      </c>
      <c r="U373" s="103"/>
      <c r="V373" s="103"/>
      <c r="W373" s="103"/>
      <c r="X373" s="103"/>
      <c r="Y373" s="103"/>
      <c r="Z373" s="103"/>
    </row>
    <row r="374">
      <c r="A374" s="110" t="s">
        <v>200</v>
      </c>
      <c r="B374" s="110"/>
      <c r="C374" s="110"/>
      <c r="D374" s="110"/>
      <c r="E374" s="110"/>
      <c r="F374" s="110"/>
      <c r="G374" s="115"/>
      <c r="H374" s="133"/>
      <c r="I374" s="103"/>
      <c r="J374" s="108"/>
      <c r="K374" s="112"/>
      <c r="L374" s="110"/>
      <c r="M374" s="111"/>
      <c r="N374" s="103"/>
      <c r="O374" s="112"/>
      <c r="P374" s="115"/>
      <c r="Q374" s="114"/>
      <c r="R374" s="108"/>
      <c r="S374" s="115" t="s">
        <v>200</v>
      </c>
      <c r="T374" s="103" t="b">
        <v>0</v>
      </c>
      <c r="U374" s="103"/>
      <c r="V374" s="103"/>
      <c r="W374" s="103"/>
      <c r="X374" s="103"/>
      <c r="Y374" s="103"/>
      <c r="Z374" s="103"/>
    </row>
    <row r="375">
      <c r="A375" s="110" t="s">
        <v>200</v>
      </c>
      <c r="B375" s="110"/>
      <c r="C375" s="110"/>
      <c r="D375" s="110"/>
      <c r="E375" s="110"/>
      <c r="F375" s="110"/>
      <c r="G375" s="115"/>
      <c r="H375" s="133"/>
      <c r="I375" s="103"/>
      <c r="J375" s="108"/>
      <c r="K375" s="112"/>
      <c r="L375" s="110"/>
      <c r="M375" s="111"/>
      <c r="N375" s="103"/>
      <c r="O375" s="112"/>
      <c r="P375" s="115"/>
      <c r="Q375" s="114"/>
      <c r="R375" s="108"/>
      <c r="S375" s="115" t="s">
        <v>200</v>
      </c>
      <c r="T375" s="103" t="b">
        <v>0</v>
      </c>
      <c r="U375" s="103"/>
      <c r="V375" s="103"/>
      <c r="W375" s="103"/>
      <c r="X375" s="103"/>
      <c r="Y375" s="103"/>
      <c r="Z375" s="103"/>
    </row>
    <row r="376">
      <c r="A376" s="110" t="s">
        <v>200</v>
      </c>
      <c r="B376" s="110"/>
      <c r="C376" s="110"/>
      <c r="D376" s="110"/>
      <c r="E376" s="110"/>
      <c r="F376" s="110"/>
      <c r="G376" s="115"/>
      <c r="H376" s="133"/>
      <c r="I376" s="103"/>
      <c r="J376" s="108"/>
      <c r="K376" s="112"/>
      <c r="L376" s="110"/>
      <c r="M376" s="111"/>
      <c r="N376" s="103"/>
      <c r="O376" s="112"/>
      <c r="P376" s="115"/>
      <c r="Q376" s="114"/>
      <c r="R376" s="108"/>
      <c r="S376" s="115" t="s">
        <v>200</v>
      </c>
      <c r="T376" s="103" t="b">
        <v>0</v>
      </c>
      <c r="U376" s="103"/>
      <c r="V376" s="103"/>
      <c r="W376" s="103"/>
      <c r="X376" s="103"/>
      <c r="Y376" s="103"/>
      <c r="Z376" s="103"/>
    </row>
    <row r="377">
      <c r="A377" s="110" t="s">
        <v>200</v>
      </c>
      <c r="B377" s="110"/>
      <c r="C377" s="110"/>
      <c r="D377" s="110"/>
      <c r="E377" s="110"/>
      <c r="F377" s="110"/>
      <c r="G377" s="115"/>
      <c r="H377" s="133"/>
      <c r="I377" s="103"/>
      <c r="J377" s="108"/>
      <c r="K377" s="112"/>
      <c r="L377" s="110"/>
      <c r="M377" s="111"/>
      <c r="N377" s="103"/>
      <c r="O377" s="112"/>
      <c r="P377" s="115"/>
      <c r="Q377" s="114"/>
      <c r="R377" s="108"/>
      <c r="S377" s="115" t="s">
        <v>200</v>
      </c>
      <c r="T377" s="103" t="b">
        <v>0</v>
      </c>
      <c r="U377" s="103"/>
      <c r="V377" s="103"/>
      <c r="W377" s="103"/>
      <c r="X377" s="103"/>
      <c r="Y377" s="103"/>
      <c r="Z377" s="103"/>
    </row>
    <row r="378">
      <c r="A378" s="110" t="s">
        <v>200</v>
      </c>
      <c r="B378" s="110"/>
      <c r="C378" s="110"/>
      <c r="D378" s="110"/>
      <c r="E378" s="110"/>
      <c r="F378" s="110"/>
      <c r="G378" s="115"/>
      <c r="H378" s="133"/>
      <c r="I378" s="103"/>
      <c r="J378" s="108"/>
      <c r="K378" s="112"/>
      <c r="L378" s="110"/>
      <c r="M378" s="111"/>
      <c r="N378" s="103"/>
      <c r="O378" s="112"/>
      <c r="P378" s="115"/>
      <c r="Q378" s="114"/>
      <c r="R378" s="108"/>
      <c r="S378" s="115" t="s">
        <v>200</v>
      </c>
      <c r="T378" s="103" t="b">
        <v>0</v>
      </c>
      <c r="U378" s="103"/>
      <c r="V378" s="103"/>
      <c r="W378" s="103"/>
      <c r="X378" s="103"/>
      <c r="Y378" s="103"/>
      <c r="Z378" s="103"/>
    </row>
    <row r="379">
      <c r="A379" s="110" t="s">
        <v>200</v>
      </c>
      <c r="B379" s="110"/>
      <c r="C379" s="110"/>
      <c r="D379" s="110"/>
      <c r="E379" s="110"/>
      <c r="F379" s="110"/>
      <c r="G379" s="115"/>
      <c r="H379" s="133"/>
      <c r="I379" s="103"/>
      <c r="J379" s="108"/>
      <c r="K379" s="112"/>
      <c r="L379" s="110"/>
      <c r="M379" s="111"/>
      <c r="N379" s="103"/>
      <c r="O379" s="112"/>
      <c r="P379" s="115"/>
      <c r="Q379" s="114"/>
      <c r="R379" s="108"/>
      <c r="S379" s="115" t="s">
        <v>200</v>
      </c>
      <c r="T379" s="103" t="b">
        <v>0</v>
      </c>
      <c r="U379" s="103"/>
      <c r="V379" s="103"/>
      <c r="W379" s="103"/>
      <c r="X379" s="103"/>
      <c r="Y379" s="103"/>
      <c r="Z379" s="103"/>
    </row>
    <row r="380">
      <c r="A380" s="110" t="s">
        <v>200</v>
      </c>
      <c r="B380" s="110"/>
      <c r="C380" s="110"/>
      <c r="D380" s="110"/>
      <c r="E380" s="110"/>
      <c r="F380" s="110"/>
      <c r="G380" s="115"/>
      <c r="H380" s="133"/>
      <c r="I380" s="103"/>
      <c r="J380" s="108"/>
      <c r="K380" s="112"/>
      <c r="L380" s="110"/>
      <c r="M380" s="111"/>
      <c r="N380" s="103"/>
      <c r="O380" s="112"/>
      <c r="P380" s="115"/>
      <c r="Q380" s="114"/>
      <c r="R380" s="108"/>
      <c r="S380" s="115" t="s">
        <v>200</v>
      </c>
      <c r="T380" s="103" t="b">
        <v>0</v>
      </c>
      <c r="U380" s="103"/>
      <c r="V380" s="103"/>
      <c r="W380" s="103"/>
      <c r="X380" s="103"/>
      <c r="Y380" s="103"/>
      <c r="Z380" s="103"/>
    </row>
    <row r="381">
      <c r="A381" s="110" t="s">
        <v>200</v>
      </c>
      <c r="B381" s="110"/>
      <c r="C381" s="110"/>
      <c r="D381" s="110"/>
      <c r="E381" s="110"/>
      <c r="F381" s="110"/>
      <c r="G381" s="115"/>
      <c r="H381" s="133"/>
      <c r="I381" s="103"/>
      <c r="J381" s="108"/>
      <c r="K381" s="112"/>
      <c r="L381" s="110"/>
      <c r="M381" s="111"/>
      <c r="N381" s="103"/>
      <c r="O381" s="112"/>
      <c r="P381" s="115"/>
      <c r="Q381" s="114"/>
      <c r="R381" s="108"/>
      <c r="S381" s="115" t="s">
        <v>200</v>
      </c>
      <c r="T381" s="103" t="b">
        <v>0</v>
      </c>
      <c r="U381" s="103"/>
      <c r="V381" s="103"/>
      <c r="W381" s="103"/>
      <c r="X381" s="103"/>
      <c r="Y381" s="103"/>
      <c r="Z381" s="103"/>
    </row>
    <row r="382">
      <c r="A382" s="110" t="s">
        <v>200</v>
      </c>
      <c r="B382" s="110"/>
      <c r="C382" s="110"/>
      <c r="D382" s="110"/>
      <c r="E382" s="110"/>
      <c r="F382" s="110"/>
      <c r="G382" s="115"/>
      <c r="H382" s="133"/>
      <c r="I382" s="103"/>
      <c r="J382" s="108"/>
      <c r="K382" s="112"/>
      <c r="L382" s="110"/>
      <c r="M382" s="111"/>
      <c r="N382" s="103"/>
      <c r="O382" s="112"/>
      <c r="P382" s="115"/>
      <c r="Q382" s="114"/>
      <c r="R382" s="108"/>
      <c r="S382" s="115" t="s">
        <v>200</v>
      </c>
      <c r="T382" s="103" t="b">
        <v>0</v>
      </c>
      <c r="U382" s="103"/>
      <c r="V382" s="103"/>
      <c r="W382" s="103"/>
      <c r="X382" s="103"/>
      <c r="Y382" s="103"/>
      <c r="Z382" s="103"/>
    </row>
    <row r="383">
      <c r="A383" s="110" t="s">
        <v>200</v>
      </c>
      <c r="B383" s="110"/>
      <c r="C383" s="110"/>
      <c r="D383" s="110"/>
      <c r="E383" s="110"/>
      <c r="F383" s="110"/>
      <c r="G383" s="115"/>
      <c r="H383" s="133"/>
      <c r="I383" s="103"/>
      <c r="J383" s="108"/>
      <c r="K383" s="112"/>
      <c r="L383" s="110"/>
      <c r="M383" s="111"/>
      <c r="N383" s="103"/>
      <c r="O383" s="112"/>
      <c r="P383" s="115"/>
      <c r="Q383" s="114"/>
      <c r="R383" s="108"/>
      <c r="S383" s="115" t="s">
        <v>200</v>
      </c>
      <c r="T383" s="103" t="b">
        <v>0</v>
      </c>
      <c r="U383" s="103"/>
      <c r="V383" s="103"/>
      <c r="W383" s="103"/>
      <c r="X383" s="103"/>
      <c r="Y383" s="103"/>
      <c r="Z383" s="103"/>
    </row>
    <row r="384">
      <c r="A384" s="110" t="s">
        <v>200</v>
      </c>
      <c r="B384" s="110"/>
      <c r="C384" s="110"/>
      <c r="D384" s="110"/>
      <c r="E384" s="110"/>
      <c r="F384" s="110"/>
      <c r="G384" s="115"/>
      <c r="H384" s="133"/>
      <c r="I384" s="103"/>
      <c r="J384" s="108"/>
      <c r="K384" s="112"/>
      <c r="L384" s="110"/>
      <c r="M384" s="111"/>
      <c r="N384" s="103"/>
      <c r="O384" s="112"/>
      <c r="P384" s="115"/>
      <c r="Q384" s="114"/>
      <c r="R384" s="108"/>
      <c r="S384" s="115" t="s">
        <v>200</v>
      </c>
      <c r="T384" s="103" t="b">
        <v>0</v>
      </c>
      <c r="U384" s="103"/>
      <c r="V384" s="103"/>
      <c r="W384" s="103"/>
      <c r="X384" s="103"/>
      <c r="Y384" s="103"/>
      <c r="Z384" s="103"/>
    </row>
    <row r="385">
      <c r="A385" s="110" t="s">
        <v>200</v>
      </c>
      <c r="B385" s="110"/>
      <c r="C385" s="110"/>
      <c r="D385" s="110"/>
      <c r="E385" s="110"/>
      <c r="F385" s="110"/>
      <c r="G385" s="115"/>
      <c r="H385" s="133"/>
      <c r="I385" s="103"/>
      <c r="J385" s="108"/>
      <c r="K385" s="112"/>
      <c r="L385" s="110"/>
      <c r="M385" s="111"/>
      <c r="N385" s="103"/>
      <c r="O385" s="112"/>
      <c r="P385" s="115"/>
      <c r="Q385" s="114"/>
      <c r="R385" s="108"/>
      <c r="S385" s="115" t="s">
        <v>200</v>
      </c>
      <c r="T385" s="103" t="b">
        <v>0</v>
      </c>
      <c r="U385" s="103"/>
      <c r="V385" s="103"/>
      <c r="W385" s="103"/>
      <c r="X385" s="103"/>
      <c r="Y385" s="103"/>
      <c r="Z385" s="103"/>
    </row>
    <row r="386">
      <c r="A386" s="110" t="s">
        <v>200</v>
      </c>
      <c r="B386" s="110"/>
      <c r="C386" s="110"/>
      <c r="D386" s="110"/>
      <c r="E386" s="110"/>
      <c r="F386" s="110"/>
      <c r="G386" s="115"/>
      <c r="H386" s="133"/>
      <c r="I386" s="103"/>
      <c r="J386" s="108"/>
      <c r="K386" s="112"/>
      <c r="L386" s="110"/>
      <c r="M386" s="111"/>
      <c r="N386" s="103"/>
      <c r="O386" s="112"/>
      <c r="P386" s="115"/>
      <c r="Q386" s="114"/>
      <c r="R386" s="108"/>
      <c r="S386" s="115" t="s">
        <v>200</v>
      </c>
      <c r="T386" s="103" t="b">
        <v>0</v>
      </c>
      <c r="U386" s="103"/>
      <c r="V386" s="103"/>
      <c r="W386" s="103"/>
      <c r="X386" s="103"/>
      <c r="Y386" s="103"/>
      <c r="Z386" s="103"/>
    </row>
    <row r="387">
      <c r="A387" s="110" t="s">
        <v>200</v>
      </c>
      <c r="B387" s="110"/>
      <c r="C387" s="110"/>
      <c r="D387" s="110"/>
      <c r="E387" s="110"/>
      <c r="F387" s="110"/>
      <c r="G387" s="115"/>
      <c r="H387" s="133"/>
      <c r="I387" s="103"/>
      <c r="J387" s="108"/>
      <c r="K387" s="112"/>
      <c r="L387" s="110"/>
      <c r="M387" s="111"/>
      <c r="N387" s="103"/>
      <c r="O387" s="112"/>
      <c r="P387" s="115"/>
      <c r="Q387" s="114"/>
      <c r="R387" s="108"/>
      <c r="S387" s="115" t="s">
        <v>200</v>
      </c>
      <c r="T387" s="103" t="b">
        <v>0</v>
      </c>
      <c r="U387" s="103"/>
      <c r="V387" s="103"/>
      <c r="W387" s="103"/>
      <c r="X387" s="103"/>
      <c r="Y387" s="103"/>
      <c r="Z387" s="103"/>
    </row>
    <row r="388">
      <c r="A388" s="110" t="s">
        <v>200</v>
      </c>
      <c r="B388" s="110"/>
      <c r="C388" s="110"/>
      <c r="D388" s="110"/>
      <c r="E388" s="110"/>
      <c r="F388" s="110"/>
      <c r="G388" s="115"/>
      <c r="H388" s="133"/>
      <c r="I388" s="103"/>
      <c r="J388" s="108"/>
      <c r="K388" s="112"/>
      <c r="L388" s="110"/>
      <c r="M388" s="111"/>
      <c r="N388" s="103"/>
      <c r="O388" s="112"/>
      <c r="P388" s="115"/>
      <c r="Q388" s="114"/>
      <c r="R388" s="108"/>
      <c r="S388" s="115" t="s">
        <v>200</v>
      </c>
      <c r="T388" s="103" t="b">
        <v>0</v>
      </c>
      <c r="U388" s="103"/>
      <c r="V388" s="103"/>
      <c r="W388" s="103"/>
      <c r="X388" s="103"/>
      <c r="Y388" s="103"/>
      <c r="Z388" s="103"/>
    </row>
    <row r="389">
      <c r="A389" s="110" t="s">
        <v>200</v>
      </c>
      <c r="B389" s="110"/>
      <c r="C389" s="110"/>
      <c r="D389" s="110"/>
      <c r="E389" s="110"/>
      <c r="F389" s="110"/>
      <c r="G389" s="115"/>
      <c r="H389" s="133"/>
      <c r="I389" s="103"/>
      <c r="J389" s="108"/>
      <c r="K389" s="112"/>
      <c r="L389" s="110"/>
      <c r="M389" s="111"/>
      <c r="N389" s="103"/>
      <c r="O389" s="112"/>
      <c r="P389" s="115"/>
      <c r="Q389" s="114"/>
      <c r="R389" s="108"/>
      <c r="S389" s="115" t="s">
        <v>200</v>
      </c>
      <c r="T389" s="103" t="b">
        <v>0</v>
      </c>
      <c r="U389" s="103"/>
      <c r="V389" s="103"/>
      <c r="W389" s="103"/>
      <c r="X389" s="103"/>
      <c r="Y389" s="103"/>
      <c r="Z389" s="103"/>
    </row>
    <row r="390">
      <c r="A390" s="110" t="s">
        <v>200</v>
      </c>
      <c r="B390" s="110"/>
      <c r="C390" s="110"/>
      <c r="D390" s="110"/>
      <c r="E390" s="110"/>
      <c r="F390" s="110"/>
      <c r="G390" s="115"/>
      <c r="H390" s="133"/>
      <c r="I390" s="103"/>
      <c r="J390" s="108"/>
      <c r="K390" s="112"/>
      <c r="L390" s="110"/>
      <c r="M390" s="111"/>
      <c r="N390" s="103"/>
      <c r="O390" s="112"/>
      <c r="P390" s="115"/>
      <c r="Q390" s="114"/>
      <c r="R390" s="108"/>
      <c r="S390" s="115" t="s">
        <v>200</v>
      </c>
      <c r="T390" s="103" t="b">
        <v>0</v>
      </c>
      <c r="U390" s="103"/>
      <c r="V390" s="103"/>
      <c r="W390" s="103"/>
      <c r="X390" s="103"/>
      <c r="Y390" s="103"/>
      <c r="Z390" s="103"/>
    </row>
    <row r="391">
      <c r="A391" s="110" t="s">
        <v>200</v>
      </c>
      <c r="B391" s="110"/>
      <c r="C391" s="110"/>
      <c r="D391" s="110"/>
      <c r="E391" s="110"/>
      <c r="F391" s="110"/>
      <c r="G391" s="115"/>
      <c r="H391" s="133"/>
      <c r="I391" s="103"/>
      <c r="J391" s="108"/>
      <c r="K391" s="112"/>
      <c r="L391" s="110"/>
      <c r="M391" s="111"/>
      <c r="N391" s="103"/>
      <c r="O391" s="112"/>
      <c r="P391" s="115"/>
      <c r="Q391" s="114"/>
      <c r="R391" s="108"/>
      <c r="S391" s="115" t="s">
        <v>200</v>
      </c>
      <c r="T391" s="103" t="b">
        <v>0</v>
      </c>
      <c r="U391" s="103"/>
      <c r="V391" s="103"/>
      <c r="W391" s="103"/>
      <c r="X391" s="103"/>
      <c r="Y391" s="103"/>
      <c r="Z391" s="103"/>
    </row>
    <row r="392">
      <c r="A392" s="110" t="s">
        <v>200</v>
      </c>
      <c r="B392" s="110"/>
      <c r="C392" s="110"/>
      <c r="D392" s="110"/>
      <c r="E392" s="110"/>
      <c r="F392" s="110"/>
      <c r="G392" s="115"/>
      <c r="H392" s="133"/>
      <c r="I392" s="103"/>
      <c r="J392" s="108"/>
      <c r="K392" s="112"/>
      <c r="L392" s="110"/>
      <c r="M392" s="111"/>
      <c r="N392" s="103"/>
      <c r="O392" s="112"/>
      <c r="P392" s="115"/>
      <c r="Q392" s="114"/>
      <c r="R392" s="108"/>
      <c r="S392" s="115" t="s">
        <v>200</v>
      </c>
      <c r="T392" s="103" t="b">
        <v>0</v>
      </c>
      <c r="U392" s="103"/>
      <c r="V392" s="103"/>
      <c r="W392" s="103"/>
      <c r="X392" s="103"/>
      <c r="Y392" s="103"/>
      <c r="Z392" s="103"/>
    </row>
    <row r="393">
      <c r="A393" s="110" t="s">
        <v>200</v>
      </c>
      <c r="B393" s="110"/>
      <c r="C393" s="110"/>
      <c r="D393" s="110"/>
      <c r="E393" s="110"/>
      <c r="F393" s="110"/>
      <c r="G393" s="115"/>
      <c r="H393" s="133"/>
      <c r="I393" s="103"/>
      <c r="J393" s="108"/>
      <c r="K393" s="112"/>
      <c r="L393" s="110"/>
      <c r="M393" s="111"/>
      <c r="N393" s="103"/>
      <c r="O393" s="112"/>
      <c r="P393" s="115"/>
      <c r="Q393" s="114"/>
      <c r="R393" s="108"/>
      <c r="S393" s="115" t="s">
        <v>200</v>
      </c>
      <c r="T393" s="103" t="b">
        <v>0</v>
      </c>
      <c r="U393" s="103"/>
      <c r="V393" s="103"/>
      <c r="W393" s="103"/>
      <c r="X393" s="103"/>
      <c r="Y393" s="103"/>
      <c r="Z393" s="103"/>
    </row>
    <row r="394">
      <c r="A394" s="110" t="s">
        <v>200</v>
      </c>
      <c r="B394" s="110"/>
      <c r="C394" s="110"/>
      <c r="D394" s="110"/>
      <c r="E394" s="110"/>
      <c r="F394" s="110"/>
      <c r="G394" s="115"/>
      <c r="H394" s="133"/>
      <c r="I394" s="103"/>
      <c r="J394" s="108"/>
      <c r="K394" s="112"/>
      <c r="L394" s="110"/>
      <c r="M394" s="111"/>
      <c r="N394" s="103"/>
      <c r="O394" s="112"/>
      <c r="P394" s="115"/>
      <c r="Q394" s="114"/>
      <c r="R394" s="108"/>
      <c r="S394" s="115" t="s">
        <v>200</v>
      </c>
      <c r="T394" s="103" t="b">
        <v>0</v>
      </c>
      <c r="U394" s="103"/>
      <c r="V394" s="103"/>
      <c r="W394" s="103"/>
      <c r="X394" s="103"/>
      <c r="Y394" s="103"/>
      <c r="Z394" s="103"/>
    </row>
    <row r="395">
      <c r="A395" s="110" t="s">
        <v>200</v>
      </c>
      <c r="B395" s="110"/>
      <c r="C395" s="110"/>
      <c r="D395" s="110"/>
      <c r="E395" s="110"/>
      <c r="F395" s="110"/>
      <c r="G395" s="115"/>
      <c r="H395" s="133"/>
      <c r="I395" s="103"/>
      <c r="J395" s="108"/>
      <c r="K395" s="112"/>
      <c r="L395" s="110"/>
      <c r="M395" s="111"/>
      <c r="N395" s="103"/>
      <c r="O395" s="112"/>
      <c r="P395" s="115"/>
      <c r="Q395" s="114"/>
      <c r="R395" s="108"/>
      <c r="S395" s="115" t="s">
        <v>200</v>
      </c>
      <c r="T395" s="103" t="b">
        <v>0</v>
      </c>
      <c r="U395" s="103"/>
      <c r="V395" s="103"/>
      <c r="W395" s="103"/>
      <c r="X395" s="103"/>
      <c r="Y395" s="103"/>
      <c r="Z395" s="103"/>
    </row>
    <row r="396">
      <c r="A396" s="110" t="s">
        <v>200</v>
      </c>
      <c r="B396" s="110"/>
      <c r="C396" s="110"/>
      <c r="D396" s="110"/>
      <c r="E396" s="110"/>
      <c r="F396" s="110"/>
      <c r="G396" s="115"/>
      <c r="H396" s="133"/>
      <c r="I396" s="103"/>
      <c r="J396" s="108"/>
      <c r="K396" s="112"/>
      <c r="L396" s="110"/>
      <c r="M396" s="111"/>
      <c r="N396" s="103"/>
      <c r="O396" s="112"/>
      <c r="P396" s="115"/>
      <c r="Q396" s="114"/>
      <c r="R396" s="108"/>
      <c r="S396" s="115" t="s">
        <v>200</v>
      </c>
      <c r="T396" s="103" t="b">
        <v>0</v>
      </c>
      <c r="U396" s="103"/>
      <c r="V396" s="103"/>
      <c r="W396" s="103"/>
      <c r="X396" s="103"/>
      <c r="Y396" s="103"/>
      <c r="Z396" s="103"/>
    </row>
    <row r="397">
      <c r="A397" s="110" t="s">
        <v>200</v>
      </c>
      <c r="B397" s="110"/>
      <c r="C397" s="110"/>
      <c r="D397" s="110"/>
      <c r="E397" s="110"/>
      <c r="F397" s="110"/>
      <c r="G397" s="115"/>
      <c r="H397" s="133"/>
      <c r="I397" s="103"/>
      <c r="J397" s="108"/>
      <c r="K397" s="112"/>
      <c r="L397" s="110"/>
      <c r="M397" s="111"/>
      <c r="N397" s="103"/>
      <c r="O397" s="112"/>
      <c r="P397" s="115"/>
      <c r="Q397" s="114"/>
      <c r="R397" s="108"/>
      <c r="S397" s="115" t="s">
        <v>200</v>
      </c>
      <c r="T397" s="103" t="b">
        <v>0</v>
      </c>
      <c r="U397" s="103"/>
      <c r="V397" s="103"/>
      <c r="W397" s="103"/>
      <c r="X397" s="103"/>
      <c r="Y397" s="103"/>
      <c r="Z397" s="103"/>
    </row>
    <row r="398">
      <c r="A398" s="110" t="s">
        <v>200</v>
      </c>
      <c r="B398" s="110"/>
      <c r="C398" s="110"/>
      <c r="D398" s="110"/>
      <c r="E398" s="110"/>
      <c r="F398" s="110"/>
      <c r="G398" s="115"/>
      <c r="H398" s="133"/>
      <c r="I398" s="103"/>
      <c r="J398" s="108"/>
      <c r="K398" s="112"/>
      <c r="L398" s="110"/>
      <c r="M398" s="111"/>
      <c r="N398" s="103"/>
      <c r="O398" s="112"/>
      <c r="P398" s="115"/>
      <c r="Q398" s="114"/>
      <c r="R398" s="108"/>
      <c r="S398" s="115" t="s">
        <v>200</v>
      </c>
      <c r="T398" s="103" t="b">
        <v>0</v>
      </c>
      <c r="U398" s="103"/>
      <c r="V398" s="103"/>
      <c r="W398" s="103"/>
      <c r="X398" s="103"/>
      <c r="Y398" s="103"/>
      <c r="Z398" s="103"/>
    </row>
    <row r="399">
      <c r="A399" s="110" t="s">
        <v>200</v>
      </c>
      <c r="B399" s="110"/>
      <c r="C399" s="110"/>
      <c r="D399" s="110"/>
      <c r="E399" s="110"/>
      <c r="F399" s="110"/>
      <c r="G399" s="115"/>
      <c r="H399" s="133"/>
      <c r="I399" s="103"/>
      <c r="J399" s="108"/>
      <c r="K399" s="112"/>
      <c r="L399" s="110"/>
      <c r="M399" s="111"/>
      <c r="N399" s="103"/>
      <c r="O399" s="112"/>
      <c r="P399" s="115"/>
      <c r="Q399" s="114"/>
      <c r="R399" s="108"/>
      <c r="S399" s="115" t="s">
        <v>200</v>
      </c>
      <c r="T399" s="103" t="b">
        <v>0</v>
      </c>
      <c r="U399" s="103"/>
      <c r="V399" s="103"/>
      <c r="W399" s="103"/>
      <c r="X399" s="103"/>
      <c r="Y399" s="103"/>
      <c r="Z399" s="103"/>
    </row>
    <row r="400">
      <c r="A400" s="110" t="s">
        <v>200</v>
      </c>
      <c r="B400" s="110"/>
      <c r="C400" s="110"/>
      <c r="D400" s="110"/>
      <c r="E400" s="110"/>
      <c r="F400" s="110"/>
      <c r="G400" s="115"/>
      <c r="H400" s="133"/>
      <c r="I400" s="103"/>
      <c r="J400" s="108"/>
      <c r="K400" s="112"/>
      <c r="L400" s="110"/>
      <c r="M400" s="111"/>
      <c r="N400" s="103"/>
      <c r="O400" s="112"/>
      <c r="P400" s="115"/>
      <c r="Q400" s="114"/>
      <c r="R400" s="108"/>
      <c r="S400" s="115" t="s">
        <v>200</v>
      </c>
      <c r="T400" s="103" t="b">
        <v>0</v>
      </c>
      <c r="U400" s="103"/>
      <c r="V400" s="103"/>
      <c r="W400" s="103"/>
      <c r="X400" s="103"/>
      <c r="Y400" s="103"/>
      <c r="Z400" s="103"/>
    </row>
    <row r="401">
      <c r="A401" s="110" t="s">
        <v>200</v>
      </c>
      <c r="B401" s="110"/>
      <c r="C401" s="110"/>
      <c r="D401" s="110"/>
      <c r="E401" s="110"/>
      <c r="F401" s="110"/>
      <c r="G401" s="115"/>
      <c r="H401" s="133"/>
      <c r="I401" s="103"/>
      <c r="J401" s="108"/>
      <c r="K401" s="112"/>
      <c r="L401" s="110"/>
      <c r="M401" s="111"/>
      <c r="N401" s="103"/>
      <c r="O401" s="112"/>
      <c r="P401" s="115"/>
      <c r="Q401" s="114"/>
      <c r="R401" s="108"/>
      <c r="S401" s="115" t="s">
        <v>200</v>
      </c>
      <c r="T401" s="103" t="b">
        <v>0</v>
      </c>
      <c r="U401" s="103"/>
      <c r="V401" s="103"/>
      <c r="W401" s="103"/>
      <c r="X401" s="103"/>
      <c r="Y401" s="103"/>
      <c r="Z401" s="103"/>
    </row>
    <row r="402">
      <c r="A402" s="110" t="s">
        <v>200</v>
      </c>
      <c r="B402" s="110"/>
      <c r="C402" s="110"/>
      <c r="D402" s="110"/>
      <c r="E402" s="110"/>
      <c r="F402" s="110"/>
      <c r="G402" s="115"/>
      <c r="H402" s="133"/>
      <c r="I402" s="103"/>
      <c r="J402" s="108"/>
      <c r="K402" s="112"/>
      <c r="L402" s="110"/>
      <c r="M402" s="111"/>
      <c r="N402" s="103"/>
      <c r="O402" s="112"/>
      <c r="P402" s="115"/>
      <c r="Q402" s="114"/>
      <c r="R402" s="108"/>
      <c r="S402" s="115" t="s">
        <v>200</v>
      </c>
      <c r="T402" s="103" t="b">
        <v>0</v>
      </c>
      <c r="U402" s="103"/>
      <c r="V402" s="103"/>
      <c r="W402" s="103"/>
      <c r="X402" s="103"/>
      <c r="Y402" s="103"/>
      <c r="Z402" s="103"/>
    </row>
    <row r="403">
      <c r="A403" s="110" t="s">
        <v>200</v>
      </c>
      <c r="B403" s="110"/>
      <c r="C403" s="110"/>
      <c r="D403" s="110"/>
      <c r="E403" s="110"/>
      <c r="F403" s="110"/>
      <c r="G403" s="115"/>
      <c r="H403" s="133"/>
      <c r="I403" s="103"/>
      <c r="J403" s="108"/>
      <c r="K403" s="112"/>
      <c r="L403" s="110"/>
      <c r="M403" s="111"/>
      <c r="N403" s="103"/>
      <c r="O403" s="112"/>
      <c r="P403" s="115"/>
      <c r="Q403" s="114"/>
      <c r="R403" s="108"/>
      <c r="S403" s="115" t="s">
        <v>200</v>
      </c>
      <c r="T403" s="103" t="b">
        <v>0</v>
      </c>
      <c r="U403" s="103"/>
      <c r="V403" s="103"/>
      <c r="W403" s="103"/>
      <c r="X403" s="103"/>
      <c r="Y403" s="103"/>
      <c r="Z403" s="103"/>
    </row>
    <row r="404">
      <c r="A404" s="110" t="s">
        <v>200</v>
      </c>
      <c r="B404" s="110"/>
      <c r="C404" s="110"/>
      <c r="D404" s="110"/>
      <c r="E404" s="110"/>
      <c r="F404" s="110"/>
      <c r="G404" s="115"/>
      <c r="H404" s="133"/>
      <c r="I404" s="103"/>
      <c r="J404" s="108"/>
      <c r="K404" s="112"/>
      <c r="L404" s="110"/>
      <c r="M404" s="111"/>
      <c r="N404" s="103"/>
      <c r="O404" s="112"/>
      <c r="P404" s="115"/>
      <c r="Q404" s="114"/>
      <c r="R404" s="108"/>
      <c r="S404" s="115" t="s">
        <v>200</v>
      </c>
      <c r="T404" s="103" t="b">
        <v>0</v>
      </c>
      <c r="U404" s="103"/>
      <c r="V404" s="103"/>
      <c r="W404" s="103"/>
      <c r="X404" s="103"/>
      <c r="Y404" s="103"/>
      <c r="Z404" s="103"/>
    </row>
    <row r="405">
      <c r="A405" s="110" t="s">
        <v>200</v>
      </c>
      <c r="B405" s="110"/>
      <c r="C405" s="110"/>
      <c r="D405" s="110"/>
      <c r="E405" s="110"/>
      <c r="F405" s="110"/>
      <c r="G405" s="115"/>
      <c r="H405" s="133"/>
      <c r="I405" s="103"/>
      <c r="J405" s="108"/>
      <c r="K405" s="112"/>
      <c r="L405" s="110"/>
      <c r="M405" s="111"/>
      <c r="N405" s="103"/>
      <c r="O405" s="112"/>
      <c r="P405" s="115"/>
      <c r="Q405" s="114"/>
      <c r="R405" s="108"/>
      <c r="S405" s="115" t="s">
        <v>200</v>
      </c>
      <c r="T405" s="103" t="b">
        <v>0</v>
      </c>
      <c r="U405" s="103"/>
      <c r="V405" s="103"/>
      <c r="W405" s="103"/>
      <c r="X405" s="103"/>
      <c r="Y405" s="103"/>
      <c r="Z405" s="103"/>
    </row>
    <row r="406">
      <c r="A406" s="110" t="s">
        <v>200</v>
      </c>
      <c r="B406" s="110"/>
      <c r="C406" s="110"/>
      <c r="D406" s="110"/>
      <c r="E406" s="110"/>
      <c r="F406" s="110"/>
      <c r="G406" s="115"/>
      <c r="H406" s="133"/>
      <c r="I406" s="103"/>
      <c r="J406" s="108"/>
      <c r="K406" s="112"/>
      <c r="L406" s="110"/>
      <c r="M406" s="111"/>
      <c r="N406" s="103"/>
      <c r="O406" s="112"/>
      <c r="P406" s="115"/>
      <c r="Q406" s="114"/>
      <c r="R406" s="108"/>
      <c r="S406" s="115" t="s">
        <v>200</v>
      </c>
      <c r="T406" s="103" t="b">
        <v>0</v>
      </c>
      <c r="U406" s="103"/>
      <c r="V406" s="103"/>
      <c r="W406" s="103"/>
      <c r="X406" s="103"/>
      <c r="Y406" s="103"/>
      <c r="Z406" s="103"/>
    </row>
    <row r="407">
      <c r="A407" s="110" t="s">
        <v>200</v>
      </c>
      <c r="B407" s="110"/>
      <c r="C407" s="110"/>
      <c r="D407" s="110"/>
      <c r="E407" s="110"/>
      <c r="F407" s="110"/>
      <c r="G407" s="115"/>
      <c r="H407" s="133"/>
      <c r="I407" s="103"/>
      <c r="J407" s="108"/>
      <c r="K407" s="112"/>
      <c r="L407" s="110"/>
      <c r="M407" s="111"/>
      <c r="N407" s="103"/>
      <c r="O407" s="112"/>
      <c r="P407" s="115"/>
      <c r="Q407" s="114"/>
      <c r="R407" s="108"/>
      <c r="S407" s="115" t="s">
        <v>200</v>
      </c>
      <c r="T407" s="103" t="b">
        <v>0</v>
      </c>
      <c r="U407" s="103"/>
      <c r="V407" s="103"/>
      <c r="W407" s="103"/>
      <c r="X407" s="103"/>
      <c r="Y407" s="103"/>
      <c r="Z407" s="103"/>
    </row>
    <row r="408">
      <c r="A408" s="110" t="s">
        <v>200</v>
      </c>
      <c r="B408" s="110"/>
      <c r="C408" s="110"/>
      <c r="D408" s="110"/>
      <c r="E408" s="110"/>
      <c r="F408" s="110"/>
      <c r="G408" s="115"/>
      <c r="H408" s="133"/>
      <c r="I408" s="103"/>
      <c r="J408" s="108"/>
      <c r="K408" s="112"/>
      <c r="L408" s="110"/>
      <c r="M408" s="111"/>
      <c r="N408" s="103"/>
      <c r="O408" s="112"/>
      <c r="P408" s="115"/>
      <c r="Q408" s="114"/>
      <c r="R408" s="108"/>
      <c r="S408" s="115" t="s">
        <v>200</v>
      </c>
      <c r="T408" s="103" t="b">
        <v>0</v>
      </c>
      <c r="U408" s="103"/>
      <c r="V408" s="103"/>
      <c r="W408" s="103"/>
      <c r="X408" s="103"/>
      <c r="Y408" s="103"/>
      <c r="Z408" s="103"/>
    </row>
    <row r="409">
      <c r="A409" s="110" t="s">
        <v>200</v>
      </c>
      <c r="B409" s="110"/>
      <c r="C409" s="110"/>
      <c r="D409" s="110"/>
      <c r="E409" s="110"/>
      <c r="F409" s="110"/>
      <c r="G409" s="115"/>
      <c r="H409" s="133"/>
      <c r="I409" s="103"/>
      <c r="J409" s="108"/>
      <c r="K409" s="112"/>
      <c r="L409" s="110"/>
      <c r="M409" s="111"/>
      <c r="N409" s="103"/>
      <c r="O409" s="112"/>
      <c r="P409" s="115"/>
      <c r="Q409" s="114"/>
      <c r="R409" s="108"/>
      <c r="S409" s="115" t="s">
        <v>200</v>
      </c>
      <c r="T409" s="103" t="b">
        <v>0</v>
      </c>
      <c r="U409" s="103"/>
      <c r="V409" s="103"/>
      <c r="W409" s="103"/>
      <c r="X409" s="103"/>
      <c r="Y409" s="103"/>
      <c r="Z409" s="103"/>
    </row>
    <row r="410">
      <c r="A410" s="110" t="s">
        <v>200</v>
      </c>
      <c r="B410" s="110"/>
      <c r="C410" s="110"/>
      <c r="D410" s="110"/>
      <c r="E410" s="110"/>
      <c r="F410" s="110"/>
      <c r="G410" s="115"/>
      <c r="H410" s="133"/>
      <c r="I410" s="103"/>
      <c r="J410" s="108"/>
      <c r="K410" s="112"/>
      <c r="L410" s="110"/>
      <c r="M410" s="111"/>
      <c r="N410" s="103"/>
      <c r="O410" s="112"/>
      <c r="P410" s="115"/>
      <c r="Q410" s="114"/>
      <c r="R410" s="108"/>
      <c r="S410" s="115" t="s">
        <v>200</v>
      </c>
      <c r="T410" s="103" t="b">
        <v>0</v>
      </c>
      <c r="U410" s="103"/>
      <c r="V410" s="103"/>
      <c r="W410" s="103"/>
      <c r="X410" s="103"/>
      <c r="Y410" s="103"/>
      <c r="Z410" s="103"/>
    </row>
    <row r="411">
      <c r="A411" s="110" t="s">
        <v>200</v>
      </c>
      <c r="B411" s="110"/>
      <c r="C411" s="110"/>
      <c r="D411" s="110"/>
      <c r="E411" s="110"/>
      <c r="F411" s="110"/>
      <c r="G411" s="115"/>
      <c r="H411" s="133"/>
      <c r="I411" s="103"/>
      <c r="J411" s="108"/>
      <c r="K411" s="112"/>
      <c r="L411" s="110"/>
      <c r="M411" s="111"/>
      <c r="N411" s="103"/>
      <c r="O411" s="112"/>
      <c r="P411" s="115"/>
      <c r="Q411" s="114"/>
      <c r="R411" s="108"/>
      <c r="S411" s="115" t="s">
        <v>200</v>
      </c>
      <c r="T411" s="103" t="b">
        <v>0</v>
      </c>
      <c r="U411" s="103"/>
      <c r="V411" s="103"/>
      <c r="W411" s="103"/>
      <c r="X411" s="103"/>
      <c r="Y411" s="103"/>
      <c r="Z411" s="103"/>
    </row>
    <row r="412">
      <c r="A412" s="110" t="s">
        <v>200</v>
      </c>
      <c r="B412" s="110"/>
      <c r="C412" s="110"/>
      <c r="D412" s="110"/>
      <c r="E412" s="110"/>
      <c r="F412" s="110"/>
      <c r="G412" s="115"/>
      <c r="H412" s="133"/>
      <c r="I412" s="103"/>
      <c r="J412" s="108"/>
      <c r="K412" s="112"/>
      <c r="L412" s="110"/>
      <c r="M412" s="111"/>
      <c r="N412" s="103"/>
      <c r="O412" s="112"/>
      <c r="P412" s="115"/>
      <c r="Q412" s="114"/>
      <c r="R412" s="108"/>
      <c r="S412" s="115" t="s">
        <v>200</v>
      </c>
      <c r="T412" s="103" t="b">
        <v>0</v>
      </c>
      <c r="U412" s="103"/>
      <c r="V412" s="103"/>
      <c r="W412" s="103"/>
      <c r="X412" s="103"/>
      <c r="Y412" s="103"/>
      <c r="Z412" s="103"/>
    </row>
    <row r="413">
      <c r="A413" s="110" t="s">
        <v>200</v>
      </c>
      <c r="B413" s="110"/>
      <c r="C413" s="110"/>
      <c r="D413" s="110"/>
      <c r="E413" s="110"/>
      <c r="F413" s="110"/>
      <c r="G413" s="115"/>
      <c r="H413" s="133"/>
      <c r="I413" s="103"/>
      <c r="J413" s="108"/>
      <c r="K413" s="112"/>
      <c r="L413" s="110"/>
      <c r="M413" s="111"/>
      <c r="N413" s="103"/>
      <c r="O413" s="112"/>
      <c r="P413" s="115"/>
      <c r="Q413" s="114"/>
      <c r="R413" s="108"/>
      <c r="S413" s="115" t="s">
        <v>200</v>
      </c>
      <c r="T413" s="103" t="b">
        <v>0</v>
      </c>
      <c r="U413" s="103"/>
      <c r="V413" s="103"/>
      <c r="W413" s="103"/>
      <c r="X413" s="103"/>
      <c r="Y413" s="103"/>
      <c r="Z413" s="103"/>
    </row>
    <row r="414">
      <c r="A414" s="110" t="s">
        <v>200</v>
      </c>
      <c r="B414" s="110"/>
      <c r="C414" s="110"/>
      <c r="D414" s="110"/>
      <c r="E414" s="110"/>
      <c r="F414" s="110"/>
      <c r="G414" s="115"/>
      <c r="H414" s="133"/>
      <c r="I414" s="103"/>
      <c r="J414" s="108"/>
      <c r="K414" s="112"/>
      <c r="L414" s="110"/>
      <c r="M414" s="111"/>
      <c r="N414" s="103"/>
      <c r="O414" s="112"/>
      <c r="P414" s="115"/>
      <c r="Q414" s="114"/>
      <c r="R414" s="108"/>
      <c r="S414" s="115" t="s">
        <v>200</v>
      </c>
      <c r="T414" s="103" t="b">
        <v>0</v>
      </c>
      <c r="U414" s="103"/>
      <c r="V414" s="103"/>
      <c r="W414" s="103"/>
      <c r="X414" s="103"/>
      <c r="Y414" s="103"/>
      <c r="Z414" s="103"/>
    </row>
    <row r="415">
      <c r="A415" s="110" t="s">
        <v>200</v>
      </c>
      <c r="B415" s="110"/>
      <c r="C415" s="110"/>
      <c r="D415" s="110"/>
      <c r="E415" s="110"/>
      <c r="F415" s="110"/>
      <c r="G415" s="115"/>
      <c r="H415" s="133"/>
      <c r="I415" s="103"/>
      <c r="J415" s="108"/>
      <c r="K415" s="112"/>
      <c r="L415" s="110"/>
      <c r="M415" s="111"/>
      <c r="N415" s="103"/>
      <c r="O415" s="112"/>
      <c r="P415" s="115"/>
      <c r="Q415" s="114"/>
      <c r="R415" s="108"/>
      <c r="S415" s="115" t="s">
        <v>200</v>
      </c>
      <c r="T415" s="103" t="b">
        <v>0</v>
      </c>
      <c r="U415" s="103"/>
      <c r="V415" s="103"/>
      <c r="W415" s="103"/>
      <c r="X415" s="103"/>
      <c r="Y415" s="103"/>
      <c r="Z415" s="103"/>
    </row>
    <row r="416">
      <c r="A416" s="110" t="s">
        <v>200</v>
      </c>
      <c r="B416" s="110"/>
      <c r="C416" s="110"/>
      <c r="D416" s="110"/>
      <c r="E416" s="110"/>
      <c r="F416" s="110"/>
      <c r="G416" s="115"/>
      <c r="H416" s="133"/>
      <c r="I416" s="103"/>
      <c r="J416" s="108"/>
      <c r="K416" s="112"/>
      <c r="L416" s="110"/>
      <c r="M416" s="111"/>
      <c r="N416" s="103"/>
      <c r="O416" s="112"/>
      <c r="P416" s="115"/>
      <c r="Q416" s="114"/>
      <c r="R416" s="108"/>
      <c r="S416" s="115" t="s">
        <v>200</v>
      </c>
      <c r="T416" s="103" t="b">
        <v>0</v>
      </c>
      <c r="U416" s="103"/>
      <c r="V416" s="103"/>
      <c r="W416" s="103"/>
      <c r="X416" s="103"/>
      <c r="Y416" s="103"/>
      <c r="Z416" s="103"/>
    </row>
    <row r="417">
      <c r="A417" s="110" t="s">
        <v>200</v>
      </c>
      <c r="B417" s="110"/>
      <c r="C417" s="110"/>
      <c r="D417" s="110"/>
      <c r="E417" s="110"/>
      <c r="F417" s="110"/>
      <c r="G417" s="115"/>
      <c r="H417" s="133"/>
      <c r="I417" s="103"/>
      <c r="J417" s="108"/>
      <c r="K417" s="112"/>
      <c r="L417" s="110"/>
      <c r="M417" s="111"/>
      <c r="N417" s="103"/>
      <c r="O417" s="112"/>
      <c r="P417" s="115"/>
      <c r="Q417" s="114"/>
      <c r="R417" s="108"/>
      <c r="S417" s="115" t="s">
        <v>200</v>
      </c>
      <c r="T417" s="103" t="b">
        <v>0</v>
      </c>
      <c r="U417" s="103"/>
      <c r="V417" s="103"/>
      <c r="W417" s="103"/>
      <c r="X417" s="103"/>
      <c r="Y417" s="103"/>
      <c r="Z417" s="103"/>
    </row>
    <row r="418">
      <c r="A418" s="110" t="s">
        <v>200</v>
      </c>
      <c r="B418" s="110"/>
      <c r="C418" s="110"/>
      <c r="D418" s="110"/>
      <c r="E418" s="110"/>
      <c r="F418" s="110"/>
      <c r="G418" s="115"/>
      <c r="H418" s="133"/>
      <c r="I418" s="103"/>
      <c r="J418" s="108"/>
      <c r="K418" s="112"/>
      <c r="L418" s="110"/>
      <c r="M418" s="111"/>
      <c r="N418" s="103"/>
      <c r="O418" s="112"/>
      <c r="P418" s="115"/>
      <c r="Q418" s="114"/>
      <c r="R418" s="108"/>
      <c r="S418" s="115" t="s">
        <v>200</v>
      </c>
      <c r="T418" s="103" t="b">
        <v>0</v>
      </c>
      <c r="U418" s="103"/>
      <c r="V418" s="103"/>
      <c r="W418" s="103"/>
      <c r="X418" s="103"/>
      <c r="Y418" s="103"/>
      <c r="Z418" s="103"/>
    </row>
    <row r="419">
      <c r="A419" s="110" t="s">
        <v>200</v>
      </c>
      <c r="B419" s="110"/>
      <c r="C419" s="110"/>
      <c r="D419" s="110"/>
      <c r="E419" s="110"/>
      <c r="F419" s="110"/>
      <c r="G419" s="115"/>
      <c r="H419" s="133"/>
      <c r="I419" s="103"/>
      <c r="J419" s="108"/>
      <c r="K419" s="112"/>
      <c r="L419" s="110"/>
      <c r="M419" s="111"/>
      <c r="N419" s="103"/>
      <c r="O419" s="112"/>
      <c r="P419" s="115"/>
      <c r="Q419" s="114"/>
      <c r="R419" s="108"/>
      <c r="S419" s="115" t="s">
        <v>200</v>
      </c>
      <c r="T419" s="103" t="b">
        <v>0</v>
      </c>
      <c r="U419" s="103"/>
      <c r="V419" s="103"/>
      <c r="W419" s="103"/>
      <c r="X419" s="103"/>
      <c r="Y419" s="103"/>
      <c r="Z419" s="103"/>
    </row>
    <row r="420">
      <c r="A420" s="110" t="s">
        <v>200</v>
      </c>
      <c r="B420" s="110"/>
      <c r="C420" s="110"/>
      <c r="D420" s="110"/>
      <c r="E420" s="110"/>
      <c r="F420" s="110"/>
      <c r="G420" s="115"/>
      <c r="H420" s="133"/>
      <c r="I420" s="103"/>
      <c r="J420" s="108"/>
      <c r="K420" s="112"/>
      <c r="L420" s="110"/>
      <c r="M420" s="111"/>
      <c r="N420" s="103"/>
      <c r="O420" s="112"/>
      <c r="P420" s="115"/>
      <c r="Q420" s="114"/>
      <c r="R420" s="108"/>
      <c r="S420" s="115" t="s">
        <v>200</v>
      </c>
      <c r="T420" s="103" t="b">
        <v>0</v>
      </c>
      <c r="U420" s="103"/>
      <c r="V420" s="103"/>
      <c r="W420" s="103"/>
      <c r="X420" s="103"/>
      <c r="Y420" s="103"/>
      <c r="Z420" s="103"/>
    </row>
    <row r="421">
      <c r="A421" s="110" t="s">
        <v>200</v>
      </c>
      <c r="B421" s="110"/>
      <c r="C421" s="110"/>
      <c r="D421" s="110"/>
      <c r="E421" s="110"/>
      <c r="F421" s="110"/>
      <c r="G421" s="115"/>
      <c r="H421" s="133"/>
      <c r="I421" s="103"/>
      <c r="J421" s="108"/>
      <c r="K421" s="112"/>
      <c r="L421" s="110"/>
      <c r="M421" s="111"/>
      <c r="N421" s="103"/>
      <c r="O421" s="112"/>
      <c r="P421" s="115"/>
      <c r="Q421" s="114"/>
      <c r="R421" s="108"/>
      <c r="S421" s="115" t="s">
        <v>200</v>
      </c>
      <c r="T421" s="103" t="b">
        <v>0</v>
      </c>
      <c r="U421" s="103"/>
      <c r="V421" s="103"/>
      <c r="W421" s="103"/>
      <c r="X421" s="103"/>
      <c r="Y421" s="103"/>
      <c r="Z421" s="103"/>
    </row>
    <row r="422">
      <c r="A422" s="110" t="s">
        <v>200</v>
      </c>
      <c r="B422" s="110"/>
      <c r="C422" s="110"/>
      <c r="D422" s="110"/>
      <c r="E422" s="110"/>
      <c r="F422" s="110"/>
      <c r="G422" s="115"/>
      <c r="H422" s="133"/>
      <c r="I422" s="103"/>
      <c r="J422" s="108"/>
      <c r="K422" s="112"/>
      <c r="L422" s="110"/>
      <c r="M422" s="111"/>
      <c r="N422" s="103"/>
      <c r="O422" s="112"/>
      <c r="P422" s="115"/>
      <c r="Q422" s="114"/>
      <c r="R422" s="108"/>
      <c r="S422" s="115" t="s">
        <v>200</v>
      </c>
      <c r="T422" s="103" t="b">
        <v>0</v>
      </c>
      <c r="U422" s="103"/>
      <c r="V422" s="103"/>
      <c r="W422" s="103"/>
      <c r="X422" s="103"/>
      <c r="Y422" s="103"/>
      <c r="Z422" s="103"/>
    </row>
    <row r="423">
      <c r="A423" s="110" t="s">
        <v>200</v>
      </c>
      <c r="B423" s="110"/>
      <c r="C423" s="110"/>
      <c r="D423" s="110"/>
      <c r="E423" s="110"/>
      <c r="F423" s="110"/>
      <c r="G423" s="115"/>
      <c r="H423" s="133"/>
      <c r="I423" s="103"/>
      <c r="J423" s="108"/>
      <c r="K423" s="112"/>
      <c r="L423" s="110"/>
      <c r="M423" s="111"/>
      <c r="N423" s="103"/>
      <c r="O423" s="112"/>
      <c r="P423" s="115"/>
      <c r="Q423" s="114"/>
      <c r="R423" s="108"/>
      <c r="S423" s="115" t="s">
        <v>200</v>
      </c>
      <c r="T423" s="103" t="b">
        <v>0</v>
      </c>
      <c r="U423" s="103"/>
      <c r="V423" s="103"/>
      <c r="W423" s="103"/>
      <c r="X423" s="103"/>
      <c r="Y423" s="103"/>
      <c r="Z423" s="103"/>
    </row>
    <row r="424">
      <c r="A424" s="110" t="s">
        <v>200</v>
      </c>
      <c r="B424" s="110"/>
      <c r="C424" s="110"/>
      <c r="D424" s="110"/>
      <c r="E424" s="110"/>
      <c r="F424" s="110"/>
      <c r="G424" s="115"/>
      <c r="H424" s="133"/>
      <c r="I424" s="103"/>
      <c r="J424" s="108"/>
      <c r="K424" s="112"/>
      <c r="L424" s="110"/>
      <c r="M424" s="111"/>
      <c r="N424" s="103"/>
      <c r="O424" s="112"/>
      <c r="P424" s="115"/>
      <c r="Q424" s="114"/>
      <c r="R424" s="108"/>
      <c r="S424" s="115" t="s">
        <v>200</v>
      </c>
      <c r="T424" s="103" t="b">
        <v>0</v>
      </c>
      <c r="U424" s="103"/>
      <c r="V424" s="103"/>
      <c r="W424" s="103"/>
      <c r="X424" s="103"/>
      <c r="Y424" s="103"/>
      <c r="Z424" s="103"/>
    </row>
    <row r="425">
      <c r="A425" s="110" t="s">
        <v>200</v>
      </c>
      <c r="B425" s="110"/>
      <c r="C425" s="110"/>
      <c r="D425" s="110"/>
      <c r="E425" s="110"/>
      <c r="F425" s="110"/>
      <c r="G425" s="115"/>
      <c r="H425" s="133"/>
      <c r="I425" s="103"/>
      <c r="J425" s="108"/>
      <c r="K425" s="112"/>
      <c r="L425" s="110"/>
      <c r="M425" s="111"/>
      <c r="N425" s="103"/>
      <c r="O425" s="112"/>
      <c r="P425" s="115"/>
      <c r="Q425" s="114"/>
      <c r="R425" s="108"/>
      <c r="S425" s="115" t="s">
        <v>200</v>
      </c>
      <c r="T425" s="103" t="b">
        <v>0</v>
      </c>
      <c r="U425" s="103"/>
      <c r="V425" s="103"/>
      <c r="W425" s="103"/>
      <c r="X425" s="103"/>
      <c r="Y425" s="103"/>
      <c r="Z425" s="103"/>
    </row>
    <row r="426">
      <c r="A426" s="110" t="s">
        <v>200</v>
      </c>
      <c r="B426" s="110"/>
      <c r="C426" s="110"/>
      <c r="D426" s="110"/>
      <c r="E426" s="110"/>
      <c r="F426" s="110"/>
      <c r="G426" s="115"/>
      <c r="H426" s="133"/>
      <c r="I426" s="103"/>
      <c r="J426" s="108"/>
      <c r="K426" s="112"/>
      <c r="L426" s="110"/>
      <c r="M426" s="111"/>
      <c r="N426" s="103"/>
      <c r="O426" s="112"/>
      <c r="P426" s="115"/>
      <c r="Q426" s="114"/>
      <c r="R426" s="108"/>
      <c r="S426" s="115" t="s">
        <v>200</v>
      </c>
      <c r="T426" s="103" t="b">
        <v>0</v>
      </c>
      <c r="U426" s="103"/>
      <c r="V426" s="103"/>
      <c r="W426" s="103"/>
      <c r="X426" s="103"/>
      <c r="Y426" s="103"/>
      <c r="Z426" s="103"/>
    </row>
    <row r="427">
      <c r="A427" s="110" t="s">
        <v>200</v>
      </c>
      <c r="B427" s="110"/>
      <c r="C427" s="110"/>
      <c r="D427" s="110"/>
      <c r="E427" s="110"/>
      <c r="F427" s="110"/>
      <c r="G427" s="115"/>
      <c r="H427" s="133"/>
      <c r="I427" s="103"/>
      <c r="J427" s="108"/>
      <c r="K427" s="112"/>
      <c r="L427" s="110"/>
      <c r="M427" s="111"/>
      <c r="N427" s="103"/>
      <c r="O427" s="112"/>
      <c r="P427" s="115"/>
      <c r="Q427" s="114"/>
      <c r="R427" s="108"/>
      <c r="S427" s="115" t="s">
        <v>200</v>
      </c>
      <c r="T427" s="103" t="b">
        <v>0</v>
      </c>
      <c r="U427" s="103"/>
      <c r="V427" s="103"/>
      <c r="W427" s="103"/>
      <c r="X427" s="103"/>
      <c r="Y427" s="103"/>
      <c r="Z427" s="103"/>
    </row>
    <row r="428">
      <c r="A428" s="110" t="s">
        <v>200</v>
      </c>
      <c r="B428" s="110"/>
      <c r="C428" s="110"/>
      <c r="D428" s="110"/>
      <c r="E428" s="110"/>
      <c r="F428" s="110"/>
      <c r="G428" s="115"/>
      <c r="H428" s="133"/>
      <c r="I428" s="103"/>
      <c r="J428" s="108"/>
      <c r="K428" s="112"/>
      <c r="L428" s="110"/>
      <c r="M428" s="111"/>
      <c r="N428" s="103"/>
      <c r="O428" s="112"/>
      <c r="P428" s="115"/>
      <c r="Q428" s="114"/>
      <c r="R428" s="108"/>
      <c r="S428" s="115" t="s">
        <v>200</v>
      </c>
      <c r="T428" s="103" t="b">
        <v>0</v>
      </c>
      <c r="U428" s="103"/>
      <c r="V428" s="103"/>
      <c r="W428" s="103"/>
      <c r="X428" s="103"/>
      <c r="Y428" s="103"/>
      <c r="Z428" s="103"/>
    </row>
    <row r="429">
      <c r="A429" s="110" t="s">
        <v>200</v>
      </c>
      <c r="B429" s="110"/>
      <c r="C429" s="110"/>
      <c r="D429" s="110"/>
      <c r="E429" s="110"/>
      <c r="F429" s="110"/>
      <c r="G429" s="115"/>
      <c r="H429" s="133"/>
      <c r="I429" s="103"/>
      <c r="J429" s="108"/>
      <c r="K429" s="112"/>
      <c r="L429" s="110"/>
      <c r="M429" s="111"/>
      <c r="N429" s="103"/>
      <c r="O429" s="112"/>
      <c r="P429" s="115"/>
      <c r="Q429" s="114"/>
      <c r="R429" s="108"/>
      <c r="S429" s="115" t="s">
        <v>200</v>
      </c>
      <c r="T429" s="103" t="b">
        <v>0</v>
      </c>
      <c r="U429" s="103"/>
      <c r="V429" s="103"/>
      <c r="W429" s="103"/>
      <c r="X429" s="103"/>
      <c r="Y429" s="103"/>
      <c r="Z429" s="103"/>
    </row>
    <row r="430">
      <c r="A430" s="110" t="s">
        <v>200</v>
      </c>
      <c r="B430" s="110"/>
      <c r="C430" s="110"/>
      <c r="D430" s="110"/>
      <c r="E430" s="110"/>
      <c r="F430" s="110"/>
      <c r="G430" s="115"/>
      <c r="H430" s="133"/>
      <c r="I430" s="103"/>
      <c r="J430" s="108"/>
      <c r="K430" s="112"/>
      <c r="L430" s="110"/>
      <c r="M430" s="111"/>
      <c r="N430" s="103"/>
      <c r="O430" s="112"/>
      <c r="P430" s="115"/>
      <c r="Q430" s="114"/>
      <c r="R430" s="108"/>
      <c r="S430" s="115" t="s">
        <v>200</v>
      </c>
      <c r="T430" s="103" t="b">
        <v>0</v>
      </c>
      <c r="U430" s="103"/>
      <c r="V430" s="103"/>
      <c r="W430" s="103"/>
      <c r="X430" s="103"/>
      <c r="Y430" s="103"/>
      <c r="Z430" s="103"/>
    </row>
    <row r="431">
      <c r="A431" s="110" t="s">
        <v>200</v>
      </c>
      <c r="B431" s="110"/>
      <c r="C431" s="110"/>
      <c r="D431" s="110"/>
      <c r="E431" s="110"/>
      <c r="F431" s="110"/>
      <c r="G431" s="115"/>
      <c r="H431" s="133"/>
      <c r="I431" s="103"/>
      <c r="J431" s="108"/>
      <c r="K431" s="112"/>
      <c r="L431" s="110"/>
      <c r="M431" s="111"/>
      <c r="N431" s="103"/>
      <c r="O431" s="112"/>
      <c r="P431" s="115"/>
      <c r="Q431" s="114"/>
      <c r="R431" s="108"/>
      <c r="S431" s="115" t="s">
        <v>200</v>
      </c>
      <c r="T431" s="103" t="b">
        <v>0</v>
      </c>
      <c r="U431" s="103"/>
      <c r="V431" s="103"/>
      <c r="W431" s="103"/>
      <c r="X431" s="103"/>
      <c r="Y431" s="103"/>
      <c r="Z431" s="103"/>
    </row>
    <row r="432">
      <c r="A432" s="110" t="s">
        <v>200</v>
      </c>
      <c r="B432" s="110"/>
      <c r="C432" s="110"/>
      <c r="D432" s="110"/>
      <c r="E432" s="110"/>
      <c r="F432" s="110"/>
      <c r="G432" s="115"/>
      <c r="H432" s="133"/>
      <c r="I432" s="103"/>
      <c r="J432" s="108"/>
      <c r="K432" s="112"/>
      <c r="L432" s="110"/>
      <c r="M432" s="111"/>
      <c r="N432" s="103"/>
      <c r="O432" s="112"/>
      <c r="P432" s="115"/>
      <c r="Q432" s="114"/>
      <c r="R432" s="108"/>
      <c r="S432" s="115" t="s">
        <v>200</v>
      </c>
      <c r="T432" s="103" t="b">
        <v>0</v>
      </c>
      <c r="U432" s="103"/>
      <c r="V432" s="103"/>
      <c r="W432" s="103"/>
      <c r="X432" s="103"/>
      <c r="Y432" s="103"/>
      <c r="Z432" s="103"/>
    </row>
    <row r="433">
      <c r="A433" s="110" t="s">
        <v>200</v>
      </c>
      <c r="B433" s="110"/>
      <c r="C433" s="110"/>
      <c r="D433" s="110"/>
      <c r="E433" s="110"/>
      <c r="F433" s="110"/>
      <c r="G433" s="115"/>
      <c r="H433" s="133"/>
      <c r="I433" s="103"/>
      <c r="J433" s="108"/>
      <c r="K433" s="112"/>
      <c r="L433" s="110"/>
      <c r="M433" s="111"/>
      <c r="N433" s="103"/>
      <c r="O433" s="112"/>
      <c r="P433" s="115"/>
      <c r="Q433" s="114"/>
      <c r="R433" s="108"/>
      <c r="S433" s="115" t="s">
        <v>200</v>
      </c>
      <c r="T433" s="103" t="b">
        <v>0</v>
      </c>
      <c r="U433" s="103"/>
      <c r="V433" s="103"/>
      <c r="W433" s="103"/>
      <c r="X433" s="103"/>
      <c r="Y433" s="103"/>
      <c r="Z433" s="103"/>
    </row>
    <row r="434">
      <c r="A434" s="110" t="s">
        <v>200</v>
      </c>
      <c r="B434" s="110"/>
      <c r="C434" s="110"/>
      <c r="D434" s="110"/>
      <c r="E434" s="110"/>
      <c r="F434" s="110"/>
      <c r="G434" s="115"/>
      <c r="H434" s="133"/>
      <c r="I434" s="103"/>
      <c r="J434" s="108"/>
      <c r="K434" s="112"/>
      <c r="L434" s="110"/>
      <c r="M434" s="111"/>
      <c r="N434" s="103"/>
      <c r="O434" s="112"/>
      <c r="P434" s="115"/>
      <c r="Q434" s="114"/>
      <c r="R434" s="108"/>
      <c r="S434" s="115" t="s">
        <v>200</v>
      </c>
      <c r="T434" s="103" t="b">
        <v>0</v>
      </c>
      <c r="U434" s="103"/>
      <c r="V434" s="103"/>
      <c r="W434" s="103"/>
      <c r="X434" s="103"/>
      <c r="Y434" s="103"/>
      <c r="Z434" s="103"/>
    </row>
    <row r="435">
      <c r="A435" s="110" t="s">
        <v>200</v>
      </c>
      <c r="B435" s="110"/>
      <c r="C435" s="110"/>
      <c r="D435" s="110"/>
      <c r="E435" s="110"/>
      <c r="F435" s="110"/>
      <c r="G435" s="115"/>
      <c r="H435" s="133"/>
      <c r="I435" s="103"/>
      <c r="J435" s="108"/>
      <c r="K435" s="112"/>
      <c r="L435" s="110"/>
      <c r="M435" s="111"/>
      <c r="N435" s="103"/>
      <c r="O435" s="112"/>
      <c r="P435" s="115"/>
      <c r="Q435" s="114"/>
      <c r="R435" s="108"/>
      <c r="S435" s="115" t="s">
        <v>200</v>
      </c>
      <c r="T435" s="103" t="b">
        <v>0</v>
      </c>
      <c r="U435" s="103"/>
      <c r="V435" s="103"/>
      <c r="W435" s="103"/>
      <c r="X435" s="103"/>
      <c r="Y435" s="103"/>
      <c r="Z435" s="103"/>
    </row>
    <row r="436">
      <c r="A436" s="110" t="s">
        <v>200</v>
      </c>
      <c r="B436" s="110"/>
      <c r="C436" s="110"/>
      <c r="D436" s="110"/>
      <c r="E436" s="110"/>
      <c r="F436" s="110"/>
      <c r="G436" s="115"/>
      <c r="H436" s="133"/>
      <c r="I436" s="103"/>
      <c r="J436" s="108"/>
      <c r="K436" s="112"/>
      <c r="L436" s="110"/>
      <c r="M436" s="111"/>
      <c r="N436" s="103"/>
      <c r="O436" s="112"/>
      <c r="P436" s="115"/>
      <c r="Q436" s="114"/>
      <c r="R436" s="108"/>
      <c r="S436" s="115" t="s">
        <v>200</v>
      </c>
      <c r="T436" s="103" t="b">
        <v>0</v>
      </c>
      <c r="U436" s="103"/>
      <c r="V436" s="103"/>
      <c r="W436" s="103"/>
      <c r="X436" s="103"/>
      <c r="Y436" s="103"/>
      <c r="Z436" s="103"/>
    </row>
    <row r="437">
      <c r="A437" s="110" t="s">
        <v>200</v>
      </c>
      <c r="B437" s="110"/>
      <c r="C437" s="110"/>
      <c r="D437" s="110"/>
      <c r="E437" s="110"/>
      <c r="F437" s="110"/>
      <c r="G437" s="115"/>
      <c r="H437" s="133"/>
      <c r="I437" s="103"/>
      <c r="J437" s="108"/>
      <c r="K437" s="112"/>
      <c r="L437" s="110"/>
      <c r="M437" s="111"/>
      <c r="N437" s="103"/>
      <c r="O437" s="112"/>
      <c r="P437" s="115"/>
      <c r="Q437" s="114"/>
      <c r="R437" s="108"/>
      <c r="S437" s="115" t="s">
        <v>200</v>
      </c>
      <c r="T437" s="103" t="b">
        <v>0</v>
      </c>
      <c r="U437" s="103"/>
      <c r="V437" s="103"/>
      <c r="W437" s="103"/>
      <c r="X437" s="103"/>
      <c r="Y437" s="103"/>
      <c r="Z437" s="103"/>
    </row>
    <row r="438">
      <c r="A438" s="110" t="s">
        <v>200</v>
      </c>
      <c r="B438" s="110"/>
      <c r="C438" s="110"/>
      <c r="D438" s="110"/>
      <c r="E438" s="110"/>
      <c r="F438" s="110"/>
      <c r="G438" s="115"/>
      <c r="H438" s="133"/>
      <c r="I438" s="103"/>
      <c r="J438" s="108"/>
      <c r="K438" s="112"/>
      <c r="L438" s="110"/>
      <c r="M438" s="111"/>
      <c r="N438" s="103"/>
      <c r="O438" s="112"/>
      <c r="P438" s="115"/>
      <c r="Q438" s="114"/>
      <c r="R438" s="108"/>
      <c r="S438" s="115" t="s">
        <v>200</v>
      </c>
      <c r="T438" s="103" t="b">
        <v>0</v>
      </c>
      <c r="U438" s="103"/>
      <c r="V438" s="103"/>
      <c r="W438" s="103"/>
      <c r="X438" s="103"/>
      <c r="Y438" s="103"/>
      <c r="Z438" s="103"/>
    </row>
    <row r="439">
      <c r="A439" s="110" t="s">
        <v>200</v>
      </c>
      <c r="B439" s="110"/>
      <c r="C439" s="110"/>
      <c r="D439" s="110"/>
      <c r="E439" s="110"/>
      <c r="F439" s="110"/>
      <c r="G439" s="115"/>
      <c r="H439" s="133"/>
      <c r="I439" s="103"/>
      <c r="J439" s="108"/>
      <c r="K439" s="112"/>
      <c r="L439" s="110"/>
      <c r="M439" s="111"/>
      <c r="N439" s="103"/>
      <c r="O439" s="112"/>
      <c r="P439" s="115"/>
      <c r="Q439" s="114"/>
      <c r="R439" s="108"/>
      <c r="S439" s="115" t="s">
        <v>200</v>
      </c>
      <c r="T439" s="103" t="b">
        <v>0</v>
      </c>
      <c r="U439" s="103"/>
      <c r="V439" s="103"/>
      <c r="W439" s="103"/>
      <c r="X439" s="103"/>
      <c r="Y439" s="103"/>
      <c r="Z439" s="103"/>
    </row>
    <row r="440">
      <c r="A440" s="110" t="s">
        <v>200</v>
      </c>
      <c r="B440" s="110"/>
      <c r="C440" s="110"/>
      <c r="D440" s="110"/>
      <c r="E440" s="110"/>
      <c r="F440" s="110"/>
      <c r="G440" s="115"/>
      <c r="H440" s="133"/>
      <c r="I440" s="103"/>
      <c r="J440" s="108"/>
      <c r="K440" s="112"/>
      <c r="L440" s="110"/>
      <c r="M440" s="111"/>
      <c r="N440" s="103"/>
      <c r="O440" s="112"/>
      <c r="P440" s="115"/>
      <c r="Q440" s="114"/>
      <c r="R440" s="108"/>
      <c r="S440" s="115" t="s">
        <v>200</v>
      </c>
      <c r="T440" s="103" t="b">
        <v>0</v>
      </c>
      <c r="U440" s="103"/>
      <c r="V440" s="103"/>
      <c r="W440" s="103"/>
      <c r="X440" s="103"/>
      <c r="Y440" s="103"/>
      <c r="Z440" s="103"/>
    </row>
    <row r="441">
      <c r="A441" s="110" t="s">
        <v>200</v>
      </c>
      <c r="B441" s="110"/>
      <c r="C441" s="110"/>
      <c r="D441" s="110"/>
      <c r="E441" s="110"/>
      <c r="F441" s="110"/>
      <c r="G441" s="115"/>
      <c r="H441" s="133"/>
      <c r="I441" s="103"/>
      <c r="J441" s="108"/>
      <c r="K441" s="112"/>
      <c r="L441" s="110"/>
      <c r="M441" s="111"/>
      <c r="N441" s="103"/>
      <c r="O441" s="112"/>
      <c r="P441" s="115"/>
      <c r="Q441" s="114"/>
      <c r="R441" s="108"/>
      <c r="S441" s="115" t="s">
        <v>200</v>
      </c>
      <c r="T441" s="103" t="b">
        <v>0</v>
      </c>
      <c r="U441" s="103"/>
      <c r="V441" s="103"/>
      <c r="W441" s="103"/>
      <c r="X441" s="103"/>
      <c r="Y441" s="103"/>
      <c r="Z441" s="103"/>
    </row>
    <row r="442">
      <c r="A442" s="110" t="s">
        <v>200</v>
      </c>
      <c r="B442" s="110"/>
      <c r="C442" s="110"/>
      <c r="D442" s="110"/>
      <c r="E442" s="110"/>
      <c r="F442" s="110"/>
      <c r="G442" s="115"/>
      <c r="H442" s="133"/>
      <c r="I442" s="103"/>
      <c r="J442" s="108"/>
      <c r="K442" s="112"/>
      <c r="L442" s="110"/>
      <c r="M442" s="111"/>
      <c r="N442" s="103"/>
      <c r="O442" s="112"/>
      <c r="P442" s="115"/>
      <c r="Q442" s="114"/>
      <c r="R442" s="108"/>
      <c r="S442" s="115" t="s">
        <v>200</v>
      </c>
      <c r="T442" s="103" t="b">
        <v>0</v>
      </c>
      <c r="U442" s="103"/>
      <c r="V442" s="103"/>
      <c r="W442" s="103"/>
      <c r="X442" s="103"/>
      <c r="Y442" s="103"/>
      <c r="Z442" s="103"/>
    </row>
    <row r="443">
      <c r="A443" s="110" t="s">
        <v>200</v>
      </c>
      <c r="B443" s="110"/>
      <c r="C443" s="110"/>
      <c r="D443" s="110"/>
      <c r="E443" s="110"/>
      <c r="F443" s="110"/>
      <c r="G443" s="115"/>
      <c r="H443" s="133"/>
      <c r="I443" s="103"/>
      <c r="J443" s="108"/>
      <c r="K443" s="112"/>
      <c r="L443" s="110"/>
      <c r="M443" s="111"/>
      <c r="N443" s="103"/>
      <c r="O443" s="112"/>
      <c r="P443" s="115"/>
      <c r="Q443" s="114"/>
      <c r="R443" s="108"/>
      <c r="S443" s="115" t="s">
        <v>200</v>
      </c>
      <c r="T443" s="103" t="b">
        <v>0</v>
      </c>
      <c r="U443" s="103"/>
      <c r="V443" s="103"/>
      <c r="W443" s="103"/>
      <c r="X443" s="103"/>
      <c r="Y443" s="103"/>
      <c r="Z443" s="103"/>
    </row>
    <row r="444">
      <c r="A444" s="110" t="s">
        <v>200</v>
      </c>
      <c r="B444" s="110"/>
      <c r="C444" s="110"/>
      <c r="D444" s="110"/>
      <c r="E444" s="110"/>
      <c r="F444" s="110"/>
      <c r="G444" s="115"/>
      <c r="H444" s="133"/>
      <c r="I444" s="103"/>
      <c r="J444" s="108"/>
      <c r="K444" s="112"/>
      <c r="L444" s="110"/>
      <c r="M444" s="111"/>
      <c r="N444" s="103"/>
      <c r="O444" s="112"/>
      <c r="P444" s="115"/>
      <c r="Q444" s="114"/>
      <c r="R444" s="108"/>
      <c r="S444" s="115" t="s">
        <v>200</v>
      </c>
      <c r="T444" s="103" t="b">
        <v>0</v>
      </c>
      <c r="U444" s="103"/>
      <c r="V444" s="103"/>
      <c r="W444" s="103"/>
      <c r="X444" s="103"/>
      <c r="Y444" s="103"/>
      <c r="Z444" s="103"/>
    </row>
    <row r="445">
      <c r="A445" s="110" t="s">
        <v>200</v>
      </c>
      <c r="B445" s="110"/>
      <c r="C445" s="110"/>
      <c r="D445" s="110"/>
      <c r="E445" s="110"/>
      <c r="F445" s="110"/>
      <c r="G445" s="115"/>
      <c r="H445" s="133"/>
      <c r="I445" s="103"/>
      <c r="J445" s="108"/>
      <c r="K445" s="112"/>
      <c r="L445" s="110"/>
      <c r="M445" s="111"/>
      <c r="N445" s="103"/>
      <c r="O445" s="112"/>
      <c r="P445" s="115"/>
      <c r="Q445" s="114"/>
      <c r="R445" s="108"/>
      <c r="S445" s="115" t="s">
        <v>200</v>
      </c>
      <c r="T445" s="103" t="b">
        <v>0</v>
      </c>
      <c r="U445" s="103"/>
      <c r="V445" s="103"/>
      <c r="W445" s="103"/>
      <c r="X445" s="103"/>
      <c r="Y445" s="103"/>
      <c r="Z445" s="103"/>
    </row>
    <row r="446">
      <c r="A446" s="110" t="s">
        <v>200</v>
      </c>
      <c r="B446" s="110"/>
      <c r="C446" s="110"/>
      <c r="D446" s="110"/>
      <c r="E446" s="110"/>
      <c r="F446" s="110"/>
      <c r="G446" s="115"/>
      <c r="H446" s="133"/>
      <c r="I446" s="103"/>
      <c r="J446" s="108"/>
      <c r="K446" s="112"/>
      <c r="L446" s="110"/>
      <c r="M446" s="111"/>
      <c r="N446" s="103"/>
      <c r="O446" s="112"/>
      <c r="P446" s="115"/>
      <c r="Q446" s="114"/>
      <c r="R446" s="108"/>
      <c r="S446" s="115" t="s">
        <v>200</v>
      </c>
      <c r="T446" s="103" t="b">
        <v>0</v>
      </c>
      <c r="U446" s="103"/>
      <c r="V446" s="103"/>
      <c r="W446" s="103"/>
      <c r="X446" s="103"/>
      <c r="Y446" s="103"/>
      <c r="Z446" s="103"/>
    </row>
    <row r="447">
      <c r="A447" s="110" t="s">
        <v>200</v>
      </c>
      <c r="B447" s="110"/>
      <c r="C447" s="110"/>
      <c r="D447" s="110"/>
      <c r="E447" s="110"/>
      <c r="F447" s="110"/>
      <c r="G447" s="115"/>
      <c r="H447" s="133"/>
      <c r="I447" s="103"/>
      <c r="J447" s="108"/>
      <c r="K447" s="112"/>
      <c r="L447" s="110"/>
      <c r="M447" s="111"/>
      <c r="N447" s="103"/>
      <c r="O447" s="112"/>
      <c r="P447" s="115"/>
      <c r="Q447" s="114"/>
      <c r="R447" s="108"/>
      <c r="S447" s="115" t="s">
        <v>200</v>
      </c>
      <c r="T447" s="103" t="b">
        <v>0</v>
      </c>
      <c r="U447" s="103"/>
      <c r="V447" s="103"/>
      <c r="W447" s="103"/>
      <c r="X447" s="103"/>
      <c r="Y447" s="103"/>
      <c r="Z447" s="103"/>
    </row>
    <row r="448">
      <c r="A448" s="110" t="s">
        <v>200</v>
      </c>
      <c r="B448" s="110"/>
      <c r="C448" s="110"/>
      <c r="D448" s="110"/>
      <c r="E448" s="110"/>
      <c r="F448" s="110"/>
      <c r="G448" s="115"/>
      <c r="H448" s="133"/>
      <c r="I448" s="103"/>
      <c r="J448" s="108"/>
      <c r="K448" s="112"/>
      <c r="L448" s="110"/>
      <c r="M448" s="111"/>
      <c r="N448" s="103"/>
      <c r="O448" s="112"/>
      <c r="P448" s="115"/>
      <c r="Q448" s="114"/>
      <c r="R448" s="108"/>
      <c r="S448" s="115" t="s">
        <v>200</v>
      </c>
      <c r="T448" s="103" t="b">
        <v>0</v>
      </c>
      <c r="U448" s="103"/>
      <c r="V448" s="103"/>
      <c r="W448" s="103"/>
      <c r="X448" s="103"/>
      <c r="Y448" s="103"/>
      <c r="Z448" s="103"/>
    </row>
    <row r="449">
      <c r="A449" s="110" t="s">
        <v>200</v>
      </c>
      <c r="B449" s="110"/>
      <c r="C449" s="110"/>
      <c r="D449" s="110"/>
      <c r="E449" s="110"/>
      <c r="F449" s="110"/>
      <c r="G449" s="115"/>
      <c r="H449" s="133"/>
      <c r="I449" s="103"/>
      <c r="J449" s="108"/>
      <c r="K449" s="112"/>
      <c r="L449" s="110"/>
      <c r="M449" s="111"/>
      <c r="N449" s="103"/>
      <c r="O449" s="112"/>
      <c r="P449" s="115"/>
      <c r="Q449" s="114"/>
      <c r="R449" s="108"/>
      <c r="S449" s="115" t="s">
        <v>200</v>
      </c>
      <c r="T449" s="103" t="b">
        <v>0</v>
      </c>
      <c r="U449" s="103"/>
      <c r="V449" s="103"/>
      <c r="W449" s="103"/>
      <c r="X449" s="103"/>
      <c r="Y449" s="103"/>
      <c r="Z449" s="103"/>
    </row>
    <row r="450">
      <c r="A450" s="110" t="s">
        <v>200</v>
      </c>
      <c r="B450" s="110"/>
      <c r="C450" s="110"/>
      <c r="D450" s="110"/>
      <c r="E450" s="110"/>
      <c r="F450" s="110"/>
      <c r="G450" s="115"/>
      <c r="H450" s="133"/>
      <c r="I450" s="103"/>
      <c r="J450" s="108"/>
      <c r="K450" s="112"/>
      <c r="L450" s="110"/>
      <c r="M450" s="111"/>
      <c r="N450" s="103"/>
      <c r="O450" s="112"/>
      <c r="P450" s="115"/>
      <c r="Q450" s="114"/>
      <c r="R450" s="108"/>
      <c r="S450" s="115" t="s">
        <v>200</v>
      </c>
      <c r="T450" s="103" t="b">
        <v>0</v>
      </c>
      <c r="U450" s="103"/>
      <c r="V450" s="103"/>
      <c r="W450" s="103"/>
      <c r="X450" s="103"/>
      <c r="Y450" s="103"/>
      <c r="Z450" s="103"/>
    </row>
    <row r="451">
      <c r="A451" s="110" t="s">
        <v>200</v>
      </c>
      <c r="B451" s="110"/>
      <c r="C451" s="110"/>
      <c r="D451" s="110"/>
      <c r="E451" s="110"/>
      <c r="F451" s="110"/>
      <c r="G451" s="115"/>
      <c r="H451" s="133"/>
      <c r="I451" s="103"/>
      <c r="J451" s="108"/>
      <c r="K451" s="112"/>
      <c r="L451" s="110"/>
      <c r="M451" s="111"/>
      <c r="N451" s="103"/>
      <c r="O451" s="112"/>
      <c r="P451" s="115"/>
      <c r="Q451" s="114"/>
      <c r="R451" s="108"/>
      <c r="S451" s="115" t="s">
        <v>200</v>
      </c>
      <c r="T451" s="103" t="b">
        <v>0</v>
      </c>
      <c r="U451" s="103"/>
      <c r="V451" s="103"/>
      <c r="W451" s="103"/>
      <c r="X451" s="103"/>
      <c r="Y451" s="103"/>
      <c r="Z451" s="103"/>
    </row>
    <row r="452">
      <c r="A452" s="110" t="s">
        <v>200</v>
      </c>
      <c r="B452" s="110"/>
      <c r="C452" s="110"/>
      <c r="D452" s="110"/>
      <c r="E452" s="110"/>
      <c r="F452" s="110"/>
      <c r="G452" s="115"/>
      <c r="H452" s="133"/>
      <c r="I452" s="103"/>
      <c r="J452" s="108"/>
      <c r="K452" s="112"/>
      <c r="L452" s="110"/>
      <c r="M452" s="111"/>
      <c r="N452" s="103"/>
      <c r="O452" s="112"/>
      <c r="P452" s="115"/>
      <c r="Q452" s="114"/>
      <c r="R452" s="108"/>
      <c r="S452" s="115" t="s">
        <v>200</v>
      </c>
      <c r="T452" s="103" t="b">
        <v>0</v>
      </c>
      <c r="U452" s="103"/>
      <c r="V452" s="103"/>
      <c r="W452" s="103"/>
      <c r="X452" s="103"/>
      <c r="Y452" s="103"/>
      <c r="Z452" s="103"/>
    </row>
    <row r="453">
      <c r="A453" s="110" t="s">
        <v>200</v>
      </c>
      <c r="B453" s="110"/>
      <c r="C453" s="110"/>
      <c r="D453" s="110"/>
      <c r="E453" s="110"/>
      <c r="F453" s="110"/>
      <c r="G453" s="115"/>
      <c r="H453" s="133"/>
      <c r="I453" s="103"/>
      <c r="J453" s="108"/>
      <c r="K453" s="112"/>
      <c r="L453" s="110"/>
      <c r="M453" s="111"/>
      <c r="N453" s="103"/>
      <c r="O453" s="112"/>
      <c r="P453" s="115"/>
      <c r="Q453" s="114"/>
      <c r="R453" s="108"/>
      <c r="S453" s="115" t="s">
        <v>200</v>
      </c>
      <c r="T453" s="103" t="b">
        <v>0</v>
      </c>
      <c r="U453" s="103"/>
      <c r="V453" s="103"/>
      <c r="W453" s="103"/>
      <c r="X453" s="103"/>
      <c r="Y453" s="103"/>
      <c r="Z453" s="103"/>
    </row>
    <row r="454">
      <c r="A454" s="110" t="s">
        <v>200</v>
      </c>
      <c r="B454" s="110"/>
      <c r="C454" s="110"/>
      <c r="D454" s="110"/>
      <c r="E454" s="110"/>
      <c r="F454" s="110"/>
      <c r="G454" s="115"/>
      <c r="H454" s="133"/>
      <c r="I454" s="103"/>
      <c r="J454" s="108"/>
      <c r="K454" s="112"/>
      <c r="L454" s="110"/>
      <c r="M454" s="111"/>
      <c r="N454" s="103"/>
      <c r="O454" s="112"/>
      <c r="P454" s="115"/>
      <c r="Q454" s="114"/>
      <c r="R454" s="108"/>
      <c r="S454" s="115" t="s">
        <v>200</v>
      </c>
      <c r="T454" s="103" t="b">
        <v>0</v>
      </c>
      <c r="U454" s="103"/>
      <c r="V454" s="103"/>
      <c r="W454" s="103"/>
      <c r="X454" s="103"/>
      <c r="Y454" s="103"/>
      <c r="Z454" s="103"/>
    </row>
    <row r="455">
      <c r="A455" s="110" t="s">
        <v>200</v>
      </c>
      <c r="B455" s="110"/>
      <c r="C455" s="110"/>
      <c r="D455" s="110"/>
      <c r="E455" s="110"/>
      <c r="F455" s="110"/>
      <c r="G455" s="115"/>
      <c r="H455" s="133"/>
      <c r="I455" s="103"/>
      <c r="J455" s="108"/>
      <c r="K455" s="112"/>
      <c r="L455" s="110"/>
      <c r="M455" s="111"/>
      <c r="N455" s="103"/>
      <c r="O455" s="112"/>
      <c r="P455" s="115"/>
      <c r="Q455" s="114"/>
      <c r="R455" s="108"/>
      <c r="S455" s="115" t="s">
        <v>200</v>
      </c>
      <c r="T455" s="103" t="b">
        <v>0</v>
      </c>
      <c r="U455" s="103"/>
      <c r="V455" s="103"/>
      <c r="W455" s="103"/>
      <c r="X455" s="103"/>
      <c r="Y455" s="103"/>
      <c r="Z455" s="103"/>
    </row>
    <row r="456">
      <c r="A456" s="110" t="s">
        <v>200</v>
      </c>
      <c r="B456" s="110"/>
      <c r="C456" s="110"/>
      <c r="D456" s="110"/>
      <c r="E456" s="110"/>
      <c r="F456" s="110"/>
      <c r="G456" s="115"/>
      <c r="H456" s="133"/>
      <c r="I456" s="103"/>
      <c r="J456" s="108"/>
      <c r="K456" s="112"/>
      <c r="L456" s="110"/>
      <c r="M456" s="111"/>
      <c r="N456" s="103"/>
      <c r="O456" s="112"/>
      <c r="P456" s="115"/>
      <c r="Q456" s="114"/>
      <c r="R456" s="108"/>
      <c r="S456" s="115" t="s">
        <v>200</v>
      </c>
      <c r="T456" s="103" t="b">
        <v>0</v>
      </c>
      <c r="U456" s="103"/>
      <c r="V456" s="103"/>
      <c r="W456" s="103"/>
      <c r="X456" s="103"/>
      <c r="Y456" s="103"/>
      <c r="Z456" s="103"/>
    </row>
    <row r="457">
      <c r="A457" s="110" t="s">
        <v>200</v>
      </c>
      <c r="B457" s="110"/>
      <c r="C457" s="110"/>
      <c r="D457" s="110"/>
      <c r="E457" s="110"/>
      <c r="F457" s="110"/>
      <c r="G457" s="115"/>
      <c r="H457" s="133"/>
      <c r="I457" s="103"/>
      <c r="J457" s="108"/>
      <c r="K457" s="112"/>
      <c r="L457" s="110"/>
      <c r="M457" s="111"/>
      <c r="N457" s="103"/>
      <c r="O457" s="112"/>
      <c r="P457" s="115"/>
      <c r="Q457" s="114"/>
      <c r="R457" s="108"/>
      <c r="S457" s="115" t="s">
        <v>200</v>
      </c>
      <c r="T457" s="103" t="b">
        <v>0</v>
      </c>
      <c r="U457" s="103"/>
      <c r="V457" s="103"/>
      <c r="W457" s="103"/>
      <c r="X457" s="103"/>
      <c r="Y457" s="103"/>
      <c r="Z457" s="103"/>
    </row>
    <row r="458">
      <c r="A458" s="110" t="s">
        <v>200</v>
      </c>
      <c r="B458" s="110"/>
      <c r="C458" s="110"/>
      <c r="D458" s="110"/>
      <c r="E458" s="110"/>
      <c r="F458" s="110"/>
      <c r="G458" s="115"/>
      <c r="H458" s="133"/>
      <c r="I458" s="103"/>
      <c r="J458" s="108"/>
      <c r="K458" s="112"/>
      <c r="L458" s="110"/>
      <c r="M458" s="111"/>
      <c r="N458" s="103"/>
      <c r="O458" s="112"/>
      <c r="P458" s="115"/>
      <c r="Q458" s="114"/>
      <c r="R458" s="108"/>
      <c r="S458" s="115" t="s">
        <v>200</v>
      </c>
      <c r="T458" s="103" t="b">
        <v>0</v>
      </c>
      <c r="U458" s="103"/>
      <c r="V458" s="103"/>
      <c r="W458" s="103"/>
      <c r="X458" s="103"/>
      <c r="Y458" s="103"/>
      <c r="Z458" s="103"/>
    </row>
    <row r="459">
      <c r="A459" s="110" t="s">
        <v>200</v>
      </c>
      <c r="B459" s="110"/>
      <c r="C459" s="110"/>
      <c r="D459" s="110"/>
      <c r="E459" s="110"/>
      <c r="F459" s="110"/>
      <c r="G459" s="115"/>
      <c r="H459" s="133"/>
      <c r="I459" s="103"/>
      <c r="J459" s="108"/>
      <c r="K459" s="112"/>
      <c r="L459" s="110"/>
      <c r="M459" s="111"/>
      <c r="N459" s="103"/>
      <c r="O459" s="112"/>
      <c r="P459" s="115"/>
      <c r="Q459" s="114"/>
      <c r="R459" s="108"/>
      <c r="S459" s="115" t="s">
        <v>200</v>
      </c>
      <c r="T459" s="103" t="b">
        <v>0</v>
      </c>
      <c r="U459" s="103"/>
      <c r="V459" s="103"/>
      <c r="W459" s="103"/>
      <c r="X459" s="103"/>
      <c r="Y459" s="103"/>
      <c r="Z459" s="103"/>
    </row>
    <row r="460">
      <c r="A460" s="110" t="s">
        <v>200</v>
      </c>
      <c r="B460" s="110"/>
      <c r="C460" s="110"/>
      <c r="D460" s="110"/>
      <c r="E460" s="110"/>
      <c r="F460" s="110"/>
      <c r="G460" s="115"/>
      <c r="H460" s="133"/>
      <c r="I460" s="103"/>
      <c r="J460" s="108"/>
      <c r="K460" s="112"/>
      <c r="L460" s="110"/>
      <c r="M460" s="111"/>
      <c r="N460" s="103"/>
      <c r="O460" s="112"/>
      <c r="P460" s="115"/>
      <c r="Q460" s="114"/>
      <c r="R460" s="108"/>
      <c r="S460" s="115" t="s">
        <v>200</v>
      </c>
      <c r="T460" s="103" t="b">
        <v>0</v>
      </c>
      <c r="U460" s="103"/>
      <c r="V460" s="103"/>
      <c r="W460" s="103"/>
      <c r="X460" s="103"/>
      <c r="Y460" s="103"/>
      <c r="Z460" s="103"/>
    </row>
    <row r="461">
      <c r="A461" s="110" t="s">
        <v>200</v>
      </c>
      <c r="B461" s="110"/>
      <c r="C461" s="110"/>
      <c r="D461" s="110"/>
      <c r="E461" s="110"/>
      <c r="F461" s="110"/>
      <c r="G461" s="115"/>
      <c r="H461" s="133"/>
      <c r="I461" s="103"/>
      <c r="J461" s="108"/>
      <c r="K461" s="112"/>
      <c r="L461" s="110"/>
      <c r="M461" s="111"/>
      <c r="N461" s="103"/>
      <c r="O461" s="112"/>
      <c r="P461" s="115"/>
      <c r="Q461" s="114"/>
      <c r="R461" s="108"/>
      <c r="S461" s="115" t="s">
        <v>200</v>
      </c>
      <c r="T461" s="103" t="b">
        <v>0</v>
      </c>
      <c r="U461" s="103"/>
      <c r="V461" s="103"/>
      <c r="W461" s="103"/>
      <c r="X461" s="103"/>
      <c r="Y461" s="103"/>
      <c r="Z461" s="103"/>
    </row>
    <row r="462">
      <c r="A462" s="110" t="s">
        <v>200</v>
      </c>
      <c r="B462" s="110"/>
      <c r="C462" s="110"/>
      <c r="D462" s="110"/>
      <c r="E462" s="110"/>
      <c r="F462" s="110"/>
      <c r="G462" s="115"/>
      <c r="H462" s="133"/>
      <c r="I462" s="103"/>
      <c r="J462" s="108"/>
      <c r="K462" s="112"/>
      <c r="L462" s="110"/>
      <c r="M462" s="111"/>
      <c r="N462" s="103"/>
      <c r="O462" s="112"/>
      <c r="P462" s="115"/>
      <c r="Q462" s="114"/>
      <c r="R462" s="108"/>
      <c r="S462" s="115" t="s">
        <v>200</v>
      </c>
      <c r="T462" s="103" t="b">
        <v>0</v>
      </c>
      <c r="U462" s="103"/>
      <c r="V462" s="103"/>
      <c r="W462" s="103"/>
      <c r="X462" s="103"/>
      <c r="Y462" s="103"/>
      <c r="Z462" s="103"/>
    </row>
    <row r="463">
      <c r="A463" s="110" t="s">
        <v>200</v>
      </c>
      <c r="B463" s="110"/>
      <c r="C463" s="110"/>
      <c r="D463" s="110"/>
      <c r="E463" s="110"/>
      <c r="F463" s="110"/>
      <c r="G463" s="115"/>
      <c r="H463" s="133"/>
      <c r="I463" s="103"/>
      <c r="J463" s="108"/>
      <c r="K463" s="112"/>
      <c r="L463" s="110"/>
      <c r="M463" s="111"/>
      <c r="N463" s="103"/>
      <c r="O463" s="112"/>
      <c r="P463" s="115"/>
      <c r="Q463" s="114"/>
      <c r="R463" s="108"/>
      <c r="S463" s="115" t="s">
        <v>200</v>
      </c>
      <c r="T463" s="103" t="b">
        <v>0</v>
      </c>
      <c r="U463" s="103"/>
      <c r="V463" s="103"/>
      <c r="W463" s="103"/>
      <c r="X463" s="103"/>
      <c r="Y463" s="103"/>
      <c r="Z463" s="103"/>
    </row>
    <row r="464">
      <c r="A464" s="110" t="s">
        <v>200</v>
      </c>
      <c r="B464" s="110"/>
      <c r="C464" s="110"/>
      <c r="D464" s="110"/>
      <c r="E464" s="110"/>
      <c r="F464" s="110"/>
      <c r="G464" s="115"/>
      <c r="H464" s="133"/>
      <c r="I464" s="103"/>
      <c r="J464" s="108"/>
      <c r="K464" s="112"/>
      <c r="L464" s="110"/>
      <c r="M464" s="111"/>
      <c r="N464" s="103"/>
      <c r="O464" s="112"/>
      <c r="P464" s="115"/>
      <c r="Q464" s="114"/>
      <c r="R464" s="108"/>
      <c r="S464" s="115" t="s">
        <v>200</v>
      </c>
      <c r="T464" s="103" t="b">
        <v>0</v>
      </c>
      <c r="U464" s="103"/>
      <c r="V464" s="103"/>
      <c r="W464" s="103"/>
      <c r="X464" s="103"/>
      <c r="Y464" s="103"/>
      <c r="Z464" s="103"/>
    </row>
    <row r="465">
      <c r="A465" s="110" t="s">
        <v>200</v>
      </c>
      <c r="B465" s="110"/>
      <c r="C465" s="110"/>
      <c r="D465" s="110"/>
      <c r="E465" s="110"/>
      <c r="F465" s="110"/>
      <c r="G465" s="115"/>
      <c r="H465" s="133"/>
      <c r="I465" s="103"/>
      <c r="J465" s="108"/>
      <c r="K465" s="112"/>
      <c r="L465" s="110"/>
      <c r="M465" s="111"/>
      <c r="N465" s="103"/>
      <c r="O465" s="112"/>
      <c r="P465" s="115"/>
      <c r="Q465" s="114"/>
      <c r="R465" s="108"/>
      <c r="S465" s="115" t="s">
        <v>200</v>
      </c>
      <c r="T465" s="103" t="b">
        <v>0</v>
      </c>
      <c r="U465" s="103"/>
      <c r="V465" s="103"/>
      <c r="W465" s="103"/>
      <c r="X465" s="103"/>
      <c r="Y465" s="103"/>
      <c r="Z465" s="103"/>
    </row>
    <row r="466">
      <c r="A466" s="110" t="s">
        <v>200</v>
      </c>
      <c r="B466" s="110"/>
      <c r="C466" s="110"/>
      <c r="D466" s="110"/>
      <c r="E466" s="110"/>
      <c r="F466" s="110"/>
      <c r="G466" s="115"/>
      <c r="H466" s="133"/>
      <c r="I466" s="103"/>
      <c r="J466" s="108"/>
      <c r="K466" s="112"/>
      <c r="L466" s="110"/>
      <c r="M466" s="111"/>
      <c r="N466" s="103"/>
      <c r="O466" s="112"/>
      <c r="P466" s="115"/>
      <c r="Q466" s="114"/>
      <c r="R466" s="108"/>
      <c r="S466" s="115" t="s">
        <v>200</v>
      </c>
      <c r="T466" s="103" t="b">
        <v>0</v>
      </c>
      <c r="U466" s="103"/>
      <c r="V466" s="103"/>
      <c r="W466" s="103"/>
      <c r="X466" s="103"/>
      <c r="Y466" s="103"/>
      <c r="Z466" s="103"/>
    </row>
    <row r="467">
      <c r="A467" s="110" t="s">
        <v>200</v>
      </c>
      <c r="B467" s="110"/>
      <c r="C467" s="110"/>
      <c r="D467" s="110"/>
      <c r="E467" s="110"/>
      <c r="F467" s="110"/>
      <c r="G467" s="115"/>
      <c r="H467" s="133"/>
      <c r="I467" s="103"/>
      <c r="J467" s="108"/>
      <c r="K467" s="112"/>
      <c r="L467" s="110"/>
      <c r="M467" s="111"/>
      <c r="N467" s="103"/>
      <c r="O467" s="112"/>
      <c r="P467" s="115"/>
      <c r="Q467" s="114"/>
      <c r="R467" s="108"/>
      <c r="S467" s="115" t="s">
        <v>200</v>
      </c>
      <c r="T467" s="103" t="b">
        <v>0</v>
      </c>
      <c r="U467" s="103"/>
      <c r="V467" s="103"/>
      <c r="W467" s="103"/>
      <c r="X467" s="103"/>
      <c r="Y467" s="103"/>
      <c r="Z467" s="103"/>
    </row>
    <row r="468">
      <c r="A468" s="110" t="s">
        <v>200</v>
      </c>
      <c r="B468" s="110"/>
      <c r="C468" s="110"/>
      <c r="D468" s="110"/>
      <c r="E468" s="110"/>
      <c r="F468" s="110"/>
      <c r="G468" s="115"/>
      <c r="H468" s="133"/>
      <c r="I468" s="103"/>
      <c r="J468" s="108"/>
      <c r="K468" s="112"/>
      <c r="L468" s="110"/>
      <c r="M468" s="111"/>
      <c r="N468" s="103"/>
      <c r="O468" s="112"/>
      <c r="P468" s="115"/>
      <c r="Q468" s="114"/>
      <c r="R468" s="108"/>
      <c r="S468" s="115" t="s">
        <v>200</v>
      </c>
      <c r="T468" s="103" t="b">
        <v>0</v>
      </c>
      <c r="U468" s="103"/>
      <c r="V468" s="103"/>
      <c r="W468" s="103"/>
      <c r="X468" s="103"/>
      <c r="Y468" s="103"/>
      <c r="Z468" s="103"/>
    </row>
    <row r="469">
      <c r="A469" s="110" t="s">
        <v>200</v>
      </c>
      <c r="B469" s="110"/>
      <c r="C469" s="110"/>
      <c r="D469" s="110"/>
      <c r="E469" s="110"/>
      <c r="F469" s="110"/>
      <c r="G469" s="115"/>
      <c r="H469" s="133"/>
      <c r="I469" s="103"/>
      <c r="J469" s="108"/>
      <c r="K469" s="112"/>
      <c r="L469" s="110"/>
      <c r="M469" s="111"/>
      <c r="N469" s="103"/>
      <c r="O469" s="112"/>
      <c r="P469" s="115"/>
      <c r="Q469" s="114"/>
      <c r="R469" s="108"/>
      <c r="S469" s="115" t="s">
        <v>200</v>
      </c>
      <c r="T469" s="103" t="b">
        <v>0</v>
      </c>
      <c r="U469" s="103"/>
      <c r="V469" s="103"/>
      <c r="W469" s="103"/>
      <c r="X469" s="103"/>
      <c r="Y469" s="103"/>
      <c r="Z469" s="103"/>
    </row>
    <row r="470">
      <c r="A470" s="110" t="s">
        <v>200</v>
      </c>
      <c r="B470" s="110"/>
      <c r="C470" s="110"/>
      <c r="D470" s="110"/>
      <c r="E470" s="110"/>
      <c r="F470" s="110"/>
      <c r="G470" s="115"/>
      <c r="H470" s="133"/>
      <c r="I470" s="103"/>
      <c r="J470" s="108"/>
      <c r="K470" s="112"/>
      <c r="L470" s="110"/>
      <c r="M470" s="111"/>
      <c r="N470" s="103"/>
      <c r="O470" s="112"/>
      <c r="P470" s="115"/>
      <c r="Q470" s="114"/>
      <c r="R470" s="108"/>
      <c r="S470" s="115" t="s">
        <v>200</v>
      </c>
      <c r="T470" s="103" t="b">
        <v>0</v>
      </c>
      <c r="U470" s="103"/>
      <c r="V470" s="103"/>
      <c r="W470" s="103"/>
      <c r="X470" s="103"/>
      <c r="Y470" s="103"/>
      <c r="Z470" s="103"/>
    </row>
    <row r="471">
      <c r="A471" s="110" t="s">
        <v>200</v>
      </c>
      <c r="B471" s="110"/>
      <c r="C471" s="110"/>
      <c r="D471" s="110"/>
      <c r="E471" s="110"/>
      <c r="F471" s="110"/>
      <c r="G471" s="115"/>
      <c r="H471" s="133"/>
      <c r="I471" s="103"/>
      <c r="J471" s="108"/>
      <c r="K471" s="112"/>
      <c r="L471" s="110"/>
      <c r="M471" s="111"/>
      <c r="N471" s="103"/>
      <c r="O471" s="112"/>
      <c r="P471" s="115"/>
      <c r="Q471" s="114"/>
      <c r="R471" s="108"/>
      <c r="S471" s="115" t="s">
        <v>200</v>
      </c>
      <c r="T471" s="103" t="b">
        <v>0</v>
      </c>
      <c r="U471" s="103"/>
      <c r="V471" s="103"/>
      <c r="W471" s="103"/>
      <c r="X471" s="103"/>
      <c r="Y471" s="103"/>
      <c r="Z471" s="103"/>
    </row>
    <row r="472">
      <c r="A472" s="110" t="s">
        <v>200</v>
      </c>
      <c r="B472" s="110"/>
      <c r="C472" s="110"/>
      <c r="D472" s="110"/>
      <c r="E472" s="110"/>
      <c r="F472" s="110"/>
      <c r="G472" s="115"/>
      <c r="H472" s="133"/>
      <c r="I472" s="103"/>
      <c r="J472" s="108"/>
      <c r="K472" s="112"/>
      <c r="L472" s="110"/>
      <c r="M472" s="111"/>
      <c r="N472" s="103"/>
      <c r="O472" s="112"/>
      <c r="P472" s="115"/>
      <c r="Q472" s="114"/>
      <c r="R472" s="108"/>
      <c r="S472" s="115" t="s">
        <v>200</v>
      </c>
      <c r="T472" s="103" t="b">
        <v>0</v>
      </c>
      <c r="U472" s="103"/>
      <c r="V472" s="103"/>
      <c r="W472" s="103"/>
      <c r="X472" s="103"/>
      <c r="Y472" s="103"/>
      <c r="Z472" s="103"/>
    </row>
    <row r="473">
      <c r="A473" s="110" t="s">
        <v>200</v>
      </c>
      <c r="B473" s="110"/>
      <c r="C473" s="110"/>
      <c r="D473" s="110"/>
      <c r="E473" s="110"/>
      <c r="F473" s="110"/>
      <c r="G473" s="115"/>
      <c r="H473" s="133"/>
      <c r="I473" s="103"/>
      <c r="J473" s="108"/>
      <c r="K473" s="112"/>
      <c r="L473" s="110"/>
      <c r="M473" s="111"/>
      <c r="N473" s="103"/>
      <c r="O473" s="112"/>
      <c r="P473" s="115"/>
      <c r="Q473" s="114"/>
      <c r="R473" s="108"/>
      <c r="S473" s="115" t="s">
        <v>200</v>
      </c>
      <c r="T473" s="103" t="b">
        <v>0</v>
      </c>
      <c r="U473" s="103"/>
      <c r="V473" s="103"/>
      <c r="W473" s="103"/>
      <c r="X473" s="103"/>
      <c r="Y473" s="103"/>
      <c r="Z473" s="103"/>
    </row>
    <row r="474">
      <c r="A474" s="110" t="s">
        <v>200</v>
      </c>
      <c r="B474" s="110"/>
      <c r="C474" s="110"/>
      <c r="D474" s="110"/>
      <c r="E474" s="110"/>
      <c r="F474" s="110"/>
      <c r="G474" s="115"/>
      <c r="H474" s="133"/>
      <c r="I474" s="103"/>
      <c r="J474" s="108"/>
      <c r="K474" s="112"/>
      <c r="L474" s="110"/>
      <c r="M474" s="111"/>
      <c r="N474" s="103"/>
      <c r="O474" s="112"/>
      <c r="P474" s="115"/>
      <c r="Q474" s="114"/>
      <c r="R474" s="108"/>
      <c r="S474" s="115" t="s">
        <v>200</v>
      </c>
      <c r="T474" s="103" t="b">
        <v>0</v>
      </c>
      <c r="U474" s="103"/>
      <c r="V474" s="103"/>
      <c r="W474" s="103"/>
      <c r="X474" s="103"/>
      <c r="Y474" s="103"/>
      <c r="Z474" s="103"/>
    </row>
    <row r="475">
      <c r="A475" s="110" t="s">
        <v>200</v>
      </c>
      <c r="B475" s="110"/>
      <c r="C475" s="110"/>
      <c r="D475" s="110"/>
      <c r="E475" s="110"/>
      <c r="F475" s="110"/>
      <c r="G475" s="115"/>
      <c r="H475" s="133"/>
      <c r="I475" s="103"/>
      <c r="J475" s="108"/>
      <c r="K475" s="112"/>
      <c r="L475" s="110"/>
      <c r="M475" s="111"/>
      <c r="N475" s="103"/>
      <c r="O475" s="112"/>
      <c r="P475" s="115"/>
      <c r="Q475" s="114"/>
      <c r="R475" s="108"/>
      <c r="S475" s="115" t="s">
        <v>200</v>
      </c>
      <c r="T475" s="103" t="b">
        <v>0</v>
      </c>
      <c r="U475" s="103"/>
      <c r="V475" s="103"/>
      <c r="W475" s="103"/>
      <c r="X475" s="103"/>
      <c r="Y475" s="103"/>
      <c r="Z475" s="103"/>
    </row>
    <row r="476">
      <c r="A476" s="110" t="s">
        <v>200</v>
      </c>
      <c r="B476" s="110"/>
      <c r="C476" s="110"/>
      <c r="D476" s="110"/>
      <c r="E476" s="110"/>
      <c r="F476" s="110"/>
      <c r="G476" s="115"/>
      <c r="H476" s="133"/>
      <c r="I476" s="103"/>
      <c r="J476" s="108"/>
      <c r="K476" s="112"/>
      <c r="L476" s="110"/>
      <c r="M476" s="111"/>
      <c r="N476" s="103"/>
      <c r="O476" s="112"/>
      <c r="P476" s="115"/>
      <c r="Q476" s="114"/>
      <c r="R476" s="108"/>
      <c r="S476" s="115" t="s">
        <v>200</v>
      </c>
      <c r="T476" s="103" t="b">
        <v>0</v>
      </c>
      <c r="U476" s="103"/>
      <c r="V476" s="103"/>
      <c r="W476" s="103"/>
      <c r="X476" s="103"/>
      <c r="Y476" s="103"/>
      <c r="Z476" s="103"/>
    </row>
    <row r="477">
      <c r="A477" s="110" t="s">
        <v>200</v>
      </c>
      <c r="B477" s="110"/>
      <c r="C477" s="110"/>
      <c r="D477" s="110"/>
      <c r="E477" s="110"/>
      <c r="F477" s="110"/>
      <c r="G477" s="115"/>
      <c r="H477" s="133"/>
      <c r="I477" s="103"/>
      <c r="J477" s="108"/>
      <c r="K477" s="112"/>
      <c r="L477" s="110"/>
      <c r="M477" s="111"/>
      <c r="N477" s="103"/>
      <c r="O477" s="112"/>
      <c r="P477" s="115"/>
      <c r="Q477" s="114"/>
      <c r="R477" s="108"/>
      <c r="S477" s="115" t="s">
        <v>200</v>
      </c>
      <c r="T477" s="103" t="b">
        <v>0</v>
      </c>
      <c r="U477" s="103"/>
      <c r="V477" s="103"/>
      <c r="W477" s="103"/>
      <c r="X477" s="103"/>
      <c r="Y477" s="103"/>
      <c r="Z477" s="103"/>
    </row>
    <row r="478">
      <c r="A478" s="110" t="s">
        <v>200</v>
      </c>
      <c r="B478" s="110"/>
      <c r="C478" s="110"/>
      <c r="D478" s="110"/>
      <c r="E478" s="110"/>
      <c r="F478" s="110"/>
      <c r="G478" s="115"/>
      <c r="H478" s="133"/>
      <c r="I478" s="103"/>
      <c r="J478" s="108"/>
      <c r="K478" s="112"/>
      <c r="L478" s="110"/>
      <c r="M478" s="111"/>
      <c r="N478" s="103"/>
      <c r="O478" s="112"/>
      <c r="P478" s="115"/>
      <c r="Q478" s="114"/>
      <c r="R478" s="108"/>
      <c r="S478" s="115" t="s">
        <v>200</v>
      </c>
      <c r="T478" s="103" t="b">
        <v>0</v>
      </c>
      <c r="U478" s="103"/>
      <c r="V478" s="103"/>
      <c r="W478" s="103"/>
      <c r="X478" s="103"/>
      <c r="Y478" s="103"/>
      <c r="Z478" s="103"/>
    </row>
    <row r="479">
      <c r="A479" s="110" t="s">
        <v>200</v>
      </c>
      <c r="B479" s="110"/>
      <c r="C479" s="110"/>
      <c r="D479" s="110"/>
      <c r="E479" s="110"/>
      <c r="F479" s="110"/>
      <c r="G479" s="115"/>
      <c r="H479" s="133"/>
      <c r="I479" s="103"/>
      <c r="J479" s="108"/>
      <c r="K479" s="112"/>
      <c r="L479" s="110"/>
      <c r="M479" s="111"/>
      <c r="N479" s="103"/>
      <c r="O479" s="112"/>
      <c r="P479" s="115"/>
      <c r="Q479" s="114"/>
      <c r="R479" s="108"/>
      <c r="S479" s="115" t="s">
        <v>200</v>
      </c>
      <c r="T479" s="103" t="b">
        <v>0</v>
      </c>
      <c r="U479" s="103"/>
      <c r="V479" s="103"/>
      <c r="W479" s="103"/>
      <c r="X479" s="103"/>
      <c r="Y479" s="103"/>
      <c r="Z479" s="103"/>
    </row>
    <row r="480">
      <c r="A480" s="110" t="s">
        <v>200</v>
      </c>
      <c r="B480" s="110"/>
      <c r="C480" s="110"/>
      <c r="D480" s="110"/>
      <c r="E480" s="110"/>
      <c r="F480" s="110"/>
      <c r="G480" s="115"/>
      <c r="H480" s="133"/>
      <c r="I480" s="103"/>
      <c r="J480" s="108"/>
      <c r="K480" s="112"/>
      <c r="L480" s="110"/>
      <c r="M480" s="111"/>
      <c r="N480" s="103"/>
      <c r="O480" s="112"/>
      <c r="P480" s="115"/>
      <c r="Q480" s="114"/>
      <c r="R480" s="108"/>
      <c r="S480" s="115" t="s">
        <v>200</v>
      </c>
      <c r="T480" s="103" t="b">
        <v>0</v>
      </c>
      <c r="U480" s="103"/>
      <c r="V480" s="103"/>
      <c r="W480" s="103"/>
      <c r="X480" s="103"/>
      <c r="Y480" s="103"/>
      <c r="Z480" s="103"/>
    </row>
    <row r="481">
      <c r="A481" s="110" t="s">
        <v>200</v>
      </c>
      <c r="B481" s="110"/>
      <c r="C481" s="110"/>
      <c r="D481" s="110"/>
      <c r="E481" s="110"/>
      <c r="F481" s="110"/>
      <c r="G481" s="115"/>
      <c r="H481" s="133"/>
      <c r="I481" s="103"/>
      <c r="J481" s="108"/>
      <c r="K481" s="112"/>
      <c r="L481" s="110"/>
      <c r="M481" s="111"/>
      <c r="N481" s="103"/>
      <c r="O481" s="112"/>
      <c r="P481" s="115"/>
      <c r="Q481" s="114"/>
      <c r="R481" s="108"/>
      <c r="S481" s="115" t="s">
        <v>200</v>
      </c>
      <c r="T481" s="103" t="b">
        <v>0</v>
      </c>
      <c r="U481" s="103"/>
      <c r="V481" s="103"/>
      <c r="W481" s="103"/>
      <c r="X481" s="103"/>
      <c r="Y481" s="103"/>
      <c r="Z481" s="103"/>
    </row>
    <row r="482">
      <c r="A482" s="110" t="s">
        <v>200</v>
      </c>
      <c r="B482" s="110"/>
      <c r="C482" s="110"/>
      <c r="D482" s="110"/>
      <c r="E482" s="110"/>
      <c r="F482" s="110"/>
      <c r="G482" s="115"/>
      <c r="H482" s="133"/>
      <c r="I482" s="103"/>
      <c r="J482" s="108"/>
      <c r="K482" s="112"/>
      <c r="L482" s="110"/>
      <c r="M482" s="111"/>
      <c r="N482" s="103"/>
      <c r="O482" s="112"/>
      <c r="P482" s="115"/>
      <c r="Q482" s="114"/>
      <c r="R482" s="108"/>
      <c r="S482" s="115" t="s">
        <v>200</v>
      </c>
      <c r="T482" s="103" t="b">
        <v>0</v>
      </c>
      <c r="U482" s="103"/>
      <c r="V482" s="103"/>
      <c r="W482" s="103"/>
      <c r="X482" s="103"/>
      <c r="Y482" s="103"/>
      <c r="Z482" s="103"/>
    </row>
    <row r="483">
      <c r="A483" s="110" t="s">
        <v>200</v>
      </c>
      <c r="B483" s="110"/>
      <c r="C483" s="110"/>
      <c r="D483" s="110"/>
      <c r="E483" s="110"/>
      <c r="F483" s="110"/>
      <c r="G483" s="115"/>
      <c r="H483" s="133"/>
      <c r="I483" s="103"/>
      <c r="J483" s="108"/>
      <c r="K483" s="112"/>
      <c r="L483" s="110"/>
      <c r="M483" s="111"/>
      <c r="N483" s="103"/>
      <c r="O483" s="112"/>
      <c r="P483" s="115"/>
      <c r="Q483" s="114"/>
      <c r="R483" s="108"/>
      <c r="S483" s="115" t="s">
        <v>200</v>
      </c>
      <c r="T483" s="103" t="b">
        <v>0</v>
      </c>
      <c r="U483" s="103"/>
      <c r="V483" s="103"/>
      <c r="W483" s="103"/>
      <c r="X483" s="103"/>
      <c r="Y483" s="103"/>
      <c r="Z483" s="103"/>
    </row>
    <row r="484">
      <c r="A484" s="110" t="s">
        <v>200</v>
      </c>
      <c r="B484" s="110"/>
      <c r="C484" s="110"/>
      <c r="D484" s="110"/>
      <c r="E484" s="110"/>
      <c r="F484" s="110"/>
      <c r="G484" s="115"/>
      <c r="H484" s="133"/>
      <c r="I484" s="103"/>
      <c r="J484" s="108"/>
      <c r="K484" s="112"/>
      <c r="L484" s="110"/>
      <c r="M484" s="111"/>
      <c r="N484" s="103"/>
      <c r="O484" s="112"/>
      <c r="P484" s="115"/>
      <c r="Q484" s="114"/>
      <c r="R484" s="108"/>
      <c r="S484" s="115" t="s">
        <v>200</v>
      </c>
      <c r="T484" s="103" t="b">
        <v>0</v>
      </c>
      <c r="U484" s="103"/>
      <c r="V484" s="103"/>
      <c r="W484" s="103"/>
      <c r="X484" s="103"/>
      <c r="Y484" s="103"/>
      <c r="Z484" s="103"/>
    </row>
    <row r="485">
      <c r="A485" s="110" t="s">
        <v>200</v>
      </c>
      <c r="B485" s="110"/>
      <c r="C485" s="110"/>
      <c r="D485" s="110"/>
      <c r="E485" s="110"/>
      <c r="F485" s="110"/>
      <c r="G485" s="115"/>
      <c r="H485" s="133"/>
      <c r="I485" s="103"/>
      <c r="J485" s="108"/>
      <c r="K485" s="112"/>
      <c r="L485" s="110"/>
      <c r="M485" s="111"/>
      <c r="N485" s="103"/>
      <c r="O485" s="112"/>
      <c r="P485" s="115"/>
      <c r="Q485" s="114"/>
      <c r="R485" s="108"/>
      <c r="S485" s="115" t="s">
        <v>200</v>
      </c>
      <c r="T485" s="103" t="b">
        <v>0</v>
      </c>
      <c r="U485" s="103"/>
      <c r="V485" s="103"/>
      <c r="W485" s="103"/>
      <c r="X485" s="103"/>
      <c r="Y485" s="103"/>
      <c r="Z485" s="103"/>
    </row>
    <row r="486">
      <c r="A486" s="110" t="s">
        <v>200</v>
      </c>
      <c r="B486" s="110"/>
      <c r="C486" s="110"/>
      <c r="D486" s="110"/>
      <c r="E486" s="110"/>
      <c r="F486" s="110"/>
      <c r="G486" s="115"/>
      <c r="H486" s="133"/>
      <c r="I486" s="103"/>
      <c r="J486" s="108"/>
      <c r="K486" s="112"/>
      <c r="L486" s="110"/>
      <c r="M486" s="111"/>
      <c r="N486" s="103"/>
      <c r="O486" s="112"/>
      <c r="P486" s="115"/>
      <c r="Q486" s="114"/>
      <c r="R486" s="108"/>
      <c r="S486" s="115" t="s">
        <v>200</v>
      </c>
      <c r="T486" s="103" t="b">
        <v>0</v>
      </c>
      <c r="U486" s="103"/>
      <c r="V486" s="103"/>
      <c r="W486" s="103"/>
      <c r="X486" s="103"/>
      <c r="Y486" s="103"/>
      <c r="Z486" s="103"/>
    </row>
    <row r="487">
      <c r="A487" s="110" t="s">
        <v>200</v>
      </c>
      <c r="B487" s="110"/>
      <c r="C487" s="110"/>
      <c r="D487" s="110"/>
      <c r="E487" s="110"/>
      <c r="F487" s="110"/>
      <c r="G487" s="115"/>
      <c r="H487" s="133"/>
      <c r="I487" s="103"/>
      <c r="J487" s="108"/>
      <c r="K487" s="112"/>
      <c r="L487" s="110"/>
      <c r="M487" s="111"/>
      <c r="N487" s="103"/>
      <c r="O487" s="112"/>
      <c r="P487" s="115"/>
      <c r="Q487" s="114"/>
      <c r="R487" s="108"/>
      <c r="S487" s="115" t="s">
        <v>200</v>
      </c>
      <c r="T487" s="103" t="b">
        <v>0</v>
      </c>
      <c r="U487" s="103"/>
      <c r="V487" s="103"/>
      <c r="W487" s="103"/>
      <c r="X487" s="103"/>
      <c r="Y487" s="103"/>
      <c r="Z487" s="103"/>
    </row>
    <row r="488">
      <c r="A488" s="110" t="s">
        <v>200</v>
      </c>
      <c r="B488" s="110"/>
      <c r="C488" s="110"/>
      <c r="D488" s="110"/>
      <c r="E488" s="110"/>
      <c r="F488" s="110"/>
      <c r="G488" s="115"/>
      <c r="H488" s="133"/>
      <c r="I488" s="103"/>
      <c r="J488" s="108"/>
      <c r="K488" s="112"/>
      <c r="L488" s="110"/>
      <c r="M488" s="111"/>
      <c r="N488" s="103"/>
      <c r="O488" s="112"/>
      <c r="P488" s="115"/>
      <c r="Q488" s="114"/>
      <c r="R488" s="108"/>
      <c r="S488" s="115" t="s">
        <v>200</v>
      </c>
      <c r="T488" s="103" t="b">
        <v>0</v>
      </c>
      <c r="U488" s="103"/>
      <c r="V488" s="103"/>
      <c r="W488" s="103"/>
      <c r="X488" s="103"/>
      <c r="Y488" s="103"/>
      <c r="Z488" s="103"/>
    </row>
    <row r="489">
      <c r="A489" s="110" t="s">
        <v>200</v>
      </c>
      <c r="B489" s="110"/>
      <c r="C489" s="110"/>
      <c r="D489" s="110"/>
      <c r="E489" s="110"/>
      <c r="F489" s="110"/>
      <c r="G489" s="115"/>
      <c r="H489" s="133"/>
      <c r="I489" s="103"/>
      <c r="J489" s="108"/>
      <c r="K489" s="112"/>
      <c r="L489" s="110"/>
      <c r="M489" s="111"/>
      <c r="N489" s="103"/>
      <c r="O489" s="112"/>
      <c r="P489" s="115"/>
      <c r="Q489" s="114"/>
      <c r="R489" s="108"/>
      <c r="S489" s="115" t="s">
        <v>200</v>
      </c>
      <c r="T489" s="103" t="b">
        <v>0</v>
      </c>
      <c r="U489" s="103"/>
      <c r="V489" s="103"/>
      <c r="W489" s="103"/>
      <c r="X489" s="103"/>
      <c r="Y489" s="103"/>
      <c r="Z489" s="103"/>
    </row>
    <row r="490">
      <c r="A490" s="110" t="s">
        <v>200</v>
      </c>
      <c r="B490" s="110"/>
      <c r="C490" s="110"/>
      <c r="D490" s="110"/>
      <c r="E490" s="110"/>
      <c r="F490" s="110"/>
      <c r="G490" s="115"/>
      <c r="H490" s="133"/>
      <c r="I490" s="103"/>
      <c r="J490" s="108"/>
      <c r="K490" s="112"/>
      <c r="L490" s="110"/>
      <c r="M490" s="111"/>
      <c r="N490" s="103"/>
      <c r="O490" s="112"/>
      <c r="P490" s="115"/>
      <c r="Q490" s="114"/>
      <c r="R490" s="108"/>
      <c r="S490" s="115" t="s">
        <v>200</v>
      </c>
      <c r="T490" s="103" t="b">
        <v>0</v>
      </c>
      <c r="U490" s="103"/>
      <c r="V490" s="103"/>
      <c r="W490" s="103"/>
      <c r="X490" s="103"/>
      <c r="Y490" s="103"/>
      <c r="Z490" s="103"/>
    </row>
    <row r="491">
      <c r="A491" s="110" t="s">
        <v>200</v>
      </c>
      <c r="B491" s="110"/>
      <c r="C491" s="110"/>
      <c r="D491" s="110"/>
      <c r="E491" s="110"/>
      <c r="F491" s="110"/>
      <c r="G491" s="115"/>
      <c r="H491" s="133"/>
      <c r="I491" s="103"/>
      <c r="J491" s="108"/>
      <c r="K491" s="112"/>
      <c r="L491" s="110"/>
      <c r="M491" s="111"/>
      <c r="N491" s="103"/>
      <c r="O491" s="112"/>
      <c r="P491" s="115"/>
      <c r="Q491" s="114"/>
      <c r="R491" s="108"/>
      <c r="S491" s="115" t="s">
        <v>200</v>
      </c>
      <c r="T491" s="103" t="b">
        <v>0</v>
      </c>
      <c r="U491" s="103"/>
      <c r="V491" s="103"/>
      <c r="W491" s="103"/>
      <c r="X491" s="103"/>
      <c r="Y491" s="103"/>
      <c r="Z491" s="103"/>
    </row>
    <row r="492">
      <c r="A492" s="110" t="s">
        <v>200</v>
      </c>
      <c r="B492" s="110"/>
      <c r="C492" s="110"/>
      <c r="D492" s="110"/>
      <c r="E492" s="110"/>
      <c r="F492" s="110"/>
      <c r="G492" s="115"/>
      <c r="H492" s="133"/>
      <c r="I492" s="103"/>
      <c r="J492" s="108"/>
      <c r="K492" s="112"/>
      <c r="L492" s="110"/>
      <c r="M492" s="111"/>
      <c r="N492" s="103"/>
      <c r="O492" s="112"/>
      <c r="P492" s="115"/>
      <c r="Q492" s="114"/>
      <c r="R492" s="108"/>
      <c r="S492" s="115" t="s">
        <v>200</v>
      </c>
      <c r="T492" s="103" t="b">
        <v>0</v>
      </c>
      <c r="U492" s="103"/>
      <c r="V492" s="103"/>
      <c r="W492" s="103"/>
      <c r="X492" s="103"/>
      <c r="Y492" s="103"/>
      <c r="Z492" s="103"/>
    </row>
    <row r="493">
      <c r="A493" s="110" t="s">
        <v>200</v>
      </c>
      <c r="B493" s="110"/>
      <c r="C493" s="110"/>
      <c r="D493" s="110"/>
      <c r="E493" s="110"/>
      <c r="F493" s="110"/>
      <c r="G493" s="115"/>
      <c r="H493" s="133"/>
      <c r="I493" s="103"/>
      <c r="J493" s="108"/>
      <c r="K493" s="112"/>
      <c r="L493" s="110"/>
      <c r="M493" s="111"/>
      <c r="N493" s="103"/>
      <c r="O493" s="112"/>
      <c r="P493" s="115"/>
      <c r="Q493" s="114"/>
      <c r="R493" s="108"/>
      <c r="S493" s="115" t="s">
        <v>200</v>
      </c>
      <c r="T493" s="103" t="b">
        <v>0</v>
      </c>
      <c r="U493" s="103"/>
      <c r="V493" s="103"/>
      <c r="W493" s="103"/>
      <c r="X493" s="103"/>
      <c r="Y493" s="103"/>
      <c r="Z493" s="103"/>
    </row>
    <row r="494">
      <c r="A494" s="110" t="s">
        <v>200</v>
      </c>
      <c r="B494" s="110"/>
      <c r="C494" s="110"/>
      <c r="D494" s="110"/>
      <c r="E494" s="110"/>
      <c r="F494" s="110"/>
      <c r="G494" s="115"/>
      <c r="H494" s="133"/>
      <c r="I494" s="103"/>
      <c r="J494" s="108"/>
      <c r="K494" s="112"/>
      <c r="L494" s="110"/>
      <c r="M494" s="111"/>
      <c r="N494" s="103"/>
      <c r="O494" s="112"/>
      <c r="P494" s="115"/>
      <c r="Q494" s="114"/>
      <c r="R494" s="108"/>
      <c r="S494" s="115" t="s">
        <v>200</v>
      </c>
      <c r="T494" s="103" t="b">
        <v>0</v>
      </c>
      <c r="U494" s="103"/>
      <c r="V494" s="103"/>
      <c r="W494" s="103"/>
      <c r="X494" s="103"/>
      <c r="Y494" s="103"/>
      <c r="Z494" s="103"/>
    </row>
    <row r="495">
      <c r="A495" s="110" t="s">
        <v>200</v>
      </c>
      <c r="B495" s="110"/>
      <c r="C495" s="110"/>
      <c r="D495" s="110"/>
      <c r="E495" s="110"/>
      <c r="F495" s="110"/>
      <c r="G495" s="115"/>
      <c r="H495" s="133"/>
      <c r="I495" s="103"/>
      <c r="J495" s="108"/>
      <c r="K495" s="112"/>
      <c r="L495" s="110"/>
      <c r="M495" s="111"/>
      <c r="N495" s="103"/>
      <c r="O495" s="112"/>
      <c r="P495" s="115"/>
      <c r="Q495" s="114"/>
      <c r="R495" s="108"/>
      <c r="S495" s="115" t="s">
        <v>200</v>
      </c>
      <c r="T495" s="103" t="b">
        <v>0</v>
      </c>
      <c r="U495" s="103"/>
      <c r="V495" s="103"/>
      <c r="W495" s="103"/>
      <c r="X495" s="103"/>
      <c r="Y495" s="103"/>
      <c r="Z495" s="103"/>
    </row>
    <row r="496">
      <c r="A496" s="110" t="s">
        <v>200</v>
      </c>
      <c r="B496" s="110"/>
      <c r="C496" s="110"/>
      <c r="D496" s="110"/>
      <c r="E496" s="110"/>
      <c r="F496" s="110"/>
      <c r="G496" s="115"/>
      <c r="H496" s="133"/>
      <c r="I496" s="103"/>
      <c r="J496" s="108"/>
      <c r="K496" s="112"/>
      <c r="L496" s="110"/>
      <c r="M496" s="111"/>
      <c r="N496" s="103"/>
      <c r="O496" s="112"/>
      <c r="P496" s="115"/>
      <c r="Q496" s="114"/>
      <c r="R496" s="108"/>
      <c r="S496" s="115" t="s">
        <v>200</v>
      </c>
      <c r="T496" s="103" t="b">
        <v>0</v>
      </c>
      <c r="U496" s="103"/>
      <c r="V496" s="103"/>
      <c r="W496" s="103"/>
      <c r="X496" s="103"/>
      <c r="Y496" s="103"/>
      <c r="Z496" s="103"/>
    </row>
    <row r="497">
      <c r="A497" s="110" t="s">
        <v>200</v>
      </c>
      <c r="B497" s="110"/>
      <c r="C497" s="110"/>
      <c r="D497" s="110"/>
      <c r="E497" s="110"/>
      <c r="F497" s="110"/>
      <c r="G497" s="115"/>
      <c r="H497" s="133"/>
      <c r="I497" s="103"/>
      <c r="J497" s="108"/>
      <c r="K497" s="112"/>
      <c r="L497" s="110"/>
      <c r="M497" s="111"/>
      <c r="N497" s="103"/>
      <c r="O497" s="112"/>
      <c r="P497" s="115"/>
      <c r="Q497" s="114"/>
      <c r="R497" s="108"/>
      <c r="S497" s="115" t="s">
        <v>200</v>
      </c>
      <c r="T497" s="103" t="b">
        <v>0</v>
      </c>
      <c r="U497" s="103"/>
      <c r="V497" s="103"/>
      <c r="W497" s="103"/>
      <c r="X497" s="103"/>
      <c r="Y497" s="103"/>
      <c r="Z497" s="103"/>
    </row>
    <row r="498">
      <c r="A498" s="110" t="s">
        <v>200</v>
      </c>
      <c r="B498" s="110"/>
      <c r="C498" s="110"/>
      <c r="D498" s="110"/>
      <c r="E498" s="110"/>
      <c r="F498" s="110"/>
      <c r="G498" s="115"/>
      <c r="H498" s="133"/>
      <c r="I498" s="103"/>
      <c r="J498" s="108"/>
      <c r="K498" s="112"/>
      <c r="L498" s="110"/>
      <c r="M498" s="111"/>
      <c r="N498" s="103"/>
      <c r="O498" s="112"/>
      <c r="P498" s="115"/>
      <c r="Q498" s="114"/>
      <c r="R498" s="108"/>
      <c r="S498" s="115" t="s">
        <v>200</v>
      </c>
      <c r="T498" s="103" t="b">
        <v>0</v>
      </c>
      <c r="U498" s="103"/>
      <c r="V498" s="103"/>
      <c r="W498" s="103"/>
      <c r="X498" s="103"/>
      <c r="Y498" s="103"/>
      <c r="Z498" s="103"/>
    </row>
    <row r="499">
      <c r="A499" s="110" t="s">
        <v>200</v>
      </c>
      <c r="B499" s="110"/>
      <c r="C499" s="110"/>
      <c r="D499" s="110"/>
      <c r="E499" s="110"/>
      <c r="F499" s="110"/>
      <c r="G499" s="115"/>
      <c r="H499" s="133"/>
      <c r="I499" s="103"/>
      <c r="J499" s="108"/>
      <c r="K499" s="112"/>
      <c r="L499" s="110"/>
      <c r="M499" s="111"/>
      <c r="N499" s="103"/>
      <c r="O499" s="112"/>
      <c r="P499" s="115"/>
      <c r="Q499" s="114"/>
      <c r="R499" s="108"/>
      <c r="S499" s="115" t="s">
        <v>200</v>
      </c>
      <c r="T499" s="103" t="b">
        <v>0</v>
      </c>
      <c r="U499" s="103"/>
      <c r="V499" s="103"/>
      <c r="W499" s="103"/>
      <c r="X499" s="103"/>
      <c r="Y499" s="103"/>
      <c r="Z499" s="103"/>
    </row>
    <row r="500">
      <c r="A500" s="110" t="s">
        <v>200</v>
      </c>
      <c r="B500" s="110"/>
      <c r="C500" s="110"/>
      <c r="D500" s="110"/>
      <c r="E500" s="110"/>
      <c r="F500" s="110"/>
      <c r="G500" s="115"/>
      <c r="H500" s="133"/>
      <c r="I500" s="103"/>
      <c r="J500" s="108"/>
      <c r="K500" s="112"/>
      <c r="L500" s="110"/>
      <c r="M500" s="111"/>
      <c r="N500" s="103"/>
      <c r="O500" s="112"/>
      <c r="P500" s="115"/>
      <c r="Q500" s="114"/>
      <c r="R500" s="108"/>
      <c r="S500" s="115" t="s">
        <v>200</v>
      </c>
      <c r="T500" s="103" t="b">
        <v>0</v>
      </c>
      <c r="U500" s="103"/>
      <c r="V500" s="103"/>
      <c r="W500" s="103"/>
      <c r="X500" s="103"/>
      <c r="Y500" s="103"/>
      <c r="Z500" s="103"/>
    </row>
    <row r="501">
      <c r="A501" s="110" t="s">
        <v>200</v>
      </c>
      <c r="B501" s="110"/>
      <c r="C501" s="110"/>
      <c r="D501" s="110"/>
      <c r="E501" s="110"/>
      <c r="F501" s="110"/>
      <c r="G501" s="115"/>
      <c r="H501" s="133"/>
      <c r="I501" s="103"/>
      <c r="J501" s="108"/>
      <c r="K501" s="112"/>
      <c r="L501" s="110"/>
      <c r="M501" s="111"/>
      <c r="N501" s="103"/>
      <c r="O501" s="112"/>
      <c r="P501" s="115"/>
      <c r="Q501" s="114"/>
      <c r="R501" s="108"/>
      <c r="S501" s="115" t="s">
        <v>200</v>
      </c>
      <c r="T501" s="103" t="b">
        <v>0</v>
      </c>
      <c r="U501" s="103"/>
      <c r="V501" s="103"/>
      <c r="W501" s="103"/>
      <c r="X501" s="103"/>
      <c r="Y501" s="103"/>
      <c r="Z501" s="103"/>
    </row>
    <row r="502">
      <c r="A502" s="110" t="s">
        <v>200</v>
      </c>
      <c r="B502" s="110"/>
      <c r="C502" s="110"/>
      <c r="D502" s="110"/>
      <c r="E502" s="110"/>
      <c r="F502" s="110"/>
      <c r="G502" s="115"/>
      <c r="H502" s="133"/>
      <c r="I502" s="103"/>
      <c r="J502" s="108"/>
      <c r="K502" s="112"/>
      <c r="L502" s="110"/>
      <c r="M502" s="111"/>
      <c r="N502" s="103"/>
      <c r="O502" s="112"/>
      <c r="P502" s="115"/>
      <c r="Q502" s="114"/>
      <c r="R502" s="108"/>
      <c r="S502" s="115" t="s">
        <v>200</v>
      </c>
      <c r="T502" s="103" t="b">
        <v>0</v>
      </c>
      <c r="U502" s="103"/>
      <c r="V502" s="103"/>
      <c r="W502" s="103"/>
      <c r="X502" s="103"/>
      <c r="Y502" s="103"/>
      <c r="Z502" s="103"/>
    </row>
    <row r="503">
      <c r="A503" s="110" t="s">
        <v>200</v>
      </c>
      <c r="B503" s="110"/>
      <c r="C503" s="110"/>
      <c r="D503" s="110"/>
      <c r="E503" s="110"/>
      <c r="F503" s="110"/>
      <c r="G503" s="115"/>
      <c r="H503" s="133"/>
      <c r="I503" s="103"/>
      <c r="J503" s="108"/>
      <c r="K503" s="112"/>
      <c r="L503" s="110"/>
      <c r="M503" s="111"/>
      <c r="N503" s="103"/>
      <c r="O503" s="112"/>
      <c r="P503" s="115"/>
      <c r="Q503" s="114"/>
      <c r="R503" s="108"/>
      <c r="S503" s="115" t="s">
        <v>200</v>
      </c>
      <c r="T503" s="103" t="b">
        <v>0</v>
      </c>
      <c r="U503" s="103"/>
      <c r="V503" s="103"/>
      <c r="W503" s="103"/>
      <c r="X503" s="103"/>
      <c r="Y503" s="103"/>
      <c r="Z503" s="103"/>
    </row>
    <row r="504">
      <c r="A504" s="110" t="s">
        <v>200</v>
      </c>
      <c r="B504" s="110"/>
      <c r="C504" s="110"/>
      <c r="D504" s="110"/>
      <c r="E504" s="110"/>
      <c r="F504" s="110"/>
      <c r="G504" s="115"/>
      <c r="H504" s="133"/>
      <c r="I504" s="103"/>
      <c r="J504" s="108"/>
      <c r="K504" s="112"/>
      <c r="L504" s="110"/>
      <c r="M504" s="111"/>
      <c r="N504" s="103"/>
      <c r="O504" s="112"/>
      <c r="P504" s="115"/>
      <c r="Q504" s="114"/>
      <c r="R504" s="108"/>
      <c r="S504" s="115" t="s">
        <v>200</v>
      </c>
      <c r="T504" s="103" t="b">
        <v>0</v>
      </c>
      <c r="U504" s="103"/>
      <c r="V504" s="103"/>
      <c r="W504" s="103"/>
      <c r="X504" s="103"/>
      <c r="Y504" s="103"/>
      <c r="Z504" s="103"/>
    </row>
    <row r="505">
      <c r="A505" s="110" t="s">
        <v>200</v>
      </c>
      <c r="B505" s="110"/>
      <c r="C505" s="110"/>
      <c r="D505" s="110"/>
      <c r="E505" s="110"/>
      <c r="F505" s="110"/>
      <c r="G505" s="115"/>
      <c r="H505" s="133"/>
      <c r="I505" s="103"/>
      <c r="J505" s="108"/>
      <c r="K505" s="112"/>
      <c r="L505" s="110"/>
      <c r="M505" s="111"/>
      <c r="N505" s="103"/>
      <c r="O505" s="112"/>
      <c r="P505" s="115"/>
      <c r="Q505" s="114"/>
      <c r="R505" s="108"/>
      <c r="S505" s="115" t="s">
        <v>200</v>
      </c>
      <c r="T505" s="103" t="b">
        <v>0</v>
      </c>
      <c r="U505" s="103"/>
      <c r="V505" s="103"/>
      <c r="W505" s="103"/>
      <c r="X505" s="103"/>
      <c r="Y505" s="103"/>
      <c r="Z505" s="103"/>
    </row>
    <row r="506">
      <c r="A506" s="110" t="s">
        <v>200</v>
      </c>
      <c r="B506" s="110"/>
      <c r="C506" s="110"/>
      <c r="D506" s="110"/>
      <c r="E506" s="110"/>
      <c r="F506" s="110"/>
      <c r="G506" s="115"/>
      <c r="H506" s="133"/>
      <c r="I506" s="103"/>
      <c r="J506" s="108"/>
      <c r="K506" s="112"/>
      <c r="L506" s="110"/>
      <c r="M506" s="111"/>
      <c r="N506" s="103"/>
      <c r="O506" s="112"/>
      <c r="P506" s="115"/>
      <c r="Q506" s="114"/>
      <c r="R506" s="108"/>
      <c r="S506" s="115" t="s">
        <v>200</v>
      </c>
      <c r="T506" s="103" t="b">
        <v>0</v>
      </c>
      <c r="U506" s="103"/>
      <c r="V506" s="103"/>
      <c r="W506" s="103"/>
      <c r="X506" s="103"/>
      <c r="Y506" s="103"/>
      <c r="Z506" s="103"/>
    </row>
    <row r="507">
      <c r="A507" s="110" t="s">
        <v>200</v>
      </c>
      <c r="B507" s="110"/>
      <c r="C507" s="110"/>
      <c r="D507" s="110"/>
      <c r="E507" s="110"/>
      <c r="F507" s="110"/>
      <c r="G507" s="115"/>
      <c r="H507" s="133"/>
      <c r="I507" s="103"/>
      <c r="J507" s="108"/>
      <c r="K507" s="112"/>
      <c r="L507" s="110"/>
      <c r="M507" s="111"/>
      <c r="N507" s="103"/>
      <c r="O507" s="112"/>
      <c r="P507" s="115"/>
      <c r="Q507" s="114"/>
      <c r="R507" s="108"/>
      <c r="S507" s="115" t="s">
        <v>200</v>
      </c>
      <c r="T507" s="103" t="b">
        <v>0</v>
      </c>
      <c r="U507" s="103"/>
      <c r="V507" s="103"/>
      <c r="W507" s="103"/>
      <c r="X507" s="103"/>
      <c r="Y507" s="103"/>
      <c r="Z507" s="103"/>
    </row>
    <row r="508">
      <c r="A508" s="110" t="s">
        <v>200</v>
      </c>
      <c r="B508" s="110"/>
      <c r="C508" s="110"/>
      <c r="D508" s="110"/>
      <c r="E508" s="110"/>
      <c r="F508" s="110"/>
      <c r="G508" s="115"/>
      <c r="H508" s="133"/>
      <c r="I508" s="103"/>
      <c r="J508" s="108"/>
      <c r="K508" s="112"/>
      <c r="L508" s="110"/>
      <c r="M508" s="111"/>
      <c r="N508" s="103"/>
      <c r="O508" s="112"/>
      <c r="P508" s="115"/>
      <c r="Q508" s="114"/>
      <c r="R508" s="108"/>
      <c r="S508" s="115" t="s">
        <v>200</v>
      </c>
      <c r="T508" s="103" t="b">
        <v>0</v>
      </c>
      <c r="U508" s="103"/>
      <c r="V508" s="103"/>
      <c r="W508" s="103"/>
      <c r="X508" s="103"/>
      <c r="Y508" s="103"/>
      <c r="Z508" s="103"/>
    </row>
    <row r="509">
      <c r="A509" s="110" t="s">
        <v>200</v>
      </c>
      <c r="B509" s="110"/>
      <c r="C509" s="110"/>
      <c r="D509" s="110"/>
      <c r="E509" s="110"/>
      <c r="F509" s="110"/>
      <c r="G509" s="115"/>
      <c r="H509" s="133"/>
      <c r="I509" s="103"/>
      <c r="J509" s="108"/>
      <c r="K509" s="112"/>
      <c r="L509" s="110"/>
      <c r="M509" s="111"/>
      <c r="N509" s="103"/>
      <c r="O509" s="112"/>
      <c r="P509" s="115"/>
      <c r="Q509" s="114"/>
      <c r="R509" s="108"/>
      <c r="S509" s="115" t="s">
        <v>200</v>
      </c>
      <c r="T509" s="103" t="b">
        <v>0</v>
      </c>
      <c r="U509" s="103"/>
      <c r="V509" s="103"/>
      <c r="W509" s="103"/>
      <c r="X509" s="103"/>
      <c r="Y509" s="103"/>
      <c r="Z509" s="103"/>
    </row>
    <row r="510">
      <c r="A510" s="110" t="s">
        <v>200</v>
      </c>
      <c r="B510" s="110"/>
      <c r="C510" s="110"/>
      <c r="D510" s="110"/>
      <c r="E510" s="110"/>
      <c r="F510" s="110"/>
      <c r="G510" s="115"/>
      <c r="H510" s="133"/>
      <c r="I510" s="103"/>
      <c r="J510" s="108"/>
      <c r="K510" s="112"/>
      <c r="L510" s="110"/>
      <c r="M510" s="111"/>
      <c r="N510" s="103"/>
      <c r="O510" s="112"/>
      <c r="P510" s="115"/>
      <c r="Q510" s="114"/>
      <c r="R510" s="108"/>
      <c r="S510" s="115" t="s">
        <v>200</v>
      </c>
      <c r="T510" s="103" t="b">
        <v>0</v>
      </c>
      <c r="U510" s="103"/>
      <c r="V510" s="103"/>
      <c r="W510" s="103"/>
      <c r="X510" s="103"/>
      <c r="Y510" s="103"/>
      <c r="Z510" s="103"/>
    </row>
    <row r="511">
      <c r="A511" s="110" t="s">
        <v>200</v>
      </c>
      <c r="B511" s="110"/>
      <c r="C511" s="110"/>
      <c r="D511" s="110"/>
      <c r="E511" s="110"/>
      <c r="F511" s="110"/>
      <c r="G511" s="115"/>
      <c r="H511" s="133"/>
      <c r="I511" s="103"/>
      <c r="J511" s="108"/>
      <c r="K511" s="112"/>
      <c r="L511" s="110"/>
      <c r="M511" s="111"/>
      <c r="N511" s="103"/>
      <c r="O511" s="112"/>
      <c r="P511" s="115"/>
      <c r="Q511" s="114"/>
      <c r="R511" s="108"/>
      <c r="S511" s="115" t="s">
        <v>200</v>
      </c>
      <c r="T511" s="103" t="b">
        <v>0</v>
      </c>
      <c r="U511" s="103"/>
      <c r="V511" s="103"/>
      <c r="W511" s="103"/>
      <c r="X511" s="103"/>
      <c r="Y511" s="103"/>
      <c r="Z511" s="103"/>
    </row>
    <row r="512">
      <c r="A512" s="110" t="s">
        <v>200</v>
      </c>
      <c r="B512" s="110"/>
      <c r="C512" s="110"/>
      <c r="D512" s="110"/>
      <c r="E512" s="110"/>
      <c r="F512" s="110"/>
      <c r="G512" s="115"/>
      <c r="H512" s="133"/>
      <c r="I512" s="103"/>
      <c r="J512" s="108"/>
      <c r="K512" s="112"/>
      <c r="L512" s="110"/>
      <c r="M512" s="111"/>
      <c r="N512" s="103"/>
      <c r="O512" s="112"/>
      <c r="P512" s="115"/>
      <c r="Q512" s="114"/>
      <c r="R512" s="108"/>
      <c r="S512" s="115" t="s">
        <v>200</v>
      </c>
      <c r="T512" s="103" t="b">
        <v>0</v>
      </c>
      <c r="U512" s="103"/>
      <c r="V512" s="103"/>
      <c r="W512" s="103"/>
      <c r="X512" s="103"/>
      <c r="Y512" s="103"/>
      <c r="Z512" s="103"/>
    </row>
    <row r="513">
      <c r="A513" s="110" t="s">
        <v>200</v>
      </c>
      <c r="B513" s="110"/>
      <c r="C513" s="110"/>
      <c r="D513" s="110"/>
      <c r="E513" s="110"/>
      <c r="F513" s="110"/>
      <c r="G513" s="115"/>
      <c r="H513" s="133"/>
      <c r="I513" s="103"/>
      <c r="J513" s="108"/>
      <c r="K513" s="112"/>
      <c r="L513" s="110"/>
      <c r="M513" s="111"/>
      <c r="N513" s="103"/>
      <c r="O513" s="112"/>
      <c r="P513" s="115"/>
      <c r="Q513" s="114"/>
      <c r="R513" s="108"/>
      <c r="S513" s="115" t="s">
        <v>200</v>
      </c>
      <c r="T513" s="103" t="b">
        <v>0</v>
      </c>
      <c r="U513" s="103"/>
      <c r="V513" s="103"/>
      <c r="W513" s="103"/>
      <c r="X513" s="103"/>
      <c r="Y513" s="103"/>
      <c r="Z513" s="103"/>
    </row>
    <row r="514">
      <c r="A514" s="110" t="s">
        <v>200</v>
      </c>
      <c r="B514" s="110"/>
      <c r="C514" s="110"/>
      <c r="D514" s="110"/>
      <c r="E514" s="110"/>
      <c r="F514" s="110"/>
      <c r="G514" s="115"/>
      <c r="H514" s="133"/>
      <c r="I514" s="103"/>
      <c r="J514" s="108"/>
      <c r="K514" s="112"/>
      <c r="L514" s="110"/>
      <c r="M514" s="111"/>
      <c r="N514" s="103"/>
      <c r="O514" s="112"/>
      <c r="P514" s="115"/>
      <c r="Q514" s="114"/>
      <c r="R514" s="108"/>
      <c r="S514" s="115" t="s">
        <v>200</v>
      </c>
      <c r="T514" s="103" t="b">
        <v>0</v>
      </c>
      <c r="U514" s="103"/>
      <c r="V514" s="103"/>
      <c r="W514" s="103"/>
      <c r="X514" s="103"/>
      <c r="Y514" s="103"/>
      <c r="Z514" s="103"/>
    </row>
    <row r="515">
      <c r="A515" s="110" t="s">
        <v>200</v>
      </c>
      <c r="B515" s="110"/>
      <c r="C515" s="110"/>
      <c r="D515" s="110"/>
      <c r="E515" s="110"/>
      <c r="F515" s="110"/>
      <c r="G515" s="115"/>
      <c r="H515" s="133"/>
      <c r="I515" s="103"/>
      <c r="J515" s="108"/>
      <c r="K515" s="112"/>
      <c r="L515" s="110"/>
      <c r="M515" s="111"/>
      <c r="N515" s="103"/>
      <c r="O515" s="112"/>
      <c r="P515" s="115"/>
      <c r="Q515" s="114"/>
      <c r="R515" s="108"/>
      <c r="S515" s="115" t="s">
        <v>200</v>
      </c>
      <c r="T515" s="103" t="b">
        <v>0</v>
      </c>
      <c r="U515" s="103"/>
      <c r="V515" s="103"/>
      <c r="W515" s="103"/>
      <c r="X515" s="103"/>
      <c r="Y515" s="103"/>
      <c r="Z515" s="103"/>
    </row>
    <row r="516">
      <c r="A516" s="110" t="s">
        <v>200</v>
      </c>
      <c r="B516" s="110"/>
      <c r="C516" s="110"/>
      <c r="D516" s="110"/>
      <c r="E516" s="110"/>
      <c r="F516" s="110"/>
      <c r="G516" s="115"/>
      <c r="H516" s="133"/>
      <c r="I516" s="103"/>
      <c r="J516" s="108"/>
      <c r="K516" s="112"/>
      <c r="L516" s="110"/>
      <c r="M516" s="111"/>
      <c r="N516" s="103"/>
      <c r="O516" s="112"/>
      <c r="P516" s="115"/>
      <c r="Q516" s="114"/>
      <c r="R516" s="108"/>
      <c r="S516" s="115" t="s">
        <v>200</v>
      </c>
      <c r="T516" s="103" t="b">
        <v>0</v>
      </c>
      <c r="U516" s="103"/>
      <c r="V516" s="103"/>
      <c r="W516" s="103"/>
      <c r="X516" s="103"/>
      <c r="Y516" s="103"/>
      <c r="Z516" s="103"/>
    </row>
    <row r="517">
      <c r="A517" s="110" t="s">
        <v>200</v>
      </c>
      <c r="B517" s="110"/>
      <c r="C517" s="110"/>
      <c r="D517" s="110"/>
      <c r="E517" s="110"/>
      <c r="F517" s="110"/>
      <c r="G517" s="115"/>
      <c r="H517" s="133"/>
      <c r="I517" s="103"/>
      <c r="J517" s="108"/>
      <c r="K517" s="112"/>
      <c r="L517" s="110"/>
      <c r="M517" s="111"/>
      <c r="N517" s="103"/>
      <c r="O517" s="112"/>
      <c r="P517" s="115"/>
      <c r="Q517" s="114"/>
      <c r="R517" s="108"/>
      <c r="S517" s="115" t="s">
        <v>200</v>
      </c>
      <c r="T517" s="103" t="b">
        <v>0</v>
      </c>
      <c r="U517" s="103"/>
      <c r="V517" s="103"/>
      <c r="W517" s="103"/>
      <c r="X517" s="103"/>
      <c r="Y517" s="103"/>
      <c r="Z517" s="103"/>
    </row>
    <row r="518">
      <c r="A518" s="110" t="s">
        <v>200</v>
      </c>
      <c r="B518" s="110"/>
      <c r="C518" s="110"/>
      <c r="D518" s="110"/>
      <c r="E518" s="110"/>
      <c r="F518" s="110"/>
      <c r="G518" s="115"/>
      <c r="H518" s="133"/>
      <c r="I518" s="103"/>
      <c r="J518" s="108"/>
      <c r="K518" s="112"/>
      <c r="L518" s="110"/>
      <c r="M518" s="111"/>
      <c r="N518" s="103"/>
      <c r="O518" s="112"/>
      <c r="P518" s="115"/>
      <c r="Q518" s="114"/>
      <c r="R518" s="108"/>
      <c r="S518" s="115" t="s">
        <v>200</v>
      </c>
      <c r="T518" s="103" t="b">
        <v>0</v>
      </c>
      <c r="U518" s="103"/>
      <c r="V518" s="103"/>
      <c r="W518" s="103"/>
      <c r="X518" s="103"/>
      <c r="Y518" s="103"/>
      <c r="Z518" s="103"/>
    </row>
    <row r="519">
      <c r="A519" s="110" t="s">
        <v>200</v>
      </c>
      <c r="B519" s="110"/>
      <c r="C519" s="110"/>
      <c r="D519" s="110"/>
      <c r="E519" s="110"/>
      <c r="F519" s="110"/>
      <c r="G519" s="115"/>
      <c r="H519" s="133"/>
      <c r="I519" s="103"/>
      <c r="J519" s="108"/>
      <c r="K519" s="112"/>
      <c r="L519" s="110"/>
      <c r="M519" s="111"/>
      <c r="N519" s="103"/>
      <c r="O519" s="112"/>
      <c r="P519" s="115"/>
      <c r="Q519" s="114"/>
      <c r="R519" s="108"/>
      <c r="S519" s="115" t="s">
        <v>200</v>
      </c>
      <c r="T519" s="103" t="b">
        <v>0</v>
      </c>
      <c r="U519" s="103"/>
      <c r="V519" s="103"/>
      <c r="W519" s="103"/>
      <c r="X519" s="103"/>
      <c r="Y519" s="103"/>
      <c r="Z519" s="103"/>
    </row>
    <row r="520">
      <c r="A520" s="110" t="s">
        <v>200</v>
      </c>
      <c r="B520" s="110"/>
      <c r="C520" s="110"/>
      <c r="D520" s="110"/>
      <c r="E520" s="110"/>
      <c r="F520" s="110"/>
      <c r="G520" s="115"/>
      <c r="H520" s="133"/>
      <c r="I520" s="103"/>
      <c r="J520" s="108"/>
      <c r="K520" s="112"/>
      <c r="L520" s="110"/>
      <c r="M520" s="111"/>
      <c r="N520" s="103"/>
      <c r="O520" s="112"/>
      <c r="P520" s="115"/>
      <c r="Q520" s="114"/>
      <c r="R520" s="108"/>
      <c r="S520" s="115" t="s">
        <v>200</v>
      </c>
      <c r="T520" s="103" t="b">
        <v>0</v>
      </c>
      <c r="U520" s="103"/>
      <c r="V520" s="103"/>
      <c r="W520" s="103"/>
      <c r="X520" s="103"/>
      <c r="Y520" s="103"/>
      <c r="Z520" s="103"/>
    </row>
    <row r="521">
      <c r="A521" s="110" t="s">
        <v>200</v>
      </c>
      <c r="B521" s="110"/>
      <c r="C521" s="110"/>
      <c r="D521" s="110"/>
      <c r="E521" s="110"/>
      <c r="F521" s="110"/>
      <c r="G521" s="115"/>
      <c r="H521" s="133"/>
      <c r="I521" s="103"/>
      <c r="J521" s="108"/>
      <c r="K521" s="112"/>
      <c r="L521" s="110"/>
      <c r="M521" s="111"/>
      <c r="N521" s="103"/>
      <c r="O521" s="112"/>
      <c r="P521" s="115"/>
      <c r="Q521" s="114"/>
      <c r="R521" s="108"/>
      <c r="S521" s="115" t="s">
        <v>200</v>
      </c>
      <c r="T521" s="103" t="b">
        <v>0</v>
      </c>
      <c r="U521" s="103"/>
      <c r="V521" s="103"/>
      <c r="W521" s="103"/>
      <c r="X521" s="103"/>
      <c r="Y521" s="103"/>
      <c r="Z521" s="103"/>
    </row>
    <row r="522">
      <c r="A522" s="110" t="s">
        <v>200</v>
      </c>
      <c r="B522" s="110"/>
      <c r="C522" s="110"/>
      <c r="D522" s="110"/>
      <c r="E522" s="110"/>
      <c r="F522" s="110"/>
      <c r="G522" s="115"/>
      <c r="H522" s="133"/>
      <c r="I522" s="103"/>
      <c r="J522" s="108"/>
      <c r="K522" s="112"/>
      <c r="L522" s="110"/>
      <c r="M522" s="111"/>
      <c r="N522" s="103"/>
      <c r="O522" s="112"/>
      <c r="P522" s="115"/>
      <c r="Q522" s="114"/>
      <c r="R522" s="108"/>
      <c r="S522" s="115" t="s">
        <v>200</v>
      </c>
      <c r="T522" s="103" t="b">
        <v>0</v>
      </c>
      <c r="U522" s="103"/>
      <c r="V522" s="103"/>
      <c r="W522" s="103"/>
      <c r="X522" s="103"/>
      <c r="Y522" s="103"/>
      <c r="Z522" s="103"/>
    </row>
    <row r="523">
      <c r="A523" s="110" t="s">
        <v>200</v>
      </c>
      <c r="B523" s="110"/>
      <c r="C523" s="110"/>
      <c r="D523" s="110"/>
      <c r="E523" s="110"/>
      <c r="F523" s="110"/>
      <c r="G523" s="115"/>
      <c r="H523" s="133"/>
      <c r="I523" s="103"/>
      <c r="J523" s="108"/>
      <c r="K523" s="112"/>
      <c r="L523" s="110"/>
      <c r="M523" s="111"/>
      <c r="N523" s="103"/>
      <c r="O523" s="112"/>
      <c r="P523" s="115"/>
      <c r="Q523" s="114"/>
      <c r="R523" s="108"/>
      <c r="S523" s="115" t="s">
        <v>200</v>
      </c>
      <c r="T523" s="103" t="b">
        <v>0</v>
      </c>
      <c r="U523" s="103"/>
      <c r="V523" s="103"/>
      <c r="W523" s="103"/>
      <c r="X523" s="103"/>
      <c r="Y523" s="103"/>
      <c r="Z523" s="103"/>
    </row>
    <row r="524">
      <c r="A524" s="110" t="s">
        <v>200</v>
      </c>
      <c r="B524" s="110"/>
      <c r="C524" s="110"/>
      <c r="D524" s="110"/>
      <c r="E524" s="110"/>
      <c r="F524" s="110"/>
      <c r="G524" s="115"/>
      <c r="H524" s="133"/>
      <c r="I524" s="103"/>
      <c r="J524" s="108"/>
      <c r="K524" s="112"/>
      <c r="L524" s="110"/>
      <c r="M524" s="111"/>
      <c r="N524" s="103"/>
      <c r="O524" s="112"/>
      <c r="P524" s="115"/>
      <c r="Q524" s="114"/>
      <c r="R524" s="108"/>
      <c r="S524" s="115" t="s">
        <v>200</v>
      </c>
      <c r="T524" s="103" t="b">
        <v>0</v>
      </c>
      <c r="U524" s="103"/>
      <c r="V524" s="103"/>
      <c r="W524" s="103"/>
      <c r="X524" s="103"/>
      <c r="Y524" s="103"/>
      <c r="Z524" s="103"/>
    </row>
    <row r="525">
      <c r="A525" s="110" t="s">
        <v>200</v>
      </c>
      <c r="B525" s="110"/>
      <c r="C525" s="110"/>
      <c r="D525" s="110"/>
      <c r="E525" s="110"/>
      <c r="F525" s="110"/>
      <c r="G525" s="115"/>
      <c r="H525" s="133"/>
      <c r="I525" s="103"/>
      <c r="J525" s="108"/>
      <c r="K525" s="112"/>
      <c r="L525" s="110"/>
      <c r="M525" s="111"/>
      <c r="N525" s="103"/>
      <c r="O525" s="112"/>
      <c r="P525" s="115"/>
      <c r="Q525" s="114"/>
      <c r="R525" s="108"/>
      <c r="S525" s="115" t="s">
        <v>200</v>
      </c>
      <c r="T525" s="103" t="b">
        <v>0</v>
      </c>
      <c r="U525" s="103"/>
      <c r="V525" s="103"/>
      <c r="W525" s="103"/>
      <c r="X525" s="103"/>
      <c r="Y525" s="103"/>
      <c r="Z525" s="103"/>
    </row>
    <row r="526">
      <c r="A526" s="110" t="s">
        <v>200</v>
      </c>
      <c r="B526" s="110"/>
      <c r="C526" s="110"/>
      <c r="D526" s="110"/>
      <c r="E526" s="110"/>
      <c r="F526" s="110"/>
      <c r="G526" s="115"/>
      <c r="H526" s="133"/>
      <c r="I526" s="103"/>
      <c r="J526" s="108"/>
      <c r="K526" s="112"/>
      <c r="L526" s="110"/>
      <c r="M526" s="111"/>
      <c r="N526" s="103"/>
      <c r="O526" s="112"/>
      <c r="P526" s="115"/>
      <c r="Q526" s="114"/>
      <c r="R526" s="108"/>
      <c r="S526" s="115" t="s">
        <v>200</v>
      </c>
      <c r="T526" s="103" t="b">
        <v>0</v>
      </c>
      <c r="U526" s="103"/>
      <c r="V526" s="103"/>
      <c r="W526" s="103"/>
      <c r="X526" s="103"/>
      <c r="Y526" s="103"/>
      <c r="Z526" s="103"/>
    </row>
    <row r="527">
      <c r="A527" s="110" t="s">
        <v>200</v>
      </c>
      <c r="B527" s="110"/>
      <c r="C527" s="110"/>
      <c r="D527" s="110"/>
      <c r="E527" s="110"/>
      <c r="F527" s="110"/>
      <c r="G527" s="115"/>
      <c r="H527" s="133"/>
      <c r="I527" s="103"/>
      <c r="J527" s="108"/>
      <c r="K527" s="112"/>
      <c r="L527" s="110"/>
      <c r="M527" s="111"/>
      <c r="N527" s="103"/>
      <c r="O527" s="112"/>
      <c r="P527" s="115"/>
      <c r="Q527" s="114"/>
      <c r="R527" s="108"/>
      <c r="S527" s="115" t="s">
        <v>200</v>
      </c>
      <c r="T527" s="103" t="b">
        <v>0</v>
      </c>
      <c r="U527" s="103"/>
      <c r="V527" s="103"/>
      <c r="W527" s="103"/>
      <c r="X527" s="103"/>
      <c r="Y527" s="103"/>
      <c r="Z527" s="103"/>
    </row>
    <row r="528">
      <c r="A528" s="110" t="s">
        <v>200</v>
      </c>
      <c r="B528" s="110"/>
      <c r="C528" s="110"/>
      <c r="D528" s="110"/>
      <c r="E528" s="110"/>
      <c r="F528" s="110"/>
      <c r="G528" s="115"/>
      <c r="H528" s="133"/>
      <c r="I528" s="103"/>
      <c r="J528" s="108"/>
      <c r="K528" s="112"/>
      <c r="L528" s="110"/>
      <c r="M528" s="111"/>
      <c r="N528" s="103"/>
      <c r="O528" s="112"/>
      <c r="P528" s="115"/>
      <c r="Q528" s="114"/>
      <c r="R528" s="108"/>
      <c r="S528" s="115" t="s">
        <v>200</v>
      </c>
      <c r="T528" s="103" t="b">
        <v>0</v>
      </c>
      <c r="U528" s="103"/>
      <c r="V528" s="103"/>
      <c r="W528" s="103"/>
      <c r="X528" s="103"/>
      <c r="Y528" s="103"/>
      <c r="Z528" s="103"/>
    </row>
    <row r="529">
      <c r="A529" s="110" t="s">
        <v>200</v>
      </c>
      <c r="B529" s="110"/>
      <c r="C529" s="110"/>
      <c r="D529" s="110"/>
      <c r="E529" s="110"/>
      <c r="F529" s="110"/>
      <c r="G529" s="115"/>
      <c r="H529" s="133"/>
      <c r="I529" s="103"/>
      <c r="J529" s="108"/>
      <c r="K529" s="112"/>
      <c r="L529" s="110"/>
      <c r="M529" s="111"/>
      <c r="N529" s="103"/>
      <c r="O529" s="112"/>
      <c r="P529" s="115"/>
      <c r="Q529" s="114"/>
      <c r="R529" s="108"/>
      <c r="S529" s="115" t="s">
        <v>200</v>
      </c>
      <c r="T529" s="103" t="b">
        <v>0</v>
      </c>
      <c r="U529" s="103"/>
      <c r="V529" s="103"/>
      <c r="W529" s="103"/>
      <c r="X529" s="103"/>
      <c r="Y529" s="103"/>
      <c r="Z529" s="103"/>
    </row>
    <row r="530">
      <c r="A530" s="110" t="s">
        <v>200</v>
      </c>
      <c r="B530" s="110"/>
      <c r="C530" s="110"/>
      <c r="D530" s="110"/>
      <c r="E530" s="110"/>
      <c r="F530" s="110"/>
      <c r="G530" s="115"/>
      <c r="H530" s="133"/>
      <c r="I530" s="103"/>
      <c r="J530" s="108"/>
      <c r="K530" s="112"/>
      <c r="L530" s="110"/>
      <c r="M530" s="111"/>
      <c r="N530" s="103"/>
      <c r="O530" s="112"/>
      <c r="P530" s="115"/>
      <c r="Q530" s="114"/>
      <c r="R530" s="108"/>
      <c r="S530" s="115" t="s">
        <v>200</v>
      </c>
      <c r="T530" s="103" t="b">
        <v>0</v>
      </c>
      <c r="U530" s="103"/>
      <c r="V530" s="103"/>
      <c r="W530" s="103"/>
      <c r="X530" s="103"/>
      <c r="Y530" s="103"/>
      <c r="Z530" s="103"/>
    </row>
    <row r="531">
      <c r="A531" s="110" t="s">
        <v>200</v>
      </c>
      <c r="B531" s="110"/>
      <c r="C531" s="110"/>
      <c r="D531" s="110"/>
      <c r="E531" s="110"/>
      <c r="F531" s="110"/>
      <c r="G531" s="115"/>
      <c r="H531" s="133"/>
      <c r="I531" s="103"/>
      <c r="J531" s="108"/>
      <c r="K531" s="112"/>
      <c r="L531" s="110"/>
      <c r="M531" s="111"/>
      <c r="N531" s="103"/>
      <c r="O531" s="112"/>
      <c r="P531" s="115"/>
      <c r="Q531" s="114"/>
      <c r="R531" s="108"/>
      <c r="S531" s="115" t="s">
        <v>200</v>
      </c>
      <c r="T531" s="103" t="b">
        <v>0</v>
      </c>
      <c r="U531" s="103"/>
      <c r="V531" s="103"/>
      <c r="W531" s="103"/>
      <c r="X531" s="103"/>
      <c r="Y531" s="103"/>
      <c r="Z531" s="103"/>
    </row>
    <row r="532">
      <c r="A532" s="110" t="s">
        <v>200</v>
      </c>
      <c r="B532" s="110"/>
      <c r="C532" s="110"/>
      <c r="D532" s="110"/>
      <c r="E532" s="110"/>
      <c r="F532" s="110"/>
      <c r="G532" s="115"/>
      <c r="H532" s="133"/>
      <c r="I532" s="103"/>
      <c r="J532" s="108"/>
      <c r="K532" s="112"/>
      <c r="L532" s="110"/>
      <c r="M532" s="111"/>
      <c r="N532" s="103"/>
      <c r="O532" s="112"/>
      <c r="P532" s="115"/>
      <c r="Q532" s="114"/>
      <c r="R532" s="108"/>
      <c r="S532" s="115" t="s">
        <v>200</v>
      </c>
      <c r="T532" s="103" t="b">
        <v>0</v>
      </c>
      <c r="U532" s="103"/>
      <c r="V532" s="103"/>
      <c r="W532" s="103"/>
      <c r="X532" s="103"/>
      <c r="Y532" s="103"/>
      <c r="Z532" s="103"/>
    </row>
    <row r="533">
      <c r="A533" s="110" t="s">
        <v>200</v>
      </c>
      <c r="B533" s="110"/>
      <c r="C533" s="110"/>
      <c r="D533" s="110"/>
      <c r="E533" s="110"/>
      <c r="F533" s="110"/>
      <c r="G533" s="115"/>
      <c r="H533" s="133"/>
      <c r="I533" s="103"/>
      <c r="J533" s="108"/>
      <c r="K533" s="112"/>
      <c r="L533" s="110"/>
      <c r="M533" s="111"/>
      <c r="N533" s="103"/>
      <c r="O533" s="112"/>
      <c r="P533" s="115"/>
      <c r="Q533" s="114"/>
      <c r="R533" s="108"/>
      <c r="S533" s="115" t="s">
        <v>200</v>
      </c>
      <c r="T533" s="103" t="b">
        <v>0</v>
      </c>
      <c r="U533" s="103"/>
      <c r="V533" s="103"/>
      <c r="W533" s="103"/>
      <c r="X533" s="103"/>
      <c r="Y533" s="103"/>
      <c r="Z533" s="103"/>
    </row>
    <row r="534">
      <c r="A534" s="110" t="s">
        <v>200</v>
      </c>
      <c r="B534" s="110"/>
      <c r="C534" s="110"/>
      <c r="D534" s="110"/>
      <c r="E534" s="110"/>
      <c r="F534" s="110"/>
      <c r="G534" s="115"/>
      <c r="H534" s="133"/>
      <c r="I534" s="103"/>
      <c r="J534" s="108"/>
      <c r="K534" s="112"/>
      <c r="L534" s="110"/>
      <c r="M534" s="111"/>
      <c r="N534" s="103"/>
      <c r="O534" s="112"/>
      <c r="P534" s="115"/>
      <c r="Q534" s="114"/>
      <c r="R534" s="108"/>
      <c r="S534" s="115" t="s">
        <v>200</v>
      </c>
      <c r="T534" s="103" t="b">
        <v>0</v>
      </c>
      <c r="U534" s="103"/>
      <c r="V534" s="103"/>
      <c r="W534" s="103"/>
      <c r="X534" s="103"/>
      <c r="Y534" s="103"/>
      <c r="Z534" s="103"/>
    </row>
    <row r="535">
      <c r="A535" s="110" t="s">
        <v>200</v>
      </c>
      <c r="B535" s="110"/>
      <c r="C535" s="110"/>
      <c r="D535" s="110"/>
      <c r="E535" s="110"/>
      <c r="F535" s="110"/>
      <c r="G535" s="115"/>
      <c r="H535" s="133"/>
      <c r="I535" s="103"/>
      <c r="J535" s="108"/>
      <c r="K535" s="112"/>
      <c r="L535" s="110"/>
      <c r="M535" s="111"/>
      <c r="N535" s="103"/>
      <c r="O535" s="112"/>
      <c r="P535" s="115"/>
      <c r="Q535" s="114"/>
      <c r="R535" s="108"/>
      <c r="S535" s="115" t="s">
        <v>200</v>
      </c>
      <c r="T535" s="103" t="b">
        <v>0</v>
      </c>
      <c r="U535" s="103"/>
      <c r="V535" s="103"/>
      <c r="W535" s="103"/>
      <c r="X535" s="103"/>
      <c r="Y535" s="103"/>
      <c r="Z535" s="103"/>
    </row>
    <row r="536">
      <c r="A536" s="110" t="s">
        <v>200</v>
      </c>
      <c r="B536" s="110"/>
      <c r="C536" s="110"/>
      <c r="D536" s="110"/>
      <c r="E536" s="110"/>
      <c r="F536" s="110"/>
      <c r="G536" s="115"/>
      <c r="H536" s="133"/>
      <c r="I536" s="103"/>
      <c r="J536" s="108"/>
      <c r="K536" s="112"/>
      <c r="L536" s="110"/>
      <c r="M536" s="111"/>
      <c r="N536" s="103"/>
      <c r="O536" s="112"/>
      <c r="P536" s="115"/>
      <c r="Q536" s="114"/>
      <c r="R536" s="108"/>
      <c r="S536" s="115" t="s">
        <v>200</v>
      </c>
      <c r="T536" s="103" t="b">
        <v>0</v>
      </c>
      <c r="U536" s="103"/>
      <c r="V536" s="103"/>
      <c r="W536" s="103"/>
      <c r="X536" s="103"/>
      <c r="Y536" s="103"/>
      <c r="Z536" s="103"/>
    </row>
    <row r="537">
      <c r="A537" s="110" t="s">
        <v>200</v>
      </c>
      <c r="B537" s="110"/>
      <c r="C537" s="110"/>
      <c r="D537" s="110"/>
      <c r="E537" s="110"/>
      <c r="F537" s="110"/>
      <c r="G537" s="115"/>
      <c r="H537" s="133"/>
      <c r="I537" s="103"/>
      <c r="J537" s="108"/>
      <c r="K537" s="112"/>
      <c r="L537" s="110"/>
      <c r="M537" s="111"/>
      <c r="N537" s="103"/>
      <c r="O537" s="112"/>
      <c r="P537" s="115"/>
      <c r="Q537" s="114"/>
      <c r="R537" s="108"/>
      <c r="S537" s="115" t="s">
        <v>200</v>
      </c>
      <c r="T537" s="103" t="b">
        <v>0</v>
      </c>
      <c r="U537" s="103"/>
      <c r="V537" s="103"/>
      <c r="W537" s="103"/>
      <c r="X537" s="103"/>
      <c r="Y537" s="103"/>
      <c r="Z537" s="103"/>
    </row>
    <row r="538">
      <c r="A538" s="110" t="s">
        <v>200</v>
      </c>
      <c r="B538" s="110"/>
      <c r="C538" s="110"/>
      <c r="D538" s="110"/>
      <c r="E538" s="110"/>
      <c r="F538" s="110"/>
      <c r="G538" s="115"/>
      <c r="H538" s="133"/>
      <c r="I538" s="103"/>
      <c r="J538" s="108"/>
      <c r="K538" s="112"/>
      <c r="L538" s="110"/>
      <c r="M538" s="111"/>
      <c r="N538" s="103"/>
      <c r="O538" s="112"/>
      <c r="P538" s="115"/>
      <c r="Q538" s="114"/>
      <c r="R538" s="108"/>
      <c r="S538" s="115" t="s">
        <v>200</v>
      </c>
      <c r="T538" s="103" t="b">
        <v>0</v>
      </c>
      <c r="U538" s="103"/>
      <c r="V538" s="103"/>
      <c r="W538" s="103"/>
      <c r="X538" s="103"/>
      <c r="Y538" s="103"/>
      <c r="Z538" s="103"/>
    </row>
    <row r="539">
      <c r="A539" s="110" t="s">
        <v>200</v>
      </c>
      <c r="B539" s="110"/>
      <c r="C539" s="110"/>
      <c r="D539" s="110"/>
      <c r="E539" s="110"/>
      <c r="F539" s="110"/>
      <c r="G539" s="115"/>
      <c r="H539" s="133"/>
      <c r="I539" s="103"/>
      <c r="J539" s="108"/>
      <c r="K539" s="112"/>
      <c r="L539" s="110"/>
      <c r="M539" s="111"/>
      <c r="N539" s="103"/>
      <c r="O539" s="112"/>
      <c r="P539" s="115"/>
      <c r="Q539" s="114"/>
      <c r="R539" s="108"/>
      <c r="S539" s="115" t="s">
        <v>200</v>
      </c>
      <c r="T539" s="103" t="b">
        <v>0</v>
      </c>
      <c r="U539" s="103"/>
      <c r="V539" s="103"/>
      <c r="W539" s="103"/>
      <c r="X539" s="103"/>
      <c r="Y539" s="103"/>
      <c r="Z539" s="103"/>
    </row>
    <row r="540">
      <c r="A540" s="110" t="s">
        <v>200</v>
      </c>
      <c r="B540" s="110"/>
      <c r="C540" s="110"/>
      <c r="D540" s="110"/>
      <c r="E540" s="110"/>
      <c r="F540" s="110"/>
      <c r="G540" s="115"/>
      <c r="H540" s="133"/>
      <c r="I540" s="103"/>
      <c r="J540" s="108"/>
      <c r="K540" s="112"/>
      <c r="L540" s="110"/>
      <c r="M540" s="111"/>
      <c r="N540" s="103"/>
      <c r="O540" s="112"/>
      <c r="P540" s="115"/>
      <c r="Q540" s="114"/>
      <c r="R540" s="108"/>
      <c r="S540" s="115" t="s">
        <v>200</v>
      </c>
      <c r="T540" s="103" t="b">
        <v>0</v>
      </c>
      <c r="U540" s="103"/>
      <c r="V540" s="103"/>
      <c r="W540" s="103"/>
      <c r="X540" s="103"/>
      <c r="Y540" s="103"/>
      <c r="Z540" s="103"/>
    </row>
    <row r="541">
      <c r="A541" s="110" t="s">
        <v>200</v>
      </c>
      <c r="B541" s="110"/>
      <c r="C541" s="110"/>
      <c r="D541" s="110"/>
      <c r="E541" s="110"/>
      <c r="F541" s="110"/>
      <c r="G541" s="115"/>
      <c r="H541" s="133"/>
      <c r="I541" s="103"/>
      <c r="J541" s="108"/>
      <c r="K541" s="112"/>
      <c r="L541" s="110"/>
      <c r="M541" s="111"/>
      <c r="N541" s="103"/>
      <c r="O541" s="112"/>
      <c r="P541" s="115"/>
      <c r="Q541" s="114"/>
      <c r="R541" s="108"/>
      <c r="S541" s="115" t="s">
        <v>200</v>
      </c>
      <c r="T541" s="103" t="b">
        <v>0</v>
      </c>
      <c r="U541" s="103"/>
      <c r="V541" s="103"/>
      <c r="W541" s="103"/>
      <c r="X541" s="103"/>
      <c r="Y541" s="103"/>
      <c r="Z541" s="103"/>
    </row>
    <row r="542">
      <c r="A542" s="110" t="s">
        <v>200</v>
      </c>
      <c r="B542" s="110"/>
      <c r="C542" s="110"/>
      <c r="D542" s="110"/>
      <c r="E542" s="110"/>
      <c r="F542" s="110"/>
      <c r="G542" s="115"/>
      <c r="H542" s="133"/>
      <c r="I542" s="103"/>
      <c r="J542" s="108"/>
      <c r="K542" s="112"/>
      <c r="L542" s="110"/>
      <c r="M542" s="111"/>
      <c r="N542" s="103"/>
      <c r="O542" s="112"/>
      <c r="P542" s="115"/>
      <c r="Q542" s="114"/>
      <c r="R542" s="108"/>
      <c r="S542" s="115" t="s">
        <v>200</v>
      </c>
      <c r="T542" s="103" t="b">
        <v>0</v>
      </c>
      <c r="U542" s="103"/>
      <c r="V542" s="103"/>
      <c r="W542" s="103"/>
      <c r="X542" s="103"/>
      <c r="Y542" s="103"/>
      <c r="Z542" s="103"/>
    </row>
    <row r="543">
      <c r="A543" s="110" t="s">
        <v>200</v>
      </c>
      <c r="B543" s="110"/>
      <c r="C543" s="110"/>
      <c r="D543" s="110"/>
      <c r="E543" s="110"/>
      <c r="F543" s="110"/>
      <c r="G543" s="115"/>
      <c r="H543" s="133"/>
      <c r="I543" s="103"/>
      <c r="J543" s="108"/>
      <c r="K543" s="112"/>
      <c r="L543" s="110"/>
      <c r="M543" s="111"/>
      <c r="N543" s="103"/>
      <c r="O543" s="112"/>
      <c r="P543" s="115"/>
      <c r="Q543" s="114"/>
      <c r="R543" s="108"/>
      <c r="S543" s="115" t="s">
        <v>200</v>
      </c>
      <c r="T543" s="103" t="b">
        <v>0</v>
      </c>
      <c r="U543" s="103"/>
      <c r="V543" s="103"/>
      <c r="W543" s="103"/>
      <c r="X543" s="103"/>
      <c r="Y543" s="103"/>
      <c r="Z543" s="103"/>
    </row>
    <row r="544">
      <c r="A544" s="110" t="s">
        <v>200</v>
      </c>
      <c r="B544" s="110"/>
      <c r="C544" s="110"/>
      <c r="D544" s="110"/>
      <c r="E544" s="110"/>
      <c r="F544" s="110"/>
      <c r="G544" s="115"/>
      <c r="H544" s="133"/>
      <c r="I544" s="103"/>
      <c r="J544" s="108"/>
      <c r="K544" s="112"/>
      <c r="L544" s="110"/>
      <c r="M544" s="111"/>
      <c r="N544" s="103"/>
      <c r="O544" s="112"/>
      <c r="P544" s="115"/>
      <c r="Q544" s="114"/>
      <c r="R544" s="108"/>
      <c r="S544" s="115" t="s">
        <v>200</v>
      </c>
      <c r="T544" s="103" t="b">
        <v>0</v>
      </c>
      <c r="U544" s="103"/>
      <c r="V544" s="103"/>
      <c r="W544" s="103"/>
      <c r="X544" s="103"/>
      <c r="Y544" s="103"/>
      <c r="Z544" s="103"/>
    </row>
    <row r="545">
      <c r="A545" s="110" t="s">
        <v>200</v>
      </c>
      <c r="B545" s="110"/>
      <c r="C545" s="110"/>
      <c r="D545" s="110"/>
      <c r="E545" s="110"/>
      <c r="F545" s="110"/>
      <c r="G545" s="115"/>
      <c r="H545" s="133"/>
      <c r="I545" s="103"/>
      <c r="J545" s="108"/>
      <c r="K545" s="112"/>
      <c r="L545" s="110"/>
      <c r="M545" s="111"/>
      <c r="N545" s="103"/>
      <c r="O545" s="112"/>
      <c r="P545" s="115"/>
      <c r="Q545" s="114"/>
      <c r="R545" s="108"/>
      <c r="S545" s="115" t="s">
        <v>200</v>
      </c>
      <c r="T545" s="103" t="b">
        <v>0</v>
      </c>
      <c r="U545" s="103"/>
      <c r="V545" s="103"/>
      <c r="W545" s="103"/>
      <c r="X545" s="103"/>
      <c r="Y545" s="103"/>
      <c r="Z545" s="103"/>
    </row>
    <row r="546">
      <c r="A546" s="110" t="s">
        <v>200</v>
      </c>
      <c r="B546" s="110"/>
      <c r="C546" s="110"/>
      <c r="D546" s="110"/>
      <c r="E546" s="110"/>
      <c r="F546" s="110"/>
      <c r="G546" s="115"/>
      <c r="H546" s="133"/>
      <c r="I546" s="103"/>
      <c r="J546" s="108"/>
      <c r="K546" s="112"/>
      <c r="L546" s="110"/>
      <c r="M546" s="111"/>
      <c r="N546" s="103"/>
      <c r="O546" s="112"/>
      <c r="P546" s="115"/>
      <c r="Q546" s="114"/>
      <c r="R546" s="108"/>
      <c r="S546" s="115" t="s">
        <v>200</v>
      </c>
      <c r="T546" s="103" t="b">
        <v>0</v>
      </c>
      <c r="U546" s="103"/>
      <c r="V546" s="103"/>
      <c r="W546" s="103"/>
      <c r="X546" s="103"/>
      <c r="Y546" s="103"/>
      <c r="Z546" s="103"/>
    </row>
    <row r="547">
      <c r="A547" s="110" t="s">
        <v>200</v>
      </c>
      <c r="B547" s="110"/>
      <c r="C547" s="110"/>
      <c r="D547" s="110"/>
      <c r="E547" s="110"/>
      <c r="F547" s="110"/>
      <c r="G547" s="115"/>
      <c r="H547" s="133"/>
      <c r="I547" s="103"/>
      <c r="J547" s="108"/>
      <c r="K547" s="112"/>
      <c r="L547" s="110"/>
      <c r="M547" s="111"/>
      <c r="N547" s="103"/>
      <c r="O547" s="112"/>
      <c r="P547" s="115"/>
      <c r="Q547" s="114"/>
      <c r="R547" s="108"/>
      <c r="S547" s="115" t="s">
        <v>200</v>
      </c>
      <c r="T547" s="103" t="b">
        <v>0</v>
      </c>
      <c r="U547" s="103"/>
      <c r="V547" s="103"/>
      <c r="W547" s="103"/>
      <c r="X547" s="103"/>
      <c r="Y547" s="103"/>
      <c r="Z547" s="103"/>
    </row>
    <row r="548">
      <c r="A548" s="110" t="s">
        <v>200</v>
      </c>
      <c r="B548" s="110"/>
      <c r="C548" s="110"/>
      <c r="D548" s="110"/>
      <c r="E548" s="110"/>
      <c r="F548" s="110"/>
      <c r="G548" s="115"/>
      <c r="H548" s="133"/>
      <c r="I548" s="103"/>
      <c r="J548" s="108"/>
      <c r="K548" s="112"/>
      <c r="L548" s="110"/>
      <c r="M548" s="111"/>
      <c r="N548" s="103"/>
      <c r="O548" s="112"/>
      <c r="P548" s="115"/>
      <c r="Q548" s="114"/>
      <c r="R548" s="108"/>
      <c r="S548" s="115" t="s">
        <v>200</v>
      </c>
      <c r="T548" s="103" t="b">
        <v>0</v>
      </c>
      <c r="U548" s="103"/>
      <c r="V548" s="103"/>
      <c r="W548" s="103"/>
      <c r="X548" s="103"/>
      <c r="Y548" s="103"/>
      <c r="Z548" s="103"/>
    </row>
    <row r="549">
      <c r="A549" s="110" t="s">
        <v>200</v>
      </c>
      <c r="B549" s="110"/>
      <c r="C549" s="110"/>
      <c r="D549" s="110"/>
      <c r="E549" s="110"/>
      <c r="F549" s="110"/>
      <c r="G549" s="115"/>
      <c r="H549" s="133"/>
      <c r="I549" s="103"/>
      <c r="J549" s="108"/>
      <c r="K549" s="112"/>
      <c r="L549" s="110"/>
      <c r="M549" s="111"/>
      <c r="N549" s="103"/>
      <c r="O549" s="112"/>
      <c r="P549" s="115"/>
      <c r="Q549" s="114"/>
      <c r="R549" s="108"/>
      <c r="S549" s="115" t="s">
        <v>200</v>
      </c>
      <c r="T549" s="103" t="b">
        <v>0</v>
      </c>
      <c r="U549" s="103"/>
      <c r="V549" s="103"/>
      <c r="W549" s="103"/>
      <c r="X549" s="103"/>
      <c r="Y549" s="103"/>
      <c r="Z549" s="103"/>
    </row>
    <row r="550">
      <c r="A550" s="110" t="s">
        <v>200</v>
      </c>
      <c r="B550" s="110"/>
      <c r="C550" s="110"/>
      <c r="D550" s="110"/>
      <c r="E550" s="110"/>
      <c r="F550" s="110"/>
      <c r="G550" s="115"/>
      <c r="H550" s="133"/>
      <c r="I550" s="103"/>
      <c r="J550" s="108"/>
      <c r="K550" s="112"/>
      <c r="L550" s="110"/>
      <c r="M550" s="111"/>
      <c r="N550" s="103"/>
      <c r="O550" s="112"/>
      <c r="P550" s="115"/>
      <c r="Q550" s="114"/>
      <c r="R550" s="108"/>
      <c r="S550" s="115" t="s">
        <v>200</v>
      </c>
      <c r="T550" s="103" t="b">
        <v>0</v>
      </c>
      <c r="U550" s="103"/>
      <c r="V550" s="103"/>
      <c r="W550" s="103"/>
      <c r="X550" s="103"/>
      <c r="Y550" s="103"/>
      <c r="Z550" s="103"/>
    </row>
    <row r="551">
      <c r="A551" s="110" t="s">
        <v>200</v>
      </c>
      <c r="B551" s="110"/>
      <c r="C551" s="110"/>
      <c r="D551" s="110"/>
      <c r="E551" s="110"/>
      <c r="F551" s="110"/>
      <c r="G551" s="115"/>
      <c r="H551" s="133"/>
      <c r="I551" s="103"/>
      <c r="J551" s="108"/>
      <c r="K551" s="112"/>
      <c r="L551" s="110"/>
      <c r="M551" s="111"/>
      <c r="N551" s="103"/>
      <c r="O551" s="112"/>
      <c r="P551" s="115"/>
      <c r="Q551" s="114"/>
      <c r="R551" s="108"/>
      <c r="S551" s="115" t="s">
        <v>200</v>
      </c>
      <c r="T551" s="103" t="b">
        <v>0</v>
      </c>
      <c r="U551" s="103"/>
      <c r="V551" s="103"/>
      <c r="W551" s="103"/>
      <c r="X551" s="103"/>
      <c r="Y551" s="103"/>
      <c r="Z551" s="103"/>
    </row>
    <row r="552">
      <c r="A552" s="110" t="s">
        <v>200</v>
      </c>
      <c r="B552" s="110"/>
      <c r="C552" s="110"/>
      <c r="D552" s="110"/>
      <c r="E552" s="110"/>
      <c r="F552" s="110"/>
      <c r="G552" s="115"/>
      <c r="H552" s="133"/>
      <c r="I552" s="103"/>
      <c r="J552" s="108"/>
      <c r="K552" s="112"/>
      <c r="L552" s="110"/>
      <c r="M552" s="111"/>
      <c r="N552" s="103"/>
      <c r="O552" s="112"/>
      <c r="P552" s="115"/>
      <c r="Q552" s="114"/>
      <c r="R552" s="108"/>
      <c r="S552" s="115" t="s">
        <v>200</v>
      </c>
      <c r="T552" s="103" t="b">
        <v>0</v>
      </c>
      <c r="U552" s="103"/>
      <c r="V552" s="103"/>
      <c r="W552" s="103"/>
      <c r="X552" s="103"/>
      <c r="Y552" s="103"/>
      <c r="Z552" s="103"/>
    </row>
    <row r="553">
      <c r="A553" s="110" t="s">
        <v>200</v>
      </c>
      <c r="B553" s="110"/>
      <c r="C553" s="110"/>
      <c r="D553" s="110"/>
      <c r="E553" s="110"/>
      <c r="F553" s="110"/>
      <c r="G553" s="115"/>
      <c r="H553" s="133"/>
      <c r="I553" s="103"/>
      <c r="J553" s="108"/>
      <c r="K553" s="112"/>
      <c r="L553" s="110"/>
      <c r="M553" s="111"/>
      <c r="N553" s="103"/>
      <c r="O553" s="112"/>
      <c r="P553" s="115"/>
      <c r="Q553" s="114"/>
      <c r="R553" s="108"/>
      <c r="S553" s="115" t="s">
        <v>200</v>
      </c>
      <c r="T553" s="103" t="b">
        <v>0</v>
      </c>
      <c r="U553" s="103"/>
      <c r="V553" s="103"/>
      <c r="W553" s="103"/>
      <c r="X553" s="103"/>
      <c r="Y553" s="103"/>
      <c r="Z553" s="103"/>
    </row>
    <row r="554">
      <c r="A554" s="110" t="s">
        <v>200</v>
      </c>
      <c r="B554" s="110"/>
      <c r="C554" s="110"/>
      <c r="D554" s="110"/>
      <c r="E554" s="110"/>
      <c r="F554" s="110"/>
      <c r="G554" s="115"/>
      <c r="H554" s="133"/>
      <c r="I554" s="103"/>
      <c r="J554" s="108"/>
      <c r="K554" s="112"/>
      <c r="L554" s="110"/>
      <c r="M554" s="111"/>
      <c r="N554" s="103"/>
      <c r="O554" s="112"/>
      <c r="P554" s="115"/>
      <c r="Q554" s="114"/>
      <c r="R554" s="108"/>
      <c r="S554" s="115" t="s">
        <v>200</v>
      </c>
      <c r="T554" s="103" t="b">
        <v>0</v>
      </c>
      <c r="U554" s="103"/>
      <c r="V554" s="103"/>
      <c r="W554" s="103"/>
      <c r="X554" s="103"/>
      <c r="Y554" s="103"/>
      <c r="Z554" s="103"/>
    </row>
    <row r="555">
      <c r="A555" s="110" t="s">
        <v>200</v>
      </c>
      <c r="B555" s="110"/>
      <c r="C555" s="110"/>
      <c r="D555" s="110"/>
      <c r="E555" s="110"/>
      <c r="F555" s="110"/>
      <c r="G555" s="115"/>
      <c r="H555" s="133"/>
      <c r="I555" s="103"/>
      <c r="J555" s="108"/>
      <c r="K555" s="112"/>
      <c r="L555" s="110"/>
      <c r="M555" s="111"/>
      <c r="N555" s="103"/>
      <c r="O555" s="112"/>
      <c r="P555" s="115"/>
      <c r="Q555" s="114"/>
      <c r="R555" s="108"/>
      <c r="S555" s="115" t="s">
        <v>200</v>
      </c>
      <c r="T555" s="103" t="b">
        <v>0</v>
      </c>
      <c r="U555" s="103"/>
      <c r="V555" s="103"/>
      <c r="W555" s="103"/>
      <c r="X555" s="103"/>
      <c r="Y555" s="103"/>
      <c r="Z555" s="103"/>
    </row>
    <row r="556">
      <c r="A556" s="110" t="s">
        <v>200</v>
      </c>
      <c r="B556" s="110"/>
      <c r="C556" s="110"/>
      <c r="D556" s="110"/>
      <c r="E556" s="110"/>
      <c r="F556" s="110"/>
      <c r="G556" s="115"/>
      <c r="H556" s="133"/>
      <c r="I556" s="103"/>
      <c r="J556" s="108"/>
      <c r="K556" s="112"/>
      <c r="L556" s="110"/>
      <c r="M556" s="111"/>
      <c r="N556" s="103"/>
      <c r="O556" s="112"/>
      <c r="P556" s="115"/>
      <c r="Q556" s="114"/>
      <c r="R556" s="108"/>
      <c r="S556" s="115" t="s">
        <v>200</v>
      </c>
      <c r="T556" s="103" t="b">
        <v>0</v>
      </c>
      <c r="U556" s="103"/>
      <c r="V556" s="103"/>
      <c r="W556" s="103"/>
      <c r="X556" s="103"/>
      <c r="Y556" s="103"/>
      <c r="Z556" s="103"/>
    </row>
    <row r="557">
      <c r="A557" s="110" t="s">
        <v>200</v>
      </c>
      <c r="B557" s="110"/>
      <c r="C557" s="110"/>
      <c r="D557" s="110"/>
      <c r="E557" s="110"/>
      <c r="F557" s="110"/>
      <c r="G557" s="115"/>
      <c r="H557" s="133"/>
      <c r="I557" s="103"/>
      <c r="J557" s="108"/>
      <c r="K557" s="112"/>
      <c r="L557" s="110"/>
      <c r="M557" s="111"/>
      <c r="N557" s="103"/>
      <c r="O557" s="112"/>
      <c r="P557" s="115"/>
      <c r="Q557" s="114"/>
      <c r="R557" s="108"/>
      <c r="S557" s="115" t="s">
        <v>200</v>
      </c>
      <c r="T557" s="103" t="b">
        <v>0</v>
      </c>
      <c r="U557" s="103"/>
      <c r="V557" s="103"/>
      <c r="W557" s="103"/>
      <c r="X557" s="103"/>
      <c r="Y557" s="103"/>
      <c r="Z557" s="103"/>
    </row>
    <row r="558">
      <c r="A558" s="110" t="s">
        <v>200</v>
      </c>
      <c r="B558" s="110"/>
      <c r="C558" s="110"/>
      <c r="D558" s="110"/>
      <c r="E558" s="110"/>
      <c r="F558" s="110"/>
      <c r="G558" s="115"/>
      <c r="H558" s="133"/>
      <c r="I558" s="103"/>
      <c r="J558" s="108"/>
      <c r="K558" s="112"/>
      <c r="L558" s="110"/>
      <c r="M558" s="111"/>
      <c r="N558" s="103"/>
      <c r="O558" s="112"/>
      <c r="P558" s="115"/>
      <c r="Q558" s="114"/>
      <c r="R558" s="108"/>
      <c r="S558" s="115" t="s">
        <v>200</v>
      </c>
      <c r="T558" s="103" t="b">
        <v>0</v>
      </c>
      <c r="U558" s="103"/>
      <c r="V558" s="103"/>
      <c r="W558" s="103"/>
      <c r="X558" s="103"/>
      <c r="Y558" s="103"/>
      <c r="Z558" s="103"/>
    </row>
    <row r="559">
      <c r="A559" s="110" t="s">
        <v>200</v>
      </c>
      <c r="B559" s="110"/>
      <c r="C559" s="110"/>
      <c r="D559" s="110"/>
      <c r="E559" s="110"/>
      <c r="F559" s="110"/>
      <c r="G559" s="115"/>
      <c r="H559" s="133"/>
      <c r="I559" s="103"/>
      <c r="J559" s="108"/>
      <c r="K559" s="112"/>
      <c r="L559" s="110"/>
      <c r="M559" s="111"/>
      <c r="N559" s="103"/>
      <c r="O559" s="112"/>
      <c r="P559" s="115"/>
      <c r="Q559" s="114"/>
      <c r="R559" s="108"/>
      <c r="S559" s="115" t="s">
        <v>200</v>
      </c>
      <c r="T559" s="103" t="b">
        <v>0</v>
      </c>
      <c r="U559" s="103"/>
      <c r="V559" s="103"/>
      <c r="W559" s="103"/>
      <c r="X559" s="103"/>
      <c r="Y559" s="103"/>
      <c r="Z559" s="103"/>
    </row>
    <row r="560">
      <c r="A560" s="110" t="s">
        <v>200</v>
      </c>
      <c r="B560" s="110"/>
      <c r="C560" s="110"/>
      <c r="D560" s="110"/>
      <c r="E560" s="110"/>
      <c r="F560" s="110"/>
      <c r="G560" s="115"/>
      <c r="H560" s="133"/>
      <c r="I560" s="103"/>
      <c r="J560" s="108"/>
      <c r="K560" s="112"/>
      <c r="L560" s="110"/>
      <c r="M560" s="111"/>
      <c r="N560" s="103"/>
      <c r="O560" s="112"/>
      <c r="P560" s="115"/>
      <c r="Q560" s="114"/>
      <c r="R560" s="108"/>
      <c r="S560" s="115" t="s">
        <v>200</v>
      </c>
      <c r="T560" s="103" t="b">
        <v>0</v>
      </c>
      <c r="U560" s="103"/>
      <c r="V560" s="103"/>
      <c r="W560" s="103"/>
      <c r="X560" s="103"/>
      <c r="Y560" s="103"/>
      <c r="Z560" s="103"/>
    </row>
    <row r="561">
      <c r="A561" s="110" t="s">
        <v>200</v>
      </c>
      <c r="B561" s="110"/>
      <c r="C561" s="110"/>
      <c r="D561" s="110"/>
      <c r="E561" s="110"/>
      <c r="F561" s="110"/>
      <c r="G561" s="115"/>
      <c r="H561" s="133"/>
      <c r="I561" s="103"/>
      <c r="J561" s="108"/>
      <c r="K561" s="112"/>
      <c r="L561" s="110"/>
      <c r="M561" s="111"/>
      <c r="N561" s="103"/>
      <c r="O561" s="112"/>
      <c r="P561" s="115"/>
      <c r="Q561" s="114"/>
      <c r="R561" s="108"/>
      <c r="S561" s="115" t="s">
        <v>200</v>
      </c>
      <c r="T561" s="103" t="b">
        <v>0</v>
      </c>
      <c r="U561" s="103"/>
      <c r="V561" s="103"/>
      <c r="W561" s="103"/>
      <c r="X561" s="103"/>
      <c r="Y561" s="103"/>
      <c r="Z561" s="103"/>
    </row>
    <row r="562">
      <c r="A562" s="110" t="s">
        <v>200</v>
      </c>
      <c r="B562" s="110"/>
      <c r="C562" s="110"/>
      <c r="D562" s="110"/>
      <c r="E562" s="110"/>
      <c r="F562" s="110"/>
      <c r="G562" s="115"/>
      <c r="H562" s="133"/>
      <c r="I562" s="103"/>
      <c r="J562" s="108"/>
      <c r="K562" s="112"/>
      <c r="L562" s="110"/>
      <c r="M562" s="111"/>
      <c r="N562" s="103"/>
      <c r="O562" s="112"/>
      <c r="P562" s="115"/>
      <c r="Q562" s="114"/>
      <c r="R562" s="108"/>
      <c r="S562" s="115" t="s">
        <v>200</v>
      </c>
      <c r="T562" s="103" t="b">
        <v>0</v>
      </c>
      <c r="U562" s="103"/>
      <c r="V562" s="103"/>
      <c r="W562" s="103"/>
      <c r="X562" s="103"/>
      <c r="Y562" s="103"/>
      <c r="Z562" s="103"/>
    </row>
    <row r="563">
      <c r="A563" s="110" t="s">
        <v>200</v>
      </c>
      <c r="B563" s="110"/>
      <c r="C563" s="110"/>
      <c r="D563" s="110"/>
      <c r="E563" s="110"/>
      <c r="F563" s="110"/>
      <c r="G563" s="115"/>
      <c r="H563" s="133"/>
      <c r="I563" s="103"/>
      <c r="J563" s="108"/>
      <c r="K563" s="112"/>
      <c r="L563" s="110"/>
      <c r="M563" s="111"/>
      <c r="N563" s="103"/>
      <c r="O563" s="112"/>
      <c r="P563" s="115"/>
      <c r="Q563" s="114"/>
      <c r="R563" s="108"/>
      <c r="S563" s="115" t="s">
        <v>200</v>
      </c>
      <c r="T563" s="103" t="b">
        <v>0</v>
      </c>
      <c r="U563" s="103"/>
      <c r="V563" s="103"/>
      <c r="W563" s="103"/>
      <c r="X563" s="103"/>
      <c r="Y563" s="103"/>
      <c r="Z563" s="103"/>
    </row>
    <row r="564">
      <c r="A564" s="110" t="s">
        <v>200</v>
      </c>
      <c r="B564" s="110"/>
      <c r="C564" s="110"/>
      <c r="D564" s="110"/>
      <c r="E564" s="110"/>
      <c r="F564" s="110"/>
      <c r="G564" s="115"/>
      <c r="H564" s="133"/>
      <c r="I564" s="103"/>
      <c r="J564" s="108"/>
      <c r="K564" s="112"/>
      <c r="L564" s="110"/>
      <c r="M564" s="111"/>
      <c r="N564" s="103"/>
      <c r="O564" s="112"/>
      <c r="P564" s="115"/>
      <c r="Q564" s="114"/>
      <c r="R564" s="108"/>
      <c r="S564" s="115" t="s">
        <v>200</v>
      </c>
      <c r="T564" s="103" t="b">
        <v>0</v>
      </c>
      <c r="U564" s="103"/>
      <c r="V564" s="103"/>
      <c r="W564" s="103"/>
      <c r="X564" s="103"/>
      <c r="Y564" s="103"/>
      <c r="Z564" s="103"/>
    </row>
    <row r="565">
      <c r="A565" s="110" t="s">
        <v>200</v>
      </c>
      <c r="B565" s="110"/>
      <c r="C565" s="110"/>
      <c r="D565" s="110"/>
      <c r="E565" s="110"/>
      <c r="F565" s="110"/>
      <c r="G565" s="115"/>
      <c r="H565" s="133"/>
      <c r="I565" s="103"/>
      <c r="J565" s="108"/>
      <c r="K565" s="112"/>
      <c r="L565" s="110"/>
      <c r="M565" s="111"/>
      <c r="N565" s="103"/>
      <c r="O565" s="112"/>
      <c r="P565" s="115"/>
      <c r="Q565" s="114"/>
      <c r="R565" s="108"/>
      <c r="S565" s="115" t="s">
        <v>200</v>
      </c>
      <c r="T565" s="103" t="b">
        <v>0</v>
      </c>
      <c r="U565" s="103"/>
      <c r="V565" s="103"/>
      <c r="W565" s="103"/>
      <c r="X565" s="103"/>
      <c r="Y565" s="103"/>
      <c r="Z565" s="103"/>
    </row>
    <row r="566">
      <c r="A566" s="110" t="s">
        <v>200</v>
      </c>
      <c r="B566" s="110"/>
      <c r="C566" s="110"/>
      <c r="D566" s="110"/>
      <c r="E566" s="110"/>
      <c r="F566" s="110"/>
      <c r="G566" s="115"/>
      <c r="H566" s="133"/>
      <c r="I566" s="103"/>
      <c r="J566" s="108"/>
      <c r="K566" s="112"/>
      <c r="L566" s="110"/>
      <c r="M566" s="111"/>
      <c r="N566" s="103"/>
      <c r="O566" s="112"/>
      <c r="P566" s="115"/>
      <c r="Q566" s="114"/>
      <c r="R566" s="108"/>
      <c r="S566" s="115" t="s">
        <v>200</v>
      </c>
      <c r="T566" s="103" t="b">
        <v>0</v>
      </c>
      <c r="U566" s="103"/>
      <c r="V566" s="103"/>
      <c r="W566" s="103"/>
      <c r="X566" s="103"/>
      <c r="Y566" s="103"/>
      <c r="Z566" s="103"/>
    </row>
    <row r="567">
      <c r="A567" s="110" t="s">
        <v>200</v>
      </c>
      <c r="B567" s="110"/>
      <c r="C567" s="110"/>
      <c r="D567" s="110"/>
      <c r="E567" s="110"/>
      <c r="F567" s="110"/>
      <c r="G567" s="115"/>
      <c r="H567" s="133"/>
      <c r="I567" s="103"/>
      <c r="J567" s="108"/>
      <c r="K567" s="112"/>
      <c r="L567" s="110"/>
      <c r="M567" s="111"/>
      <c r="N567" s="103"/>
      <c r="O567" s="112"/>
      <c r="P567" s="115"/>
      <c r="Q567" s="114"/>
      <c r="R567" s="108"/>
      <c r="S567" s="115" t="s">
        <v>200</v>
      </c>
      <c r="T567" s="103" t="b">
        <v>0</v>
      </c>
      <c r="U567" s="103"/>
      <c r="V567" s="103"/>
      <c r="W567" s="103"/>
      <c r="X567" s="103"/>
      <c r="Y567" s="103"/>
      <c r="Z567" s="103"/>
    </row>
    <row r="568">
      <c r="A568" s="110" t="s">
        <v>200</v>
      </c>
      <c r="B568" s="110"/>
      <c r="C568" s="110"/>
      <c r="D568" s="110"/>
      <c r="E568" s="110"/>
      <c r="F568" s="110"/>
      <c r="G568" s="115"/>
      <c r="H568" s="133"/>
      <c r="I568" s="103"/>
      <c r="J568" s="108"/>
      <c r="K568" s="112"/>
      <c r="L568" s="110"/>
      <c r="M568" s="111"/>
      <c r="N568" s="103"/>
      <c r="O568" s="112"/>
      <c r="P568" s="115"/>
      <c r="Q568" s="114"/>
      <c r="R568" s="108"/>
      <c r="S568" s="115" t="s">
        <v>200</v>
      </c>
      <c r="T568" s="103" t="b">
        <v>0</v>
      </c>
      <c r="U568" s="103"/>
      <c r="V568" s="103"/>
      <c r="W568" s="103"/>
      <c r="X568" s="103"/>
      <c r="Y568" s="103"/>
      <c r="Z568" s="103"/>
    </row>
    <row r="569">
      <c r="A569" s="110" t="s">
        <v>200</v>
      </c>
      <c r="B569" s="110"/>
      <c r="C569" s="110"/>
      <c r="D569" s="110"/>
      <c r="E569" s="110"/>
      <c r="F569" s="110"/>
      <c r="G569" s="115"/>
      <c r="H569" s="133"/>
      <c r="I569" s="103"/>
      <c r="J569" s="108"/>
      <c r="K569" s="112"/>
      <c r="L569" s="110"/>
      <c r="M569" s="111"/>
      <c r="N569" s="103"/>
      <c r="O569" s="112"/>
      <c r="P569" s="115"/>
      <c r="Q569" s="114"/>
      <c r="R569" s="108"/>
      <c r="S569" s="115" t="s">
        <v>200</v>
      </c>
      <c r="T569" s="103" t="b">
        <v>0</v>
      </c>
      <c r="U569" s="103"/>
      <c r="V569" s="103"/>
      <c r="W569" s="103"/>
      <c r="X569" s="103"/>
      <c r="Y569" s="103"/>
      <c r="Z569" s="103"/>
    </row>
    <row r="570">
      <c r="A570" s="110" t="s">
        <v>200</v>
      </c>
      <c r="B570" s="110"/>
      <c r="C570" s="110"/>
      <c r="D570" s="110"/>
      <c r="E570" s="110"/>
      <c r="F570" s="110"/>
      <c r="G570" s="115"/>
      <c r="H570" s="133"/>
      <c r="I570" s="103"/>
      <c r="J570" s="108"/>
      <c r="K570" s="112"/>
      <c r="L570" s="110"/>
      <c r="M570" s="111"/>
      <c r="N570" s="103"/>
      <c r="O570" s="112"/>
      <c r="P570" s="115"/>
      <c r="Q570" s="114"/>
      <c r="R570" s="108"/>
      <c r="S570" s="115" t="s">
        <v>200</v>
      </c>
      <c r="T570" s="103" t="b">
        <v>0</v>
      </c>
      <c r="U570" s="103"/>
      <c r="V570" s="103"/>
      <c r="W570" s="103"/>
      <c r="X570" s="103"/>
      <c r="Y570" s="103"/>
      <c r="Z570" s="103"/>
    </row>
    <row r="571">
      <c r="A571" s="110" t="s">
        <v>200</v>
      </c>
      <c r="B571" s="110"/>
      <c r="C571" s="110"/>
      <c r="D571" s="110"/>
      <c r="E571" s="110"/>
      <c r="F571" s="110"/>
      <c r="G571" s="115"/>
      <c r="H571" s="133"/>
      <c r="I571" s="103"/>
      <c r="J571" s="108"/>
      <c r="K571" s="112"/>
      <c r="L571" s="110"/>
      <c r="M571" s="111"/>
      <c r="N571" s="103"/>
      <c r="O571" s="112"/>
      <c r="P571" s="115"/>
      <c r="Q571" s="114"/>
      <c r="R571" s="108"/>
      <c r="S571" s="115" t="s">
        <v>200</v>
      </c>
      <c r="T571" s="103" t="b">
        <v>0</v>
      </c>
      <c r="U571" s="103"/>
      <c r="V571" s="103"/>
      <c r="W571" s="103"/>
      <c r="X571" s="103"/>
      <c r="Y571" s="103"/>
      <c r="Z571" s="103"/>
    </row>
    <row r="572">
      <c r="A572" s="110" t="s">
        <v>200</v>
      </c>
      <c r="B572" s="110"/>
      <c r="C572" s="110"/>
      <c r="D572" s="110"/>
      <c r="E572" s="110"/>
      <c r="F572" s="110"/>
      <c r="G572" s="115"/>
      <c r="H572" s="133"/>
      <c r="I572" s="103"/>
      <c r="J572" s="108"/>
      <c r="K572" s="112"/>
      <c r="L572" s="110"/>
      <c r="M572" s="111"/>
      <c r="N572" s="103"/>
      <c r="O572" s="112"/>
      <c r="P572" s="115"/>
      <c r="Q572" s="114"/>
      <c r="R572" s="108"/>
      <c r="S572" s="115" t="s">
        <v>200</v>
      </c>
      <c r="T572" s="103" t="b">
        <v>0</v>
      </c>
      <c r="U572" s="103"/>
      <c r="V572" s="103"/>
      <c r="W572" s="103"/>
      <c r="X572" s="103"/>
      <c r="Y572" s="103"/>
      <c r="Z572" s="103"/>
    </row>
    <row r="573">
      <c r="A573" s="110" t="s">
        <v>200</v>
      </c>
      <c r="B573" s="110"/>
      <c r="C573" s="110"/>
      <c r="D573" s="110"/>
      <c r="E573" s="110"/>
      <c r="F573" s="110"/>
      <c r="G573" s="115"/>
      <c r="H573" s="133"/>
      <c r="I573" s="103"/>
      <c r="J573" s="108"/>
      <c r="K573" s="112"/>
      <c r="L573" s="110"/>
      <c r="M573" s="111"/>
      <c r="N573" s="103"/>
      <c r="O573" s="112"/>
      <c r="P573" s="115"/>
      <c r="Q573" s="114"/>
      <c r="R573" s="108"/>
      <c r="S573" s="115" t="s">
        <v>200</v>
      </c>
      <c r="T573" s="103" t="b">
        <v>0</v>
      </c>
      <c r="U573" s="103"/>
      <c r="V573" s="103"/>
      <c r="W573" s="103"/>
      <c r="X573" s="103"/>
      <c r="Y573" s="103"/>
      <c r="Z573" s="103"/>
    </row>
    <row r="574">
      <c r="A574" s="110" t="s">
        <v>200</v>
      </c>
      <c r="B574" s="110"/>
      <c r="C574" s="110"/>
      <c r="D574" s="110"/>
      <c r="E574" s="110"/>
      <c r="F574" s="110"/>
      <c r="G574" s="115"/>
      <c r="H574" s="133"/>
      <c r="I574" s="103"/>
      <c r="J574" s="108"/>
      <c r="K574" s="112"/>
      <c r="L574" s="110"/>
      <c r="M574" s="111"/>
      <c r="N574" s="103"/>
      <c r="O574" s="112"/>
      <c r="P574" s="115"/>
      <c r="Q574" s="114"/>
      <c r="R574" s="108"/>
      <c r="S574" s="115" t="s">
        <v>200</v>
      </c>
      <c r="T574" s="103" t="b">
        <v>0</v>
      </c>
      <c r="U574" s="103"/>
      <c r="V574" s="103"/>
      <c r="W574" s="103"/>
      <c r="X574" s="103"/>
      <c r="Y574" s="103"/>
      <c r="Z574" s="103"/>
    </row>
    <row r="575">
      <c r="A575" s="110" t="s">
        <v>200</v>
      </c>
      <c r="B575" s="110"/>
      <c r="C575" s="110"/>
      <c r="D575" s="110"/>
      <c r="E575" s="110"/>
      <c r="F575" s="110"/>
      <c r="G575" s="115"/>
      <c r="H575" s="133"/>
      <c r="I575" s="103"/>
      <c r="J575" s="108"/>
      <c r="K575" s="112"/>
      <c r="L575" s="110"/>
      <c r="M575" s="111"/>
      <c r="N575" s="103"/>
      <c r="O575" s="112"/>
      <c r="P575" s="115"/>
      <c r="Q575" s="114"/>
      <c r="R575" s="108"/>
      <c r="S575" s="115" t="s">
        <v>200</v>
      </c>
      <c r="T575" s="103" t="b">
        <v>0</v>
      </c>
      <c r="U575" s="103"/>
      <c r="V575" s="103"/>
      <c r="W575" s="103"/>
      <c r="X575" s="103"/>
      <c r="Y575" s="103"/>
      <c r="Z575" s="103"/>
    </row>
    <row r="576">
      <c r="A576" s="110" t="s">
        <v>200</v>
      </c>
      <c r="B576" s="110"/>
      <c r="C576" s="110"/>
      <c r="D576" s="110"/>
      <c r="E576" s="110"/>
      <c r="F576" s="110"/>
      <c r="G576" s="115"/>
      <c r="H576" s="133"/>
      <c r="I576" s="103"/>
      <c r="J576" s="108"/>
      <c r="K576" s="112"/>
      <c r="L576" s="110"/>
      <c r="M576" s="111"/>
      <c r="N576" s="103"/>
      <c r="O576" s="112"/>
      <c r="P576" s="115"/>
      <c r="Q576" s="114"/>
      <c r="R576" s="108"/>
      <c r="S576" s="115" t="s">
        <v>200</v>
      </c>
      <c r="T576" s="103" t="b">
        <v>0</v>
      </c>
      <c r="U576" s="103"/>
      <c r="V576" s="103"/>
      <c r="W576" s="103"/>
      <c r="X576" s="103"/>
      <c r="Y576" s="103"/>
      <c r="Z576" s="103"/>
    </row>
    <row r="577">
      <c r="A577" s="110" t="s">
        <v>200</v>
      </c>
      <c r="B577" s="110"/>
      <c r="C577" s="110"/>
      <c r="D577" s="110"/>
      <c r="E577" s="110"/>
      <c r="F577" s="110"/>
      <c r="G577" s="115"/>
      <c r="H577" s="133"/>
      <c r="I577" s="103"/>
      <c r="J577" s="108"/>
      <c r="K577" s="112"/>
      <c r="L577" s="110"/>
      <c r="M577" s="111"/>
      <c r="N577" s="103"/>
      <c r="O577" s="112"/>
      <c r="P577" s="115"/>
      <c r="Q577" s="114"/>
      <c r="R577" s="108"/>
      <c r="S577" s="115" t="s">
        <v>200</v>
      </c>
      <c r="T577" s="103" t="b">
        <v>0</v>
      </c>
      <c r="U577" s="103"/>
      <c r="V577" s="103"/>
      <c r="W577" s="103"/>
      <c r="X577" s="103"/>
      <c r="Y577" s="103"/>
      <c r="Z577" s="103"/>
    </row>
    <row r="578">
      <c r="A578" s="110" t="s">
        <v>200</v>
      </c>
      <c r="B578" s="110"/>
      <c r="C578" s="110"/>
      <c r="D578" s="110"/>
      <c r="E578" s="110"/>
      <c r="F578" s="110"/>
      <c r="G578" s="115"/>
      <c r="H578" s="133"/>
      <c r="I578" s="103"/>
      <c r="J578" s="108"/>
      <c r="K578" s="112"/>
      <c r="L578" s="110"/>
      <c r="M578" s="111"/>
      <c r="N578" s="103"/>
      <c r="O578" s="112"/>
      <c r="P578" s="115"/>
      <c r="Q578" s="114"/>
      <c r="R578" s="108"/>
      <c r="S578" s="115" t="s">
        <v>200</v>
      </c>
      <c r="T578" s="103" t="b">
        <v>0</v>
      </c>
      <c r="U578" s="103"/>
      <c r="V578" s="103"/>
      <c r="W578" s="103"/>
      <c r="X578" s="103"/>
      <c r="Y578" s="103"/>
      <c r="Z578" s="103"/>
    </row>
    <row r="579">
      <c r="A579" s="110" t="s">
        <v>200</v>
      </c>
      <c r="B579" s="110"/>
      <c r="C579" s="110"/>
      <c r="D579" s="110"/>
      <c r="E579" s="110"/>
      <c r="F579" s="110"/>
      <c r="G579" s="115"/>
      <c r="H579" s="133"/>
      <c r="I579" s="103"/>
      <c r="J579" s="108"/>
      <c r="K579" s="112"/>
      <c r="L579" s="110"/>
      <c r="M579" s="111"/>
      <c r="N579" s="103"/>
      <c r="O579" s="112"/>
      <c r="P579" s="115"/>
      <c r="Q579" s="114"/>
      <c r="R579" s="108"/>
      <c r="S579" s="115" t="s">
        <v>200</v>
      </c>
      <c r="T579" s="103" t="b">
        <v>0</v>
      </c>
      <c r="U579" s="103"/>
      <c r="V579" s="103"/>
      <c r="W579" s="103"/>
      <c r="X579" s="103"/>
      <c r="Y579" s="103"/>
      <c r="Z579" s="103"/>
    </row>
    <row r="580">
      <c r="A580" s="110" t="s">
        <v>200</v>
      </c>
      <c r="B580" s="110"/>
      <c r="C580" s="110"/>
      <c r="D580" s="110"/>
      <c r="E580" s="110"/>
      <c r="F580" s="110"/>
      <c r="G580" s="115"/>
      <c r="H580" s="133"/>
      <c r="I580" s="103"/>
      <c r="J580" s="108"/>
      <c r="K580" s="112"/>
      <c r="L580" s="110"/>
      <c r="M580" s="111"/>
      <c r="N580" s="103"/>
      <c r="O580" s="112"/>
      <c r="P580" s="115"/>
      <c r="Q580" s="114"/>
      <c r="R580" s="108"/>
      <c r="S580" s="115" t="s">
        <v>200</v>
      </c>
      <c r="T580" s="103" t="b">
        <v>0</v>
      </c>
      <c r="U580" s="103"/>
      <c r="V580" s="103"/>
      <c r="W580" s="103"/>
      <c r="X580" s="103"/>
      <c r="Y580" s="103"/>
      <c r="Z580" s="103"/>
    </row>
    <row r="581">
      <c r="A581" s="110" t="s">
        <v>200</v>
      </c>
      <c r="B581" s="110"/>
      <c r="C581" s="110"/>
      <c r="D581" s="110"/>
      <c r="E581" s="110"/>
      <c r="F581" s="110"/>
      <c r="G581" s="115"/>
      <c r="H581" s="133"/>
      <c r="I581" s="103"/>
      <c r="J581" s="108"/>
      <c r="K581" s="112"/>
      <c r="L581" s="110"/>
      <c r="M581" s="111"/>
      <c r="N581" s="103"/>
      <c r="O581" s="112"/>
      <c r="P581" s="115"/>
      <c r="Q581" s="114"/>
      <c r="R581" s="108"/>
      <c r="S581" s="115" t="s">
        <v>200</v>
      </c>
      <c r="T581" s="103" t="b">
        <v>0</v>
      </c>
      <c r="U581" s="103"/>
      <c r="V581" s="103"/>
      <c r="W581" s="103"/>
      <c r="X581" s="103"/>
      <c r="Y581" s="103"/>
      <c r="Z581" s="103"/>
    </row>
    <row r="582">
      <c r="A582" s="110" t="s">
        <v>200</v>
      </c>
      <c r="B582" s="110"/>
      <c r="C582" s="110"/>
      <c r="D582" s="110"/>
      <c r="E582" s="110"/>
      <c r="F582" s="110"/>
      <c r="G582" s="115"/>
      <c r="H582" s="133"/>
      <c r="I582" s="103"/>
      <c r="J582" s="108"/>
      <c r="K582" s="112"/>
      <c r="L582" s="110"/>
      <c r="M582" s="111"/>
      <c r="N582" s="103"/>
      <c r="O582" s="112"/>
      <c r="P582" s="115"/>
      <c r="Q582" s="114"/>
      <c r="R582" s="108"/>
      <c r="S582" s="115" t="s">
        <v>200</v>
      </c>
      <c r="T582" s="103" t="b">
        <v>0</v>
      </c>
      <c r="U582" s="103"/>
      <c r="V582" s="103"/>
      <c r="W582" s="103"/>
      <c r="X582" s="103"/>
      <c r="Y582" s="103"/>
      <c r="Z582" s="103"/>
    </row>
    <row r="583">
      <c r="A583" s="110" t="s">
        <v>200</v>
      </c>
      <c r="B583" s="110"/>
      <c r="C583" s="110"/>
      <c r="D583" s="110"/>
      <c r="E583" s="110"/>
      <c r="F583" s="110"/>
      <c r="G583" s="115"/>
      <c r="H583" s="133"/>
      <c r="I583" s="103"/>
      <c r="J583" s="108"/>
      <c r="K583" s="112"/>
      <c r="L583" s="110"/>
      <c r="M583" s="111"/>
      <c r="N583" s="103"/>
      <c r="O583" s="112"/>
      <c r="P583" s="115"/>
      <c r="Q583" s="114"/>
      <c r="R583" s="108"/>
      <c r="S583" s="115" t="s">
        <v>200</v>
      </c>
      <c r="T583" s="103" t="b">
        <v>0</v>
      </c>
      <c r="U583" s="103"/>
      <c r="V583" s="103"/>
      <c r="W583" s="103"/>
      <c r="X583" s="103"/>
      <c r="Y583" s="103"/>
      <c r="Z583" s="103"/>
    </row>
    <row r="584">
      <c r="A584" s="110" t="s">
        <v>200</v>
      </c>
      <c r="B584" s="110"/>
      <c r="C584" s="110"/>
      <c r="D584" s="110"/>
      <c r="E584" s="110"/>
      <c r="F584" s="110"/>
      <c r="G584" s="115"/>
      <c r="H584" s="133"/>
      <c r="I584" s="103"/>
      <c r="J584" s="108"/>
      <c r="K584" s="112"/>
      <c r="L584" s="110"/>
      <c r="M584" s="111"/>
      <c r="N584" s="103"/>
      <c r="O584" s="112"/>
      <c r="P584" s="115"/>
      <c r="Q584" s="114"/>
      <c r="R584" s="108"/>
      <c r="S584" s="115" t="s">
        <v>200</v>
      </c>
      <c r="T584" s="103" t="b">
        <v>0</v>
      </c>
      <c r="U584" s="103"/>
      <c r="V584" s="103"/>
      <c r="W584" s="103"/>
      <c r="X584" s="103"/>
      <c r="Y584" s="103"/>
      <c r="Z584" s="103"/>
    </row>
    <row r="585">
      <c r="A585" s="110" t="s">
        <v>200</v>
      </c>
      <c r="B585" s="110"/>
      <c r="C585" s="110"/>
      <c r="D585" s="110"/>
      <c r="E585" s="110"/>
      <c r="F585" s="110"/>
      <c r="G585" s="115"/>
      <c r="H585" s="133"/>
      <c r="I585" s="103"/>
      <c r="J585" s="108"/>
      <c r="K585" s="112"/>
      <c r="L585" s="110"/>
      <c r="M585" s="111"/>
      <c r="N585" s="103"/>
      <c r="O585" s="112"/>
      <c r="P585" s="115"/>
      <c r="Q585" s="114"/>
      <c r="R585" s="108"/>
      <c r="S585" s="115" t="s">
        <v>200</v>
      </c>
      <c r="T585" s="103" t="b">
        <v>0</v>
      </c>
      <c r="U585" s="103"/>
      <c r="V585" s="103"/>
      <c r="W585" s="103"/>
      <c r="X585" s="103"/>
      <c r="Y585" s="103"/>
      <c r="Z585" s="103"/>
    </row>
    <row r="586">
      <c r="A586" s="110" t="s">
        <v>200</v>
      </c>
      <c r="B586" s="110"/>
      <c r="C586" s="110"/>
      <c r="D586" s="110"/>
      <c r="E586" s="110"/>
      <c r="F586" s="110"/>
      <c r="G586" s="115"/>
      <c r="H586" s="133"/>
      <c r="I586" s="103"/>
      <c r="J586" s="108"/>
      <c r="K586" s="112"/>
      <c r="L586" s="110"/>
      <c r="M586" s="111"/>
      <c r="N586" s="103"/>
      <c r="O586" s="112"/>
      <c r="P586" s="115"/>
      <c r="Q586" s="114"/>
      <c r="R586" s="108"/>
      <c r="S586" s="115" t="s">
        <v>200</v>
      </c>
      <c r="T586" s="103" t="b">
        <v>0</v>
      </c>
      <c r="U586" s="103"/>
      <c r="V586" s="103"/>
      <c r="W586" s="103"/>
      <c r="X586" s="103"/>
      <c r="Y586" s="103"/>
      <c r="Z586" s="103"/>
    </row>
    <row r="587">
      <c r="A587" s="110" t="s">
        <v>200</v>
      </c>
      <c r="B587" s="110"/>
      <c r="C587" s="110"/>
      <c r="D587" s="110"/>
      <c r="E587" s="110"/>
      <c r="F587" s="110"/>
      <c r="G587" s="115"/>
      <c r="H587" s="133"/>
      <c r="I587" s="103"/>
      <c r="J587" s="108"/>
      <c r="K587" s="112"/>
      <c r="L587" s="110"/>
      <c r="M587" s="111"/>
      <c r="N587" s="103"/>
      <c r="O587" s="112"/>
      <c r="P587" s="115"/>
      <c r="Q587" s="114"/>
      <c r="R587" s="108"/>
      <c r="S587" s="115" t="s">
        <v>200</v>
      </c>
      <c r="T587" s="103" t="b">
        <v>0</v>
      </c>
      <c r="U587" s="103"/>
      <c r="V587" s="103"/>
      <c r="W587" s="103"/>
      <c r="X587" s="103"/>
      <c r="Y587" s="103"/>
      <c r="Z587" s="103"/>
    </row>
    <row r="588">
      <c r="A588" s="110" t="s">
        <v>200</v>
      </c>
      <c r="B588" s="110"/>
      <c r="C588" s="110"/>
      <c r="D588" s="110"/>
      <c r="E588" s="110"/>
      <c r="F588" s="110"/>
      <c r="G588" s="115"/>
      <c r="H588" s="133"/>
      <c r="I588" s="103"/>
      <c r="J588" s="108"/>
      <c r="K588" s="112"/>
      <c r="L588" s="110"/>
      <c r="M588" s="111"/>
      <c r="N588" s="103"/>
      <c r="O588" s="112"/>
      <c r="P588" s="115"/>
      <c r="Q588" s="114"/>
      <c r="R588" s="108"/>
      <c r="S588" s="115" t="s">
        <v>200</v>
      </c>
      <c r="T588" s="103" t="b">
        <v>0</v>
      </c>
      <c r="U588" s="103"/>
      <c r="V588" s="103"/>
      <c r="W588" s="103"/>
      <c r="X588" s="103"/>
      <c r="Y588" s="103"/>
      <c r="Z588" s="103"/>
    </row>
    <row r="589">
      <c r="A589" s="110" t="s">
        <v>200</v>
      </c>
      <c r="B589" s="110"/>
      <c r="C589" s="110"/>
      <c r="D589" s="110"/>
      <c r="E589" s="110"/>
      <c r="F589" s="110"/>
      <c r="G589" s="115"/>
      <c r="H589" s="133"/>
      <c r="I589" s="103"/>
      <c r="J589" s="108"/>
      <c r="K589" s="112"/>
      <c r="L589" s="110"/>
      <c r="M589" s="111"/>
      <c r="N589" s="103"/>
      <c r="O589" s="112"/>
      <c r="P589" s="115"/>
      <c r="Q589" s="114"/>
      <c r="R589" s="108"/>
      <c r="S589" s="115" t="s">
        <v>200</v>
      </c>
      <c r="T589" s="103" t="b">
        <v>0</v>
      </c>
      <c r="U589" s="103"/>
      <c r="V589" s="103"/>
      <c r="W589" s="103"/>
      <c r="X589" s="103"/>
      <c r="Y589" s="103"/>
      <c r="Z589" s="103"/>
    </row>
    <row r="590">
      <c r="A590" s="110" t="s">
        <v>200</v>
      </c>
      <c r="B590" s="110"/>
      <c r="C590" s="110"/>
      <c r="D590" s="110"/>
      <c r="E590" s="110"/>
      <c r="F590" s="110"/>
      <c r="G590" s="115"/>
      <c r="H590" s="133"/>
      <c r="I590" s="103"/>
      <c r="J590" s="108"/>
      <c r="K590" s="112"/>
      <c r="L590" s="110"/>
      <c r="M590" s="111"/>
      <c r="N590" s="103"/>
      <c r="O590" s="112"/>
      <c r="P590" s="115"/>
      <c r="Q590" s="114"/>
      <c r="R590" s="108"/>
      <c r="S590" s="115" t="s">
        <v>200</v>
      </c>
      <c r="T590" s="103" t="b">
        <v>0</v>
      </c>
      <c r="U590" s="103"/>
      <c r="V590" s="103"/>
      <c r="W590" s="103"/>
      <c r="X590" s="103"/>
      <c r="Y590" s="103"/>
      <c r="Z590" s="103"/>
    </row>
    <row r="591">
      <c r="A591" s="110" t="s">
        <v>200</v>
      </c>
      <c r="B591" s="110"/>
      <c r="C591" s="110"/>
      <c r="D591" s="110"/>
      <c r="E591" s="110"/>
      <c r="F591" s="110"/>
      <c r="G591" s="115"/>
      <c r="H591" s="133"/>
      <c r="I591" s="103"/>
      <c r="J591" s="108"/>
      <c r="K591" s="112"/>
      <c r="L591" s="110"/>
      <c r="M591" s="111"/>
      <c r="N591" s="103"/>
      <c r="O591" s="112"/>
      <c r="P591" s="115"/>
      <c r="Q591" s="114"/>
      <c r="R591" s="108"/>
      <c r="S591" s="115" t="s">
        <v>200</v>
      </c>
      <c r="T591" s="103" t="b">
        <v>0</v>
      </c>
      <c r="U591" s="103"/>
      <c r="V591" s="103"/>
      <c r="W591" s="103"/>
      <c r="X591" s="103"/>
      <c r="Y591" s="103"/>
      <c r="Z591" s="103"/>
    </row>
    <row r="592">
      <c r="A592" s="110" t="s">
        <v>200</v>
      </c>
      <c r="B592" s="110"/>
      <c r="C592" s="110"/>
      <c r="D592" s="110"/>
      <c r="E592" s="110"/>
      <c r="F592" s="110"/>
      <c r="G592" s="115"/>
      <c r="H592" s="133"/>
      <c r="I592" s="103"/>
      <c r="J592" s="108"/>
      <c r="K592" s="112"/>
      <c r="L592" s="110"/>
      <c r="M592" s="111"/>
      <c r="N592" s="103"/>
      <c r="O592" s="112"/>
      <c r="P592" s="115"/>
      <c r="Q592" s="114"/>
      <c r="R592" s="108"/>
      <c r="S592" s="115" t="s">
        <v>200</v>
      </c>
      <c r="T592" s="103" t="b">
        <v>0</v>
      </c>
      <c r="U592" s="103"/>
      <c r="V592" s="103"/>
      <c r="W592" s="103"/>
      <c r="X592" s="103"/>
      <c r="Y592" s="103"/>
      <c r="Z592" s="103"/>
    </row>
    <row r="593">
      <c r="A593" s="110" t="s">
        <v>200</v>
      </c>
      <c r="B593" s="110"/>
      <c r="C593" s="110"/>
      <c r="D593" s="110"/>
      <c r="E593" s="110"/>
      <c r="F593" s="110"/>
      <c r="G593" s="115"/>
      <c r="H593" s="133"/>
      <c r="I593" s="103"/>
      <c r="J593" s="108"/>
      <c r="K593" s="112"/>
      <c r="L593" s="110"/>
      <c r="M593" s="111"/>
      <c r="N593" s="103"/>
      <c r="O593" s="112"/>
      <c r="P593" s="115"/>
      <c r="Q593" s="114"/>
      <c r="R593" s="108"/>
      <c r="S593" s="115" t="s">
        <v>200</v>
      </c>
      <c r="T593" s="103" t="b">
        <v>0</v>
      </c>
      <c r="U593" s="103"/>
      <c r="V593" s="103"/>
      <c r="W593" s="103"/>
      <c r="X593" s="103"/>
      <c r="Y593" s="103"/>
      <c r="Z593" s="103"/>
    </row>
    <row r="594">
      <c r="A594" s="110" t="s">
        <v>200</v>
      </c>
      <c r="B594" s="110"/>
      <c r="C594" s="110"/>
      <c r="D594" s="110"/>
      <c r="E594" s="110"/>
      <c r="F594" s="110"/>
      <c r="G594" s="115"/>
      <c r="H594" s="133"/>
      <c r="I594" s="103"/>
      <c r="J594" s="108"/>
      <c r="K594" s="112"/>
      <c r="L594" s="110"/>
      <c r="M594" s="111"/>
      <c r="N594" s="103"/>
      <c r="O594" s="112"/>
      <c r="P594" s="115"/>
      <c r="Q594" s="114"/>
      <c r="R594" s="108"/>
      <c r="S594" s="115" t="s">
        <v>200</v>
      </c>
      <c r="T594" s="103" t="b">
        <v>0</v>
      </c>
      <c r="U594" s="103"/>
      <c r="V594" s="103"/>
      <c r="W594" s="103"/>
      <c r="X594" s="103"/>
      <c r="Y594" s="103"/>
      <c r="Z594" s="103"/>
    </row>
    <row r="595">
      <c r="A595" s="110" t="s">
        <v>200</v>
      </c>
      <c r="B595" s="110"/>
      <c r="C595" s="110"/>
      <c r="D595" s="110"/>
      <c r="E595" s="110"/>
      <c r="F595" s="110"/>
      <c r="G595" s="115"/>
      <c r="H595" s="133"/>
      <c r="I595" s="103"/>
      <c r="J595" s="108"/>
      <c r="K595" s="112"/>
      <c r="L595" s="110"/>
      <c r="M595" s="111"/>
      <c r="N595" s="103"/>
      <c r="O595" s="112"/>
      <c r="P595" s="115"/>
      <c r="Q595" s="114"/>
      <c r="R595" s="108"/>
      <c r="S595" s="115" t="s">
        <v>200</v>
      </c>
      <c r="T595" s="103" t="b">
        <v>0</v>
      </c>
      <c r="U595" s="103"/>
      <c r="V595" s="103"/>
      <c r="W595" s="103"/>
      <c r="X595" s="103"/>
      <c r="Y595" s="103"/>
      <c r="Z595" s="103"/>
    </row>
    <row r="596">
      <c r="A596" s="110" t="s">
        <v>200</v>
      </c>
      <c r="B596" s="110"/>
      <c r="C596" s="110"/>
      <c r="D596" s="110"/>
      <c r="E596" s="110"/>
      <c r="F596" s="110"/>
      <c r="G596" s="115"/>
      <c r="H596" s="133"/>
      <c r="I596" s="103"/>
      <c r="J596" s="108"/>
      <c r="K596" s="112"/>
      <c r="L596" s="110"/>
      <c r="M596" s="111"/>
      <c r="N596" s="103"/>
      <c r="O596" s="112"/>
      <c r="P596" s="115"/>
      <c r="Q596" s="114"/>
      <c r="R596" s="108"/>
      <c r="S596" s="115" t="s">
        <v>200</v>
      </c>
      <c r="T596" s="103" t="b">
        <v>0</v>
      </c>
      <c r="U596" s="103"/>
      <c r="V596" s="103"/>
      <c r="W596" s="103"/>
      <c r="X596" s="103"/>
      <c r="Y596" s="103"/>
      <c r="Z596" s="103"/>
    </row>
    <row r="597">
      <c r="A597" s="110" t="s">
        <v>200</v>
      </c>
      <c r="B597" s="110"/>
      <c r="C597" s="110"/>
      <c r="D597" s="110"/>
      <c r="E597" s="110"/>
      <c r="F597" s="110"/>
      <c r="G597" s="115"/>
      <c r="H597" s="133"/>
      <c r="I597" s="103"/>
      <c r="J597" s="108"/>
      <c r="K597" s="112"/>
      <c r="L597" s="110"/>
      <c r="M597" s="111"/>
      <c r="N597" s="103"/>
      <c r="O597" s="112"/>
      <c r="P597" s="115"/>
      <c r="Q597" s="114"/>
      <c r="R597" s="108"/>
      <c r="S597" s="115" t="s">
        <v>200</v>
      </c>
      <c r="T597" s="103" t="b">
        <v>0</v>
      </c>
      <c r="U597" s="103"/>
      <c r="V597" s="103"/>
      <c r="W597" s="103"/>
      <c r="X597" s="103"/>
      <c r="Y597" s="103"/>
      <c r="Z597" s="103"/>
    </row>
    <row r="598">
      <c r="A598" s="110" t="s">
        <v>200</v>
      </c>
      <c r="B598" s="110"/>
      <c r="C598" s="110"/>
      <c r="D598" s="110"/>
      <c r="E598" s="110"/>
      <c r="F598" s="110"/>
      <c r="G598" s="115"/>
      <c r="H598" s="133"/>
      <c r="I598" s="103"/>
      <c r="J598" s="108"/>
      <c r="K598" s="112"/>
      <c r="L598" s="110"/>
      <c r="M598" s="111"/>
      <c r="N598" s="103"/>
      <c r="O598" s="112"/>
      <c r="P598" s="115"/>
      <c r="Q598" s="114"/>
      <c r="R598" s="108"/>
      <c r="S598" s="115" t="s">
        <v>200</v>
      </c>
      <c r="T598" s="103" t="b">
        <v>0</v>
      </c>
      <c r="U598" s="103"/>
      <c r="V598" s="103"/>
      <c r="W598" s="103"/>
      <c r="X598" s="103"/>
      <c r="Y598" s="103"/>
      <c r="Z598" s="103"/>
    </row>
    <row r="599">
      <c r="A599" s="110" t="s">
        <v>200</v>
      </c>
      <c r="B599" s="110"/>
      <c r="C599" s="110"/>
      <c r="D599" s="110"/>
      <c r="E599" s="110"/>
      <c r="F599" s="110"/>
      <c r="G599" s="115"/>
      <c r="H599" s="133"/>
      <c r="I599" s="103"/>
      <c r="J599" s="108"/>
      <c r="K599" s="112"/>
      <c r="L599" s="110"/>
      <c r="M599" s="111"/>
      <c r="N599" s="103"/>
      <c r="O599" s="112"/>
      <c r="P599" s="115"/>
      <c r="Q599" s="114"/>
      <c r="R599" s="108"/>
      <c r="S599" s="115" t="s">
        <v>200</v>
      </c>
      <c r="T599" s="103" t="b">
        <v>0</v>
      </c>
      <c r="U599" s="103"/>
      <c r="V599" s="103"/>
      <c r="W599" s="103"/>
      <c r="X599" s="103"/>
      <c r="Y599" s="103"/>
      <c r="Z599" s="103"/>
    </row>
    <row r="600">
      <c r="A600" s="110" t="s">
        <v>200</v>
      </c>
      <c r="B600" s="110"/>
      <c r="C600" s="110"/>
      <c r="D600" s="110"/>
      <c r="E600" s="110"/>
      <c r="F600" s="110"/>
      <c r="G600" s="115"/>
      <c r="H600" s="133"/>
      <c r="I600" s="103"/>
      <c r="J600" s="108"/>
      <c r="K600" s="112"/>
      <c r="L600" s="110"/>
      <c r="M600" s="111"/>
      <c r="N600" s="103"/>
      <c r="O600" s="112"/>
      <c r="P600" s="115"/>
      <c r="Q600" s="114"/>
      <c r="R600" s="108"/>
      <c r="S600" s="115" t="s">
        <v>200</v>
      </c>
      <c r="T600" s="103" t="b">
        <v>0</v>
      </c>
      <c r="U600" s="103"/>
      <c r="V600" s="103"/>
      <c r="W600" s="103"/>
      <c r="X600" s="103"/>
      <c r="Y600" s="103"/>
      <c r="Z600" s="103"/>
    </row>
    <row r="601">
      <c r="A601" s="110" t="s">
        <v>200</v>
      </c>
      <c r="B601" s="110"/>
      <c r="C601" s="110"/>
      <c r="D601" s="110"/>
      <c r="E601" s="110"/>
      <c r="F601" s="110"/>
      <c r="G601" s="115"/>
      <c r="H601" s="133"/>
      <c r="I601" s="103"/>
      <c r="J601" s="108"/>
      <c r="K601" s="112"/>
      <c r="L601" s="110"/>
      <c r="M601" s="111"/>
      <c r="N601" s="103"/>
      <c r="O601" s="112"/>
      <c r="P601" s="115"/>
      <c r="Q601" s="114"/>
      <c r="R601" s="108"/>
      <c r="S601" s="115" t="s">
        <v>200</v>
      </c>
      <c r="T601" s="103" t="b">
        <v>0</v>
      </c>
      <c r="U601" s="103"/>
      <c r="V601" s="103"/>
      <c r="W601" s="103"/>
      <c r="X601" s="103"/>
      <c r="Y601" s="103"/>
      <c r="Z601" s="103"/>
    </row>
    <row r="602">
      <c r="A602" s="110" t="s">
        <v>200</v>
      </c>
      <c r="B602" s="110"/>
      <c r="C602" s="110"/>
      <c r="D602" s="110"/>
      <c r="E602" s="110"/>
      <c r="F602" s="110"/>
      <c r="G602" s="115"/>
      <c r="H602" s="133"/>
      <c r="I602" s="103"/>
      <c r="J602" s="108"/>
      <c r="K602" s="112"/>
      <c r="L602" s="110"/>
      <c r="M602" s="111"/>
      <c r="N602" s="103"/>
      <c r="O602" s="112"/>
      <c r="P602" s="115"/>
      <c r="Q602" s="114"/>
      <c r="R602" s="108"/>
      <c r="S602" s="115" t="s">
        <v>200</v>
      </c>
      <c r="T602" s="103" t="b">
        <v>0</v>
      </c>
      <c r="U602" s="103"/>
      <c r="V602" s="103"/>
      <c r="W602" s="103"/>
      <c r="X602" s="103"/>
      <c r="Y602" s="103"/>
      <c r="Z602" s="103"/>
    </row>
    <row r="603">
      <c r="A603" s="110" t="s">
        <v>200</v>
      </c>
      <c r="B603" s="110"/>
      <c r="C603" s="110"/>
      <c r="D603" s="110"/>
      <c r="E603" s="110"/>
      <c r="F603" s="110"/>
      <c r="G603" s="115"/>
      <c r="H603" s="133"/>
      <c r="I603" s="103"/>
      <c r="J603" s="108"/>
      <c r="K603" s="112"/>
      <c r="L603" s="110"/>
      <c r="M603" s="111"/>
      <c r="N603" s="103"/>
      <c r="O603" s="112"/>
      <c r="P603" s="115"/>
      <c r="Q603" s="114"/>
      <c r="R603" s="108"/>
      <c r="S603" s="115" t="s">
        <v>200</v>
      </c>
      <c r="T603" s="103" t="b">
        <v>0</v>
      </c>
      <c r="U603" s="103"/>
      <c r="V603" s="103"/>
      <c r="W603" s="103"/>
      <c r="X603" s="103"/>
      <c r="Y603" s="103"/>
      <c r="Z603" s="103"/>
    </row>
    <row r="604">
      <c r="A604" s="110" t="s">
        <v>200</v>
      </c>
      <c r="B604" s="110"/>
      <c r="C604" s="110"/>
      <c r="D604" s="110"/>
      <c r="E604" s="110"/>
      <c r="F604" s="110"/>
      <c r="G604" s="115"/>
      <c r="H604" s="133"/>
      <c r="I604" s="103"/>
      <c r="J604" s="108"/>
      <c r="K604" s="112"/>
      <c r="L604" s="110"/>
      <c r="M604" s="111"/>
      <c r="N604" s="103"/>
      <c r="O604" s="112"/>
      <c r="P604" s="115"/>
      <c r="Q604" s="114"/>
      <c r="R604" s="108"/>
      <c r="S604" s="115" t="s">
        <v>200</v>
      </c>
      <c r="T604" s="103" t="b">
        <v>0</v>
      </c>
      <c r="U604" s="103"/>
      <c r="V604" s="103"/>
      <c r="W604" s="103"/>
      <c r="X604" s="103"/>
      <c r="Y604" s="103"/>
      <c r="Z604" s="103"/>
    </row>
    <row r="605">
      <c r="A605" s="110" t="s">
        <v>200</v>
      </c>
      <c r="B605" s="110"/>
      <c r="C605" s="110"/>
      <c r="D605" s="110"/>
      <c r="E605" s="110"/>
      <c r="F605" s="110"/>
      <c r="G605" s="115"/>
      <c r="H605" s="133"/>
      <c r="I605" s="103"/>
      <c r="J605" s="108"/>
      <c r="K605" s="112"/>
      <c r="L605" s="110"/>
      <c r="M605" s="111"/>
      <c r="N605" s="103"/>
      <c r="O605" s="112"/>
      <c r="P605" s="115"/>
      <c r="Q605" s="114"/>
      <c r="R605" s="108"/>
      <c r="S605" s="115" t="s">
        <v>200</v>
      </c>
      <c r="T605" s="103" t="b">
        <v>0</v>
      </c>
      <c r="U605" s="103"/>
      <c r="V605" s="103"/>
      <c r="W605" s="103"/>
      <c r="X605" s="103"/>
      <c r="Y605" s="103"/>
      <c r="Z605" s="103"/>
    </row>
    <row r="606">
      <c r="A606" s="110" t="s">
        <v>200</v>
      </c>
      <c r="B606" s="110"/>
      <c r="C606" s="110"/>
      <c r="D606" s="110"/>
      <c r="E606" s="110"/>
      <c r="F606" s="110"/>
      <c r="G606" s="115"/>
      <c r="H606" s="133"/>
      <c r="I606" s="103"/>
      <c r="J606" s="108"/>
      <c r="K606" s="112"/>
      <c r="L606" s="110"/>
      <c r="M606" s="111"/>
      <c r="N606" s="103"/>
      <c r="O606" s="112"/>
      <c r="P606" s="115"/>
      <c r="Q606" s="114"/>
      <c r="R606" s="108"/>
      <c r="S606" s="115" t="s">
        <v>200</v>
      </c>
      <c r="T606" s="103" t="b">
        <v>0</v>
      </c>
      <c r="U606" s="103"/>
      <c r="V606" s="103"/>
      <c r="W606" s="103"/>
      <c r="X606" s="103"/>
      <c r="Y606" s="103"/>
      <c r="Z606" s="103"/>
    </row>
    <row r="607">
      <c r="A607" s="110" t="s">
        <v>200</v>
      </c>
      <c r="B607" s="110"/>
      <c r="C607" s="110"/>
      <c r="D607" s="110"/>
      <c r="E607" s="110"/>
      <c r="F607" s="110"/>
      <c r="G607" s="115"/>
      <c r="H607" s="133"/>
      <c r="I607" s="103"/>
      <c r="J607" s="108"/>
      <c r="K607" s="112"/>
      <c r="L607" s="110"/>
      <c r="M607" s="111"/>
      <c r="N607" s="103"/>
      <c r="O607" s="112"/>
      <c r="P607" s="115"/>
      <c r="Q607" s="114"/>
      <c r="R607" s="108"/>
      <c r="S607" s="115" t="s">
        <v>200</v>
      </c>
      <c r="T607" s="103" t="b">
        <v>0</v>
      </c>
      <c r="U607" s="103"/>
      <c r="V607" s="103"/>
      <c r="W607" s="103"/>
      <c r="X607" s="103"/>
      <c r="Y607" s="103"/>
      <c r="Z607" s="103"/>
    </row>
    <row r="608">
      <c r="A608" s="110" t="s">
        <v>200</v>
      </c>
      <c r="B608" s="110"/>
      <c r="C608" s="110"/>
      <c r="D608" s="110"/>
      <c r="E608" s="110"/>
      <c r="F608" s="110"/>
      <c r="G608" s="115"/>
      <c r="H608" s="133"/>
      <c r="I608" s="103"/>
      <c r="J608" s="108"/>
      <c r="K608" s="112"/>
      <c r="L608" s="110"/>
      <c r="M608" s="111"/>
      <c r="N608" s="103"/>
      <c r="O608" s="112"/>
      <c r="P608" s="115"/>
      <c r="Q608" s="114"/>
      <c r="R608" s="108"/>
      <c r="S608" s="115" t="s">
        <v>200</v>
      </c>
      <c r="T608" s="103" t="b">
        <v>0</v>
      </c>
      <c r="U608" s="103"/>
      <c r="V608" s="103"/>
      <c r="W608" s="103"/>
      <c r="X608" s="103"/>
      <c r="Y608" s="103"/>
      <c r="Z608" s="103"/>
    </row>
    <row r="609">
      <c r="A609" s="110" t="s">
        <v>200</v>
      </c>
      <c r="B609" s="110"/>
      <c r="C609" s="110"/>
      <c r="D609" s="110"/>
      <c r="E609" s="110"/>
      <c r="F609" s="110"/>
      <c r="G609" s="115"/>
      <c r="H609" s="133"/>
      <c r="I609" s="103"/>
      <c r="J609" s="108"/>
      <c r="K609" s="112"/>
      <c r="L609" s="110"/>
      <c r="M609" s="111"/>
      <c r="N609" s="103"/>
      <c r="O609" s="112"/>
      <c r="P609" s="115"/>
      <c r="Q609" s="114"/>
      <c r="R609" s="108"/>
      <c r="S609" s="115" t="s">
        <v>200</v>
      </c>
      <c r="T609" s="103" t="b">
        <v>0</v>
      </c>
      <c r="U609" s="103"/>
      <c r="V609" s="103"/>
      <c r="W609" s="103"/>
      <c r="X609" s="103"/>
      <c r="Y609" s="103"/>
      <c r="Z609" s="103"/>
    </row>
    <row r="610">
      <c r="A610" s="110" t="s">
        <v>200</v>
      </c>
      <c r="B610" s="110"/>
      <c r="C610" s="110"/>
      <c r="D610" s="110"/>
      <c r="E610" s="110"/>
      <c r="F610" s="110"/>
      <c r="G610" s="115"/>
      <c r="H610" s="133"/>
      <c r="I610" s="103"/>
      <c r="J610" s="108"/>
      <c r="K610" s="112"/>
      <c r="L610" s="110"/>
      <c r="M610" s="111"/>
      <c r="N610" s="103"/>
      <c r="O610" s="112"/>
      <c r="P610" s="115"/>
      <c r="Q610" s="114"/>
      <c r="R610" s="108"/>
      <c r="S610" s="115" t="s">
        <v>200</v>
      </c>
      <c r="T610" s="103" t="b">
        <v>0</v>
      </c>
      <c r="U610" s="103"/>
      <c r="V610" s="103"/>
      <c r="W610" s="103"/>
      <c r="X610" s="103"/>
      <c r="Y610" s="103"/>
      <c r="Z610" s="103"/>
    </row>
    <row r="611">
      <c r="A611" s="110" t="s">
        <v>200</v>
      </c>
      <c r="B611" s="110"/>
      <c r="C611" s="110"/>
      <c r="D611" s="110"/>
      <c r="E611" s="110"/>
      <c r="F611" s="110"/>
      <c r="G611" s="115"/>
      <c r="H611" s="133"/>
      <c r="I611" s="103"/>
      <c r="J611" s="108"/>
      <c r="K611" s="112"/>
      <c r="L611" s="110"/>
      <c r="M611" s="111"/>
      <c r="N611" s="103"/>
      <c r="O611" s="112"/>
      <c r="P611" s="115"/>
      <c r="Q611" s="114"/>
      <c r="R611" s="108"/>
      <c r="S611" s="115" t="s">
        <v>200</v>
      </c>
      <c r="T611" s="103" t="b">
        <v>0</v>
      </c>
      <c r="U611" s="103"/>
      <c r="V611" s="103"/>
      <c r="W611" s="103"/>
      <c r="X611" s="103"/>
      <c r="Y611" s="103"/>
      <c r="Z611" s="103"/>
    </row>
    <row r="612">
      <c r="A612" s="110" t="s">
        <v>200</v>
      </c>
      <c r="B612" s="110"/>
      <c r="C612" s="110"/>
      <c r="D612" s="110"/>
      <c r="E612" s="110"/>
      <c r="F612" s="110"/>
      <c r="G612" s="115"/>
      <c r="H612" s="133"/>
      <c r="I612" s="103"/>
      <c r="J612" s="108"/>
      <c r="K612" s="112"/>
      <c r="L612" s="110"/>
      <c r="M612" s="111"/>
      <c r="N612" s="103"/>
      <c r="O612" s="112"/>
      <c r="P612" s="115"/>
      <c r="Q612" s="114"/>
      <c r="R612" s="108"/>
      <c r="S612" s="115" t="s">
        <v>200</v>
      </c>
      <c r="T612" s="103" t="b">
        <v>0</v>
      </c>
      <c r="U612" s="103"/>
      <c r="V612" s="103"/>
      <c r="W612" s="103"/>
      <c r="X612" s="103"/>
      <c r="Y612" s="103"/>
      <c r="Z612" s="103"/>
    </row>
    <row r="613">
      <c r="A613" s="110" t="s">
        <v>200</v>
      </c>
      <c r="B613" s="110"/>
      <c r="C613" s="110"/>
      <c r="D613" s="110"/>
      <c r="E613" s="110"/>
      <c r="F613" s="110"/>
      <c r="G613" s="115"/>
      <c r="H613" s="133"/>
      <c r="I613" s="103"/>
      <c r="J613" s="108"/>
      <c r="K613" s="112"/>
      <c r="L613" s="110"/>
      <c r="M613" s="111"/>
      <c r="N613" s="103"/>
      <c r="O613" s="112"/>
      <c r="P613" s="115"/>
      <c r="Q613" s="114"/>
      <c r="R613" s="108"/>
      <c r="S613" s="115" t="s">
        <v>200</v>
      </c>
      <c r="T613" s="103" t="b">
        <v>0</v>
      </c>
      <c r="U613" s="103"/>
      <c r="V613" s="103"/>
      <c r="W613" s="103"/>
      <c r="X613" s="103"/>
      <c r="Y613" s="103"/>
      <c r="Z613" s="103"/>
    </row>
    <row r="614">
      <c r="A614" s="110" t="s">
        <v>200</v>
      </c>
      <c r="B614" s="110"/>
      <c r="C614" s="110"/>
      <c r="D614" s="110"/>
      <c r="E614" s="110"/>
      <c r="F614" s="110"/>
      <c r="G614" s="115"/>
      <c r="H614" s="133"/>
      <c r="I614" s="103"/>
      <c r="J614" s="108"/>
      <c r="K614" s="112"/>
      <c r="L614" s="110"/>
      <c r="M614" s="111"/>
      <c r="N614" s="103"/>
      <c r="O614" s="112"/>
      <c r="P614" s="115"/>
      <c r="Q614" s="114"/>
      <c r="R614" s="108"/>
      <c r="S614" s="115" t="s">
        <v>200</v>
      </c>
      <c r="T614" s="103" t="b">
        <v>0</v>
      </c>
      <c r="U614" s="103"/>
      <c r="V614" s="103"/>
      <c r="W614" s="103"/>
      <c r="X614" s="103"/>
      <c r="Y614" s="103"/>
      <c r="Z614" s="103"/>
    </row>
    <row r="615">
      <c r="A615" s="110" t="s">
        <v>200</v>
      </c>
      <c r="B615" s="110"/>
      <c r="C615" s="110"/>
      <c r="D615" s="110"/>
      <c r="E615" s="110"/>
      <c r="F615" s="110"/>
      <c r="G615" s="115"/>
      <c r="H615" s="133"/>
      <c r="I615" s="103"/>
      <c r="J615" s="108"/>
      <c r="K615" s="112"/>
      <c r="L615" s="110"/>
      <c r="M615" s="111"/>
      <c r="N615" s="103"/>
      <c r="O615" s="112"/>
      <c r="P615" s="115"/>
      <c r="Q615" s="114"/>
      <c r="R615" s="108"/>
      <c r="S615" s="115" t="s">
        <v>200</v>
      </c>
      <c r="T615" s="103" t="b">
        <v>0</v>
      </c>
      <c r="U615" s="103"/>
      <c r="V615" s="103"/>
      <c r="W615" s="103"/>
      <c r="X615" s="103"/>
      <c r="Y615" s="103"/>
      <c r="Z615" s="103"/>
    </row>
    <row r="616">
      <c r="A616" s="110" t="s">
        <v>200</v>
      </c>
      <c r="B616" s="110"/>
      <c r="C616" s="110"/>
      <c r="D616" s="110"/>
      <c r="E616" s="110"/>
      <c r="F616" s="110"/>
      <c r="G616" s="115"/>
      <c r="H616" s="133"/>
      <c r="I616" s="103"/>
      <c r="J616" s="108"/>
      <c r="K616" s="112"/>
      <c r="L616" s="110"/>
      <c r="M616" s="111"/>
      <c r="N616" s="103"/>
      <c r="O616" s="112"/>
      <c r="P616" s="115"/>
      <c r="Q616" s="114"/>
      <c r="R616" s="108"/>
      <c r="S616" s="115" t="s">
        <v>200</v>
      </c>
      <c r="T616" s="103" t="b">
        <v>0</v>
      </c>
      <c r="U616" s="103"/>
      <c r="V616" s="103"/>
      <c r="W616" s="103"/>
      <c r="X616" s="103"/>
      <c r="Y616" s="103"/>
      <c r="Z616" s="103"/>
    </row>
    <row r="617">
      <c r="A617" s="110" t="s">
        <v>200</v>
      </c>
      <c r="B617" s="110"/>
      <c r="C617" s="110"/>
      <c r="D617" s="110"/>
      <c r="E617" s="110"/>
      <c r="F617" s="110"/>
      <c r="G617" s="115"/>
      <c r="H617" s="133"/>
      <c r="I617" s="103"/>
      <c r="J617" s="108"/>
      <c r="K617" s="112"/>
      <c r="L617" s="110"/>
      <c r="M617" s="111"/>
      <c r="N617" s="103"/>
      <c r="O617" s="112"/>
      <c r="P617" s="115"/>
      <c r="Q617" s="114"/>
      <c r="R617" s="108"/>
      <c r="S617" s="115" t="s">
        <v>200</v>
      </c>
      <c r="T617" s="103" t="b">
        <v>0</v>
      </c>
      <c r="U617" s="103"/>
      <c r="V617" s="103"/>
      <c r="W617" s="103"/>
      <c r="X617" s="103"/>
      <c r="Y617" s="103"/>
      <c r="Z617" s="103"/>
    </row>
    <row r="618">
      <c r="A618" s="110" t="s">
        <v>200</v>
      </c>
      <c r="B618" s="110"/>
      <c r="C618" s="110"/>
      <c r="D618" s="110"/>
      <c r="E618" s="110"/>
      <c r="F618" s="110"/>
      <c r="G618" s="115"/>
      <c r="H618" s="133"/>
      <c r="I618" s="103"/>
      <c r="J618" s="108"/>
      <c r="K618" s="112"/>
      <c r="L618" s="110"/>
      <c r="M618" s="111"/>
      <c r="N618" s="103"/>
      <c r="O618" s="112"/>
      <c r="P618" s="115"/>
      <c r="Q618" s="114"/>
      <c r="R618" s="108"/>
      <c r="S618" s="115" t="s">
        <v>200</v>
      </c>
      <c r="T618" s="103" t="b">
        <v>0</v>
      </c>
      <c r="U618" s="103"/>
      <c r="V618" s="103"/>
      <c r="W618" s="103"/>
      <c r="X618" s="103"/>
      <c r="Y618" s="103"/>
      <c r="Z618" s="103"/>
    </row>
    <row r="619">
      <c r="A619" s="110" t="s">
        <v>200</v>
      </c>
      <c r="B619" s="110"/>
      <c r="C619" s="110"/>
      <c r="D619" s="110"/>
      <c r="E619" s="110"/>
      <c r="F619" s="110"/>
      <c r="G619" s="115"/>
      <c r="H619" s="133"/>
      <c r="I619" s="103"/>
      <c r="J619" s="108"/>
      <c r="K619" s="112"/>
      <c r="L619" s="110"/>
      <c r="M619" s="111"/>
      <c r="N619" s="103"/>
      <c r="O619" s="112"/>
      <c r="P619" s="115"/>
      <c r="Q619" s="114"/>
      <c r="R619" s="108"/>
      <c r="S619" s="115" t="s">
        <v>200</v>
      </c>
      <c r="T619" s="103" t="b">
        <v>0</v>
      </c>
      <c r="U619" s="103"/>
      <c r="V619" s="103"/>
      <c r="W619" s="103"/>
      <c r="X619" s="103"/>
      <c r="Y619" s="103"/>
      <c r="Z619" s="103"/>
    </row>
    <row r="620">
      <c r="A620" s="110" t="s">
        <v>200</v>
      </c>
      <c r="B620" s="110"/>
      <c r="C620" s="110"/>
      <c r="D620" s="110"/>
      <c r="E620" s="110"/>
      <c r="F620" s="110"/>
      <c r="G620" s="115"/>
      <c r="H620" s="133"/>
      <c r="I620" s="103"/>
      <c r="J620" s="108"/>
      <c r="K620" s="112"/>
      <c r="L620" s="110"/>
      <c r="M620" s="111"/>
      <c r="N620" s="103"/>
      <c r="O620" s="112"/>
      <c r="P620" s="115"/>
      <c r="Q620" s="114"/>
      <c r="R620" s="108"/>
      <c r="S620" s="115" t="s">
        <v>200</v>
      </c>
      <c r="T620" s="103" t="b">
        <v>0</v>
      </c>
      <c r="U620" s="103"/>
      <c r="V620" s="103"/>
      <c r="W620" s="103"/>
      <c r="X620" s="103"/>
      <c r="Y620" s="103"/>
      <c r="Z620" s="103"/>
    </row>
    <row r="621">
      <c r="A621" s="110" t="s">
        <v>200</v>
      </c>
      <c r="B621" s="110"/>
      <c r="C621" s="110"/>
      <c r="D621" s="110"/>
      <c r="E621" s="110"/>
      <c r="F621" s="110"/>
      <c r="G621" s="115"/>
      <c r="H621" s="133"/>
      <c r="I621" s="103"/>
      <c r="J621" s="108"/>
      <c r="K621" s="112"/>
      <c r="L621" s="110"/>
      <c r="M621" s="111"/>
      <c r="N621" s="103"/>
      <c r="O621" s="112"/>
      <c r="P621" s="115"/>
      <c r="Q621" s="114"/>
      <c r="R621" s="108"/>
      <c r="S621" s="115" t="s">
        <v>200</v>
      </c>
      <c r="T621" s="103" t="b">
        <v>0</v>
      </c>
      <c r="U621" s="103"/>
      <c r="V621" s="103"/>
      <c r="W621" s="103"/>
      <c r="X621" s="103"/>
      <c r="Y621" s="103"/>
      <c r="Z621" s="103"/>
    </row>
    <row r="622">
      <c r="A622" s="110" t="s">
        <v>200</v>
      </c>
      <c r="B622" s="110"/>
      <c r="C622" s="110"/>
      <c r="D622" s="110"/>
      <c r="E622" s="110"/>
      <c r="F622" s="110"/>
      <c r="G622" s="115"/>
      <c r="H622" s="133"/>
      <c r="I622" s="103"/>
      <c r="J622" s="108"/>
      <c r="K622" s="112"/>
      <c r="L622" s="110"/>
      <c r="M622" s="111"/>
      <c r="N622" s="103"/>
      <c r="O622" s="112"/>
      <c r="P622" s="115"/>
      <c r="Q622" s="114"/>
      <c r="R622" s="108"/>
      <c r="S622" s="115" t="s">
        <v>200</v>
      </c>
      <c r="T622" s="103" t="b">
        <v>0</v>
      </c>
      <c r="U622" s="103"/>
      <c r="V622" s="103"/>
      <c r="W622" s="103"/>
      <c r="X622" s="103"/>
      <c r="Y622" s="103"/>
      <c r="Z622" s="103"/>
    </row>
    <row r="623">
      <c r="A623" s="110" t="s">
        <v>200</v>
      </c>
      <c r="B623" s="110"/>
      <c r="C623" s="110"/>
      <c r="D623" s="110"/>
      <c r="E623" s="110"/>
      <c r="F623" s="110"/>
      <c r="G623" s="115"/>
      <c r="H623" s="133"/>
      <c r="I623" s="103"/>
      <c r="J623" s="108"/>
      <c r="K623" s="112"/>
      <c r="L623" s="110"/>
      <c r="M623" s="111"/>
      <c r="N623" s="103"/>
      <c r="O623" s="112"/>
      <c r="P623" s="115"/>
      <c r="Q623" s="114"/>
      <c r="R623" s="108"/>
      <c r="S623" s="115" t="s">
        <v>200</v>
      </c>
      <c r="T623" s="103" t="b">
        <v>0</v>
      </c>
      <c r="U623" s="103"/>
      <c r="V623" s="103"/>
      <c r="W623" s="103"/>
      <c r="X623" s="103"/>
      <c r="Y623" s="103"/>
      <c r="Z623" s="103"/>
    </row>
    <row r="624">
      <c r="A624" s="110" t="s">
        <v>200</v>
      </c>
      <c r="B624" s="110"/>
      <c r="C624" s="110"/>
      <c r="D624" s="110"/>
      <c r="E624" s="110"/>
      <c r="F624" s="110"/>
      <c r="G624" s="115"/>
      <c r="H624" s="133"/>
      <c r="I624" s="103"/>
      <c r="J624" s="108"/>
      <c r="K624" s="112"/>
      <c r="L624" s="110"/>
      <c r="M624" s="111"/>
      <c r="N624" s="103"/>
      <c r="O624" s="112"/>
      <c r="P624" s="115"/>
      <c r="Q624" s="114"/>
      <c r="R624" s="108"/>
      <c r="S624" s="115" t="s">
        <v>200</v>
      </c>
      <c r="T624" s="103" t="b">
        <v>0</v>
      </c>
      <c r="U624" s="103"/>
      <c r="V624" s="103"/>
      <c r="W624" s="103"/>
      <c r="X624" s="103"/>
      <c r="Y624" s="103"/>
      <c r="Z624" s="103"/>
    </row>
    <row r="625">
      <c r="A625" s="110" t="s">
        <v>200</v>
      </c>
      <c r="B625" s="110"/>
      <c r="C625" s="110"/>
      <c r="D625" s="110"/>
      <c r="E625" s="110"/>
      <c r="F625" s="110"/>
      <c r="G625" s="115"/>
      <c r="H625" s="133"/>
      <c r="I625" s="103"/>
      <c r="J625" s="108"/>
      <c r="K625" s="112"/>
      <c r="L625" s="110"/>
      <c r="M625" s="111"/>
      <c r="N625" s="103"/>
      <c r="O625" s="112"/>
      <c r="P625" s="115"/>
      <c r="Q625" s="114"/>
      <c r="R625" s="108"/>
      <c r="S625" s="115" t="s">
        <v>200</v>
      </c>
      <c r="T625" s="103" t="b">
        <v>0</v>
      </c>
      <c r="U625" s="103"/>
      <c r="V625" s="103"/>
      <c r="W625" s="103"/>
      <c r="X625" s="103"/>
      <c r="Y625" s="103"/>
      <c r="Z625" s="103"/>
    </row>
    <row r="626">
      <c r="A626" s="110" t="s">
        <v>200</v>
      </c>
      <c r="B626" s="110"/>
      <c r="C626" s="110"/>
      <c r="D626" s="110"/>
      <c r="E626" s="110"/>
      <c r="F626" s="110"/>
      <c r="G626" s="115"/>
      <c r="H626" s="133"/>
      <c r="I626" s="103"/>
      <c r="J626" s="108"/>
      <c r="K626" s="112"/>
      <c r="L626" s="110"/>
      <c r="M626" s="111"/>
      <c r="N626" s="103"/>
      <c r="O626" s="112"/>
      <c r="P626" s="115"/>
      <c r="Q626" s="114"/>
      <c r="R626" s="108"/>
      <c r="S626" s="115" t="s">
        <v>200</v>
      </c>
      <c r="T626" s="103" t="b">
        <v>0</v>
      </c>
      <c r="U626" s="103"/>
      <c r="V626" s="103"/>
      <c r="W626" s="103"/>
      <c r="X626" s="103"/>
      <c r="Y626" s="103"/>
      <c r="Z626" s="103"/>
    </row>
    <row r="627">
      <c r="A627" s="110" t="s">
        <v>200</v>
      </c>
      <c r="B627" s="110"/>
      <c r="C627" s="110"/>
      <c r="D627" s="110"/>
      <c r="E627" s="110"/>
      <c r="F627" s="110"/>
      <c r="G627" s="115"/>
      <c r="H627" s="133"/>
      <c r="I627" s="103"/>
      <c r="J627" s="108"/>
      <c r="K627" s="112"/>
      <c r="L627" s="110"/>
      <c r="M627" s="111"/>
      <c r="N627" s="103"/>
      <c r="O627" s="112"/>
      <c r="P627" s="115"/>
      <c r="Q627" s="114"/>
      <c r="R627" s="108"/>
      <c r="S627" s="115" t="s">
        <v>200</v>
      </c>
      <c r="T627" s="103" t="b">
        <v>0</v>
      </c>
      <c r="U627" s="103"/>
      <c r="V627" s="103"/>
      <c r="W627" s="103"/>
      <c r="X627" s="103"/>
      <c r="Y627" s="103"/>
      <c r="Z627" s="103"/>
    </row>
    <row r="628">
      <c r="A628" s="110" t="s">
        <v>200</v>
      </c>
      <c r="B628" s="110"/>
      <c r="C628" s="110"/>
      <c r="D628" s="110"/>
      <c r="E628" s="110"/>
      <c r="F628" s="110"/>
      <c r="G628" s="115"/>
      <c r="H628" s="133"/>
      <c r="I628" s="103"/>
      <c r="J628" s="108"/>
      <c r="K628" s="112"/>
      <c r="L628" s="110"/>
      <c r="M628" s="111"/>
      <c r="N628" s="103"/>
      <c r="O628" s="112"/>
      <c r="P628" s="115"/>
      <c r="Q628" s="114"/>
      <c r="R628" s="108"/>
      <c r="S628" s="115" t="s">
        <v>200</v>
      </c>
      <c r="T628" s="103" t="b">
        <v>0</v>
      </c>
      <c r="U628" s="103"/>
      <c r="V628" s="103"/>
      <c r="W628" s="103"/>
      <c r="X628" s="103"/>
      <c r="Y628" s="103"/>
      <c r="Z628" s="103"/>
    </row>
    <row r="629">
      <c r="A629" s="110" t="s">
        <v>200</v>
      </c>
      <c r="B629" s="110"/>
      <c r="C629" s="110"/>
      <c r="D629" s="110"/>
      <c r="E629" s="110"/>
      <c r="F629" s="110"/>
      <c r="G629" s="115"/>
      <c r="H629" s="133"/>
      <c r="I629" s="103"/>
      <c r="J629" s="108"/>
      <c r="K629" s="112"/>
      <c r="L629" s="110"/>
      <c r="M629" s="111"/>
      <c r="N629" s="103"/>
      <c r="O629" s="112"/>
      <c r="P629" s="115"/>
      <c r="Q629" s="114"/>
      <c r="R629" s="108"/>
      <c r="S629" s="115" t="s">
        <v>200</v>
      </c>
      <c r="T629" s="103" t="b">
        <v>0</v>
      </c>
      <c r="U629" s="103"/>
      <c r="V629" s="103"/>
      <c r="W629" s="103"/>
      <c r="X629" s="103"/>
      <c r="Y629" s="103"/>
      <c r="Z629" s="103"/>
    </row>
    <row r="630">
      <c r="A630" s="110" t="s">
        <v>200</v>
      </c>
      <c r="B630" s="110"/>
      <c r="C630" s="110"/>
      <c r="D630" s="110"/>
      <c r="E630" s="110"/>
      <c r="F630" s="110"/>
      <c r="G630" s="115"/>
      <c r="H630" s="133"/>
      <c r="I630" s="103"/>
      <c r="J630" s="108"/>
      <c r="K630" s="112"/>
      <c r="L630" s="110"/>
      <c r="M630" s="111"/>
      <c r="N630" s="103"/>
      <c r="O630" s="112"/>
      <c r="P630" s="115"/>
      <c r="Q630" s="114"/>
      <c r="R630" s="108"/>
      <c r="S630" s="115" t="s">
        <v>200</v>
      </c>
      <c r="T630" s="103" t="b">
        <v>0</v>
      </c>
      <c r="U630" s="103"/>
      <c r="V630" s="103"/>
      <c r="W630" s="103"/>
      <c r="X630" s="103"/>
      <c r="Y630" s="103"/>
      <c r="Z630" s="103"/>
    </row>
    <row r="631">
      <c r="A631" s="110" t="s">
        <v>200</v>
      </c>
      <c r="B631" s="110"/>
      <c r="C631" s="110"/>
      <c r="D631" s="110"/>
      <c r="E631" s="110"/>
      <c r="F631" s="110"/>
      <c r="G631" s="115"/>
      <c r="H631" s="133"/>
      <c r="I631" s="103"/>
      <c r="J631" s="108"/>
      <c r="K631" s="112"/>
      <c r="L631" s="110"/>
      <c r="M631" s="111"/>
      <c r="N631" s="103"/>
      <c r="O631" s="112"/>
      <c r="P631" s="115"/>
      <c r="Q631" s="114"/>
      <c r="R631" s="108"/>
      <c r="S631" s="115" t="s">
        <v>200</v>
      </c>
      <c r="T631" s="103" t="b">
        <v>0</v>
      </c>
      <c r="U631" s="103"/>
      <c r="V631" s="103"/>
      <c r="W631" s="103"/>
      <c r="X631" s="103"/>
      <c r="Y631" s="103"/>
      <c r="Z631" s="103"/>
    </row>
    <row r="632">
      <c r="A632" s="110" t="s">
        <v>200</v>
      </c>
      <c r="B632" s="110"/>
      <c r="C632" s="110"/>
      <c r="D632" s="110"/>
      <c r="E632" s="110"/>
      <c r="F632" s="110"/>
      <c r="G632" s="115"/>
      <c r="H632" s="133"/>
      <c r="I632" s="103"/>
      <c r="J632" s="108"/>
      <c r="K632" s="112"/>
      <c r="L632" s="110"/>
      <c r="M632" s="111"/>
      <c r="N632" s="103"/>
      <c r="O632" s="112"/>
      <c r="P632" s="115"/>
      <c r="Q632" s="114"/>
      <c r="R632" s="108"/>
      <c r="S632" s="115" t="s">
        <v>200</v>
      </c>
      <c r="T632" s="103" t="b">
        <v>0</v>
      </c>
      <c r="U632" s="103"/>
      <c r="V632" s="103"/>
      <c r="W632" s="103"/>
      <c r="X632" s="103"/>
      <c r="Y632" s="103"/>
      <c r="Z632" s="103"/>
    </row>
    <row r="633">
      <c r="A633" s="110" t="s">
        <v>200</v>
      </c>
      <c r="B633" s="110"/>
      <c r="C633" s="110"/>
      <c r="D633" s="110"/>
      <c r="E633" s="110"/>
      <c r="F633" s="110"/>
      <c r="G633" s="115"/>
      <c r="H633" s="133"/>
      <c r="I633" s="103"/>
      <c r="J633" s="108"/>
      <c r="K633" s="112"/>
      <c r="L633" s="110"/>
      <c r="M633" s="111"/>
      <c r="N633" s="103"/>
      <c r="O633" s="112"/>
      <c r="P633" s="115"/>
      <c r="Q633" s="114"/>
      <c r="R633" s="108"/>
      <c r="S633" s="115" t="s">
        <v>200</v>
      </c>
      <c r="T633" s="103" t="b">
        <v>0</v>
      </c>
      <c r="U633" s="103"/>
      <c r="V633" s="103"/>
      <c r="W633" s="103"/>
      <c r="X633" s="103"/>
      <c r="Y633" s="103"/>
      <c r="Z633" s="103"/>
    </row>
    <row r="634">
      <c r="A634" s="110" t="s">
        <v>200</v>
      </c>
      <c r="B634" s="110"/>
      <c r="C634" s="110"/>
      <c r="D634" s="110"/>
      <c r="E634" s="110"/>
      <c r="F634" s="110"/>
      <c r="G634" s="115"/>
      <c r="H634" s="133"/>
      <c r="I634" s="103"/>
      <c r="J634" s="108"/>
      <c r="K634" s="112"/>
      <c r="L634" s="110"/>
      <c r="M634" s="111"/>
      <c r="N634" s="103"/>
      <c r="O634" s="112"/>
      <c r="P634" s="115"/>
      <c r="Q634" s="114"/>
      <c r="R634" s="108"/>
      <c r="S634" s="115" t="s">
        <v>200</v>
      </c>
      <c r="T634" s="103" t="b">
        <v>0</v>
      </c>
      <c r="U634" s="103"/>
      <c r="V634" s="103"/>
      <c r="W634" s="103"/>
      <c r="X634" s="103"/>
      <c r="Y634" s="103"/>
      <c r="Z634" s="103"/>
    </row>
    <row r="635">
      <c r="A635" s="110" t="s">
        <v>200</v>
      </c>
      <c r="B635" s="110"/>
      <c r="C635" s="110"/>
      <c r="D635" s="110"/>
      <c r="E635" s="110"/>
      <c r="F635" s="110"/>
      <c r="G635" s="115"/>
      <c r="H635" s="133"/>
      <c r="I635" s="103"/>
      <c r="J635" s="108"/>
      <c r="K635" s="112"/>
      <c r="L635" s="110"/>
      <c r="M635" s="111"/>
      <c r="N635" s="103"/>
      <c r="O635" s="112"/>
      <c r="P635" s="115"/>
      <c r="Q635" s="114"/>
      <c r="R635" s="108"/>
      <c r="S635" s="115" t="s">
        <v>200</v>
      </c>
      <c r="T635" s="103" t="b">
        <v>0</v>
      </c>
      <c r="U635" s="103"/>
      <c r="V635" s="103"/>
      <c r="W635" s="103"/>
      <c r="X635" s="103"/>
      <c r="Y635" s="103"/>
      <c r="Z635" s="103"/>
    </row>
    <row r="636">
      <c r="A636" s="110" t="s">
        <v>200</v>
      </c>
      <c r="B636" s="110"/>
      <c r="C636" s="110"/>
      <c r="D636" s="110"/>
      <c r="E636" s="110"/>
      <c r="F636" s="110"/>
      <c r="G636" s="115"/>
      <c r="H636" s="133"/>
      <c r="I636" s="103"/>
      <c r="J636" s="108"/>
      <c r="K636" s="112"/>
      <c r="L636" s="110"/>
      <c r="M636" s="111"/>
      <c r="N636" s="103"/>
      <c r="O636" s="112"/>
      <c r="P636" s="115"/>
      <c r="Q636" s="114"/>
      <c r="R636" s="108"/>
      <c r="S636" s="115" t="s">
        <v>200</v>
      </c>
      <c r="T636" s="103" t="b">
        <v>0</v>
      </c>
      <c r="U636" s="103"/>
      <c r="V636" s="103"/>
      <c r="W636" s="103"/>
      <c r="X636" s="103"/>
      <c r="Y636" s="103"/>
      <c r="Z636" s="103"/>
    </row>
    <row r="637">
      <c r="A637" s="110" t="s">
        <v>200</v>
      </c>
      <c r="B637" s="110"/>
      <c r="C637" s="110"/>
      <c r="D637" s="110"/>
      <c r="E637" s="110"/>
      <c r="F637" s="110"/>
      <c r="G637" s="115"/>
      <c r="H637" s="133"/>
      <c r="I637" s="103"/>
      <c r="J637" s="108"/>
      <c r="K637" s="112"/>
      <c r="L637" s="110"/>
      <c r="M637" s="111"/>
      <c r="N637" s="103"/>
      <c r="O637" s="112"/>
      <c r="P637" s="115"/>
      <c r="Q637" s="114"/>
      <c r="R637" s="108"/>
      <c r="S637" s="115" t="s">
        <v>200</v>
      </c>
      <c r="T637" s="103" t="b">
        <v>0</v>
      </c>
      <c r="U637" s="103"/>
      <c r="V637" s="103"/>
      <c r="W637" s="103"/>
      <c r="X637" s="103"/>
      <c r="Y637" s="103"/>
      <c r="Z637" s="103"/>
    </row>
    <row r="638">
      <c r="A638" s="110" t="s">
        <v>200</v>
      </c>
      <c r="B638" s="110"/>
      <c r="C638" s="110"/>
      <c r="D638" s="110"/>
      <c r="E638" s="110"/>
      <c r="F638" s="110"/>
      <c r="G638" s="115"/>
      <c r="H638" s="133"/>
      <c r="I638" s="103"/>
      <c r="J638" s="108"/>
      <c r="K638" s="112"/>
      <c r="L638" s="110"/>
      <c r="M638" s="111"/>
      <c r="N638" s="103"/>
      <c r="O638" s="112"/>
      <c r="P638" s="115"/>
      <c r="Q638" s="114"/>
      <c r="R638" s="108"/>
      <c r="S638" s="115" t="s">
        <v>200</v>
      </c>
      <c r="T638" s="103" t="b">
        <v>0</v>
      </c>
      <c r="U638" s="103"/>
      <c r="V638" s="103"/>
      <c r="W638" s="103"/>
      <c r="X638" s="103"/>
      <c r="Y638" s="103"/>
      <c r="Z638" s="103"/>
    </row>
    <row r="639">
      <c r="A639" s="110" t="s">
        <v>200</v>
      </c>
      <c r="B639" s="110"/>
      <c r="C639" s="110"/>
      <c r="D639" s="110"/>
      <c r="E639" s="110"/>
      <c r="F639" s="110"/>
      <c r="G639" s="115"/>
      <c r="H639" s="133"/>
      <c r="I639" s="103"/>
      <c r="J639" s="108"/>
      <c r="K639" s="112"/>
      <c r="L639" s="110"/>
      <c r="M639" s="111"/>
      <c r="N639" s="103"/>
      <c r="O639" s="112"/>
      <c r="P639" s="115"/>
      <c r="Q639" s="114"/>
      <c r="R639" s="108"/>
      <c r="S639" s="115" t="s">
        <v>200</v>
      </c>
      <c r="T639" s="103" t="b">
        <v>0</v>
      </c>
      <c r="U639" s="103"/>
      <c r="V639" s="103"/>
      <c r="W639" s="103"/>
      <c r="X639" s="103"/>
      <c r="Y639" s="103"/>
      <c r="Z639" s="103"/>
    </row>
    <row r="640">
      <c r="A640" s="110" t="s">
        <v>200</v>
      </c>
      <c r="B640" s="110"/>
      <c r="C640" s="110"/>
      <c r="D640" s="110"/>
      <c r="E640" s="110"/>
      <c r="F640" s="110"/>
      <c r="G640" s="115"/>
      <c r="H640" s="133"/>
      <c r="I640" s="103"/>
      <c r="J640" s="108"/>
      <c r="K640" s="112"/>
      <c r="L640" s="110"/>
      <c r="M640" s="111"/>
      <c r="N640" s="103"/>
      <c r="O640" s="112"/>
      <c r="P640" s="115"/>
      <c r="Q640" s="114"/>
      <c r="R640" s="108"/>
      <c r="S640" s="115" t="s">
        <v>200</v>
      </c>
      <c r="T640" s="103" t="b">
        <v>0</v>
      </c>
      <c r="U640" s="103"/>
      <c r="V640" s="103"/>
      <c r="W640" s="103"/>
      <c r="X640" s="103"/>
      <c r="Y640" s="103"/>
      <c r="Z640" s="103"/>
    </row>
    <row r="641">
      <c r="A641" s="110" t="s">
        <v>200</v>
      </c>
      <c r="B641" s="110"/>
      <c r="C641" s="110"/>
      <c r="D641" s="110"/>
      <c r="E641" s="110"/>
      <c r="F641" s="110"/>
      <c r="G641" s="115"/>
      <c r="H641" s="133"/>
      <c r="I641" s="103"/>
      <c r="J641" s="108"/>
      <c r="K641" s="112"/>
      <c r="L641" s="110"/>
      <c r="M641" s="111"/>
      <c r="N641" s="103"/>
      <c r="O641" s="112"/>
      <c r="P641" s="115"/>
      <c r="Q641" s="114"/>
      <c r="R641" s="108"/>
      <c r="S641" s="115" t="s">
        <v>200</v>
      </c>
      <c r="T641" s="103" t="b">
        <v>0</v>
      </c>
      <c r="U641" s="103"/>
      <c r="V641" s="103"/>
      <c r="W641" s="103"/>
      <c r="X641" s="103"/>
      <c r="Y641" s="103"/>
      <c r="Z641" s="103"/>
    </row>
    <row r="642">
      <c r="A642" s="110" t="s">
        <v>200</v>
      </c>
      <c r="B642" s="110"/>
      <c r="C642" s="110"/>
      <c r="D642" s="110"/>
      <c r="E642" s="110"/>
      <c r="F642" s="110"/>
      <c r="G642" s="115"/>
      <c r="H642" s="133"/>
      <c r="I642" s="103"/>
      <c r="J642" s="108"/>
      <c r="K642" s="112"/>
      <c r="L642" s="110"/>
      <c r="M642" s="111"/>
      <c r="N642" s="103"/>
      <c r="O642" s="112"/>
      <c r="P642" s="115"/>
      <c r="Q642" s="114"/>
      <c r="R642" s="108"/>
      <c r="S642" s="115" t="s">
        <v>200</v>
      </c>
      <c r="T642" s="103" t="b">
        <v>0</v>
      </c>
      <c r="U642" s="103"/>
      <c r="V642" s="103"/>
      <c r="W642" s="103"/>
      <c r="X642" s="103"/>
      <c r="Y642" s="103"/>
      <c r="Z642" s="103"/>
    </row>
    <row r="643">
      <c r="A643" s="110" t="s">
        <v>200</v>
      </c>
      <c r="B643" s="110"/>
      <c r="C643" s="110"/>
      <c r="D643" s="110"/>
      <c r="E643" s="110"/>
      <c r="F643" s="110"/>
      <c r="G643" s="115"/>
      <c r="H643" s="133"/>
      <c r="I643" s="103"/>
      <c r="J643" s="108"/>
      <c r="K643" s="112"/>
      <c r="L643" s="110"/>
      <c r="M643" s="111"/>
      <c r="N643" s="103"/>
      <c r="O643" s="112"/>
      <c r="P643" s="115"/>
      <c r="Q643" s="114"/>
      <c r="R643" s="108"/>
      <c r="S643" s="115" t="s">
        <v>200</v>
      </c>
      <c r="T643" s="103" t="b">
        <v>0</v>
      </c>
      <c r="U643" s="103"/>
      <c r="V643" s="103"/>
      <c r="W643" s="103"/>
      <c r="X643" s="103"/>
      <c r="Y643" s="103"/>
      <c r="Z643" s="103"/>
    </row>
    <row r="644">
      <c r="A644" s="110" t="s">
        <v>200</v>
      </c>
      <c r="B644" s="110"/>
      <c r="C644" s="110"/>
      <c r="D644" s="110"/>
      <c r="E644" s="110"/>
      <c r="F644" s="110"/>
      <c r="G644" s="115"/>
      <c r="H644" s="133"/>
      <c r="I644" s="103"/>
      <c r="J644" s="108"/>
      <c r="K644" s="112"/>
      <c r="L644" s="110"/>
      <c r="M644" s="111"/>
      <c r="N644" s="103"/>
      <c r="O644" s="112"/>
      <c r="P644" s="115"/>
      <c r="Q644" s="114"/>
      <c r="R644" s="108"/>
      <c r="S644" s="115" t="s">
        <v>200</v>
      </c>
      <c r="T644" s="103" t="b">
        <v>0</v>
      </c>
      <c r="U644" s="103"/>
      <c r="V644" s="103"/>
      <c r="W644" s="103"/>
      <c r="X644" s="103"/>
      <c r="Y644" s="103"/>
      <c r="Z644" s="103"/>
    </row>
    <row r="645">
      <c r="A645" s="110" t="s">
        <v>200</v>
      </c>
      <c r="B645" s="110"/>
      <c r="C645" s="110"/>
      <c r="D645" s="110"/>
      <c r="E645" s="110"/>
      <c r="F645" s="110"/>
      <c r="G645" s="115"/>
      <c r="H645" s="133"/>
      <c r="I645" s="103"/>
      <c r="J645" s="108"/>
      <c r="K645" s="112"/>
      <c r="L645" s="110"/>
      <c r="M645" s="111"/>
      <c r="N645" s="103"/>
      <c r="O645" s="112"/>
      <c r="P645" s="115"/>
      <c r="Q645" s="114"/>
      <c r="R645" s="108"/>
      <c r="S645" s="115" t="s">
        <v>200</v>
      </c>
      <c r="T645" s="103" t="b">
        <v>0</v>
      </c>
      <c r="U645" s="103"/>
      <c r="V645" s="103"/>
      <c r="W645" s="103"/>
      <c r="X645" s="103"/>
      <c r="Y645" s="103"/>
      <c r="Z645" s="103"/>
    </row>
    <row r="646">
      <c r="A646" s="110" t="s">
        <v>200</v>
      </c>
      <c r="B646" s="110"/>
      <c r="C646" s="110"/>
      <c r="D646" s="110"/>
      <c r="E646" s="110"/>
      <c r="F646" s="110"/>
      <c r="G646" s="115"/>
      <c r="H646" s="133"/>
      <c r="I646" s="103"/>
      <c r="J646" s="108"/>
      <c r="K646" s="112"/>
      <c r="L646" s="110"/>
      <c r="M646" s="111"/>
      <c r="N646" s="103"/>
      <c r="O646" s="112"/>
      <c r="P646" s="115"/>
      <c r="Q646" s="114"/>
      <c r="R646" s="108"/>
      <c r="S646" s="115" t="s">
        <v>200</v>
      </c>
      <c r="T646" s="103" t="b">
        <v>0</v>
      </c>
      <c r="U646" s="103"/>
      <c r="V646" s="103"/>
      <c r="W646" s="103"/>
      <c r="X646" s="103"/>
      <c r="Y646" s="103"/>
      <c r="Z646" s="103"/>
    </row>
    <row r="647">
      <c r="A647" s="110" t="s">
        <v>200</v>
      </c>
      <c r="B647" s="110"/>
      <c r="C647" s="110"/>
      <c r="D647" s="110"/>
      <c r="E647" s="110"/>
      <c r="F647" s="110"/>
      <c r="G647" s="115"/>
      <c r="H647" s="133"/>
      <c r="I647" s="103"/>
      <c r="J647" s="108"/>
      <c r="K647" s="112"/>
      <c r="L647" s="110"/>
      <c r="M647" s="111"/>
      <c r="N647" s="103"/>
      <c r="O647" s="112"/>
      <c r="P647" s="115"/>
      <c r="Q647" s="114"/>
      <c r="R647" s="108"/>
      <c r="S647" s="115" t="s">
        <v>200</v>
      </c>
      <c r="T647" s="103" t="b">
        <v>0</v>
      </c>
      <c r="U647" s="103"/>
      <c r="V647" s="103"/>
      <c r="W647" s="103"/>
      <c r="X647" s="103"/>
      <c r="Y647" s="103"/>
      <c r="Z647" s="103"/>
    </row>
    <row r="648">
      <c r="A648" s="110" t="s">
        <v>200</v>
      </c>
      <c r="B648" s="110"/>
      <c r="C648" s="110"/>
      <c r="D648" s="110"/>
      <c r="E648" s="110"/>
      <c r="F648" s="110"/>
      <c r="G648" s="115"/>
      <c r="H648" s="133"/>
      <c r="I648" s="103"/>
      <c r="J648" s="108"/>
      <c r="K648" s="112"/>
      <c r="L648" s="110"/>
      <c r="M648" s="111"/>
      <c r="N648" s="103"/>
      <c r="O648" s="112"/>
      <c r="P648" s="115"/>
      <c r="Q648" s="114"/>
      <c r="R648" s="108"/>
      <c r="S648" s="115" t="s">
        <v>200</v>
      </c>
      <c r="T648" s="103" t="b">
        <v>0</v>
      </c>
      <c r="U648" s="103"/>
      <c r="V648" s="103"/>
      <c r="W648" s="103"/>
      <c r="X648" s="103"/>
      <c r="Y648" s="103"/>
      <c r="Z648" s="103"/>
    </row>
    <row r="649">
      <c r="A649" s="110" t="s">
        <v>200</v>
      </c>
      <c r="B649" s="110"/>
      <c r="C649" s="110"/>
      <c r="D649" s="110"/>
      <c r="E649" s="110"/>
      <c r="F649" s="110"/>
      <c r="G649" s="115"/>
      <c r="H649" s="133"/>
      <c r="I649" s="103"/>
      <c r="J649" s="108"/>
      <c r="K649" s="112"/>
      <c r="L649" s="110"/>
      <c r="M649" s="111"/>
      <c r="N649" s="103"/>
      <c r="O649" s="112"/>
      <c r="P649" s="115"/>
      <c r="Q649" s="114"/>
      <c r="R649" s="108"/>
      <c r="S649" s="115" t="s">
        <v>200</v>
      </c>
      <c r="T649" s="103" t="b">
        <v>0</v>
      </c>
      <c r="U649" s="103"/>
      <c r="V649" s="103"/>
      <c r="W649" s="103"/>
      <c r="X649" s="103"/>
      <c r="Y649" s="103"/>
      <c r="Z649" s="103"/>
    </row>
    <row r="650">
      <c r="A650" s="110" t="s">
        <v>200</v>
      </c>
      <c r="B650" s="110"/>
      <c r="C650" s="110"/>
      <c r="D650" s="110"/>
      <c r="E650" s="110"/>
      <c r="F650" s="110"/>
      <c r="G650" s="115"/>
      <c r="H650" s="133"/>
      <c r="I650" s="103"/>
      <c r="J650" s="108"/>
      <c r="K650" s="112"/>
      <c r="L650" s="110"/>
      <c r="M650" s="111"/>
      <c r="N650" s="103"/>
      <c r="O650" s="112"/>
      <c r="P650" s="115"/>
      <c r="Q650" s="114"/>
      <c r="R650" s="108"/>
      <c r="S650" s="115" t="s">
        <v>200</v>
      </c>
      <c r="T650" s="103" t="b">
        <v>0</v>
      </c>
      <c r="U650" s="103"/>
      <c r="V650" s="103"/>
      <c r="W650" s="103"/>
      <c r="X650" s="103"/>
      <c r="Y650" s="103"/>
      <c r="Z650" s="103"/>
    </row>
    <row r="651">
      <c r="A651" s="110" t="s">
        <v>200</v>
      </c>
      <c r="B651" s="110"/>
      <c r="C651" s="110"/>
      <c r="D651" s="110"/>
      <c r="E651" s="110"/>
      <c r="F651" s="110"/>
      <c r="G651" s="115"/>
      <c r="H651" s="133"/>
      <c r="I651" s="103"/>
      <c r="J651" s="108"/>
      <c r="K651" s="112"/>
      <c r="L651" s="110"/>
      <c r="M651" s="111"/>
      <c r="N651" s="103"/>
      <c r="O651" s="112"/>
      <c r="P651" s="115"/>
      <c r="Q651" s="114"/>
      <c r="R651" s="108"/>
      <c r="S651" s="115" t="s">
        <v>200</v>
      </c>
      <c r="T651" s="103" t="b">
        <v>0</v>
      </c>
      <c r="U651" s="103"/>
      <c r="V651" s="103"/>
      <c r="W651" s="103"/>
      <c r="X651" s="103"/>
      <c r="Y651" s="103"/>
      <c r="Z651" s="103"/>
    </row>
    <row r="652">
      <c r="A652" s="110" t="s">
        <v>200</v>
      </c>
      <c r="B652" s="110"/>
      <c r="C652" s="110"/>
      <c r="D652" s="110"/>
      <c r="E652" s="110"/>
      <c r="F652" s="110"/>
      <c r="G652" s="115"/>
      <c r="H652" s="133"/>
      <c r="I652" s="103"/>
      <c r="J652" s="108"/>
      <c r="K652" s="112"/>
      <c r="L652" s="110"/>
      <c r="M652" s="111"/>
      <c r="N652" s="103"/>
      <c r="O652" s="112"/>
      <c r="P652" s="115"/>
      <c r="Q652" s="114"/>
      <c r="R652" s="108"/>
      <c r="S652" s="115" t="s">
        <v>200</v>
      </c>
      <c r="T652" s="103" t="b">
        <v>0</v>
      </c>
      <c r="U652" s="103"/>
      <c r="V652" s="103"/>
      <c r="W652" s="103"/>
      <c r="X652" s="103"/>
      <c r="Y652" s="103"/>
      <c r="Z652" s="103"/>
    </row>
    <row r="653">
      <c r="A653" s="110" t="s">
        <v>200</v>
      </c>
      <c r="B653" s="110"/>
      <c r="C653" s="110"/>
      <c r="D653" s="110"/>
      <c r="E653" s="110"/>
      <c r="F653" s="110"/>
      <c r="G653" s="115"/>
      <c r="H653" s="133"/>
      <c r="I653" s="103"/>
      <c r="J653" s="108"/>
      <c r="K653" s="112"/>
      <c r="L653" s="110"/>
      <c r="M653" s="111"/>
      <c r="N653" s="103"/>
      <c r="O653" s="112"/>
      <c r="P653" s="115"/>
      <c r="Q653" s="114"/>
      <c r="R653" s="108"/>
      <c r="S653" s="115" t="s">
        <v>200</v>
      </c>
      <c r="T653" s="103" t="b">
        <v>0</v>
      </c>
      <c r="U653" s="103"/>
      <c r="V653" s="103"/>
      <c r="W653" s="103"/>
      <c r="X653" s="103"/>
      <c r="Y653" s="103"/>
      <c r="Z653" s="103"/>
    </row>
    <row r="654">
      <c r="A654" s="110" t="s">
        <v>200</v>
      </c>
      <c r="B654" s="110"/>
      <c r="C654" s="110"/>
      <c r="D654" s="110"/>
      <c r="E654" s="110"/>
      <c r="F654" s="110"/>
      <c r="G654" s="115"/>
      <c r="H654" s="133"/>
      <c r="I654" s="103"/>
      <c r="J654" s="108"/>
      <c r="K654" s="112"/>
      <c r="L654" s="110"/>
      <c r="M654" s="111"/>
      <c r="N654" s="103"/>
      <c r="O654" s="112"/>
      <c r="P654" s="115"/>
      <c r="Q654" s="114"/>
      <c r="R654" s="108"/>
      <c r="S654" s="115" t="s">
        <v>200</v>
      </c>
      <c r="T654" s="103" t="b">
        <v>0</v>
      </c>
      <c r="U654" s="103"/>
      <c r="V654" s="103"/>
      <c r="W654" s="103"/>
      <c r="X654" s="103"/>
      <c r="Y654" s="103"/>
      <c r="Z654" s="103"/>
    </row>
    <row r="655">
      <c r="A655" s="110" t="s">
        <v>200</v>
      </c>
      <c r="B655" s="110"/>
      <c r="C655" s="110"/>
      <c r="D655" s="110"/>
      <c r="E655" s="110"/>
      <c r="F655" s="110"/>
      <c r="G655" s="115"/>
      <c r="H655" s="133"/>
      <c r="I655" s="103"/>
      <c r="J655" s="108"/>
      <c r="K655" s="112"/>
      <c r="L655" s="110"/>
      <c r="M655" s="111"/>
      <c r="N655" s="103"/>
      <c r="O655" s="112"/>
      <c r="P655" s="115"/>
      <c r="Q655" s="114"/>
      <c r="R655" s="108"/>
      <c r="S655" s="115" t="s">
        <v>200</v>
      </c>
      <c r="T655" s="103" t="b">
        <v>0</v>
      </c>
      <c r="U655" s="103"/>
      <c r="V655" s="103"/>
      <c r="W655" s="103"/>
      <c r="X655" s="103"/>
      <c r="Y655" s="103"/>
      <c r="Z655" s="103"/>
    </row>
    <row r="656">
      <c r="A656" s="110" t="s">
        <v>200</v>
      </c>
      <c r="B656" s="110"/>
      <c r="C656" s="110"/>
      <c r="D656" s="110"/>
      <c r="E656" s="110"/>
      <c r="F656" s="110"/>
      <c r="G656" s="115"/>
      <c r="H656" s="133"/>
      <c r="I656" s="103"/>
      <c r="J656" s="108"/>
      <c r="K656" s="112"/>
      <c r="L656" s="110"/>
      <c r="M656" s="111"/>
      <c r="N656" s="103"/>
      <c r="O656" s="112"/>
      <c r="P656" s="115"/>
      <c r="Q656" s="114"/>
      <c r="R656" s="108"/>
      <c r="S656" s="115" t="s">
        <v>200</v>
      </c>
      <c r="T656" s="103" t="b">
        <v>0</v>
      </c>
      <c r="U656" s="103"/>
      <c r="V656" s="103"/>
      <c r="W656" s="103"/>
      <c r="X656" s="103"/>
      <c r="Y656" s="103"/>
      <c r="Z656" s="103"/>
    </row>
    <row r="657">
      <c r="A657" s="110" t="s">
        <v>200</v>
      </c>
      <c r="B657" s="110"/>
      <c r="C657" s="110"/>
      <c r="D657" s="110"/>
      <c r="E657" s="110"/>
      <c r="F657" s="110"/>
      <c r="G657" s="115"/>
      <c r="H657" s="133"/>
      <c r="I657" s="103"/>
      <c r="J657" s="108"/>
      <c r="K657" s="112"/>
      <c r="L657" s="110"/>
      <c r="M657" s="111"/>
      <c r="N657" s="103"/>
      <c r="O657" s="112"/>
      <c r="P657" s="115"/>
      <c r="Q657" s="114"/>
      <c r="R657" s="108"/>
      <c r="S657" s="115" t="s">
        <v>200</v>
      </c>
      <c r="T657" s="103" t="b">
        <v>0</v>
      </c>
      <c r="U657" s="103"/>
      <c r="V657" s="103"/>
      <c r="W657" s="103"/>
      <c r="X657" s="103"/>
      <c r="Y657" s="103"/>
      <c r="Z657" s="103"/>
    </row>
    <row r="658">
      <c r="A658" s="110" t="s">
        <v>200</v>
      </c>
      <c r="B658" s="110"/>
      <c r="C658" s="110"/>
      <c r="D658" s="110"/>
      <c r="E658" s="110"/>
      <c r="F658" s="110"/>
      <c r="G658" s="115"/>
      <c r="H658" s="133"/>
      <c r="I658" s="103"/>
      <c r="J658" s="108"/>
      <c r="K658" s="112"/>
      <c r="L658" s="110"/>
      <c r="M658" s="111"/>
      <c r="N658" s="103"/>
      <c r="O658" s="112"/>
      <c r="P658" s="115"/>
      <c r="Q658" s="114"/>
      <c r="R658" s="108"/>
      <c r="S658" s="115" t="s">
        <v>200</v>
      </c>
      <c r="T658" s="103" t="b">
        <v>0</v>
      </c>
      <c r="U658" s="103"/>
      <c r="V658" s="103"/>
      <c r="W658" s="103"/>
      <c r="X658" s="103"/>
      <c r="Y658" s="103"/>
      <c r="Z658" s="103"/>
    </row>
    <row r="659">
      <c r="A659" s="110" t="s">
        <v>200</v>
      </c>
      <c r="B659" s="110"/>
      <c r="C659" s="110"/>
      <c r="D659" s="110"/>
      <c r="E659" s="110"/>
      <c r="F659" s="110"/>
      <c r="G659" s="115"/>
      <c r="H659" s="133"/>
      <c r="I659" s="103"/>
      <c r="J659" s="108"/>
      <c r="K659" s="112"/>
      <c r="L659" s="110"/>
      <c r="M659" s="111"/>
      <c r="N659" s="103"/>
      <c r="O659" s="112"/>
      <c r="P659" s="115"/>
      <c r="Q659" s="114"/>
      <c r="R659" s="108"/>
      <c r="S659" s="115" t="s">
        <v>200</v>
      </c>
      <c r="T659" s="103" t="b">
        <v>0</v>
      </c>
      <c r="U659" s="103"/>
      <c r="V659" s="103"/>
      <c r="W659" s="103"/>
      <c r="X659" s="103"/>
      <c r="Y659" s="103"/>
      <c r="Z659" s="103"/>
    </row>
    <row r="660">
      <c r="A660" s="110" t="s">
        <v>200</v>
      </c>
      <c r="B660" s="110"/>
      <c r="C660" s="110"/>
      <c r="D660" s="110"/>
      <c r="E660" s="110"/>
      <c r="F660" s="110"/>
      <c r="G660" s="115"/>
      <c r="H660" s="133"/>
      <c r="I660" s="103"/>
      <c r="J660" s="108"/>
      <c r="K660" s="112"/>
      <c r="L660" s="110"/>
      <c r="M660" s="111"/>
      <c r="N660" s="103"/>
      <c r="O660" s="112"/>
      <c r="P660" s="115"/>
      <c r="Q660" s="114"/>
      <c r="R660" s="108"/>
      <c r="S660" s="115" t="s">
        <v>200</v>
      </c>
      <c r="T660" s="103" t="b">
        <v>0</v>
      </c>
      <c r="U660" s="103"/>
      <c r="V660" s="103"/>
      <c r="W660" s="103"/>
      <c r="X660" s="103"/>
      <c r="Y660" s="103"/>
      <c r="Z660" s="103"/>
    </row>
    <row r="661">
      <c r="A661" s="110" t="s">
        <v>200</v>
      </c>
      <c r="B661" s="110"/>
      <c r="C661" s="110"/>
      <c r="D661" s="110"/>
      <c r="E661" s="110"/>
      <c r="F661" s="110"/>
      <c r="G661" s="115"/>
      <c r="H661" s="133"/>
      <c r="I661" s="103"/>
      <c r="J661" s="108"/>
      <c r="K661" s="112"/>
      <c r="L661" s="110"/>
      <c r="M661" s="111"/>
      <c r="N661" s="103"/>
      <c r="O661" s="112"/>
      <c r="P661" s="115"/>
      <c r="Q661" s="114"/>
      <c r="R661" s="108"/>
      <c r="S661" s="115" t="s">
        <v>200</v>
      </c>
      <c r="T661" s="103" t="b">
        <v>0</v>
      </c>
      <c r="U661" s="103"/>
      <c r="V661" s="103"/>
      <c r="W661" s="103"/>
      <c r="X661" s="103"/>
      <c r="Y661" s="103"/>
      <c r="Z661" s="103"/>
    </row>
    <row r="662">
      <c r="A662" s="110" t="s">
        <v>200</v>
      </c>
      <c r="B662" s="110"/>
      <c r="C662" s="110"/>
      <c r="D662" s="110"/>
      <c r="E662" s="110"/>
      <c r="F662" s="110"/>
      <c r="G662" s="115"/>
      <c r="H662" s="133"/>
      <c r="I662" s="103"/>
      <c r="J662" s="108"/>
      <c r="K662" s="112"/>
      <c r="L662" s="110"/>
      <c r="M662" s="111"/>
      <c r="N662" s="103"/>
      <c r="O662" s="112"/>
      <c r="P662" s="115"/>
      <c r="Q662" s="114"/>
      <c r="R662" s="108"/>
      <c r="S662" s="115" t="s">
        <v>200</v>
      </c>
      <c r="T662" s="103" t="b">
        <v>0</v>
      </c>
      <c r="U662" s="103"/>
      <c r="V662" s="103"/>
      <c r="W662" s="103"/>
      <c r="X662" s="103"/>
      <c r="Y662" s="103"/>
      <c r="Z662" s="103"/>
    </row>
    <row r="663">
      <c r="A663" s="110" t="s">
        <v>200</v>
      </c>
      <c r="B663" s="110"/>
      <c r="C663" s="110"/>
      <c r="D663" s="110"/>
      <c r="E663" s="110"/>
      <c r="F663" s="110"/>
      <c r="G663" s="115"/>
      <c r="H663" s="133"/>
      <c r="I663" s="103"/>
      <c r="J663" s="108"/>
      <c r="K663" s="112"/>
      <c r="L663" s="110"/>
      <c r="M663" s="111"/>
      <c r="N663" s="103"/>
      <c r="O663" s="112"/>
      <c r="P663" s="115"/>
      <c r="Q663" s="114"/>
      <c r="R663" s="108"/>
      <c r="S663" s="115" t="s">
        <v>200</v>
      </c>
      <c r="T663" s="103" t="b">
        <v>0</v>
      </c>
      <c r="U663" s="103"/>
      <c r="V663" s="103"/>
      <c r="W663" s="103"/>
      <c r="X663" s="103"/>
      <c r="Y663" s="103"/>
      <c r="Z663" s="103"/>
    </row>
    <row r="664">
      <c r="A664" s="110" t="s">
        <v>200</v>
      </c>
      <c r="B664" s="110"/>
      <c r="C664" s="110"/>
      <c r="D664" s="110"/>
      <c r="E664" s="110"/>
      <c r="F664" s="110"/>
      <c r="G664" s="115"/>
      <c r="H664" s="133"/>
      <c r="I664" s="103"/>
      <c r="J664" s="108"/>
      <c r="K664" s="112"/>
      <c r="L664" s="110"/>
      <c r="M664" s="111"/>
      <c r="N664" s="103"/>
      <c r="O664" s="112"/>
      <c r="P664" s="115"/>
      <c r="Q664" s="114"/>
      <c r="R664" s="108"/>
      <c r="S664" s="115" t="s">
        <v>200</v>
      </c>
      <c r="T664" s="103" t="b">
        <v>0</v>
      </c>
      <c r="U664" s="103"/>
      <c r="V664" s="103"/>
      <c r="W664" s="103"/>
      <c r="X664" s="103"/>
      <c r="Y664" s="103"/>
      <c r="Z664" s="103"/>
    </row>
    <row r="665">
      <c r="A665" s="110" t="s">
        <v>200</v>
      </c>
      <c r="B665" s="110"/>
      <c r="C665" s="110"/>
      <c r="D665" s="110"/>
      <c r="E665" s="110"/>
      <c r="F665" s="110"/>
      <c r="G665" s="115"/>
      <c r="H665" s="133"/>
      <c r="I665" s="103"/>
      <c r="J665" s="108"/>
      <c r="K665" s="112"/>
      <c r="L665" s="110"/>
      <c r="M665" s="111"/>
      <c r="N665" s="103"/>
      <c r="O665" s="112"/>
      <c r="P665" s="115"/>
      <c r="Q665" s="114"/>
      <c r="R665" s="108"/>
      <c r="S665" s="115" t="s">
        <v>200</v>
      </c>
      <c r="T665" s="103" t="b">
        <v>0</v>
      </c>
      <c r="U665" s="103"/>
      <c r="V665" s="103"/>
      <c r="W665" s="103"/>
      <c r="X665" s="103"/>
      <c r="Y665" s="103"/>
      <c r="Z665" s="103"/>
    </row>
    <row r="666">
      <c r="A666" s="110" t="s">
        <v>200</v>
      </c>
      <c r="B666" s="110"/>
      <c r="C666" s="110"/>
      <c r="D666" s="110"/>
      <c r="E666" s="110"/>
      <c r="F666" s="110"/>
      <c r="G666" s="115"/>
      <c r="H666" s="133"/>
      <c r="I666" s="103"/>
      <c r="J666" s="108"/>
      <c r="K666" s="112"/>
      <c r="L666" s="110"/>
      <c r="M666" s="111"/>
      <c r="N666" s="103"/>
      <c r="O666" s="112"/>
      <c r="P666" s="115"/>
      <c r="Q666" s="114"/>
      <c r="R666" s="108"/>
      <c r="S666" s="115" t="s">
        <v>200</v>
      </c>
      <c r="T666" s="103" t="b">
        <v>0</v>
      </c>
      <c r="U666" s="103"/>
      <c r="V666" s="103"/>
      <c r="W666" s="103"/>
      <c r="X666" s="103"/>
      <c r="Y666" s="103"/>
      <c r="Z666" s="103"/>
    </row>
    <row r="667">
      <c r="A667" s="110" t="s">
        <v>200</v>
      </c>
      <c r="B667" s="110"/>
      <c r="C667" s="110"/>
      <c r="D667" s="110"/>
      <c r="E667" s="110"/>
      <c r="F667" s="110"/>
      <c r="G667" s="115"/>
      <c r="H667" s="133"/>
      <c r="I667" s="103"/>
      <c r="J667" s="108"/>
      <c r="K667" s="112"/>
      <c r="L667" s="110"/>
      <c r="M667" s="111"/>
      <c r="N667" s="103"/>
      <c r="O667" s="112"/>
      <c r="P667" s="115"/>
      <c r="Q667" s="114"/>
      <c r="R667" s="108"/>
      <c r="S667" s="115" t="s">
        <v>200</v>
      </c>
      <c r="T667" s="103" t="b">
        <v>0</v>
      </c>
      <c r="U667" s="103"/>
      <c r="V667" s="103"/>
      <c r="W667" s="103"/>
      <c r="X667" s="103"/>
      <c r="Y667" s="103"/>
      <c r="Z667" s="103"/>
    </row>
    <row r="668">
      <c r="A668" s="110" t="s">
        <v>200</v>
      </c>
      <c r="B668" s="110"/>
      <c r="C668" s="110"/>
      <c r="D668" s="110"/>
      <c r="E668" s="110"/>
      <c r="F668" s="110"/>
      <c r="G668" s="115"/>
      <c r="H668" s="133"/>
      <c r="I668" s="103"/>
      <c r="J668" s="108"/>
      <c r="K668" s="112"/>
      <c r="L668" s="110"/>
      <c r="M668" s="111"/>
      <c r="N668" s="103"/>
      <c r="O668" s="112"/>
      <c r="P668" s="115"/>
      <c r="Q668" s="114"/>
      <c r="R668" s="108"/>
      <c r="S668" s="115" t="s">
        <v>200</v>
      </c>
      <c r="T668" s="103" t="b">
        <v>0</v>
      </c>
      <c r="U668" s="103"/>
      <c r="V668" s="103"/>
      <c r="W668" s="103"/>
      <c r="X668" s="103"/>
      <c r="Y668" s="103"/>
      <c r="Z668" s="103"/>
    </row>
    <row r="669">
      <c r="A669" s="110" t="s">
        <v>200</v>
      </c>
      <c r="B669" s="110"/>
      <c r="C669" s="110"/>
      <c r="D669" s="110"/>
      <c r="E669" s="110"/>
      <c r="F669" s="110"/>
      <c r="G669" s="115"/>
      <c r="H669" s="133"/>
      <c r="I669" s="103"/>
      <c r="J669" s="108"/>
      <c r="K669" s="112"/>
      <c r="L669" s="110"/>
      <c r="M669" s="111"/>
      <c r="N669" s="103"/>
      <c r="O669" s="112"/>
      <c r="P669" s="115"/>
      <c r="Q669" s="114"/>
      <c r="R669" s="108"/>
      <c r="S669" s="115" t="s">
        <v>200</v>
      </c>
      <c r="T669" s="103" t="b">
        <v>0</v>
      </c>
      <c r="U669" s="103"/>
      <c r="V669" s="103"/>
      <c r="W669" s="103"/>
      <c r="X669" s="103"/>
      <c r="Y669" s="103"/>
      <c r="Z669" s="103"/>
    </row>
    <row r="670">
      <c r="A670" s="110" t="s">
        <v>200</v>
      </c>
      <c r="B670" s="110"/>
      <c r="C670" s="110"/>
      <c r="D670" s="110"/>
      <c r="E670" s="110"/>
      <c r="F670" s="110"/>
      <c r="G670" s="115"/>
      <c r="H670" s="133"/>
      <c r="I670" s="103"/>
      <c r="J670" s="108"/>
      <c r="K670" s="112"/>
      <c r="L670" s="110"/>
      <c r="M670" s="111"/>
      <c r="N670" s="103"/>
      <c r="O670" s="112"/>
      <c r="P670" s="115"/>
      <c r="Q670" s="114"/>
      <c r="R670" s="108"/>
      <c r="S670" s="115" t="s">
        <v>200</v>
      </c>
      <c r="T670" s="103" t="b">
        <v>0</v>
      </c>
      <c r="U670" s="103"/>
      <c r="V670" s="103"/>
      <c r="W670" s="103"/>
      <c r="X670" s="103"/>
      <c r="Y670" s="103"/>
      <c r="Z670" s="103"/>
    </row>
    <row r="671">
      <c r="A671" s="110" t="s">
        <v>200</v>
      </c>
      <c r="B671" s="110"/>
      <c r="C671" s="110"/>
      <c r="D671" s="110"/>
      <c r="E671" s="110"/>
      <c r="F671" s="110"/>
      <c r="G671" s="115"/>
      <c r="H671" s="133"/>
      <c r="I671" s="103"/>
      <c r="J671" s="108"/>
      <c r="K671" s="112"/>
      <c r="L671" s="110"/>
      <c r="M671" s="111"/>
      <c r="N671" s="103"/>
      <c r="O671" s="112"/>
      <c r="P671" s="115"/>
      <c r="Q671" s="114"/>
      <c r="R671" s="108"/>
      <c r="S671" s="115" t="s">
        <v>200</v>
      </c>
      <c r="T671" s="103" t="b">
        <v>0</v>
      </c>
      <c r="U671" s="103"/>
      <c r="V671" s="103"/>
      <c r="W671" s="103"/>
      <c r="X671" s="103"/>
      <c r="Y671" s="103"/>
      <c r="Z671" s="103"/>
    </row>
    <row r="672">
      <c r="A672" s="110" t="s">
        <v>200</v>
      </c>
      <c r="B672" s="110"/>
      <c r="C672" s="110"/>
      <c r="D672" s="110"/>
      <c r="E672" s="110"/>
      <c r="F672" s="110"/>
      <c r="G672" s="115"/>
      <c r="H672" s="133"/>
      <c r="I672" s="103"/>
      <c r="J672" s="108"/>
      <c r="K672" s="112"/>
      <c r="L672" s="110"/>
      <c r="M672" s="111"/>
      <c r="N672" s="103"/>
      <c r="O672" s="112"/>
      <c r="P672" s="115"/>
      <c r="Q672" s="114"/>
      <c r="R672" s="108"/>
      <c r="S672" s="115" t="s">
        <v>200</v>
      </c>
      <c r="T672" s="103" t="b">
        <v>0</v>
      </c>
      <c r="U672" s="103"/>
      <c r="V672" s="103"/>
      <c r="W672" s="103"/>
      <c r="X672" s="103"/>
      <c r="Y672" s="103"/>
      <c r="Z672" s="103"/>
    </row>
    <row r="673">
      <c r="A673" s="110" t="s">
        <v>200</v>
      </c>
      <c r="B673" s="110"/>
      <c r="C673" s="110"/>
      <c r="D673" s="110"/>
      <c r="E673" s="110"/>
      <c r="F673" s="110"/>
      <c r="G673" s="115"/>
      <c r="H673" s="133"/>
      <c r="I673" s="103"/>
      <c r="J673" s="108"/>
      <c r="K673" s="112"/>
      <c r="L673" s="110"/>
      <c r="M673" s="111"/>
      <c r="N673" s="103"/>
      <c r="O673" s="112"/>
      <c r="P673" s="115"/>
      <c r="Q673" s="114"/>
      <c r="R673" s="108"/>
      <c r="S673" s="115" t="s">
        <v>200</v>
      </c>
      <c r="T673" s="103" t="b">
        <v>0</v>
      </c>
      <c r="U673" s="103"/>
      <c r="V673" s="103"/>
      <c r="W673" s="103"/>
      <c r="X673" s="103"/>
      <c r="Y673" s="103"/>
      <c r="Z673" s="103"/>
    </row>
    <row r="674">
      <c r="A674" s="110" t="s">
        <v>200</v>
      </c>
      <c r="B674" s="110"/>
      <c r="C674" s="110"/>
      <c r="D674" s="110"/>
      <c r="E674" s="110"/>
      <c r="F674" s="110"/>
      <c r="G674" s="115"/>
      <c r="H674" s="133"/>
      <c r="I674" s="103"/>
      <c r="J674" s="108"/>
      <c r="K674" s="112"/>
      <c r="L674" s="110"/>
      <c r="M674" s="111"/>
      <c r="N674" s="103"/>
      <c r="O674" s="112"/>
      <c r="P674" s="115"/>
      <c r="Q674" s="114"/>
      <c r="R674" s="108"/>
      <c r="S674" s="115" t="s">
        <v>200</v>
      </c>
      <c r="T674" s="103" t="b">
        <v>0</v>
      </c>
      <c r="U674" s="103"/>
      <c r="V674" s="103"/>
      <c r="W674" s="103"/>
      <c r="X674" s="103"/>
      <c r="Y674" s="103"/>
      <c r="Z674" s="103"/>
    </row>
    <row r="675">
      <c r="A675" s="110" t="s">
        <v>200</v>
      </c>
      <c r="B675" s="110"/>
      <c r="C675" s="110"/>
      <c r="D675" s="110"/>
      <c r="E675" s="110"/>
      <c r="F675" s="110"/>
      <c r="G675" s="115"/>
      <c r="H675" s="133"/>
      <c r="I675" s="103"/>
      <c r="J675" s="108"/>
      <c r="K675" s="112"/>
      <c r="L675" s="110"/>
      <c r="M675" s="111"/>
      <c r="N675" s="103"/>
      <c r="O675" s="112"/>
      <c r="P675" s="115"/>
      <c r="Q675" s="114"/>
      <c r="R675" s="108"/>
      <c r="S675" s="115" t="s">
        <v>200</v>
      </c>
      <c r="T675" s="103" t="b">
        <v>0</v>
      </c>
      <c r="U675" s="103"/>
      <c r="V675" s="103"/>
      <c r="W675" s="103"/>
      <c r="X675" s="103"/>
      <c r="Y675" s="103"/>
      <c r="Z675" s="103"/>
    </row>
    <row r="676">
      <c r="A676" s="110" t="s">
        <v>200</v>
      </c>
      <c r="B676" s="110"/>
      <c r="C676" s="110"/>
      <c r="D676" s="110"/>
      <c r="E676" s="110"/>
      <c r="F676" s="110"/>
      <c r="G676" s="115"/>
      <c r="H676" s="133"/>
      <c r="I676" s="103"/>
      <c r="J676" s="108"/>
      <c r="K676" s="112"/>
      <c r="L676" s="110"/>
      <c r="M676" s="111"/>
      <c r="N676" s="103"/>
      <c r="O676" s="112"/>
      <c r="P676" s="115"/>
      <c r="Q676" s="114"/>
      <c r="R676" s="108"/>
      <c r="S676" s="115" t="s">
        <v>200</v>
      </c>
      <c r="T676" s="103" t="b">
        <v>0</v>
      </c>
      <c r="U676" s="103"/>
      <c r="V676" s="103"/>
      <c r="W676" s="103"/>
      <c r="X676" s="103"/>
      <c r="Y676" s="103"/>
      <c r="Z676" s="103"/>
    </row>
    <row r="677">
      <c r="A677" s="110" t="s">
        <v>200</v>
      </c>
      <c r="B677" s="110"/>
      <c r="C677" s="110"/>
      <c r="D677" s="110"/>
      <c r="E677" s="110"/>
      <c r="F677" s="110"/>
      <c r="G677" s="115"/>
      <c r="H677" s="133"/>
      <c r="I677" s="103"/>
      <c r="J677" s="108"/>
      <c r="K677" s="112"/>
      <c r="L677" s="110"/>
      <c r="M677" s="111"/>
      <c r="N677" s="103"/>
      <c r="O677" s="112"/>
      <c r="P677" s="115"/>
      <c r="Q677" s="114"/>
      <c r="R677" s="108"/>
      <c r="S677" s="115" t="s">
        <v>200</v>
      </c>
      <c r="T677" s="103" t="b">
        <v>0</v>
      </c>
      <c r="U677" s="103"/>
      <c r="V677" s="103"/>
      <c r="W677" s="103"/>
      <c r="X677" s="103"/>
      <c r="Y677" s="103"/>
      <c r="Z677" s="103"/>
    </row>
    <row r="678">
      <c r="A678" s="110" t="s">
        <v>200</v>
      </c>
      <c r="B678" s="110"/>
      <c r="C678" s="110"/>
      <c r="D678" s="110"/>
      <c r="E678" s="110"/>
      <c r="F678" s="110"/>
      <c r="G678" s="115"/>
      <c r="H678" s="133"/>
      <c r="I678" s="103"/>
      <c r="J678" s="108"/>
      <c r="K678" s="112"/>
      <c r="L678" s="110"/>
      <c r="M678" s="111"/>
      <c r="N678" s="103"/>
      <c r="O678" s="112"/>
      <c r="P678" s="115"/>
      <c r="Q678" s="114"/>
      <c r="R678" s="108"/>
      <c r="S678" s="115" t="s">
        <v>200</v>
      </c>
      <c r="T678" s="103" t="b">
        <v>0</v>
      </c>
      <c r="U678" s="103"/>
      <c r="V678" s="103"/>
      <c r="W678" s="103"/>
      <c r="X678" s="103"/>
      <c r="Y678" s="103"/>
      <c r="Z678" s="103"/>
    </row>
    <row r="679">
      <c r="A679" s="110" t="s">
        <v>200</v>
      </c>
      <c r="B679" s="110"/>
      <c r="C679" s="110"/>
      <c r="D679" s="110"/>
      <c r="E679" s="110"/>
      <c r="F679" s="110"/>
      <c r="G679" s="115"/>
      <c r="H679" s="133"/>
      <c r="I679" s="103"/>
      <c r="J679" s="108"/>
      <c r="K679" s="112"/>
      <c r="L679" s="110"/>
      <c r="M679" s="111"/>
      <c r="N679" s="103"/>
      <c r="O679" s="112"/>
      <c r="P679" s="115"/>
      <c r="Q679" s="114"/>
      <c r="R679" s="108"/>
      <c r="S679" s="115" t="s">
        <v>200</v>
      </c>
      <c r="T679" s="103" t="b">
        <v>0</v>
      </c>
      <c r="U679" s="103"/>
      <c r="V679" s="103"/>
      <c r="W679" s="103"/>
      <c r="X679" s="103"/>
      <c r="Y679" s="103"/>
      <c r="Z679" s="103"/>
    </row>
    <row r="680">
      <c r="A680" s="110" t="s">
        <v>200</v>
      </c>
      <c r="B680" s="110"/>
      <c r="C680" s="110"/>
      <c r="D680" s="110"/>
      <c r="E680" s="110"/>
      <c r="F680" s="110"/>
      <c r="G680" s="115"/>
      <c r="H680" s="133"/>
      <c r="I680" s="103"/>
      <c r="J680" s="108"/>
      <c r="K680" s="112"/>
      <c r="L680" s="110"/>
      <c r="M680" s="111"/>
      <c r="N680" s="103"/>
      <c r="O680" s="112"/>
      <c r="P680" s="115"/>
      <c r="Q680" s="114"/>
      <c r="R680" s="108"/>
      <c r="S680" s="115" t="s">
        <v>200</v>
      </c>
      <c r="T680" s="103" t="b">
        <v>0</v>
      </c>
      <c r="U680" s="103"/>
      <c r="V680" s="103"/>
      <c r="W680" s="103"/>
      <c r="X680" s="103"/>
      <c r="Y680" s="103"/>
      <c r="Z680" s="103"/>
    </row>
    <row r="681">
      <c r="A681" s="110" t="s">
        <v>200</v>
      </c>
      <c r="B681" s="110"/>
      <c r="C681" s="110"/>
      <c r="D681" s="110"/>
      <c r="E681" s="110"/>
      <c r="F681" s="110"/>
      <c r="G681" s="115"/>
      <c r="H681" s="133"/>
      <c r="I681" s="103"/>
      <c r="J681" s="108"/>
      <c r="K681" s="112"/>
      <c r="L681" s="110"/>
      <c r="M681" s="111"/>
      <c r="N681" s="103"/>
      <c r="O681" s="112"/>
      <c r="P681" s="115"/>
      <c r="Q681" s="114"/>
      <c r="R681" s="108"/>
      <c r="S681" s="115" t="s">
        <v>200</v>
      </c>
      <c r="T681" s="103" t="b">
        <v>0</v>
      </c>
      <c r="U681" s="103"/>
      <c r="V681" s="103"/>
      <c r="W681" s="103"/>
      <c r="X681" s="103"/>
      <c r="Y681" s="103"/>
      <c r="Z681" s="103"/>
    </row>
    <row r="682">
      <c r="A682" s="110" t="s">
        <v>200</v>
      </c>
      <c r="B682" s="110"/>
      <c r="C682" s="110"/>
      <c r="D682" s="110"/>
      <c r="E682" s="110"/>
      <c r="F682" s="110"/>
      <c r="G682" s="115"/>
      <c r="H682" s="133"/>
      <c r="I682" s="103"/>
      <c r="J682" s="108"/>
      <c r="K682" s="112"/>
      <c r="L682" s="110"/>
      <c r="M682" s="111"/>
      <c r="N682" s="103"/>
      <c r="O682" s="112"/>
      <c r="P682" s="115"/>
      <c r="Q682" s="114"/>
      <c r="R682" s="108"/>
      <c r="S682" s="115" t="s">
        <v>200</v>
      </c>
      <c r="T682" s="103" t="b">
        <v>0</v>
      </c>
      <c r="U682" s="103"/>
      <c r="V682" s="103"/>
      <c r="W682" s="103"/>
      <c r="X682" s="103"/>
      <c r="Y682" s="103"/>
      <c r="Z682" s="103"/>
    </row>
    <row r="683">
      <c r="A683" s="110" t="s">
        <v>200</v>
      </c>
      <c r="B683" s="110"/>
      <c r="C683" s="110"/>
      <c r="D683" s="110"/>
      <c r="E683" s="110"/>
      <c r="F683" s="110"/>
      <c r="G683" s="115"/>
      <c r="H683" s="133"/>
      <c r="I683" s="103"/>
      <c r="J683" s="108"/>
      <c r="K683" s="112"/>
      <c r="L683" s="110"/>
      <c r="M683" s="111"/>
      <c r="N683" s="103"/>
      <c r="O683" s="112"/>
      <c r="P683" s="115"/>
      <c r="Q683" s="114"/>
      <c r="R683" s="108"/>
      <c r="S683" s="115" t="s">
        <v>200</v>
      </c>
      <c r="T683" s="103" t="b">
        <v>0</v>
      </c>
      <c r="U683" s="103"/>
      <c r="V683" s="103"/>
      <c r="W683" s="103"/>
      <c r="X683" s="103"/>
      <c r="Y683" s="103"/>
      <c r="Z683" s="103"/>
    </row>
    <row r="684">
      <c r="A684" s="110" t="s">
        <v>200</v>
      </c>
      <c r="B684" s="110"/>
      <c r="C684" s="110"/>
      <c r="D684" s="110"/>
      <c r="E684" s="110"/>
      <c r="F684" s="110"/>
      <c r="G684" s="115"/>
      <c r="H684" s="133"/>
      <c r="I684" s="103"/>
      <c r="J684" s="108"/>
      <c r="K684" s="112"/>
      <c r="L684" s="110"/>
      <c r="M684" s="111"/>
      <c r="N684" s="103"/>
      <c r="O684" s="112"/>
      <c r="P684" s="115"/>
      <c r="Q684" s="114"/>
      <c r="R684" s="108"/>
      <c r="S684" s="115" t="s">
        <v>200</v>
      </c>
      <c r="T684" s="103" t="b">
        <v>0</v>
      </c>
      <c r="U684" s="103"/>
      <c r="V684" s="103"/>
      <c r="W684" s="103"/>
      <c r="X684" s="103"/>
      <c r="Y684" s="103"/>
      <c r="Z684" s="103"/>
    </row>
    <row r="685">
      <c r="A685" s="110" t="s">
        <v>200</v>
      </c>
      <c r="B685" s="110"/>
      <c r="C685" s="110"/>
      <c r="D685" s="110"/>
      <c r="E685" s="110"/>
      <c r="F685" s="110"/>
      <c r="G685" s="115"/>
      <c r="H685" s="133"/>
      <c r="I685" s="103"/>
      <c r="J685" s="108"/>
      <c r="K685" s="112"/>
      <c r="L685" s="110"/>
      <c r="M685" s="111"/>
      <c r="N685" s="103"/>
      <c r="O685" s="112"/>
      <c r="P685" s="115"/>
      <c r="Q685" s="114"/>
      <c r="R685" s="108"/>
      <c r="S685" s="115" t="s">
        <v>200</v>
      </c>
      <c r="T685" s="103" t="b">
        <v>0</v>
      </c>
      <c r="U685" s="103"/>
      <c r="V685" s="103"/>
      <c r="W685" s="103"/>
      <c r="X685" s="103"/>
      <c r="Y685" s="103"/>
      <c r="Z685" s="103"/>
    </row>
    <row r="686">
      <c r="A686" s="110" t="s">
        <v>200</v>
      </c>
      <c r="B686" s="110"/>
      <c r="C686" s="110"/>
      <c r="D686" s="110"/>
      <c r="E686" s="110"/>
      <c r="F686" s="110"/>
      <c r="G686" s="115"/>
      <c r="H686" s="133"/>
      <c r="I686" s="103"/>
      <c r="J686" s="108"/>
      <c r="K686" s="112"/>
      <c r="L686" s="110"/>
      <c r="M686" s="111"/>
      <c r="N686" s="103"/>
      <c r="O686" s="112"/>
      <c r="P686" s="115"/>
      <c r="Q686" s="114"/>
      <c r="R686" s="108"/>
      <c r="S686" s="115" t="s">
        <v>200</v>
      </c>
      <c r="T686" s="103" t="b">
        <v>0</v>
      </c>
      <c r="U686" s="103"/>
      <c r="V686" s="103"/>
      <c r="W686" s="103"/>
      <c r="X686" s="103"/>
      <c r="Y686" s="103"/>
      <c r="Z686" s="103"/>
    </row>
    <row r="687">
      <c r="A687" s="110" t="s">
        <v>200</v>
      </c>
      <c r="B687" s="110"/>
      <c r="C687" s="110"/>
      <c r="D687" s="110"/>
      <c r="E687" s="110"/>
      <c r="F687" s="110"/>
      <c r="G687" s="115"/>
      <c r="H687" s="133"/>
      <c r="I687" s="103"/>
      <c r="J687" s="108"/>
      <c r="K687" s="112"/>
      <c r="L687" s="110"/>
      <c r="M687" s="111"/>
      <c r="N687" s="103"/>
      <c r="O687" s="112"/>
      <c r="P687" s="115"/>
      <c r="Q687" s="114"/>
      <c r="R687" s="108"/>
      <c r="S687" s="115" t="s">
        <v>200</v>
      </c>
      <c r="T687" s="103" t="b">
        <v>0</v>
      </c>
      <c r="U687" s="103"/>
      <c r="V687" s="103"/>
      <c r="W687" s="103"/>
      <c r="X687" s="103"/>
      <c r="Y687" s="103"/>
      <c r="Z687" s="103"/>
    </row>
    <row r="688">
      <c r="A688" s="110" t="s">
        <v>200</v>
      </c>
      <c r="B688" s="110"/>
      <c r="C688" s="110"/>
      <c r="D688" s="110"/>
      <c r="E688" s="110"/>
      <c r="F688" s="110"/>
      <c r="G688" s="115"/>
      <c r="H688" s="133"/>
      <c r="I688" s="103"/>
      <c r="J688" s="108"/>
      <c r="K688" s="112"/>
      <c r="L688" s="110"/>
      <c r="M688" s="111"/>
      <c r="N688" s="103"/>
      <c r="O688" s="112"/>
      <c r="P688" s="115"/>
      <c r="Q688" s="114"/>
      <c r="R688" s="108"/>
      <c r="S688" s="115" t="s">
        <v>200</v>
      </c>
      <c r="T688" s="103" t="b">
        <v>0</v>
      </c>
      <c r="U688" s="103"/>
      <c r="V688" s="103"/>
      <c r="W688" s="103"/>
      <c r="X688" s="103"/>
      <c r="Y688" s="103"/>
      <c r="Z688" s="103"/>
    </row>
    <row r="689">
      <c r="A689" s="110" t="s">
        <v>200</v>
      </c>
      <c r="B689" s="110"/>
      <c r="C689" s="110"/>
      <c r="D689" s="110"/>
      <c r="E689" s="110"/>
      <c r="F689" s="110"/>
      <c r="G689" s="115"/>
      <c r="H689" s="133"/>
      <c r="I689" s="103"/>
      <c r="J689" s="108"/>
      <c r="K689" s="112"/>
      <c r="L689" s="110"/>
      <c r="M689" s="111"/>
      <c r="N689" s="103"/>
      <c r="O689" s="112"/>
      <c r="P689" s="115"/>
      <c r="Q689" s="114"/>
      <c r="R689" s="108"/>
      <c r="S689" s="115" t="s">
        <v>200</v>
      </c>
      <c r="T689" s="103" t="b">
        <v>0</v>
      </c>
      <c r="U689" s="103"/>
      <c r="V689" s="103"/>
      <c r="W689" s="103"/>
      <c r="X689" s="103"/>
      <c r="Y689" s="103"/>
      <c r="Z689" s="103"/>
    </row>
    <row r="690">
      <c r="A690" s="110" t="s">
        <v>200</v>
      </c>
      <c r="B690" s="110"/>
      <c r="C690" s="110"/>
      <c r="D690" s="110"/>
      <c r="E690" s="110"/>
      <c r="F690" s="110"/>
      <c r="G690" s="115"/>
      <c r="H690" s="133"/>
      <c r="I690" s="103"/>
      <c r="J690" s="108"/>
      <c r="K690" s="112"/>
      <c r="L690" s="110"/>
      <c r="M690" s="111"/>
      <c r="N690" s="103"/>
      <c r="O690" s="112"/>
      <c r="P690" s="115"/>
      <c r="Q690" s="114"/>
      <c r="R690" s="108"/>
      <c r="S690" s="115" t="s">
        <v>200</v>
      </c>
      <c r="T690" s="103" t="b">
        <v>0</v>
      </c>
      <c r="U690" s="103"/>
      <c r="V690" s="103"/>
      <c r="W690" s="103"/>
      <c r="X690" s="103"/>
      <c r="Y690" s="103"/>
      <c r="Z690" s="103"/>
    </row>
    <row r="691">
      <c r="A691" s="110" t="s">
        <v>200</v>
      </c>
      <c r="B691" s="110"/>
      <c r="C691" s="110"/>
      <c r="D691" s="110"/>
      <c r="E691" s="110"/>
      <c r="F691" s="110"/>
      <c r="G691" s="115"/>
      <c r="H691" s="133"/>
      <c r="I691" s="103"/>
      <c r="J691" s="108"/>
      <c r="K691" s="112"/>
      <c r="L691" s="110"/>
      <c r="M691" s="111"/>
      <c r="N691" s="103"/>
      <c r="O691" s="112"/>
      <c r="P691" s="115"/>
      <c r="Q691" s="114"/>
      <c r="R691" s="108"/>
      <c r="S691" s="115" t="s">
        <v>200</v>
      </c>
      <c r="T691" s="103" t="b">
        <v>0</v>
      </c>
      <c r="U691" s="103"/>
      <c r="V691" s="103"/>
      <c r="W691" s="103"/>
      <c r="X691" s="103"/>
      <c r="Y691" s="103"/>
      <c r="Z691" s="103"/>
    </row>
    <row r="692">
      <c r="A692" s="110" t="s">
        <v>200</v>
      </c>
      <c r="B692" s="110"/>
      <c r="C692" s="110"/>
      <c r="D692" s="110"/>
      <c r="E692" s="110"/>
      <c r="F692" s="110"/>
      <c r="G692" s="115"/>
      <c r="H692" s="133"/>
      <c r="I692" s="103"/>
      <c r="J692" s="108"/>
      <c r="K692" s="112"/>
      <c r="L692" s="110"/>
      <c r="M692" s="111"/>
      <c r="N692" s="103"/>
      <c r="O692" s="112"/>
      <c r="P692" s="115"/>
      <c r="Q692" s="114"/>
      <c r="R692" s="108"/>
      <c r="S692" s="115" t="s">
        <v>200</v>
      </c>
      <c r="T692" s="103" t="b">
        <v>0</v>
      </c>
      <c r="U692" s="103"/>
      <c r="V692" s="103"/>
      <c r="W692" s="103"/>
      <c r="X692" s="103"/>
      <c r="Y692" s="103"/>
      <c r="Z692" s="103"/>
    </row>
    <row r="693">
      <c r="A693" s="110" t="s">
        <v>200</v>
      </c>
      <c r="B693" s="110"/>
      <c r="C693" s="110"/>
      <c r="D693" s="110"/>
      <c r="E693" s="110"/>
      <c r="F693" s="110"/>
      <c r="G693" s="115"/>
      <c r="H693" s="133"/>
      <c r="I693" s="103"/>
      <c r="J693" s="108"/>
      <c r="K693" s="112"/>
      <c r="L693" s="110"/>
      <c r="M693" s="111"/>
      <c r="N693" s="103"/>
      <c r="O693" s="112"/>
      <c r="P693" s="115"/>
      <c r="Q693" s="114"/>
      <c r="R693" s="108"/>
      <c r="S693" s="115" t="s">
        <v>200</v>
      </c>
      <c r="T693" s="103" t="b">
        <v>0</v>
      </c>
      <c r="U693" s="103"/>
      <c r="V693" s="103"/>
      <c r="W693" s="103"/>
      <c r="X693" s="103"/>
      <c r="Y693" s="103"/>
      <c r="Z693" s="103"/>
    </row>
    <row r="694">
      <c r="A694" s="110" t="s">
        <v>200</v>
      </c>
      <c r="B694" s="110"/>
      <c r="C694" s="110"/>
      <c r="D694" s="110"/>
      <c r="E694" s="110"/>
      <c r="F694" s="110"/>
      <c r="G694" s="115"/>
      <c r="H694" s="133"/>
      <c r="I694" s="103"/>
      <c r="J694" s="108"/>
      <c r="K694" s="112"/>
      <c r="L694" s="110"/>
      <c r="M694" s="111"/>
      <c r="N694" s="103"/>
      <c r="O694" s="112"/>
      <c r="P694" s="115"/>
      <c r="Q694" s="114"/>
      <c r="R694" s="108"/>
      <c r="S694" s="115" t="s">
        <v>200</v>
      </c>
      <c r="T694" s="103" t="b">
        <v>0</v>
      </c>
      <c r="U694" s="103"/>
      <c r="V694" s="103"/>
      <c r="W694" s="103"/>
      <c r="X694" s="103"/>
      <c r="Y694" s="103"/>
      <c r="Z694" s="103"/>
    </row>
    <row r="695">
      <c r="A695" s="110" t="s">
        <v>200</v>
      </c>
      <c r="B695" s="110"/>
      <c r="C695" s="110"/>
      <c r="D695" s="110"/>
      <c r="E695" s="110"/>
      <c r="F695" s="110"/>
      <c r="G695" s="115"/>
      <c r="H695" s="133"/>
      <c r="I695" s="103"/>
      <c r="J695" s="108"/>
      <c r="K695" s="112"/>
      <c r="L695" s="110"/>
      <c r="M695" s="111"/>
      <c r="N695" s="103"/>
      <c r="O695" s="112"/>
      <c r="P695" s="115"/>
      <c r="Q695" s="114"/>
      <c r="R695" s="108"/>
      <c r="S695" s="115" t="s">
        <v>200</v>
      </c>
      <c r="T695" s="103" t="b">
        <v>0</v>
      </c>
      <c r="U695" s="103"/>
      <c r="V695" s="103"/>
      <c r="W695" s="103"/>
      <c r="X695" s="103"/>
      <c r="Y695" s="103"/>
      <c r="Z695" s="103"/>
    </row>
    <row r="696">
      <c r="A696" s="110" t="s">
        <v>200</v>
      </c>
      <c r="B696" s="110"/>
      <c r="C696" s="110"/>
      <c r="D696" s="110"/>
      <c r="E696" s="110"/>
      <c r="F696" s="110"/>
      <c r="G696" s="115"/>
      <c r="H696" s="133"/>
      <c r="I696" s="103"/>
      <c r="J696" s="108"/>
      <c r="K696" s="112"/>
      <c r="L696" s="110"/>
      <c r="M696" s="111"/>
      <c r="N696" s="103"/>
      <c r="O696" s="112"/>
      <c r="P696" s="115"/>
      <c r="Q696" s="114"/>
      <c r="R696" s="108"/>
      <c r="S696" s="115" t="s">
        <v>200</v>
      </c>
      <c r="T696" s="103" t="b">
        <v>0</v>
      </c>
      <c r="U696" s="103"/>
      <c r="V696" s="103"/>
      <c r="W696" s="103"/>
      <c r="X696" s="103"/>
      <c r="Y696" s="103"/>
      <c r="Z696" s="103"/>
    </row>
    <row r="697">
      <c r="A697" s="110" t="s">
        <v>200</v>
      </c>
      <c r="B697" s="110"/>
      <c r="C697" s="110"/>
      <c r="D697" s="110"/>
      <c r="E697" s="110"/>
      <c r="F697" s="110"/>
      <c r="G697" s="115"/>
      <c r="H697" s="133"/>
      <c r="I697" s="103"/>
      <c r="J697" s="108"/>
      <c r="K697" s="112"/>
      <c r="L697" s="110"/>
      <c r="M697" s="111"/>
      <c r="N697" s="103"/>
      <c r="O697" s="112"/>
      <c r="P697" s="115"/>
      <c r="Q697" s="114"/>
      <c r="R697" s="108"/>
      <c r="S697" s="115" t="s">
        <v>200</v>
      </c>
      <c r="T697" s="103" t="b">
        <v>0</v>
      </c>
      <c r="U697" s="103"/>
      <c r="V697" s="103"/>
      <c r="W697" s="103"/>
      <c r="X697" s="103"/>
      <c r="Y697" s="103"/>
      <c r="Z697" s="103"/>
    </row>
    <row r="698">
      <c r="A698" s="110" t="s">
        <v>200</v>
      </c>
      <c r="B698" s="110"/>
      <c r="C698" s="110"/>
      <c r="D698" s="110"/>
      <c r="E698" s="110"/>
      <c r="F698" s="110"/>
      <c r="G698" s="115"/>
      <c r="H698" s="133"/>
      <c r="I698" s="103"/>
      <c r="J698" s="108"/>
      <c r="K698" s="112"/>
      <c r="L698" s="110"/>
      <c r="M698" s="111"/>
      <c r="N698" s="103"/>
      <c r="O698" s="112"/>
      <c r="P698" s="115"/>
      <c r="Q698" s="114"/>
      <c r="R698" s="108"/>
      <c r="S698" s="115" t="s">
        <v>200</v>
      </c>
      <c r="T698" s="103" t="b">
        <v>0</v>
      </c>
      <c r="U698" s="103"/>
      <c r="V698" s="103"/>
      <c r="W698" s="103"/>
      <c r="X698" s="103"/>
      <c r="Y698" s="103"/>
      <c r="Z698" s="103"/>
    </row>
    <row r="699">
      <c r="A699" s="110" t="s">
        <v>200</v>
      </c>
      <c r="B699" s="110"/>
      <c r="C699" s="110"/>
      <c r="D699" s="110"/>
      <c r="E699" s="110"/>
      <c r="F699" s="110"/>
      <c r="G699" s="115"/>
      <c r="H699" s="133"/>
      <c r="I699" s="103"/>
      <c r="J699" s="108"/>
      <c r="K699" s="112"/>
      <c r="L699" s="110"/>
      <c r="M699" s="111"/>
      <c r="N699" s="103"/>
      <c r="O699" s="112"/>
      <c r="P699" s="115"/>
      <c r="Q699" s="114"/>
      <c r="R699" s="108"/>
      <c r="S699" s="115" t="s">
        <v>200</v>
      </c>
      <c r="T699" s="103" t="b">
        <v>0</v>
      </c>
      <c r="U699" s="103"/>
      <c r="V699" s="103"/>
      <c r="W699" s="103"/>
      <c r="X699" s="103"/>
      <c r="Y699" s="103"/>
      <c r="Z699" s="103"/>
    </row>
    <row r="700">
      <c r="A700" s="110" t="s">
        <v>200</v>
      </c>
      <c r="B700" s="110"/>
      <c r="C700" s="110"/>
      <c r="D700" s="110"/>
      <c r="E700" s="110"/>
      <c r="F700" s="110"/>
      <c r="G700" s="115"/>
      <c r="H700" s="133"/>
      <c r="I700" s="103"/>
      <c r="J700" s="108"/>
      <c r="K700" s="112"/>
      <c r="L700" s="110"/>
      <c r="M700" s="111"/>
      <c r="N700" s="103"/>
      <c r="O700" s="112"/>
      <c r="P700" s="115"/>
      <c r="Q700" s="114"/>
      <c r="R700" s="108"/>
      <c r="S700" s="115" t="s">
        <v>200</v>
      </c>
      <c r="T700" s="103" t="b">
        <v>0</v>
      </c>
      <c r="U700" s="103"/>
      <c r="V700" s="103"/>
      <c r="W700" s="103"/>
      <c r="X700" s="103"/>
      <c r="Y700" s="103"/>
      <c r="Z700" s="103"/>
    </row>
    <row r="701">
      <c r="A701" s="110" t="s">
        <v>200</v>
      </c>
      <c r="B701" s="110"/>
      <c r="C701" s="110"/>
      <c r="D701" s="110"/>
      <c r="E701" s="110"/>
      <c r="F701" s="110"/>
      <c r="G701" s="115"/>
      <c r="H701" s="133"/>
      <c r="I701" s="103"/>
      <c r="J701" s="108"/>
      <c r="K701" s="112"/>
      <c r="L701" s="110"/>
      <c r="M701" s="111"/>
      <c r="N701" s="103"/>
      <c r="O701" s="112"/>
      <c r="P701" s="115"/>
      <c r="Q701" s="114"/>
      <c r="R701" s="108"/>
      <c r="S701" s="115" t="s">
        <v>200</v>
      </c>
      <c r="T701" s="103" t="b">
        <v>0</v>
      </c>
      <c r="U701" s="103"/>
      <c r="V701" s="103"/>
      <c r="W701" s="103"/>
      <c r="X701" s="103"/>
      <c r="Y701" s="103"/>
      <c r="Z701" s="103"/>
    </row>
    <row r="702">
      <c r="A702" s="110" t="s">
        <v>200</v>
      </c>
      <c r="B702" s="110"/>
      <c r="C702" s="110"/>
      <c r="D702" s="110"/>
      <c r="E702" s="110"/>
      <c r="F702" s="110"/>
      <c r="G702" s="115"/>
      <c r="H702" s="133"/>
      <c r="I702" s="103"/>
      <c r="J702" s="108"/>
      <c r="K702" s="112"/>
      <c r="L702" s="110"/>
      <c r="M702" s="111"/>
      <c r="N702" s="103"/>
      <c r="O702" s="112"/>
      <c r="P702" s="115"/>
      <c r="Q702" s="114"/>
      <c r="R702" s="108"/>
      <c r="S702" s="115" t="s">
        <v>200</v>
      </c>
      <c r="T702" s="103" t="b">
        <v>0</v>
      </c>
      <c r="U702" s="103"/>
      <c r="V702" s="103"/>
      <c r="W702" s="103"/>
      <c r="X702" s="103"/>
      <c r="Y702" s="103"/>
      <c r="Z702" s="103"/>
    </row>
    <row r="703">
      <c r="A703" s="110" t="s">
        <v>200</v>
      </c>
      <c r="B703" s="110"/>
      <c r="C703" s="110"/>
      <c r="D703" s="110"/>
      <c r="E703" s="110"/>
      <c r="F703" s="110"/>
      <c r="G703" s="115"/>
      <c r="H703" s="133"/>
      <c r="I703" s="103"/>
      <c r="J703" s="108"/>
      <c r="K703" s="112"/>
      <c r="L703" s="110"/>
      <c r="M703" s="111"/>
      <c r="N703" s="103"/>
      <c r="O703" s="112"/>
      <c r="P703" s="115"/>
      <c r="Q703" s="114"/>
      <c r="R703" s="108"/>
      <c r="S703" s="115" t="s">
        <v>200</v>
      </c>
      <c r="T703" s="103" t="b">
        <v>0</v>
      </c>
      <c r="U703" s="103"/>
      <c r="V703" s="103"/>
      <c r="W703" s="103"/>
      <c r="X703" s="103"/>
      <c r="Y703" s="103"/>
      <c r="Z703" s="103"/>
    </row>
    <row r="704">
      <c r="A704" s="110" t="s">
        <v>200</v>
      </c>
      <c r="B704" s="110"/>
      <c r="C704" s="110"/>
      <c r="D704" s="110"/>
      <c r="E704" s="110"/>
      <c r="F704" s="110"/>
      <c r="G704" s="115"/>
      <c r="H704" s="133"/>
      <c r="I704" s="103"/>
      <c r="J704" s="108"/>
      <c r="K704" s="112"/>
      <c r="L704" s="110"/>
      <c r="M704" s="111"/>
      <c r="N704" s="103"/>
      <c r="O704" s="112"/>
      <c r="P704" s="115"/>
      <c r="Q704" s="114"/>
      <c r="R704" s="108"/>
      <c r="S704" s="115" t="s">
        <v>200</v>
      </c>
      <c r="T704" s="103" t="b">
        <v>0</v>
      </c>
      <c r="U704" s="103"/>
      <c r="V704" s="103"/>
      <c r="W704" s="103"/>
      <c r="X704" s="103"/>
      <c r="Y704" s="103"/>
      <c r="Z704" s="103"/>
    </row>
    <row r="705">
      <c r="A705" s="110" t="s">
        <v>200</v>
      </c>
      <c r="B705" s="110"/>
      <c r="C705" s="110"/>
      <c r="D705" s="110"/>
      <c r="E705" s="110"/>
      <c r="F705" s="110"/>
      <c r="G705" s="115"/>
      <c r="H705" s="133"/>
      <c r="I705" s="103"/>
      <c r="J705" s="108"/>
      <c r="K705" s="112"/>
      <c r="L705" s="110"/>
      <c r="M705" s="111"/>
      <c r="N705" s="103"/>
      <c r="O705" s="112"/>
      <c r="P705" s="115"/>
      <c r="Q705" s="114"/>
      <c r="R705" s="108"/>
      <c r="S705" s="115" t="s">
        <v>200</v>
      </c>
      <c r="T705" s="103" t="b">
        <v>0</v>
      </c>
      <c r="U705" s="103"/>
      <c r="V705" s="103"/>
      <c r="W705" s="103"/>
      <c r="X705" s="103"/>
      <c r="Y705" s="103"/>
      <c r="Z705" s="103"/>
    </row>
    <row r="706">
      <c r="A706" s="110" t="s">
        <v>200</v>
      </c>
      <c r="B706" s="110"/>
      <c r="C706" s="110"/>
      <c r="D706" s="110"/>
      <c r="E706" s="110"/>
      <c r="F706" s="110"/>
      <c r="G706" s="115"/>
      <c r="H706" s="133"/>
      <c r="I706" s="103"/>
      <c r="J706" s="108"/>
      <c r="K706" s="112"/>
      <c r="L706" s="110"/>
      <c r="M706" s="111"/>
      <c r="N706" s="103"/>
      <c r="O706" s="112"/>
      <c r="P706" s="115"/>
      <c r="Q706" s="114"/>
      <c r="R706" s="108"/>
      <c r="S706" s="115" t="s">
        <v>200</v>
      </c>
      <c r="T706" s="103" t="b">
        <v>0</v>
      </c>
      <c r="U706" s="103"/>
      <c r="V706" s="103"/>
      <c r="W706" s="103"/>
      <c r="X706" s="103"/>
      <c r="Y706" s="103"/>
      <c r="Z706" s="103"/>
    </row>
    <row r="707">
      <c r="A707" s="110" t="s">
        <v>200</v>
      </c>
      <c r="B707" s="110"/>
      <c r="C707" s="110"/>
      <c r="D707" s="110"/>
      <c r="E707" s="110"/>
      <c r="F707" s="110"/>
      <c r="G707" s="115"/>
      <c r="H707" s="133"/>
      <c r="I707" s="103"/>
      <c r="J707" s="108"/>
      <c r="K707" s="112"/>
      <c r="L707" s="110"/>
      <c r="M707" s="111"/>
      <c r="N707" s="103"/>
      <c r="O707" s="112"/>
      <c r="P707" s="115"/>
      <c r="Q707" s="114"/>
      <c r="R707" s="108"/>
      <c r="S707" s="115" t="s">
        <v>200</v>
      </c>
      <c r="T707" s="103" t="b">
        <v>0</v>
      </c>
      <c r="U707" s="103"/>
      <c r="V707" s="103"/>
      <c r="W707" s="103"/>
      <c r="X707" s="103"/>
      <c r="Y707" s="103"/>
      <c r="Z707" s="103"/>
    </row>
    <row r="708">
      <c r="A708" s="110" t="s">
        <v>200</v>
      </c>
      <c r="B708" s="110"/>
      <c r="C708" s="110"/>
      <c r="D708" s="110"/>
      <c r="E708" s="110"/>
      <c r="F708" s="110"/>
      <c r="G708" s="115"/>
      <c r="H708" s="133"/>
      <c r="I708" s="103"/>
      <c r="J708" s="108"/>
      <c r="K708" s="112"/>
      <c r="L708" s="110"/>
      <c r="M708" s="111"/>
      <c r="N708" s="103"/>
      <c r="O708" s="112"/>
      <c r="P708" s="115"/>
      <c r="Q708" s="114"/>
      <c r="R708" s="108"/>
      <c r="S708" s="115" t="s">
        <v>200</v>
      </c>
      <c r="T708" s="103" t="b">
        <v>0</v>
      </c>
      <c r="U708" s="103"/>
      <c r="V708" s="103"/>
      <c r="W708" s="103"/>
      <c r="X708" s="103"/>
      <c r="Y708" s="103"/>
      <c r="Z708" s="103"/>
    </row>
    <row r="709">
      <c r="A709" s="110" t="s">
        <v>200</v>
      </c>
      <c r="B709" s="110"/>
      <c r="C709" s="110"/>
      <c r="D709" s="110"/>
      <c r="E709" s="110"/>
      <c r="F709" s="110"/>
      <c r="G709" s="115"/>
      <c r="H709" s="133"/>
      <c r="I709" s="103"/>
      <c r="J709" s="108"/>
      <c r="K709" s="112"/>
      <c r="L709" s="110"/>
      <c r="M709" s="111"/>
      <c r="N709" s="103"/>
      <c r="O709" s="112"/>
      <c r="P709" s="115"/>
      <c r="Q709" s="114"/>
      <c r="R709" s="108"/>
      <c r="S709" s="115" t="s">
        <v>200</v>
      </c>
      <c r="T709" s="103" t="b">
        <v>0</v>
      </c>
      <c r="U709" s="103"/>
      <c r="V709" s="103"/>
      <c r="W709" s="103"/>
      <c r="X709" s="103"/>
      <c r="Y709" s="103"/>
      <c r="Z709" s="103"/>
    </row>
    <row r="710">
      <c r="A710" s="110" t="s">
        <v>200</v>
      </c>
      <c r="B710" s="110"/>
      <c r="C710" s="110"/>
      <c r="D710" s="110"/>
      <c r="E710" s="110"/>
      <c r="F710" s="110"/>
      <c r="G710" s="115"/>
      <c r="H710" s="133"/>
      <c r="I710" s="103"/>
      <c r="J710" s="108"/>
      <c r="K710" s="112"/>
      <c r="L710" s="110"/>
      <c r="M710" s="111"/>
      <c r="N710" s="103"/>
      <c r="O710" s="112"/>
      <c r="P710" s="115"/>
      <c r="Q710" s="114"/>
      <c r="R710" s="108"/>
      <c r="S710" s="115" t="s">
        <v>200</v>
      </c>
      <c r="T710" s="103" t="b">
        <v>0</v>
      </c>
      <c r="U710" s="103"/>
      <c r="V710" s="103"/>
      <c r="W710" s="103"/>
      <c r="X710" s="103"/>
      <c r="Y710" s="103"/>
      <c r="Z710" s="103"/>
    </row>
    <row r="711">
      <c r="A711" s="110" t="s">
        <v>200</v>
      </c>
      <c r="B711" s="110"/>
      <c r="C711" s="110"/>
      <c r="D711" s="110"/>
      <c r="E711" s="110"/>
      <c r="F711" s="110"/>
      <c r="G711" s="115"/>
      <c r="H711" s="133"/>
      <c r="I711" s="103"/>
      <c r="J711" s="108"/>
      <c r="K711" s="112"/>
      <c r="L711" s="110"/>
      <c r="M711" s="111"/>
      <c r="N711" s="103"/>
      <c r="O711" s="112"/>
      <c r="P711" s="115"/>
      <c r="Q711" s="114"/>
      <c r="R711" s="108"/>
      <c r="S711" s="115" t="s">
        <v>200</v>
      </c>
      <c r="T711" s="103" t="b">
        <v>0</v>
      </c>
      <c r="U711" s="103"/>
      <c r="V711" s="103"/>
      <c r="W711" s="103"/>
      <c r="X711" s="103"/>
      <c r="Y711" s="103"/>
      <c r="Z711" s="103"/>
    </row>
    <row r="712">
      <c r="A712" s="110" t="s">
        <v>200</v>
      </c>
      <c r="B712" s="110"/>
      <c r="C712" s="110"/>
      <c r="D712" s="110"/>
      <c r="E712" s="110"/>
      <c r="F712" s="110"/>
      <c r="G712" s="115"/>
      <c r="H712" s="133"/>
      <c r="I712" s="103"/>
      <c r="J712" s="108"/>
      <c r="K712" s="112"/>
      <c r="L712" s="110"/>
      <c r="M712" s="111"/>
      <c r="N712" s="103"/>
      <c r="O712" s="112"/>
      <c r="P712" s="115"/>
      <c r="Q712" s="114"/>
      <c r="R712" s="108"/>
      <c r="S712" s="115" t="s">
        <v>200</v>
      </c>
      <c r="T712" s="103" t="b">
        <v>0</v>
      </c>
      <c r="U712" s="103"/>
      <c r="V712" s="103"/>
      <c r="W712" s="103"/>
      <c r="X712" s="103"/>
      <c r="Y712" s="103"/>
      <c r="Z712" s="103"/>
    </row>
    <row r="713">
      <c r="A713" s="110" t="s">
        <v>200</v>
      </c>
      <c r="B713" s="110"/>
      <c r="C713" s="110"/>
      <c r="D713" s="110"/>
      <c r="E713" s="110"/>
      <c r="F713" s="110"/>
      <c r="G713" s="115"/>
      <c r="H713" s="133"/>
      <c r="I713" s="103"/>
      <c r="J713" s="108"/>
      <c r="K713" s="112"/>
      <c r="L713" s="110"/>
      <c r="M713" s="111"/>
      <c r="N713" s="103"/>
      <c r="O713" s="112"/>
      <c r="P713" s="115"/>
      <c r="Q713" s="114"/>
      <c r="R713" s="108"/>
      <c r="S713" s="115" t="s">
        <v>200</v>
      </c>
      <c r="T713" s="103" t="b">
        <v>0</v>
      </c>
      <c r="U713" s="103"/>
      <c r="V713" s="103"/>
      <c r="W713" s="103"/>
      <c r="X713" s="103"/>
      <c r="Y713" s="103"/>
      <c r="Z713" s="103"/>
    </row>
    <row r="714">
      <c r="A714" s="110" t="s">
        <v>200</v>
      </c>
      <c r="B714" s="110"/>
      <c r="C714" s="110"/>
      <c r="D714" s="110"/>
      <c r="E714" s="110"/>
      <c r="F714" s="110"/>
      <c r="G714" s="115"/>
      <c r="H714" s="133"/>
      <c r="I714" s="103"/>
      <c r="J714" s="108"/>
      <c r="K714" s="112"/>
      <c r="L714" s="110"/>
      <c r="M714" s="111"/>
      <c r="N714" s="103"/>
      <c r="O714" s="112"/>
      <c r="P714" s="115"/>
      <c r="Q714" s="114"/>
      <c r="R714" s="108"/>
      <c r="S714" s="115" t="s">
        <v>200</v>
      </c>
      <c r="T714" s="103" t="b">
        <v>0</v>
      </c>
      <c r="U714" s="103"/>
      <c r="V714" s="103"/>
      <c r="W714" s="103"/>
      <c r="X714" s="103"/>
      <c r="Y714" s="103"/>
      <c r="Z714" s="103"/>
    </row>
    <row r="715">
      <c r="A715" s="110" t="s">
        <v>200</v>
      </c>
      <c r="B715" s="110"/>
      <c r="C715" s="110"/>
      <c r="D715" s="110"/>
      <c r="E715" s="110"/>
      <c r="F715" s="110"/>
      <c r="G715" s="115"/>
      <c r="H715" s="133"/>
      <c r="I715" s="103"/>
      <c r="J715" s="108"/>
      <c r="K715" s="112"/>
      <c r="L715" s="110"/>
      <c r="M715" s="111"/>
      <c r="N715" s="103"/>
      <c r="O715" s="112"/>
      <c r="P715" s="115"/>
      <c r="Q715" s="114"/>
      <c r="R715" s="108"/>
      <c r="S715" s="115" t="s">
        <v>200</v>
      </c>
      <c r="T715" s="103" t="b">
        <v>0</v>
      </c>
      <c r="U715" s="103"/>
      <c r="V715" s="103"/>
      <c r="W715" s="103"/>
      <c r="X715" s="103"/>
      <c r="Y715" s="103"/>
      <c r="Z715" s="103"/>
    </row>
    <row r="716">
      <c r="A716" s="110" t="s">
        <v>200</v>
      </c>
      <c r="B716" s="110"/>
      <c r="C716" s="110"/>
      <c r="D716" s="110"/>
      <c r="E716" s="110"/>
      <c r="F716" s="110"/>
      <c r="G716" s="115"/>
      <c r="H716" s="133"/>
      <c r="I716" s="103"/>
      <c r="J716" s="108"/>
      <c r="K716" s="112"/>
      <c r="L716" s="110"/>
      <c r="M716" s="111"/>
      <c r="N716" s="103"/>
      <c r="O716" s="112"/>
      <c r="P716" s="115"/>
      <c r="Q716" s="114"/>
      <c r="R716" s="108"/>
      <c r="S716" s="115" t="s">
        <v>200</v>
      </c>
      <c r="T716" s="103" t="b">
        <v>0</v>
      </c>
      <c r="U716" s="103"/>
      <c r="V716" s="103"/>
      <c r="W716" s="103"/>
      <c r="X716" s="103"/>
      <c r="Y716" s="103"/>
      <c r="Z716" s="103"/>
    </row>
    <row r="717">
      <c r="A717" s="110" t="s">
        <v>200</v>
      </c>
      <c r="B717" s="110"/>
      <c r="C717" s="110"/>
      <c r="D717" s="110"/>
      <c r="E717" s="110"/>
      <c r="F717" s="110"/>
      <c r="G717" s="115"/>
      <c r="H717" s="133"/>
      <c r="I717" s="103"/>
      <c r="J717" s="108"/>
      <c r="K717" s="112"/>
      <c r="L717" s="110"/>
      <c r="M717" s="111"/>
      <c r="N717" s="103"/>
      <c r="O717" s="112"/>
      <c r="P717" s="115"/>
      <c r="Q717" s="114"/>
      <c r="R717" s="108"/>
      <c r="S717" s="115" t="s">
        <v>200</v>
      </c>
      <c r="T717" s="103" t="b">
        <v>0</v>
      </c>
      <c r="U717" s="103"/>
      <c r="V717" s="103"/>
      <c r="W717" s="103"/>
      <c r="X717" s="103"/>
      <c r="Y717" s="103"/>
      <c r="Z717" s="103"/>
    </row>
    <row r="718">
      <c r="A718" s="110" t="s">
        <v>200</v>
      </c>
      <c r="B718" s="110"/>
      <c r="C718" s="110"/>
      <c r="D718" s="110"/>
      <c r="E718" s="110"/>
      <c r="F718" s="110"/>
      <c r="G718" s="115"/>
      <c r="H718" s="133"/>
      <c r="I718" s="103"/>
      <c r="J718" s="108"/>
      <c r="K718" s="112"/>
      <c r="L718" s="110"/>
      <c r="M718" s="111"/>
      <c r="N718" s="103"/>
      <c r="O718" s="112"/>
      <c r="P718" s="115"/>
      <c r="Q718" s="114"/>
      <c r="R718" s="108"/>
      <c r="S718" s="115" t="s">
        <v>200</v>
      </c>
      <c r="T718" s="103" t="b">
        <v>0</v>
      </c>
      <c r="U718" s="103"/>
      <c r="V718" s="103"/>
      <c r="W718" s="103"/>
      <c r="X718" s="103"/>
      <c r="Y718" s="103"/>
      <c r="Z718" s="103"/>
    </row>
    <row r="719">
      <c r="A719" s="110" t="s">
        <v>200</v>
      </c>
      <c r="B719" s="110"/>
      <c r="C719" s="110"/>
      <c r="D719" s="110"/>
      <c r="E719" s="110"/>
      <c r="F719" s="110"/>
      <c r="G719" s="115"/>
      <c r="H719" s="133"/>
      <c r="I719" s="103"/>
      <c r="J719" s="108"/>
      <c r="K719" s="112"/>
      <c r="L719" s="110"/>
      <c r="M719" s="111"/>
      <c r="N719" s="103"/>
      <c r="O719" s="112"/>
      <c r="P719" s="115"/>
      <c r="Q719" s="114"/>
      <c r="R719" s="108"/>
      <c r="S719" s="115" t="s">
        <v>200</v>
      </c>
      <c r="T719" s="103" t="b">
        <v>0</v>
      </c>
      <c r="U719" s="103"/>
      <c r="V719" s="103"/>
      <c r="W719" s="103"/>
      <c r="X719" s="103"/>
      <c r="Y719" s="103"/>
      <c r="Z719" s="103"/>
    </row>
    <row r="720">
      <c r="A720" s="110" t="s">
        <v>200</v>
      </c>
      <c r="B720" s="110"/>
      <c r="C720" s="110"/>
      <c r="D720" s="110"/>
      <c r="E720" s="110"/>
      <c r="F720" s="110"/>
      <c r="G720" s="115"/>
      <c r="H720" s="133"/>
      <c r="I720" s="103"/>
      <c r="J720" s="108"/>
      <c r="K720" s="112"/>
      <c r="L720" s="110"/>
      <c r="M720" s="111"/>
      <c r="N720" s="103"/>
      <c r="O720" s="112"/>
      <c r="P720" s="115"/>
      <c r="Q720" s="114"/>
      <c r="R720" s="108"/>
      <c r="S720" s="115" t="s">
        <v>200</v>
      </c>
      <c r="T720" s="103" t="b">
        <v>0</v>
      </c>
      <c r="U720" s="103"/>
      <c r="V720" s="103"/>
      <c r="W720" s="103"/>
      <c r="X720" s="103"/>
      <c r="Y720" s="103"/>
      <c r="Z720" s="103"/>
    </row>
    <row r="721">
      <c r="A721" s="110" t="s">
        <v>200</v>
      </c>
      <c r="B721" s="110"/>
      <c r="C721" s="110"/>
      <c r="D721" s="110"/>
      <c r="E721" s="110"/>
      <c r="F721" s="110"/>
      <c r="G721" s="115"/>
      <c r="H721" s="133"/>
      <c r="I721" s="103"/>
      <c r="J721" s="108"/>
      <c r="K721" s="112"/>
      <c r="L721" s="110"/>
      <c r="M721" s="111"/>
      <c r="N721" s="103"/>
      <c r="O721" s="112"/>
      <c r="P721" s="115"/>
      <c r="Q721" s="114"/>
      <c r="R721" s="108"/>
      <c r="S721" s="115" t="s">
        <v>200</v>
      </c>
      <c r="T721" s="103" t="b">
        <v>0</v>
      </c>
      <c r="U721" s="103"/>
      <c r="V721" s="103"/>
      <c r="W721" s="103"/>
      <c r="X721" s="103"/>
      <c r="Y721" s="103"/>
      <c r="Z721" s="103"/>
    </row>
    <row r="722">
      <c r="A722" s="110" t="s">
        <v>200</v>
      </c>
      <c r="B722" s="110"/>
      <c r="C722" s="110"/>
      <c r="D722" s="110"/>
      <c r="E722" s="110"/>
      <c r="F722" s="110"/>
      <c r="G722" s="115"/>
      <c r="H722" s="133"/>
      <c r="I722" s="103"/>
      <c r="J722" s="108"/>
      <c r="K722" s="112"/>
      <c r="L722" s="110"/>
      <c r="M722" s="111"/>
      <c r="N722" s="103"/>
      <c r="O722" s="112"/>
      <c r="P722" s="115"/>
      <c r="Q722" s="114"/>
      <c r="R722" s="108"/>
      <c r="S722" s="115" t="s">
        <v>200</v>
      </c>
      <c r="T722" s="103" t="b">
        <v>0</v>
      </c>
      <c r="U722" s="103"/>
      <c r="V722" s="103"/>
      <c r="W722" s="103"/>
      <c r="X722" s="103"/>
      <c r="Y722" s="103"/>
      <c r="Z722" s="103"/>
    </row>
    <row r="723">
      <c r="A723" s="110" t="s">
        <v>200</v>
      </c>
      <c r="B723" s="110"/>
      <c r="C723" s="110"/>
      <c r="D723" s="110"/>
      <c r="E723" s="110"/>
      <c r="F723" s="110"/>
      <c r="G723" s="115"/>
      <c r="H723" s="133"/>
      <c r="I723" s="103"/>
      <c r="J723" s="108"/>
      <c r="K723" s="112"/>
      <c r="L723" s="110"/>
      <c r="M723" s="111"/>
      <c r="N723" s="103"/>
      <c r="O723" s="112"/>
      <c r="P723" s="115"/>
      <c r="Q723" s="114"/>
      <c r="R723" s="108"/>
      <c r="S723" s="115" t="s">
        <v>200</v>
      </c>
      <c r="T723" s="103" t="b">
        <v>0</v>
      </c>
      <c r="U723" s="103"/>
      <c r="V723" s="103"/>
      <c r="W723" s="103"/>
      <c r="X723" s="103"/>
      <c r="Y723" s="103"/>
      <c r="Z723" s="103"/>
    </row>
    <row r="724">
      <c r="A724" s="110" t="s">
        <v>200</v>
      </c>
      <c r="B724" s="110"/>
      <c r="C724" s="110"/>
      <c r="D724" s="110"/>
      <c r="E724" s="110"/>
      <c r="F724" s="110"/>
      <c r="G724" s="115"/>
      <c r="H724" s="133"/>
      <c r="I724" s="103"/>
      <c r="J724" s="108"/>
      <c r="K724" s="112"/>
      <c r="L724" s="110"/>
      <c r="M724" s="111"/>
      <c r="N724" s="103"/>
      <c r="O724" s="112"/>
      <c r="P724" s="115"/>
      <c r="Q724" s="114"/>
      <c r="R724" s="108"/>
      <c r="S724" s="115" t="s">
        <v>200</v>
      </c>
      <c r="T724" s="103" t="b">
        <v>0</v>
      </c>
      <c r="U724" s="103"/>
      <c r="V724" s="103"/>
      <c r="W724" s="103"/>
      <c r="X724" s="103"/>
      <c r="Y724" s="103"/>
      <c r="Z724" s="103"/>
    </row>
    <row r="725">
      <c r="A725" s="110" t="s">
        <v>200</v>
      </c>
      <c r="B725" s="110"/>
      <c r="C725" s="110"/>
      <c r="D725" s="110"/>
      <c r="E725" s="110"/>
      <c r="F725" s="110"/>
      <c r="G725" s="115"/>
      <c r="H725" s="133"/>
      <c r="I725" s="103"/>
      <c r="J725" s="108"/>
      <c r="K725" s="112"/>
      <c r="L725" s="110"/>
      <c r="M725" s="111"/>
      <c r="N725" s="103"/>
      <c r="O725" s="112"/>
      <c r="P725" s="115"/>
      <c r="Q725" s="114"/>
      <c r="R725" s="108"/>
      <c r="S725" s="115" t="s">
        <v>200</v>
      </c>
      <c r="T725" s="103" t="b">
        <v>0</v>
      </c>
      <c r="U725" s="103"/>
      <c r="V725" s="103"/>
      <c r="W725" s="103"/>
      <c r="X725" s="103"/>
      <c r="Y725" s="103"/>
      <c r="Z725" s="103"/>
    </row>
    <row r="726">
      <c r="A726" s="110" t="s">
        <v>200</v>
      </c>
      <c r="B726" s="110"/>
      <c r="C726" s="110"/>
      <c r="D726" s="110"/>
      <c r="E726" s="110"/>
      <c r="F726" s="110"/>
      <c r="G726" s="115"/>
      <c r="H726" s="133"/>
      <c r="I726" s="103"/>
      <c r="J726" s="108"/>
      <c r="K726" s="112"/>
      <c r="L726" s="110"/>
      <c r="M726" s="111"/>
      <c r="N726" s="103"/>
      <c r="O726" s="112"/>
      <c r="P726" s="115"/>
      <c r="Q726" s="114"/>
      <c r="R726" s="108"/>
      <c r="S726" s="115" t="s">
        <v>200</v>
      </c>
      <c r="T726" s="103" t="b">
        <v>0</v>
      </c>
      <c r="U726" s="103"/>
      <c r="V726" s="103"/>
      <c r="W726" s="103"/>
      <c r="X726" s="103"/>
      <c r="Y726" s="103"/>
      <c r="Z726" s="103"/>
    </row>
    <row r="727">
      <c r="A727" s="110" t="s">
        <v>200</v>
      </c>
      <c r="B727" s="110"/>
      <c r="C727" s="110"/>
      <c r="D727" s="110"/>
      <c r="E727" s="110"/>
      <c r="F727" s="110"/>
      <c r="G727" s="115"/>
      <c r="H727" s="133"/>
      <c r="I727" s="103"/>
      <c r="J727" s="108"/>
      <c r="K727" s="112"/>
      <c r="L727" s="110"/>
      <c r="M727" s="111"/>
      <c r="N727" s="103"/>
      <c r="O727" s="112"/>
      <c r="P727" s="115"/>
      <c r="Q727" s="114"/>
      <c r="R727" s="108"/>
      <c r="S727" s="115" t="s">
        <v>200</v>
      </c>
      <c r="T727" s="103" t="b">
        <v>0</v>
      </c>
      <c r="U727" s="103"/>
      <c r="V727" s="103"/>
      <c r="W727" s="103"/>
      <c r="X727" s="103"/>
      <c r="Y727" s="103"/>
      <c r="Z727" s="103"/>
    </row>
    <row r="728">
      <c r="A728" s="110" t="s">
        <v>200</v>
      </c>
      <c r="B728" s="110"/>
      <c r="C728" s="110"/>
      <c r="D728" s="110"/>
      <c r="E728" s="110"/>
      <c r="F728" s="110"/>
      <c r="G728" s="115"/>
      <c r="H728" s="133"/>
      <c r="I728" s="103"/>
      <c r="J728" s="108"/>
      <c r="K728" s="112"/>
      <c r="L728" s="110"/>
      <c r="M728" s="111"/>
      <c r="N728" s="103"/>
      <c r="O728" s="112"/>
      <c r="P728" s="115"/>
      <c r="Q728" s="114"/>
      <c r="R728" s="108"/>
      <c r="S728" s="115" t="s">
        <v>200</v>
      </c>
      <c r="T728" s="103" t="b">
        <v>0</v>
      </c>
      <c r="U728" s="103"/>
      <c r="V728" s="103"/>
      <c r="W728" s="103"/>
      <c r="X728" s="103"/>
      <c r="Y728" s="103"/>
      <c r="Z728" s="103"/>
    </row>
    <row r="729">
      <c r="A729" s="110" t="s">
        <v>200</v>
      </c>
      <c r="B729" s="110"/>
      <c r="C729" s="110"/>
      <c r="D729" s="110"/>
      <c r="E729" s="110"/>
      <c r="F729" s="110"/>
      <c r="G729" s="115"/>
      <c r="H729" s="133"/>
      <c r="I729" s="103"/>
      <c r="J729" s="108"/>
      <c r="K729" s="112"/>
      <c r="L729" s="110"/>
      <c r="M729" s="111"/>
      <c r="N729" s="103"/>
      <c r="O729" s="112"/>
      <c r="P729" s="115"/>
      <c r="Q729" s="114"/>
      <c r="R729" s="108"/>
      <c r="S729" s="115" t="s">
        <v>200</v>
      </c>
      <c r="T729" s="103" t="b">
        <v>0</v>
      </c>
      <c r="U729" s="103"/>
      <c r="V729" s="103"/>
      <c r="W729" s="103"/>
      <c r="X729" s="103"/>
      <c r="Y729" s="103"/>
      <c r="Z729" s="103"/>
    </row>
    <row r="730">
      <c r="A730" s="110" t="s">
        <v>200</v>
      </c>
      <c r="B730" s="110"/>
      <c r="C730" s="110"/>
      <c r="D730" s="110"/>
      <c r="E730" s="110"/>
      <c r="F730" s="110"/>
      <c r="G730" s="115"/>
      <c r="H730" s="133"/>
      <c r="I730" s="103"/>
      <c r="J730" s="108"/>
      <c r="K730" s="112"/>
      <c r="L730" s="110"/>
      <c r="M730" s="111"/>
      <c r="N730" s="103"/>
      <c r="O730" s="112"/>
      <c r="P730" s="115"/>
      <c r="Q730" s="114"/>
      <c r="R730" s="108"/>
      <c r="S730" s="115" t="s">
        <v>200</v>
      </c>
      <c r="T730" s="103" t="b">
        <v>0</v>
      </c>
      <c r="U730" s="103"/>
      <c r="V730" s="103"/>
      <c r="W730" s="103"/>
      <c r="X730" s="103"/>
      <c r="Y730" s="103"/>
      <c r="Z730" s="103"/>
    </row>
    <row r="731">
      <c r="A731" s="110" t="s">
        <v>200</v>
      </c>
      <c r="B731" s="110"/>
      <c r="C731" s="110"/>
      <c r="D731" s="110"/>
      <c r="E731" s="110"/>
      <c r="F731" s="110"/>
      <c r="G731" s="115"/>
      <c r="H731" s="133"/>
      <c r="I731" s="103"/>
      <c r="J731" s="108"/>
      <c r="K731" s="112"/>
      <c r="L731" s="110"/>
      <c r="M731" s="111"/>
      <c r="N731" s="103"/>
      <c r="O731" s="112"/>
      <c r="P731" s="115"/>
      <c r="Q731" s="114"/>
      <c r="R731" s="108"/>
      <c r="S731" s="115" t="s">
        <v>200</v>
      </c>
      <c r="T731" s="103" t="b">
        <v>0</v>
      </c>
      <c r="U731" s="103"/>
      <c r="V731" s="103"/>
      <c r="W731" s="103"/>
      <c r="X731" s="103"/>
      <c r="Y731" s="103"/>
      <c r="Z731" s="103"/>
    </row>
    <row r="732">
      <c r="A732" s="110" t="s">
        <v>200</v>
      </c>
      <c r="B732" s="110"/>
      <c r="C732" s="110"/>
      <c r="D732" s="110"/>
      <c r="E732" s="110"/>
      <c r="F732" s="110"/>
      <c r="G732" s="115"/>
      <c r="H732" s="133"/>
      <c r="I732" s="103"/>
      <c r="J732" s="108"/>
      <c r="K732" s="112"/>
      <c r="L732" s="110"/>
      <c r="M732" s="111"/>
      <c r="N732" s="103"/>
      <c r="O732" s="112"/>
      <c r="P732" s="115"/>
      <c r="Q732" s="114"/>
      <c r="R732" s="108"/>
      <c r="S732" s="115" t="s">
        <v>200</v>
      </c>
      <c r="T732" s="103" t="b">
        <v>0</v>
      </c>
      <c r="U732" s="103"/>
      <c r="V732" s="103"/>
      <c r="W732" s="103"/>
      <c r="X732" s="103"/>
      <c r="Y732" s="103"/>
      <c r="Z732" s="103"/>
    </row>
    <row r="733">
      <c r="A733" s="110" t="s">
        <v>200</v>
      </c>
      <c r="B733" s="110"/>
      <c r="C733" s="110"/>
      <c r="D733" s="110"/>
      <c r="E733" s="110"/>
      <c r="F733" s="110"/>
      <c r="G733" s="115"/>
      <c r="H733" s="133"/>
      <c r="I733" s="103"/>
      <c r="J733" s="108"/>
      <c r="K733" s="112"/>
      <c r="L733" s="110"/>
      <c r="M733" s="111"/>
      <c r="N733" s="103"/>
      <c r="O733" s="112"/>
      <c r="P733" s="115"/>
      <c r="Q733" s="114"/>
      <c r="R733" s="108"/>
      <c r="S733" s="115" t="s">
        <v>200</v>
      </c>
      <c r="T733" s="103" t="b">
        <v>0</v>
      </c>
      <c r="U733" s="103"/>
      <c r="V733" s="103"/>
      <c r="W733" s="103"/>
      <c r="X733" s="103"/>
      <c r="Y733" s="103"/>
      <c r="Z733" s="103"/>
    </row>
    <row r="734">
      <c r="A734" s="110" t="s">
        <v>200</v>
      </c>
      <c r="B734" s="110"/>
      <c r="C734" s="110"/>
      <c r="D734" s="110"/>
      <c r="E734" s="110"/>
      <c r="F734" s="110"/>
      <c r="G734" s="115"/>
      <c r="H734" s="133"/>
      <c r="I734" s="103"/>
      <c r="J734" s="108"/>
      <c r="K734" s="112"/>
      <c r="L734" s="110"/>
      <c r="M734" s="111"/>
      <c r="N734" s="103"/>
      <c r="O734" s="112"/>
      <c r="P734" s="115"/>
      <c r="Q734" s="114"/>
      <c r="R734" s="108"/>
      <c r="S734" s="115" t="s">
        <v>200</v>
      </c>
      <c r="T734" s="103" t="b">
        <v>0</v>
      </c>
      <c r="U734" s="103"/>
      <c r="V734" s="103"/>
      <c r="W734" s="103"/>
      <c r="X734" s="103"/>
      <c r="Y734" s="103"/>
      <c r="Z734" s="103"/>
    </row>
    <row r="735">
      <c r="A735" s="110" t="s">
        <v>200</v>
      </c>
      <c r="B735" s="110"/>
      <c r="C735" s="110"/>
      <c r="D735" s="110"/>
      <c r="E735" s="110"/>
      <c r="F735" s="110"/>
      <c r="G735" s="115"/>
      <c r="H735" s="133"/>
      <c r="I735" s="103"/>
      <c r="J735" s="108"/>
      <c r="K735" s="112"/>
      <c r="L735" s="110"/>
      <c r="M735" s="111"/>
      <c r="N735" s="103"/>
      <c r="O735" s="112"/>
      <c r="P735" s="115"/>
      <c r="Q735" s="114"/>
      <c r="R735" s="108"/>
      <c r="S735" s="115" t="s">
        <v>200</v>
      </c>
      <c r="T735" s="103" t="b">
        <v>0</v>
      </c>
      <c r="U735" s="103"/>
      <c r="V735" s="103"/>
      <c r="W735" s="103"/>
      <c r="X735" s="103"/>
      <c r="Y735" s="103"/>
      <c r="Z735" s="103"/>
    </row>
    <row r="736">
      <c r="A736" s="110" t="s">
        <v>200</v>
      </c>
      <c r="B736" s="110"/>
      <c r="C736" s="110"/>
      <c r="D736" s="110"/>
      <c r="E736" s="110"/>
      <c r="F736" s="110"/>
      <c r="G736" s="115"/>
      <c r="H736" s="133"/>
      <c r="I736" s="103"/>
      <c r="J736" s="108"/>
      <c r="K736" s="112"/>
      <c r="L736" s="110"/>
      <c r="M736" s="111"/>
      <c r="N736" s="103"/>
      <c r="O736" s="112"/>
      <c r="P736" s="115"/>
      <c r="Q736" s="114"/>
      <c r="R736" s="108"/>
      <c r="S736" s="115" t="s">
        <v>200</v>
      </c>
      <c r="T736" s="103" t="b">
        <v>0</v>
      </c>
      <c r="U736" s="103"/>
      <c r="V736" s="103"/>
      <c r="W736" s="103"/>
      <c r="X736" s="103"/>
      <c r="Y736" s="103"/>
      <c r="Z736" s="103"/>
    </row>
    <row r="737">
      <c r="A737" s="110" t="s">
        <v>200</v>
      </c>
      <c r="B737" s="110"/>
      <c r="C737" s="110"/>
      <c r="D737" s="110"/>
      <c r="E737" s="110"/>
      <c r="F737" s="110"/>
      <c r="G737" s="115"/>
      <c r="H737" s="133"/>
      <c r="I737" s="103"/>
      <c r="J737" s="108"/>
      <c r="K737" s="112"/>
      <c r="L737" s="110"/>
      <c r="M737" s="111"/>
      <c r="N737" s="103"/>
      <c r="O737" s="112"/>
      <c r="P737" s="115"/>
      <c r="Q737" s="114"/>
      <c r="R737" s="108"/>
      <c r="S737" s="115" t="s">
        <v>200</v>
      </c>
      <c r="T737" s="103" t="b">
        <v>0</v>
      </c>
      <c r="U737" s="103"/>
      <c r="V737" s="103"/>
      <c r="W737" s="103"/>
      <c r="X737" s="103"/>
      <c r="Y737" s="103"/>
      <c r="Z737" s="103"/>
    </row>
    <row r="738">
      <c r="A738" s="110" t="s">
        <v>200</v>
      </c>
      <c r="B738" s="110"/>
      <c r="C738" s="110"/>
      <c r="D738" s="110"/>
      <c r="E738" s="110"/>
      <c r="F738" s="110"/>
      <c r="G738" s="115"/>
      <c r="H738" s="133"/>
      <c r="I738" s="103"/>
      <c r="J738" s="108"/>
      <c r="K738" s="112"/>
      <c r="L738" s="110"/>
      <c r="M738" s="111"/>
      <c r="N738" s="103"/>
      <c r="O738" s="112"/>
      <c r="P738" s="115"/>
      <c r="Q738" s="114"/>
      <c r="R738" s="108"/>
      <c r="S738" s="115" t="s">
        <v>200</v>
      </c>
      <c r="T738" s="103" t="b">
        <v>0</v>
      </c>
      <c r="U738" s="103"/>
      <c r="V738" s="103"/>
      <c r="W738" s="103"/>
      <c r="X738" s="103"/>
      <c r="Y738" s="103"/>
      <c r="Z738" s="103"/>
    </row>
    <row r="739">
      <c r="A739" s="110" t="s">
        <v>200</v>
      </c>
      <c r="B739" s="110"/>
      <c r="C739" s="110"/>
      <c r="D739" s="110"/>
      <c r="E739" s="110"/>
      <c r="F739" s="110"/>
      <c r="G739" s="115"/>
      <c r="H739" s="133"/>
      <c r="I739" s="103"/>
      <c r="J739" s="108"/>
      <c r="K739" s="112"/>
      <c r="L739" s="110"/>
      <c r="M739" s="111"/>
      <c r="N739" s="103"/>
      <c r="O739" s="112"/>
      <c r="P739" s="115"/>
      <c r="Q739" s="114"/>
      <c r="R739" s="108"/>
      <c r="S739" s="115" t="s">
        <v>200</v>
      </c>
      <c r="T739" s="103" t="b">
        <v>0</v>
      </c>
      <c r="U739" s="103"/>
      <c r="V739" s="103"/>
      <c r="W739" s="103"/>
      <c r="X739" s="103"/>
      <c r="Y739" s="103"/>
      <c r="Z739" s="103"/>
    </row>
    <row r="740">
      <c r="A740" s="110" t="s">
        <v>200</v>
      </c>
      <c r="B740" s="110"/>
      <c r="C740" s="110"/>
      <c r="D740" s="110"/>
      <c r="E740" s="110"/>
      <c r="F740" s="110"/>
      <c r="G740" s="115"/>
      <c r="H740" s="133"/>
      <c r="I740" s="103"/>
      <c r="J740" s="108"/>
      <c r="K740" s="112"/>
      <c r="L740" s="110"/>
      <c r="M740" s="111"/>
      <c r="N740" s="103"/>
      <c r="O740" s="112"/>
      <c r="P740" s="115"/>
      <c r="Q740" s="114"/>
      <c r="R740" s="108"/>
      <c r="S740" s="115" t="s">
        <v>200</v>
      </c>
      <c r="T740" s="103" t="b">
        <v>0</v>
      </c>
      <c r="U740" s="103"/>
      <c r="V740" s="103"/>
      <c r="W740" s="103"/>
      <c r="X740" s="103"/>
      <c r="Y740" s="103"/>
      <c r="Z740" s="103"/>
    </row>
    <row r="741">
      <c r="A741" s="110" t="s">
        <v>200</v>
      </c>
      <c r="B741" s="110"/>
      <c r="C741" s="110"/>
      <c r="D741" s="110"/>
      <c r="E741" s="110"/>
      <c r="F741" s="110"/>
      <c r="G741" s="115"/>
      <c r="H741" s="133"/>
      <c r="I741" s="103"/>
      <c r="J741" s="108"/>
      <c r="K741" s="112"/>
      <c r="L741" s="110"/>
      <c r="M741" s="111"/>
      <c r="N741" s="103"/>
      <c r="O741" s="112"/>
      <c r="P741" s="115"/>
      <c r="Q741" s="114"/>
      <c r="R741" s="108"/>
      <c r="S741" s="115" t="s">
        <v>200</v>
      </c>
      <c r="T741" s="103" t="b">
        <v>0</v>
      </c>
      <c r="U741" s="103"/>
      <c r="V741" s="103"/>
      <c r="W741" s="103"/>
      <c r="X741" s="103"/>
      <c r="Y741" s="103"/>
      <c r="Z741" s="103"/>
    </row>
    <row r="742">
      <c r="A742" s="110" t="s">
        <v>200</v>
      </c>
      <c r="B742" s="110"/>
      <c r="C742" s="110"/>
      <c r="D742" s="110"/>
      <c r="E742" s="110"/>
      <c r="F742" s="110"/>
      <c r="G742" s="115"/>
      <c r="H742" s="133"/>
      <c r="I742" s="103"/>
      <c r="J742" s="108"/>
      <c r="K742" s="112"/>
      <c r="L742" s="110"/>
      <c r="M742" s="111"/>
      <c r="N742" s="103"/>
      <c r="O742" s="112"/>
      <c r="P742" s="115"/>
      <c r="Q742" s="114"/>
      <c r="R742" s="108"/>
      <c r="S742" s="115" t="s">
        <v>200</v>
      </c>
      <c r="T742" s="103" t="b">
        <v>0</v>
      </c>
      <c r="U742" s="103"/>
      <c r="V742" s="103"/>
      <c r="W742" s="103"/>
      <c r="X742" s="103"/>
      <c r="Y742" s="103"/>
      <c r="Z742" s="103"/>
    </row>
    <row r="743">
      <c r="A743" s="110" t="s">
        <v>200</v>
      </c>
      <c r="B743" s="110"/>
      <c r="C743" s="110"/>
      <c r="D743" s="110"/>
      <c r="E743" s="110"/>
      <c r="F743" s="110"/>
      <c r="G743" s="115"/>
      <c r="H743" s="133"/>
      <c r="I743" s="103"/>
      <c r="J743" s="108"/>
      <c r="K743" s="112"/>
      <c r="L743" s="110"/>
      <c r="M743" s="111"/>
      <c r="N743" s="103"/>
      <c r="O743" s="112"/>
      <c r="P743" s="115"/>
      <c r="Q743" s="114"/>
      <c r="R743" s="108"/>
      <c r="S743" s="115" t="s">
        <v>200</v>
      </c>
      <c r="T743" s="103" t="b">
        <v>0</v>
      </c>
      <c r="U743" s="103"/>
      <c r="V743" s="103"/>
      <c r="W743" s="103"/>
      <c r="X743" s="103"/>
      <c r="Y743" s="103"/>
      <c r="Z743" s="103"/>
    </row>
    <row r="744">
      <c r="A744" s="110" t="s">
        <v>200</v>
      </c>
      <c r="B744" s="110"/>
      <c r="C744" s="110"/>
      <c r="D744" s="110"/>
      <c r="E744" s="110"/>
      <c r="F744" s="110"/>
      <c r="G744" s="115"/>
      <c r="H744" s="133"/>
      <c r="I744" s="103"/>
      <c r="J744" s="108"/>
      <c r="K744" s="112"/>
      <c r="L744" s="110"/>
      <c r="M744" s="111"/>
      <c r="N744" s="103"/>
      <c r="O744" s="112"/>
      <c r="P744" s="115"/>
      <c r="Q744" s="114"/>
      <c r="R744" s="108"/>
      <c r="S744" s="115" t="s">
        <v>200</v>
      </c>
      <c r="T744" s="103" t="b">
        <v>0</v>
      </c>
      <c r="U744" s="103"/>
      <c r="V744" s="103"/>
      <c r="W744" s="103"/>
      <c r="X744" s="103"/>
      <c r="Y744" s="103"/>
      <c r="Z744" s="103"/>
    </row>
    <row r="745">
      <c r="A745" s="110" t="s">
        <v>200</v>
      </c>
      <c r="B745" s="110"/>
      <c r="C745" s="110"/>
      <c r="D745" s="110"/>
      <c r="E745" s="110"/>
      <c r="F745" s="110"/>
      <c r="G745" s="115"/>
      <c r="H745" s="133"/>
      <c r="I745" s="103"/>
      <c r="J745" s="108"/>
      <c r="K745" s="112"/>
      <c r="L745" s="110"/>
      <c r="M745" s="111"/>
      <c r="N745" s="103"/>
      <c r="O745" s="112"/>
      <c r="P745" s="115"/>
      <c r="Q745" s="114"/>
      <c r="R745" s="108"/>
      <c r="S745" s="115" t="s">
        <v>200</v>
      </c>
      <c r="T745" s="103" t="b">
        <v>0</v>
      </c>
      <c r="U745" s="103"/>
      <c r="V745" s="103"/>
      <c r="W745" s="103"/>
      <c r="X745" s="103"/>
      <c r="Y745" s="103"/>
      <c r="Z745" s="103"/>
    </row>
    <row r="746">
      <c r="A746" s="110" t="s">
        <v>200</v>
      </c>
      <c r="B746" s="110"/>
      <c r="C746" s="110"/>
      <c r="D746" s="110"/>
      <c r="E746" s="110"/>
      <c r="F746" s="110"/>
      <c r="G746" s="115"/>
      <c r="H746" s="133"/>
      <c r="I746" s="103"/>
      <c r="J746" s="108"/>
      <c r="K746" s="112"/>
      <c r="L746" s="110"/>
      <c r="M746" s="111"/>
      <c r="N746" s="103"/>
      <c r="O746" s="112"/>
      <c r="P746" s="115"/>
      <c r="Q746" s="114"/>
      <c r="R746" s="108"/>
      <c r="S746" s="115" t="s">
        <v>200</v>
      </c>
      <c r="T746" s="103" t="b">
        <v>0</v>
      </c>
      <c r="U746" s="103"/>
      <c r="V746" s="103"/>
      <c r="W746" s="103"/>
      <c r="X746" s="103"/>
      <c r="Y746" s="103"/>
      <c r="Z746" s="103"/>
    </row>
    <row r="747">
      <c r="A747" s="110" t="s">
        <v>200</v>
      </c>
      <c r="B747" s="110"/>
      <c r="C747" s="110"/>
      <c r="D747" s="110"/>
      <c r="E747" s="110"/>
      <c r="F747" s="110"/>
      <c r="G747" s="115"/>
      <c r="H747" s="133"/>
      <c r="I747" s="103"/>
      <c r="J747" s="108"/>
      <c r="K747" s="112"/>
      <c r="L747" s="110"/>
      <c r="M747" s="111"/>
      <c r="N747" s="103"/>
      <c r="O747" s="112"/>
      <c r="P747" s="115"/>
      <c r="Q747" s="114"/>
      <c r="R747" s="108"/>
      <c r="S747" s="115" t="s">
        <v>200</v>
      </c>
      <c r="T747" s="103" t="b">
        <v>0</v>
      </c>
      <c r="U747" s="103"/>
      <c r="V747" s="103"/>
      <c r="W747" s="103"/>
      <c r="X747" s="103"/>
      <c r="Y747" s="103"/>
      <c r="Z747" s="103"/>
    </row>
    <row r="748">
      <c r="A748" s="110" t="s">
        <v>200</v>
      </c>
      <c r="B748" s="110"/>
      <c r="C748" s="110"/>
      <c r="D748" s="110"/>
      <c r="E748" s="110"/>
      <c r="F748" s="110"/>
      <c r="G748" s="115"/>
      <c r="H748" s="133"/>
      <c r="I748" s="103"/>
      <c r="J748" s="108"/>
      <c r="K748" s="112"/>
      <c r="L748" s="110"/>
      <c r="M748" s="111"/>
      <c r="N748" s="103"/>
      <c r="O748" s="112"/>
      <c r="P748" s="115"/>
      <c r="Q748" s="114"/>
      <c r="R748" s="108"/>
      <c r="S748" s="115" t="s">
        <v>200</v>
      </c>
      <c r="T748" s="103" t="b">
        <v>0</v>
      </c>
      <c r="U748" s="103"/>
      <c r="V748" s="103"/>
      <c r="W748" s="103"/>
      <c r="X748" s="103"/>
      <c r="Y748" s="103"/>
      <c r="Z748" s="103"/>
    </row>
    <row r="749">
      <c r="A749" s="110" t="s">
        <v>200</v>
      </c>
      <c r="B749" s="110"/>
      <c r="C749" s="110"/>
      <c r="D749" s="110"/>
      <c r="E749" s="110"/>
      <c r="F749" s="110"/>
      <c r="G749" s="115"/>
      <c r="H749" s="133"/>
      <c r="I749" s="103"/>
      <c r="J749" s="108"/>
      <c r="K749" s="112"/>
      <c r="L749" s="110"/>
      <c r="M749" s="111"/>
      <c r="N749" s="103"/>
      <c r="O749" s="112"/>
      <c r="P749" s="115"/>
      <c r="Q749" s="114"/>
      <c r="R749" s="108"/>
      <c r="S749" s="115" t="s">
        <v>200</v>
      </c>
      <c r="T749" s="103" t="b">
        <v>0</v>
      </c>
      <c r="U749" s="103"/>
      <c r="V749" s="103"/>
      <c r="W749" s="103"/>
      <c r="X749" s="103"/>
      <c r="Y749" s="103"/>
      <c r="Z749" s="103"/>
    </row>
    <row r="750">
      <c r="A750" s="110" t="s">
        <v>200</v>
      </c>
      <c r="B750" s="110"/>
      <c r="C750" s="110"/>
      <c r="D750" s="110"/>
      <c r="E750" s="110"/>
      <c r="F750" s="110"/>
      <c r="G750" s="115"/>
      <c r="H750" s="133"/>
      <c r="I750" s="103"/>
      <c r="J750" s="108"/>
      <c r="K750" s="112"/>
      <c r="L750" s="110"/>
      <c r="M750" s="111"/>
      <c r="N750" s="103"/>
      <c r="O750" s="112"/>
      <c r="P750" s="115"/>
      <c r="Q750" s="114"/>
      <c r="R750" s="108"/>
      <c r="S750" s="115" t="s">
        <v>200</v>
      </c>
      <c r="T750" s="103" t="b">
        <v>0</v>
      </c>
      <c r="U750" s="103"/>
      <c r="V750" s="103"/>
      <c r="W750" s="103"/>
      <c r="X750" s="103"/>
      <c r="Y750" s="103"/>
      <c r="Z750" s="103"/>
    </row>
    <row r="751">
      <c r="A751" s="110" t="s">
        <v>200</v>
      </c>
      <c r="B751" s="110"/>
      <c r="C751" s="110"/>
      <c r="D751" s="110"/>
      <c r="E751" s="110"/>
      <c r="F751" s="110"/>
      <c r="G751" s="115"/>
      <c r="H751" s="133"/>
      <c r="I751" s="103"/>
      <c r="J751" s="108"/>
      <c r="K751" s="112"/>
      <c r="L751" s="110"/>
      <c r="M751" s="111"/>
      <c r="N751" s="103"/>
      <c r="O751" s="112"/>
      <c r="P751" s="115"/>
      <c r="Q751" s="114"/>
      <c r="R751" s="108"/>
      <c r="S751" s="115" t="s">
        <v>200</v>
      </c>
      <c r="T751" s="103" t="b">
        <v>0</v>
      </c>
      <c r="U751" s="103"/>
      <c r="V751" s="103"/>
      <c r="W751" s="103"/>
      <c r="X751" s="103"/>
      <c r="Y751" s="103"/>
      <c r="Z751" s="103"/>
    </row>
    <row r="752">
      <c r="A752" s="110" t="s">
        <v>200</v>
      </c>
      <c r="B752" s="110"/>
      <c r="C752" s="110"/>
      <c r="D752" s="110"/>
      <c r="E752" s="110"/>
      <c r="F752" s="110"/>
      <c r="G752" s="115"/>
      <c r="H752" s="133"/>
      <c r="I752" s="103"/>
      <c r="J752" s="108"/>
      <c r="K752" s="112"/>
      <c r="L752" s="110"/>
      <c r="M752" s="111"/>
      <c r="N752" s="103"/>
      <c r="O752" s="112"/>
      <c r="P752" s="115"/>
      <c r="Q752" s="114"/>
      <c r="R752" s="108"/>
      <c r="S752" s="115" t="s">
        <v>200</v>
      </c>
      <c r="T752" s="103" t="b">
        <v>0</v>
      </c>
      <c r="U752" s="103"/>
      <c r="V752" s="103"/>
      <c r="W752" s="103"/>
      <c r="X752" s="103"/>
      <c r="Y752" s="103"/>
      <c r="Z752" s="103"/>
    </row>
    <row r="753">
      <c r="A753" s="110" t="s">
        <v>200</v>
      </c>
      <c r="B753" s="110"/>
      <c r="C753" s="110"/>
      <c r="D753" s="110"/>
      <c r="E753" s="110"/>
      <c r="F753" s="110"/>
      <c r="G753" s="115"/>
      <c r="H753" s="133"/>
      <c r="I753" s="103"/>
      <c r="J753" s="108"/>
      <c r="K753" s="112"/>
      <c r="L753" s="110"/>
      <c r="M753" s="111"/>
      <c r="N753" s="103"/>
      <c r="O753" s="112"/>
      <c r="P753" s="115"/>
      <c r="Q753" s="114"/>
      <c r="R753" s="108"/>
      <c r="S753" s="115" t="s">
        <v>200</v>
      </c>
      <c r="T753" s="103" t="b">
        <v>0</v>
      </c>
      <c r="U753" s="103"/>
      <c r="V753" s="103"/>
      <c r="W753" s="103"/>
      <c r="X753" s="103"/>
      <c r="Y753" s="103"/>
      <c r="Z753" s="103"/>
    </row>
    <row r="754">
      <c r="A754" s="110" t="s">
        <v>200</v>
      </c>
      <c r="B754" s="110"/>
      <c r="C754" s="110"/>
      <c r="D754" s="110"/>
      <c r="E754" s="110"/>
      <c r="F754" s="110"/>
      <c r="G754" s="115"/>
      <c r="H754" s="133"/>
      <c r="I754" s="103"/>
      <c r="J754" s="108"/>
      <c r="K754" s="112"/>
      <c r="L754" s="110"/>
      <c r="M754" s="111"/>
      <c r="N754" s="103"/>
      <c r="O754" s="112"/>
      <c r="P754" s="115"/>
      <c r="Q754" s="114"/>
      <c r="R754" s="108"/>
      <c r="S754" s="115" t="s">
        <v>200</v>
      </c>
      <c r="T754" s="103" t="b">
        <v>0</v>
      </c>
      <c r="U754" s="103"/>
      <c r="V754" s="103"/>
      <c r="W754" s="103"/>
      <c r="X754" s="103"/>
      <c r="Y754" s="103"/>
      <c r="Z754" s="103"/>
    </row>
    <row r="755">
      <c r="A755" s="110" t="s">
        <v>200</v>
      </c>
      <c r="B755" s="110"/>
      <c r="C755" s="110"/>
      <c r="D755" s="110"/>
      <c r="E755" s="110"/>
      <c r="F755" s="110"/>
      <c r="G755" s="115"/>
      <c r="H755" s="133"/>
      <c r="I755" s="103"/>
      <c r="J755" s="108"/>
      <c r="K755" s="112"/>
      <c r="L755" s="110"/>
      <c r="M755" s="111"/>
      <c r="N755" s="103"/>
      <c r="O755" s="112"/>
      <c r="P755" s="115"/>
      <c r="Q755" s="114"/>
      <c r="R755" s="108"/>
      <c r="S755" s="115" t="s">
        <v>200</v>
      </c>
      <c r="T755" s="103" t="b">
        <v>0</v>
      </c>
      <c r="U755" s="103"/>
      <c r="V755" s="103"/>
      <c r="W755" s="103"/>
      <c r="X755" s="103"/>
      <c r="Y755" s="103"/>
      <c r="Z755" s="103"/>
    </row>
    <row r="756">
      <c r="A756" s="110" t="s">
        <v>200</v>
      </c>
      <c r="B756" s="110"/>
      <c r="C756" s="110"/>
      <c r="D756" s="110"/>
      <c r="E756" s="110"/>
      <c r="F756" s="110"/>
      <c r="G756" s="115"/>
      <c r="H756" s="133"/>
      <c r="I756" s="103"/>
      <c r="J756" s="108"/>
      <c r="K756" s="112"/>
      <c r="L756" s="110"/>
      <c r="M756" s="111"/>
      <c r="N756" s="103"/>
      <c r="O756" s="112"/>
      <c r="P756" s="115"/>
      <c r="Q756" s="114"/>
      <c r="R756" s="108"/>
      <c r="S756" s="115" t="s">
        <v>200</v>
      </c>
      <c r="T756" s="103" t="b">
        <v>0</v>
      </c>
      <c r="U756" s="103"/>
      <c r="V756" s="103"/>
      <c r="W756" s="103"/>
      <c r="X756" s="103"/>
      <c r="Y756" s="103"/>
      <c r="Z756" s="103"/>
    </row>
    <row r="757">
      <c r="A757" s="110" t="s">
        <v>200</v>
      </c>
      <c r="B757" s="110"/>
      <c r="C757" s="110"/>
      <c r="D757" s="110"/>
      <c r="E757" s="110"/>
      <c r="F757" s="110"/>
      <c r="G757" s="115"/>
      <c r="H757" s="133"/>
      <c r="I757" s="103"/>
      <c r="J757" s="108"/>
      <c r="K757" s="112"/>
      <c r="L757" s="110"/>
      <c r="M757" s="111"/>
      <c r="N757" s="103"/>
      <c r="O757" s="112"/>
      <c r="P757" s="115"/>
      <c r="Q757" s="114"/>
      <c r="R757" s="108"/>
      <c r="S757" s="115" t="s">
        <v>200</v>
      </c>
      <c r="T757" s="103" t="b">
        <v>0</v>
      </c>
      <c r="U757" s="103"/>
      <c r="V757" s="103"/>
      <c r="W757" s="103"/>
      <c r="X757" s="103"/>
      <c r="Y757" s="103"/>
      <c r="Z757" s="103"/>
    </row>
    <row r="758">
      <c r="A758" s="110" t="s">
        <v>200</v>
      </c>
      <c r="B758" s="110"/>
      <c r="C758" s="110"/>
      <c r="D758" s="110"/>
      <c r="E758" s="110"/>
      <c r="F758" s="110"/>
      <c r="G758" s="115"/>
      <c r="H758" s="133"/>
      <c r="I758" s="103"/>
      <c r="J758" s="108"/>
      <c r="K758" s="112"/>
      <c r="L758" s="110"/>
      <c r="M758" s="111"/>
      <c r="N758" s="103"/>
      <c r="O758" s="112"/>
      <c r="P758" s="115"/>
      <c r="Q758" s="114"/>
      <c r="R758" s="108"/>
      <c r="S758" s="115" t="s">
        <v>200</v>
      </c>
      <c r="T758" s="103" t="b">
        <v>0</v>
      </c>
      <c r="U758" s="103"/>
      <c r="V758" s="103"/>
      <c r="W758" s="103"/>
      <c r="X758" s="103"/>
      <c r="Y758" s="103"/>
      <c r="Z758" s="103"/>
    </row>
    <row r="759">
      <c r="A759" s="110" t="s">
        <v>200</v>
      </c>
      <c r="B759" s="110"/>
      <c r="C759" s="110"/>
      <c r="D759" s="110"/>
      <c r="E759" s="110"/>
      <c r="F759" s="110"/>
      <c r="G759" s="115"/>
      <c r="H759" s="133"/>
      <c r="I759" s="103"/>
      <c r="J759" s="108"/>
      <c r="K759" s="112"/>
      <c r="L759" s="110"/>
      <c r="M759" s="111"/>
      <c r="N759" s="103"/>
      <c r="O759" s="112"/>
      <c r="P759" s="115"/>
      <c r="Q759" s="114"/>
      <c r="R759" s="108"/>
      <c r="S759" s="115" t="s">
        <v>200</v>
      </c>
      <c r="T759" s="103" t="b">
        <v>0</v>
      </c>
      <c r="U759" s="103"/>
      <c r="V759" s="103"/>
      <c r="W759" s="103"/>
      <c r="X759" s="103"/>
      <c r="Y759" s="103"/>
      <c r="Z759" s="103"/>
    </row>
    <row r="760">
      <c r="A760" s="110" t="s">
        <v>200</v>
      </c>
      <c r="B760" s="110"/>
      <c r="C760" s="110"/>
      <c r="D760" s="110"/>
      <c r="E760" s="110"/>
      <c r="F760" s="110"/>
      <c r="G760" s="115"/>
      <c r="H760" s="133"/>
      <c r="I760" s="103"/>
      <c r="J760" s="108"/>
      <c r="K760" s="112"/>
      <c r="L760" s="110"/>
      <c r="M760" s="111"/>
      <c r="N760" s="103"/>
      <c r="O760" s="112"/>
      <c r="P760" s="115"/>
      <c r="Q760" s="114"/>
      <c r="R760" s="108"/>
      <c r="S760" s="115" t="s">
        <v>200</v>
      </c>
      <c r="T760" s="103" t="b">
        <v>0</v>
      </c>
      <c r="U760" s="103"/>
      <c r="V760" s="103"/>
      <c r="W760" s="103"/>
      <c r="X760" s="103"/>
      <c r="Y760" s="103"/>
      <c r="Z760" s="103"/>
    </row>
    <row r="761">
      <c r="A761" s="110" t="s">
        <v>200</v>
      </c>
      <c r="B761" s="110"/>
      <c r="C761" s="110"/>
      <c r="D761" s="110"/>
      <c r="E761" s="110"/>
      <c r="F761" s="110"/>
      <c r="G761" s="115"/>
      <c r="H761" s="133"/>
      <c r="I761" s="103"/>
      <c r="J761" s="108"/>
      <c r="K761" s="112"/>
      <c r="L761" s="110"/>
      <c r="M761" s="111"/>
      <c r="N761" s="103"/>
      <c r="O761" s="112"/>
      <c r="P761" s="115"/>
      <c r="Q761" s="114"/>
      <c r="R761" s="108"/>
      <c r="S761" s="115" t="s">
        <v>200</v>
      </c>
      <c r="T761" s="103" t="b">
        <v>0</v>
      </c>
      <c r="U761" s="103"/>
      <c r="V761" s="103"/>
      <c r="W761" s="103"/>
      <c r="X761" s="103"/>
      <c r="Y761" s="103"/>
      <c r="Z761" s="103"/>
    </row>
    <row r="762">
      <c r="A762" s="110" t="s">
        <v>200</v>
      </c>
      <c r="B762" s="110"/>
      <c r="C762" s="110"/>
      <c r="D762" s="110"/>
      <c r="E762" s="110"/>
      <c r="F762" s="110"/>
      <c r="G762" s="115"/>
      <c r="H762" s="133"/>
      <c r="I762" s="103"/>
      <c r="J762" s="108"/>
      <c r="K762" s="112"/>
      <c r="L762" s="110"/>
      <c r="M762" s="111"/>
      <c r="N762" s="103"/>
      <c r="O762" s="112"/>
      <c r="P762" s="115"/>
      <c r="Q762" s="114"/>
      <c r="R762" s="108"/>
      <c r="S762" s="115" t="s">
        <v>200</v>
      </c>
      <c r="T762" s="103" t="b">
        <v>0</v>
      </c>
      <c r="U762" s="103"/>
      <c r="V762" s="103"/>
      <c r="W762" s="103"/>
      <c r="X762" s="103"/>
      <c r="Y762" s="103"/>
      <c r="Z762" s="103"/>
    </row>
    <row r="763">
      <c r="A763" s="110" t="s">
        <v>200</v>
      </c>
      <c r="B763" s="110"/>
      <c r="C763" s="110"/>
      <c r="D763" s="110"/>
      <c r="E763" s="110"/>
      <c r="F763" s="110"/>
      <c r="G763" s="115"/>
      <c r="H763" s="133"/>
      <c r="I763" s="103"/>
      <c r="J763" s="108"/>
      <c r="K763" s="112"/>
      <c r="L763" s="110"/>
      <c r="M763" s="111"/>
      <c r="N763" s="103"/>
      <c r="O763" s="112"/>
      <c r="P763" s="115"/>
      <c r="Q763" s="114"/>
      <c r="R763" s="108"/>
      <c r="S763" s="115" t="s">
        <v>200</v>
      </c>
      <c r="T763" s="103" t="b">
        <v>0</v>
      </c>
      <c r="U763" s="103"/>
      <c r="V763" s="103"/>
      <c r="W763" s="103"/>
      <c r="X763" s="103"/>
      <c r="Y763" s="103"/>
      <c r="Z763" s="103"/>
    </row>
    <row r="764">
      <c r="A764" s="110" t="s">
        <v>200</v>
      </c>
      <c r="B764" s="110"/>
      <c r="C764" s="110"/>
      <c r="D764" s="110"/>
      <c r="E764" s="110"/>
      <c r="F764" s="110"/>
      <c r="G764" s="115"/>
      <c r="H764" s="133"/>
      <c r="I764" s="103"/>
      <c r="J764" s="108"/>
      <c r="K764" s="112"/>
      <c r="L764" s="110"/>
      <c r="M764" s="111"/>
      <c r="N764" s="103"/>
      <c r="O764" s="112"/>
      <c r="P764" s="115"/>
      <c r="Q764" s="114"/>
      <c r="R764" s="108"/>
      <c r="S764" s="115" t="s">
        <v>200</v>
      </c>
      <c r="T764" s="103" t="b">
        <v>0</v>
      </c>
      <c r="U764" s="103"/>
      <c r="V764" s="103"/>
      <c r="W764" s="103"/>
      <c r="X764" s="103"/>
      <c r="Y764" s="103"/>
      <c r="Z764" s="103"/>
    </row>
    <row r="765">
      <c r="A765" s="110" t="s">
        <v>200</v>
      </c>
      <c r="B765" s="110"/>
      <c r="C765" s="110"/>
      <c r="D765" s="110"/>
      <c r="E765" s="110"/>
      <c r="F765" s="110"/>
      <c r="G765" s="115"/>
      <c r="H765" s="133"/>
      <c r="I765" s="103"/>
      <c r="J765" s="108"/>
      <c r="K765" s="112"/>
      <c r="L765" s="110"/>
      <c r="M765" s="111"/>
      <c r="N765" s="103"/>
      <c r="O765" s="112"/>
      <c r="P765" s="115"/>
      <c r="Q765" s="114"/>
      <c r="R765" s="108"/>
      <c r="S765" s="115" t="s">
        <v>200</v>
      </c>
      <c r="T765" s="103" t="b">
        <v>0</v>
      </c>
      <c r="U765" s="103"/>
      <c r="V765" s="103"/>
      <c r="W765" s="103"/>
      <c r="X765" s="103"/>
      <c r="Y765" s="103"/>
      <c r="Z765" s="103"/>
    </row>
    <row r="766">
      <c r="A766" s="110" t="s">
        <v>200</v>
      </c>
      <c r="B766" s="110"/>
      <c r="C766" s="110"/>
      <c r="D766" s="110"/>
      <c r="E766" s="110"/>
      <c r="F766" s="110"/>
      <c r="G766" s="115"/>
      <c r="H766" s="133"/>
      <c r="I766" s="103"/>
      <c r="J766" s="108"/>
      <c r="K766" s="112"/>
      <c r="L766" s="110"/>
      <c r="M766" s="111"/>
      <c r="N766" s="103"/>
      <c r="O766" s="112"/>
      <c r="P766" s="115"/>
      <c r="Q766" s="114"/>
      <c r="R766" s="108"/>
      <c r="S766" s="115" t="s">
        <v>200</v>
      </c>
      <c r="T766" s="103" t="b">
        <v>0</v>
      </c>
      <c r="U766" s="103"/>
      <c r="V766" s="103"/>
      <c r="W766" s="103"/>
      <c r="X766" s="103"/>
      <c r="Y766" s="103"/>
      <c r="Z766" s="103"/>
    </row>
    <row r="767">
      <c r="A767" s="110" t="s">
        <v>200</v>
      </c>
      <c r="B767" s="110"/>
      <c r="C767" s="110"/>
      <c r="D767" s="110"/>
      <c r="E767" s="110"/>
      <c r="F767" s="110"/>
      <c r="G767" s="115"/>
      <c r="H767" s="133"/>
      <c r="I767" s="103"/>
      <c r="J767" s="108"/>
      <c r="K767" s="112"/>
      <c r="L767" s="110"/>
      <c r="M767" s="111"/>
      <c r="N767" s="103"/>
      <c r="O767" s="112"/>
      <c r="P767" s="115"/>
      <c r="Q767" s="114"/>
      <c r="R767" s="108"/>
      <c r="S767" s="115" t="s">
        <v>200</v>
      </c>
      <c r="T767" s="103" t="b">
        <v>0</v>
      </c>
      <c r="U767" s="103"/>
      <c r="V767" s="103"/>
      <c r="W767" s="103"/>
      <c r="X767" s="103"/>
      <c r="Y767" s="103"/>
      <c r="Z767" s="103"/>
    </row>
    <row r="768">
      <c r="A768" s="110" t="s">
        <v>200</v>
      </c>
      <c r="B768" s="110"/>
      <c r="C768" s="110"/>
      <c r="D768" s="110"/>
      <c r="E768" s="110"/>
      <c r="F768" s="110"/>
      <c r="G768" s="115"/>
      <c r="H768" s="133"/>
      <c r="I768" s="103"/>
      <c r="J768" s="108"/>
      <c r="K768" s="112"/>
      <c r="L768" s="110"/>
      <c r="M768" s="111"/>
      <c r="N768" s="103"/>
      <c r="O768" s="112"/>
      <c r="P768" s="115"/>
      <c r="Q768" s="114"/>
      <c r="R768" s="108"/>
      <c r="S768" s="115" t="s">
        <v>200</v>
      </c>
      <c r="T768" s="103" t="b">
        <v>0</v>
      </c>
      <c r="U768" s="103"/>
      <c r="V768" s="103"/>
      <c r="W768" s="103"/>
      <c r="X768" s="103"/>
      <c r="Y768" s="103"/>
      <c r="Z768" s="103"/>
    </row>
    <row r="769">
      <c r="A769" s="110" t="s">
        <v>200</v>
      </c>
      <c r="B769" s="110"/>
      <c r="C769" s="110"/>
      <c r="D769" s="110"/>
      <c r="E769" s="110"/>
      <c r="F769" s="110"/>
      <c r="G769" s="115"/>
      <c r="H769" s="133"/>
      <c r="I769" s="103"/>
      <c r="J769" s="108"/>
      <c r="K769" s="112"/>
      <c r="L769" s="110"/>
      <c r="M769" s="111"/>
      <c r="N769" s="103"/>
      <c r="O769" s="112"/>
      <c r="P769" s="115"/>
      <c r="Q769" s="114"/>
      <c r="R769" s="108"/>
      <c r="S769" s="115" t="s">
        <v>200</v>
      </c>
      <c r="T769" s="103" t="b">
        <v>0</v>
      </c>
      <c r="U769" s="103"/>
      <c r="V769" s="103"/>
      <c r="W769" s="103"/>
      <c r="X769" s="103"/>
      <c r="Y769" s="103"/>
      <c r="Z769" s="103"/>
    </row>
    <row r="770">
      <c r="A770" s="110" t="s">
        <v>200</v>
      </c>
      <c r="B770" s="110"/>
      <c r="C770" s="110"/>
      <c r="D770" s="110"/>
      <c r="E770" s="110"/>
      <c r="F770" s="110"/>
      <c r="G770" s="115"/>
      <c r="H770" s="133"/>
      <c r="I770" s="103"/>
      <c r="J770" s="108"/>
      <c r="K770" s="112"/>
      <c r="L770" s="110"/>
      <c r="M770" s="111"/>
      <c r="N770" s="103"/>
      <c r="O770" s="112"/>
      <c r="P770" s="115"/>
      <c r="Q770" s="114"/>
      <c r="R770" s="108"/>
      <c r="S770" s="115" t="s">
        <v>200</v>
      </c>
      <c r="T770" s="103" t="b">
        <v>0</v>
      </c>
      <c r="U770" s="103"/>
      <c r="V770" s="103"/>
      <c r="W770" s="103"/>
      <c r="X770" s="103"/>
      <c r="Y770" s="103"/>
      <c r="Z770" s="103"/>
    </row>
    <row r="771">
      <c r="A771" s="110" t="s">
        <v>200</v>
      </c>
      <c r="B771" s="110"/>
      <c r="C771" s="110"/>
      <c r="D771" s="110"/>
      <c r="E771" s="110"/>
      <c r="F771" s="110"/>
      <c r="G771" s="115"/>
      <c r="H771" s="133"/>
      <c r="I771" s="103"/>
      <c r="J771" s="108"/>
      <c r="K771" s="112"/>
      <c r="L771" s="110"/>
      <c r="M771" s="111"/>
      <c r="N771" s="103"/>
      <c r="O771" s="112"/>
      <c r="P771" s="115"/>
      <c r="Q771" s="114"/>
      <c r="R771" s="108"/>
      <c r="S771" s="115" t="s">
        <v>200</v>
      </c>
      <c r="T771" s="103" t="b">
        <v>0</v>
      </c>
      <c r="U771" s="103"/>
      <c r="V771" s="103"/>
      <c r="W771" s="103"/>
      <c r="X771" s="103"/>
      <c r="Y771" s="103"/>
      <c r="Z771" s="103"/>
    </row>
    <row r="772">
      <c r="A772" s="110" t="s">
        <v>200</v>
      </c>
      <c r="B772" s="110"/>
      <c r="C772" s="110"/>
      <c r="D772" s="110"/>
      <c r="E772" s="110"/>
      <c r="F772" s="110"/>
      <c r="G772" s="115"/>
      <c r="H772" s="133"/>
      <c r="I772" s="103"/>
      <c r="J772" s="108"/>
      <c r="K772" s="112"/>
      <c r="L772" s="110"/>
      <c r="M772" s="111"/>
      <c r="N772" s="103"/>
      <c r="O772" s="112"/>
      <c r="P772" s="115"/>
      <c r="Q772" s="114"/>
      <c r="R772" s="108"/>
      <c r="S772" s="115" t="s">
        <v>200</v>
      </c>
      <c r="T772" s="103" t="b">
        <v>0</v>
      </c>
      <c r="U772" s="103"/>
      <c r="V772" s="103"/>
      <c r="W772" s="103"/>
      <c r="X772" s="103"/>
      <c r="Y772" s="103"/>
      <c r="Z772" s="103"/>
    </row>
    <row r="773">
      <c r="A773" s="110" t="s">
        <v>200</v>
      </c>
      <c r="B773" s="110"/>
      <c r="C773" s="110"/>
      <c r="D773" s="110"/>
      <c r="E773" s="110"/>
      <c r="F773" s="110"/>
      <c r="G773" s="115"/>
      <c r="H773" s="133"/>
      <c r="I773" s="103"/>
      <c r="J773" s="108"/>
      <c r="K773" s="112"/>
      <c r="L773" s="110"/>
      <c r="M773" s="111"/>
      <c r="N773" s="103"/>
      <c r="O773" s="112"/>
      <c r="P773" s="115"/>
      <c r="Q773" s="114"/>
      <c r="R773" s="108"/>
      <c r="S773" s="115" t="s">
        <v>200</v>
      </c>
      <c r="T773" s="103" t="b">
        <v>0</v>
      </c>
      <c r="U773" s="103"/>
      <c r="V773" s="103"/>
      <c r="W773" s="103"/>
      <c r="X773" s="103"/>
      <c r="Y773" s="103"/>
      <c r="Z773" s="103"/>
    </row>
    <row r="774">
      <c r="A774" s="110" t="s">
        <v>200</v>
      </c>
      <c r="B774" s="110"/>
      <c r="C774" s="110"/>
      <c r="D774" s="110"/>
      <c r="E774" s="110"/>
      <c r="F774" s="110"/>
      <c r="G774" s="115"/>
      <c r="H774" s="133"/>
      <c r="I774" s="103"/>
      <c r="J774" s="108"/>
      <c r="K774" s="112"/>
      <c r="L774" s="110"/>
      <c r="M774" s="111"/>
      <c r="N774" s="103"/>
      <c r="O774" s="112"/>
      <c r="P774" s="115"/>
      <c r="Q774" s="114"/>
      <c r="R774" s="108"/>
      <c r="S774" s="115" t="s">
        <v>200</v>
      </c>
      <c r="T774" s="103" t="b">
        <v>0</v>
      </c>
      <c r="U774" s="103"/>
      <c r="V774" s="103"/>
      <c r="W774" s="103"/>
      <c r="X774" s="103"/>
      <c r="Y774" s="103"/>
      <c r="Z774" s="103"/>
    </row>
    <row r="775">
      <c r="A775" s="110" t="s">
        <v>200</v>
      </c>
      <c r="B775" s="110"/>
      <c r="C775" s="110"/>
      <c r="D775" s="110"/>
      <c r="E775" s="110"/>
      <c r="F775" s="110"/>
      <c r="G775" s="115"/>
      <c r="H775" s="133"/>
      <c r="I775" s="103"/>
      <c r="J775" s="108"/>
      <c r="K775" s="112"/>
      <c r="L775" s="110"/>
      <c r="M775" s="111"/>
      <c r="N775" s="103"/>
      <c r="O775" s="112"/>
      <c r="P775" s="115"/>
      <c r="Q775" s="114"/>
      <c r="R775" s="108"/>
      <c r="S775" s="115" t="s">
        <v>200</v>
      </c>
      <c r="T775" s="103" t="b">
        <v>0</v>
      </c>
      <c r="U775" s="103"/>
      <c r="V775" s="103"/>
      <c r="W775" s="103"/>
      <c r="X775" s="103"/>
      <c r="Y775" s="103"/>
      <c r="Z775" s="103"/>
    </row>
    <row r="776">
      <c r="A776" s="110" t="s">
        <v>200</v>
      </c>
      <c r="B776" s="110"/>
      <c r="C776" s="110"/>
      <c r="D776" s="110"/>
      <c r="E776" s="110"/>
      <c r="F776" s="110"/>
      <c r="G776" s="115"/>
      <c r="H776" s="133"/>
      <c r="I776" s="103"/>
      <c r="J776" s="108"/>
      <c r="K776" s="112"/>
      <c r="L776" s="110"/>
      <c r="M776" s="111"/>
      <c r="N776" s="103"/>
      <c r="O776" s="112"/>
      <c r="P776" s="115"/>
      <c r="Q776" s="114"/>
      <c r="R776" s="108"/>
      <c r="S776" s="115" t="s">
        <v>200</v>
      </c>
      <c r="T776" s="103" t="b">
        <v>0</v>
      </c>
      <c r="U776" s="103"/>
      <c r="V776" s="103"/>
      <c r="W776" s="103"/>
      <c r="X776" s="103"/>
      <c r="Y776" s="103"/>
      <c r="Z776" s="103"/>
    </row>
    <row r="777">
      <c r="A777" s="110" t="s">
        <v>200</v>
      </c>
      <c r="B777" s="110"/>
      <c r="C777" s="110"/>
      <c r="D777" s="110"/>
      <c r="E777" s="110"/>
      <c r="F777" s="110"/>
      <c r="G777" s="115"/>
      <c r="H777" s="133"/>
      <c r="I777" s="103"/>
      <c r="J777" s="108"/>
      <c r="K777" s="112"/>
      <c r="L777" s="110"/>
      <c r="M777" s="111"/>
      <c r="N777" s="103"/>
      <c r="O777" s="112"/>
      <c r="P777" s="115"/>
      <c r="Q777" s="114"/>
      <c r="R777" s="108"/>
      <c r="S777" s="115" t="s">
        <v>200</v>
      </c>
      <c r="T777" s="103" t="b">
        <v>0</v>
      </c>
      <c r="U777" s="103"/>
      <c r="V777" s="103"/>
      <c r="W777" s="103"/>
      <c r="X777" s="103"/>
      <c r="Y777" s="103"/>
      <c r="Z777" s="103"/>
    </row>
    <row r="778">
      <c r="A778" s="110" t="s">
        <v>200</v>
      </c>
      <c r="B778" s="110"/>
      <c r="C778" s="110"/>
      <c r="D778" s="110"/>
      <c r="E778" s="110"/>
      <c r="F778" s="110"/>
      <c r="G778" s="115"/>
      <c r="H778" s="133"/>
      <c r="I778" s="103"/>
      <c r="J778" s="108"/>
      <c r="K778" s="112"/>
      <c r="L778" s="110"/>
      <c r="M778" s="111"/>
      <c r="N778" s="103"/>
      <c r="O778" s="112"/>
      <c r="P778" s="115"/>
      <c r="Q778" s="114"/>
      <c r="R778" s="108"/>
      <c r="S778" s="115" t="s">
        <v>200</v>
      </c>
      <c r="T778" s="103" t="b">
        <v>0</v>
      </c>
      <c r="U778" s="103"/>
      <c r="V778" s="103"/>
      <c r="W778" s="103"/>
      <c r="X778" s="103"/>
      <c r="Y778" s="103"/>
      <c r="Z778" s="103"/>
    </row>
    <row r="779">
      <c r="A779" s="110" t="s">
        <v>200</v>
      </c>
      <c r="B779" s="110"/>
      <c r="C779" s="110"/>
      <c r="D779" s="110"/>
      <c r="E779" s="110"/>
      <c r="F779" s="110"/>
      <c r="G779" s="115"/>
      <c r="H779" s="133"/>
      <c r="I779" s="103"/>
      <c r="J779" s="108"/>
      <c r="K779" s="112"/>
      <c r="L779" s="110"/>
      <c r="M779" s="111"/>
      <c r="N779" s="103"/>
      <c r="O779" s="112"/>
      <c r="P779" s="115"/>
      <c r="Q779" s="114"/>
      <c r="R779" s="108"/>
      <c r="S779" s="115" t="s">
        <v>200</v>
      </c>
      <c r="T779" s="103" t="b">
        <v>0</v>
      </c>
      <c r="U779" s="103"/>
      <c r="V779" s="103"/>
      <c r="W779" s="103"/>
      <c r="X779" s="103"/>
      <c r="Y779" s="103"/>
      <c r="Z779" s="103"/>
    </row>
    <row r="780">
      <c r="A780" s="110" t="s">
        <v>200</v>
      </c>
      <c r="B780" s="110"/>
      <c r="C780" s="110"/>
      <c r="D780" s="110"/>
      <c r="E780" s="110"/>
      <c r="F780" s="110"/>
      <c r="G780" s="115"/>
      <c r="H780" s="133"/>
      <c r="I780" s="103"/>
      <c r="J780" s="108"/>
      <c r="K780" s="112"/>
      <c r="L780" s="110"/>
      <c r="M780" s="111"/>
      <c r="N780" s="103"/>
      <c r="O780" s="112"/>
      <c r="P780" s="115"/>
      <c r="Q780" s="114"/>
      <c r="R780" s="108"/>
      <c r="S780" s="115" t="s">
        <v>200</v>
      </c>
      <c r="T780" s="103" t="b">
        <v>0</v>
      </c>
      <c r="U780" s="103"/>
      <c r="V780" s="103"/>
      <c r="W780" s="103"/>
      <c r="X780" s="103"/>
      <c r="Y780" s="103"/>
      <c r="Z780" s="103"/>
    </row>
    <row r="781">
      <c r="A781" s="110" t="s">
        <v>200</v>
      </c>
      <c r="B781" s="110"/>
      <c r="C781" s="110"/>
      <c r="D781" s="110"/>
      <c r="E781" s="110"/>
      <c r="F781" s="110"/>
      <c r="G781" s="115"/>
      <c r="H781" s="133"/>
      <c r="I781" s="103"/>
      <c r="J781" s="108"/>
      <c r="K781" s="112"/>
      <c r="L781" s="110"/>
      <c r="M781" s="111"/>
      <c r="N781" s="103"/>
      <c r="O781" s="112"/>
      <c r="P781" s="115"/>
      <c r="Q781" s="114"/>
      <c r="R781" s="108"/>
      <c r="S781" s="115" t="s">
        <v>200</v>
      </c>
      <c r="T781" s="103" t="b">
        <v>0</v>
      </c>
      <c r="U781" s="103"/>
      <c r="V781" s="103"/>
      <c r="W781" s="103"/>
      <c r="X781" s="103"/>
      <c r="Y781" s="103"/>
      <c r="Z781" s="103"/>
    </row>
    <row r="782">
      <c r="A782" s="110" t="s">
        <v>200</v>
      </c>
      <c r="B782" s="110"/>
      <c r="C782" s="110"/>
      <c r="D782" s="110"/>
      <c r="E782" s="110"/>
      <c r="F782" s="110"/>
      <c r="G782" s="115"/>
      <c r="H782" s="133"/>
      <c r="I782" s="103"/>
      <c r="J782" s="108"/>
      <c r="K782" s="112"/>
      <c r="L782" s="110"/>
      <c r="M782" s="111"/>
      <c r="N782" s="103"/>
      <c r="O782" s="112"/>
      <c r="P782" s="115"/>
      <c r="Q782" s="114"/>
      <c r="R782" s="108"/>
      <c r="S782" s="115" t="s">
        <v>200</v>
      </c>
      <c r="T782" s="103" t="b">
        <v>0</v>
      </c>
      <c r="U782" s="103"/>
      <c r="V782" s="103"/>
      <c r="W782" s="103"/>
      <c r="X782" s="103"/>
      <c r="Y782" s="103"/>
      <c r="Z782" s="103"/>
    </row>
    <row r="783">
      <c r="A783" s="110" t="s">
        <v>200</v>
      </c>
      <c r="B783" s="110"/>
      <c r="C783" s="110"/>
      <c r="D783" s="110"/>
      <c r="E783" s="110"/>
      <c r="F783" s="110"/>
      <c r="G783" s="115"/>
      <c r="H783" s="133"/>
      <c r="I783" s="103"/>
      <c r="J783" s="108"/>
      <c r="K783" s="112"/>
      <c r="L783" s="110"/>
      <c r="M783" s="111"/>
      <c r="N783" s="103"/>
      <c r="O783" s="112"/>
      <c r="P783" s="115"/>
      <c r="Q783" s="114"/>
      <c r="R783" s="108"/>
      <c r="S783" s="115" t="s">
        <v>200</v>
      </c>
      <c r="T783" s="103" t="b">
        <v>0</v>
      </c>
      <c r="U783" s="103"/>
      <c r="V783" s="103"/>
      <c r="W783" s="103"/>
      <c r="X783" s="103"/>
      <c r="Y783" s="103"/>
      <c r="Z783" s="103"/>
    </row>
    <row r="784">
      <c r="A784" s="110" t="s">
        <v>200</v>
      </c>
      <c r="B784" s="110"/>
      <c r="C784" s="110"/>
      <c r="D784" s="110"/>
      <c r="E784" s="110"/>
      <c r="F784" s="110"/>
      <c r="G784" s="115"/>
      <c r="H784" s="133"/>
      <c r="I784" s="103"/>
      <c r="J784" s="108"/>
      <c r="K784" s="112"/>
      <c r="L784" s="110"/>
      <c r="M784" s="111"/>
      <c r="N784" s="103"/>
      <c r="O784" s="112"/>
      <c r="P784" s="115"/>
      <c r="Q784" s="114"/>
      <c r="R784" s="108"/>
      <c r="S784" s="115" t="s">
        <v>200</v>
      </c>
      <c r="T784" s="103" t="b">
        <v>0</v>
      </c>
      <c r="U784" s="103"/>
      <c r="V784" s="103"/>
      <c r="W784" s="103"/>
      <c r="X784" s="103"/>
      <c r="Y784" s="103"/>
      <c r="Z784" s="103"/>
    </row>
    <row r="785">
      <c r="A785" s="110" t="s">
        <v>200</v>
      </c>
      <c r="B785" s="110"/>
      <c r="C785" s="110"/>
      <c r="D785" s="110"/>
      <c r="E785" s="110"/>
      <c r="F785" s="110"/>
      <c r="G785" s="115"/>
      <c r="H785" s="133"/>
      <c r="I785" s="103"/>
      <c r="J785" s="108"/>
      <c r="K785" s="112"/>
      <c r="L785" s="110"/>
      <c r="M785" s="111"/>
      <c r="N785" s="103"/>
      <c r="O785" s="112"/>
      <c r="P785" s="115"/>
      <c r="Q785" s="114"/>
      <c r="R785" s="108"/>
      <c r="S785" s="115" t="s">
        <v>200</v>
      </c>
      <c r="T785" s="103" t="b">
        <v>0</v>
      </c>
      <c r="U785" s="103"/>
      <c r="V785" s="103"/>
      <c r="W785" s="103"/>
      <c r="X785" s="103"/>
      <c r="Y785" s="103"/>
      <c r="Z785" s="103"/>
    </row>
    <row r="786">
      <c r="A786" s="110" t="s">
        <v>200</v>
      </c>
      <c r="B786" s="110"/>
      <c r="C786" s="110"/>
      <c r="D786" s="110"/>
      <c r="E786" s="110"/>
      <c r="F786" s="110"/>
      <c r="G786" s="115"/>
      <c r="H786" s="133"/>
      <c r="I786" s="103"/>
      <c r="J786" s="108"/>
      <c r="K786" s="112"/>
      <c r="L786" s="110"/>
      <c r="M786" s="111"/>
      <c r="N786" s="103"/>
      <c r="O786" s="112"/>
      <c r="P786" s="115"/>
      <c r="Q786" s="114"/>
      <c r="R786" s="108"/>
      <c r="S786" s="115" t="s">
        <v>200</v>
      </c>
      <c r="T786" s="103" t="b">
        <v>0</v>
      </c>
      <c r="U786" s="103"/>
      <c r="V786" s="103"/>
      <c r="W786" s="103"/>
      <c r="X786" s="103"/>
      <c r="Y786" s="103"/>
      <c r="Z786" s="103"/>
    </row>
    <row r="787">
      <c r="A787" s="110" t="s">
        <v>200</v>
      </c>
      <c r="B787" s="110"/>
      <c r="C787" s="110"/>
      <c r="D787" s="110"/>
      <c r="E787" s="110"/>
      <c r="F787" s="110"/>
      <c r="G787" s="115"/>
      <c r="H787" s="133"/>
      <c r="I787" s="103"/>
      <c r="J787" s="108"/>
      <c r="K787" s="112"/>
      <c r="L787" s="110"/>
      <c r="M787" s="111"/>
      <c r="N787" s="103"/>
      <c r="O787" s="112"/>
      <c r="P787" s="115"/>
      <c r="Q787" s="114"/>
      <c r="R787" s="108"/>
      <c r="S787" s="115" t="s">
        <v>200</v>
      </c>
      <c r="T787" s="103" t="b">
        <v>0</v>
      </c>
      <c r="U787" s="103"/>
      <c r="V787" s="103"/>
      <c r="W787" s="103"/>
      <c r="X787" s="103"/>
      <c r="Y787" s="103"/>
      <c r="Z787" s="103"/>
    </row>
    <row r="788">
      <c r="A788" s="110" t="s">
        <v>200</v>
      </c>
      <c r="B788" s="110"/>
      <c r="C788" s="110"/>
      <c r="D788" s="110"/>
      <c r="E788" s="110"/>
      <c r="F788" s="110"/>
      <c r="G788" s="115"/>
      <c r="H788" s="133"/>
      <c r="I788" s="103"/>
      <c r="J788" s="108"/>
      <c r="K788" s="112"/>
      <c r="L788" s="110"/>
      <c r="M788" s="111"/>
      <c r="N788" s="103"/>
      <c r="O788" s="112"/>
      <c r="P788" s="115"/>
      <c r="Q788" s="114"/>
      <c r="R788" s="108"/>
      <c r="S788" s="115" t="s">
        <v>200</v>
      </c>
      <c r="T788" s="103" t="b">
        <v>0</v>
      </c>
      <c r="U788" s="103"/>
      <c r="V788" s="103"/>
      <c r="W788" s="103"/>
      <c r="X788" s="103"/>
      <c r="Y788" s="103"/>
      <c r="Z788" s="103"/>
    </row>
    <row r="789">
      <c r="A789" s="110" t="s">
        <v>200</v>
      </c>
      <c r="B789" s="110"/>
      <c r="C789" s="110"/>
      <c r="D789" s="110"/>
      <c r="E789" s="110"/>
      <c r="F789" s="110"/>
      <c r="G789" s="115"/>
      <c r="H789" s="133"/>
      <c r="I789" s="103"/>
      <c r="J789" s="108"/>
      <c r="K789" s="112"/>
      <c r="L789" s="110"/>
      <c r="M789" s="111"/>
      <c r="N789" s="103"/>
      <c r="O789" s="112"/>
      <c r="P789" s="115"/>
      <c r="Q789" s="114"/>
      <c r="R789" s="108"/>
      <c r="S789" s="115" t="s">
        <v>200</v>
      </c>
      <c r="T789" s="103" t="b">
        <v>0</v>
      </c>
      <c r="U789" s="103"/>
      <c r="V789" s="103"/>
      <c r="W789" s="103"/>
      <c r="X789" s="103"/>
      <c r="Y789" s="103"/>
      <c r="Z789" s="103"/>
    </row>
    <row r="790">
      <c r="A790" s="110" t="s">
        <v>200</v>
      </c>
      <c r="B790" s="110"/>
      <c r="C790" s="110"/>
      <c r="D790" s="110"/>
      <c r="E790" s="110"/>
      <c r="F790" s="110"/>
      <c r="G790" s="115"/>
      <c r="H790" s="133"/>
      <c r="I790" s="103"/>
      <c r="J790" s="108"/>
      <c r="K790" s="112"/>
      <c r="L790" s="110"/>
      <c r="M790" s="111"/>
      <c r="N790" s="103"/>
      <c r="O790" s="112"/>
      <c r="P790" s="115"/>
      <c r="Q790" s="114"/>
      <c r="R790" s="108"/>
      <c r="S790" s="115" t="s">
        <v>200</v>
      </c>
      <c r="T790" s="103" t="b">
        <v>0</v>
      </c>
      <c r="U790" s="103"/>
      <c r="V790" s="103"/>
      <c r="W790" s="103"/>
      <c r="X790" s="103"/>
      <c r="Y790" s="103"/>
      <c r="Z790" s="103"/>
    </row>
    <row r="791">
      <c r="A791" s="110" t="s">
        <v>200</v>
      </c>
      <c r="B791" s="110"/>
      <c r="C791" s="110"/>
      <c r="D791" s="110"/>
      <c r="E791" s="110"/>
      <c r="F791" s="110"/>
      <c r="G791" s="115"/>
      <c r="H791" s="133"/>
      <c r="I791" s="103"/>
      <c r="J791" s="108"/>
      <c r="K791" s="112"/>
      <c r="L791" s="110"/>
      <c r="M791" s="111"/>
      <c r="N791" s="103"/>
      <c r="O791" s="112"/>
      <c r="P791" s="115"/>
      <c r="Q791" s="114"/>
      <c r="R791" s="108"/>
      <c r="S791" s="115" t="s">
        <v>200</v>
      </c>
      <c r="T791" s="103" t="b">
        <v>0</v>
      </c>
      <c r="U791" s="103"/>
      <c r="V791" s="103"/>
      <c r="W791" s="103"/>
      <c r="X791" s="103"/>
      <c r="Y791" s="103"/>
      <c r="Z791" s="103"/>
    </row>
    <row r="792">
      <c r="A792" s="110" t="s">
        <v>200</v>
      </c>
      <c r="B792" s="110"/>
      <c r="C792" s="110"/>
      <c r="D792" s="110"/>
      <c r="E792" s="110"/>
      <c r="F792" s="110"/>
      <c r="G792" s="115"/>
      <c r="H792" s="133"/>
      <c r="I792" s="103"/>
      <c r="J792" s="108"/>
      <c r="K792" s="112"/>
      <c r="L792" s="110"/>
      <c r="M792" s="111"/>
      <c r="N792" s="103"/>
      <c r="O792" s="112"/>
      <c r="P792" s="115"/>
      <c r="Q792" s="114"/>
      <c r="R792" s="108"/>
      <c r="S792" s="115" t="s">
        <v>200</v>
      </c>
      <c r="T792" s="103" t="b">
        <v>0</v>
      </c>
      <c r="U792" s="103"/>
      <c r="V792" s="103"/>
      <c r="W792" s="103"/>
      <c r="X792" s="103"/>
      <c r="Y792" s="103"/>
      <c r="Z792" s="103"/>
    </row>
    <row r="793">
      <c r="A793" s="110" t="s">
        <v>200</v>
      </c>
      <c r="B793" s="110"/>
      <c r="C793" s="110"/>
      <c r="D793" s="110"/>
      <c r="E793" s="110"/>
      <c r="F793" s="110"/>
      <c r="G793" s="115"/>
      <c r="H793" s="133"/>
      <c r="I793" s="103"/>
      <c r="J793" s="108"/>
      <c r="K793" s="112"/>
      <c r="L793" s="110"/>
      <c r="M793" s="111"/>
      <c r="N793" s="103"/>
      <c r="O793" s="112"/>
      <c r="P793" s="115"/>
      <c r="Q793" s="114"/>
      <c r="R793" s="108"/>
      <c r="S793" s="115" t="s">
        <v>200</v>
      </c>
      <c r="T793" s="103" t="b">
        <v>0</v>
      </c>
      <c r="U793" s="103"/>
      <c r="V793" s="103"/>
      <c r="W793" s="103"/>
      <c r="X793" s="103"/>
      <c r="Y793" s="103"/>
      <c r="Z793" s="103"/>
    </row>
    <row r="794">
      <c r="A794" s="110" t="s">
        <v>200</v>
      </c>
      <c r="B794" s="110"/>
      <c r="C794" s="110"/>
      <c r="D794" s="110"/>
      <c r="E794" s="110"/>
      <c r="F794" s="110"/>
      <c r="G794" s="115"/>
      <c r="H794" s="133"/>
      <c r="I794" s="103"/>
      <c r="J794" s="108"/>
      <c r="K794" s="112"/>
      <c r="L794" s="110"/>
      <c r="M794" s="111"/>
      <c r="N794" s="103"/>
      <c r="O794" s="112"/>
      <c r="P794" s="115"/>
      <c r="Q794" s="114"/>
      <c r="R794" s="108"/>
      <c r="S794" s="115" t="s">
        <v>200</v>
      </c>
      <c r="T794" s="103" t="b">
        <v>0</v>
      </c>
      <c r="U794" s="103"/>
      <c r="V794" s="103"/>
      <c r="W794" s="103"/>
      <c r="X794" s="103"/>
      <c r="Y794" s="103"/>
      <c r="Z794" s="103"/>
    </row>
    <row r="795">
      <c r="A795" s="110" t="s">
        <v>200</v>
      </c>
      <c r="B795" s="110"/>
      <c r="C795" s="110"/>
      <c r="D795" s="110"/>
      <c r="E795" s="110"/>
      <c r="F795" s="110"/>
      <c r="G795" s="115"/>
      <c r="H795" s="133"/>
      <c r="I795" s="103"/>
      <c r="J795" s="108"/>
      <c r="K795" s="112"/>
      <c r="L795" s="110"/>
      <c r="M795" s="111"/>
      <c r="N795" s="103"/>
      <c r="O795" s="112"/>
      <c r="P795" s="115"/>
      <c r="Q795" s="114"/>
      <c r="R795" s="108"/>
      <c r="S795" s="115" t="s">
        <v>200</v>
      </c>
      <c r="T795" s="103" t="b">
        <v>0</v>
      </c>
      <c r="U795" s="103"/>
      <c r="V795" s="103"/>
      <c r="W795" s="103"/>
      <c r="X795" s="103"/>
      <c r="Y795" s="103"/>
      <c r="Z795" s="103"/>
    </row>
    <row r="796">
      <c r="A796" s="110" t="s">
        <v>200</v>
      </c>
      <c r="B796" s="110"/>
      <c r="C796" s="110"/>
      <c r="D796" s="110"/>
      <c r="E796" s="110"/>
      <c r="F796" s="110"/>
      <c r="G796" s="115"/>
      <c r="H796" s="133"/>
      <c r="I796" s="103"/>
      <c r="J796" s="108"/>
      <c r="K796" s="112"/>
      <c r="L796" s="110"/>
      <c r="M796" s="111"/>
      <c r="N796" s="103"/>
      <c r="O796" s="112"/>
      <c r="P796" s="115"/>
      <c r="Q796" s="114"/>
      <c r="R796" s="108"/>
      <c r="S796" s="115" t="s">
        <v>200</v>
      </c>
      <c r="T796" s="103" t="b">
        <v>0</v>
      </c>
      <c r="U796" s="103"/>
      <c r="V796" s="103"/>
      <c r="W796" s="103"/>
      <c r="X796" s="103"/>
      <c r="Y796" s="103"/>
      <c r="Z796" s="103"/>
    </row>
    <row r="797">
      <c r="A797" s="110" t="s">
        <v>200</v>
      </c>
      <c r="B797" s="110"/>
      <c r="C797" s="110"/>
      <c r="D797" s="110"/>
      <c r="E797" s="110"/>
      <c r="F797" s="110"/>
      <c r="G797" s="115"/>
      <c r="H797" s="133"/>
      <c r="I797" s="103"/>
      <c r="J797" s="108"/>
      <c r="K797" s="112"/>
      <c r="L797" s="110"/>
      <c r="M797" s="111"/>
      <c r="N797" s="103"/>
      <c r="O797" s="112"/>
      <c r="P797" s="115"/>
      <c r="Q797" s="114"/>
      <c r="R797" s="108"/>
      <c r="S797" s="115" t="s">
        <v>200</v>
      </c>
      <c r="T797" s="103" t="b">
        <v>0</v>
      </c>
      <c r="U797" s="103"/>
      <c r="V797" s="103"/>
      <c r="W797" s="103"/>
      <c r="X797" s="103"/>
      <c r="Y797" s="103"/>
      <c r="Z797" s="103"/>
    </row>
    <row r="798">
      <c r="A798" s="110" t="s">
        <v>200</v>
      </c>
      <c r="B798" s="110"/>
      <c r="C798" s="110"/>
      <c r="D798" s="110"/>
      <c r="E798" s="110"/>
      <c r="F798" s="110"/>
      <c r="G798" s="115"/>
      <c r="H798" s="133"/>
      <c r="I798" s="103"/>
      <c r="J798" s="108"/>
      <c r="K798" s="112"/>
      <c r="L798" s="110"/>
      <c r="M798" s="111"/>
      <c r="N798" s="103"/>
      <c r="O798" s="112"/>
      <c r="P798" s="115"/>
      <c r="Q798" s="114"/>
      <c r="R798" s="108"/>
      <c r="S798" s="115" t="s">
        <v>200</v>
      </c>
      <c r="T798" s="103" t="b">
        <v>0</v>
      </c>
      <c r="U798" s="103"/>
      <c r="V798" s="103"/>
      <c r="W798" s="103"/>
      <c r="X798" s="103"/>
      <c r="Y798" s="103"/>
      <c r="Z798" s="103"/>
    </row>
    <row r="799">
      <c r="A799" s="110" t="s">
        <v>200</v>
      </c>
      <c r="B799" s="110"/>
      <c r="C799" s="110"/>
      <c r="D799" s="110"/>
      <c r="E799" s="110"/>
      <c r="F799" s="110"/>
      <c r="G799" s="115"/>
      <c r="H799" s="133"/>
      <c r="I799" s="103"/>
      <c r="J799" s="108"/>
      <c r="K799" s="112"/>
      <c r="L799" s="110"/>
      <c r="M799" s="111"/>
      <c r="N799" s="103"/>
      <c r="O799" s="112"/>
      <c r="P799" s="115"/>
      <c r="Q799" s="114"/>
      <c r="R799" s="108"/>
      <c r="S799" s="115" t="s">
        <v>200</v>
      </c>
      <c r="T799" s="103" t="b">
        <v>0</v>
      </c>
      <c r="U799" s="103"/>
      <c r="V799" s="103"/>
      <c r="W799" s="103"/>
      <c r="X799" s="103"/>
      <c r="Y799" s="103"/>
      <c r="Z799" s="103"/>
    </row>
    <row r="800">
      <c r="A800" s="110" t="s">
        <v>200</v>
      </c>
      <c r="B800" s="110"/>
      <c r="C800" s="110"/>
      <c r="D800" s="110"/>
      <c r="E800" s="110"/>
      <c r="F800" s="110"/>
      <c r="G800" s="115"/>
      <c r="H800" s="133"/>
      <c r="I800" s="103"/>
      <c r="J800" s="108"/>
      <c r="K800" s="112"/>
      <c r="L800" s="110"/>
      <c r="M800" s="111"/>
      <c r="N800" s="103"/>
      <c r="O800" s="112"/>
      <c r="P800" s="115"/>
      <c r="Q800" s="114"/>
      <c r="R800" s="108"/>
      <c r="S800" s="115" t="s">
        <v>200</v>
      </c>
      <c r="T800" s="103" t="b">
        <v>0</v>
      </c>
      <c r="U800" s="103"/>
      <c r="V800" s="103"/>
      <c r="W800" s="103"/>
      <c r="X800" s="103"/>
      <c r="Y800" s="103"/>
      <c r="Z800" s="103"/>
    </row>
    <row r="801">
      <c r="A801" s="110" t="s">
        <v>200</v>
      </c>
      <c r="B801" s="110"/>
      <c r="C801" s="110"/>
      <c r="D801" s="110"/>
      <c r="E801" s="110"/>
      <c r="F801" s="110"/>
      <c r="G801" s="115"/>
      <c r="H801" s="133"/>
      <c r="I801" s="103"/>
      <c r="J801" s="108"/>
      <c r="K801" s="112"/>
      <c r="L801" s="110"/>
      <c r="M801" s="111"/>
      <c r="N801" s="103"/>
      <c r="O801" s="112"/>
      <c r="P801" s="115"/>
      <c r="Q801" s="114"/>
      <c r="R801" s="108"/>
      <c r="S801" s="115" t="s">
        <v>200</v>
      </c>
      <c r="T801" s="103" t="b">
        <v>0</v>
      </c>
      <c r="U801" s="103"/>
      <c r="V801" s="103"/>
      <c r="W801" s="103"/>
      <c r="X801" s="103"/>
      <c r="Y801" s="103"/>
      <c r="Z801" s="103"/>
    </row>
    <row r="802">
      <c r="A802" s="110" t="s">
        <v>200</v>
      </c>
      <c r="B802" s="110"/>
      <c r="C802" s="110"/>
      <c r="D802" s="110"/>
      <c r="E802" s="110"/>
      <c r="F802" s="110"/>
      <c r="G802" s="115"/>
      <c r="H802" s="133"/>
      <c r="I802" s="103"/>
      <c r="J802" s="108"/>
      <c r="K802" s="112"/>
      <c r="L802" s="110"/>
      <c r="M802" s="111"/>
      <c r="N802" s="103"/>
      <c r="O802" s="112"/>
      <c r="P802" s="115"/>
      <c r="Q802" s="114"/>
      <c r="R802" s="108"/>
      <c r="S802" s="115" t="s">
        <v>200</v>
      </c>
      <c r="T802" s="103" t="b">
        <v>0</v>
      </c>
      <c r="U802" s="103"/>
      <c r="V802" s="103"/>
      <c r="W802" s="103"/>
      <c r="X802" s="103"/>
      <c r="Y802" s="103"/>
      <c r="Z802" s="103"/>
    </row>
    <row r="803">
      <c r="A803" s="110" t="s">
        <v>200</v>
      </c>
      <c r="B803" s="110"/>
      <c r="C803" s="110"/>
      <c r="D803" s="110"/>
      <c r="E803" s="110"/>
      <c r="F803" s="110"/>
      <c r="G803" s="115"/>
      <c r="H803" s="133"/>
      <c r="I803" s="103"/>
      <c r="J803" s="108"/>
      <c r="K803" s="112"/>
      <c r="L803" s="110"/>
      <c r="M803" s="111"/>
      <c r="N803" s="103"/>
      <c r="O803" s="112"/>
      <c r="P803" s="115"/>
      <c r="Q803" s="114"/>
      <c r="R803" s="108"/>
      <c r="S803" s="115" t="s">
        <v>200</v>
      </c>
      <c r="T803" s="103" t="b">
        <v>0</v>
      </c>
      <c r="U803" s="103"/>
      <c r="V803" s="103"/>
      <c r="W803" s="103"/>
      <c r="X803" s="103"/>
      <c r="Y803" s="103"/>
      <c r="Z803" s="103"/>
    </row>
    <row r="804">
      <c r="A804" s="110" t="s">
        <v>200</v>
      </c>
      <c r="B804" s="110"/>
      <c r="C804" s="110"/>
      <c r="D804" s="110"/>
      <c r="E804" s="110"/>
      <c r="F804" s="110"/>
      <c r="G804" s="115"/>
      <c r="H804" s="133"/>
      <c r="I804" s="103"/>
      <c r="J804" s="108"/>
      <c r="K804" s="112"/>
      <c r="L804" s="110"/>
      <c r="M804" s="111"/>
      <c r="N804" s="103"/>
      <c r="O804" s="112"/>
      <c r="P804" s="115"/>
      <c r="Q804" s="114"/>
      <c r="R804" s="108"/>
      <c r="S804" s="115" t="s">
        <v>200</v>
      </c>
      <c r="T804" s="103" t="b">
        <v>0</v>
      </c>
      <c r="U804" s="103"/>
      <c r="V804" s="103"/>
      <c r="W804" s="103"/>
      <c r="X804" s="103"/>
      <c r="Y804" s="103"/>
      <c r="Z804" s="103"/>
    </row>
    <row r="805">
      <c r="A805" s="110" t="s">
        <v>200</v>
      </c>
      <c r="B805" s="110"/>
      <c r="C805" s="110"/>
      <c r="D805" s="110"/>
      <c r="E805" s="110"/>
      <c r="F805" s="110"/>
      <c r="G805" s="115"/>
      <c r="H805" s="133"/>
      <c r="I805" s="103"/>
      <c r="J805" s="108"/>
      <c r="K805" s="112"/>
      <c r="L805" s="110"/>
      <c r="M805" s="111"/>
      <c r="N805" s="103"/>
      <c r="O805" s="112"/>
      <c r="P805" s="115"/>
      <c r="Q805" s="114"/>
      <c r="R805" s="108"/>
      <c r="S805" s="115" t="s">
        <v>200</v>
      </c>
      <c r="T805" s="103" t="b">
        <v>0</v>
      </c>
      <c r="U805" s="103"/>
      <c r="V805" s="103"/>
      <c r="W805" s="103"/>
      <c r="X805" s="103"/>
      <c r="Y805" s="103"/>
      <c r="Z805" s="103"/>
    </row>
    <row r="806">
      <c r="A806" s="110" t="s">
        <v>200</v>
      </c>
      <c r="B806" s="110"/>
      <c r="C806" s="110"/>
      <c r="D806" s="110"/>
      <c r="E806" s="110"/>
      <c r="F806" s="110"/>
      <c r="G806" s="115"/>
      <c r="H806" s="133"/>
      <c r="I806" s="103"/>
      <c r="J806" s="108"/>
      <c r="K806" s="112"/>
      <c r="L806" s="110"/>
      <c r="M806" s="111"/>
      <c r="N806" s="103"/>
      <c r="O806" s="112"/>
      <c r="P806" s="115"/>
      <c r="Q806" s="114"/>
      <c r="R806" s="108"/>
      <c r="S806" s="115" t="s">
        <v>200</v>
      </c>
      <c r="T806" s="103" t="b">
        <v>0</v>
      </c>
      <c r="U806" s="103"/>
      <c r="V806" s="103"/>
      <c r="W806" s="103"/>
      <c r="X806" s="103"/>
      <c r="Y806" s="103"/>
      <c r="Z806" s="103"/>
    </row>
    <row r="807">
      <c r="A807" s="110" t="s">
        <v>200</v>
      </c>
      <c r="B807" s="110"/>
      <c r="C807" s="110"/>
      <c r="D807" s="110"/>
      <c r="E807" s="110"/>
      <c r="F807" s="110"/>
      <c r="G807" s="115"/>
      <c r="H807" s="133"/>
      <c r="I807" s="103"/>
      <c r="J807" s="108"/>
      <c r="K807" s="112"/>
      <c r="L807" s="110"/>
      <c r="M807" s="111"/>
      <c r="N807" s="103"/>
      <c r="O807" s="112"/>
      <c r="P807" s="115"/>
      <c r="Q807" s="114"/>
      <c r="R807" s="108"/>
      <c r="S807" s="115" t="s">
        <v>200</v>
      </c>
      <c r="T807" s="103" t="b">
        <v>0</v>
      </c>
      <c r="U807" s="103"/>
      <c r="V807" s="103"/>
      <c r="W807" s="103"/>
      <c r="X807" s="103"/>
      <c r="Y807" s="103"/>
      <c r="Z807" s="103"/>
    </row>
    <row r="808">
      <c r="A808" s="110" t="s">
        <v>200</v>
      </c>
      <c r="B808" s="110"/>
      <c r="C808" s="110"/>
      <c r="D808" s="110"/>
      <c r="E808" s="110"/>
      <c r="F808" s="110"/>
      <c r="G808" s="115"/>
      <c r="H808" s="133"/>
      <c r="I808" s="103"/>
      <c r="J808" s="108"/>
      <c r="K808" s="112"/>
      <c r="L808" s="110"/>
      <c r="M808" s="111"/>
      <c r="N808" s="103"/>
      <c r="O808" s="112"/>
      <c r="P808" s="115"/>
      <c r="Q808" s="114"/>
      <c r="R808" s="108"/>
      <c r="S808" s="115" t="s">
        <v>200</v>
      </c>
      <c r="T808" s="103" t="b">
        <v>0</v>
      </c>
      <c r="U808" s="103"/>
      <c r="V808" s="103"/>
      <c r="W808" s="103"/>
      <c r="X808" s="103"/>
      <c r="Y808" s="103"/>
      <c r="Z808" s="103"/>
    </row>
    <row r="809">
      <c r="A809" s="110" t="s">
        <v>200</v>
      </c>
      <c r="B809" s="110"/>
      <c r="C809" s="110"/>
      <c r="D809" s="110"/>
      <c r="E809" s="110"/>
      <c r="F809" s="110"/>
      <c r="G809" s="115"/>
      <c r="H809" s="133"/>
      <c r="I809" s="103"/>
      <c r="J809" s="108"/>
      <c r="K809" s="112"/>
      <c r="L809" s="110"/>
      <c r="M809" s="111"/>
      <c r="N809" s="103"/>
      <c r="O809" s="112"/>
      <c r="P809" s="115"/>
      <c r="Q809" s="114"/>
      <c r="R809" s="108"/>
      <c r="S809" s="115" t="s">
        <v>200</v>
      </c>
      <c r="T809" s="103" t="b">
        <v>0</v>
      </c>
      <c r="U809" s="103"/>
      <c r="V809" s="103"/>
      <c r="W809" s="103"/>
      <c r="X809" s="103"/>
      <c r="Y809" s="103"/>
      <c r="Z809" s="103"/>
    </row>
    <row r="810">
      <c r="A810" s="110" t="s">
        <v>200</v>
      </c>
      <c r="B810" s="110"/>
      <c r="C810" s="110"/>
      <c r="D810" s="110"/>
      <c r="E810" s="110"/>
      <c r="F810" s="110"/>
      <c r="G810" s="115"/>
      <c r="H810" s="133"/>
      <c r="I810" s="103"/>
      <c r="J810" s="108"/>
      <c r="K810" s="112"/>
      <c r="L810" s="110"/>
      <c r="M810" s="111"/>
      <c r="N810" s="103"/>
      <c r="O810" s="112"/>
      <c r="P810" s="115"/>
      <c r="Q810" s="114"/>
      <c r="R810" s="108"/>
      <c r="S810" s="115" t="s">
        <v>200</v>
      </c>
      <c r="T810" s="103" t="b">
        <v>0</v>
      </c>
      <c r="U810" s="103"/>
      <c r="V810" s="103"/>
      <c r="W810" s="103"/>
      <c r="X810" s="103"/>
      <c r="Y810" s="103"/>
      <c r="Z810" s="103"/>
    </row>
    <row r="811">
      <c r="A811" s="110" t="s">
        <v>200</v>
      </c>
      <c r="B811" s="110"/>
      <c r="C811" s="110"/>
      <c r="D811" s="110"/>
      <c r="E811" s="110"/>
      <c r="F811" s="110"/>
      <c r="G811" s="115"/>
      <c r="H811" s="133"/>
      <c r="I811" s="103"/>
      <c r="J811" s="108"/>
      <c r="K811" s="112"/>
      <c r="L811" s="110"/>
      <c r="M811" s="111"/>
      <c r="N811" s="103"/>
      <c r="O811" s="112"/>
      <c r="P811" s="115"/>
      <c r="Q811" s="114"/>
      <c r="R811" s="108"/>
      <c r="S811" s="115" t="s">
        <v>200</v>
      </c>
      <c r="T811" s="103" t="b">
        <v>0</v>
      </c>
      <c r="U811" s="103"/>
      <c r="V811" s="103"/>
      <c r="W811" s="103"/>
      <c r="X811" s="103"/>
      <c r="Y811" s="103"/>
      <c r="Z811" s="103"/>
    </row>
    <row r="812">
      <c r="A812" s="110" t="s">
        <v>200</v>
      </c>
      <c r="B812" s="110"/>
      <c r="C812" s="110"/>
      <c r="D812" s="110"/>
      <c r="E812" s="110"/>
      <c r="F812" s="110"/>
      <c r="G812" s="115"/>
      <c r="H812" s="133"/>
      <c r="I812" s="103"/>
      <c r="J812" s="108"/>
      <c r="K812" s="112"/>
      <c r="L812" s="110"/>
      <c r="M812" s="111"/>
      <c r="N812" s="103"/>
      <c r="O812" s="112"/>
      <c r="P812" s="115"/>
      <c r="Q812" s="114"/>
      <c r="R812" s="108"/>
      <c r="S812" s="115" t="s">
        <v>200</v>
      </c>
      <c r="T812" s="103" t="b">
        <v>0</v>
      </c>
      <c r="U812" s="103"/>
      <c r="V812" s="103"/>
      <c r="W812" s="103"/>
      <c r="X812" s="103"/>
      <c r="Y812" s="103"/>
      <c r="Z812" s="103"/>
    </row>
    <row r="813">
      <c r="A813" s="110" t="s">
        <v>200</v>
      </c>
      <c r="B813" s="110"/>
      <c r="C813" s="110"/>
      <c r="D813" s="110"/>
      <c r="E813" s="110"/>
      <c r="F813" s="110"/>
      <c r="G813" s="115"/>
      <c r="H813" s="133"/>
      <c r="I813" s="103"/>
      <c r="J813" s="108"/>
      <c r="K813" s="112"/>
      <c r="L813" s="110"/>
      <c r="M813" s="111"/>
      <c r="N813" s="103"/>
      <c r="O813" s="112"/>
      <c r="P813" s="115"/>
      <c r="Q813" s="114"/>
      <c r="R813" s="108"/>
      <c r="S813" s="115" t="s">
        <v>200</v>
      </c>
      <c r="T813" s="103" t="b">
        <v>0</v>
      </c>
      <c r="U813" s="103"/>
      <c r="V813" s="103"/>
      <c r="W813" s="103"/>
      <c r="X813" s="103"/>
      <c r="Y813" s="103"/>
      <c r="Z813" s="103"/>
    </row>
    <row r="814">
      <c r="A814" s="110" t="s">
        <v>200</v>
      </c>
      <c r="B814" s="110"/>
      <c r="C814" s="110"/>
      <c r="D814" s="110"/>
      <c r="E814" s="110"/>
      <c r="F814" s="110"/>
      <c r="G814" s="115"/>
      <c r="H814" s="133"/>
      <c r="I814" s="103"/>
      <c r="J814" s="108"/>
      <c r="K814" s="112"/>
      <c r="L814" s="110"/>
      <c r="M814" s="111"/>
      <c r="N814" s="103"/>
      <c r="O814" s="112"/>
      <c r="P814" s="115"/>
      <c r="Q814" s="114"/>
      <c r="R814" s="108"/>
      <c r="S814" s="115" t="s">
        <v>200</v>
      </c>
      <c r="T814" s="103" t="b">
        <v>0</v>
      </c>
      <c r="U814" s="103"/>
      <c r="V814" s="103"/>
      <c r="W814" s="103"/>
      <c r="X814" s="103"/>
      <c r="Y814" s="103"/>
      <c r="Z814" s="103"/>
    </row>
    <row r="815">
      <c r="A815" s="110" t="s">
        <v>200</v>
      </c>
      <c r="B815" s="110"/>
      <c r="C815" s="110"/>
      <c r="D815" s="110"/>
      <c r="E815" s="110"/>
      <c r="F815" s="110"/>
      <c r="G815" s="115"/>
      <c r="H815" s="133"/>
      <c r="I815" s="103"/>
      <c r="J815" s="108"/>
      <c r="K815" s="112"/>
      <c r="L815" s="110"/>
      <c r="M815" s="111"/>
      <c r="N815" s="103"/>
      <c r="O815" s="112"/>
      <c r="P815" s="115"/>
      <c r="Q815" s="114"/>
      <c r="R815" s="108"/>
      <c r="S815" s="115" t="s">
        <v>200</v>
      </c>
      <c r="T815" s="103" t="b">
        <v>0</v>
      </c>
      <c r="U815" s="103"/>
      <c r="V815" s="103"/>
      <c r="W815" s="103"/>
      <c r="X815" s="103"/>
      <c r="Y815" s="103"/>
      <c r="Z815" s="103"/>
    </row>
    <row r="816">
      <c r="A816" s="110" t="s">
        <v>200</v>
      </c>
      <c r="B816" s="110"/>
      <c r="C816" s="110"/>
      <c r="D816" s="110"/>
      <c r="E816" s="110"/>
      <c r="F816" s="110"/>
      <c r="G816" s="115"/>
      <c r="H816" s="133"/>
      <c r="I816" s="103"/>
      <c r="J816" s="108"/>
      <c r="K816" s="112"/>
      <c r="L816" s="110"/>
      <c r="M816" s="111"/>
      <c r="N816" s="103"/>
      <c r="O816" s="112"/>
      <c r="P816" s="115"/>
      <c r="Q816" s="114"/>
      <c r="R816" s="108"/>
      <c r="S816" s="115" t="s">
        <v>200</v>
      </c>
      <c r="T816" s="103" t="b">
        <v>0</v>
      </c>
      <c r="U816" s="103"/>
      <c r="V816" s="103"/>
      <c r="W816" s="103"/>
      <c r="X816" s="103"/>
      <c r="Y816" s="103"/>
      <c r="Z816" s="103"/>
    </row>
    <row r="817">
      <c r="A817" s="110" t="s">
        <v>200</v>
      </c>
      <c r="B817" s="110"/>
      <c r="C817" s="110"/>
      <c r="D817" s="110"/>
      <c r="E817" s="110"/>
      <c r="F817" s="110"/>
      <c r="G817" s="115"/>
      <c r="H817" s="133"/>
      <c r="I817" s="103"/>
      <c r="J817" s="108"/>
      <c r="K817" s="112"/>
      <c r="L817" s="110"/>
      <c r="M817" s="111"/>
      <c r="N817" s="103"/>
      <c r="O817" s="112"/>
      <c r="P817" s="115"/>
      <c r="Q817" s="114"/>
      <c r="R817" s="108"/>
      <c r="S817" s="115" t="s">
        <v>200</v>
      </c>
      <c r="T817" s="103" t="b">
        <v>0</v>
      </c>
      <c r="U817" s="103"/>
      <c r="V817" s="103"/>
      <c r="W817" s="103"/>
      <c r="X817" s="103"/>
      <c r="Y817" s="103"/>
      <c r="Z817" s="103"/>
    </row>
    <row r="818">
      <c r="A818" s="110" t="s">
        <v>200</v>
      </c>
      <c r="B818" s="110"/>
      <c r="C818" s="110"/>
      <c r="D818" s="110"/>
      <c r="E818" s="110"/>
      <c r="F818" s="110"/>
      <c r="G818" s="115"/>
      <c r="H818" s="133"/>
      <c r="I818" s="103"/>
      <c r="J818" s="108"/>
      <c r="K818" s="112"/>
      <c r="L818" s="110"/>
      <c r="M818" s="111"/>
      <c r="N818" s="103"/>
      <c r="O818" s="112"/>
      <c r="P818" s="115"/>
      <c r="Q818" s="114"/>
      <c r="R818" s="108"/>
      <c r="S818" s="115" t="s">
        <v>200</v>
      </c>
      <c r="T818" s="103" t="b">
        <v>0</v>
      </c>
      <c r="U818" s="103"/>
      <c r="V818" s="103"/>
      <c r="W818" s="103"/>
      <c r="X818" s="103"/>
      <c r="Y818" s="103"/>
      <c r="Z818" s="103"/>
    </row>
    <row r="819">
      <c r="A819" s="110" t="s">
        <v>200</v>
      </c>
      <c r="B819" s="110"/>
      <c r="C819" s="110"/>
      <c r="D819" s="110"/>
      <c r="E819" s="110"/>
      <c r="F819" s="110"/>
      <c r="G819" s="115"/>
      <c r="H819" s="133"/>
      <c r="I819" s="103"/>
      <c r="J819" s="108"/>
      <c r="K819" s="112"/>
      <c r="L819" s="110"/>
      <c r="M819" s="111"/>
      <c r="N819" s="103"/>
      <c r="O819" s="112"/>
      <c r="P819" s="115"/>
      <c r="Q819" s="114"/>
      <c r="R819" s="108"/>
      <c r="S819" s="115" t="s">
        <v>200</v>
      </c>
      <c r="T819" s="103" t="b">
        <v>0</v>
      </c>
      <c r="U819" s="103"/>
      <c r="V819" s="103"/>
      <c r="W819" s="103"/>
      <c r="X819" s="103"/>
      <c r="Y819" s="103"/>
      <c r="Z819" s="103"/>
    </row>
    <row r="820">
      <c r="A820" s="110" t="s">
        <v>200</v>
      </c>
      <c r="B820" s="110"/>
      <c r="C820" s="110"/>
      <c r="D820" s="110"/>
      <c r="E820" s="110"/>
      <c r="F820" s="110"/>
      <c r="G820" s="115"/>
      <c r="H820" s="133"/>
      <c r="I820" s="103"/>
      <c r="J820" s="108"/>
      <c r="K820" s="112"/>
      <c r="L820" s="110"/>
      <c r="M820" s="111"/>
      <c r="N820" s="103"/>
      <c r="O820" s="112"/>
      <c r="P820" s="115"/>
      <c r="Q820" s="114"/>
      <c r="R820" s="108"/>
      <c r="S820" s="115" t="s">
        <v>200</v>
      </c>
      <c r="T820" s="103" t="b">
        <v>0</v>
      </c>
      <c r="U820" s="103"/>
      <c r="V820" s="103"/>
      <c r="W820" s="103"/>
      <c r="X820" s="103"/>
      <c r="Y820" s="103"/>
      <c r="Z820" s="103"/>
    </row>
    <row r="821">
      <c r="A821" s="110" t="s">
        <v>200</v>
      </c>
      <c r="B821" s="110"/>
      <c r="C821" s="110"/>
      <c r="D821" s="110"/>
      <c r="E821" s="110"/>
      <c r="F821" s="110"/>
      <c r="G821" s="115"/>
      <c r="H821" s="133"/>
      <c r="I821" s="103"/>
      <c r="J821" s="108"/>
      <c r="K821" s="112"/>
      <c r="L821" s="110"/>
      <c r="M821" s="111"/>
      <c r="N821" s="103"/>
      <c r="O821" s="112"/>
      <c r="P821" s="115"/>
      <c r="Q821" s="114"/>
      <c r="R821" s="108"/>
      <c r="S821" s="115" t="s">
        <v>200</v>
      </c>
      <c r="T821" s="103" t="b">
        <v>0</v>
      </c>
      <c r="U821" s="103"/>
      <c r="V821" s="103"/>
      <c r="W821" s="103"/>
      <c r="X821" s="103"/>
      <c r="Y821" s="103"/>
      <c r="Z821" s="103"/>
    </row>
    <row r="822">
      <c r="A822" s="110" t="s">
        <v>200</v>
      </c>
      <c r="B822" s="110"/>
      <c r="C822" s="110"/>
      <c r="D822" s="110"/>
      <c r="E822" s="110"/>
      <c r="F822" s="110"/>
      <c r="G822" s="115"/>
      <c r="H822" s="133"/>
      <c r="I822" s="103"/>
      <c r="J822" s="108"/>
      <c r="K822" s="112"/>
      <c r="L822" s="110"/>
      <c r="M822" s="111"/>
      <c r="N822" s="103"/>
      <c r="O822" s="112"/>
      <c r="P822" s="115"/>
      <c r="Q822" s="114"/>
      <c r="R822" s="108"/>
      <c r="S822" s="115" t="s">
        <v>200</v>
      </c>
      <c r="T822" s="103" t="b">
        <v>0</v>
      </c>
      <c r="U822" s="103"/>
      <c r="V822" s="103"/>
      <c r="W822" s="103"/>
      <c r="X822" s="103"/>
      <c r="Y822" s="103"/>
      <c r="Z822" s="103"/>
    </row>
    <row r="823">
      <c r="A823" s="110" t="s">
        <v>200</v>
      </c>
      <c r="B823" s="110"/>
      <c r="C823" s="110"/>
      <c r="D823" s="110"/>
      <c r="E823" s="110"/>
      <c r="F823" s="110"/>
      <c r="G823" s="115"/>
      <c r="H823" s="133"/>
      <c r="I823" s="103"/>
      <c r="J823" s="108"/>
      <c r="K823" s="112"/>
      <c r="L823" s="110"/>
      <c r="M823" s="111"/>
      <c r="N823" s="103"/>
      <c r="O823" s="112"/>
      <c r="P823" s="115"/>
      <c r="Q823" s="114"/>
      <c r="R823" s="108"/>
      <c r="S823" s="115" t="s">
        <v>200</v>
      </c>
      <c r="T823" s="103" t="b">
        <v>0</v>
      </c>
      <c r="U823" s="103"/>
      <c r="V823" s="103"/>
      <c r="W823" s="103"/>
      <c r="X823" s="103"/>
      <c r="Y823" s="103"/>
      <c r="Z823" s="103"/>
    </row>
    <row r="824">
      <c r="A824" s="110" t="s">
        <v>200</v>
      </c>
      <c r="B824" s="110"/>
      <c r="C824" s="110"/>
      <c r="D824" s="110"/>
      <c r="E824" s="110"/>
      <c r="F824" s="110"/>
      <c r="G824" s="115"/>
      <c r="H824" s="133"/>
      <c r="I824" s="103"/>
      <c r="J824" s="108"/>
      <c r="K824" s="112"/>
      <c r="L824" s="110"/>
      <c r="M824" s="111"/>
      <c r="N824" s="103"/>
      <c r="O824" s="112"/>
      <c r="P824" s="115"/>
      <c r="Q824" s="114"/>
      <c r="R824" s="108"/>
      <c r="S824" s="115" t="s">
        <v>200</v>
      </c>
      <c r="T824" s="103" t="b">
        <v>0</v>
      </c>
      <c r="U824" s="103"/>
      <c r="V824" s="103"/>
      <c r="W824" s="103"/>
      <c r="X824" s="103"/>
      <c r="Y824" s="103"/>
      <c r="Z824" s="103"/>
    </row>
    <row r="825">
      <c r="A825" s="110" t="s">
        <v>200</v>
      </c>
      <c r="B825" s="110"/>
      <c r="C825" s="110"/>
      <c r="D825" s="110"/>
      <c r="E825" s="110"/>
      <c r="F825" s="110"/>
      <c r="G825" s="115"/>
      <c r="H825" s="133"/>
      <c r="I825" s="103"/>
      <c r="J825" s="108"/>
      <c r="K825" s="112"/>
      <c r="L825" s="110"/>
      <c r="M825" s="111"/>
      <c r="N825" s="103"/>
      <c r="O825" s="112"/>
      <c r="P825" s="115"/>
      <c r="Q825" s="114"/>
      <c r="R825" s="108"/>
      <c r="S825" s="115" t="s">
        <v>200</v>
      </c>
      <c r="T825" s="103" t="b">
        <v>0</v>
      </c>
      <c r="U825" s="103"/>
      <c r="V825" s="103"/>
      <c r="W825" s="103"/>
      <c r="X825" s="103"/>
      <c r="Y825" s="103"/>
      <c r="Z825" s="103"/>
    </row>
    <row r="826">
      <c r="A826" s="110" t="s">
        <v>200</v>
      </c>
      <c r="B826" s="110"/>
      <c r="C826" s="110"/>
      <c r="D826" s="110"/>
      <c r="E826" s="110"/>
      <c r="F826" s="110"/>
      <c r="G826" s="115"/>
      <c r="H826" s="133"/>
      <c r="I826" s="103"/>
      <c r="J826" s="108"/>
      <c r="K826" s="112"/>
      <c r="L826" s="110"/>
      <c r="M826" s="111"/>
      <c r="N826" s="103"/>
      <c r="O826" s="112"/>
      <c r="P826" s="115"/>
      <c r="Q826" s="114"/>
      <c r="R826" s="108"/>
      <c r="S826" s="115" t="s">
        <v>200</v>
      </c>
      <c r="T826" s="103" t="b">
        <v>0</v>
      </c>
      <c r="U826" s="103"/>
      <c r="V826" s="103"/>
      <c r="W826" s="103"/>
      <c r="X826" s="103"/>
      <c r="Y826" s="103"/>
      <c r="Z826" s="103"/>
    </row>
    <row r="827">
      <c r="A827" s="110" t="s">
        <v>200</v>
      </c>
      <c r="B827" s="110"/>
      <c r="C827" s="110"/>
      <c r="D827" s="110"/>
      <c r="E827" s="110"/>
      <c r="F827" s="110"/>
      <c r="G827" s="115"/>
      <c r="H827" s="133"/>
      <c r="I827" s="103"/>
      <c r="J827" s="108"/>
      <c r="K827" s="112"/>
      <c r="L827" s="110"/>
      <c r="M827" s="111"/>
      <c r="N827" s="103"/>
      <c r="O827" s="112"/>
      <c r="P827" s="115"/>
      <c r="Q827" s="114"/>
      <c r="R827" s="108"/>
      <c r="S827" s="115" t="s">
        <v>200</v>
      </c>
      <c r="T827" s="103" t="b">
        <v>0</v>
      </c>
      <c r="U827" s="103"/>
      <c r="V827" s="103"/>
      <c r="W827" s="103"/>
      <c r="X827" s="103"/>
      <c r="Y827" s="103"/>
      <c r="Z827" s="103"/>
    </row>
    <row r="828">
      <c r="A828" s="110" t="s">
        <v>200</v>
      </c>
      <c r="B828" s="110"/>
      <c r="C828" s="110"/>
      <c r="D828" s="110"/>
      <c r="E828" s="110"/>
      <c r="F828" s="110"/>
      <c r="G828" s="115"/>
      <c r="H828" s="133"/>
      <c r="I828" s="103"/>
      <c r="J828" s="108"/>
      <c r="K828" s="112"/>
      <c r="L828" s="110"/>
      <c r="M828" s="111"/>
      <c r="N828" s="103"/>
      <c r="O828" s="112"/>
      <c r="P828" s="115"/>
      <c r="Q828" s="114"/>
      <c r="R828" s="108"/>
      <c r="S828" s="115" t="s">
        <v>200</v>
      </c>
      <c r="T828" s="103" t="b">
        <v>0</v>
      </c>
      <c r="U828" s="103"/>
      <c r="V828" s="103"/>
      <c r="W828" s="103"/>
      <c r="X828" s="103"/>
      <c r="Y828" s="103"/>
      <c r="Z828" s="103"/>
    </row>
    <row r="829">
      <c r="A829" s="110" t="s">
        <v>200</v>
      </c>
      <c r="B829" s="110"/>
      <c r="C829" s="110"/>
      <c r="D829" s="110"/>
      <c r="E829" s="110"/>
      <c r="F829" s="110"/>
      <c r="G829" s="115"/>
      <c r="H829" s="133"/>
      <c r="I829" s="103"/>
      <c r="J829" s="108"/>
      <c r="K829" s="112"/>
      <c r="L829" s="110"/>
      <c r="M829" s="111"/>
      <c r="N829" s="103"/>
      <c r="O829" s="112"/>
      <c r="P829" s="115"/>
      <c r="Q829" s="114"/>
      <c r="R829" s="108"/>
      <c r="S829" s="115" t="s">
        <v>200</v>
      </c>
      <c r="T829" s="103" t="b">
        <v>0</v>
      </c>
      <c r="U829" s="103"/>
      <c r="V829" s="103"/>
      <c r="W829" s="103"/>
      <c r="X829" s="103"/>
      <c r="Y829" s="103"/>
      <c r="Z829" s="103"/>
    </row>
    <row r="830">
      <c r="A830" s="110" t="s">
        <v>200</v>
      </c>
      <c r="B830" s="110"/>
      <c r="C830" s="110"/>
      <c r="D830" s="110"/>
      <c r="E830" s="110"/>
      <c r="F830" s="110"/>
      <c r="G830" s="115"/>
      <c r="H830" s="133"/>
      <c r="I830" s="103"/>
      <c r="J830" s="108"/>
      <c r="K830" s="112"/>
      <c r="L830" s="110"/>
      <c r="M830" s="111"/>
      <c r="N830" s="103"/>
      <c r="O830" s="112"/>
      <c r="P830" s="115"/>
      <c r="Q830" s="114"/>
      <c r="R830" s="108"/>
      <c r="S830" s="115" t="s">
        <v>200</v>
      </c>
      <c r="T830" s="103" t="b">
        <v>0</v>
      </c>
      <c r="U830" s="103"/>
      <c r="V830" s="103"/>
      <c r="W830" s="103"/>
      <c r="X830" s="103"/>
      <c r="Y830" s="103"/>
      <c r="Z830" s="103"/>
    </row>
    <row r="831">
      <c r="A831" s="110" t="s">
        <v>200</v>
      </c>
      <c r="B831" s="110"/>
      <c r="C831" s="110"/>
      <c r="D831" s="110"/>
      <c r="E831" s="110"/>
      <c r="F831" s="110"/>
      <c r="G831" s="115"/>
      <c r="H831" s="133"/>
      <c r="I831" s="103"/>
      <c r="J831" s="108"/>
      <c r="K831" s="112"/>
      <c r="L831" s="110"/>
      <c r="M831" s="111"/>
      <c r="N831" s="103"/>
      <c r="O831" s="112"/>
      <c r="P831" s="115"/>
      <c r="Q831" s="114"/>
      <c r="R831" s="108"/>
      <c r="S831" s="115" t="s">
        <v>200</v>
      </c>
      <c r="T831" s="103" t="b">
        <v>0</v>
      </c>
      <c r="U831" s="103"/>
      <c r="V831" s="103"/>
      <c r="W831" s="103"/>
      <c r="X831" s="103"/>
      <c r="Y831" s="103"/>
      <c r="Z831" s="103"/>
    </row>
    <row r="832">
      <c r="A832" s="110" t="s">
        <v>200</v>
      </c>
      <c r="B832" s="110"/>
      <c r="C832" s="110"/>
      <c r="D832" s="110"/>
      <c r="E832" s="110"/>
      <c r="F832" s="110"/>
      <c r="G832" s="115"/>
      <c r="H832" s="133"/>
      <c r="I832" s="103"/>
      <c r="J832" s="108"/>
      <c r="K832" s="112"/>
      <c r="L832" s="110"/>
      <c r="M832" s="111"/>
      <c r="N832" s="103"/>
      <c r="O832" s="112"/>
      <c r="P832" s="115"/>
      <c r="Q832" s="114"/>
      <c r="R832" s="108"/>
      <c r="S832" s="115" t="s">
        <v>200</v>
      </c>
      <c r="T832" s="103" t="b">
        <v>0</v>
      </c>
      <c r="U832" s="103"/>
      <c r="V832" s="103"/>
      <c r="W832" s="103"/>
      <c r="X832" s="103"/>
      <c r="Y832" s="103"/>
      <c r="Z832" s="103"/>
    </row>
    <row r="833">
      <c r="A833" s="110" t="s">
        <v>200</v>
      </c>
      <c r="B833" s="110"/>
      <c r="C833" s="110"/>
      <c r="D833" s="110"/>
      <c r="E833" s="110"/>
      <c r="F833" s="110"/>
      <c r="G833" s="115"/>
      <c r="H833" s="133"/>
      <c r="I833" s="103"/>
      <c r="J833" s="108"/>
      <c r="K833" s="112"/>
      <c r="L833" s="110"/>
      <c r="M833" s="111"/>
      <c r="N833" s="103"/>
      <c r="O833" s="112"/>
      <c r="P833" s="115"/>
      <c r="Q833" s="114"/>
      <c r="R833" s="108"/>
      <c r="S833" s="115" t="s">
        <v>200</v>
      </c>
      <c r="T833" s="103" t="b">
        <v>0</v>
      </c>
      <c r="U833" s="103"/>
      <c r="V833" s="103"/>
      <c r="W833" s="103"/>
      <c r="X833" s="103"/>
      <c r="Y833" s="103"/>
      <c r="Z833" s="103"/>
    </row>
    <row r="834">
      <c r="A834" s="110" t="s">
        <v>200</v>
      </c>
      <c r="B834" s="110"/>
      <c r="C834" s="110"/>
      <c r="D834" s="110"/>
      <c r="E834" s="110"/>
      <c r="F834" s="110"/>
      <c r="G834" s="115"/>
      <c r="H834" s="133"/>
      <c r="I834" s="103"/>
      <c r="J834" s="108"/>
      <c r="K834" s="112"/>
      <c r="L834" s="110"/>
      <c r="M834" s="111"/>
      <c r="N834" s="103"/>
      <c r="O834" s="112"/>
      <c r="P834" s="115"/>
      <c r="Q834" s="114"/>
      <c r="R834" s="108"/>
      <c r="S834" s="115" t="s">
        <v>200</v>
      </c>
      <c r="T834" s="103" t="b">
        <v>0</v>
      </c>
      <c r="U834" s="103"/>
      <c r="V834" s="103"/>
      <c r="W834" s="103"/>
      <c r="X834" s="103"/>
      <c r="Y834" s="103"/>
      <c r="Z834" s="103"/>
    </row>
    <row r="835">
      <c r="A835" s="110" t="s">
        <v>200</v>
      </c>
      <c r="B835" s="110"/>
      <c r="C835" s="110"/>
      <c r="D835" s="110"/>
      <c r="E835" s="110"/>
      <c r="F835" s="110"/>
      <c r="G835" s="115"/>
      <c r="H835" s="133"/>
      <c r="I835" s="103"/>
      <c r="J835" s="108"/>
      <c r="K835" s="112"/>
      <c r="L835" s="110"/>
      <c r="M835" s="111"/>
      <c r="N835" s="103"/>
      <c r="O835" s="112"/>
      <c r="P835" s="115"/>
      <c r="Q835" s="114"/>
      <c r="R835" s="108"/>
      <c r="S835" s="115" t="s">
        <v>200</v>
      </c>
      <c r="T835" s="103" t="b">
        <v>0</v>
      </c>
      <c r="U835" s="103"/>
      <c r="V835" s="103"/>
      <c r="W835" s="103"/>
      <c r="X835" s="103"/>
      <c r="Y835" s="103"/>
      <c r="Z835" s="103"/>
    </row>
    <row r="836">
      <c r="A836" s="110" t="s">
        <v>200</v>
      </c>
      <c r="B836" s="110"/>
      <c r="C836" s="110"/>
      <c r="D836" s="110"/>
      <c r="E836" s="110"/>
      <c r="F836" s="110"/>
      <c r="G836" s="115"/>
      <c r="H836" s="133"/>
      <c r="I836" s="103"/>
      <c r="J836" s="108"/>
      <c r="K836" s="112"/>
      <c r="L836" s="110"/>
      <c r="M836" s="111"/>
      <c r="N836" s="103"/>
      <c r="O836" s="112"/>
      <c r="P836" s="115"/>
      <c r="Q836" s="114"/>
      <c r="R836" s="108"/>
      <c r="S836" s="115" t="s">
        <v>200</v>
      </c>
      <c r="T836" s="103" t="b">
        <v>0</v>
      </c>
      <c r="U836" s="103"/>
      <c r="V836" s="103"/>
      <c r="W836" s="103"/>
      <c r="X836" s="103"/>
      <c r="Y836" s="103"/>
      <c r="Z836" s="103"/>
    </row>
    <row r="837">
      <c r="A837" s="110" t="s">
        <v>200</v>
      </c>
      <c r="B837" s="110"/>
      <c r="C837" s="110"/>
      <c r="D837" s="110"/>
      <c r="E837" s="110"/>
      <c r="F837" s="110"/>
      <c r="G837" s="115"/>
      <c r="H837" s="133"/>
      <c r="I837" s="103"/>
      <c r="J837" s="108"/>
      <c r="K837" s="112"/>
      <c r="L837" s="110"/>
      <c r="M837" s="111"/>
      <c r="N837" s="103"/>
      <c r="O837" s="112"/>
      <c r="P837" s="115"/>
      <c r="Q837" s="114"/>
      <c r="R837" s="108"/>
      <c r="S837" s="115" t="s">
        <v>200</v>
      </c>
      <c r="T837" s="103" t="b">
        <v>0</v>
      </c>
      <c r="U837" s="103"/>
      <c r="V837" s="103"/>
      <c r="W837" s="103"/>
      <c r="X837" s="103"/>
      <c r="Y837" s="103"/>
      <c r="Z837" s="103"/>
    </row>
    <row r="838">
      <c r="A838" s="110" t="s">
        <v>200</v>
      </c>
      <c r="B838" s="110"/>
      <c r="C838" s="110"/>
      <c r="D838" s="110"/>
      <c r="E838" s="110"/>
      <c r="F838" s="110"/>
      <c r="G838" s="115"/>
      <c r="H838" s="133"/>
      <c r="I838" s="103"/>
      <c r="J838" s="108"/>
      <c r="K838" s="112"/>
      <c r="L838" s="110"/>
      <c r="M838" s="111"/>
      <c r="N838" s="103"/>
      <c r="O838" s="112"/>
      <c r="P838" s="115"/>
      <c r="Q838" s="114"/>
      <c r="R838" s="108"/>
      <c r="S838" s="115" t="s">
        <v>200</v>
      </c>
      <c r="T838" s="103" t="b">
        <v>0</v>
      </c>
      <c r="U838" s="103"/>
      <c r="V838" s="103"/>
      <c r="W838" s="103"/>
      <c r="X838" s="103"/>
      <c r="Y838" s="103"/>
      <c r="Z838" s="103"/>
    </row>
    <row r="839">
      <c r="A839" s="110" t="s">
        <v>200</v>
      </c>
      <c r="B839" s="110"/>
      <c r="C839" s="110"/>
      <c r="D839" s="110"/>
      <c r="E839" s="110"/>
      <c r="F839" s="110"/>
      <c r="G839" s="115"/>
      <c r="H839" s="133"/>
      <c r="I839" s="103"/>
      <c r="J839" s="108"/>
      <c r="K839" s="112"/>
      <c r="L839" s="110"/>
      <c r="M839" s="111"/>
      <c r="N839" s="103"/>
      <c r="O839" s="112"/>
      <c r="P839" s="115"/>
      <c r="Q839" s="114"/>
      <c r="R839" s="108"/>
      <c r="S839" s="115" t="s">
        <v>200</v>
      </c>
      <c r="T839" s="103" t="b">
        <v>0</v>
      </c>
      <c r="U839" s="103"/>
      <c r="V839" s="103"/>
      <c r="W839" s="103"/>
      <c r="X839" s="103"/>
      <c r="Y839" s="103"/>
      <c r="Z839" s="103"/>
    </row>
    <row r="840">
      <c r="A840" s="110" t="s">
        <v>200</v>
      </c>
      <c r="B840" s="110"/>
      <c r="C840" s="110"/>
      <c r="D840" s="110"/>
      <c r="E840" s="110"/>
      <c r="F840" s="110"/>
      <c r="G840" s="115"/>
      <c r="H840" s="133"/>
      <c r="I840" s="103"/>
      <c r="J840" s="108"/>
      <c r="K840" s="112"/>
      <c r="L840" s="110"/>
      <c r="M840" s="111"/>
      <c r="N840" s="103"/>
      <c r="O840" s="112"/>
      <c r="P840" s="115"/>
      <c r="Q840" s="114"/>
      <c r="R840" s="108"/>
      <c r="S840" s="115" t="s">
        <v>200</v>
      </c>
      <c r="T840" s="103" t="b">
        <v>0</v>
      </c>
      <c r="U840" s="103"/>
      <c r="V840" s="103"/>
      <c r="W840" s="103"/>
      <c r="X840" s="103"/>
      <c r="Y840" s="103"/>
      <c r="Z840" s="103"/>
    </row>
    <row r="841">
      <c r="A841" s="110" t="s">
        <v>200</v>
      </c>
      <c r="B841" s="110"/>
      <c r="C841" s="110"/>
      <c r="D841" s="110"/>
      <c r="E841" s="110"/>
      <c r="F841" s="110"/>
      <c r="G841" s="115"/>
      <c r="H841" s="133"/>
      <c r="I841" s="103"/>
      <c r="J841" s="108"/>
      <c r="K841" s="112"/>
      <c r="L841" s="110"/>
      <c r="M841" s="111"/>
      <c r="N841" s="103"/>
      <c r="O841" s="112"/>
      <c r="P841" s="115"/>
      <c r="Q841" s="114"/>
      <c r="R841" s="108"/>
      <c r="S841" s="115" t="s">
        <v>200</v>
      </c>
      <c r="T841" s="103" t="b">
        <v>0</v>
      </c>
      <c r="U841" s="103"/>
      <c r="V841" s="103"/>
      <c r="W841" s="103"/>
      <c r="X841" s="103"/>
      <c r="Y841" s="103"/>
      <c r="Z841" s="103"/>
    </row>
    <row r="842">
      <c r="A842" s="110" t="s">
        <v>200</v>
      </c>
      <c r="B842" s="110"/>
      <c r="C842" s="110"/>
      <c r="D842" s="110"/>
      <c r="E842" s="110"/>
      <c r="F842" s="110"/>
      <c r="G842" s="115"/>
      <c r="H842" s="133"/>
      <c r="I842" s="103"/>
      <c r="J842" s="108"/>
      <c r="K842" s="112"/>
      <c r="L842" s="110"/>
      <c r="M842" s="111"/>
      <c r="N842" s="103"/>
      <c r="O842" s="112"/>
      <c r="P842" s="115"/>
      <c r="Q842" s="114"/>
      <c r="R842" s="108"/>
      <c r="S842" s="115" t="s">
        <v>200</v>
      </c>
      <c r="T842" s="103" t="b">
        <v>0</v>
      </c>
      <c r="U842" s="103"/>
      <c r="V842" s="103"/>
      <c r="W842" s="103"/>
      <c r="X842" s="103"/>
      <c r="Y842" s="103"/>
      <c r="Z842" s="103"/>
    </row>
    <row r="843">
      <c r="A843" s="110" t="s">
        <v>200</v>
      </c>
      <c r="B843" s="110"/>
      <c r="C843" s="110"/>
      <c r="D843" s="110"/>
      <c r="E843" s="110"/>
      <c r="F843" s="110"/>
      <c r="G843" s="115"/>
      <c r="H843" s="133"/>
      <c r="I843" s="103"/>
      <c r="J843" s="108"/>
      <c r="K843" s="112"/>
      <c r="L843" s="110"/>
      <c r="M843" s="111"/>
      <c r="N843" s="103"/>
      <c r="O843" s="112"/>
      <c r="P843" s="115"/>
      <c r="Q843" s="114"/>
      <c r="R843" s="108"/>
      <c r="S843" s="115" t="s">
        <v>200</v>
      </c>
      <c r="T843" s="103" t="b">
        <v>0</v>
      </c>
      <c r="U843" s="103"/>
      <c r="V843" s="103"/>
      <c r="W843" s="103"/>
      <c r="X843" s="103"/>
      <c r="Y843" s="103"/>
      <c r="Z843" s="103"/>
    </row>
    <row r="844">
      <c r="A844" s="110" t="s">
        <v>200</v>
      </c>
      <c r="B844" s="110"/>
      <c r="C844" s="110"/>
      <c r="D844" s="110"/>
      <c r="E844" s="110"/>
      <c r="F844" s="110"/>
      <c r="G844" s="115"/>
      <c r="H844" s="133"/>
      <c r="I844" s="103"/>
      <c r="J844" s="108"/>
      <c r="K844" s="112"/>
      <c r="L844" s="110"/>
      <c r="M844" s="111"/>
      <c r="N844" s="103"/>
      <c r="O844" s="112"/>
      <c r="P844" s="115"/>
      <c r="Q844" s="114"/>
      <c r="R844" s="108"/>
      <c r="S844" s="115" t="s">
        <v>200</v>
      </c>
      <c r="T844" s="103" t="b">
        <v>0</v>
      </c>
      <c r="U844" s="103"/>
      <c r="V844" s="103"/>
      <c r="W844" s="103"/>
      <c r="X844" s="103"/>
      <c r="Y844" s="103"/>
      <c r="Z844" s="103"/>
    </row>
    <row r="845">
      <c r="A845" s="110" t="s">
        <v>200</v>
      </c>
      <c r="B845" s="110"/>
      <c r="C845" s="110"/>
      <c r="D845" s="110"/>
      <c r="E845" s="110"/>
      <c r="F845" s="110"/>
      <c r="G845" s="115"/>
      <c r="H845" s="133"/>
      <c r="I845" s="103"/>
      <c r="J845" s="108"/>
      <c r="K845" s="112"/>
      <c r="L845" s="110"/>
      <c r="M845" s="111"/>
      <c r="N845" s="103"/>
      <c r="O845" s="112"/>
      <c r="P845" s="115"/>
      <c r="Q845" s="114"/>
      <c r="R845" s="108"/>
      <c r="S845" s="115" t="s">
        <v>200</v>
      </c>
      <c r="T845" s="103" t="b">
        <v>0</v>
      </c>
      <c r="U845" s="103"/>
      <c r="V845" s="103"/>
      <c r="W845" s="103"/>
      <c r="X845" s="103"/>
      <c r="Y845" s="103"/>
      <c r="Z845" s="103"/>
    </row>
    <row r="846">
      <c r="A846" s="110" t="s">
        <v>200</v>
      </c>
      <c r="B846" s="110"/>
      <c r="C846" s="110"/>
      <c r="D846" s="110"/>
      <c r="E846" s="110"/>
      <c r="F846" s="110"/>
      <c r="G846" s="115"/>
      <c r="H846" s="133"/>
      <c r="I846" s="103"/>
      <c r="J846" s="108"/>
      <c r="K846" s="112"/>
      <c r="L846" s="110"/>
      <c r="M846" s="111"/>
      <c r="N846" s="103"/>
      <c r="O846" s="112"/>
      <c r="P846" s="115"/>
      <c r="Q846" s="114"/>
      <c r="R846" s="108"/>
      <c r="S846" s="115" t="s">
        <v>200</v>
      </c>
      <c r="T846" s="103" t="b">
        <v>0</v>
      </c>
      <c r="U846" s="103"/>
      <c r="V846" s="103"/>
      <c r="W846" s="103"/>
      <c r="X846" s="103"/>
      <c r="Y846" s="103"/>
      <c r="Z846" s="103"/>
    </row>
    <row r="847">
      <c r="A847" s="110" t="s">
        <v>200</v>
      </c>
      <c r="B847" s="110"/>
      <c r="C847" s="110"/>
      <c r="D847" s="110"/>
      <c r="E847" s="110"/>
      <c r="F847" s="110"/>
      <c r="G847" s="115"/>
      <c r="H847" s="133"/>
      <c r="I847" s="103"/>
      <c r="J847" s="108"/>
      <c r="K847" s="112"/>
      <c r="L847" s="110"/>
      <c r="M847" s="111"/>
      <c r="N847" s="103"/>
      <c r="O847" s="112"/>
      <c r="P847" s="115"/>
      <c r="Q847" s="114"/>
      <c r="R847" s="108"/>
      <c r="S847" s="115" t="s">
        <v>200</v>
      </c>
      <c r="T847" s="103" t="b">
        <v>0</v>
      </c>
      <c r="U847" s="103"/>
      <c r="V847" s="103"/>
      <c r="W847" s="103"/>
      <c r="X847" s="103"/>
      <c r="Y847" s="103"/>
      <c r="Z847" s="103"/>
    </row>
    <row r="848">
      <c r="A848" s="110" t="s">
        <v>200</v>
      </c>
      <c r="B848" s="110"/>
      <c r="C848" s="110"/>
      <c r="D848" s="110"/>
      <c r="E848" s="110"/>
      <c r="F848" s="110"/>
      <c r="G848" s="115"/>
      <c r="H848" s="133"/>
      <c r="I848" s="103"/>
      <c r="J848" s="108"/>
      <c r="K848" s="112"/>
      <c r="L848" s="110"/>
      <c r="M848" s="111"/>
      <c r="N848" s="103"/>
      <c r="O848" s="112"/>
      <c r="P848" s="115"/>
      <c r="Q848" s="114"/>
      <c r="R848" s="108"/>
      <c r="S848" s="115" t="s">
        <v>200</v>
      </c>
      <c r="T848" s="103" t="b">
        <v>0</v>
      </c>
      <c r="U848" s="103"/>
      <c r="V848" s="103"/>
      <c r="W848" s="103"/>
      <c r="X848" s="103"/>
      <c r="Y848" s="103"/>
      <c r="Z848" s="103"/>
    </row>
    <row r="849">
      <c r="A849" s="110" t="s">
        <v>200</v>
      </c>
      <c r="B849" s="110"/>
      <c r="C849" s="110"/>
      <c r="D849" s="110"/>
      <c r="E849" s="110"/>
      <c r="F849" s="110"/>
      <c r="G849" s="115"/>
      <c r="H849" s="133"/>
      <c r="I849" s="103"/>
      <c r="J849" s="108"/>
      <c r="K849" s="112"/>
      <c r="L849" s="110"/>
      <c r="M849" s="111"/>
      <c r="N849" s="103"/>
      <c r="O849" s="112"/>
      <c r="P849" s="115"/>
      <c r="Q849" s="114"/>
      <c r="R849" s="108"/>
      <c r="S849" s="115" t="s">
        <v>200</v>
      </c>
      <c r="T849" s="103" t="b">
        <v>0</v>
      </c>
      <c r="U849" s="103"/>
      <c r="V849" s="103"/>
      <c r="W849" s="103"/>
      <c r="X849" s="103"/>
      <c r="Y849" s="103"/>
      <c r="Z849" s="103"/>
    </row>
    <row r="850">
      <c r="A850" s="110" t="s">
        <v>200</v>
      </c>
      <c r="B850" s="110"/>
      <c r="C850" s="110"/>
      <c r="D850" s="110"/>
      <c r="E850" s="110"/>
      <c r="F850" s="110"/>
      <c r="G850" s="115"/>
      <c r="H850" s="133"/>
      <c r="I850" s="103"/>
      <c r="J850" s="108"/>
      <c r="K850" s="112"/>
      <c r="L850" s="110"/>
      <c r="M850" s="111"/>
      <c r="N850" s="103"/>
      <c r="O850" s="112"/>
      <c r="P850" s="115"/>
      <c r="Q850" s="114"/>
      <c r="R850" s="108"/>
      <c r="S850" s="115" t="s">
        <v>200</v>
      </c>
      <c r="T850" s="103" t="b">
        <v>0</v>
      </c>
      <c r="U850" s="103"/>
      <c r="V850" s="103"/>
      <c r="W850" s="103"/>
      <c r="X850" s="103"/>
      <c r="Y850" s="103"/>
      <c r="Z850" s="103"/>
    </row>
    <row r="851">
      <c r="A851" s="110" t="s">
        <v>200</v>
      </c>
      <c r="B851" s="110"/>
      <c r="C851" s="110"/>
      <c r="D851" s="110"/>
      <c r="E851" s="110"/>
      <c r="F851" s="110"/>
      <c r="G851" s="115"/>
      <c r="H851" s="133"/>
      <c r="I851" s="103"/>
      <c r="J851" s="108"/>
      <c r="K851" s="112"/>
      <c r="L851" s="110"/>
      <c r="M851" s="111"/>
      <c r="N851" s="103"/>
      <c r="O851" s="112"/>
      <c r="P851" s="115"/>
      <c r="Q851" s="114"/>
      <c r="R851" s="108"/>
      <c r="S851" s="115" t="s">
        <v>200</v>
      </c>
      <c r="T851" s="103" t="b">
        <v>0</v>
      </c>
      <c r="U851" s="103"/>
      <c r="V851" s="103"/>
      <c r="W851" s="103"/>
      <c r="X851" s="103"/>
      <c r="Y851" s="103"/>
      <c r="Z851" s="103"/>
    </row>
    <row r="852">
      <c r="A852" s="110" t="s">
        <v>200</v>
      </c>
      <c r="B852" s="110"/>
      <c r="C852" s="110"/>
      <c r="D852" s="110"/>
      <c r="E852" s="110"/>
      <c r="F852" s="110"/>
      <c r="G852" s="115"/>
      <c r="H852" s="133"/>
      <c r="I852" s="103"/>
      <c r="J852" s="108"/>
      <c r="K852" s="112"/>
      <c r="L852" s="110"/>
      <c r="M852" s="111"/>
      <c r="N852" s="103"/>
      <c r="O852" s="112"/>
      <c r="P852" s="115"/>
      <c r="Q852" s="114"/>
      <c r="R852" s="108"/>
      <c r="S852" s="115" t="s">
        <v>200</v>
      </c>
      <c r="T852" s="103" t="b">
        <v>0</v>
      </c>
      <c r="U852" s="103"/>
      <c r="V852" s="103"/>
      <c r="W852" s="103"/>
      <c r="X852" s="103"/>
      <c r="Y852" s="103"/>
      <c r="Z852" s="103"/>
    </row>
    <row r="853">
      <c r="A853" s="110" t="s">
        <v>200</v>
      </c>
      <c r="B853" s="110"/>
      <c r="C853" s="110"/>
      <c r="D853" s="110"/>
      <c r="E853" s="110"/>
      <c r="F853" s="110"/>
      <c r="G853" s="115"/>
      <c r="H853" s="133"/>
      <c r="I853" s="103"/>
      <c r="J853" s="108"/>
      <c r="K853" s="112"/>
      <c r="L853" s="110"/>
      <c r="M853" s="111"/>
      <c r="N853" s="103"/>
      <c r="O853" s="112"/>
      <c r="P853" s="115"/>
      <c r="Q853" s="114"/>
      <c r="R853" s="108"/>
      <c r="S853" s="115" t="s">
        <v>200</v>
      </c>
      <c r="T853" s="103" t="b">
        <v>0</v>
      </c>
      <c r="U853" s="103"/>
      <c r="V853" s="103"/>
      <c r="W853" s="103"/>
      <c r="X853" s="103"/>
      <c r="Y853" s="103"/>
      <c r="Z853" s="103"/>
    </row>
    <row r="854">
      <c r="A854" s="110" t="s">
        <v>200</v>
      </c>
      <c r="B854" s="110"/>
      <c r="C854" s="110"/>
      <c r="D854" s="110"/>
      <c r="E854" s="110"/>
      <c r="F854" s="110"/>
      <c r="G854" s="115"/>
      <c r="H854" s="133"/>
      <c r="I854" s="103"/>
      <c r="J854" s="108"/>
      <c r="K854" s="112"/>
      <c r="L854" s="110"/>
      <c r="M854" s="111"/>
      <c r="N854" s="103"/>
      <c r="O854" s="112"/>
      <c r="P854" s="115"/>
      <c r="Q854" s="114"/>
      <c r="R854" s="108"/>
      <c r="S854" s="115" t="s">
        <v>200</v>
      </c>
      <c r="T854" s="103" t="b">
        <v>0</v>
      </c>
      <c r="U854" s="103"/>
      <c r="V854" s="103"/>
      <c r="W854" s="103"/>
      <c r="X854" s="103"/>
      <c r="Y854" s="103"/>
      <c r="Z854" s="103"/>
    </row>
    <row r="855">
      <c r="A855" s="110" t="s">
        <v>200</v>
      </c>
      <c r="B855" s="110"/>
      <c r="C855" s="110"/>
      <c r="D855" s="110"/>
      <c r="E855" s="110"/>
      <c r="F855" s="110"/>
      <c r="G855" s="115"/>
      <c r="H855" s="133"/>
      <c r="I855" s="103"/>
      <c r="J855" s="108"/>
      <c r="K855" s="112"/>
      <c r="L855" s="110"/>
      <c r="M855" s="111"/>
      <c r="N855" s="103"/>
      <c r="O855" s="112"/>
      <c r="P855" s="115"/>
      <c r="Q855" s="114"/>
      <c r="R855" s="108"/>
      <c r="S855" s="115" t="s">
        <v>200</v>
      </c>
      <c r="T855" s="103" t="b">
        <v>0</v>
      </c>
      <c r="U855" s="103"/>
      <c r="V855" s="103"/>
      <c r="W855" s="103"/>
      <c r="X855" s="103"/>
      <c r="Y855" s="103"/>
      <c r="Z855" s="103"/>
    </row>
    <row r="856">
      <c r="A856" s="110" t="s">
        <v>200</v>
      </c>
      <c r="B856" s="110"/>
      <c r="C856" s="110"/>
      <c r="D856" s="110"/>
      <c r="E856" s="110"/>
      <c r="F856" s="110"/>
      <c r="G856" s="115"/>
      <c r="H856" s="133"/>
      <c r="I856" s="103"/>
      <c r="J856" s="108"/>
      <c r="K856" s="112"/>
      <c r="L856" s="110"/>
      <c r="M856" s="111"/>
      <c r="N856" s="103"/>
      <c r="O856" s="112"/>
      <c r="P856" s="115"/>
      <c r="Q856" s="114"/>
      <c r="R856" s="108"/>
      <c r="S856" s="115" t="s">
        <v>200</v>
      </c>
      <c r="T856" s="103" t="b">
        <v>0</v>
      </c>
      <c r="U856" s="103"/>
      <c r="V856" s="103"/>
      <c r="W856" s="103"/>
      <c r="X856" s="103"/>
      <c r="Y856" s="103"/>
      <c r="Z856" s="103"/>
    </row>
    <row r="857">
      <c r="A857" s="110" t="s">
        <v>200</v>
      </c>
      <c r="B857" s="110"/>
      <c r="C857" s="110"/>
      <c r="D857" s="110"/>
      <c r="E857" s="110"/>
      <c r="F857" s="110"/>
      <c r="G857" s="115"/>
      <c r="H857" s="133"/>
      <c r="I857" s="103"/>
      <c r="J857" s="108"/>
      <c r="K857" s="112"/>
      <c r="L857" s="110"/>
      <c r="M857" s="111"/>
      <c r="N857" s="103"/>
      <c r="O857" s="112"/>
      <c r="P857" s="115"/>
      <c r="Q857" s="114"/>
      <c r="R857" s="108"/>
      <c r="S857" s="115" t="s">
        <v>200</v>
      </c>
      <c r="T857" s="103" t="b">
        <v>0</v>
      </c>
      <c r="U857" s="103"/>
      <c r="V857" s="103"/>
      <c r="W857" s="103"/>
      <c r="X857" s="103"/>
      <c r="Y857" s="103"/>
      <c r="Z857" s="103"/>
    </row>
    <row r="858">
      <c r="A858" s="110" t="s">
        <v>200</v>
      </c>
      <c r="B858" s="110"/>
      <c r="C858" s="110"/>
      <c r="D858" s="110"/>
      <c r="E858" s="110"/>
      <c r="F858" s="110"/>
      <c r="G858" s="115"/>
      <c r="H858" s="133"/>
      <c r="I858" s="103"/>
      <c r="J858" s="108"/>
      <c r="K858" s="112"/>
      <c r="L858" s="110"/>
      <c r="M858" s="111"/>
      <c r="N858" s="103"/>
      <c r="O858" s="112"/>
      <c r="P858" s="115"/>
      <c r="Q858" s="114"/>
      <c r="R858" s="108"/>
      <c r="S858" s="115" t="s">
        <v>200</v>
      </c>
      <c r="T858" s="103" t="b">
        <v>0</v>
      </c>
      <c r="U858" s="103"/>
      <c r="V858" s="103"/>
      <c r="W858" s="103"/>
      <c r="X858" s="103"/>
      <c r="Y858" s="103"/>
      <c r="Z858" s="103"/>
    </row>
    <row r="859">
      <c r="A859" s="110" t="s">
        <v>200</v>
      </c>
      <c r="B859" s="110"/>
      <c r="C859" s="110"/>
      <c r="D859" s="110"/>
      <c r="E859" s="110"/>
      <c r="F859" s="110"/>
      <c r="G859" s="115"/>
      <c r="H859" s="133"/>
      <c r="I859" s="103"/>
      <c r="J859" s="108"/>
      <c r="K859" s="112"/>
      <c r="L859" s="110"/>
      <c r="M859" s="111"/>
      <c r="N859" s="103"/>
      <c r="O859" s="112"/>
      <c r="P859" s="115"/>
      <c r="Q859" s="114"/>
      <c r="R859" s="108"/>
      <c r="S859" s="115" t="s">
        <v>200</v>
      </c>
      <c r="T859" s="103" t="b">
        <v>0</v>
      </c>
      <c r="U859" s="103"/>
      <c r="V859" s="103"/>
      <c r="W859" s="103"/>
      <c r="X859" s="103"/>
      <c r="Y859" s="103"/>
      <c r="Z859" s="103"/>
    </row>
    <row r="860">
      <c r="A860" s="110" t="s">
        <v>200</v>
      </c>
      <c r="B860" s="110"/>
      <c r="C860" s="110"/>
      <c r="D860" s="110"/>
      <c r="E860" s="110"/>
      <c r="F860" s="110"/>
      <c r="G860" s="115"/>
      <c r="H860" s="133"/>
      <c r="I860" s="103"/>
      <c r="J860" s="108"/>
      <c r="K860" s="112"/>
      <c r="L860" s="110"/>
      <c r="M860" s="111"/>
      <c r="N860" s="103"/>
      <c r="O860" s="112"/>
      <c r="P860" s="115"/>
      <c r="Q860" s="114"/>
      <c r="R860" s="108"/>
      <c r="S860" s="115" t="s">
        <v>200</v>
      </c>
      <c r="T860" s="103" t="b">
        <v>0</v>
      </c>
      <c r="U860" s="103"/>
      <c r="V860" s="103"/>
      <c r="W860" s="103"/>
      <c r="X860" s="103"/>
      <c r="Y860" s="103"/>
      <c r="Z860" s="103"/>
    </row>
    <row r="861">
      <c r="A861" s="110" t="s">
        <v>200</v>
      </c>
      <c r="B861" s="110"/>
      <c r="C861" s="110"/>
      <c r="D861" s="110"/>
      <c r="E861" s="110"/>
      <c r="F861" s="110"/>
      <c r="G861" s="115"/>
      <c r="H861" s="133"/>
      <c r="I861" s="103"/>
      <c r="J861" s="108"/>
      <c r="K861" s="112"/>
      <c r="L861" s="110"/>
      <c r="M861" s="111"/>
      <c r="N861" s="103"/>
      <c r="O861" s="112"/>
      <c r="P861" s="115"/>
      <c r="Q861" s="114"/>
      <c r="R861" s="108"/>
      <c r="S861" s="115" t="s">
        <v>200</v>
      </c>
      <c r="T861" s="103" t="b">
        <v>0</v>
      </c>
      <c r="U861" s="103"/>
      <c r="V861" s="103"/>
      <c r="W861" s="103"/>
      <c r="X861" s="103"/>
      <c r="Y861" s="103"/>
      <c r="Z861" s="103"/>
    </row>
    <row r="862">
      <c r="A862" s="110" t="s">
        <v>200</v>
      </c>
      <c r="B862" s="110"/>
      <c r="C862" s="110"/>
      <c r="D862" s="110"/>
      <c r="E862" s="110"/>
      <c r="F862" s="110"/>
      <c r="G862" s="115"/>
      <c r="H862" s="133"/>
      <c r="I862" s="103"/>
      <c r="J862" s="108"/>
      <c r="K862" s="112"/>
      <c r="L862" s="110"/>
      <c r="M862" s="111"/>
      <c r="N862" s="103"/>
      <c r="O862" s="112"/>
      <c r="P862" s="115"/>
      <c r="Q862" s="114"/>
      <c r="R862" s="108"/>
      <c r="S862" s="115" t="s">
        <v>200</v>
      </c>
      <c r="T862" s="103" t="b">
        <v>0</v>
      </c>
      <c r="U862" s="103"/>
      <c r="V862" s="103"/>
      <c r="W862" s="103"/>
      <c r="X862" s="103"/>
      <c r="Y862" s="103"/>
      <c r="Z862" s="103"/>
    </row>
    <row r="863">
      <c r="A863" s="110" t="s">
        <v>200</v>
      </c>
      <c r="B863" s="110"/>
      <c r="C863" s="110"/>
      <c r="D863" s="110"/>
      <c r="E863" s="110"/>
      <c r="F863" s="110"/>
      <c r="G863" s="115"/>
      <c r="H863" s="133"/>
      <c r="I863" s="103"/>
      <c r="J863" s="108"/>
      <c r="K863" s="112"/>
      <c r="L863" s="110"/>
      <c r="M863" s="111"/>
      <c r="N863" s="103"/>
      <c r="O863" s="112"/>
      <c r="P863" s="115"/>
      <c r="Q863" s="114"/>
      <c r="R863" s="108"/>
      <c r="S863" s="115" t="s">
        <v>200</v>
      </c>
      <c r="T863" s="103" t="b">
        <v>0</v>
      </c>
      <c r="U863" s="103"/>
      <c r="V863" s="103"/>
      <c r="W863" s="103"/>
      <c r="X863" s="103"/>
      <c r="Y863" s="103"/>
      <c r="Z863" s="103"/>
    </row>
    <row r="864">
      <c r="A864" s="110" t="s">
        <v>200</v>
      </c>
      <c r="B864" s="110"/>
      <c r="C864" s="110"/>
      <c r="D864" s="110"/>
      <c r="E864" s="110"/>
      <c r="F864" s="110"/>
      <c r="G864" s="115"/>
      <c r="H864" s="133"/>
      <c r="I864" s="103"/>
      <c r="J864" s="108"/>
      <c r="K864" s="112"/>
      <c r="L864" s="110"/>
      <c r="M864" s="111"/>
      <c r="N864" s="103"/>
      <c r="O864" s="112"/>
      <c r="P864" s="115"/>
      <c r="Q864" s="114"/>
      <c r="R864" s="108"/>
      <c r="S864" s="115" t="s">
        <v>200</v>
      </c>
      <c r="T864" s="103" t="b">
        <v>0</v>
      </c>
      <c r="U864" s="103"/>
      <c r="V864" s="103"/>
      <c r="W864" s="103"/>
      <c r="X864" s="103"/>
      <c r="Y864" s="103"/>
      <c r="Z864" s="103"/>
    </row>
    <row r="865">
      <c r="A865" s="110" t="s">
        <v>200</v>
      </c>
      <c r="B865" s="110"/>
      <c r="C865" s="110"/>
      <c r="D865" s="110"/>
      <c r="E865" s="110"/>
      <c r="F865" s="110"/>
      <c r="G865" s="115"/>
      <c r="H865" s="133"/>
      <c r="I865" s="103"/>
      <c r="J865" s="108"/>
      <c r="K865" s="112"/>
      <c r="L865" s="110"/>
      <c r="M865" s="111"/>
      <c r="N865" s="103"/>
      <c r="O865" s="112"/>
      <c r="P865" s="115"/>
      <c r="Q865" s="114"/>
      <c r="R865" s="108"/>
      <c r="S865" s="115" t="s">
        <v>200</v>
      </c>
      <c r="T865" s="103" t="b">
        <v>0</v>
      </c>
      <c r="U865" s="103"/>
      <c r="V865" s="103"/>
      <c r="W865" s="103"/>
      <c r="X865" s="103"/>
      <c r="Y865" s="103"/>
      <c r="Z865" s="103"/>
    </row>
    <row r="866">
      <c r="A866" s="110" t="s">
        <v>200</v>
      </c>
      <c r="B866" s="110"/>
      <c r="C866" s="110"/>
      <c r="D866" s="110"/>
      <c r="E866" s="110"/>
      <c r="F866" s="110"/>
      <c r="G866" s="115"/>
      <c r="H866" s="133"/>
      <c r="I866" s="103"/>
      <c r="J866" s="108"/>
      <c r="K866" s="112"/>
      <c r="L866" s="110"/>
      <c r="M866" s="111"/>
      <c r="N866" s="103"/>
      <c r="O866" s="112"/>
      <c r="P866" s="115"/>
      <c r="Q866" s="114"/>
      <c r="R866" s="108"/>
      <c r="S866" s="115" t="s">
        <v>200</v>
      </c>
      <c r="T866" s="103" t="b">
        <v>0</v>
      </c>
      <c r="U866" s="103"/>
      <c r="V866" s="103"/>
      <c r="W866" s="103"/>
      <c r="X866" s="103"/>
      <c r="Y866" s="103"/>
      <c r="Z866" s="103"/>
    </row>
    <row r="867">
      <c r="A867" s="110" t="s">
        <v>200</v>
      </c>
      <c r="B867" s="110"/>
      <c r="C867" s="110"/>
      <c r="D867" s="110"/>
      <c r="E867" s="110"/>
      <c r="F867" s="110"/>
      <c r="G867" s="115"/>
      <c r="H867" s="133"/>
      <c r="I867" s="103"/>
      <c r="J867" s="108"/>
      <c r="K867" s="112"/>
      <c r="L867" s="110"/>
      <c r="M867" s="111"/>
      <c r="N867" s="103"/>
      <c r="O867" s="112"/>
      <c r="P867" s="115"/>
      <c r="Q867" s="114"/>
      <c r="R867" s="108"/>
      <c r="S867" s="115" t="s">
        <v>200</v>
      </c>
      <c r="T867" s="103" t="b">
        <v>0</v>
      </c>
      <c r="U867" s="103"/>
      <c r="V867" s="103"/>
      <c r="W867" s="103"/>
      <c r="X867" s="103"/>
      <c r="Y867" s="103"/>
      <c r="Z867" s="103"/>
    </row>
    <row r="868">
      <c r="A868" s="110" t="s">
        <v>200</v>
      </c>
      <c r="B868" s="110"/>
      <c r="C868" s="110"/>
      <c r="D868" s="110"/>
      <c r="E868" s="110"/>
      <c r="F868" s="110"/>
      <c r="G868" s="115"/>
      <c r="H868" s="133"/>
      <c r="I868" s="103"/>
      <c r="J868" s="108"/>
      <c r="K868" s="112"/>
      <c r="L868" s="110"/>
      <c r="M868" s="111"/>
      <c r="N868" s="103"/>
      <c r="O868" s="112"/>
      <c r="P868" s="115"/>
      <c r="Q868" s="114"/>
      <c r="R868" s="108"/>
      <c r="S868" s="115" t="s">
        <v>200</v>
      </c>
      <c r="T868" s="103" t="b">
        <v>0</v>
      </c>
      <c r="U868" s="103"/>
      <c r="V868" s="103"/>
      <c r="W868" s="103"/>
      <c r="X868" s="103"/>
      <c r="Y868" s="103"/>
      <c r="Z868" s="103"/>
    </row>
    <row r="869">
      <c r="A869" s="110" t="s">
        <v>200</v>
      </c>
      <c r="B869" s="110"/>
      <c r="C869" s="110"/>
      <c r="D869" s="110"/>
      <c r="E869" s="110"/>
      <c r="F869" s="110"/>
      <c r="G869" s="115"/>
      <c r="H869" s="133"/>
      <c r="I869" s="103"/>
      <c r="J869" s="108"/>
      <c r="K869" s="112"/>
      <c r="L869" s="110"/>
      <c r="M869" s="111"/>
      <c r="N869" s="103"/>
      <c r="O869" s="112"/>
      <c r="P869" s="115"/>
      <c r="Q869" s="114"/>
      <c r="R869" s="108"/>
      <c r="S869" s="115" t="s">
        <v>200</v>
      </c>
      <c r="T869" s="103" t="b">
        <v>0</v>
      </c>
      <c r="U869" s="103"/>
      <c r="V869" s="103"/>
      <c r="W869" s="103"/>
      <c r="X869" s="103"/>
      <c r="Y869" s="103"/>
      <c r="Z869" s="103"/>
    </row>
    <row r="870">
      <c r="A870" s="110" t="s">
        <v>200</v>
      </c>
      <c r="B870" s="110"/>
      <c r="C870" s="110"/>
      <c r="D870" s="110"/>
      <c r="E870" s="110"/>
      <c r="F870" s="110"/>
      <c r="G870" s="115"/>
      <c r="H870" s="133"/>
      <c r="I870" s="103"/>
      <c r="J870" s="108"/>
      <c r="K870" s="112"/>
      <c r="L870" s="110"/>
      <c r="M870" s="111"/>
      <c r="N870" s="103"/>
      <c r="O870" s="112"/>
      <c r="P870" s="115"/>
      <c r="Q870" s="114"/>
      <c r="R870" s="108"/>
      <c r="S870" s="115" t="s">
        <v>200</v>
      </c>
      <c r="T870" s="103" t="b">
        <v>0</v>
      </c>
      <c r="U870" s="103"/>
      <c r="V870" s="103"/>
      <c r="W870" s="103"/>
      <c r="X870" s="103"/>
      <c r="Y870" s="103"/>
      <c r="Z870" s="103"/>
    </row>
    <row r="871">
      <c r="A871" s="110" t="s">
        <v>200</v>
      </c>
      <c r="B871" s="110"/>
      <c r="C871" s="110"/>
      <c r="D871" s="110"/>
      <c r="E871" s="110"/>
      <c r="F871" s="110"/>
      <c r="G871" s="115"/>
      <c r="H871" s="133"/>
      <c r="I871" s="103"/>
      <c r="J871" s="108"/>
      <c r="K871" s="112"/>
      <c r="L871" s="110"/>
      <c r="M871" s="111"/>
      <c r="N871" s="103"/>
      <c r="O871" s="112"/>
      <c r="P871" s="115"/>
      <c r="Q871" s="114"/>
      <c r="R871" s="108"/>
      <c r="S871" s="115" t="s">
        <v>200</v>
      </c>
      <c r="T871" s="103" t="b">
        <v>0</v>
      </c>
      <c r="U871" s="103"/>
      <c r="V871" s="103"/>
      <c r="W871" s="103"/>
      <c r="X871" s="103"/>
      <c r="Y871" s="103"/>
      <c r="Z871" s="103"/>
    </row>
    <row r="872">
      <c r="A872" s="110" t="s">
        <v>200</v>
      </c>
      <c r="B872" s="110"/>
      <c r="C872" s="110"/>
      <c r="D872" s="110"/>
      <c r="E872" s="110"/>
      <c r="F872" s="110"/>
      <c r="G872" s="115"/>
      <c r="H872" s="133"/>
      <c r="I872" s="103"/>
      <c r="J872" s="108"/>
      <c r="K872" s="112"/>
      <c r="L872" s="110"/>
      <c r="M872" s="111"/>
      <c r="N872" s="103"/>
      <c r="O872" s="112"/>
      <c r="P872" s="115"/>
      <c r="Q872" s="114"/>
      <c r="R872" s="108"/>
      <c r="S872" s="115" t="s">
        <v>200</v>
      </c>
      <c r="T872" s="103" t="b">
        <v>0</v>
      </c>
      <c r="U872" s="103"/>
      <c r="V872" s="103"/>
      <c r="W872" s="103"/>
      <c r="X872" s="103"/>
      <c r="Y872" s="103"/>
      <c r="Z872" s="103"/>
    </row>
    <row r="873">
      <c r="A873" s="110" t="s">
        <v>200</v>
      </c>
      <c r="B873" s="110"/>
      <c r="C873" s="110"/>
      <c r="D873" s="110"/>
      <c r="E873" s="110"/>
      <c r="F873" s="110"/>
      <c r="G873" s="115"/>
      <c r="H873" s="133"/>
      <c r="I873" s="103"/>
      <c r="J873" s="108"/>
      <c r="K873" s="112"/>
      <c r="L873" s="110"/>
      <c r="M873" s="111"/>
      <c r="N873" s="103"/>
      <c r="O873" s="112"/>
      <c r="P873" s="115"/>
      <c r="Q873" s="114"/>
      <c r="R873" s="108"/>
      <c r="S873" s="115" t="s">
        <v>200</v>
      </c>
      <c r="T873" s="103" t="b">
        <v>0</v>
      </c>
      <c r="U873" s="103"/>
      <c r="V873" s="103"/>
      <c r="W873" s="103"/>
      <c r="X873" s="103"/>
      <c r="Y873" s="103"/>
      <c r="Z873" s="103"/>
    </row>
    <row r="874">
      <c r="A874" s="110" t="s">
        <v>200</v>
      </c>
      <c r="B874" s="110"/>
      <c r="C874" s="110"/>
      <c r="D874" s="110"/>
      <c r="E874" s="110"/>
      <c r="F874" s="110"/>
      <c r="G874" s="115"/>
      <c r="H874" s="133"/>
      <c r="I874" s="103"/>
      <c r="J874" s="108"/>
      <c r="K874" s="112"/>
      <c r="L874" s="110"/>
      <c r="M874" s="111"/>
      <c r="N874" s="103"/>
      <c r="O874" s="112"/>
      <c r="P874" s="115"/>
      <c r="Q874" s="114"/>
      <c r="R874" s="108"/>
      <c r="S874" s="115" t="s">
        <v>200</v>
      </c>
      <c r="T874" s="103" t="b">
        <v>0</v>
      </c>
      <c r="U874" s="103"/>
      <c r="V874" s="103"/>
      <c r="W874" s="103"/>
      <c r="X874" s="103"/>
      <c r="Y874" s="103"/>
      <c r="Z874" s="103"/>
    </row>
    <row r="875">
      <c r="A875" s="110" t="s">
        <v>200</v>
      </c>
      <c r="B875" s="110"/>
      <c r="C875" s="110"/>
      <c r="D875" s="110"/>
      <c r="E875" s="110"/>
      <c r="F875" s="110"/>
      <c r="G875" s="115"/>
      <c r="H875" s="133"/>
      <c r="I875" s="103"/>
      <c r="J875" s="108"/>
      <c r="K875" s="112"/>
      <c r="L875" s="110"/>
      <c r="M875" s="111"/>
      <c r="N875" s="103"/>
      <c r="O875" s="112"/>
      <c r="P875" s="115"/>
      <c r="Q875" s="114"/>
      <c r="R875" s="108"/>
      <c r="S875" s="115" t="s">
        <v>200</v>
      </c>
      <c r="T875" s="103" t="b">
        <v>0</v>
      </c>
      <c r="U875" s="103"/>
      <c r="V875" s="103"/>
      <c r="W875" s="103"/>
      <c r="X875" s="103"/>
      <c r="Y875" s="103"/>
      <c r="Z875" s="103"/>
    </row>
    <row r="876">
      <c r="A876" s="110" t="s">
        <v>200</v>
      </c>
      <c r="B876" s="110"/>
      <c r="C876" s="110"/>
      <c r="D876" s="110"/>
      <c r="E876" s="110"/>
      <c r="F876" s="110"/>
      <c r="G876" s="115"/>
      <c r="H876" s="133"/>
      <c r="I876" s="103"/>
      <c r="J876" s="108"/>
      <c r="K876" s="112"/>
      <c r="L876" s="110"/>
      <c r="M876" s="111"/>
      <c r="N876" s="103"/>
      <c r="O876" s="112"/>
      <c r="P876" s="115"/>
      <c r="Q876" s="114"/>
      <c r="R876" s="108"/>
      <c r="S876" s="115" t="s">
        <v>200</v>
      </c>
      <c r="T876" s="103" t="b">
        <v>0</v>
      </c>
      <c r="U876" s="103"/>
      <c r="V876" s="103"/>
      <c r="W876" s="103"/>
      <c r="X876" s="103"/>
      <c r="Y876" s="103"/>
      <c r="Z876" s="103"/>
    </row>
    <row r="877">
      <c r="A877" s="110" t="s">
        <v>200</v>
      </c>
      <c r="B877" s="110"/>
      <c r="C877" s="110"/>
      <c r="D877" s="110"/>
      <c r="E877" s="110"/>
      <c r="F877" s="110"/>
      <c r="G877" s="115"/>
      <c r="H877" s="133"/>
      <c r="I877" s="103"/>
      <c r="J877" s="108"/>
      <c r="K877" s="112"/>
      <c r="L877" s="110"/>
      <c r="M877" s="111"/>
      <c r="N877" s="103"/>
      <c r="O877" s="112"/>
      <c r="P877" s="115"/>
      <c r="Q877" s="114"/>
      <c r="R877" s="108"/>
      <c r="S877" s="115" t="s">
        <v>200</v>
      </c>
      <c r="T877" s="103" t="b">
        <v>0</v>
      </c>
      <c r="U877" s="103"/>
      <c r="V877" s="103"/>
      <c r="W877" s="103"/>
      <c r="X877" s="103"/>
      <c r="Y877" s="103"/>
      <c r="Z877" s="103"/>
    </row>
    <row r="878">
      <c r="A878" s="110" t="s">
        <v>200</v>
      </c>
      <c r="B878" s="110"/>
      <c r="C878" s="110"/>
      <c r="D878" s="110"/>
      <c r="E878" s="110"/>
      <c r="F878" s="110"/>
      <c r="G878" s="115"/>
      <c r="H878" s="133"/>
      <c r="I878" s="103"/>
      <c r="J878" s="108"/>
      <c r="K878" s="112"/>
      <c r="L878" s="110"/>
      <c r="M878" s="111"/>
      <c r="N878" s="103"/>
      <c r="O878" s="112"/>
      <c r="P878" s="115"/>
      <c r="Q878" s="114"/>
      <c r="R878" s="108"/>
      <c r="S878" s="115" t="s">
        <v>200</v>
      </c>
      <c r="T878" s="103" t="b">
        <v>0</v>
      </c>
      <c r="U878" s="103"/>
      <c r="V878" s="103"/>
      <c r="W878" s="103"/>
      <c r="X878" s="103"/>
      <c r="Y878" s="103"/>
      <c r="Z878" s="103"/>
    </row>
    <row r="879">
      <c r="A879" s="110" t="s">
        <v>200</v>
      </c>
      <c r="B879" s="110"/>
      <c r="C879" s="110"/>
      <c r="D879" s="110"/>
      <c r="E879" s="110"/>
      <c r="F879" s="110"/>
      <c r="G879" s="115"/>
      <c r="H879" s="133"/>
      <c r="I879" s="103"/>
      <c r="J879" s="108"/>
      <c r="K879" s="112"/>
      <c r="L879" s="110"/>
      <c r="M879" s="111"/>
      <c r="N879" s="103"/>
      <c r="O879" s="112"/>
      <c r="P879" s="115"/>
      <c r="Q879" s="114"/>
      <c r="R879" s="108"/>
      <c r="S879" s="115" t="s">
        <v>200</v>
      </c>
      <c r="T879" s="103" t="b">
        <v>0</v>
      </c>
      <c r="U879" s="103"/>
      <c r="V879" s="103"/>
      <c r="W879" s="103"/>
      <c r="X879" s="103"/>
      <c r="Y879" s="103"/>
      <c r="Z879" s="103"/>
    </row>
    <row r="880">
      <c r="A880" s="110" t="s">
        <v>200</v>
      </c>
      <c r="B880" s="110"/>
      <c r="C880" s="110"/>
      <c r="D880" s="110"/>
      <c r="E880" s="110"/>
      <c r="F880" s="110"/>
      <c r="G880" s="115"/>
      <c r="H880" s="133"/>
      <c r="I880" s="103"/>
      <c r="J880" s="108"/>
      <c r="K880" s="112"/>
      <c r="L880" s="110"/>
      <c r="M880" s="111"/>
      <c r="N880" s="103"/>
      <c r="O880" s="112"/>
      <c r="P880" s="115"/>
      <c r="Q880" s="114"/>
      <c r="R880" s="108"/>
      <c r="S880" s="115" t="s">
        <v>200</v>
      </c>
      <c r="T880" s="103" t="b">
        <v>0</v>
      </c>
      <c r="U880" s="103"/>
      <c r="V880" s="103"/>
      <c r="W880" s="103"/>
      <c r="X880" s="103"/>
      <c r="Y880" s="103"/>
      <c r="Z880" s="103"/>
    </row>
    <row r="881">
      <c r="A881" s="110" t="s">
        <v>200</v>
      </c>
      <c r="B881" s="110"/>
      <c r="C881" s="110"/>
      <c r="D881" s="110"/>
      <c r="E881" s="110"/>
      <c r="F881" s="110"/>
      <c r="G881" s="115"/>
      <c r="H881" s="133"/>
      <c r="I881" s="103"/>
      <c r="J881" s="108"/>
      <c r="K881" s="112"/>
      <c r="L881" s="110"/>
      <c r="M881" s="111"/>
      <c r="N881" s="103"/>
      <c r="O881" s="112"/>
      <c r="P881" s="115"/>
      <c r="Q881" s="114"/>
      <c r="R881" s="108"/>
      <c r="S881" s="115" t="s">
        <v>200</v>
      </c>
      <c r="T881" s="103" t="b">
        <v>0</v>
      </c>
      <c r="U881" s="103"/>
      <c r="V881" s="103"/>
      <c r="W881" s="103"/>
      <c r="X881" s="103"/>
      <c r="Y881" s="103"/>
      <c r="Z881" s="103"/>
    </row>
    <row r="882">
      <c r="A882" s="110" t="s">
        <v>200</v>
      </c>
      <c r="B882" s="110"/>
      <c r="C882" s="110"/>
      <c r="D882" s="110"/>
      <c r="E882" s="110"/>
      <c r="F882" s="110"/>
      <c r="G882" s="115"/>
      <c r="H882" s="133"/>
      <c r="I882" s="103"/>
      <c r="J882" s="108"/>
      <c r="K882" s="112"/>
      <c r="L882" s="110"/>
      <c r="M882" s="111"/>
      <c r="N882" s="103"/>
      <c r="O882" s="112"/>
      <c r="P882" s="115"/>
      <c r="Q882" s="114"/>
      <c r="R882" s="108"/>
      <c r="S882" s="115" t="s">
        <v>200</v>
      </c>
      <c r="T882" s="103" t="b">
        <v>0</v>
      </c>
      <c r="U882" s="103"/>
      <c r="V882" s="103"/>
      <c r="W882" s="103"/>
      <c r="X882" s="103"/>
      <c r="Y882" s="103"/>
      <c r="Z882" s="103"/>
    </row>
    <row r="883">
      <c r="A883" s="110" t="s">
        <v>200</v>
      </c>
      <c r="B883" s="110"/>
      <c r="C883" s="110"/>
      <c r="D883" s="110"/>
      <c r="E883" s="110"/>
      <c r="F883" s="110"/>
      <c r="G883" s="115"/>
      <c r="H883" s="133"/>
      <c r="I883" s="103"/>
      <c r="J883" s="108"/>
      <c r="K883" s="112"/>
      <c r="L883" s="110"/>
      <c r="M883" s="111"/>
      <c r="N883" s="103"/>
      <c r="O883" s="112"/>
      <c r="P883" s="115"/>
      <c r="Q883" s="114"/>
      <c r="R883" s="108"/>
      <c r="S883" s="115" t="s">
        <v>200</v>
      </c>
      <c r="T883" s="103" t="b">
        <v>0</v>
      </c>
      <c r="U883" s="103"/>
      <c r="V883" s="103"/>
      <c r="W883" s="103"/>
      <c r="X883" s="103"/>
      <c r="Y883" s="103"/>
      <c r="Z883" s="103"/>
    </row>
    <row r="884">
      <c r="A884" s="110" t="s">
        <v>200</v>
      </c>
      <c r="B884" s="110"/>
      <c r="C884" s="110"/>
      <c r="D884" s="110"/>
      <c r="E884" s="110"/>
      <c r="F884" s="110"/>
      <c r="G884" s="115"/>
      <c r="H884" s="133"/>
      <c r="I884" s="103"/>
      <c r="J884" s="108"/>
      <c r="K884" s="112"/>
      <c r="L884" s="110"/>
      <c r="M884" s="111"/>
      <c r="N884" s="103"/>
      <c r="O884" s="112"/>
      <c r="P884" s="115"/>
      <c r="Q884" s="114"/>
      <c r="R884" s="108"/>
      <c r="S884" s="115" t="s">
        <v>200</v>
      </c>
      <c r="T884" s="103" t="b">
        <v>0</v>
      </c>
      <c r="U884" s="103"/>
      <c r="V884" s="103"/>
      <c r="W884" s="103"/>
      <c r="X884" s="103"/>
      <c r="Y884" s="103"/>
      <c r="Z884" s="103"/>
    </row>
    <row r="885">
      <c r="A885" s="110" t="s">
        <v>200</v>
      </c>
      <c r="B885" s="110"/>
      <c r="C885" s="110"/>
      <c r="D885" s="110"/>
      <c r="E885" s="110"/>
      <c r="F885" s="110"/>
      <c r="G885" s="115"/>
      <c r="H885" s="133"/>
      <c r="I885" s="103"/>
      <c r="J885" s="108"/>
      <c r="K885" s="112"/>
      <c r="L885" s="110"/>
      <c r="M885" s="111"/>
      <c r="N885" s="103"/>
      <c r="O885" s="112"/>
      <c r="P885" s="115"/>
      <c r="Q885" s="114"/>
      <c r="R885" s="108"/>
      <c r="S885" s="115" t="s">
        <v>200</v>
      </c>
      <c r="T885" s="103" t="b">
        <v>0</v>
      </c>
      <c r="U885" s="103"/>
      <c r="V885" s="103"/>
      <c r="W885" s="103"/>
      <c r="X885" s="103"/>
      <c r="Y885" s="103"/>
      <c r="Z885" s="103"/>
    </row>
    <row r="886">
      <c r="A886" s="110" t="s">
        <v>200</v>
      </c>
      <c r="B886" s="110"/>
      <c r="C886" s="110"/>
      <c r="D886" s="110"/>
      <c r="E886" s="110"/>
      <c r="F886" s="110"/>
      <c r="G886" s="115"/>
      <c r="H886" s="133"/>
      <c r="I886" s="103"/>
      <c r="J886" s="108"/>
      <c r="K886" s="112"/>
      <c r="L886" s="110"/>
      <c r="M886" s="111"/>
      <c r="N886" s="103"/>
      <c r="O886" s="112"/>
      <c r="P886" s="115"/>
      <c r="Q886" s="114"/>
      <c r="R886" s="108"/>
      <c r="S886" s="115" t="s">
        <v>200</v>
      </c>
      <c r="T886" s="103" t="b">
        <v>0</v>
      </c>
      <c r="U886" s="103"/>
      <c r="V886" s="103"/>
      <c r="W886" s="103"/>
      <c r="X886" s="103"/>
      <c r="Y886" s="103"/>
      <c r="Z886" s="103"/>
    </row>
    <row r="887">
      <c r="A887" s="110" t="s">
        <v>200</v>
      </c>
      <c r="B887" s="110"/>
      <c r="C887" s="110"/>
      <c r="D887" s="110"/>
      <c r="E887" s="110"/>
      <c r="F887" s="110"/>
      <c r="G887" s="115"/>
      <c r="H887" s="133"/>
      <c r="I887" s="103"/>
      <c r="J887" s="108"/>
      <c r="K887" s="112"/>
      <c r="L887" s="110"/>
      <c r="M887" s="111"/>
      <c r="N887" s="103"/>
      <c r="O887" s="112"/>
      <c r="P887" s="115"/>
      <c r="Q887" s="114"/>
      <c r="R887" s="108"/>
      <c r="S887" s="115" t="s">
        <v>200</v>
      </c>
      <c r="T887" s="103" t="b">
        <v>0</v>
      </c>
      <c r="U887" s="103"/>
      <c r="V887" s="103"/>
      <c r="W887" s="103"/>
      <c r="X887" s="103"/>
      <c r="Y887" s="103"/>
      <c r="Z887" s="103"/>
    </row>
    <row r="888">
      <c r="A888" s="110" t="s">
        <v>200</v>
      </c>
      <c r="B888" s="110"/>
      <c r="C888" s="110"/>
      <c r="D888" s="110"/>
      <c r="E888" s="110"/>
      <c r="F888" s="110"/>
      <c r="G888" s="115"/>
      <c r="H888" s="133"/>
      <c r="I888" s="103"/>
      <c r="J888" s="108"/>
      <c r="K888" s="112"/>
      <c r="L888" s="110"/>
      <c r="M888" s="111"/>
      <c r="N888" s="103"/>
      <c r="O888" s="112"/>
      <c r="P888" s="115"/>
      <c r="Q888" s="114"/>
      <c r="R888" s="108"/>
      <c r="S888" s="115" t="s">
        <v>200</v>
      </c>
      <c r="T888" s="103" t="b">
        <v>0</v>
      </c>
      <c r="U888" s="103"/>
      <c r="V888" s="103"/>
      <c r="W888" s="103"/>
      <c r="X888" s="103"/>
      <c r="Y888" s="103"/>
      <c r="Z888" s="103"/>
    </row>
    <row r="889">
      <c r="A889" s="110" t="s">
        <v>200</v>
      </c>
      <c r="B889" s="110"/>
      <c r="C889" s="110"/>
      <c r="D889" s="110"/>
      <c r="E889" s="110"/>
      <c r="F889" s="110"/>
      <c r="G889" s="115"/>
      <c r="H889" s="133"/>
      <c r="I889" s="103"/>
      <c r="J889" s="108"/>
      <c r="K889" s="112"/>
      <c r="L889" s="110"/>
      <c r="M889" s="111"/>
      <c r="N889" s="103"/>
      <c r="O889" s="112"/>
      <c r="P889" s="115"/>
      <c r="Q889" s="114"/>
      <c r="R889" s="108"/>
      <c r="S889" s="115" t="s">
        <v>200</v>
      </c>
      <c r="T889" s="103" t="b">
        <v>0</v>
      </c>
      <c r="U889" s="103"/>
      <c r="V889" s="103"/>
      <c r="W889" s="103"/>
      <c r="X889" s="103"/>
      <c r="Y889" s="103"/>
      <c r="Z889" s="103"/>
    </row>
    <row r="890">
      <c r="A890" s="110" t="s">
        <v>200</v>
      </c>
      <c r="B890" s="110"/>
      <c r="C890" s="110"/>
      <c r="D890" s="110"/>
      <c r="E890" s="110"/>
      <c r="F890" s="110"/>
      <c r="G890" s="115"/>
      <c r="H890" s="133"/>
      <c r="I890" s="103"/>
      <c r="J890" s="108"/>
      <c r="K890" s="112"/>
      <c r="L890" s="110"/>
      <c r="M890" s="111"/>
      <c r="N890" s="103"/>
      <c r="O890" s="112"/>
      <c r="P890" s="115"/>
      <c r="Q890" s="114"/>
      <c r="R890" s="108"/>
      <c r="S890" s="115" t="s">
        <v>200</v>
      </c>
      <c r="T890" s="103" t="b">
        <v>0</v>
      </c>
      <c r="U890" s="103"/>
      <c r="V890" s="103"/>
      <c r="W890" s="103"/>
      <c r="X890" s="103"/>
      <c r="Y890" s="103"/>
      <c r="Z890" s="103"/>
    </row>
    <row r="891">
      <c r="A891" s="110" t="s">
        <v>200</v>
      </c>
      <c r="B891" s="110"/>
      <c r="C891" s="110"/>
      <c r="D891" s="110"/>
      <c r="E891" s="110"/>
      <c r="F891" s="110"/>
      <c r="G891" s="115"/>
      <c r="H891" s="133"/>
      <c r="I891" s="103"/>
      <c r="J891" s="108"/>
      <c r="K891" s="112"/>
      <c r="L891" s="110"/>
      <c r="M891" s="111"/>
      <c r="N891" s="103"/>
      <c r="O891" s="112"/>
      <c r="P891" s="115"/>
      <c r="Q891" s="114"/>
      <c r="R891" s="108"/>
      <c r="S891" s="115" t="s">
        <v>200</v>
      </c>
      <c r="T891" s="103" t="b">
        <v>0</v>
      </c>
      <c r="U891" s="103"/>
      <c r="V891" s="103"/>
      <c r="W891" s="103"/>
      <c r="X891" s="103"/>
      <c r="Y891" s="103"/>
      <c r="Z891" s="103"/>
    </row>
    <row r="892">
      <c r="A892" s="110" t="s">
        <v>200</v>
      </c>
      <c r="B892" s="110"/>
      <c r="C892" s="110"/>
      <c r="D892" s="110"/>
      <c r="E892" s="110"/>
      <c r="F892" s="110"/>
      <c r="G892" s="115"/>
      <c r="H892" s="133"/>
      <c r="I892" s="103"/>
      <c r="J892" s="108"/>
      <c r="K892" s="112"/>
      <c r="L892" s="110"/>
      <c r="M892" s="111"/>
      <c r="N892" s="103"/>
      <c r="O892" s="112"/>
      <c r="P892" s="115"/>
      <c r="Q892" s="114"/>
      <c r="R892" s="108"/>
      <c r="S892" s="115" t="s">
        <v>200</v>
      </c>
      <c r="T892" s="103" t="b">
        <v>0</v>
      </c>
      <c r="U892" s="103"/>
      <c r="V892" s="103"/>
      <c r="W892" s="103"/>
      <c r="X892" s="103"/>
      <c r="Y892" s="103"/>
      <c r="Z892" s="103"/>
    </row>
    <row r="893">
      <c r="A893" s="110" t="s">
        <v>200</v>
      </c>
      <c r="B893" s="110"/>
      <c r="C893" s="110"/>
      <c r="D893" s="110"/>
      <c r="E893" s="110"/>
      <c r="F893" s="110"/>
      <c r="G893" s="115"/>
      <c r="H893" s="133"/>
      <c r="I893" s="103"/>
      <c r="J893" s="108"/>
      <c r="K893" s="112"/>
      <c r="L893" s="110"/>
      <c r="M893" s="111"/>
      <c r="N893" s="103"/>
      <c r="O893" s="112"/>
      <c r="P893" s="115"/>
      <c r="Q893" s="114"/>
      <c r="R893" s="108"/>
      <c r="S893" s="115" t="s">
        <v>200</v>
      </c>
      <c r="T893" s="103" t="b">
        <v>0</v>
      </c>
      <c r="U893" s="103"/>
      <c r="V893" s="103"/>
      <c r="W893" s="103"/>
      <c r="X893" s="103"/>
      <c r="Y893" s="103"/>
      <c r="Z893" s="103"/>
    </row>
    <row r="894">
      <c r="A894" s="110" t="s">
        <v>200</v>
      </c>
      <c r="B894" s="110"/>
      <c r="C894" s="110"/>
      <c r="D894" s="110"/>
      <c r="E894" s="110"/>
      <c r="F894" s="110"/>
      <c r="G894" s="115"/>
      <c r="H894" s="133"/>
      <c r="I894" s="103"/>
      <c r="J894" s="108"/>
      <c r="K894" s="112"/>
      <c r="L894" s="110"/>
      <c r="M894" s="111"/>
      <c r="N894" s="103"/>
      <c r="O894" s="112"/>
      <c r="P894" s="115"/>
      <c r="Q894" s="114"/>
      <c r="R894" s="108"/>
      <c r="S894" s="115" t="s">
        <v>200</v>
      </c>
      <c r="T894" s="103" t="b">
        <v>0</v>
      </c>
      <c r="U894" s="103"/>
      <c r="V894" s="103"/>
      <c r="W894" s="103"/>
      <c r="X894" s="103"/>
      <c r="Y894" s="103"/>
      <c r="Z894" s="103"/>
    </row>
    <row r="895">
      <c r="A895" s="110" t="s">
        <v>200</v>
      </c>
      <c r="B895" s="110"/>
      <c r="C895" s="110"/>
      <c r="D895" s="110"/>
      <c r="E895" s="110"/>
      <c r="F895" s="110"/>
      <c r="G895" s="115"/>
      <c r="H895" s="133"/>
      <c r="I895" s="103"/>
      <c r="J895" s="108"/>
      <c r="K895" s="112"/>
      <c r="L895" s="110"/>
      <c r="M895" s="111"/>
      <c r="N895" s="103"/>
      <c r="O895" s="112"/>
      <c r="P895" s="115"/>
      <c r="Q895" s="114"/>
      <c r="R895" s="108"/>
      <c r="S895" s="115" t="s">
        <v>200</v>
      </c>
      <c r="T895" s="103" t="b">
        <v>0</v>
      </c>
      <c r="U895" s="103"/>
      <c r="V895" s="103"/>
      <c r="W895" s="103"/>
      <c r="X895" s="103"/>
      <c r="Y895" s="103"/>
      <c r="Z895" s="103"/>
    </row>
    <row r="896">
      <c r="A896" s="110" t="s">
        <v>200</v>
      </c>
      <c r="B896" s="110"/>
      <c r="C896" s="110"/>
      <c r="D896" s="110"/>
      <c r="E896" s="110"/>
      <c r="F896" s="110"/>
      <c r="G896" s="115"/>
      <c r="H896" s="133"/>
      <c r="I896" s="103"/>
      <c r="J896" s="108"/>
      <c r="K896" s="112"/>
      <c r="L896" s="110"/>
      <c r="M896" s="111"/>
      <c r="N896" s="103"/>
      <c r="O896" s="112"/>
      <c r="P896" s="115"/>
      <c r="Q896" s="114"/>
      <c r="R896" s="108"/>
      <c r="S896" s="115" t="s">
        <v>200</v>
      </c>
      <c r="T896" s="103" t="b">
        <v>0</v>
      </c>
      <c r="U896" s="103"/>
      <c r="V896" s="103"/>
      <c r="W896" s="103"/>
      <c r="X896" s="103"/>
      <c r="Y896" s="103"/>
      <c r="Z896" s="103"/>
    </row>
    <row r="897">
      <c r="A897" s="110" t="s">
        <v>200</v>
      </c>
      <c r="B897" s="110"/>
      <c r="C897" s="110"/>
      <c r="D897" s="110"/>
      <c r="E897" s="110"/>
      <c r="F897" s="110"/>
      <c r="G897" s="115"/>
      <c r="H897" s="133"/>
      <c r="I897" s="103"/>
      <c r="J897" s="108"/>
      <c r="K897" s="112"/>
      <c r="L897" s="110"/>
      <c r="M897" s="111"/>
      <c r="N897" s="103"/>
      <c r="O897" s="112"/>
      <c r="P897" s="115"/>
      <c r="Q897" s="114"/>
      <c r="R897" s="108"/>
      <c r="S897" s="115" t="s">
        <v>200</v>
      </c>
      <c r="T897" s="103" t="b">
        <v>0</v>
      </c>
      <c r="U897" s="103"/>
      <c r="V897" s="103"/>
      <c r="W897" s="103"/>
      <c r="X897" s="103"/>
      <c r="Y897" s="103"/>
      <c r="Z897" s="103"/>
    </row>
    <row r="898">
      <c r="A898" s="110" t="s">
        <v>200</v>
      </c>
      <c r="B898" s="110"/>
      <c r="C898" s="110"/>
      <c r="D898" s="110"/>
      <c r="E898" s="110"/>
      <c r="F898" s="110"/>
      <c r="G898" s="115"/>
      <c r="H898" s="133"/>
      <c r="I898" s="103"/>
      <c r="J898" s="108"/>
      <c r="K898" s="112"/>
      <c r="L898" s="110"/>
      <c r="M898" s="111"/>
      <c r="N898" s="103"/>
      <c r="O898" s="112"/>
      <c r="P898" s="115"/>
      <c r="Q898" s="114"/>
      <c r="R898" s="108"/>
      <c r="S898" s="115" t="s">
        <v>200</v>
      </c>
      <c r="T898" s="103" t="b">
        <v>0</v>
      </c>
      <c r="U898" s="103"/>
      <c r="V898" s="103"/>
      <c r="W898" s="103"/>
      <c r="X898" s="103"/>
      <c r="Y898" s="103"/>
      <c r="Z898" s="103"/>
    </row>
    <row r="899">
      <c r="A899" s="110" t="s">
        <v>200</v>
      </c>
      <c r="B899" s="110"/>
      <c r="C899" s="110"/>
      <c r="D899" s="110"/>
      <c r="E899" s="110"/>
      <c r="F899" s="110"/>
      <c r="G899" s="115"/>
      <c r="H899" s="133"/>
      <c r="I899" s="103"/>
      <c r="J899" s="108"/>
      <c r="K899" s="112"/>
      <c r="L899" s="110"/>
      <c r="M899" s="111"/>
      <c r="N899" s="103"/>
      <c r="O899" s="112"/>
      <c r="P899" s="115"/>
      <c r="Q899" s="114"/>
      <c r="R899" s="108"/>
      <c r="S899" s="115" t="s">
        <v>200</v>
      </c>
      <c r="T899" s="103" t="b">
        <v>0</v>
      </c>
      <c r="U899" s="103"/>
      <c r="V899" s="103"/>
      <c r="W899" s="103"/>
      <c r="X899" s="103"/>
      <c r="Y899" s="103"/>
      <c r="Z899" s="103"/>
    </row>
    <row r="900">
      <c r="A900" s="110" t="s">
        <v>200</v>
      </c>
      <c r="B900" s="110"/>
      <c r="C900" s="110"/>
      <c r="D900" s="110"/>
      <c r="E900" s="110"/>
      <c r="F900" s="110"/>
      <c r="G900" s="115"/>
      <c r="H900" s="133"/>
      <c r="I900" s="103"/>
      <c r="J900" s="108"/>
      <c r="K900" s="112"/>
      <c r="L900" s="110"/>
      <c r="M900" s="111"/>
      <c r="N900" s="103"/>
      <c r="O900" s="112"/>
      <c r="P900" s="115"/>
      <c r="Q900" s="114"/>
      <c r="R900" s="108"/>
      <c r="S900" s="115" t="s">
        <v>200</v>
      </c>
      <c r="T900" s="103" t="b">
        <v>0</v>
      </c>
      <c r="U900" s="103"/>
      <c r="V900" s="103"/>
      <c r="W900" s="103"/>
      <c r="X900" s="103"/>
      <c r="Y900" s="103"/>
      <c r="Z900" s="103"/>
    </row>
    <row r="901">
      <c r="A901" s="110" t="s">
        <v>200</v>
      </c>
      <c r="B901" s="110"/>
      <c r="C901" s="110"/>
      <c r="D901" s="110"/>
      <c r="E901" s="110"/>
      <c r="F901" s="110"/>
      <c r="G901" s="115"/>
      <c r="H901" s="133"/>
      <c r="I901" s="103"/>
      <c r="J901" s="108"/>
      <c r="K901" s="112"/>
      <c r="L901" s="110"/>
      <c r="M901" s="111"/>
      <c r="N901" s="103"/>
      <c r="O901" s="112"/>
      <c r="P901" s="115"/>
      <c r="Q901" s="114"/>
      <c r="R901" s="108"/>
      <c r="S901" s="115" t="s">
        <v>200</v>
      </c>
      <c r="T901" s="103" t="b">
        <v>0</v>
      </c>
      <c r="U901" s="103"/>
      <c r="V901" s="103"/>
      <c r="W901" s="103"/>
      <c r="X901" s="103"/>
      <c r="Y901" s="103"/>
      <c r="Z901" s="103"/>
    </row>
    <row r="902">
      <c r="A902" s="110" t="s">
        <v>200</v>
      </c>
      <c r="B902" s="110"/>
      <c r="C902" s="110"/>
      <c r="D902" s="110"/>
      <c r="E902" s="110"/>
      <c r="F902" s="110"/>
      <c r="G902" s="115"/>
      <c r="H902" s="133"/>
      <c r="I902" s="103"/>
      <c r="J902" s="108"/>
      <c r="K902" s="112"/>
      <c r="L902" s="110"/>
      <c r="M902" s="111"/>
      <c r="N902" s="103"/>
      <c r="O902" s="112"/>
      <c r="P902" s="115"/>
      <c r="Q902" s="114"/>
      <c r="R902" s="108"/>
      <c r="S902" s="115" t="s">
        <v>200</v>
      </c>
      <c r="T902" s="103" t="b">
        <v>0</v>
      </c>
      <c r="U902" s="103"/>
      <c r="V902" s="103"/>
      <c r="W902" s="103"/>
      <c r="X902" s="103"/>
      <c r="Y902" s="103"/>
      <c r="Z902" s="103"/>
    </row>
    <row r="903">
      <c r="A903" s="110" t="s">
        <v>200</v>
      </c>
      <c r="B903" s="110"/>
      <c r="C903" s="110"/>
      <c r="D903" s="110"/>
      <c r="E903" s="110"/>
      <c r="F903" s="110"/>
      <c r="G903" s="115"/>
      <c r="H903" s="133"/>
      <c r="I903" s="103"/>
      <c r="J903" s="108"/>
      <c r="K903" s="112"/>
      <c r="L903" s="110"/>
      <c r="M903" s="111"/>
      <c r="N903" s="103"/>
      <c r="O903" s="112"/>
      <c r="P903" s="115"/>
      <c r="Q903" s="114"/>
      <c r="R903" s="108"/>
      <c r="S903" s="115" t="s">
        <v>200</v>
      </c>
      <c r="T903" s="103" t="b">
        <v>0</v>
      </c>
      <c r="U903" s="103"/>
      <c r="V903" s="103"/>
      <c r="W903" s="103"/>
      <c r="X903" s="103"/>
      <c r="Y903" s="103"/>
      <c r="Z903" s="103"/>
    </row>
    <row r="904">
      <c r="A904" s="110" t="s">
        <v>200</v>
      </c>
      <c r="B904" s="110"/>
      <c r="C904" s="110"/>
      <c r="D904" s="110"/>
      <c r="E904" s="110"/>
      <c r="F904" s="110"/>
      <c r="G904" s="115"/>
      <c r="H904" s="133"/>
      <c r="I904" s="103"/>
      <c r="J904" s="108"/>
      <c r="K904" s="112"/>
      <c r="L904" s="110"/>
      <c r="M904" s="111"/>
      <c r="N904" s="103"/>
      <c r="O904" s="112"/>
      <c r="P904" s="115"/>
      <c r="Q904" s="114"/>
      <c r="R904" s="108"/>
      <c r="S904" s="115" t="s">
        <v>200</v>
      </c>
      <c r="T904" s="103" t="b">
        <v>0</v>
      </c>
      <c r="U904" s="103"/>
      <c r="V904" s="103"/>
      <c r="W904" s="103"/>
      <c r="X904" s="103"/>
      <c r="Y904" s="103"/>
      <c r="Z904" s="103"/>
    </row>
    <row r="905">
      <c r="A905" s="110" t="s">
        <v>200</v>
      </c>
      <c r="B905" s="110"/>
      <c r="C905" s="110"/>
      <c r="D905" s="110"/>
      <c r="E905" s="110"/>
      <c r="F905" s="110"/>
      <c r="G905" s="115"/>
      <c r="H905" s="133"/>
      <c r="I905" s="103"/>
      <c r="J905" s="108"/>
      <c r="K905" s="112"/>
      <c r="L905" s="110"/>
      <c r="M905" s="111"/>
      <c r="N905" s="103"/>
      <c r="O905" s="112"/>
      <c r="P905" s="115"/>
      <c r="Q905" s="114"/>
      <c r="R905" s="108"/>
      <c r="S905" s="115" t="s">
        <v>200</v>
      </c>
      <c r="T905" s="103" t="b">
        <v>0</v>
      </c>
      <c r="U905" s="103"/>
      <c r="V905" s="103"/>
      <c r="W905" s="103"/>
      <c r="X905" s="103"/>
      <c r="Y905" s="103"/>
      <c r="Z905" s="103"/>
    </row>
    <row r="906">
      <c r="A906" s="110" t="s">
        <v>200</v>
      </c>
      <c r="B906" s="110"/>
      <c r="C906" s="110"/>
      <c r="D906" s="110"/>
      <c r="E906" s="110"/>
      <c r="F906" s="110"/>
      <c r="G906" s="115"/>
      <c r="H906" s="133"/>
      <c r="I906" s="103"/>
      <c r="J906" s="108"/>
      <c r="K906" s="112"/>
      <c r="L906" s="110"/>
      <c r="M906" s="111"/>
      <c r="N906" s="103"/>
      <c r="O906" s="112"/>
      <c r="P906" s="115"/>
      <c r="Q906" s="114"/>
      <c r="R906" s="108"/>
      <c r="S906" s="115" t="s">
        <v>200</v>
      </c>
      <c r="T906" s="103" t="b">
        <v>0</v>
      </c>
      <c r="U906" s="103"/>
      <c r="V906" s="103"/>
      <c r="W906" s="103"/>
      <c r="X906" s="103"/>
      <c r="Y906" s="103"/>
      <c r="Z906" s="103"/>
    </row>
    <row r="907">
      <c r="A907" s="110" t="s">
        <v>200</v>
      </c>
      <c r="B907" s="110"/>
      <c r="C907" s="110"/>
      <c r="D907" s="110"/>
      <c r="E907" s="110"/>
      <c r="F907" s="110"/>
      <c r="G907" s="115"/>
      <c r="H907" s="133"/>
      <c r="I907" s="103"/>
      <c r="J907" s="108"/>
      <c r="K907" s="112"/>
      <c r="L907" s="110"/>
      <c r="M907" s="111"/>
      <c r="N907" s="103"/>
      <c r="O907" s="112"/>
      <c r="P907" s="115"/>
      <c r="Q907" s="114"/>
      <c r="R907" s="108"/>
      <c r="S907" s="115" t="s">
        <v>200</v>
      </c>
      <c r="T907" s="103" t="b">
        <v>0</v>
      </c>
      <c r="U907" s="103"/>
      <c r="V907" s="103"/>
      <c r="W907" s="103"/>
      <c r="X907" s="103"/>
      <c r="Y907" s="103"/>
      <c r="Z907" s="103"/>
    </row>
    <row r="908">
      <c r="A908" s="110" t="s">
        <v>200</v>
      </c>
      <c r="B908" s="110"/>
      <c r="C908" s="110"/>
      <c r="D908" s="110"/>
      <c r="E908" s="110"/>
      <c r="F908" s="110"/>
      <c r="G908" s="115"/>
      <c r="H908" s="133"/>
      <c r="I908" s="103"/>
      <c r="J908" s="108"/>
      <c r="K908" s="112"/>
      <c r="L908" s="110"/>
      <c r="M908" s="111"/>
      <c r="N908" s="103"/>
      <c r="O908" s="112"/>
      <c r="P908" s="115"/>
      <c r="Q908" s="114"/>
      <c r="R908" s="108"/>
      <c r="S908" s="115" t="s">
        <v>200</v>
      </c>
      <c r="T908" s="103" t="b">
        <v>0</v>
      </c>
      <c r="U908" s="103"/>
      <c r="V908" s="103"/>
      <c r="W908" s="103"/>
      <c r="X908" s="103"/>
      <c r="Y908" s="103"/>
      <c r="Z908" s="103"/>
    </row>
    <row r="909">
      <c r="A909" s="110" t="s">
        <v>200</v>
      </c>
      <c r="B909" s="110"/>
      <c r="C909" s="110"/>
      <c r="D909" s="110"/>
      <c r="E909" s="110"/>
      <c r="F909" s="110"/>
      <c r="G909" s="115"/>
      <c r="H909" s="133"/>
      <c r="I909" s="103"/>
      <c r="J909" s="108"/>
      <c r="K909" s="112"/>
      <c r="L909" s="110"/>
      <c r="M909" s="111"/>
      <c r="N909" s="103"/>
      <c r="O909" s="112"/>
      <c r="P909" s="115"/>
      <c r="Q909" s="114"/>
      <c r="R909" s="108"/>
      <c r="S909" s="115" t="s">
        <v>200</v>
      </c>
      <c r="T909" s="103" t="b">
        <v>0</v>
      </c>
      <c r="U909" s="103"/>
      <c r="V909" s="103"/>
      <c r="W909" s="103"/>
      <c r="X909" s="103"/>
      <c r="Y909" s="103"/>
      <c r="Z909" s="103"/>
    </row>
    <row r="910">
      <c r="A910" s="110" t="s">
        <v>200</v>
      </c>
      <c r="B910" s="110"/>
      <c r="C910" s="110"/>
      <c r="D910" s="110"/>
      <c r="E910" s="110"/>
      <c r="F910" s="110"/>
      <c r="G910" s="115"/>
      <c r="H910" s="133"/>
      <c r="I910" s="103"/>
      <c r="J910" s="108"/>
      <c r="K910" s="112"/>
      <c r="L910" s="110"/>
      <c r="M910" s="111"/>
      <c r="N910" s="103"/>
      <c r="O910" s="112"/>
      <c r="P910" s="115"/>
      <c r="Q910" s="114"/>
      <c r="R910" s="108"/>
      <c r="S910" s="115" t="s">
        <v>200</v>
      </c>
      <c r="T910" s="103" t="b">
        <v>0</v>
      </c>
      <c r="U910" s="103"/>
      <c r="V910" s="103"/>
      <c r="W910" s="103"/>
      <c r="X910" s="103"/>
      <c r="Y910" s="103"/>
      <c r="Z910" s="103"/>
    </row>
    <row r="911">
      <c r="A911" s="110" t="s">
        <v>200</v>
      </c>
      <c r="B911" s="110"/>
      <c r="C911" s="110"/>
      <c r="D911" s="110"/>
      <c r="E911" s="110"/>
      <c r="F911" s="110"/>
      <c r="G911" s="115"/>
      <c r="H911" s="133"/>
      <c r="I911" s="103"/>
      <c r="J911" s="108"/>
      <c r="K911" s="112"/>
      <c r="L911" s="110"/>
      <c r="M911" s="111"/>
      <c r="N911" s="103"/>
      <c r="O911" s="112"/>
      <c r="P911" s="115"/>
      <c r="Q911" s="114"/>
      <c r="R911" s="108"/>
      <c r="S911" s="115" t="s">
        <v>200</v>
      </c>
      <c r="T911" s="103" t="b">
        <v>0</v>
      </c>
      <c r="U911" s="103"/>
      <c r="V911" s="103"/>
      <c r="W911" s="103"/>
      <c r="X911" s="103"/>
      <c r="Y911" s="103"/>
      <c r="Z911" s="103"/>
    </row>
    <row r="912">
      <c r="A912" s="110" t="s">
        <v>200</v>
      </c>
      <c r="B912" s="110"/>
      <c r="C912" s="110"/>
      <c r="D912" s="110"/>
      <c r="E912" s="110"/>
      <c r="F912" s="110"/>
      <c r="G912" s="115"/>
      <c r="H912" s="133"/>
      <c r="I912" s="103"/>
      <c r="J912" s="108"/>
      <c r="K912" s="112"/>
      <c r="L912" s="110"/>
      <c r="M912" s="111"/>
      <c r="N912" s="103"/>
      <c r="O912" s="112"/>
      <c r="P912" s="115"/>
      <c r="Q912" s="114"/>
      <c r="R912" s="108"/>
      <c r="S912" s="115" t="s">
        <v>200</v>
      </c>
      <c r="T912" s="103" t="b">
        <v>0</v>
      </c>
      <c r="U912" s="103"/>
      <c r="V912" s="103"/>
      <c r="W912" s="103"/>
      <c r="X912" s="103"/>
      <c r="Y912" s="103"/>
      <c r="Z912" s="103"/>
    </row>
    <row r="913">
      <c r="A913" s="110" t="s">
        <v>200</v>
      </c>
      <c r="B913" s="110"/>
      <c r="C913" s="110"/>
      <c r="D913" s="110"/>
      <c r="E913" s="110"/>
      <c r="F913" s="110"/>
      <c r="G913" s="115"/>
      <c r="H913" s="133"/>
      <c r="I913" s="103"/>
      <c r="J913" s="108"/>
      <c r="K913" s="112"/>
      <c r="L913" s="110"/>
      <c r="M913" s="111"/>
      <c r="N913" s="103"/>
      <c r="O913" s="112"/>
      <c r="P913" s="115"/>
      <c r="Q913" s="114"/>
      <c r="R913" s="108"/>
      <c r="S913" s="115" t="s">
        <v>200</v>
      </c>
      <c r="T913" s="103" t="b">
        <v>0</v>
      </c>
      <c r="U913" s="103"/>
      <c r="V913" s="103"/>
      <c r="W913" s="103"/>
      <c r="X913" s="103"/>
      <c r="Y913" s="103"/>
      <c r="Z913" s="103"/>
    </row>
    <row r="914">
      <c r="A914" s="110" t="s">
        <v>200</v>
      </c>
      <c r="B914" s="110"/>
      <c r="C914" s="110"/>
      <c r="D914" s="110"/>
      <c r="E914" s="110"/>
      <c r="F914" s="110"/>
      <c r="G914" s="115"/>
      <c r="H914" s="133"/>
      <c r="I914" s="103"/>
      <c r="J914" s="108"/>
      <c r="K914" s="112"/>
      <c r="L914" s="110"/>
      <c r="M914" s="111"/>
      <c r="N914" s="103"/>
      <c r="O914" s="112"/>
      <c r="P914" s="115"/>
      <c r="Q914" s="114"/>
      <c r="R914" s="108"/>
      <c r="S914" s="115" t="s">
        <v>200</v>
      </c>
      <c r="T914" s="103" t="b">
        <v>0</v>
      </c>
      <c r="U914" s="103"/>
      <c r="V914" s="103"/>
      <c r="W914" s="103"/>
      <c r="X914" s="103"/>
      <c r="Y914" s="103"/>
      <c r="Z914" s="103"/>
    </row>
    <row r="915">
      <c r="A915" s="110" t="s">
        <v>200</v>
      </c>
      <c r="B915" s="110"/>
      <c r="C915" s="110"/>
      <c r="D915" s="110"/>
      <c r="E915" s="110"/>
      <c r="F915" s="110"/>
      <c r="G915" s="115"/>
      <c r="H915" s="133"/>
      <c r="I915" s="103"/>
      <c r="J915" s="108"/>
      <c r="K915" s="112"/>
      <c r="L915" s="110"/>
      <c r="M915" s="111"/>
      <c r="N915" s="103"/>
      <c r="O915" s="112"/>
      <c r="P915" s="115"/>
      <c r="Q915" s="114"/>
      <c r="R915" s="108"/>
      <c r="S915" s="115" t="s">
        <v>200</v>
      </c>
      <c r="T915" s="103" t="b">
        <v>0</v>
      </c>
      <c r="U915" s="103"/>
      <c r="V915" s="103"/>
      <c r="W915" s="103"/>
      <c r="X915" s="103"/>
      <c r="Y915" s="103"/>
      <c r="Z915" s="103"/>
    </row>
    <row r="916">
      <c r="A916" s="110" t="s">
        <v>200</v>
      </c>
      <c r="B916" s="110"/>
      <c r="C916" s="110"/>
      <c r="D916" s="110"/>
      <c r="E916" s="110"/>
      <c r="F916" s="110"/>
      <c r="G916" s="115"/>
      <c r="H916" s="133"/>
      <c r="I916" s="103"/>
      <c r="J916" s="108"/>
      <c r="K916" s="112"/>
      <c r="L916" s="110"/>
      <c r="M916" s="111"/>
      <c r="N916" s="103"/>
      <c r="O916" s="112"/>
      <c r="P916" s="115"/>
      <c r="Q916" s="114"/>
      <c r="R916" s="108"/>
      <c r="S916" s="115" t="s">
        <v>200</v>
      </c>
      <c r="T916" s="103" t="b">
        <v>0</v>
      </c>
      <c r="U916" s="103"/>
      <c r="V916" s="103"/>
      <c r="W916" s="103"/>
      <c r="X916" s="103"/>
      <c r="Y916" s="103"/>
      <c r="Z916" s="103"/>
    </row>
    <row r="917">
      <c r="A917" s="110" t="s">
        <v>200</v>
      </c>
      <c r="B917" s="110"/>
      <c r="C917" s="110"/>
      <c r="D917" s="110"/>
      <c r="E917" s="110"/>
      <c r="F917" s="110"/>
      <c r="G917" s="115"/>
      <c r="H917" s="133"/>
      <c r="I917" s="103"/>
      <c r="J917" s="108"/>
      <c r="K917" s="112"/>
      <c r="L917" s="110"/>
      <c r="M917" s="111"/>
      <c r="N917" s="103"/>
      <c r="O917" s="112"/>
      <c r="P917" s="115"/>
      <c r="Q917" s="114"/>
      <c r="R917" s="108"/>
      <c r="S917" s="115" t="s">
        <v>200</v>
      </c>
      <c r="T917" s="103" t="b">
        <v>0</v>
      </c>
      <c r="U917" s="103"/>
      <c r="V917" s="103"/>
      <c r="W917" s="103"/>
      <c r="X917" s="103"/>
      <c r="Y917" s="103"/>
      <c r="Z917" s="103"/>
    </row>
    <row r="918">
      <c r="A918" s="110" t="s">
        <v>200</v>
      </c>
      <c r="B918" s="110"/>
      <c r="C918" s="110"/>
      <c r="D918" s="110"/>
      <c r="E918" s="110"/>
      <c r="F918" s="110"/>
      <c r="G918" s="115"/>
      <c r="H918" s="133"/>
      <c r="I918" s="103"/>
      <c r="J918" s="108"/>
      <c r="K918" s="112"/>
      <c r="L918" s="110"/>
      <c r="M918" s="111"/>
      <c r="N918" s="103"/>
      <c r="O918" s="112"/>
      <c r="P918" s="115"/>
      <c r="Q918" s="114"/>
      <c r="R918" s="108"/>
      <c r="S918" s="115" t="s">
        <v>200</v>
      </c>
      <c r="T918" s="103" t="b">
        <v>0</v>
      </c>
      <c r="U918" s="103"/>
      <c r="V918" s="103"/>
      <c r="W918" s="103"/>
      <c r="X918" s="103"/>
      <c r="Y918" s="103"/>
      <c r="Z918" s="103"/>
    </row>
    <row r="919">
      <c r="A919" s="110" t="s">
        <v>200</v>
      </c>
      <c r="B919" s="110"/>
      <c r="C919" s="110"/>
      <c r="D919" s="110"/>
      <c r="E919" s="110"/>
      <c r="F919" s="110"/>
      <c r="G919" s="115"/>
      <c r="H919" s="133"/>
      <c r="I919" s="103"/>
      <c r="J919" s="108"/>
      <c r="K919" s="112"/>
      <c r="L919" s="110"/>
      <c r="M919" s="111"/>
      <c r="N919" s="103"/>
      <c r="O919" s="112"/>
      <c r="P919" s="115"/>
      <c r="Q919" s="114"/>
      <c r="R919" s="108"/>
      <c r="S919" s="115" t="s">
        <v>200</v>
      </c>
      <c r="T919" s="103" t="b">
        <v>0</v>
      </c>
      <c r="U919" s="103"/>
      <c r="V919" s="103"/>
      <c r="W919" s="103"/>
      <c r="X919" s="103"/>
      <c r="Y919" s="103"/>
      <c r="Z919" s="103"/>
    </row>
    <row r="920">
      <c r="A920" s="110" t="s">
        <v>200</v>
      </c>
      <c r="B920" s="110"/>
      <c r="C920" s="110"/>
      <c r="D920" s="110"/>
      <c r="E920" s="110"/>
      <c r="F920" s="110"/>
      <c r="G920" s="115"/>
      <c r="H920" s="133"/>
      <c r="I920" s="103"/>
      <c r="J920" s="108"/>
      <c r="K920" s="112"/>
      <c r="L920" s="110"/>
      <c r="M920" s="111"/>
      <c r="N920" s="103"/>
      <c r="O920" s="112"/>
      <c r="P920" s="115"/>
      <c r="Q920" s="114"/>
      <c r="R920" s="108"/>
      <c r="S920" s="115" t="s">
        <v>200</v>
      </c>
      <c r="T920" s="103" t="b">
        <v>0</v>
      </c>
      <c r="U920" s="103"/>
      <c r="V920" s="103"/>
      <c r="W920" s="103"/>
      <c r="X920" s="103"/>
      <c r="Y920" s="103"/>
      <c r="Z920" s="103"/>
    </row>
    <row r="921">
      <c r="A921" s="110" t="s">
        <v>200</v>
      </c>
      <c r="B921" s="110"/>
      <c r="C921" s="110"/>
      <c r="D921" s="110"/>
      <c r="E921" s="110"/>
      <c r="F921" s="110"/>
      <c r="G921" s="115"/>
      <c r="H921" s="133"/>
      <c r="I921" s="103"/>
      <c r="J921" s="108"/>
      <c r="K921" s="112"/>
      <c r="L921" s="110"/>
      <c r="M921" s="111"/>
      <c r="N921" s="103"/>
      <c r="O921" s="112"/>
      <c r="P921" s="115"/>
      <c r="Q921" s="114"/>
      <c r="R921" s="108"/>
      <c r="S921" s="115" t="s">
        <v>200</v>
      </c>
      <c r="T921" s="103" t="b">
        <v>0</v>
      </c>
      <c r="U921" s="103"/>
      <c r="V921" s="103"/>
      <c r="W921" s="103"/>
      <c r="X921" s="103"/>
      <c r="Y921" s="103"/>
      <c r="Z921" s="103"/>
    </row>
    <row r="922">
      <c r="A922" s="110" t="s">
        <v>200</v>
      </c>
      <c r="B922" s="110"/>
      <c r="C922" s="110"/>
      <c r="D922" s="110"/>
      <c r="E922" s="110"/>
      <c r="F922" s="110"/>
      <c r="G922" s="115"/>
      <c r="H922" s="133"/>
      <c r="I922" s="103"/>
      <c r="J922" s="108"/>
      <c r="K922" s="112"/>
      <c r="L922" s="110"/>
      <c r="M922" s="111"/>
      <c r="N922" s="103"/>
      <c r="O922" s="112"/>
      <c r="P922" s="115"/>
      <c r="Q922" s="114"/>
      <c r="R922" s="108"/>
      <c r="S922" s="115" t="s">
        <v>200</v>
      </c>
      <c r="T922" s="103" t="b">
        <v>0</v>
      </c>
      <c r="U922" s="103"/>
      <c r="V922" s="103"/>
      <c r="W922" s="103"/>
      <c r="X922" s="103"/>
      <c r="Y922" s="103"/>
      <c r="Z922" s="103"/>
    </row>
    <row r="923">
      <c r="A923" s="110" t="s">
        <v>200</v>
      </c>
      <c r="B923" s="110"/>
      <c r="C923" s="110"/>
      <c r="D923" s="110"/>
      <c r="E923" s="110"/>
      <c r="F923" s="110"/>
      <c r="G923" s="115"/>
      <c r="H923" s="133"/>
      <c r="I923" s="103"/>
      <c r="J923" s="108"/>
      <c r="K923" s="112"/>
      <c r="L923" s="110"/>
      <c r="M923" s="111"/>
      <c r="N923" s="103"/>
      <c r="O923" s="112"/>
      <c r="P923" s="115"/>
      <c r="Q923" s="114"/>
      <c r="R923" s="108"/>
      <c r="S923" s="115" t="s">
        <v>200</v>
      </c>
      <c r="T923" s="103" t="b">
        <v>0</v>
      </c>
      <c r="U923" s="103"/>
      <c r="V923" s="103"/>
      <c r="W923" s="103"/>
      <c r="X923" s="103"/>
      <c r="Y923" s="103"/>
      <c r="Z923" s="103"/>
    </row>
    <row r="924">
      <c r="A924" s="110" t="s">
        <v>200</v>
      </c>
      <c r="B924" s="110"/>
      <c r="C924" s="110"/>
      <c r="D924" s="110"/>
      <c r="E924" s="110"/>
      <c r="F924" s="110"/>
      <c r="G924" s="115"/>
      <c r="H924" s="133"/>
      <c r="I924" s="103"/>
      <c r="J924" s="108"/>
      <c r="K924" s="112"/>
      <c r="L924" s="110"/>
      <c r="M924" s="111"/>
      <c r="N924" s="103"/>
      <c r="O924" s="112"/>
      <c r="P924" s="115"/>
      <c r="Q924" s="114"/>
      <c r="R924" s="108"/>
      <c r="S924" s="115" t="s">
        <v>200</v>
      </c>
      <c r="T924" s="103" t="b">
        <v>0</v>
      </c>
      <c r="U924" s="103"/>
      <c r="V924" s="103"/>
      <c r="W924" s="103"/>
      <c r="X924" s="103"/>
      <c r="Y924" s="103"/>
      <c r="Z924" s="103"/>
    </row>
    <row r="925">
      <c r="A925" s="110" t="s">
        <v>200</v>
      </c>
      <c r="B925" s="110"/>
      <c r="C925" s="110"/>
      <c r="D925" s="110"/>
      <c r="E925" s="110"/>
      <c r="F925" s="110"/>
      <c r="G925" s="115"/>
      <c r="H925" s="133"/>
      <c r="I925" s="103"/>
      <c r="J925" s="108"/>
      <c r="K925" s="112"/>
      <c r="L925" s="110"/>
      <c r="M925" s="111"/>
      <c r="N925" s="103"/>
      <c r="O925" s="112"/>
      <c r="P925" s="115"/>
      <c r="Q925" s="114"/>
      <c r="R925" s="108"/>
      <c r="S925" s="115" t="s">
        <v>200</v>
      </c>
      <c r="T925" s="103" t="b">
        <v>0</v>
      </c>
      <c r="U925" s="103"/>
      <c r="V925" s="103"/>
      <c r="W925" s="103"/>
      <c r="X925" s="103"/>
      <c r="Y925" s="103"/>
      <c r="Z925" s="103"/>
    </row>
    <row r="926">
      <c r="A926" s="110" t="s">
        <v>200</v>
      </c>
      <c r="B926" s="110"/>
      <c r="C926" s="110"/>
      <c r="D926" s="110"/>
      <c r="E926" s="110"/>
      <c r="F926" s="110"/>
      <c r="G926" s="115"/>
      <c r="H926" s="133"/>
      <c r="I926" s="103"/>
      <c r="J926" s="108"/>
      <c r="K926" s="112"/>
      <c r="L926" s="110"/>
      <c r="M926" s="111"/>
      <c r="N926" s="103"/>
      <c r="O926" s="112"/>
      <c r="P926" s="115"/>
      <c r="Q926" s="114"/>
      <c r="R926" s="108"/>
      <c r="S926" s="115" t="s">
        <v>200</v>
      </c>
      <c r="T926" s="103" t="b">
        <v>0</v>
      </c>
      <c r="U926" s="103"/>
      <c r="V926" s="103"/>
      <c r="W926" s="103"/>
      <c r="X926" s="103"/>
      <c r="Y926" s="103"/>
      <c r="Z926" s="103"/>
    </row>
    <row r="927">
      <c r="A927" s="110" t="s">
        <v>200</v>
      </c>
      <c r="B927" s="110"/>
      <c r="C927" s="110"/>
      <c r="D927" s="110"/>
      <c r="E927" s="110"/>
      <c r="F927" s="110"/>
      <c r="G927" s="115"/>
      <c r="H927" s="133"/>
      <c r="I927" s="103"/>
      <c r="J927" s="108"/>
      <c r="K927" s="112"/>
      <c r="L927" s="110"/>
      <c r="M927" s="111"/>
      <c r="N927" s="103"/>
      <c r="O927" s="112"/>
      <c r="P927" s="115"/>
      <c r="Q927" s="114"/>
      <c r="R927" s="108"/>
      <c r="S927" s="115" t="s">
        <v>200</v>
      </c>
      <c r="T927" s="103" t="b">
        <v>0</v>
      </c>
      <c r="U927" s="103"/>
      <c r="V927" s="103"/>
      <c r="W927" s="103"/>
      <c r="X927" s="103"/>
      <c r="Y927" s="103"/>
      <c r="Z927" s="103"/>
    </row>
    <row r="928">
      <c r="A928" s="110" t="s">
        <v>200</v>
      </c>
      <c r="B928" s="110"/>
      <c r="C928" s="110"/>
      <c r="D928" s="110"/>
      <c r="E928" s="110"/>
      <c r="F928" s="110"/>
      <c r="G928" s="115"/>
      <c r="H928" s="133"/>
      <c r="I928" s="103"/>
      <c r="J928" s="108"/>
      <c r="K928" s="112"/>
      <c r="L928" s="110"/>
      <c r="M928" s="111"/>
      <c r="N928" s="103"/>
      <c r="O928" s="112"/>
      <c r="P928" s="115"/>
      <c r="Q928" s="114"/>
      <c r="R928" s="108"/>
      <c r="S928" s="115" t="s">
        <v>200</v>
      </c>
      <c r="T928" s="103" t="b">
        <v>0</v>
      </c>
      <c r="U928" s="103"/>
      <c r="V928" s="103"/>
      <c r="W928" s="103"/>
      <c r="X928" s="103"/>
      <c r="Y928" s="103"/>
      <c r="Z928" s="103"/>
    </row>
    <row r="929">
      <c r="A929" s="110" t="s">
        <v>200</v>
      </c>
      <c r="B929" s="110"/>
      <c r="C929" s="110"/>
      <c r="D929" s="110"/>
      <c r="E929" s="110"/>
      <c r="F929" s="110"/>
      <c r="G929" s="115"/>
      <c r="H929" s="133"/>
      <c r="I929" s="103"/>
      <c r="J929" s="108"/>
      <c r="K929" s="112"/>
      <c r="L929" s="110"/>
      <c r="M929" s="111"/>
      <c r="N929" s="103"/>
      <c r="O929" s="112"/>
      <c r="P929" s="115"/>
      <c r="Q929" s="114"/>
      <c r="R929" s="108"/>
      <c r="S929" s="115" t="s">
        <v>200</v>
      </c>
      <c r="T929" s="103" t="b">
        <v>0</v>
      </c>
      <c r="U929" s="103"/>
      <c r="V929" s="103"/>
      <c r="W929" s="103"/>
      <c r="X929" s="103"/>
      <c r="Y929" s="103"/>
      <c r="Z929" s="103"/>
    </row>
    <row r="930">
      <c r="A930" s="110" t="s">
        <v>200</v>
      </c>
      <c r="B930" s="110"/>
      <c r="C930" s="110"/>
      <c r="D930" s="110"/>
      <c r="E930" s="110"/>
      <c r="F930" s="110"/>
      <c r="G930" s="115"/>
      <c r="H930" s="133"/>
      <c r="I930" s="103"/>
      <c r="J930" s="108"/>
      <c r="K930" s="112"/>
      <c r="L930" s="110"/>
      <c r="M930" s="111"/>
      <c r="N930" s="103"/>
      <c r="O930" s="112"/>
      <c r="P930" s="115"/>
      <c r="Q930" s="114"/>
      <c r="R930" s="108"/>
      <c r="S930" s="115" t="s">
        <v>200</v>
      </c>
      <c r="T930" s="103" t="b">
        <v>0</v>
      </c>
      <c r="U930" s="103"/>
      <c r="V930" s="103"/>
      <c r="W930" s="103"/>
      <c r="X930" s="103"/>
      <c r="Y930" s="103"/>
      <c r="Z930" s="103"/>
    </row>
    <row r="931">
      <c r="A931" s="110" t="s">
        <v>200</v>
      </c>
      <c r="B931" s="110"/>
      <c r="C931" s="110"/>
      <c r="D931" s="110"/>
      <c r="E931" s="110"/>
      <c r="F931" s="110"/>
      <c r="G931" s="115"/>
      <c r="H931" s="133"/>
      <c r="I931" s="103"/>
      <c r="J931" s="108"/>
      <c r="K931" s="112"/>
      <c r="L931" s="110"/>
      <c r="M931" s="111"/>
      <c r="N931" s="103"/>
      <c r="O931" s="112"/>
      <c r="P931" s="115"/>
      <c r="Q931" s="114"/>
      <c r="R931" s="108"/>
      <c r="S931" s="115" t="s">
        <v>200</v>
      </c>
      <c r="T931" s="103" t="b">
        <v>0</v>
      </c>
      <c r="U931" s="103"/>
      <c r="V931" s="103"/>
      <c r="W931" s="103"/>
      <c r="X931" s="103"/>
      <c r="Y931" s="103"/>
      <c r="Z931" s="103"/>
    </row>
    <row r="932">
      <c r="A932" s="110" t="s">
        <v>200</v>
      </c>
      <c r="B932" s="110"/>
      <c r="C932" s="110"/>
      <c r="D932" s="110"/>
      <c r="E932" s="110"/>
      <c r="F932" s="110"/>
      <c r="G932" s="115"/>
      <c r="H932" s="133"/>
      <c r="I932" s="103"/>
      <c r="J932" s="108"/>
      <c r="K932" s="112"/>
      <c r="L932" s="110"/>
      <c r="M932" s="111"/>
      <c r="N932" s="103"/>
      <c r="O932" s="112"/>
      <c r="P932" s="115"/>
      <c r="Q932" s="114"/>
      <c r="R932" s="108"/>
      <c r="S932" s="115" t="s">
        <v>200</v>
      </c>
      <c r="T932" s="103" t="b">
        <v>0</v>
      </c>
      <c r="U932" s="103"/>
      <c r="V932" s="103"/>
      <c r="W932" s="103"/>
      <c r="X932" s="103"/>
      <c r="Y932" s="103"/>
      <c r="Z932" s="103"/>
    </row>
    <row r="933">
      <c r="A933" s="110" t="s">
        <v>200</v>
      </c>
      <c r="B933" s="110"/>
      <c r="C933" s="110"/>
      <c r="D933" s="110"/>
      <c r="E933" s="110"/>
      <c r="F933" s="110"/>
      <c r="G933" s="115"/>
      <c r="H933" s="133"/>
      <c r="I933" s="103"/>
      <c r="J933" s="108"/>
      <c r="K933" s="112"/>
      <c r="L933" s="110"/>
      <c r="M933" s="111"/>
      <c r="N933" s="103"/>
      <c r="O933" s="112"/>
      <c r="P933" s="115"/>
      <c r="Q933" s="114"/>
      <c r="R933" s="108"/>
      <c r="S933" s="115" t="s">
        <v>200</v>
      </c>
      <c r="T933" s="103" t="b">
        <v>0</v>
      </c>
      <c r="U933" s="103"/>
      <c r="V933" s="103"/>
      <c r="W933" s="103"/>
      <c r="X933" s="103"/>
      <c r="Y933" s="103"/>
      <c r="Z933" s="103"/>
    </row>
    <row r="934">
      <c r="A934" s="110" t="s">
        <v>200</v>
      </c>
      <c r="B934" s="110"/>
      <c r="C934" s="110"/>
      <c r="D934" s="110"/>
      <c r="E934" s="110"/>
      <c r="F934" s="110"/>
      <c r="G934" s="115"/>
      <c r="H934" s="133"/>
      <c r="I934" s="103"/>
      <c r="J934" s="108"/>
      <c r="K934" s="112"/>
      <c r="L934" s="110"/>
      <c r="M934" s="111"/>
      <c r="N934" s="103"/>
      <c r="O934" s="112"/>
      <c r="P934" s="115"/>
      <c r="Q934" s="114"/>
      <c r="R934" s="108"/>
      <c r="S934" s="115" t="s">
        <v>200</v>
      </c>
      <c r="T934" s="103" t="b">
        <v>0</v>
      </c>
      <c r="U934" s="103"/>
      <c r="V934" s="103"/>
      <c r="W934" s="103"/>
      <c r="X934" s="103"/>
      <c r="Y934" s="103"/>
      <c r="Z934" s="103"/>
    </row>
    <row r="935">
      <c r="A935" s="110" t="s">
        <v>200</v>
      </c>
      <c r="B935" s="110"/>
      <c r="C935" s="110"/>
      <c r="D935" s="110"/>
      <c r="E935" s="110"/>
      <c r="F935" s="110"/>
      <c r="G935" s="115"/>
      <c r="H935" s="133"/>
      <c r="I935" s="103"/>
      <c r="J935" s="108"/>
      <c r="K935" s="112"/>
      <c r="L935" s="110"/>
      <c r="M935" s="111"/>
      <c r="N935" s="103"/>
      <c r="O935" s="112"/>
      <c r="P935" s="115"/>
      <c r="Q935" s="114"/>
      <c r="R935" s="108"/>
      <c r="S935" s="115" t="s">
        <v>200</v>
      </c>
      <c r="T935" s="103" t="b">
        <v>0</v>
      </c>
      <c r="U935" s="103"/>
      <c r="V935" s="103"/>
      <c r="W935" s="103"/>
      <c r="X935" s="103"/>
      <c r="Y935" s="103"/>
      <c r="Z935" s="103"/>
    </row>
    <row r="936">
      <c r="A936" s="110" t="s">
        <v>200</v>
      </c>
      <c r="B936" s="110"/>
      <c r="C936" s="110"/>
      <c r="D936" s="110"/>
      <c r="E936" s="110"/>
      <c r="F936" s="110"/>
      <c r="G936" s="115"/>
      <c r="H936" s="133"/>
      <c r="I936" s="103"/>
      <c r="J936" s="108"/>
      <c r="K936" s="112"/>
      <c r="L936" s="110"/>
      <c r="M936" s="111"/>
      <c r="N936" s="103"/>
      <c r="O936" s="112"/>
      <c r="P936" s="115"/>
      <c r="Q936" s="114"/>
      <c r="R936" s="108"/>
      <c r="S936" s="115" t="s">
        <v>200</v>
      </c>
      <c r="T936" s="103" t="b">
        <v>0</v>
      </c>
      <c r="U936" s="103"/>
      <c r="V936" s="103"/>
      <c r="W936" s="103"/>
      <c r="X936" s="103"/>
      <c r="Y936" s="103"/>
      <c r="Z936" s="103"/>
    </row>
    <row r="937">
      <c r="A937" s="110" t="s">
        <v>200</v>
      </c>
      <c r="B937" s="110"/>
      <c r="C937" s="110"/>
      <c r="D937" s="110"/>
      <c r="E937" s="110"/>
      <c r="F937" s="110"/>
      <c r="G937" s="115"/>
      <c r="H937" s="133"/>
      <c r="I937" s="103"/>
      <c r="J937" s="108"/>
      <c r="K937" s="112"/>
      <c r="L937" s="110"/>
      <c r="M937" s="111"/>
      <c r="N937" s="103"/>
      <c r="O937" s="112"/>
      <c r="P937" s="115"/>
      <c r="Q937" s="114"/>
      <c r="R937" s="108"/>
      <c r="S937" s="115" t="s">
        <v>200</v>
      </c>
      <c r="T937" s="103" t="b">
        <v>0</v>
      </c>
      <c r="U937" s="103"/>
      <c r="V937" s="103"/>
      <c r="W937" s="103"/>
      <c r="X937" s="103"/>
      <c r="Y937" s="103"/>
      <c r="Z937" s="103"/>
    </row>
    <row r="938">
      <c r="A938" s="110" t="s">
        <v>200</v>
      </c>
      <c r="B938" s="110"/>
      <c r="C938" s="110"/>
      <c r="D938" s="110"/>
      <c r="E938" s="110"/>
      <c r="F938" s="110"/>
      <c r="G938" s="115"/>
      <c r="H938" s="133"/>
      <c r="I938" s="103"/>
      <c r="J938" s="108"/>
      <c r="K938" s="112"/>
      <c r="L938" s="110"/>
      <c r="M938" s="111"/>
      <c r="N938" s="103"/>
      <c r="O938" s="112"/>
      <c r="P938" s="115"/>
      <c r="Q938" s="114"/>
      <c r="R938" s="108"/>
      <c r="S938" s="115" t="s">
        <v>200</v>
      </c>
      <c r="T938" s="103" t="b">
        <v>0</v>
      </c>
      <c r="U938" s="103"/>
      <c r="V938" s="103"/>
      <c r="W938" s="103"/>
      <c r="X938" s="103"/>
      <c r="Y938" s="103"/>
      <c r="Z938" s="103"/>
    </row>
    <row r="939">
      <c r="A939" s="110" t="s">
        <v>200</v>
      </c>
      <c r="B939" s="110"/>
      <c r="C939" s="110"/>
      <c r="D939" s="110"/>
      <c r="E939" s="110"/>
      <c r="F939" s="110"/>
      <c r="G939" s="115"/>
      <c r="H939" s="133"/>
      <c r="I939" s="103"/>
      <c r="J939" s="108"/>
      <c r="K939" s="112"/>
      <c r="L939" s="110"/>
      <c r="M939" s="111"/>
      <c r="N939" s="103"/>
      <c r="O939" s="112"/>
      <c r="P939" s="115"/>
      <c r="Q939" s="114"/>
      <c r="R939" s="108"/>
      <c r="S939" s="115" t="s">
        <v>200</v>
      </c>
      <c r="T939" s="103" t="b">
        <v>0</v>
      </c>
      <c r="U939" s="103"/>
      <c r="V939" s="103"/>
      <c r="W939" s="103"/>
      <c r="X939" s="103"/>
      <c r="Y939" s="103"/>
      <c r="Z939" s="103"/>
    </row>
    <row r="940">
      <c r="A940" s="110" t="s">
        <v>200</v>
      </c>
      <c r="B940" s="110"/>
      <c r="C940" s="110"/>
      <c r="D940" s="110"/>
      <c r="E940" s="110"/>
      <c r="F940" s="110"/>
      <c r="G940" s="115"/>
      <c r="H940" s="133"/>
      <c r="I940" s="103"/>
      <c r="J940" s="108"/>
      <c r="K940" s="112"/>
      <c r="L940" s="110"/>
      <c r="M940" s="111"/>
      <c r="N940" s="103"/>
      <c r="O940" s="112"/>
      <c r="P940" s="115"/>
      <c r="Q940" s="114"/>
      <c r="R940" s="108"/>
      <c r="S940" s="115" t="s">
        <v>200</v>
      </c>
      <c r="T940" s="103" t="b">
        <v>0</v>
      </c>
      <c r="U940" s="103"/>
      <c r="V940" s="103"/>
      <c r="W940" s="103"/>
      <c r="X940" s="103"/>
      <c r="Y940" s="103"/>
      <c r="Z940" s="103"/>
    </row>
    <row r="941">
      <c r="A941" s="110" t="s">
        <v>200</v>
      </c>
      <c r="B941" s="110"/>
      <c r="C941" s="110"/>
      <c r="D941" s="110"/>
      <c r="E941" s="110"/>
      <c r="F941" s="110"/>
      <c r="G941" s="115"/>
      <c r="H941" s="133"/>
      <c r="I941" s="103"/>
      <c r="J941" s="108"/>
      <c r="K941" s="112"/>
      <c r="L941" s="110"/>
      <c r="M941" s="111"/>
      <c r="N941" s="103"/>
      <c r="O941" s="112"/>
      <c r="P941" s="115"/>
      <c r="Q941" s="114"/>
      <c r="R941" s="108"/>
      <c r="S941" s="115" t="s">
        <v>200</v>
      </c>
      <c r="T941" s="103" t="b">
        <v>0</v>
      </c>
      <c r="U941" s="103"/>
      <c r="V941" s="103"/>
      <c r="W941" s="103"/>
      <c r="X941" s="103"/>
      <c r="Y941" s="103"/>
      <c r="Z941" s="103"/>
    </row>
    <row r="942">
      <c r="A942" s="110" t="s">
        <v>200</v>
      </c>
      <c r="B942" s="110"/>
      <c r="C942" s="110"/>
      <c r="D942" s="110"/>
      <c r="E942" s="110"/>
      <c r="F942" s="110"/>
      <c r="G942" s="115"/>
      <c r="H942" s="133"/>
      <c r="I942" s="103"/>
      <c r="J942" s="108"/>
      <c r="K942" s="112"/>
      <c r="L942" s="110"/>
      <c r="M942" s="111"/>
      <c r="N942" s="103"/>
      <c r="O942" s="112"/>
      <c r="P942" s="115"/>
      <c r="Q942" s="114"/>
      <c r="R942" s="108"/>
      <c r="S942" s="115" t="s">
        <v>200</v>
      </c>
      <c r="T942" s="103" t="b">
        <v>0</v>
      </c>
      <c r="U942" s="103"/>
      <c r="V942" s="103"/>
      <c r="W942" s="103"/>
      <c r="X942" s="103"/>
      <c r="Y942" s="103"/>
      <c r="Z942" s="103"/>
    </row>
    <row r="943">
      <c r="A943" s="110" t="s">
        <v>200</v>
      </c>
      <c r="B943" s="110"/>
      <c r="C943" s="110"/>
      <c r="D943" s="110"/>
      <c r="E943" s="110"/>
      <c r="F943" s="110"/>
      <c r="G943" s="115"/>
      <c r="H943" s="133"/>
      <c r="I943" s="103"/>
      <c r="J943" s="108"/>
      <c r="K943" s="112"/>
      <c r="L943" s="110"/>
      <c r="M943" s="111"/>
      <c r="N943" s="103"/>
      <c r="O943" s="112"/>
      <c r="P943" s="115"/>
      <c r="Q943" s="114"/>
      <c r="R943" s="108"/>
      <c r="S943" s="115" t="s">
        <v>200</v>
      </c>
      <c r="T943" s="103" t="b">
        <v>0</v>
      </c>
      <c r="U943" s="103"/>
      <c r="V943" s="103"/>
      <c r="W943" s="103"/>
      <c r="X943" s="103"/>
      <c r="Y943" s="103"/>
      <c r="Z943" s="103"/>
    </row>
    <row r="944">
      <c r="A944" s="110" t="s">
        <v>200</v>
      </c>
      <c r="B944" s="110"/>
      <c r="C944" s="110"/>
      <c r="D944" s="110"/>
      <c r="E944" s="110"/>
      <c r="F944" s="110"/>
      <c r="G944" s="115"/>
      <c r="H944" s="133"/>
      <c r="I944" s="103"/>
      <c r="J944" s="108"/>
      <c r="K944" s="112"/>
      <c r="L944" s="110"/>
      <c r="M944" s="111"/>
      <c r="N944" s="103"/>
      <c r="O944" s="112"/>
      <c r="P944" s="115"/>
      <c r="Q944" s="114"/>
      <c r="R944" s="108"/>
      <c r="S944" s="115" t="s">
        <v>200</v>
      </c>
      <c r="T944" s="103" t="b">
        <v>0</v>
      </c>
      <c r="U944" s="103"/>
      <c r="V944" s="103"/>
      <c r="W944" s="103"/>
      <c r="X944" s="103"/>
      <c r="Y944" s="103"/>
      <c r="Z944" s="103"/>
    </row>
    <row r="945">
      <c r="A945" s="110" t="s">
        <v>200</v>
      </c>
      <c r="B945" s="110"/>
      <c r="C945" s="110"/>
      <c r="D945" s="110"/>
      <c r="E945" s="110"/>
      <c r="F945" s="110"/>
      <c r="G945" s="115"/>
      <c r="H945" s="133"/>
      <c r="I945" s="103"/>
      <c r="J945" s="108"/>
      <c r="K945" s="112"/>
      <c r="L945" s="110"/>
      <c r="M945" s="111"/>
      <c r="N945" s="103"/>
      <c r="O945" s="112"/>
      <c r="P945" s="115"/>
      <c r="Q945" s="114"/>
      <c r="R945" s="108"/>
      <c r="S945" s="115" t="s">
        <v>200</v>
      </c>
      <c r="T945" s="103" t="b">
        <v>0</v>
      </c>
      <c r="U945" s="103"/>
      <c r="V945" s="103"/>
      <c r="W945" s="103"/>
      <c r="X945" s="103"/>
      <c r="Y945" s="103"/>
      <c r="Z945" s="103"/>
    </row>
    <row r="946">
      <c r="A946" s="110" t="s">
        <v>200</v>
      </c>
      <c r="B946" s="110"/>
      <c r="C946" s="110"/>
      <c r="D946" s="110"/>
      <c r="E946" s="110"/>
      <c r="F946" s="110"/>
      <c r="G946" s="115"/>
      <c r="H946" s="133"/>
      <c r="I946" s="103"/>
      <c r="J946" s="108"/>
      <c r="K946" s="112"/>
      <c r="L946" s="110"/>
      <c r="M946" s="111"/>
      <c r="N946" s="103"/>
      <c r="O946" s="112"/>
      <c r="P946" s="115"/>
      <c r="Q946" s="114"/>
      <c r="R946" s="108"/>
      <c r="S946" s="115" t="s">
        <v>200</v>
      </c>
      <c r="T946" s="103" t="b">
        <v>0</v>
      </c>
      <c r="U946" s="103"/>
      <c r="V946" s="103"/>
      <c r="W946" s="103"/>
      <c r="X946" s="103"/>
      <c r="Y946" s="103"/>
      <c r="Z946" s="103"/>
    </row>
    <row r="947">
      <c r="A947" s="110" t="s">
        <v>200</v>
      </c>
      <c r="B947" s="110"/>
      <c r="C947" s="110"/>
      <c r="D947" s="110"/>
      <c r="E947" s="110"/>
      <c r="F947" s="110"/>
      <c r="G947" s="115"/>
      <c r="H947" s="133"/>
      <c r="I947" s="103"/>
      <c r="J947" s="108"/>
      <c r="K947" s="112"/>
      <c r="L947" s="110"/>
      <c r="M947" s="111"/>
      <c r="N947" s="103"/>
      <c r="O947" s="112"/>
      <c r="P947" s="115"/>
      <c r="Q947" s="114"/>
      <c r="R947" s="108"/>
      <c r="S947" s="115" t="s">
        <v>200</v>
      </c>
      <c r="T947" s="103" t="b">
        <v>0</v>
      </c>
      <c r="U947" s="103"/>
      <c r="V947" s="103"/>
      <c r="W947" s="103"/>
      <c r="X947" s="103"/>
      <c r="Y947" s="103"/>
      <c r="Z947" s="103"/>
    </row>
    <row r="948">
      <c r="A948" s="110" t="s">
        <v>200</v>
      </c>
      <c r="B948" s="110"/>
      <c r="C948" s="110"/>
      <c r="D948" s="110"/>
      <c r="E948" s="110"/>
      <c r="F948" s="110"/>
      <c r="G948" s="115"/>
      <c r="H948" s="133"/>
      <c r="I948" s="103"/>
      <c r="J948" s="108"/>
      <c r="K948" s="112"/>
      <c r="L948" s="110"/>
      <c r="M948" s="111"/>
      <c r="N948" s="103"/>
      <c r="O948" s="112"/>
      <c r="P948" s="115"/>
      <c r="Q948" s="114"/>
      <c r="R948" s="108"/>
      <c r="S948" s="115" t="s">
        <v>200</v>
      </c>
      <c r="T948" s="103" t="b">
        <v>0</v>
      </c>
      <c r="U948" s="103"/>
      <c r="V948" s="103"/>
      <c r="W948" s="103"/>
      <c r="X948" s="103"/>
      <c r="Y948" s="103"/>
      <c r="Z948" s="103"/>
    </row>
    <row r="949">
      <c r="A949" s="110" t="s">
        <v>200</v>
      </c>
      <c r="B949" s="110"/>
      <c r="C949" s="110"/>
      <c r="D949" s="110"/>
      <c r="E949" s="110"/>
      <c r="F949" s="110"/>
      <c r="G949" s="115"/>
      <c r="H949" s="133"/>
      <c r="I949" s="103"/>
      <c r="J949" s="108"/>
      <c r="K949" s="112"/>
      <c r="L949" s="110"/>
      <c r="M949" s="111"/>
      <c r="N949" s="103"/>
      <c r="O949" s="112"/>
      <c r="P949" s="115"/>
      <c r="Q949" s="114"/>
      <c r="R949" s="108"/>
      <c r="S949" s="115" t="s">
        <v>200</v>
      </c>
      <c r="T949" s="103" t="b">
        <v>0</v>
      </c>
      <c r="U949" s="103"/>
      <c r="V949" s="103"/>
      <c r="W949" s="103"/>
      <c r="X949" s="103"/>
      <c r="Y949" s="103"/>
      <c r="Z949" s="103"/>
    </row>
    <row r="950">
      <c r="A950" s="110" t="s">
        <v>200</v>
      </c>
      <c r="B950" s="110"/>
      <c r="C950" s="110"/>
      <c r="D950" s="110"/>
      <c r="E950" s="110"/>
      <c r="F950" s="110"/>
      <c r="G950" s="115"/>
      <c r="H950" s="133"/>
      <c r="I950" s="103"/>
      <c r="J950" s="108"/>
      <c r="K950" s="112"/>
      <c r="L950" s="110"/>
      <c r="M950" s="111"/>
      <c r="N950" s="103"/>
      <c r="O950" s="112"/>
      <c r="P950" s="115"/>
      <c r="Q950" s="114"/>
      <c r="R950" s="108"/>
      <c r="S950" s="115" t="s">
        <v>200</v>
      </c>
      <c r="T950" s="103" t="b">
        <v>0</v>
      </c>
      <c r="U950" s="103"/>
      <c r="V950" s="103"/>
      <c r="W950" s="103"/>
      <c r="X950" s="103"/>
      <c r="Y950" s="103"/>
      <c r="Z950" s="103"/>
    </row>
    <row r="951">
      <c r="A951" s="110" t="s">
        <v>200</v>
      </c>
      <c r="B951" s="110"/>
      <c r="C951" s="110"/>
      <c r="D951" s="110"/>
      <c r="E951" s="110"/>
      <c r="F951" s="110"/>
      <c r="G951" s="115"/>
      <c r="H951" s="133"/>
      <c r="I951" s="103"/>
      <c r="J951" s="108"/>
      <c r="K951" s="112"/>
      <c r="L951" s="110"/>
      <c r="M951" s="111"/>
      <c r="N951" s="103"/>
      <c r="O951" s="112"/>
      <c r="P951" s="115"/>
      <c r="Q951" s="114"/>
      <c r="R951" s="108"/>
      <c r="S951" s="115" t="s">
        <v>200</v>
      </c>
      <c r="T951" s="103" t="b">
        <v>0</v>
      </c>
      <c r="U951" s="103"/>
      <c r="V951" s="103"/>
      <c r="W951" s="103"/>
      <c r="X951" s="103"/>
      <c r="Y951" s="103"/>
      <c r="Z951" s="103"/>
    </row>
    <row r="952">
      <c r="A952" s="110" t="s">
        <v>200</v>
      </c>
      <c r="B952" s="110"/>
      <c r="C952" s="110"/>
      <c r="D952" s="110"/>
      <c r="E952" s="110"/>
      <c r="F952" s="110"/>
      <c r="G952" s="115"/>
      <c r="H952" s="133"/>
      <c r="I952" s="103"/>
      <c r="J952" s="108"/>
      <c r="K952" s="112"/>
      <c r="L952" s="110"/>
      <c r="M952" s="111"/>
      <c r="N952" s="103"/>
      <c r="O952" s="112"/>
      <c r="P952" s="115"/>
      <c r="Q952" s="114"/>
      <c r="R952" s="108"/>
      <c r="S952" s="115" t="s">
        <v>200</v>
      </c>
      <c r="T952" s="103" t="b">
        <v>0</v>
      </c>
      <c r="U952" s="103"/>
      <c r="V952" s="103"/>
      <c r="W952" s="103"/>
      <c r="X952" s="103"/>
      <c r="Y952" s="103"/>
      <c r="Z952" s="103"/>
    </row>
    <row r="953">
      <c r="A953" s="110" t="s">
        <v>200</v>
      </c>
      <c r="B953" s="110"/>
      <c r="C953" s="110"/>
      <c r="D953" s="110"/>
      <c r="E953" s="110"/>
      <c r="F953" s="110"/>
      <c r="G953" s="115"/>
      <c r="H953" s="133"/>
      <c r="I953" s="103"/>
      <c r="J953" s="108"/>
      <c r="K953" s="112"/>
      <c r="L953" s="110"/>
      <c r="M953" s="111"/>
      <c r="N953" s="103"/>
      <c r="O953" s="112"/>
      <c r="P953" s="115"/>
      <c r="Q953" s="114"/>
      <c r="R953" s="108"/>
      <c r="S953" s="115" t="s">
        <v>200</v>
      </c>
      <c r="T953" s="103" t="b">
        <v>0</v>
      </c>
      <c r="U953" s="103"/>
      <c r="V953" s="103"/>
      <c r="W953" s="103"/>
      <c r="X953" s="103"/>
      <c r="Y953" s="103"/>
      <c r="Z953" s="103"/>
    </row>
    <row r="954">
      <c r="A954" s="110" t="s">
        <v>200</v>
      </c>
      <c r="B954" s="110"/>
      <c r="C954" s="110"/>
      <c r="D954" s="110"/>
      <c r="E954" s="110"/>
      <c r="F954" s="110"/>
      <c r="G954" s="115"/>
      <c r="H954" s="133"/>
      <c r="I954" s="103"/>
      <c r="J954" s="108"/>
      <c r="K954" s="112"/>
      <c r="L954" s="110"/>
      <c r="M954" s="111"/>
      <c r="N954" s="103"/>
      <c r="O954" s="112"/>
      <c r="P954" s="115"/>
      <c r="Q954" s="114"/>
      <c r="R954" s="108"/>
      <c r="S954" s="115" t="s">
        <v>200</v>
      </c>
      <c r="T954" s="103" t="b">
        <v>0</v>
      </c>
      <c r="U954" s="103"/>
      <c r="V954" s="103"/>
      <c r="W954" s="103"/>
      <c r="X954" s="103"/>
      <c r="Y954" s="103"/>
      <c r="Z954" s="103"/>
    </row>
    <row r="955">
      <c r="A955" s="110" t="s">
        <v>200</v>
      </c>
      <c r="B955" s="110"/>
      <c r="C955" s="110"/>
      <c r="D955" s="110"/>
      <c r="E955" s="110"/>
      <c r="F955" s="110"/>
      <c r="G955" s="115"/>
      <c r="H955" s="133"/>
      <c r="I955" s="103"/>
      <c r="J955" s="108"/>
      <c r="K955" s="112"/>
      <c r="L955" s="110"/>
      <c r="M955" s="111"/>
      <c r="N955" s="103"/>
      <c r="O955" s="112"/>
      <c r="P955" s="115"/>
      <c r="Q955" s="114"/>
      <c r="R955" s="108"/>
      <c r="S955" s="115" t="s">
        <v>200</v>
      </c>
      <c r="T955" s="103" t="b">
        <v>0</v>
      </c>
      <c r="U955" s="103"/>
      <c r="V955" s="103"/>
      <c r="W955" s="103"/>
      <c r="X955" s="103"/>
      <c r="Y955" s="103"/>
      <c r="Z955" s="103"/>
    </row>
    <row r="956">
      <c r="A956" s="110" t="s">
        <v>200</v>
      </c>
      <c r="B956" s="110"/>
      <c r="C956" s="110"/>
      <c r="D956" s="110"/>
      <c r="E956" s="110"/>
      <c r="F956" s="110"/>
      <c r="G956" s="115"/>
      <c r="H956" s="133"/>
      <c r="I956" s="103"/>
      <c r="J956" s="108"/>
      <c r="K956" s="112"/>
      <c r="L956" s="110"/>
      <c r="M956" s="111"/>
      <c r="N956" s="103"/>
      <c r="O956" s="112"/>
      <c r="P956" s="115"/>
      <c r="Q956" s="114"/>
      <c r="R956" s="108"/>
      <c r="S956" s="115" t="s">
        <v>200</v>
      </c>
      <c r="T956" s="103" t="b">
        <v>0</v>
      </c>
      <c r="U956" s="103"/>
      <c r="V956" s="103"/>
      <c r="W956" s="103"/>
      <c r="X956" s="103"/>
      <c r="Y956" s="103"/>
      <c r="Z956" s="103"/>
    </row>
    <row r="957">
      <c r="A957" s="110" t="s">
        <v>200</v>
      </c>
      <c r="B957" s="110"/>
      <c r="C957" s="110"/>
      <c r="D957" s="110"/>
      <c r="E957" s="110"/>
      <c r="F957" s="110"/>
      <c r="G957" s="115"/>
      <c r="H957" s="133"/>
      <c r="I957" s="103"/>
      <c r="J957" s="108"/>
      <c r="K957" s="112"/>
      <c r="L957" s="110"/>
      <c r="M957" s="111"/>
      <c r="N957" s="103"/>
      <c r="O957" s="112"/>
      <c r="P957" s="115"/>
      <c r="Q957" s="114"/>
      <c r="R957" s="108"/>
      <c r="S957" s="115" t="s">
        <v>200</v>
      </c>
      <c r="T957" s="103" t="b">
        <v>0</v>
      </c>
      <c r="U957" s="103"/>
      <c r="V957" s="103"/>
      <c r="W957" s="103"/>
      <c r="X957" s="103"/>
      <c r="Y957" s="103"/>
      <c r="Z957" s="103"/>
    </row>
    <row r="958">
      <c r="A958" s="110" t="s">
        <v>200</v>
      </c>
      <c r="B958" s="110"/>
      <c r="C958" s="110"/>
      <c r="D958" s="110"/>
      <c r="E958" s="110"/>
      <c r="F958" s="110"/>
      <c r="G958" s="115"/>
      <c r="H958" s="133"/>
      <c r="I958" s="103"/>
      <c r="J958" s="108"/>
      <c r="K958" s="112"/>
      <c r="L958" s="110"/>
      <c r="M958" s="111"/>
      <c r="N958" s="103"/>
      <c r="O958" s="112"/>
      <c r="P958" s="115"/>
      <c r="Q958" s="114"/>
      <c r="R958" s="108"/>
      <c r="S958" s="115" t="s">
        <v>200</v>
      </c>
      <c r="T958" s="103" t="b">
        <v>0</v>
      </c>
      <c r="U958" s="103"/>
      <c r="V958" s="103"/>
      <c r="W958" s="103"/>
      <c r="X958" s="103"/>
      <c r="Y958" s="103"/>
      <c r="Z958" s="103"/>
    </row>
    <row r="959">
      <c r="A959" s="110" t="s">
        <v>200</v>
      </c>
      <c r="B959" s="110"/>
      <c r="C959" s="110"/>
      <c r="D959" s="110"/>
      <c r="E959" s="110"/>
      <c r="F959" s="110"/>
      <c r="G959" s="115"/>
      <c r="H959" s="133"/>
      <c r="I959" s="103"/>
      <c r="J959" s="108"/>
      <c r="K959" s="112"/>
      <c r="L959" s="110"/>
      <c r="M959" s="111"/>
      <c r="N959" s="103"/>
      <c r="O959" s="112"/>
      <c r="P959" s="115"/>
      <c r="Q959" s="114"/>
      <c r="R959" s="108"/>
      <c r="S959" s="115" t="s">
        <v>200</v>
      </c>
      <c r="T959" s="103" t="b">
        <v>0</v>
      </c>
      <c r="U959" s="103"/>
      <c r="V959" s="103"/>
      <c r="W959" s="103"/>
      <c r="X959" s="103"/>
      <c r="Y959" s="103"/>
      <c r="Z959" s="103"/>
    </row>
    <row r="960">
      <c r="A960" s="110" t="s">
        <v>200</v>
      </c>
      <c r="B960" s="110"/>
      <c r="C960" s="110"/>
      <c r="D960" s="110"/>
      <c r="E960" s="110"/>
      <c r="F960" s="110"/>
      <c r="G960" s="115"/>
      <c r="H960" s="133"/>
      <c r="I960" s="103"/>
      <c r="J960" s="108"/>
      <c r="K960" s="112"/>
      <c r="L960" s="110"/>
      <c r="M960" s="111"/>
      <c r="N960" s="103"/>
      <c r="O960" s="112"/>
      <c r="P960" s="115"/>
      <c r="Q960" s="114"/>
      <c r="R960" s="108"/>
      <c r="S960" s="115" t="s">
        <v>200</v>
      </c>
      <c r="T960" s="103" t="b">
        <v>0</v>
      </c>
      <c r="U960" s="103"/>
      <c r="V960" s="103"/>
      <c r="W960" s="103"/>
      <c r="X960" s="103"/>
      <c r="Y960" s="103"/>
      <c r="Z960" s="103"/>
    </row>
    <row r="961">
      <c r="A961" s="110" t="s">
        <v>200</v>
      </c>
      <c r="B961" s="110"/>
      <c r="C961" s="110"/>
      <c r="D961" s="110"/>
      <c r="E961" s="110"/>
      <c r="F961" s="110"/>
      <c r="G961" s="115"/>
      <c r="H961" s="133"/>
      <c r="I961" s="103"/>
      <c r="J961" s="108"/>
      <c r="K961" s="112"/>
      <c r="L961" s="110"/>
      <c r="M961" s="111"/>
      <c r="N961" s="103"/>
      <c r="O961" s="112"/>
      <c r="P961" s="115"/>
      <c r="Q961" s="114"/>
      <c r="R961" s="108"/>
      <c r="S961" s="115" t="s">
        <v>200</v>
      </c>
      <c r="T961" s="103" t="b">
        <v>0</v>
      </c>
      <c r="U961" s="103"/>
      <c r="V961" s="103"/>
      <c r="W961" s="103"/>
      <c r="X961" s="103"/>
      <c r="Y961" s="103"/>
      <c r="Z961" s="103"/>
    </row>
    <row r="962">
      <c r="A962" s="110" t="s">
        <v>200</v>
      </c>
      <c r="B962" s="110"/>
      <c r="C962" s="110"/>
      <c r="D962" s="110"/>
      <c r="E962" s="110"/>
      <c r="F962" s="110"/>
      <c r="G962" s="115"/>
      <c r="H962" s="133"/>
      <c r="I962" s="103"/>
      <c r="J962" s="108"/>
      <c r="K962" s="112"/>
      <c r="L962" s="110"/>
      <c r="M962" s="111"/>
      <c r="N962" s="103"/>
      <c r="O962" s="112"/>
      <c r="P962" s="115"/>
      <c r="Q962" s="114"/>
      <c r="R962" s="108"/>
      <c r="S962" s="115" t="s">
        <v>200</v>
      </c>
      <c r="T962" s="103" t="b">
        <v>0</v>
      </c>
      <c r="U962" s="103"/>
      <c r="V962" s="103"/>
      <c r="W962" s="103"/>
      <c r="X962" s="103"/>
      <c r="Y962" s="103"/>
      <c r="Z962" s="103"/>
    </row>
    <row r="963">
      <c r="A963" s="110" t="s">
        <v>200</v>
      </c>
      <c r="B963" s="110"/>
      <c r="C963" s="110"/>
      <c r="D963" s="110"/>
      <c r="E963" s="110"/>
      <c r="F963" s="110"/>
      <c r="G963" s="115"/>
      <c r="H963" s="133"/>
      <c r="I963" s="103"/>
      <c r="J963" s="108"/>
      <c r="K963" s="112"/>
      <c r="L963" s="110"/>
      <c r="M963" s="111"/>
      <c r="N963" s="103"/>
      <c r="O963" s="112"/>
      <c r="P963" s="115"/>
      <c r="Q963" s="114"/>
      <c r="R963" s="108"/>
      <c r="S963" s="115" t="s">
        <v>200</v>
      </c>
      <c r="T963" s="103" t="b">
        <v>0</v>
      </c>
      <c r="U963" s="103"/>
      <c r="V963" s="103"/>
      <c r="W963" s="103"/>
      <c r="X963" s="103"/>
      <c r="Y963" s="103"/>
      <c r="Z963" s="103"/>
    </row>
    <row r="964">
      <c r="A964" s="110" t="s">
        <v>200</v>
      </c>
      <c r="B964" s="110"/>
      <c r="C964" s="110"/>
      <c r="D964" s="110"/>
      <c r="E964" s="110"/>
      <c r="F964" s="110"/>
      <c r="G964" s="115"/>
      <c r="H964" s="133"/>
      <c r="I964" s="103"/>
      <c r="J964" s="108"/>
      <c r="K964" s="112"/>
      <c r="L964" s="110"/>
      <c r="M964" s="111"/>
      <c r="N964" s="103"/>
      <c r="O964" s="112"/>
      <c r="P964" s="115"/>
      <c r="Q964" s="114"/>
      <c r="R964" s="108"/>
      <c r="S964" s="115" t="s">
        <v>200</v>
      </c>
      <c r="T964" s="103" t="b">
        <v>0</v>
      </c>
      <c r="U964" s="103"/>
      <c r="V964" s="103"/>
      <c r="W964" s="103"/>
      <c r="X964" s="103"/>
      <c r="Y964" s="103"/>
      <c r="Z964" s="103"/>
    </row>
    <row r="965">
      <c r="A965" s="110" t="s">
        <v>200</v>
      </c>
      <c r="B965" s="110"/>
      <c r="C965" s="110"/>
      <c r="D965" s="110"/>
      <c r="E965" s="110"/>
      <c r="F965" s="110"/>
      <c r="G965" s="115"/>
      <c r="H965" s="133"/>
      <c r="I965" s="103"/>
      <c r="J965" s="108"/>
      <c r="K965" s="112"/>
      <c r="L965" s="110"/>
      <c r="M965" s="111"/>
      <c r="N965" s="103"/>
      <c r="O965" s="112"/>
      <c r="P965" s="115"/>
      <c r="Q965" s="114"/>
      <c r="R965" s="108"/>
      <c r="S965" s="115" t="s">
        <v>200</v>
      </c>
      <c r="T965" s="103" t="b">
        <v>0</v>
      </c>
      <c r="U965" s="103"/>
      <c r="V965" s="103"/>
      <c r="W965" s="103"/>
      <c r="X965" s="103"/>
      <c r="Y965" s="103"/>
      <c r="Z965" s="103"/>
    </row>
    <row r="966">
      <c r="A966" s="110" t="s">
        <v>200</v>
      </c>
      <c r="B966" s="110"/>
      <c r="C966" s="110"/>
      <c r="D966" s="110"/>
      <c r="E966" s="110"/>
      <c r="F966" s="110"/>
      <c r="G966" s="115"/>
      <c r="H966" s="133"/>
      <c r="I966" s="103"/>
      <c r="J966" s="108"/>
      <c r="K966" s="112"/>
      <c r="L966" s="110"/>
      <c r="M966" s="111"/>
      <c r="N966" s="103"/>
      <c r="O966" s="112"/>
      <c r="P966" s="115"/>
      <c r="Q966" s="114"/>
      <c r="R966" s="108"/>
      <c r="S966" s="115" t="s">
        <v>200</v>
      </c>
      <c r="T966" s="103" t="b">
        <v>0</v>
      </c>
      <c r="U966" s="103"/>
      <c r="V966" s="103"/>
      <c r="W966" s="103"/>
      <c r="X966" s="103"/>
      <c r="Y966" s="103"/>
      <c r="Z966" s="103"/>
    </row>
    <row r="967">
      <c r="A967" s="110" t="s">
        <v>200</v>
      </c>
      <c r="B967" s="110"/>
      <c r="C967" s="110"/>
      <c r="D967" s="110"/>
      <c r="E967" s="110"/>
      <c r="F967" s="110"/>
      <c r="G967" s="115"/>
      <c r="H967" s="133"/>
      <c r="I967" s="103"/>
      <c r="J967" s="108"/>
      <c r="K967" s="112"/>
      <c r="L967" s="110"/>
      <c r="M967" s="111"/>
      <c r="N967" s="103"/>
      <c r="O967" s="112"/>
      <c r="P967" s="115"/>
      <c r="Q967" s="114"/>
      <c r="R967" s="108"/>
      <c r="S967" s="115" t="s">
        <v>200</v>
      </c>
      <c r="T967" s="103" t="b">
        <v>0</v>
      </c>
      <c r="U967" s="103"/>
      <c r="V967" s="103"/>
      <c r="W967" s="103"/>
      <c r="X967" s="103"/>
      <c r="Y967" s="103"/>
      <c r="Z967" s="103"/>
    </row>
    <row r="968">
      <c r="A968" s="110" t="s">
        <v>200</v>
      </c>
      <c r="B968" s="110"/>
      <c r="C968" s="110"/>
      <c r="D968" s="110"/>
      <c r="E968" s="110"/>
      <c r="F968" s="110"/>
      <c r="G968" s="115"/>
      <c r="H968" s="133"/>
      <c r="I968" s="103"/>
      <c r="J968" s="108"/>
      <c r="K968" s="112"/>
      <c r="L968" s="110"/>
      <c r="M968" s="111"/>
      <c r="N968" s="103"/>
      <c r="O968" s="112"/>
      <c r="P968" s="115"/>
      <c r="Q968" s="114"/>
      <c r="R968" s="108"/>
      <c r="S968" s="115" t="s">
        <v>200</v>
      </c>
      <c r="T968" s="103" t="b">
        <v>0</v>
      </c>
      <c r="U968" s="103"/>
      <c r="V968" s="103"/>
      <c r="W968" s="103"/>
      <c r="X968" s="103"/>
      <c r="Y968" s="103"/>
      <c r="Z968" s="103"/>
    </row>
    <row r="969">
      <c r="A969" s="110" t="s">
        <v>200</v>
      </c>
      <c r="B969" s="110"/>
      <c r="C969" s="110"/>
      <c r="D969" s="110"/>
      <c r="E969" s="110"/>
      <c r="F969" s="110"/>
      <c r="G969" s="115"/>
      <c r="H969" s="133"/>
      <c r="I969" s="103"/>
      <c r="J969" s="108"/>
      <c r="K969" s="112"/>
      <c r="L969" s="110"/>
      <c r="M969" s="111"/>
      <c r="N969" s="103"/>
      <c r="O969" s="112"/>
      <c r="P969" s="115"/>
      <c r="Q969" s="114"/>
      <c r="R969" s="108"/>
      <c r="S969" s="115" t="s">
        <v>200</v>
      </c>
      <c r="T969" s="103" t="b">
        <v>0</v>
      </c>
      <c r="U969" s="103"/>
      <c r="V969" s="103"/>
      <c r="W969" s="103"/>
      <c r="X969" s="103"/>
      <c r="Y969" s="103"/>
      <c r="Z969" s="103"/>
    </row>
    <row r="970">
      <c r="A970" s="110" t="s">
        <v>200</v>
      </c>
      <c r="B970" s="110"/>
      <c r="C970" s="110"/>
      <c r="D970" s="110"/>
      <c r="E970" s="110"/>
      <c r="F970" s="110"/>
      <c r="G970" s="115"/>
      <c r="H970" s="133"/>
      <c r="I970" s="103"/>
      <c r="J970" s="108"/>
      <c r="K970" s="112"/>
      <c r="L970" s="110"/>
      <c r="M970" s="111"/>
      <c r="N970" s="103"/>
      <c r="O970" s="112"/>
      <c r="P970" s="115"/>
      <c r="Q970" s="114"/>
      <c r="R970" s="108"/>
      <c r="S970" s="115" t="s">
        <v>200</v>
      </c>
      <c r="T970" s="103" t="b">
        <v>0</v>
      </c>
      <c r="U970" s="103"/>
      <c r="V970" s="103"/>
      <c r="W970" s="103"/>
      <c r="X970" s="103"/>
      <c r="Y970" s="103"/>
      <c r="Z970" s="103"/>
    </row>
    <row r="971">
      <c r="A971" s="110" t="s">
        <v>200</v>
      </c>
      <c r="B971" s="110"/>
      <c r="C971" s="110"/>
      <c r="D971" s="110"/>
      <c r="E971" s="110"/>
      <c r="F971" s="110"/>
      <c r="G971" s="115"/>
      <c r="H971" s="133"/>
      <c r="I971" s="103"/>
      <c r="J971" s="108"/>
      <c r="K971" s="112"/>
      <c r="L971" s="110"/>
      <c r="M971" s="111"/>
      <c r="N971" s="103"/>
      <c r="O971" s="112"/>
      <c r="P971" s="115"/>
      <c r="Q971" s="114"/>
      <c r="R971" s="108"/>
      <c r="S971" s="115" t="s">
        <v>200</v>
      </c>
      <c r="T971" s="103" t="b">
        <v>0</v>
      </c>
      <c r="U971" s="103"/>
      <c r="V971" s="103"/>
      <c r="W971" s="103"/>
      <c r="X971" s="103"/>
      <c r="Y971" s="103"/>
      <c r="Z971" s="103"/>
    </row>
    <row r="972">
      <c r="A972" s="110" t="s">
        <v>200</v>
      </c>
      <c r="B972" s="110"/>
      <c r="C972" s="110"/>
      <c r="D972" s="110"/>
      <c r="E972" s="110"/>
      <c r="F972" s="110"/>
      <c r="G972" s="115"/>
      <c r="H972" s="133"/>
      <c r="I972" s="103"/>
      <c r="J972" s="108"/>
      <c r="K972" s="112"/>
      <c r="L972" s="110"/>
      <c r="M972" s="111"/>
      <c r="N972" s="103"/>
      <c r="O972" s="112"/>
      <c r="P972" s="115"/>
      <c r="Q972" s="114"/>
      <c r="R972" s="108"/>
      <c r="S972" s="115" t="s">
        <v>200</v>
      </c>
      <c r="T972" s="103" t="b">
        <v>0</v>
      </c>
      <c r="U972" s="103"/>
      <c r="V972" s="103"/>
      <c r="W972" s="103"/>
      <c r="X972" s="103"/>
      <c r="Y972" s="103"/>
      <c r="Z972" s="103"/>
    </row>
    <row r="973">
      <c r="A973" s="110" t="s">
        <v>200</v>
      </c>
      <c r="B973" s="110"/>
      <c r="C973" s="110"/>
      <c r="D973" s="110"/>
      <c r="E973" s="110"/>
      <c r="F973" s="110"/>
      <c r="G973" s="115"/>
      <c r="H973" s="133"/>
      <c r="I973" s="103"/>
      <c r="J973" s="108"/>
      <c r="K973" s="112"/>
      <c r="L973" s="110"/>
      <c r="M973" s="111"/>
      <c r="N973" s="103"/>
      <c r="O973" s="112"/>
      <c r="P973" s="115"/>
      <c r="Q973" s="114"/>
      <c r="R973" s="108"/>
      <c r="S973" s="115" t="s">
        <v>200</v>
      </c>
      <c r="T973" s="103" t="b">
        <v>0</v>
      </c>
      <c r="U973" s="103"/>
      <c r="V973" s="103"/>
      <c r="W973" s="103"/>
      <c r="X973" s="103"/>
      <c r="Y973" s="103"/>
      <c r="Z973" s="103"/>
    </row>
    <row r="974">
      <c r="A974" s="110" t="s">
        <v>200</v>
      </c>
      <c r="B974" s="110"/>
      <c r="C974" s="110"/>
      <c r="D974" s="110"/>
      <c r="E974" s="110"/>
      <c r="F974" s="110"/>
      <c r="G974" s="115"/>
      <c r="H974" s="133"/>
      <c r="I974" s="103"/>
      <c r="J974" s="108"/>
      <c r="K974" s="112"/>
      <c r="L974" s="110"/>
      <c r="M974" s="111"/>
      <c r="N974" s="103"/>
      <c r="O974" s="112"/>
      <c r="P974" s="115"/>
      <c r="Q974" s="114"/>
      <c r="R974" s="108"/>
      <c r="S974" s="115" t="s">
        <v>200</v>
      </c>
      <c r="T974" s="103" t="b">
        <v>0</v>
      </c>
      <c r="U974" s="103"/>
      <c r="V974" s="103"/>
      <c r="W974" s="103"/>
      <c r="X974" s="103"/>
      <c r="Y974" s="103"/>
      <c r="Z974" s="103"/>
    </row>
    <row r="975">
      <c r="A975" s="110" t="s">
        <v>200</v>
      </c>
      <c r="B975" s="110"/>
      <c r="C975" s="110"/>
      <c r="D975" s="110"/>
      <c r="E975" s="110"/>
      <c r="F975" s="110"/>
      <c r="G975" s="115"/>
      <c r="H975" s="133"/>
      <c r="I975" s="103"/>
      <c r="J975" s="108"/>
      <c r="K975" s="112"/>
      <c r="L975" s="110"/>
      <c r="M975" s="111"/>
      <c r="N975" s="103"/>
      <c r="O975" s="112"/>
      <c r="P975" s="115"/>
      <c r="Q975" s="114"/>
      <c r="R975" s="108"/>
      <c r="S975" s="115" t="s">
        <v>200</v>
      </c>
      <c r="T975" s="103" t="b">
        <v>0</v>
      </c>
      <c r="U975" s="103"/>
      <c r="V975" s="103"/>
      <c r="W975" s="103"/>
      <c r="X975" s="103"/>
      <c r="Y975" s="103"/>
      <c r="Z975" s="103"/>
    </row>
    <row r="976">
      <c r="A976" s="110" t="s">
        <v>200</v>
      </c>
      <c r="B976" s="110"/>
      <c r="C976" s="110"/>
      <c r="D976" s="110"/>
      <c r="E976" s="110"/>
      <c r="F976" s="110"/>
      <c r="G976" s="115"/>
      <c r="H976" s="133"/>
      <c r="I976" s="103"/>
      <c r="J976" s="108"/>
      <c r="K976" s="112"/>
      <c r="L976" s="110"/>
      <c r="M976" s="111"/>
      <c r="N976" s="103"/>
      <c r="O976" s="112"/>
      <c r="P976" s="115"/>
      <c r="Q976" s="114"/>
      <c r="R976" s="108"/>
      <c r="S976" s="115" t="s">
        <v>200</v>
      </c>
      <c r="T976" s="103" t="b">
        <v>0</v>
      </c>
      <c r="U976" s="103"/>
      <c r="V976" s="103"/>
      <c r="W976" s="103"/>
      <c r="X976" s="103"/>
      <c r="Y976" s="103"/>
      <c r="Z976" s="103"/>
    </row>
    <row r="977">
      <c r="A977" s="110" t="s">
        <v>200</v>
      </c>
      <c r="B977" s="110"/>
      <c r="C977" s="110"/>
      <c r="D977" s="110"/>
      <c r="E977" s="110"/>
      <c r="F977" s="110"/>
      <c r="G977" s="115"/>
      <c r="H977" s="133"/>
      <c r="I977" s="103"/>
      <c r="J977" s="108"/>
      <c r="K977" s="112"/>
      <c r="L977" s="110"/>
      <c r="M977" s="111"/>
      <c r="N977" s="103"/>
      <c r="O977" s="112"/>
      <c r="P977" s="115"/>
      <c r="Q977" s="114"/>
      <c r="R977" s="108"/>
      <c r="S977" s="115" t="s">
        <v>200</v>
      </c>
      <c r="T977" s="103" t="b">
        <v>0</v>
      </c>
      <c r="U977" s="103"/>
      <c r="V977" s="103"/>
      <c r="W977" s="103"/>
      <c r="X977" s="103"/>
      <c r="Y977" s="103"/>
      <c r="Z977" s="103"/>
    </row>
    <row r="978">
      <c r="A978" s="110" t="s">
        <v>200</v>
      </c>
      <c r="B978" s="110"/>
      <c r="C978" s="110"/>
      <c r="D978" s="110"/>
      <c r="E978" s="110"/>
      <c r="F978" s="110"/>
      <c r="G978" s="115"/>
      <c r="H978" s="133"/>
      <c r="I978" s="103"/>
      <c r="J978" s="108"/>
      <c r="K978" s="112"/>
      <c r="L978" s="110"/>
      <c r="M978" s="111"/>
      <c r="N978" s="103"/>
      <c r="O978" s="112"/>
      <c r="P978" s="115"/>
      <c r="Q978" s="114"/>
      <c r="R978" s="108"/>
      <c r="S978" s="115" t="s">
        <v>200</v>
      </c>
      <c r="T978" s="103" t="b">
        <v>0</v>
      </c>
      <c r="U978" s="103"/>
      <c r="V978" s="103"/>
      <c r="W978" s="103"/>
      <c r="X978" s="103"/>
      <c r="Y978" s="103"/>
      <c r="Z978" s="103"/>
    </row>
    <row r="979">
      <c r="A979" s="110" t="s">
        <v>200</v>
      </c>
      <c r="B979" s="110"/>
      <c r="C979" s="110"/>
      <c r="D979" s="110"/>
      <c r="E979" s="110"/>
      <c r="F979" s="110"/>
      <c r="G979" s="115"/>
      <c r="H979" s="133"/>
      <c r="I979" s="103"/>
      <c r="J979" s="108"/>
      <c r="K979" s="112"/>
      <c r="L979" s="110"/>
      <c r="M979" s="111"/>
      <c r="N979" s="103"/>
      <c r="O979" s="112"/>
      <c r="P979" s="115"/>
      <c r="Q979" s="114"/>
      <c r="R979" s="108"/>
      <c r="S979" s="115" t="s">
        <v>200</v>
      </c>
      <c r="T979" s="103" t="b">
        <v>0</v>
      </c>
      <c r="U979" s="103"/>
      <c r="V979" s="103"/>
      <c r="W979" s="103"/>
      <c r="X979" s="103"/>
      <c r="Y979" s="103"/>
      <c r="Z979" s="103"/>
    </row>
    <row r="980">
      <c r="A980" s="110" t="s">
        <v>200</v>
      </c>
      <c r="B980" s="110"/>
      <c r="C980" s="110"/>
      <c r="D980" s="110"/>
      <c r="E980" s="110"/>
      <c r="F980" s="110"/>
      <c r="G980" s="115"/>
      <c r="H980" s="133"/>
      <c r="I980" s="103"/>
      <c r="J980" s="108"/>
      <c r="K980" s="112"/>
      <c r="L980" s="110"/>
      <c r="M980" s="111"/>
      <c r="N980" s="103"/>
      <c r="O980" s="112"/>
      <c r="P980" s="115"/>
      <c r="Q980" s="114"/>
      <c r="R980" s="108"/>
      <c r="S980" s="115" t="s">
        <v>200</v>
      </c>
      <c r="T980" s="103" t="b">
        <v>0</v>
      </c>
      <c r="U980" s="103"/>
      <c r="V980" s="103"/>
      <c r="W980" s="103"/>
      <c r="X980" s="103"/>
      <c r="Y980" s="103"/>
      <c r="Z980" s="103"/>
    </row>
    <row r="981">
      <c r="A981" s="110" t="s">
        <v>200</v>
      </c>
      <c r="B981" s="110"/>
      <c r="C981" s="110"/>
      <c r="D981" s="110"/>
      <c r="E981" s="110"/>
      <c r="F981" s="110"/>
      <c r="G981" s="115"/>
      <c r="H981" s="133"/>
      <c r="I981" s="103"/>
      <c r="J981" s="108"/>
      <c r="K981" s="112"/>
      <c r="L981" s="110"/>
      <c r="M981" s="111"/>
      <c r="N981" s="103"/>
      <c r="O981" s="112"/>
      <c r="P981" s="115"/>
      <c r="Q981" s="114"/>
      <c r="R981" s="108"/>
      <c r="S981" s="115" t="s">
        <v>200</v>
      </c>
      <c r="T981" s="103" t="b">
        <v>0</v>
      </c>
      <c r="U981" s="103"/>
      <c r="V981" s="103"/>
      <c r="W981" s="103"/>
      <c r="X981" s="103"/>
      <c r="Y981" s="103"/>
      <c r="Z981" s="103"/>
    </row>
    <row r="982">
      <c r="A982" s="110" t="s">
        <v>200</v>
      </c>
      <c r="B982" s="110"/>
      <c r="C982" s="110"/>
      <c r="D982" s="110"/>
      <c r="E982" s="110"/>
      <c r="F982" s="110"/>
      <c r="G982" s="115"/>
      <c r="H982" s="133"/>
      <c r="I982" s="103"/>
      <c r="J982" s="108"/>
      <c r="K982" s="112"/>
      <c r="L982" s="110"/>
      <c r="M982" s="111"/>
      <c r="N982" s="103"/>
      <c r="O982" s="112"/>
      <c r="P982" s="115"/>
      <c r="Q982" s="114"/>
      <c r="R982" s="108"/>
      <c r="S982" s="115" t="s">
        <v>200</v>
      </c>
      <c r="T982" s="103" t="b">
        <v>0</v>
      </c>
      <c r="U982" s="103"/>
      <c r="V982" s="103"/>
      <c r="W982" s="103"/>
      <c r="X982" s="103"/>
      <c r="Y982" s="103"/>
      <c r="Z982" s="103"/>
    </row>
    <row r="983">
      <c r="A983" s="110" t="s">
        <v>200</v>
      </c>
      <c r="B983" s="110"/>
      <c r="C983" s="110"/>
      <c r="D983" s="110"/>
      <c r="E983" s="110"/>
      <c r="F983" s="110"/>
      <c r="G983" s="115"/>
      <c r="H983" s="133"/>
      <c r="I983" s="103"/>
      <c r="J983" s="108"/>
      <c r="K983" s="112"/>
      <c r="L983" s="110"/>
      <c r="M983" s="111"/>
      <c r="N983" s="103"/>
      <c r="O983" s="112"/>
      <c r="P983" s="115"/>
      <c r="Q983" s="114"/>
      <c r="R983" s="108"/>
      <c r="S983" s="115" t="s">
        <v>200</v>
      </c>
      <c r="T983" s="103" t="b">
        <v>0</v>
      </c>
      <c r="U983" s="103"/>
      <c r="V983" s="103"/>
      <c r="W983" s="103"/>
      <c r="X983" s="103"/>
      <c r="Y983" s="103"/>
      <c r="Z983" s="103"/>
    </row>
    <row r="984">
      <c r="A984" s="110" t="s">
        <v>200</v>
      </c>
      <c r="B984" s="110"/>
      <c r="C984" s="110"/>
      <c r="D984" s="110"/>
      <c r="E984" s="110"/>
      <c r="F984" s="110"/>
      <c r="G984" s="115"/>
      <c r="H984" s="133"/>
      <c r="I984" s="103"/>
      <c r="J984" s="108"/>
      <c r="K984" s="112"/>
      <c r="L984" s="110"/>
      <c r="M984" s="111"/>
      <c r="N984" s="103"/>
      <c r="O984" s="112"/>
      <c r="P984" s="115"/>
      <c r="Q984" s="114"/>
      <c r="R984" s="108"/>
      <c r="S984" s="115" t="s">
        <v>200</v>
      </c>
      <c r="T984" s="103" t="b">
        <v>0</v>
      </c>
      <c r="U984" s="103"/>
      <c r="V984" s="103"/>
      <c r="W984" s="103"/>
      <c r="X984" s="103"/>
      <c r="Y984" s="103"/>
      <c r="Z984" s="103"/>
    </row>
    <row r="985">
      <c r="A985" s="110" t="s">
        <v>200</v>
      </c>
      <c r="B985" s="110"/>
      <c r="C985" s="110"/>
      <c r="D985" s="110"/>
      <c r="E985" s="110"/>
      <c r="F985" s="110"/>
      <c r="G985" s="115"/>
      <c r="H985" s="133"/>
      <c r="I985" s="103"/>
      <c r="J985" s="108"/>
      <c r="K985" s="112"/>
      <c r="L985" s="110"/>
      <c r="M985" s="111"/>
      <c r="N985" s="103"/>
      <c r="O985" s="112"/>
      <c r="P985" s="115"/>
      <c r="Q985" s="114"/>
      <c r="R985" s="108"/>
      <c r="S985" s="115" t="s">
        <v>200</v>
      </c>
      <c r="T985" s="103" t="b">
        <v>0</v>
      </c>
      <c r="U985" s="103"/>
      <c r="V985" s="103"/>
      <c r="W985" s="103"/>
      <c r="X985" s="103"/>
      <c r="Y985" s="103"/>
      <c r="Z985" s="103"/>
    </row>
    <row r="986">
      <c r="A986" s="110" t="s">
        <v>200</v>
      </c>
      <c r="B986" s="110"/>
      <c r="C986" s="110"/>
      <c r="D986" s="110"/>
      <c r="E986" s="110"/>
      <c r="F986" s="110"/>
      <c r="G986" s="115"/>
      <c r="H986" s="133"/>
      <c r="I986" s="103"/>
      <c r="J986" s="108"/>
      <c r="K986" s="112"/>
      <c r="L986" s="110"/>
      <c r="M986" s="111"/>
      <c r="N986" s="103"/>
      <c r="O986" s="112"/>
      <c r="P986" s="115"/>
      <c r="Q986" s="114"/>
      <c r="R986" s="108"/>
      <c r="S986" s="115" t="s">
        <v>200</v>
      </c>
      <c r="T986" s="103" t="b">
        <v>0</v>
      </c>
      <c r="U986" s="103"/>
      <c r="V986" s="103"/>
      <c r="W986" s="103"/>
      <c r="X986" s="103"/>
      <c r="Y986" s="103"/>
      <c r="Z986" s="103"/>
    </row>
    <row r="987">
      <c r="A987" s="110" t="s">
        <v>200</v>
      </c>
      <c r="B987" s="110"/>
      <c r="C987" s="110"/>
      <c r="D987" s="110"/>
      <c r="E987" s="110"/>
      <c r="F987" s="110"/>
      <c r="G987" s="115"/>
      <c r="H987" s="133"/>
      <c r="I987" s="103"/>
      <c r="J987" s="108"/>
      <c r="K987" s="112"/>
      <c r="L987" s="110"/>
      <c r="M987" s="111"/>
      <c r="N987" s="103"/>
      <c r="O987" s="112"/>
      <c r="P987" s="115"/>
      <c r="Q987" s="114"/>
      <c r="R987" s="108"/>
      <c r="S987" s="115" t="s">
        <v>200</v>
      </c>
      <c r="T987" s="103" t="b">
        <v>0</v>
      </c>
      <c r="U987" s="103"/>
      <c r="V987" s="103"/>
      <c r="W987" s="103"/>
      <c r="X987" s="103"/>
      <c r="Y987" s="103"/>
      <c r="Z987" s="103"/>
    </row>
    <row r="988">
      <c r="A988" s="110" t="s">
        <v>200</v>
      </c>
      <c r="B988" s="110"/>
      <c r="C988" s="110"/>
      <c r="D988" s="110"/>
      <c r="E988" s="110"/>
      <c r="F988" s="110"/>
      <c r="G988" s="115"/>
      <c r="H988" s="133"/>
      <c r="I988" s="103"/>
      <c r="J988" s="108"/>
      <c r="K988" s="112"/>
      <c r="L988" s="110"/>
      <c r="M988" s="111"/>
      <c r="N988" s="103"/>
      <c r="O988" s="112"/>
      <c r="P988" s="115"/>
      <c r="Q988" s="114"/>
      <c r="R988" s="108"/>
      <c r="S988" s="115" t="s">
        <v>200</v>
      </c>
      <c r="T988" s="103" t="b">
        <v>0</v>
      </c>
      <c r="U988" s="103"/>
      <c r="V988" s="103"/>
      <c r="W988" s="103"/>
      <c r="X988" s="103"/>
      <c r="Y988" s="103"/>
      <c r="Z988" s="103"/>
    </row>
    <row r="989">
      <c r="A989" s="110" t="s">
        <v>200</v>
      </c>
      <c r="B989" s="110"/>
      <c r="C989" s="110"/>
      <c r="D989" s="110"/>
      <c r="E989" s="110"/>
      <c r="F989" s="110"/>
      <c r="G989" s="115"/>
      <c r="H989" s="133"/>
      <c r="I989" s="103"/>
      <c r="J989" s="108"/>
      <c r="K989" s="112"/>
      <c r="L989" s="110"/>
      <c r="M989" s="111"/>
      <c r="N989" s="103"/>
      <c r="O989" s="112"/>
      <c r="P989" s="115"/>
      <c r="Q989" s="114"/>
      <c r="R989" s="108"/>
      <c r="S989" s="115" t="s">
        <v>200</v>
      </c>
      <c r="T989" s="103" t="b">
        <v>0</v>
      </c>
      <c r="U989" s="103"/>
      <c r="V989" s="103"/>
      <c r="W989" s="103"/>
      <c r="X989" s="103"/>
      <c r="Y989" s="103"/>
      <c r="Z989" s="103"/>
    </row>
    <row r="990">
      <c r="A990" s="110" t="s">
        <v>200</v>
      </c>
      <c r="B990" s="110"/>
      <c r="C990" s="110"/>
      <c r="D990" s="110"/>
      <c r="E990" s="110"/>
      <c r="F990" s="110"/>
      <c r="G990" s="115"/>
      <c r="H990" s="133"/>
      <c r="I990" s="103"/>
      <c r="J990" s="108"/>
      <c r="K990" s="112"/>
      <c r="L990" s="110"/>
      <c r="M990" s="111"/>
      <c r="N990" s="103"/>
      <c r="O990" s="112"/>
      <c r="P990" s="115"/>
      <c r="Q990" s="114"/>
      <c r="R990" s="108"/>
      <c r="S990" s="115" t="s">
        <v>200</v>
      </c>
      <c r="T990" s="103" t="b">
        <v>0</v>
      </c>
      <c r="U990" s="103"/>
      <c r="V990" s="103"/>
      <c r="W990" s="103"/>
      <c r="X990" s="103"/>
      <c r="Y990" s="103"/>
      <c r="Z990" s="103"/>
    </row>
    <row r="991">
      <c r="A991" s="110" t="s">
        <v>200</v>
      </c>
      <c r="B991" s="110"/>
      <c r="C991" s="110"/>
      <c r="D991" s="110"/>
      <c r="E991" s="110"/>
      <c r="F991" s="110"/>
      <c r="G991" s="115"/>
      <c r="H991" s="133"/>
      <c r="I991" s="103"/>
      <c r="J991" s="108"/>
      <c r="K991" s="112"/>
      <c r="L991" s="110"/>
      <c r="M991" s="111"/>
      <c r="N991" s="103"/>
      <c r="O991" s="112"/>
      <c r="P991" s="115"/>
      <c r="Q991" s="114"/>
      <c r="R991" s="108"/>
      <c r="S991" s="115" t="s">
        <v>200</v>
      </c>
      <c r="T991" s="103" t="b">
        <v>0</v>
      </c>
      <c r="U991" s="103"/>
      <c r="V991" s="103"/>
      <c r="W991" s="103"/>
      <c r="X991" s="103"/>
      <c r="Y991" s="103"/>
      <c r="Z991" s="103"/>
    </row>
    <row r="992">
      <c r="A992" s="110" t="s">
        <v>200</v>
      </c>
      <c r="B992" s="110"/>
      <c r="C992" s="110"/>
      <c r="D992" s="110"/>
      <c r="E992" s="110"/>
      <c r="F992" s="110"/>
      <c r="G992" s="115"/>
      <c r="H992" s="133"/>
      <c r="I992" s="103"/>
      <c r="J992" s="108"/>
      <c r="K992" s="112"/>
      <c r="L992" s="110"/>
      <c r="M992" s="111"/>
      <c r="N992" s="103"/>
      <c r="O992" s="112"/>
      <c r="P992" s="115"/>
      <c r="Q992" s="114"/>
      <c r="R992" s="108"/>
      <c r="S992" s="115" t="s">
        <v>200</v>
      </c>
      <c r="T992" s="103" t="b">
        <v>0</v>
      </c>
      <c r="U992" s="103"/>
      <c r="V992" s="103"/>
      <c r="W992" s="103"/>
      <c r="X992" s="103"/>
      <c r="Y992" s="103"/>
      <c r="Z992" s="103"/>
    </row>
    <row r="993">
      <c r="A993" s="110" t="s">
        <v>200</v>
      </c>
      <c r="B993" s="110"/>
      <c r="C993" s="110"/>
      <c r="D993" s="110"/>
      <c r="E993" s="110"/>
      <c r="F993" s="110"/>
      <c r="G993" s="115"/>
      <c r="H993" s="133"/>
      <c r="I993" s="103"/>
      <c r="J993" s="108"/>
      <c r="K993" s="112"/>
      <c r="L993" s="110"/>
      <c r="M993" s="111"/>
      <c r="N993" s="103"/>
      <c r="O993" s="112"/>
      <c r="P993" s="115"/>
      <c r="Q993" s="114"/>
      <c r="R993" s="108"/>
      <c r="S993" s="115" t="s">
        <v>200</v>
      </c>
      <c r="T993" s="103" t="b">
        <v>0</v>
      </c>
      <c r="U993" s="103"/>
      <c r="V993" s="103"/>
      <c r="W993" s="103"/>
      <c r="X993" s="103"/>
      <c r="Y993" s="103"/>
      <c r="Z993" s="103"/>
    </row>
    <row r="994">
      <c r="A994" s="110" t="s">
        <v>200</v>
      </c>
      <c r="B994" s="110"/>
      <c r="C994" s="110"/>
      <c r="D994" s="110"/>
      <c r="E994" s="110"/>
      <c r="F994" s="110"/>
      <c r="G994" s="115"/>
      <c r="H994" s="133"/>
      <c r="I994" s="103"/>
      <c r="J994" s="108"/>
      <c r="K994" s="112"/>
      <c r="L994" s="110"/>
      <c r="M994" s="111"/>
      <c r="N994" s="103"/>
      <c r="O994" s="112"/>
      <c r="P994" s="115"/>
      <c r="Q994" s="114"/>
      <c r="R994" s="108"/>
      <c r="S994" s="115" t="s">
        <v>200</v>
      </c>
      <c r="T994" s="103" t="b">
        <v>0</v>
      </c>
      <c r="U994" s="103"/>
      <c r="V994" s="103"/>
      <c r="W994" s="103"/>
      <c r="X994" s="103"/>
      <c r="Y994" s="103"/>
      <c r="Z994" s="103"/>
    </row>
    <row r="995">
      <c r="A995" s="110" t="s">
        <v>200</v>
      </c>
      <c r="B995" s="110"/>
      <c r="C995" s="110"/>
      <c r="D995" s="110"/>
      <c r="E995" s="110"/>
      <c r="F995" s="110"/>
      <c r="G995" s="115"/>
      <c r="H995" s="133"/>
      <c r="I995" s="103"/>
      <c r="J995" s="108"/>
      <c r="K995" s="112"/>
      <c r="L995" s="110"/>
      <c r="M995" s="111"/>
      <c r="N995" s="103"/>
      <c r="O995" s="112"/>
      <c r="P995" s="115"/>
      <c r="Q995" s="114"/>
      <c r="R995" s="108"/>
      <c r="S995" s="115" t="s">
        <v>200</v>
      </c>
      <c r="T995" s="103" t="b">
        <v>0</v>
      </c>
      <c r="U995" s="103"/>
      <c r="V995" s="103"/>
      <c r="W995" s="103"/>
      <c r="X995" s="103"/>
      <c r="Y995" s="103"/>
      <c r="Z995" s="103"/>
    </row>
    <row r="996">
      <c r="A996" s="110" t="s">
        <v>200</v>
      </c>
      <c r="B996" s="110"/>
      <c r="C996" s="110"/>
      <c r="D996" s="110"/>
      <c r="E996" s="110"/>
      <c r="F996" s="110"/>
      <c r="G996" s="115"/>
      <c r="H996" s="133"/>
      <c r="I996" s="103"/>
      <c r="J996" s="108"/>
      <c r="K996" s="112"/>
      <c r="L996" s="110"/>
      <c r="M996" s="111"/>
      <c r="N996" s="103"/>
      <c r="O996" s="112"/>
      <c r="P996" s="115"/>
      <c r="Q996" s="114"/>
      <c r="R996" s="108"/>
      <c r="S996" s="115" t="s">
        <v>200</v>
      </c>
      <c r="T996" s="103" t="b">
        <v>0</v>
      </c>
      <c r="U996" s="103"/>
      <c r="V996" s="103"/>
      <c r="W996" s="103"/>
      <c r="X996" s="103"/>
      <c r="Y996" s="103"/>
      <c r="Z996" s="103"/>
    </row>
    <row r="997">
      <c r="A997" s="110" t="s">
        <v>200</v>
      </c>
      <c r="B997" s="110"/>
      <c r="C997" s="110"/>
      <c r="D997" s="110"/>
      <c r="E997" s="110"/>
      <c r="F997" s="110"/>
      <c r="G997" s="115"/>
      <c r="H997" s="133"/>
      <c r="I997" s="103"/>
      <c r="J997" s="108"/>
      <c r="K997" s="112"/>
      <c r="L997" s="110"/>
      <c r="M997" s="111"/>
      <c r="N997" s="103"/>
      <c r="O997" s="112"/>
      <c r="P997" s="115"/>
      <c r="Q997" s="114"/>
      <c r="R997" s="108"/>
      <c r="S997" s="115" t="s">
        <v>200</v>
      </c>
      <c r="T997" s="103" t="b">
        <v>0</v>
      </c>
      <c r="U997" s="103"/>
      <c r="V997" s="103"/>
      <c r="W997" s="103"/>
      <c r="X997" s="103"/>
      <c r="Y997" s="103"/>
      <c r="Z997" s="103"/>
    </row>
    <row r="998">
      <c r="A998" s="110" t="s">
        <v>200</v>
      </c>
      <c r="B998" s="110"/>
      <c r="C998" s="110"/>
      <c r="D998" s="110"/>
      <c r="E998" s="110"/>
      <c r="F998" s="110"/>
      <c r="G998" s="115"/>
      <c r="H998" s="133"/>
      <c r="I998" s="103"/>
      <c r="J998" s="108"/>
      <c r="K998" s="112"/>
      <c r="L998" s="110"/>
      <c r="M998" s="111"/>
      <c r="N998" s="103"/>
      <c r="O998" s="112"/>
      <c r="P998" s="115"/>
      <c r="Q998" s="114"/>
      <c r="R998" s="108"/>
      <c r="S998" s="115" t="s">
        <v>200</v>
      </c>
      <c r="T998" s="103" t="b">
        <v>0</v>
      </c>
      <c r="U998" s="103"/>
      <c r="V998" s="103"/>
      <c r="W998" s="103"/>
      <c r="X998" s="103"/>
      <c r="Y998" s="103"/>
      <c r="Z998" s="103"/>
    </row>
    <row r="999">
      <c r="A999" s="110" t="s">
        <v>200</v>
      </c>
      <c r="B999" s="110"/>
      <c r="C999" s="110"/>
      <c r="D999" s="110"/>
      <c r="E999" s="110"/>
      <c r="F999" s="110"/>
      <c r="G999" s="115"/>
      <c r="H999" s="133"/>
      <c r="I999" s="103"/>
      <c r="J999" s="108"/>
      <c r="K999" s="112"/>
      <c r="L999" s="110"/>
      <c r="M999" s="111"/>
      <c r="N999" s="103"/>
      <c r="O999" s="112"/>
      <c r="P999" s="115"/>
      <c r="Q999" s="114"/>
      <c r="R999" s="108"/>
      <c r="S999" s="115" t="s">
        <v>200</v>
      </c>
      <c r="T999" s="103" t="b">
        <v>0</v>
      </c>
      <c r="U999" s="103"/>
      <c r="V999" s="103"/>
      <c r="W999" s="103"/>
      <c r="X999" s="103"/>
      <c r="Y999" s="103"/>
      <c r="Z999" s="103"/>
    </row>
    <row r="1000">
      <c r="A1000" s="110" t="s">
        <v>200</v>
      </c>
      <c r="B1000" s="110"/>
      <c r="C1000" s="110"/>
      <c r="D1000" s="110"/>
      <c r="E1000" s="110"/>
      <c r="F1000" s="110"/>
      <c r="G1000" s="115"/>
      <c r="H1000" s="133"/>
      <c r="I1000" s="103"/>
      <c r="J1000" s="108"/>
      <c r="K1000" s="112"/>
      <c r="L1000" s="110"/>
      <c r="M1000" s="111"/>
      <c r="N1000" s="103"/>
      <c r="O1000" s="112"/>
      <c r="P1000" s="115"/>
      <c r="Q1000" s="114"/>
      <c r="R1000" s="108"/>
      <c r="S1000" s="115" t="s">
        <v>200</v>
      </c>
      <c r="T1000" s="103" t="b">
        <v>0</v>
      </c>
      <c r="U1000" s="103"/>
      <c r="V1000" s="103"/>
      <c r="W1000" s="103"/>
      <c r="X1000" s="103"/>
      <c r="Y1000" s="103"/>
      <c r="Z1000" s="103"/>
    </row>
    <row r="1001">
      <c r="A1001" s="110" t="s">
        <v>200</v>
      </c>
      <c r="B1001" s="110"/>
      <c r="C1001" s="110"/>
      <c r="D1001" s="110"/>
      <c r="E1001" s="110"/>
      <c r="F1001" s="110"/>
      <c r="G1001" s="115"/>
      <c r="H1001" s="133"/>
      <c r="I1001" s="103"/>
      <c r="J1001" s="108"/>
      <c r="K1001" s="112"/>
      <c r="L1001" s="110"/>
      <c r="M1001" s="111"/>
      <c r="N1001" s="103"/>
      <c r="O1001" s="112"/>
      <c r="P1001" s="115"/>
      <c r="Q1001" s="114"/>
      <c r="R1001" s="108"/>
      <c r="S1001" s="115" t="s">
        <v>200</v>
      </c>
      <c r="T1001" s="103" t="b">
        <v>0</v>
      </c>
      <c r="U1001" s="103"/>
      <c r="V1001" s="103"/>
      <c r="W1001" s="103"/>
      <c r="X1001" s="103"/>
      <c r="Y1001" s="103"/>
      <c r="Z1001" s="103"/>
    </row>
    <row r="1002">
      <c r="A1002" s="110" t="s">
        <v>200</v>
      </c>
      <c r="B1002" s="110"/>
      <c r="C1002" s="110"/>
      <c r="D1002" s="110"/>
      <c r="E1002" s="110"/>
      <c r="F1002" s="110"/>
      <c r="G1002" s="115"/>
      <c r="H1002" s="133"/>
      <c r="I1002" s="103"/>
      <c r="J1002" s="108"/>
      <c r="K1002" s="112"/>
      <c r="L1002" s="110"/>
      <c r="M1002" s="111"/>
      <c r="N1002" s="103"/>
      <c r="O1002" s="112"/>
      <c r="P1002" s="115"/>
      <c r="Q1002" s="114"/>
      <c r="R1002" s="108"/>
      <c r="S1002" s="115" t="s">
        <v>200</v>
      </c>
      <c r="T1002" s="103" t="b">
        <v>0</v>
      </c>
      <c r="U1002" s="103"/>
      <c r="V1002" s="103"/>
      <c r="W1002" s="103"/>
      <c r="X1002" s="103"/>
      <c r="Y1002" s="103"/>
      <c r="Z1002" s="103"/>
    </row>
    <row r="1003">
      <c r="A1003" s="110" t="s">
        <v>200</v>
      </c>
      <c r="B1003" s="110"/>
      <c r="C1003" s="110"/>
      <c r="D1003" s="110"/>
      <c r="E1003" s="110"/>
      <c r="F1003" s="110"/>
      <c r="G1003" s="115"/>
      <c r="H1003" s="133"/>
      <c r="I1003" s="103"/>
      <c r="J1003" s="108"/>
      <c r="K1003" s="112"/>
      <c r="L1003" s="110"/>
      <c r="M1003" s="111"/>
      <c r="N1003" s="103"/>
      <c r="O1003" s="112"/>
      <c r="P1003" s="115"/>
      <c r="Q1003" s="114"/>
      <c r="R1003" s="108"/>
      <c r="S1003" s="115" t="s">
        <v>200</v>
      </c>
      <c r="T1003" s="103" t="b">
        <v>0</v>
      </c>
      <c r="U1003" s="103"/>
      <c r="V1003" s="103"/>
      <c r="W1003" s="103"/>
      <c r="X1003" s="103"/>
      <c r="Y1003" s="103"/>
      <c r="Z1003" s="103"/>
    </row>
    <row r="1004">
      <c r="A1004" s="110" t="s">
        <v>200</v>
      </c>
      <c r="B1004" s="110"/>
      <c r="C1004" s="110"/>
      <c r="D1004" s="110"/>
      <c r="E1004" s="110"/>
      <c r="F1004" s="110"/>
      <c r="G1004" s="115"/>
      <c r="H1004" s="133"/>
      <c r="I1004" s="103"/>
      <c r="J1004" s="108"/>
      <c r="K1004" s="112"/>
      <c r="L1004" s="110"/>
      <c r="M1004" s="111"/>
      <c r="N1004" s="103"/>
      <c r="O1004" s="112"/>
      <c r="P1004" s="115"/>
      <c r="Q1004" s="114"/>
      <c r="R1004" s="108"/>
      <c r="S1004" s="115" t="s">
        <v>200</v>
      </c>
      <c r="T1004" s="103" t="b">
        <v>0</v>
      </c>
      <c r="U1004" s="103"/>
      <c r="V1004" s="103"/>
      <c r="W1004" s="103"/>
      <c r="X1004" s="103"/>
      <c r="Y1004" s="103"/>
      <c r="Z1004" s="103"/>
    </row>
    <row r="1005">
      <c r="A1005" s="110" t="s">
        <v>200</v>
      </c>
      <c r="B1005" s="110"/>
      <c r="C1005" s="110"/>
      <c r="D1005" s="110"/>
      <c r="E1005" s="110"/>
      <c r="F1005" s="110"/>
      <c r="G1005" s="115"/>
      <c r="H1005" s="133"/>
      <c r="I1005" s="103"/>
      <c r="J1005" s="108"/>
      <c r="K1005" s="112"/>
      <c r="L1005" s="110"/>
      <c r="M1005" s="111"/>
      <c r="N1005" s="103"/>
      <c r="O1005" s="112"/>
      <c r="P1005" s="115"/>
      <c r="Q1005" s="114"/>
      <c r="R1005" s="108"/>
      <c r="S1005" s="115" t="s">
        <v>200</v>
      </c>
      <c r="T1005" s="103" t="b">
        <v>0</v>
      </c>
      <c r="U1005" s="103"/>
      <c r="V1005" s="103"/>
      <c r="W1005" s="103"/>
      <c r="X1005" s="103"/>
      <c r="Y1005" s="103"/>
      <c r="Z1005" s="103"/>
    </row>
    <row r="1006">
      <c r="A1006" s="110" t="s">
        <v>200</v>
      </c>
      <c r="B1006" s="110"/>
      <c r="C1006" s="110"/>
      <c r="D1006" s="110"/>
      <c r="E1006" s="110"/>
      <c r="F1006" s="110"/>
      <c r="G1006" s="115"/>
      <c r="H1006" s="133"/>
      <c r="I1006" s="103"/>
      <c r="J1006" s="108"/>
      <c r="K1006" s="112"/>
      <c r="L1006" s="110"/>
      <c r="M1006" s="111"/>
      <c r="N1006" s="103"/>
      <c r="O1006" s="112"/>
      <c r="P1006" s="115"/>
      <c r="Q1006" s="114"/>
      <c r="R1006" s="108"/>
      <c r="S1006" s="115" t="s">
        <v>200</v>
      </c>
      <c r="T1006" s="103" t="b">
        <v>0</v>
      </c>
      <c r="U1006" s="103"/>
      <c r="V1006" s="103"/>
      <c r="W1006" s="103"/>
      <c r="X1006" s="103"/>
      <c r="Y1006" s="103"/>
      <c r="Z1006" s="103"/>
    </row>
    <row r="1007">
      <c r="A1007" s="110" t="s">
        <v>200</v>
      </c>
      <c r="B1007" s="110"/>
      <c r="C1007" s="110"/>
      <c r="D1007" s="110"/>
      <c r="E1007" s="110"/>
      <c r="F1007" s="110"/>
      <c r="G1007" s="115"/>
      <c r="H1007" s="133"/>
      <c r="I1007" s="103"/>
      <c r="J1007" s="108"/>
      <c r="K1007" s="112"/>
      <c r="L1007" s="110"/>
      <c r="M1007" s="111"/>
      <c r="N1007" s="103"/>
      <c r="O1007" s="112"/>
      <c r="P1007" s="115"/>
      <c r="Q1007" s="114"/>
      <c r="R1007" s="108"/>
      <c r="S1007" s="115" t="s">
        <v>200</v>
      </c>
      <c r="T1007" s="103" t="b">
        <v>0</v>
      </c>
      <c r="U1007" s="103"/>
      <c r="V1007" s="103"/>
      <c r="W1007" s="103"/>
      <c r="X1007" s="103"/>
      <c r="Y1007" s="103"/>
      <c r="Z1007" s="103"/>
    </row>
    <row r="1008">
      <c r="A1008" s="110" t="s">
        <v>200</v>
      </c>
      <c r="B1008" s="110"/>
      <c r="C1008" s="110"/>
      <c r="D1008" s="110"/>
      <c r="E1008" s="110"/>
      <c r="F1008" s="110"/>
      <c r="G1008" s="115"/>
      <c r="H1008" s="133"/>
      <c r="I1008" s="103"/>
      <c r="J1008" s="108"/>
      <c r="K1008" s="112"/>
      <c r="L1008" s="110"/>
      <c r="M1008" s="111"/>
      <c r="N1008" s="103"/>
      <c r="O1008" s="112"/>
      <c r="P1008" s="115"/>
      <c r="Q1008" s="114"/>
      <c r="R1008" s="108"/>
      <c r="S1008" s="115" t="s">
        <v>200</v>
      </c>
      <c r="T1008" s="103" t="b">
        <v>0</v>
      </c>
      <c r="U1008" s="103"/>
      <c r="V1008" s="103"/>
      <c r="W1008" s="103"/>
      <c r="X1008" s="103"/>
      <c r="Y1008" s="103"/>
      <c r="Z1008" s="103"/>
    </row>
    <row r="1009">
      <c r="A1009" s="110" t="s">
        <v>200</v>
      </c>
      <c r="B1009" s="110"/>
      <c r="C1009" s="110"/>
      <c r="D1009" s="110"/>
      <c r="E1009" s="110"/>
      <c r="F1009" s="110"/>
      <c r="G1009" s="115"/>
      <c r="H1009" s="133"/>
      <c r="I1009" s="103"/>
      <c r="J1009" s="108"/>
      <c r="K1009" s="112"/>
      <c r="L1009" s="110"/>
      <c r="M1009" s="111"/>
      <c r="N1009" s="103"/>
      <c r="O1009" s="112"/>
      <c r="P1009" s="115"/>
      <c r="Q1009" s="114"/>
      <c r="R1009" s="108"/>
      <c r="S1009" s="115" t="s">
        <v>200</v>
      </c>
      <c r="T1009" s="103" t="b">
        <v>0</v>
      </c>
      <c r="U1009" s="103"/>
      <c r="V1009" s="103"/>
      <c r="W1009" s="103"/>
      <c r="X1009" s="103"/>
      <c r="Y1009" s="103"/>
      <c r="Z1009" s="103"/>
    </row>
    <row r="1010">
      <c r="A1010" s="110" t="s">
        <v>200</v>
      </c>
      <c r="B1010" s="110"/>
      <c r="C1010" s="110"/>
      <c r="D1010" s="110"/>
      <c r="E1010" s="110"/>
      <c r="F1010" s="110"/>
      <c r="G1010" s="115"/>
      <c r="H1010" s="133"/>
      <c r="I1010" s="103"/>
      <c r="J1010" s="108"/>
      <c r="K1010" s="112"/>
      <c r="L1010" s="110"/>
      <c r="M1010" s="111"/>
      <c r="N1010" s="103"/>
      <c r="O1010" s="112"/>
      <c r="P1010" s="115"/>
      <c r="Q1010" s="114"/>
      <c r="R1010" s="108"/>
      <c r="S1010" s="115" t="s">
        <v>200</v>
      </c>
      <c r="T1010" s="103" t="b">
        <v>0</v>
      </c>
      <c r="U1010" s="103"/>
      <c r="V1010" s="103"/>
      <c r="W1010" s="103"/>
      <c r="X1010" s="103"/>
      <c r="Y1010" s="103"/>
      <c r="Z1010" s="103"/>
    </row>
    <row r="1011">
      <c r="A1011" s="110" t="s">
        <v>200</v>
      </c>
      <c r="B1011" s="110"/>
      <c r="C1011" s="110"/>
      <c r="D1011" s="110"/>
      <c r="E1011" s="110"/>
      <c r="F1011" s="110"/>
      <c r="G1011" s="115"/>
      <c r="H1011" s="133"/>
      <c r="I1011" s="103"/>
      <c r="J1011" s="108"/>
      <c r="K1011" s="112"/>
      <c r="L1011" s="110"/>
      <c r="M1011" s="111"/>
      <c r="N1011" s="103"/>
      <c r="O1011" s="112"/>
      <c r="P1011" s="115"/>
      <c r="Q1011" s="114"/>
      <c r="R1011" s="108"/>
      <c r="S1011" s="115" t="s">
        <v>200</v>
      </c>
      <c r="T1011" s="103" t="b">
        <v>0</v>
      </c>
      <c r="U1011" s="103"/>
      <c r="V1011" s="103"/>
      <c r="W1011" s="103"/>
      <c r="X1011" s="103"/>
      <c r="Y1011" s="103"/>
      <c r="Z1011" s="103"/>
    </row>
    <row r="1012">
      <c r="A1012" s="110" t="s">
        <v>200</v>
      </c>
      <c r="B1012" s="110"/>
      <c r="C1012" s="110"/>
      <c r="D1012" s="110"/>
      <c r="E1012" s="110"/>
      <c r="F1012" s="110"/>
      <c r="G1012" s="115"/>
      <c r="H1012" s="133"/>
      <c r="I1012" s="103"/>
      <c r="J1012" s="108"/>
      <c r="K1012" s="112"/>
      <c r="L1012" s="110"/>
      <c r="M1012" s="111"/>
      <c r="N1012" s="103"/>
      <c r="O1012" s="112"/>
      <c r="P1012" s="115"/>
      <c r="Q1012" s="114"/>
      <c r="R1012" s="108"/>
      <c r="S1012" s="115" t="s">
        <v>200</v>
      </c>
      <c r="T1012" s="103" t="b">
        <v>0</v>
      </c>
      <c r="U1012" s="103"/>
      <c r="V1012" s="103"/>
      <c r="W1012" s="103"/>
      <c r="X1012" s="103"/>
      <c r="Y1012" s="103"/>
      <c r="Z1012" s="103"/>
    </row>
    <row r="1013">
      <c r="A1013" s="110" t="s">
        <v>200</v>
      </c>
      <c r="B1013" s="110"/>
      <c r="C1013" s="110"/>
      <c r="D1013" s="110"/>
      <c r="E1013" s="110"/>
      <c r="F1013" s="110"/>
      <c r="G1013" s="115"/>
      <c r="H1013" s="133"/>
      <c r="I1013" s="103"/>
      <c r="J1013" s="108"/>
      <c r="K1013" s="112"/>
      <c r="L1013" s="110"/>
      <c r="M1013" s="111"/>
      <c r="N1013" s="103"/>
      <c r="O1013" s="112"/>
      <c r="P1013" s="115"/>
      <c r="Q1013" s="114"/>
      <c r="R1013" s="108"/>
      <c r="S1013" s="115" t="s">
        <v>200</v>
      </c>
      <c r="T1013" s="103" t="b">
        <v>0</v>
      </c>
      <c r="U1013" s="103"/>
      <c r="V1013" s="103"/>
      <c r="W1013" s="103"/>
      <c r="X1013" s="103"/>
      <c r="Y1013" s="103"/>
      <c r="Z1013" s="103"/>
    </row>
    <row r="1014">
      <c r="A1014" s="110" t="s">
        <v>200</v>
      </c>
      <c r="B1014" s="110"/>
      <c r="C1014" s="110"/>
      <c r="D1014" s="110"/>
      <c r="E1014" s="110"/>
      <c r="F1014" s="110"/>
      <c r="G1014" s="115"/>
      <c r="H1014" s="133"/>
      <c r="I1014" s="103"/>
      <c r="J1014" s="108"/>
      <c r="K1014" s="112"/>
      <c r="L1014" s="110"/>
      <c r="M1014" s="111"/>
      <c r="N1014" s="103"/>
      <c r="O1014" s="112"/>
      <c r="P1014" s="115"/>
      <c r="Q1014" s="114"/>
      <c r="R1014" s="108"/>
      <c r="S1014" s="115" t="s">
        <v>200</v>
      </c>
      <c r="T1014" s="103" t="b">
        <v>0</v>
      </c>
      <c r="U1014" s="103"/>
      <c r="V1014" s="103"/>
      <c r="W1014" s="103"/>
      <c r="X1014" s="103"/>
      <c r="Y1014" s="103"/>
      <c r="Z1014" s="103"/>
    </row>
    <row r="1015">
      <c r="A1015" s="110" t="s">
        <v>200</v>
      </c>
      <c r="B1015" s="110"/>
      <c r="C1015" s="110"/>
      <c r="D1015" s="110"/>
      <c r="E1015" s="110"/>
      <c r="F1015" s="110"/>
      <c r="G1015" s="115"/>
      <c r="H1015" s="133"/>
      <c r="I1015" s="103"/>
      <c r="J1015" s="108"/>
      <c r="K1015" s="112"/>
      <c r="L1015" s="110"/>
      <c r="M1015" s="111"/>
      <c r="N1015" s="103"/>
      <c r="O1015" s="112"/>
      <c r="P1015" s="115"/>
      <c r="Q1015" s="114"/>
      <c r="R1015" s="108"/>
      <c r="S1015" s="115" t="s">
        <v>200</v>
      </c>
      <c r="T1015" s="103" t="b">
        <v>0</v>
      </c>
      <c r="U1015" s="103"/>
      <c r="V1015" s="103"/>
      <c r="W1015" s="103"/>
      <c r="X1015" s="103"/>
      <c r="Y1015" s="103"/>
      <c r="Z1015" s="103"/>
    </row>
    <row r="1016">
      <c r="A1016" s="110" t="s">
        <v>200</v>
      </c>
      <c r="B1016" s="110"/>
      <c r="C1016" s="110"/>
      <c r="D1016" s="110"/>
      <c r="E1016" s="110"/>
      <c r="F1016" s="110"/>
      <c r="G1016" s="115"/>
      <c r="H1016" s="133"/>
      <c r="I1016" s="103"/>
      <c r="J1016" s="108"/>
      <c r="K1016" s="112"/>
      <c r="L1016" s="110"/>
      <c r="M1016" s="111"/>
      <c r="N1016" s="103"/>
      <c r="O1016" s="112"/>
      <c r="P1016" s="115"/>
      <c r="Q1016" s="114"/>
      <c r="R1016" s="108"/>
      <c r="S1016" s="115" t="s">
        <v>200</v>
      </c>
      <c r="T1016" s="103" t="b">
        <v>0</v>
      </c>
      <c r="U1016" s="103"/>
      <c r="V1016" s="103"/>
      <c r="W1016" s="103"/>
      <c r="X1016" s="103"/>
      <c r="Y1016" s="103"/>
      <c r="Z1016" s="103"/>
    </row>
    <row r="1017">
      <c r="A1017" s="110" t="s">
        <v>200</v>
      </c>
      <c r="B1017" s="110"/>
      <c r="C1017" s="110"/>
      <c r="D1017" s="110"/>
      <c r="E1017" s="110"/>
      <c r="F1017" s="110"/>
      <c r="G1017" s="115"/>
      <c r="H1017" s="133"/>
      <c r="I1017" s="103"/>
      <c r="J1017" s="108"/>
      <c r="K1017" s="112"/>
      <c r="L1017" s="110"/>
      <c r="M1017" s="111"/>
      <c r="N1017" s="103"/>
      <c r="O1017" s="112"/>
      <c r="P1017" s="115"/>
      <c r="Q1017" s="114"/>
      <c r="R1017" s="108"/>
      <c r="S1017" s="115" t="s">
        <v>200</v>
      </c>
      <c r="T1017" s="103" t="b">
        <v>0</v>
      </c>
      <c r="U1017" s="103"/>
      <c r="V1017" s="103"/>
      <c r="W1017" s="103"/>
      <c r="X1017" s="103"/>
      <c r="Y1017" s="103"/>
      <c r="Z1017" s="103"/>
    </row>
    <row r="1018">
      <c r="A1018" s="110" t="s">
        <v>200</v>
      </c>
      <c r="B1018" s="110"/>
      <c r="C1018" s="110"/>
      <c r="D1018" s="110"/>
      <c r="E1018" s="110"/>
      <c r="F1018" s="110"/>
      <c r="G1018" s="115"/>
      <c r="H1018" s="133"/>
      <c r="I1018" s="103"/>
      <c r="J1018" s="108"/>
      <c r="K1018" s="112"/>
      <c r="L1018" s="110"/>
      <c r="M1018" s="111"/>
      <c r="N1018" s="103"/>
      <c r="O1018" s="112"/>
      <c r="P1018" s="115"/>
      <c r="Q1018" s="114"/>
      <c r="R1018" s="108"/>
      <c r="S1018" s="115" t="s">
        <v>200</v>
      </c>
      <c r="T1018" s="103" t="b">
        <v>0</v>
      </c>
      <c r="U1018" s="103"/>
      <c r="V1018" s="103"/>
      <c r="W1018" s="103"/>
      <c r="X1018" s="103"/>
      <c r="Y1018" s="103"/>
      <c r="Z1018" s="103"/>
    </row>
    <row r="1019">
      <c r="A1019" s="110" t="s">
        <v>200</v>
      </c>
      <c r="B1019" s="110"/>
      <c r="C1019" s="110"/>
      <c r="D1019" s="110"/>
      <c r="E1019" s="110"/>
      <c r="F1019" s="110"/>
      <c r="G1019" s="115"/>
      <c r="H1019" s="133"/>
      <c r="I1019" s="103"/>
      <c r="J1019" s="108"/>
      <c r="K1019" s="112"/>
      <c r="L1019" s="110"/>
      <c r="M1019" s="111"/>
      <c r="N1019" s="103"/>
      <c r="O1019" s="112"/>
      <c r="P1019" s="115"/>
      <c r="Q1019" s="114"/>
      <c r="R1019" s="108"/>
      <c r="S1019" s="115" t="s">
        <v>200</v>
      </c>
      <c r="T1019" s="103" t="b">
        <v>0</v>
      </c>
      <c r="U1019" s="103"/>
      <c r="V1019" s="103"/>
      <c r="W1019" s="103"/>
      <c r="X1019" s="103"/>
      <c r="Y1019" s="103"/>
      <c r="Z1019" s="103"/>
    </row>
    <row r="1020">
      <c r="A1020" s="110" t="s">
        <v>200</v>
      </c>
      <c r="B1020" s="110"/>
      <c r="C1020" s="110"/>
      <c r="D1020" s="110"/>
      <c r="E1020" s="110"/>
      <c r="F1020" s="110"/>
      <c r="G1020" s="115"/>
      <c r="H1020" s="133"/>
      <c r="I1020" s="103"/>
      <c r="J1020" s="108"/>
      <c r="K1020" s="112"/>
      <c r="L1020" s="110"/>
      <c r="M1020" s="111"/>
      <c r="N1020" s="103"/>
      <c r="O1020" s="112"/>
      <c r="P1020" s="115"/>
      <c r="Q1020" s="114"/>
      <c r="R1020" s="108"/>
      <c r="S1020" s="115" t="s">
        <v>200</v>
      </c>
      <c r="T1020" s="103" t="b">
        <v>0</v>
      </c>
      <c r="U1020" s="103"/>
      <c r="V1020" s="103"/>
      <c r="W1020" s="103"/>
      <c r="X1020" s="103"/>
      <c r="Y1020" s="103"/>
      <c r="Z1020" s="103"/>
    </row>
    <row r="1021">
      <c r="A1021" s="110" t="s">
        <v>200</v>
      </c>
      <c r="B1021" s="110"/>
      <c r="C1021" s="110"/>
      <c r="D1021" s="110"/>
      <c r="E1021" s="110"/>
      <c r="F1021" s="110"/>
      <c r="G1021" s="115"/>
      <c r="H1021" s="133"/>
      <c r="I1021" s="103"/>
      <c r="J1021" s="108"/>
      <c r="K1021" s="112"/>
      <c r="L1021" s="110"/>
      <c r="M1021" s="111"/>
      <c r="N1021" s="103"/>
      <c r="O1021" s="112"/>
      <c r="P1021" s="115"/>
      <c r="Q1021" s="114"/>
      <c r="R1021" s="108"/>
      <c r="S1021" s="115" t="s">
        <v>200</v>
      </c>
      <c r="T1021" s="103" t="b">
        <v>0</v>
      </c>
      <c r="U1021" s="103"/>
      <c r="V1021" s="103"/>
      <c r="W1021" s="103"/>
      <c r="X1021" s="103"/>
      <c r="Y1021" s="103"/>
      <c r="Z1021" s="103"/>
    </row>
    <row r="1022">
      <c r="A1022" s="110" t="s">
        <v>200</v>
      </c>
      <c r="B1022" s="110"/>
      <c r="C1022" s="110"/>
      <c r="D1022" s="110"/>
      <c r="E1022" s="110"/>
      <c r="F1022" s="110"/>
      <c r="G1022" s="115"/>
      <c r="H1022" s="133"/>
      <c r="I1022" s="103"/>
      <c r="J1022" s="108"/>
      <c r="K1022" s="112"/>
      <c r="L1022" s="110"/>
      <c r="M1022" s="111"/>
      <c r="N1022" s="103"/>
      <c r="O1022" s="112"/>
      <c r="P1022" s="115"/>
      <c r="Q1022" s="114"/>
      <c r="R1022" s="108"/>
      <c r="S1022" s="115" t="s">
        <v>200</v>
      </c>
      <c r="T1022" s="103" t="b">
        <v>0</v>
      </c>
      <c r="U1022" s="103"/>
      <c r="V1022" s="103"/>
      <c r="W1022" s="103"/>
      <c r="X1022" s="103"/>
      <c r="Y1022" s="103"/>
      <c r="Z1022" s="103"/>
    </row>
    <row r="1023">
      <c r="A1023" s="110" t="s">
        <v>200</v>
      </c>
      <c r="B1023" s="110"/>
      <c r="C1023" s="110"/>
      <c r="D1023" s="110"/>
      <c r="E1023" s="110"/>
      <c r="F1023" s="110"/>
      <c r="G1023" s="115"/>
      <c r="H1023" s="133"/>
      <c r="I1023" s="103"/>
      <c r="J1023" s="108"/>
      <c r="K1023" s="112"/>
      <c r="L1023" s="110"/>
      <c r="M1023" s="111"/>
      <c r="N1023" s="103"/>
      <c r="O1023" s="112"/>
      <c r="P1023" s="115"/>
      <c r="Q1023" s="114"/>
      <c r="R1023" s="108"/>
      <c r="S1023" s="115" t="s">
        <v>200</v>
      </c>
      <c r="T1023" s="103" t="b">
        <v>0</v>
      </c>
      <c r="U1023" s="103"/>
      <c r="V1023" s="103"/>
      <c r="W1023" s="103"/>
      <c r="X1023" s="103"/>
      <c r="Y1023" s="103"/>
      <c r="Z1023" s="103"/>
    </row>
    <row r="1024">
      <c r="A1024" s="110" t="s">
        <v>200</v>
      </c>
      <c r="B1024" s="110"/>
      <c r="C1024" s="110"/>
      <c r="D1024" s="110"/>
      <c r="E1024" s="110"/>
      <c r="F1024" s="110"/>
      <c r="G1024" s="115"/>
      <c r="H1024" s="133"/>
      <c r="I1024" s="103"/>
      <c r="J1024" s="108"/>
      <c r="K1024" s="112"/>
      <c r="L1024" s="110"/>
      <c r="M1024" s="111"/>
      <c r="N1024" s="103"/>
      <c r="O1024" s="112"/>
      <c r="P1024" s="115"/>
      <c r="Q1024" s="114"/>
      <c r="R1024" s="108"/>
      <c r="S1024" s="115" t="s">
        <v>200</v>
      </c>
      <c r="T1024" s="103" t="b">
        <v>0</v>
      </c>
      <c r="U1024" s="103"/>
      <c r="V1024" s="103"/>
      <c r="W1024" s="103"/>
      <c r="X1024" s="103"/>
      <c r="Y1024" s="103"/>
      <c r="Z1024" s="103"/>
    </row>
    <row r="1025">
      <c r="A1025" s="110" t="s">
        <v>200</v>
      </c>
      <c r="B1025" s="110"/>
      <c r="C1025" s="110"/>
      <c r="D1025" s="110"/>
      <c r="E1025" s="110"/>
      <c r="F1025" s="110"/>
      <c r="G1025" s="115"/>
      <c r="H1025" s="133"/>
      <c r="I1025" s="103"/>
      <c r="J1025" s="108"/>
      <c r="K1025" s="112"/>
      <c r="L1025" s="110"/>
      <c r="M1025" s="111"/>
      <c r="N1025" s="103"/>
      <c r="O1025" s="112"/>
      <c r="P1025" s="115"/>
      <c r="Q1025" s="114"/>
      <c r="R1025" s="108"/>
      <c r="S1025" s="115" t="s">
        <v>200</v>
      </c>
      <c r="T1025" s="103" t="b">
        <v>0</v>
      </c>
      <c r="U1025" s="103"/>
      <c r="V1025" s="103"/>
      <c r="W1025" s="103"/>
      <c r="X1025" s="103"/>
      <c r="Y1025" s="103"/>
      <c r="Z1025" s="103"/>
    </row>
    <row r="1026">
      <c r="A1026" s="110" t="s">
        <v>200</v>
      </c>
      <c r="B1026" s="110"/>
      <c r="C1026" s="110"/>
      <c r="D1026" s="110"/>
      <c r="E1026" s="110"/>
      <c r="F1026" s="110"/>
      <c r="G1026" s="115"/>
      <c r="H1026" s="133"/>
      <c r="I1026" s="103"/>
      <c r="J1026" s="108"/>
      <c r="K1026" s="112"/>
      <c r="L1026" s="110"/>
      <c r="M1026" s="111"/>
      <c r="N1026" s="103"/>
      <c r="O1026" s="112"/>
      <c r="P1026" s="115"/>
      <c r="Q1026" s="114"/>
      <c r="R1026" s="108"/>
      <c r="S1026" s="115" t="s">
        <v>200</v>
      </c>
      <c r="T1026" s="103" t="b">
        <v>0</v>
      </c>
      <c r="U1026" s="103"/>
      <c r="V1026" s="103"/>
      <c r="W1026" s="103"/>
      <c r="X1026" s="103"/>
      <c r="Y1026" s="103"/>
      <c r="Z1026" s="103"/>
    </row>
    <row r="1027">
      <c r="A1027" s="110" t="s">
        <v>200</v>
      </c>
      <c r="B1027" s="110"/>
      <c r="C1027" s="110"/>
      <c r="D1027" s="110"/>
      <c r="E1027" s="110"/>
      <c r="F1027" s="110"/>
      <c r="G1027" s="115"/>
      <c r="H1027" s="133"/>
      <c r="I1027" s="103"/>
      <c r="J1027" s="108"/>
      <c r="K1027" s="112"/>
      <c r="L1027" s="110"/>
      <c r="M1027" s="111"/>
      <c r="N1027" s="103"/>
      <c r="O1027" s="112"/>
      <c r="P1027" s="115"/>
      <c r="Q1027" s="114"/>
      <c r="R1027" s="108"/>
      <c r="S1027" s="115" t="s">
        <v>200</v>
      </c>
      <c r="T1027" s="103" t="b">
        <v>0</v>
      </c>
      <c r="U1027" s="103"/>
      <c r="V1027" s="103"/>
      <c r="W1027" s="103"/>
      <c r="X1027" s="103"/>
      <c r="Y1027" s="103"/>
      <c r="Z1027" s="103"/>
    </row>
    <row r="1028">
      <c r="A1028" s="110" t="s">
        <v>200</v>
      </c>
      <c r="B1028" s="110"/>
      <c r="C1028" s="110"/>
      <c r="D1028" s="110"/>
      <c r="E1028" s="110"/>
      <c r="F1028" s="110"/>
      <c r="G1028" s="115"/>
      <c r="H1028" s="133"/>
      <c r="I1028" s="103"/>
      <c r="J1028" s="108"/>
      <c r="K1028" s="112"/>
      <c r="L1028" s="110"/>
      <c r="M1028" s="111"/>
      <c r="N1028" s="103"/>
      <c r="O1028" s="112"/>
      <c r="P1028" s="115"/>
      <c r="Q1028" s="114"/>
      <c r="R1028" s="108"/>
      <c r="S1028" s="115" t="s">
        <v>200</v>
      </c>
      <c r="T1028" s="103" t="b">
        <v>0</v>
      </c>
      <c r="U1028" s="103"/>
      <c r="V1028" s="103"/>
      <c r="W1028" s="103"/>
      <c r="X1028" s="103"/>
      <c r="Y1028" s="103"/>
      <c r="Z1028" s="103"/>
    </row>
    <row r="1029">
      <c r="A1029" s="110" t="s">
        <v>200</v>
      </c>
      <c r="B1029" s="110"/>
      <c r="C1029" s="110"/>
      <c r="D1029" s="110"/>
      <c r="E1029" s="110"/>
      <c r="F1029" s="110"/>
      <c r="G1029" s="115"/>
      <c r="H1029" s="133"/>
      <c r="I1029" s="103"/>
      <c r="J1029" s="108"/>
      <c r="K1029" s="112"/>
      <c r="L1029" s="110"/>
      <c r="M1029" s="111"/>
      <c r="N1029" s="103"/>
      <c r="O1029" s="112"/>
      <c r="P1029" s="115"/>
      <c r="Q1029" s="114"/>
      <c r="R1029" s="108"/>
      <c r="S1029" s="115" t="s">
        <v>200</v>
      </c>
      <c r="T1029" s="103" t="b">
        <v>0</v>
      </c>
      <c r="U1029" s="103"/>
      <c r="V1029" s="103"/>
      <c r="W1029" s="103"/>
      <c r="X1029" s="103"/>
      <c r="Y1029" s="103"/>
      <c r="Z1029" s="103"/>
    </row>
    <row r="1030">
      <c r="A1030" s="110" t="s">
        <v>200</v>
      </c>
      <c r="B1030" s="110"/>
      <c r="C1030" s="110"/>
      <c r="D1030" s="110"/>
      <c r="E1030" s="110"/>
      <c r="F1030" s="110"/>
      <c r="G1030" s="115"/>
      <c r="H1030" s="133"/>
      <c r="I1030" s="103"/>
      <c r="J1030" s="108"/>
      <c r="K1030" s="112"/>
      <c r="L1030" s="110"/>
      <c r="M1030" s="111"/>
      <c r="N1030" s="103"/>
      <c r="O1030" s="112"/>
      <c r="P1030" s="115"/>
      <c r="Q1030" s="114"/>
      <c r="R1030" s="108"/>
      <c r="S1030" s="115" t="s">
        <v>200</v>
      </c>
      <c r="T1030" s="103" t="b">
        <v>0</v>
      </c>
      <c r="U1030" s="103"/>
      <c r="V1030" s="103"/>
      <c r="W1030" s="103"/>
      <c r="X1030" s="103"/>
      <c r="Y1030" s="103"/>
      <c r="Z1030" s="103"/>
    </row>
    <row r="1031">
      <c r="A1031" s="110" t="s">
        <v>200</v>
      </c>
      <c r="B1031" s="110"/>
      <c r="C1031" s="110"/>
      <c r="D1031" s="110"/>
      <c r="E1031" s="110"/>
      <c r="F1031" s="110"/>
      <c r="G1031" s="115"/>
      <c r="H1031" s="133"/>
      <c r="I1031" s="103"/>
      <c r="J1031" s="108"/>
      <c r="K1031" s="112"/>
      <c r="L1031" s="110"/>
      <c r="M1031" s="111"/>
      <c r="N1031" s="103"/>
      <c r="O1031" s="112"/>
      <c r="P1031" s="115"/>
      <c r="Q1031" s="114"/>
      <c r="R1031" s="108"/>
      <c r="S1031" s="115" t="s">
        <v>200</v>
      </c>
      <c r="T1031" s="103" t="b">
        <v>0</v>
      </c>
      <c r="U1031" s="103"/>
      <c r="V1031" s="103"/>
      <c r="W1031" s="103"/>
      <c r="X1031" s="103"/>
      <c r="Y1031" s="103"/>
      <c r="Z1031" s="103"/>
    </row>
    <row r="1032">
      <c r="A1032" s="110" t="s">
        <v>200</v>
      </c>
      <c r="B1032" s="110"/>
      <c r="C1032" s="110"/>
      <c r="D1032" s="110"/>
      <c r="E1032" s="110"/>
      <c r="F1032" s="110"/>
      <c r="G1032" s="115"/>
      <c r="H1032" s="133"/>
      <c r="I1032" s="103"/>
      <c r="J1032" s="108"/>
      <c r="K1032" s="112"/>
      <c r="L1032" s="110"/>
      <c r="M1032" s="111"/>
      <c r="N1032" s="103"/>
      <c r="O1032" s="112"/>
      <c r="P1032" s="115"/>
      <c r="Q1032" s="114"/>
      <c r="R1032" s="108"/>
      <c r="S1032" s="115" t="s">
        <v>200</v>
      </c>
      <c r="T1032" s="103" t="b">
        <v>0</v>
      </c>
      <c r="U1032" s="103"/>
      <c r="V1032" s="103"/>
      <c r="W1032" s="103"/>
      <c r="X1032" s="103"/>
      <c r="Y1032" s="103"/>
      <c r="Z1032" s="103"/>
    </row>
    <row r="1033">
      <c r="A1033" s="110" t="s">
        <v>200</v>
      </c>
      <c r="B1033" s="110"/>
      <c r="C1033" s="110"/>
      <c r="D1033" s="110"/>
      <c r="E1033" s="110"/>
      <c r="F1033" s="110"/>
      <c r="G1033" s="115"/>
      <c r="H1033" s="133"/>
      <c r="I1033" s="103"/>
      <c r="J1033" s="108"/>
      <c r="K1033" s="112"/>
      <c r="L1033" s="110"/>
      <c r="M1033" s="111"/>
      <c r="N1033" s="103"/>
      <c r="O1033" s="112"/>
      <c r="P1033" s="115"/>
      <c r="Q1033" s="114"/>
      <c r="R1033" s="108"/>
      <c r="S1033" s="115" t="s">
        <v>200</v>
      </c>
      <c r="T1033" s="103" t="b">
        <v>0</v>
      </c>
      <c r="U1033" s="103"/>
      <c r="V1033" s="103"/>
      <c r="W1033" s="103"/>
      <c r="X1033" s="103"/>
      <c r="Y1033" s="103"/>
      <c r="Z1033" s="103"/>
    </row>
    <row r="1034">
      <c r="A1034" s="110" t="s">
        <v>200</v>
      </c>
      <c r="B1034" s="110"/>
      <c r="C1034" s="110"/>
      <c r="D1034" s="110"/>
      <c r="E1034" s="110"/>
      <c r="F1034" s="110"/>
      <c r="G1034" s="115"/>
      <c r="H1034" s="133"/>
      <c r="I1034" s="103"/>
      <c r="J1034" s="108"/>
      <c r="K1034" s="112"/>
      <c r="L1034" s="110"/>
      <c r="M1034" s="111"/>
      <c r="N1034" s="103"/>
      <c r="O1034" s="112"/>
      <c r="P1034" s="115"/>
      <c r="Q1034" s="114"/>
      <c r="R1034" s="108"/>
      <c r="S1034" s="115" t="s">
        <v>200</v>
      </c>
      <c r="T1034" s="103" t="b">
        <v>0</v>
      </c>
      <c r="U1034" s="103"/>
      <c r="V1034" s="103"/>
      <c r="W1034" s="103"/>
      <c r="X1034" s="103"/>
      <c r="Y1034" s="103"/>
      <c r="Z1034" s="103"/>
    </row>
    <row r="1035">
      <c r="A1035" s="110" t="s">
        <v>200</v>
      </c>
      <c r="B1035" s="110"/>
      <c r="C1035" s="110"/>
      <c r="D1035" s="110"/>
      <c r="E1035" s="110"/>
      <c r="F1035" s="110"/>
      <c r="G1035" s="115"/>
      <c r="H1035" s="133"/>
      <c r="I1035" s="103"/>
      <c r="J1035" s="108"/>
      <c r="K1035" s="112"/>
      <c r="L1035" s="110"/>
      <c r="M1035" s="111"/>
      <c r="N1035" s="103"/>
      <c r="O1035" s="112"/>
      <c r="P1035" s="115"/>
      <c r="Q1035" s="114"/>
      <c r="R1035" s="108"/>
      <c r="S1035" s="115" t="s">
        <v>200</v>
      </c>
      <c r="T1035" s="103" t="b">
        <v>0</v>
      </c>
      <c r="U1035" s="103"/>
      <c r="V1035" s="103"/>
      <c r="W1035" s="103"/>
      <c r="X1035" s="103"/>
      <c r="Y1035" s="103"/>
      <c r="Z1035" s="103"/>
    </row>
    <row r="1036">
      <c r="A1036" s="110" t="s">
        <v>200</v>
      </c>
      <c r="B1036" s="110"/>
      <c r="C1036" s="110"/>
      <c r="D1036" s="110"/>
      <c r="E1036" s="110"/>
      <c r="F1036" s="110"/>
      <c r="G1036" s="115"/>
      <c r="H1036" s="133"/>
      <c r="I1036" s="103"/>
      <c r="J1036" s="108"/>
      <c r="K1036" s="112"/>
      <c r="L1036" s="110"/>
      <c r="M1036" s="111"/>
      <c r="N1036" s="103"/>
      <c r="O1036" s="112"/>
      <c r="P1036" s="115"/>
      <c r="Q1036" s="114"/>
      <c r="R1036" s="108"/>
      <c r="S1036" s="115" t="s">
        <v>200</v>
      </c>
      <c r="T1036" s="103" t="b">
        <v>0</v>
      </c>
      <c r="U1036" s="103"/>
      <c r="V1036" s="103"/>
      <c r="W1036" s="103"/>
      <c r="X1036" s="103"/>
      <c r="Y1036" s="103"/>
      <c r="Z1036" s="103"/>
    </row>
    <row r="1037">
      <c r="A1037" s="110" t="s">
        <v>200</v>
      </c>
      <c r="B1037" s="110"/>
      <c r="C1037" s="110"/>
      <c r="D1037" s="110"/>
      <c r="E1037" s="110"/>
      <c r="F1037" s="110"/>
      <c r="G1037" s="115"/>
      <c r="H1037" s="133"/>
      <c r="I1037" s="103"/>
      <c r="J1037" s="108"/>
      <c r="K1037" s="112"/>
      <c r="L1037" s="110"/>
      <c r="M1037" s="111"/>
      <c r="N1037" s="103"/>
      <c r="O1037" s="112"/>
      <c r="P1037" s="115"/>
      <c r="Q1037" s="114"/>
      <c r="R1037" s="108"/>
      <c r="S1037" s="115" t="s">
        <v>200</v>
      </c>
      <c r="T1037" s="103" t="b">
        <v>0</v>
      </c>
      <c r="U1037" s="103"/>
      <c r="V1037" s="103"/>
      <c r="W1037" s="103"/>
      <c r="X1037" s="103"/>
      <c r="Y1037" s="103"/>
      <c r="Z1037" s="103"/>
    </row>
    <row r="1038">
      <c r="A1038" s="110" t="s">
        <v>200</v>
      </c>
      <c r="B1038" s="110"/>
      <c r="C1038" s="110"/>
      <c r="D1038" s="110"/>
      <c r="E1038" s="110"/>
      <c r="F1038" s="110"/>
      <c r="G1038" s="115"/>
      <c r="H1038" s="133"/>
      <c r="I1038" s="103"/>
      <c r="J1038" s="108"/>
      <c r="K1038" s="112"/>
      <c r="L1038" s="110"/>
      <c r="M1038" s="111"/>
      <c r="N1038" s="103"/>
      <c r="O1038" s="112"/>
      <c r="P1038" s="115"/>
      <c r="Q1038" s="114"/>
      <c r="R1038" s="108"/>
      <c r="S1038" s="115" t="s">
        <v>200</v>
      </c>
      <c r="T1038" s="103" t="b">
        <v>0</v>
      </c>
      <c r="U1038" s="103"/>
      <c r="V1038" s="103"/>
      <c r="W1038" s="103"/>
      <c r="X1038" s="103"/>
      <c r="Y1038" s="103"/>
      <c r="Z1038" s="103"/>
    </row>
    <row r="1039">
      <c r="A1039" s="110" t="s">
        <v>200</v>
      </c>
      <c r="B1039" s="110"/>
      <c r="C1039" s="110"/>
      <c r="D1039" s="110"/>
      <c r="E1039" s="110"/>
      <c r="F1039" s="110"/>
      <c r="G1039" s="115"/>
      <c r="H1039" s="133"/>
      <c r="I1039" s="103"/>
      <c r="J1039" s="108"/>
      <c r="K1039" s="112"/>
      <c r="L1039" s="110"/>
      <c r="M1039" s="111"/>
      <c r="N1039" s="103"/>
      <c r="O1039" s="112"/>
      <c r="P1039" s="115"/>
      <c r="Q1039" s="114"/>
      <c r="R1039" s="108"/>
      <c r="S1039" s="115" t="s">
        <v>200</v>
      </c>
      <c r="T1039" s="103" t="b">
        <v>0</v>
      </c>
      <c r="U1039" s="103"/>
      <c r="V1039" s="103"/>
      <c r="W1039" s="103"/>
      <c r="X1039" s="103"/>
      <c r="Y1039" s="103"/>
      <c r="Z1039" s="103"/>
    </row>
    <row r="1040">
      <c r="A1040" s="110" t="s">
        <v>200</v>
      </c>
      <c r="B1040" s="110"/>
      <c r="C1040" s="110"/>
      <c r="D1040" s="110"/>
      <c r="E1040" s="110"/>
      <c r="F1040" s="110"/>
      <c r="G1040" s="115"/>
      <c r="H1040" s="133"/>
      <c r="I1040" s="103"/>
      <c r="J1040" s="108"/>
      <c r="K1040" s="112"/>
      <c r="L1040" s="110"/>
      <c r="M1040" s="111"/>
      <c r="N1040" s="103"/>
      <c r="O1040" s="112"/>
      <c r="P1040" s="115"/>
      <c r="Q1040" s="114"/>
      <c r="R1040" s="108"/>
      <c r="S1040" s="115" t="s">
        <v>200</v>
      </c>
      <c r="T1040" s="103" t="b">
        <v>0</v>
      </c>
      <c r="U1040" s="103"/>
      <c r="V1040" s="103"/>
      <c r="W1040" s="103"/>
      <c r="X1040" s="103"/>
      <c r="Y1040" s="103"/>
      <c r="Z1040" s="103"/>
    </row>
    <row r="1041">
      <c r="A1041" s="110" t="s">
        <v>200</v>
      </c>
      <c r="B1041" s="110"/>
      <c r="C1041" s="110"/>
      <c r="D1041" s="110"/>
      <c r="E1041" s="110"/>
      <c r="F1041" s="110"/>
      <c r="G1041" s="115"/>
      <c r="H1041" s="133"/>
      <c r="I1041" s="103"/>
      <c r="J1041" s="108"/>
      <c r="K1041" s="112"/>
      <c r="L1041" s="110"/>
      <c r="M1041" s="111"/>
      <c r="N1041" s="103"/>
      <c r="O1041" s="112"/>
      <c r="P1041" s="115"/>
      <c r="Q1041" s="114"/>
      <c r="R1041" s="108"/>
      <c r="S1041" s="115" t="s">
        <v>200</v>
      </c>
      <c r="T1041" s="103" t="b">
        <v>0</v>
      </c>
      <c r="U1041" s="103"/>
      <c r="V1041" s="103"/>
      <c r="W1041" s="103"/>
      <c r="X1041" s="103"/>
      <c r="Y1041" s="103"/>
      <c r="Z1041" s="103"/>
    </row>
    <row r="1042">
      <c r="A1042" s="110" t="s">
        <v>200</v>
      </c>
      <c r="B1042" s="110"/>
      <c r="C1042" s="110"/>
      <c r="D1042" s="110"/>
      <c r="E1042" s="110"/>
      <c r="F1042" s="110"/>
      <c r="G1042" s="115"/>
      <c r="H1042" s="133"/>
      <c r="I1042" s="103"/>
      <c r="J1042" s="108"/>
      <c r="K1042" s="112"/>
      <c r="L1042" s="110"/>
      <c r="M1042" s="111"/>
      <c r="N1042" s="103"/>
      <c r="O1042" s="112"/>
      <c r="P1042" s="115"/>
      <c r="Q1042" s="114"/>
      <c r="R1042" s="108"/>
      <c r="S1042" s="115" t="s">
        <v>200</v>
      </c>
      <c r="T1042" s="103" t="b">
        <v>0</v>
      </c>
      <c r="U1042" s="103"/>
      <c r="V1042" s="103"/>
      <c r="W1042" s="103"/>
      <c r="X1042" s="103"/>
      <c r="Y1042" s="103"/>
      <c r="Z1042" s="103"/>
    </row>
    <row r="1043">
      <c r="A1043" s="110" t="s">
        <v>200</v>
      </c>
      <c r="B1043" s="110"/>
      <c r="C1043" s="110"/>
      <c r="D1043" s="110"/>
      <c r="E1043" s="110"/>
      <c r="F1043" s="110"/>
      <c r="G1043" s="115"/>
      <c r="H1043" s="133"/>
      <c r="I1043" s="103"/>
      <c r="J1043" s="108"/>
      <c r="K1043" s="112"/>
      <c r="L1043" s="110"/>
      <c r="M1043" s="111"/>
      <c r="N1043" s="103"/>
      <c r="O1043" s="112"/>
      <c r="P1043" s="115"/>
      <c r="Q1043" s="114"/>
      <c r="R1043" s="108"/>
      <c r="S1043" s="115" t="s">
        <v>200</v>
      </c>
      <c r="T1043" s="103" t="b">
        <v>0</v>
      </c>
      <c r="U1043" s="103"/>
      <c r="V1043" s="103"/>
      <c r="W1043" s="103"/>
      <c r="X1043" s="103"/>
      <c r="Y1043" s="103"/>
      <c r="Z1043" s="103"/>
    </row>
    <row r="1044">
      <c r="A1044" s="110" t="s">
        <v>200</v>
      </c>
      <c r="B1044" s="110"/>
      <c r="C1044" s="110"/>
      <c r="D1044" s="110"/>
      <c r="E1044" s="110"/>
      <c r="F1044" s="110"/>
      <c r="G1044" s="115"/>
      <c r="H1044" s="133"/>
      <c r="I1044" s="103"/>
      <c r="J1044" s="108"/>
      <c r="K1044" s="112"/>
      <c r="L1044" s="110"/>
      <c r="M1044" s="111"/>
      <c r="N1044" s="103"/>
      <c r="O1044" s="112"/>
      <c r="P1044" s="115"/>
      <c r="Q1044" s="114"/>
      <c r="R1044" s="108"/>
      <c r="S1044" s="115" t="s">
        <v>200</v>
      </c>
      <c r="T1044" s="103" t="b">
        <v>0</v>
      </c>
      <c r="U1044" s="103"/>
      <c r="V1044" s="103"/>
      <c r="W1044" s="103"/>
      <c r="X1044" s="103"/>
      <c r="Y1044" s="103"/>
      <c r="Z1044" s="103"/>
    </row>
    <row r="1045">
      <c r="A1045" s="110" t="s">
        <v>200</v>
      </c>
      <c r="B1045" s="110"/>
      <c r="C1045" s="110"/>
      <c r="D1045" s="110"/>
      <c r="E1045" s="110"/>
      <c r="F1045" s="110"/>
      <c r="G1045" s="115"/>
      <c r="H1045" s="133"/>
      <c r="I1045" s="103"/>
      <c r="J1045" s="108"/>
      <c r="K1045" s="112"/>
      <c r="L1045" s="110"/>
      <c r="M1045" s="111"/>
      <c r="N1045" s="103"/>
      <c r="O1045" s="112"/>
      <c r="P1045" s="115"/>
      <c r="Q1045" s="114"/>
      <c r="R1045" s="108"/>
      <c r="S1045" s="115" t="s">
        <v>200</v>
      </c>
      <c r="T1045" s="103" t="b">
        <v>0</v>
      </c>
      <c r="U1045" s="103"/>
      <c r="V1045" s="103"/>
      <c r="W1045" s="103"/>
      <c r="X1045" s="103"/>
      <c r="Y1045" s="103"/>
      <c r="Z1045" s="103"/>
    </row>
    <row r="1046">
      <c r="A1046" s="110" t="s">
        <v>200</v>
      </c>
      <c r="B1046" s="110"/>
      <c r="C1046" s="110"/>
      <c r="D1046" s="110"/>
      <c r="E1046" s="110"/>
      <c r="F1046" s="110"/>
      <c r="G1046" s="115"/>
      <c r="H1046" s="133"/>
      <c r="I1046" s="103"/>
      <c r="J1046" s="108"/>
      <c r="K1046" s="112"/>
      <c r="L1046" s="110"/>
      <c r="M1046" s="111"/>
      <c r="N1046" s="103"/>
      <c r="O1046" s="112"/>
      <c r="P1046" s="115"/>
      <c r="Q1046" s="114"/>
      <c r="R1046" s="108"/>
      <c r="S1046" s="115" t="s">
        <v>200</v>
      </c>
      <c r="T1046" s="103" t="b">
        <v>0</v>
      </c>
      <c r="U1046" s="103"/>
      <c r="V1046" s="103"/>
      <c r="W1046" s="103"/>
      <c r="X1046" s="103"/>
      <c r="Y1046" s="103"/>
      <c r="Z1046" s="103"/>
    </row>
    <row r="1047">
      <c r="A1047" s="110" t="s">
        <v>200</v>
      </c>
      <c r="B1047" s="110"/>
      <c r="C1047" s="110"/>
      <c r="D1047" s="110"/>
      <c r="E1047" s="110"/>
      <c r="F1047" s="110"/>
      <c r="G1047" s="115"/>
      <c r="H1047" s="133"/>
      <c r="I1047" s="103"/>
      <c r="J1047" s="108"/>
      <c r="K1047" s="112"/>
      <c r="L1047" s="110"/>
      <c r="M1047" s="111"/>
      <c r="N1047" s="103"/>
      <c r="O1047" s="112"/>
      <c r="P1047" s="115"/>
      <c r="Q1047" s="114"/>
      <c r="R1047" s="108"/>
      <c r="S1047" s="115" t="s">
        <v>200</v>
      </c>
      <c r="T1047" s="103" t="b">
        <v>0</v>
      </c>
      <c r="U1047" s="103"/>
      <c r="V1047" s="103"/>
      <c r="W1047" s="103"/>
      <c r="X1047" s="103"/>
      <c r="Y1047" s="103"/>
      <c r="Z1047" s="103"/>
    </row>
    <row r="1048">
      <c r="A1048" s="110" t="s">
        <v>200</v>
      </c>
      <c r="B1048" s="110"/>
      <c r="C1048" s="110"/>
      <c r="D1048" s="110"/>
      <c r="E1048" s="110"/>
      <c r="F1048" s="110"/>
      <c r="G1048" s="115"/>
      <c r="H1048" s="133"/>
      <c r="I1048" s="103"/>
      <c r="J1048" s="108"/>
      <c r="K1048" s="112"/>
      <c r="L1048" s="110"/>
      <c r="M1048" s="111"/>
      <c r="N1048" s="103"/>
      <c r="O1048" s="112"/>
      <c r="P1048" s="115"/>
      <c r="Q1048" s="114"/>
      <c r="R1048" s="108"/>
      <c r="S1048" s="115" t="s">
        <v>200</v>
      </c>
      <c r="T1048" s="103" t="b">
        <v>0</v>
      </c>
      <c r="U1048" s="103"/>
      <c r="V1048" s="103"/>
      <c r="W1048" s="103"/>
      <c r="X1048" s="103"/>
      <c r="Y1048" s="103"/>
      <c r="Z1048" s="103"/>
    </row>
    <row r="1049">
      <c r="A1049" s="110" t="s">
        <v>200</v>
      </c>
      <c r="B1049" s="110"/>
      <c r="C1049" s="110"/>
      <c r="D1049" s="110"/>
      <c r="E1049" s="110"/>
      <c r="F1049" s="110"/>
      <c r="G1049" s="115"/>
      <c r="H1049" s="133"/>
      <c r="I1049" s="103"/>
      <c r="J1049" s="108"/>
      <c r="K1049" s="112"/>
      <c r="L1049" s="110"/>
      <c r="M1049" s="111"/>
      <c r="N1049" s="103"/>
      <c r="O1049" s="112"/>
      <c r="P1049" s="115"/>
      <c r="Q1049" s="114"/>
      <c r="R1049" s="108"/>
      <c r="S1049" s="115" t="s">
        <v>200</v>
      </c>
      <c r="T1049" s="103" t="b">
        <v>0</v>
      </c>
      <c r="U1049" s="103"/>
      <c r="V1049" s="103"/>
      <c r="W1049" s="103"/>
      <c r="X1049" s="103"/>
      <c r="Y1049" s="103"/>
      <c r="Z1049" s="103"/>
    </row>
    <row r="1050">
      <c r="A1050" s="110" t="s">
        <v>200</v>
      </c>
      <c r="B1050" s="110"/>
      <c r="C1050" s="110"/>
      <c r="D1050" s="110"/>
      <c r="E1050" s="110"/>
      <c r="F1050" s="110"/>
      <c r="G1050" s="115"/>
      <c r="H1050" s="133"/>
      <c r="I1050" s="103"/>
      <c r="J1050" s="108"/>
      <c r="K1050" s="112"/>
      <c r="L1050" s="110"/>
      <c r="M1050" s="111"/>
      <c r="N1050" s="103"/>
      <c r="O1050" s="112"/>
      <c r="P1050" s="115"/>
      <c r="Q1050" s="114"/>
      <c r="R1050" s="108"/>
      <c r="S1050" s="115" t="s">
        <v>200</v>
      </c>
      <c r="T1050" s="103" t="b">
        <v>0</v>
      </c>
      <c r="U1050" s="103"/>
      <c r="V1050" s="103"/>
      <c r="W1050" s="103"/>
      <c r="X1050" s="103"/>
      <c r="Y1050" s="103"/>
      <c r="Z1050" s="103"/>
    </row>
    <row r="1051">
      <c r="A1051" s="110" t="s">
        <v>200</v>
      </c>
      <c r="B1051" s="110"/>
      <c r="C1051" s="110"/>
      <c r="D1051" s="110"/>
      <c r="E1051" s="110"/>
      <c r="F1051" s="110"/>
      <c r="G1051" s="115"/>
      <c r="H1051" s="133"/>
      <c r="I1051" s="103"/>
      <c r="J1051" s="108"/>
      <c r="K1051" s="112"/>
      <c r="L1051" s="110"/>
      <c r="M1051" s="111"/>
      <c r="N1051" s="103"/>
      <c r="O1051" s="112"/>
      <c r="P1051" s="115"/>
      <c r="Q1051" s="114"/>
      <c r="R1051" s="108"/>
      <c r="S1051" s="115" t="s">
        <v>200</v>
      </c>
      <c r="T1051" s="103" t="b">
        <v>0</v>
      </c>
      <c r="U1051" s="103"/>
      <c r="V1051" s="103"/>
      <c r="W1051" s="103"/>
      <c r="X1051" s="103"/>
      <c r="Y1051" s="103"/>
      <c r="Z1051" s="103"/>
    </row>
    <row r="1052">
      <c r="A1052" s="110" t="s">
        <v>200</v>
      </c>
      <c r="B1052" s="110"/>
      <c r="C1052" s="110"/>
      <c r="D1052" s="110"/>
      <c r="E1052" s="110"/>
      <c r="F1052" s="110"/>
      <c r="G1052" s="115"/>
      <c r="H1052" s="133"/>
      <c r="I1052" s="103"/>
      <c r="J1052" s="108"/>
      <c r="K1052" s="112"/>
      <c r="L1052" s="110"/>
      <c r="M1052" s="111"/>
      <c r="N1052" s="103"/>
      <c r="O1052" s="112"/>
      <c r="P1052" s="115"/>
      <c r="Q1052" s="114"/>
      <c r="R1052" s="108"/>
      <c r="S1052" s="115" t="s">
        <v>200</v>
      </c>
      <c r="T1052" s="103" t="b">
        <v>0</v>
      </c>
      <c r="U1052" s="103"/>
      <c r="V1052" s="103"/>
      <c r="W1052" s="103"/>
      <c r="X1052" s="103"/>
      <c r="Y1052" s="103"/>
      <c r="Z1052" s="103"/>
    </row>
    <row r="1053">
      <c r="A1053" s="110" t="s">
        <v>200</v>
      </c>
      <c r="B1053" s="110"/>
      <c r="C1053" s="110"/>
      <c r="D1053" s="110"/>
      <c r="E1053" s="110"/>
      <c r="F1053" s="110"/>
      <c r="G1053" s="115"/>
      <c r="H1053" s="133"/>
      <c r="I1053" s="103"/>
      <c r="J1053" s="108"/>
      <c r="K1053" s="112"/>
      <c r="L1053" s="110"/>
      <c r="M1053" s="111"/>
      <c r="N1053" s="103"/>
      <c r="O1053" s="112"/>
      <c r="P1053" s="115"/>
      <c r="Q1053" s="114"/>
      <c r="R1053" s="108"/>
      <c r="S1053" s="115" t="s">
        <v>200</v>
      </c>
      <c r="T1053" s="103" t="b">
        <v>0</v>
      </c>
      <c r="U1053" s="103"/>
      <c r="V1053" s="103"/>
      <c r="W1053" s="103"/>
      <c r="X1053" s="103"/>
      <c r="Y1053" s="103"/>
      <c r="Z1053" s="103"/>
    </row>
    <row r="1054">
      <c r="A1054" s="110" t="s">
        <v>200</v>
      </c>
      <c r="B1054" s="110"/>
      <c r="C1054" s="110"/>
      <c r="D1054" s="110"/>
      <c r="E1054" s="110"/>
      <c r="F1054" s="110"/>
      <c r="G1054" s="115"/>
      <c r="H1054" s="133"/>
      <c r="I1054" s="103"/>
      <c r="J1054" s="108"/>
      <c r="K1054" s="112"/>
      <c r="L1054" s="110"/>
      <c r="M1054" s="111"/>
      <c r="N1054" s="103"/>
      <c r="O1054" s="112"/>
      <c r="P1054" s="115"/>
      <c r="Q1054" s="114"/>
      <c r="R1054" s="108"/>
      <c r="S1054" s="115" t="s">
        <v>200</v>
      </c>
      <c r="T1054" s="103" t="b">
        <v>0</v>
      </c>
      <c r="U1054" s="103"/>
      <c r="V1054" s="103"/>
      <c r="W1054" s="103"/>
      <c r="X1054" s="103"/>
      <c r="Y1054" s="103"/>
      <c r="Z1054" s="103"/>
    </row>
    <row r="1055">
      <c r="A1055" s="110" t="s">
        <v>200</v>
      </c>
      <c r="B1055" s="110"/>
      <c r="C1055" s="110"/>
      <c r="D1055" s="110"/>
      <c r="E1055" s="110"/>
      <c r="F1055" s="110"/>
      <c r="G1055" s="115"/>
      <c r="H1055" s="133"/>
      <c r="I1055" s="103"/>
      <c r="J1055" s="108"/>
      <c r="K1055" s="112"/>
      <c r="L1055" s="110"/>
      <c r="M1055" s="111"/>
      <c r="N1055" s="103"/>
      <c r="O1055" s="112"/>
      <c r="P1055" s="115"/>
      <c r="Q1055" s="114"/>
      <c r="R1055" s="108"/>
      <c r="S1055" s="115" t="s">
        <v>200</v>
      </c>
      <c r="T1055" s="103" t="b">
        <v>0</v>
      </c>
      <c r="U1055" s="103"/>
      <c r="V1055" s="103"/>
      <c r="W1055" s="103"/>
      <c r="X1055" s="103"/>
      <c r="Y1055" s="103"/>
      <c r="Z1055" s="103"/>
    </row>
    <row r="1056">
      <c r="A1056" s="110" t="s">
        <v>200</v>
      </c>
      <c r="B1056" s="110"/>
      <c r="C1056" s="110"/>
      <c r="D1056" s="110"/>
      <c r="E1056" s="110"/>
      <c r="F1056" s="110"/>
      <c r="G1056" s="115"/>
      <c r="H1056" s="133"/>
      <c r="I1056" s="103"/>
      <c r="J1056" s="108"/>
      <c r="K1056" s="112"/>
      <c r="L1056" s="110"/>
      <c r="M1056" s="111"/>
      <c r="N1056" s="103"/>
      <c r="O1056" s="112"/>
      <c r="P1056" s="115"/>
      <c r="Q1056" s="114"/>
      <c r="R1056" s="108"/>
      <c r="S1056" s="115" t="s">
        <v>200</v>
      </c>
      <c r="T1056" s="103" t="b">
        <v>0</v>
      </c>
      <c r="U1056" s="103"/>
      <c r="V1056" s="103"/>
      <c r="W1056" s="103"/>
      <c r="X1056" s="103"/>
      <c r="Y1056" s="103"/>
      <c r="Z1056" s="103"/>
    </row>
    <row r="1057">
      <c r="A1057" s="110" t="s">
        <v>200</v>
      </c>
      <c r="B1057" s="110"/>
      <c r="C1057" s="110"/>
      <c r="D1057" s="110"/>
      <c r="E1057" s="110"/>
      <c r="F1057" s="110"/>
      <c r="G1057" s="115"/>
      <c r="H1057" s="133"/>
      <c r="I1057" s="103"/>
      <c r="J1057" s="108"/>
      <c r="K1057" s="112"/>
      <c r="L1057" s="110"/>
      <c r="M1057" s="111"/>
      <c r="N1057" s="103"/>
      <c r="O1057" s="112"/>
      <c r="P1057" s="115"/>
      <c r="Q1057" s="114"/>
      <c r="R1057" s="108"/>
      <c r="S1057" s="115" t="s">
        <v>200</v>
      </c>
      <c r="T1057" s="103" t="b">
        <v>0</v>
      </c>
      <c r="U1057" s="103"/>
      <c r="V1057" s="103"/>
      <c r="W1057" s="103"/>
      <c r="X1057" s="103"/>
      <c r="Y1057" s="103"/>
      <c r="Z1057" s="103"/>
    </row>
    <row r="1058">
      <c r="A1058" s="110" t="s">
        <v>200</v>
      </c>
      <c r="B1058" s="110"/>
      <c r="C1058" s="110"/>
      <c r="D1058" s="110"/>
      <c r="E1058" s="110"/>
      <c r="F1058" s="110"/>
      <c r="G1058" s="115"/>
      <c r="H1058" s="133"/>
      <c r="I1058" s="103"/>
      <c r="J1058" s="108"/>
      <c r="K1058" s="112"/>
      <c r="L1058" s="110"/>
      <c r="M1058" s="111"/>
      <c r="N1058" s="103"/>
      <c r="O1058" s="112"/>
      <c r="P1058" s="115"/>
      <c r="Q1058" s="114"/>
      <c r="R1058" s="108"/>
      <c r="S1058" s="115" t="s">
        <v>200</v>
      </c>
      <c r="T1058" s="103" t="b">
        <v>0</v>
      </c>
      <c r="U1058" s="103"/>
      <c r="V1058" s="103"/>
      <c r="W1058" s="103"/>
      <c r="X1058" s="103"/>
      <c r="Y1058" s="103"/>
      <c r="Z1058" s="103"/>
    </row>
    <row r="1059">
      <c r="A1059" s="110" t="s">
        <v>200</v>
      </c>
      <c r="B1059" s="110"/>
      <c r="C1059" s="110"/>
      <c r="D1059" s="110"/>
      <c r="E1059" s="110"/>
      <c r="F1059" s="110"/>
      <c r="G1059" s="115"/>
      <c r="H1059" s="133"/>
      <c r="I1059" s="103"/>
      <c r="J1059" s="108"/>
      <c r="K1059" s="112"/>
      <c r="L1059" s="110"/>
      <c r="M1059" s="111"/>
      <c r="N1059" s="103"/>
      <c r="O1059" s="112"/>
      <c r="P1059" s="115"/>
      <c r="Q1059" s="114"/>
      <c r="R1059" s="108"/>
      <c r="S1059" s="115" t="s">
        <v>200</v>
      </c>
      <c r="T1059" s="103" t="b">
        <v>0</v>
      </c>
      <c r="U1059" s="103"/>
      <c r="V1059" s="103"/>
      <c r="W1059" s="103"/>
      <c r="X1059" s="103"/>
      <c r="Y1059" s="103"/>
      <c r="Z1059" s="103"/>
    </row>
    <row r="1060">
      <c r="A1060" s="110" t="s">
        <v>200</v>
      </c>
      <c r="B1060" s="110"/>
      <c r="C1060" s="110"/>
      <c r="D1060" s="110"/>
      <c r="E1060" s="110"/>
      <c r="F1060" s="110"/>
      <c r="G1060" s="115"/>
      <c r="H1060" s="133"/>
      <c r="I1060" s="103"/>
      <c r="J1060" s="108"/>
      <c r="K1060" s="112"/>
      <c r="L1060" s="110"/>
      <c r="M1060" s="111"/>
      <c r="N1060" s="103"/>
      <c r="O1060" s="112"/>
      <c r="P1060" s="115"/>
      <c r="Q1060" s="114"/>
      <c r="R1060" s="108"/>
      <c r="S1060" s="115" t="s">
        <v>200</v>
      </c>
      <c r="T1060" s="103" t="b">
        <v>0</v>
      </c>
      <c r="U1060" s="103"/>
      <c r="V1060" s="103"/>
      <c r="W1060" s="103"/>
      <c r="X1060" s="103"/>
      <c r="Y1060" s="103"/>
      <c r="Z1060" s="103"/>
    </row>
    <row r="1061">
      <c r="A1061" s="110" t="s">
        <v>200</v>
      </c>
      <c r="B1061" s="110"/>
      <c r="C1061" s="110"/>
      <c r="D1061" s="110"/>
      <c r="E1061" s="110"/>
      <c r="F1061" s="110"/>
      <c r="G1061" s="115"/>
      <c r="H1061" s="133"/>
      <c r="I1061" s="103"/>
      <c r="J1061" s="108"/>
      <c r="K1061" s="112"/>
      <c r="L1061" s="110"/>
      <c r="M1061" s="111"/>
      <c r="N1061" s="103"/>
      <c r="O1061" s="112"/>
      <c r="P1061" s="115"/>
      <c r="Q1061" s="114"/>
      <c r="R1061" s="108"/>
      <c r="S1061" s="115" t="s">
        <v>200</v>
      </c>
      <c r="T1061" s="103" t="b">
        <v>0</v>
      </c>
      <c r="U1061" s="103"/>
      <c r="V1061" s="103"/>
      <c r="W1061" s="103"/>
      <c r="X1061" s="103"/>
      <c r="Y1061" s="103"/>
      <c r="Z1061" s="103"/>
    </row>
    <row r="1062">
      <c r="A1062" s="110" t="s">
        <v>200</v>
      </c>
      <c r="B1062" s="110"/>
      <c r="C1062" s="110"/>
      <c r="D1062" s="110"/>
      <c r="E1062" s="110"/>
      <c r="F1062" s="110"/>
      <c r="G1062" s="115"/>
      <c r="H1062" s="133"/>
      <c r="I1062" s="103"/>
      <c r="J1062" s="108"/>
      <c r="K1062" s="112"/>
      <c r="L1062" s="110"/>
      <c r="M1062" s="111"/>
      <c r="N1062" s="103"/>
      <c r="O1062" s="112"/>
      <c r="P1062" s="115"/>
      <c r="Q1062" s="114"/>
      <c r="R1062" s="108"/>
      <c r="S1062" s="115" t="s">
        <v>200</v>
      </c>
      <c r="T1062" s="103" t="b">
        <v>0</v>
      </c>
      <c r="U1062" s="103"/>
      <c r="V1062" s="103"/>
      <c r="W1062" s="103"/>
      <c r="X1062" s="103"/>
      <c r="Y1062" s="103"/>
      <c r="Z1062" s="103"/>
    </row>
    <row r="1063">
      <c r="A1063" s="110" t="s">
        <v>200</v>
      </c>
      <c r="B1063" s="110"/>
      <c r="C1063" s="110"/>
      <c r="D1063" s="110"/>
      <c r="E1063" s="110"/>
      <c r="F1063" s="110"/>
      <c r="G1063" s="115"/>
      <c r="H1063" s="133"/>
      <c r="I1063" s="103"/>
      <c r="J1063" s="108"/>
      <c r="K1063" s="112"/>
      <c r="L1063" s="110"/>
      <c r="M1063" s="111"/>
      <c r="N1063" s="103"/>
      <c r="O1063" s="112"/>
      <c r="P1063" s="115"/>
      <c r="Q1063" s="114"/>
      <c r="R1063" s="108"/>
      <c r="S1063" s="115" t="s">
        <v>200</v>
      </c>
      <c r="T1063" s="103" t="b">
        <v>0</v>
      </c>
      <c r="U1063" s="103"/>
      <c r="V1063" s="103"/>
      <c r="W1063" s="103"/>
      <c r="X1063" s="103"/>
      <c r="Y1063" s="103"/>
      <c r="Z1063" s="103"/>
    </row>
    <row r="1064">
      <c r="A1064" s="110" t="s">
        <v>200</v>
      </c>
      <c r="B1064" s="110"/>
      <c r="C1064" s="110"/>
      <c r="D1064" s="110"/>
      <c r="E1064" s="110"/>
      <c r="F1064" s="110"/>
      <c r="G1064" s="115"/>
      <c r="H1064" s="133"/>
      <c r="I1064" s="103"/>
      <c r="J1064" s="108"/>
      <c r="K1064" s="112"/>
      <c r="L1064" s="110"/>
      <c r="M1064" s="111"/>
      <c r="N1064" s="103"/>
      <c r="O1064" s="112"/>
      <c r="P1064" s="115"/>
      <c r="Q1064" s="114"/>
      <c r="R1064" s="108"/>
      <c r="S1064" s="115" t="s">
        <v>200</v>
      </c>
      <c r="T1064" s="103" t="b">
        <v>0</v>
      </c>
      <c r="U1064" s="103"/>
      <c r="V1064" s="103"/>
      <c r="W1064" s="103"/>
      <c r="X1064" s="103"/>
      <c r="Y1064" s="103"/>
      <c r="Z1064" s="103"/>
    </row>
    <row r="1065">
      <c r="A1065" s="110" t="s">
        <v>200</v>
      </c>
      <c r="B1065" s="110"/>
      <c r="C1065" s="110"/>
      <c r="D1065" s="110"/>
      <c r="E1065" s="110"/>
      <c r="F1065" s="110"/>
      <c r="G1065" s="115"/>
      <c r="H1065" s="133"/>
      <c r="I1065" s="103"/>
      <c r="J1065" s="108"/>
      <c r="K1065" s="112"/>
      <c r="L1065" s="110"/>
      <c r="M1065" s="111"/>
      <c r="N1065" s="103"/>
      <c r="O1065" s="112"/>
      <c r="P1065" s="115"/>
      <c r="Q1065" s="114"/>
      <c r="R1065" s="108"/>
      <c r="S1065" s="115" t="s">
        <v>200</v>
      </c>
      <c r="T1065" s="103" t="b">
        <v>0</v>
      </c>
      <c r="U1065" s="103"/>
      <c r="V1065" s="103"/>
      <c r="W1065" s="103"/>
      <c r="X1065" s="103"/>
      <c r="Y1065" s="103"/>
      <c r="Z1065" s="103"/>
    </row>
    <row r="1066">
      <c r="A1066" s="110" t="s">
        <v>200</v>
      </c>
      <c r="B1066" s="110"/>
      <c r="C1066" s="110"/>
      <c r="D1066" s="110"/>
      <c r="E1066" s="110"/>
      <c r="F1066" s="110"/>
      <c r="G1066" s="115"/>
      <c r="H1066" s="133"/>
      <c r="I1066" s="103"/>
      <c r="J1066" s="108"/>
      <c r="K1066" s="112"/>
      <c r="L1066" s="110"/>
      <c r="M1066" s="111"/>
      <c r="N1066" s="103"/>
      <c r="O1066" s="112"/>
      <c r="P1066" s="115"/>
      <c r="Q1066" s="114"/>
      <c r="R1066" s="108"/>
      <c r="S1066" s="115" t="s">
        <v>200</v>
      </c>
      <c r="T1066" s="103" t="b">
        <v>0</v>
      </c>
      <c r="U1066" s="103"/>
      <c r="V1066" s="103"/>
      <c r="W1066" s="103"/>
      <c r="X1066" s="103"/>
      <c r="Y1066" s="103"/>
      <c r="Z1066" s="103"/>
    </row>
    <row r="1067">
      <c r="A1067" s="110" t="s">
        <v>200</v>
      </c>
      <c r="B1067" s="110"/>
      <c r="C1067" s="110"/>
      <c r="D1067" s="110"/>
      <c r="E1067" s="110"/>
      <c r="F1067" s="110"/>
      <c r="G1067" s="115"/>
      <c r="H1067" s="133"/>
      <c r="I1067" s="103"/>
      <c r="J1067" s="108"/>
      <c r="K1067" s="112"/>
      <c r="L1067" s="110"/>
      <c r="M1067" s="111"/>
      <c r="N1067" s="103"/>
      <c r="O1067" s="112"/>
      <c r="P1067" s="115"/>
      <c r="Q1067" s="114"/>
      <c r="R1067" s="108"/>
      <c r="S1067" s="115" t="s">
        <v>200</v>
      </c>
      <c r="T1067" s="103" t="b">
        <v>0</v>
      </c>
      <c r="U1067" s="103"/>
      <c r="V1067" s="103"/>
      <c r="W1067" s="103"/>
      <c r="X1067" s="103"/>
      <c r="Y1067" s="103"/>
      <c r="Z1067" s="103"/>
    </row>
    <row r="1068">
      <c r="A1068" s="110" t="s">
        <v>200</v>
      </c>
      <c r="B1068" s="110"/>
      <c r="C1068" s="110"/>
      <c r="D1068" s="110"/>
      <c r="E1068" s="110"/>
      <c r="F1068" s="110"/>
      <c r="G1068" s="115"/>
      <c r="H1068" s="133"/>
      <c r="I1068" s="103"/>
      <c r="J1068" s="108"/>
      <c r="K1068" s="112"/>
      <c r="L1068" s="110"/>
      <c r="M1068" s="111"/>
      <c r="N1068" s="103"/>
      <c r="O1068" s="112"/>
      <c r="P1068" s="115"/>
      <c r="Q1068" s="114"/>
      <c r="R1068" s="108"/>
      <c r="S1068" s="115" t="s">
        <v>200</v>
      </c>
      <c r="T1068" s="103" t="b">
        <v>0</v>
      </c>
      <c r="U1068" s="103"/>
      <c r="V1068" s="103"/>
      <c r="W1068" s="103"/>
      <c r="X1068" s="103"/>
      <c r="Y1068" s="103"/>
      <c r="Z1068" s="103"/>
    </row>
    <row r="1069">
      <c r="A1069" s="110" t="s">
        <v>200</v>
      </c>
      <c r="B1069" s="110"/>
      <c r="C1069" s="110"/>
      <c r="D1069" s="110"/>
      <c r="E1069" s="110"/>
      <c r="F1069" s="110"/>
      <c r="G1069" s="115"/>
      <c r="H1069" s="133"/>
      <c r="I1069" s="103"/>
      <c r="J1069" s="108"/>
      <c r="K1069" s="112"/>
      <c r="L1069" s="110"/>
      <c r="M1069" s="111"/>
      <c r="N1069" s="103"/>
      <c r="O1069" s="112"/>
      <c r="P1069" s="115"/>
      <c r="Q1069" s="114"/>
      <c r="R1069" s="108"/>
      <c r="S1069" s="115" t="s">
        <v>200</v>
      </c>
      <c r="T1069" s="103" t="b">
        <v>0</v>
      </c>
      <c r="U1069" s="103"/>
      <c r="V1069" s="103"/>
      <c r="W1069" s="103"/>
      <c r="X1069" s="103"/>
      <c r="Y1069" s="103"/>
      <c r="Z1069" s="103"/>
    </row>
    <row r="1070">
      <c r="A1070" s="110" t="s">
        <v>200</v>
      </c>
      <c r="B1070" s="110"/>
      <c r="C1070" s="110"/>
      <c r="D1070" s="110"/>
      <c r="E1070" s="110"/>
      <c r="F1070" s="110"/>
      <c r="G1070" s="115"/>
      <c r="H1070" s="133"/>
      <c r="I1070" s="103"/>
      <c r="J1070" s="108"/>
      <c r="K1070" s="112"/>
      <c r="L1070" s="110"/>
      <c r="M1070" s="111"/>
      <c r="N1070" s="103"/>
      <c r="O1070" s="112"/>
      <c r="P1070" s="115"/>
      <c r="Q1070" s="114"/>
      <c r="R1070" s="108"/>
      <c r="S1070" s="115" t="s">
        <v>200</v>
      </c>
      <c r="T1070" s="103" t="b">
        <v>0</v>
      </c>
      <c r="U1070" s="103"/>
      <c r="V1070" s="103"/>
      <c r="W1070" s="103"/>
      <c r="X1070" s="103"/>
      <c r="Y1070" s="103"/>
      <c r="Z1070" s="103"/>
    </row>
    <row r="1071">
      <c r="A1071" s="110" t="s">
        <v>200</v>
      </c>
      <c r="B1071" s="110"/>
      <c r="C1071" s="110"/>
      <c r="D1071" s="110"/>
      <c r="E1071" s="110"/>
      <c r="F1071" s="110"/>
      <c r="G1071" s="115"/>
      <c r="H1071" s="133"/>
      <c r="I1071" s="103"/>
      <c r="J1071" s="108"/>
      <c r="K1071" s="112"/>
      <c r="L1071" s="110"/>
      <c r="M1071" s="111"/>
      <c r="N1071" s="103"/>
      <c r="O1071" s="112"/>
      <c r="P1071" s="115"/>
      <c r="Q1071" s="114"/>
      <c r="R1071" s="108"/>
      <c r="S1071" s="115" t="s">
        <v>200</v>
      </c>
      <c r="T1071" s="103" t="b">
        <v>0</v>
      </c>
      <c r="U1071" s="103"/>
      <c r="V1071" s="103"/>
      <c r="W1071" s="103"/>
      <c r="X1071" s="103"/>
      <c r="Y1071" s="103"/>
      <c r="Z1071" s="103"/>
    </row>
    <row r="1072">
      <c r="A1072" s="110" t="s">
        <v>200</v>
      </c>
      <c r="B1072" s="110"/>
      <c r="C1072" s="110"/>
      <c r="D1072" s="110"/>
      <c r="E1072" s="110"/>
      <c r="F1072" s="110"/>
      <c r="G1072" s="115"/>
      <c r="H1072" s="133"/>
      <c r="I1072" s="103"/>
      <c r="J1072" s="108"/>
      <c r="K1072" s="112"/>
      <c r="L1072" s="110"/>
      <c r="M1072" s="111"/>
      <c r="N1072" s="103"/>
      <c r="O1072" s="112"/>
      <c r="P1072" s="115"/>
      <c r="Q1072" s="114"/>
      <c r="R1072" s="108"/>
      <c r="S1072" s="115" t="s">
        <v>200</v>
      </c>
      <c r="T1072" s="103" t="b">
        <v>0</v>
      </c>
      <c r="U1072" s="103"/>
      <c r="V1072" s="103"/>
      <c r="W1072" s="103"/>
      <c r="X1072" s="103"/>
      <c r="Y1072" s="103"/>
      <c r="Z1072" s="103"/>
    </row>
    <row r="1073">
      <c r="A1073" s="110" t="s">
        <v>200</v>
      </c>
      <c r="B1073" s="110"/>
      <c r="C1073" s="110"/>
      <c r="D1073" s="110"/>
      <c r="E1073" s="110"/>
      <c r="F1073" s="110"/>
      <c r="G1073" s="115"/>
      <c r="H1073" s="133"/>
      <c r="I1073" s="103"/>
      <c r="J1073" s="108"/>
      <c r="K1073" s="112"/>
      <c r="L1073" s="110"/>
      <c r="M1073" s="111"/>
      <c r="N1073" s="103"/>
      <c r="O1073" s="112"/>
      <c r="P1073" s="115"/>
      <c r="Q1073" s="114"/>
      <c r="R1073" s="108"/>
      <c r="S1073" s="115" t="s">
        <v>200</v>
      </c>
      <c r="T1073" s="103" t="b">
        <v>0</v>
      </c>
      <c r="U1073" s="103"/>
      <c r="V1073" s="103"/>
      <c r="W1073" s="103"/>
      <c r="X1073" s="103"/>
      <c r="Y1073" s="103"/>
      <c r="Z1073" s="103"/>
    </row>
    <row r="1074">
      <c r="A1074" s="110" t="s">
        <v>200</v>
      </c>
      <c r="B1074" s="110"/>
      <c r="C1074" s="110"/>
      <c r="D1074" s="110"/>
      <c r="E1074" s="110"/>
      <c r="F1074" s="110"/>
      <c r="G1074" s="115"/>
      <c r="H1074" s="133"/>
      <c r="I1074" s="103"/>
      <c r="J1074" s="108"/>
      <c r="K1074" s="112"/>
      <c r="L1074" s="110"/>
      <c r="M1074" s="111"/>
      <c r="N1074" s="103"/>
      <c r="O1074" s="112"/>
      <c r="P1074" s="115"/>
      <c r="Q1074" s="114"/>
      <c r="R1074" s="108"/>
      <c r="S1074" s="115" t="s">
        <v>200</v>
      </c>
      <c r="T1074" s="103" t="b">
        <v>0</v>
      </c>
      <c r="U1074" s="103"/>
      <c r="V1074" s="103"/>
      <c r="W1074" s="103"/>
      <c r="X1074" s="103"/>
      <c r="Y1074" s="103"/>
      <c r="Z1074" s="103"/>
    </row>
    <row r="1075">
      <c r="A1075" s="110" t="s">
        <v>200</v>
      </c>
      <c r="B1075" s="110"/>
      <c r="C1075" s="110"/>
      <c r="D1075" s="110"/>
      <c r="E1075" s="110"/>
      <c r="F1075" s="110"/>
      <c r="G1075" s="115"/>
      <c r="H1075" s="133"/>
      <c r="I1075" s="103"/>
      <c r="J1075" s="108"/>
      <c r="K1075" s="112"/>
      <c r="L1075" s="110"/>
      <c r="M1075" s="111"/>
      <c r="N1075" s="103"/>
      <c r="O1075" s="112"/>
      <c r="P1075" s="115"/>
      <c r="Q1075" s="114"/>
      <c r="R1075" s="108"/>
      <c r="S1075" s="115" t="s">
        <v>200</v>
      </c>
      <c r="T1075" s="103" t="b">
        <v>0</v>
      </c>
      <c r="U1075" s="103"/>
      <c r="V1075" s="103"/>
      <c r="W1075" s="103"/>
      <c r="X1075" s="103"/>
      <c r="Y1075" s="103"/>
      <c r="Z1075" s="103"/>
    </row>
    <row r="1076">
      <c r="A1076" s="110" t="s">
        <v>200</v>
      </c>
      <c r="B1076" s="110"/>
      <c r="C1076" s="110"/>
      <c r="D1076" s="110"/>
      <c r="E1076" s="110"/>
      <c r="F1076" s="110"/>
      <c r="G1076" s="115"/>
      <c r="H1076" s="133"/>
      <c r="I1076" s="103"/>
      <c r="J1076" s="108"/>
      <c r="K1076" s="112"/>
      <c r="L1076" s="110"/>
      <c r="M1076" s="111"/>
      <c r="N1076" s="103"/>
      <c r="O1076" s="112"/>
      <c r="P1076" s="115"/>
      <c r="Q1076" s="114"/>
      <c r="R1076" s="108"/>
      <c r="S1076" s="115" t="s">
        <v>200</v>
      </c>
      <c r="T1076" s="103" t="b">
        <v>0</v>
      </c>
      <c r="U1076" s="103"/>
      <c r="V1076" s="103"/>
      <c r="W1076" s="103"/>
      <c r="X1076" s="103"/>
      <c r="Y1076" s="103"/>
      <c r="Z1076" s="103"/>
    </row>
    <row r="1077">
      <c r="A1077" s="110" t="s">
        <v>200</v>
      </c>
      <c r="B1077" s="110"/>
      <c r="C1077" s="110"/>
      <c r="D1077" s="110"/>
      <c r="E1077" s="110"/>
      <c r="F1077" s="110"/>
      <c r="G1077" s="115"/>
      <c r="H1077" s="133"/>
      <c r="I1077" s="103"/>
      <c r="J1077" s="108"/>
      <c r="K1077" s="112"/>
      <c r="L1077" s="110"/>
      <c r="M1077" s="111"/>
      <c r="N1077" s="103"/>
      <c r="O1077" s="112"/>
      <c r="P1077" s="115"/>
      <c r="Q1077" s="114"/>
      <c r="R1077" s="108"/>
      <c r="S1077" s="115" t="s">
        <v>200</v>
      </c>
      <c r="T1077" s="103" t="b">
        <v>0</v>
      </c>
      <c r="U1077" s="103"/>
      <c r="V1077" s="103"/>
      <c r="W1077" s="103"/>
      <c r="X1077" s="103"/>
      <c r="Y1077" s="103"/>
      <c r="Z1077" s="103"/>
    </row>
    <row r="1078">
      <c r="A1078" s="110" t="s">
        <v>200</v>
      </c>
      <c r="B1078" s="110"/>
      <c r="C1078" s="110"/>
      <c r="D1078" s="110"/>
      <c r="E1078" s="110"/>
      <c r="F1078" s="110"/>
      <c r="G1078" s="115"/>
      <c r="H1078" s="133"/>
      <c r="I1078" s="103"/>
      <c r="J1078" s="108"/>
      <c r="K1078" s="112"/>
      <c r="L1078" s="110"/>
      <c r="M1078" s="111"/>
      <c r="N1078" s="103"/>
      <c r="O1078" s="112"/>
      <c r="P1078" s="115"/>
      <c r="Q1078" s="114"/>
      <c r="R1078" s="108"/>
      <c r="S1078" s="115" t="s">
        <v>200</v>
      </c>
      <c r="T1078" s="103" t="b">
        <v>0</v>
      </c>
      <c r="U1078" s="103"/>
      <c r="V1078" s="103"/>
      <c r="W1078" s="103"/>
      <c r="X1078" s="103"/>
      <c r="Y1078" s="103"/>
      <c r="Z1078" s="103"/>
    </row>
    <row r="1079">
      <c r="A1079" s="110" t="s">
        <v>200</v>
      </c>
      <c r="B1079" s="110"/>
      <c r="C1079" s="110"/>
      <c r="D1079" s="110"/>
      <c r="E1079" s="110"/>
      <c r="F1079" s="110"/>
      <c r="G1079" s="115"/>
      <c r="H1079" s="133"/>
      <c r="I1079" s="103"/>
      <c r="J1079" s="108"/>
      <c r="K1079" s="112"/>
      <c r="L1079" s="110"/>
      <c r="M1079" s="111"/>
      <c r="N1079" s="103"/>
      <c r="O1079" s="112"/>
      <c r="P1079" s="115"/>
      <c r="Q1079" s="114"/>
      <c r="R1079" s="108"/>
      <c r="S1079" s="115" t="s">
        <v>200</v>
      </c>
      <c r="T1079" s="103" t="b">
        <v>0</v>
      </c>
      <c r="U1079" s="103"/>
      <c r="V1079" s="103"/>
      <c r="W1079" s="103"/>
      <c r="X1079" s="103"/>
      <c r="Y1079" s="103"/>
      <c r="Z1079" s="103"/>
    </row>
    <row r="1080">
      <c r="A1080" s="110" t="s">
        <v>200</v>
      </c>
      <c r="B1080" s="110"/>
      <c r="C1080" s="110"/>
      <c r="D1080" s="110"/>
      <c r="E1080" s="110"/>
      <c r="F1080" s="110"/>
      <c r="G1080" s="115"/>
      <c r="H1080" s="133"/>
      <c r="I1080" s="103"/>
      <c r="J1080" s="108"/>
      <c r="K1080" s="112"/>
      <c r="L1080" s="110"/>
      <c r="M1080" s="111"/>
      <c r="N1080" s="103"/>
      <c r="O1080" s="112"/>
      <c r="P1080" s="115"/>
      <c r="Q1080" s="114"/>
      <c r="R1080" s="108"/>
      <c r="S1080" s="115" t="s">
        <v>200</v>
      </c>
      <c r="T1080" s="103" t="b">
        <v>0</v>
      </c>
      <c r="U1080" s="103"/>
      <c r="V1080" s="103"/>
      <c r="W1080" s="103"/>
      <c r="X1080" s="103"/>
      <c r="Y1080" s="103"/>
      <c r="Z1080" s="103"/>
    </row>
    <row r="1081">
      <c r="A1081" s="110" t="s">
        <v>200</v>
      </c>
      <c r="B1081" s="110"/>
      <c r="C1081" s="110"/>
      <c r="D1081" s="110"/>
      <c r="E1081" s="110"/>
      <c r="F1081" s="110"/>
      <c r="G1081" s="115"/>
      <c r="H1081" s="133"/>
      <c r="I1081" s="103"/>
      <c r="J1081" s="108"/>
      <c r="K1081" s="112"/>
      <c r="L1081" s="110"/>
      <c r="M1081" s="111"/>
      <c r="N1081" s="103"/>
      <c r="O1081" s="112"/>
      <c r="P1081" s="115"/>
      <c r="Q1081" s="114"/>
      <c r="R1081" s="108"/>
      <c r="S1081" s="115" t="s">
        <v>200</v>
      </c>
      <c r="T1081" s="103" t="b">
        <v>0</v>
      </c>
      <c r="U1081" s="103"/>
      <c r="V1081" s="103"/>
      <c r="W1081" s="103"/>
      <c r="X1081" s="103"/>
      <c r="Y1081" s="103"/>
      <c r="Z1081" s="103"/>
    </row>
    <row r="1082">
      <c r="A1082" s="110" t="s">
        <v>200</v>
      </c>
      <c r="B1082" s="110"/>
      <c r="C1082" s="110"/>
      <c r="D1082" s="110"/>
      <c r="E1082" s="110"/>
      <c r="F1082" s="110"/>
      <c r="G1082" s="115"/>
      <c r="H1082" s="133"/>
      <c r="I1082" s="103"/>
      <c r="J1082" s="108"/>
      <c r="K1082" s="112"/>
      <c r="L1082" s="110"/>
      <c r="M1082" s="111"/>
      <c r="N1082" s="103"/>
      <c r="O1082" s="112"/>
      <c r="P1082" s="115"/>
      <c r="Q1082" s="114"/>
      <c r="R1082" s="108"/>
      <c r="S1082" s="115" t="s">
        <v>200</v>
      </c>
      <c r="T1082" s="103" t="b">
        <v>0</v>
      </c>
      <c r="U1082" s="103"/>
      <c r="V1082" s="103"/>
      <c r="W1082" s="103"/>
      <c r="X1082" s="103"/>
      <c r="Y1082" s="103"/>
      <c r="Z1082" s="103"/>
    </row>
    <row r="1083">
      <c r="A1083" s="110" t="s">
        <v>200</v>
      </c>
      <c r="B1083" s="110"/>
      <c r="C1083" s="110"/>
      <c r="D1083" s="110"/>
      <c r="E1083" s="110"/>
      <c r="F1083" s="110"/>
      <c r="G1083" s="115"/>
      <c r="H1083" s="133"/>
      <c r="I1083" s="103"/>
      <c r="J1083" s="108"/>
      <c r="K1083" s="112"/>
      <c r="L1083" s="110"/>
      <c r="M1083" s="111"/>
      <c r="N1083" s="103"/>
      <c r="O1083" s="112"/>
      <c r="P1083" s="115"/>
      <c r="Q1083" s="114"/>
      <c r="R1083" s="108"/>
      <c r="S1083" s="115" t="s">
        <v>200</v>
      </c>
      <c r="T1083" s="103" t="b">
        <v>0</v>
      </c>
      <c r="U1083" s="103"/>
      <c r="V1083" s="103"/>
      <c r="W1083" s="103"/>
      <c r="X1083" s="103"/>
      <c r="Y1083" s="103"/>
      <c r="Z1083" s="103"/>
    </row>
    <row r="1084">
      <c r="A1084" s="110" t="s">
        <v>200</v>
      </c>
      <c r="B1084" s="110"/>
      <c r="C1084" s="110"/>
      <c r="D1084" s="110"/>
      <c r="E1084" s="110"/>
      <c r="F1084" s="110"/>
      <c r="G1084" s="115"/>
      <c r="H1084" s="133"/>
      <c r="I1084" s="103"/>
      <c r="J1084" s="108"/>
      <c r="K1084" s="112"/>
      <c r="L1084" s="110"/>
      <c r="M1084" s="111"/>
      <c r="N1084" s="103"/>
      <c r="O1084" s="112"/>
      <c r="P1084" s="115"/>
      <c r="Q1084" s="114"/>
      <c r="R1084" s="108"/>
      <c r="S1084" s="115" t="s">
        <v>200</v>
      </c>
      <c r="T1084" s="103" t="b">
        <v>0</v>
      </c>
      <c r="U1084" s="103"/>
      <c r="V1084" s="103"/>
      <c r="W1084" s="103"/>
      <c r="X1084" s="103"/>
      <c r="Y1084" s="103"/>
      <c r="Z1084" s="103"/>
    </row>
    <row r="1085">
      <c r="A1085" s="110" t="s">
        <v>200</v>
      </c>
      <c r="B1085" s="110"/>
      <c r="C1085" s="110"/>
      <c r="D1085" s="110"/>
      <c r="E1085" s="110"/>
      <c r="F1085" s="110"/>
      <c r="G1085" s="115"/>
      <c r="H1085" s="133"/>
      <c r="I1085" s="103"/>
      <c r="J1085" s="108"/>
      <c r="K1085" s="112"/>
      <c r="L1085" s="110"/>
      <c r="M1085" s="111"/>
      <c r="N1085" s="103"/>
      <c r="O1085" s="112"/>
      <c r="P1085" s="115"/>
      <c r="Q1085" s="114"/>
      <c r="R1085" s="108"/>
      <c r="S1085" s="115" t="s">
        <v>200</v>
      </c>
      <c r="T1085" s="103" t="b">
        <v>0</v>
      </c>
      <c r="U1085" s="103"/>
      <c r="V1085" s="103"/>
      <c r="W1085" s="103"/>
      <c r="X1085" s="103"/>
      <c r="Y1085" s="103"/>
      <c r="Z1085" s="103"/>
    </row>
    <row r="1086">
      <c r="A1086" s="110" t="s">
        <v>200</v>
      </c>
      <c r="B1086" s="110"/>
      <c r="C1086" s="110"/>
      <c r="D1086" s="110"/>
      <c r="E1086" s="110"/>
      <c r="F1086" s="110"/>
      <c r="G1086" s="115"/>
      <c r="H1086" s="133"/>
      <c r="I1086" s="103"/>
      <c r="J1086" s="108"/>
      <c r="K1086" s="112"/>
      <c r="L1086" s="110"/>
      <c r="M1086" s="111"/>
      <c r="N1086" s="103"/>
      <c r="O1086" s="112"/>
      <c r="P1086" s="115"/>
      <c r="Q1086" s="114"/>
      <c r="R1086" s="108"/>
      <c r="S1086" s="115" t="s">
        <v>200</v>
      </c>
      <c r="T1086" s="103" t="b">
        <v>0</v>
      </c>
      <c r="U1086" s="103"/>
      <c r="V1086" s="103"/>
      <c r="W1086" s="103"/>
      <c r="X1086" s="103"/>
      <c r="Y1086" s="103"/>
      <c r="Z1086" s="103"/>
    </row>
    <row r="1087">
      <c r="A1087" s="110" t="s">
        <v>200</v>
      </c>
      <c r="B1087" s="110"/>
      <c r="C1087" s="110"/>
      <c r="D1087" s="110"/>
      <c r="E1087" s="110"/>
      <c r="F1087" s="110"/>
      <c r="G1087" s="115"/>
      <c r="H1087" s="133"/>
      <c r="I1087" s="103"/>
      <c r="J1087" s="108"/>
      <c r="K1087" s="112"/>
      <c r="L1087" s="110"/>
      <c r="M1087" s="111"/>
      <c r="N1087" s="103"/>
      <c r="O1087" s="112"/>
      <c r="P1087" s="115"/>
      <c r="Q1087" s="114"/>
      <c r="R1087" s="108"/>
      <c r="S1087" s="115" t="s">
        <v>200</v>
      </c>
      <c r="T1087" s="103" t="b">
        <v>0</v>
      </c>
      <c r="U1087" s="103"/>
      <c r="V1087" s="103"/>
      <c r="W1087" s="103"/>
      <c r="X1087" s="103"/>
      <c r="Y1087" s="103"/>
      <c r="Z1087" s="103"/>
    </row>
    <row r="1088">
      <c r="A1088" s="110" t="s">
        <v>200</v>
      </c>
      <c r="B1088" s="110"/>
      <c r="C1088" s="110"/>
      <c r="D1088" s="110"/>
      <c r="E1088" s="110"/>
      <c r="F1088" s="110"/>
      <c r="G1088" s="115"/>
      <c r="H1088" s="133"/>
      <c r="I1088" s="103"/>
      <c r="J1088" s="108"/>
      <c r="K1088" s="112"/>
      <c r="L1088" s="110"/>
      <c r="M1088" s="111"/>
      <c r="N1088" s="103"/>
      <c r="O1088" s="112"/>
      <c r="P1088" s="115"/>
      <c r="Q1088" s="114"/>
      <c r="R1088" s="108"/>
      <c r="S1088" s="115" t="s">
        <v>200</v>
      </c>
      <c r="T1088" s="103" t="b">
        <v>0</v>
      </c>
      <c r="U1088" s="103"/>
      <c r="V1088" s="103"/>
      <c r="W1088" s="103"/>
      <c r="X1088" s="103"/>
      <c r="Y1088" s="103"/>
      <c r="Z1088" s="103"/>
    </row>
    <row r="1089">
      <c r="A1089" s="110" t="s">
        <v>200</v>
      </c>
      <c r="B1089" s="110"/>
      <c r="C1089" s="110"/>
      <c r="D1089" s="110"/>
      <c r="E1089" s="110"/>
      <c r="F1089" s="110"/>
      <c r="G1089" s="115"/>
      <c r="H1089" s="133"/>
      <c r="I1089" s="103"/>
      <c r="J1089" s="108"/>
      <c r="K1089" s="112"/>
      <c r="L1089" s="110"/>
      <c r="M1089" s="111"/>
      <c r="N1089" s="103"/>
      <c r="O1089" s="112"/>
      <c r="P1089" s="115"/>
      <c r="Q1089" s="114"/>
      <c r="R1089" s="108"/>
      <c r="S1089" s="115" t="s">
        <v>200</v>
      </c>
      <c r="T1089" s="103" t="b">
        <v>0</v>
      </c>
      <c r="U1089" s="103"/>
      <c r="V1089" s="103"/>
      <c r="W1089" s="103"/>
      <c r="X1089" s="103"/>
      <c r="Y1089" s="103"/>
      <c r="Z1089" s="103"/>
    </row>
    <row r="1090">
      <c r="A1090" s="110" t="s">
        <v>200</v>
      </c>
      <c r="B1090" s="110"/>
      <c r="C1090" s="110"/>
      <c r="D1090" s="110"/>
      <c r="E1090" s="110"/>
      <c r="F1090" s="110"/>
      <c r="G1090" s="115"/>
      <c r="H1090" s="133"/>
      <c r="I1090" s="103"/>
      <c r="J1090" s="108"/>
      <c r="K1090" s="112"/>
      <c r="L1090" s="110"/>
      <c r="M1090" s="111"/>
      <c r="N1090" s="103"/>
      <c r="O1090" s="112"/>
      <c r="P1090" s="115"/>
      <c r="Q1090" s="114"/>
      <c r="R1090" s="108"/>
      <c r="S1090" s="115" t="s">
        <v>200</v>
      </c>
      <c r="T1090" s="103" t="b">
        <v>0</v>
      </c>
      <c r="U1090" s="103"/>
      <c r="V1090" s="103"/>
      <c r="W1090" s="103"/>
      <c r="X1090" s="103"/>
      <c r="Y1090" s="103"/>
      <c r="Z1090" s="103"/>
    </row>
    <row r="1091">
      <c r="A1091" s="110" t="s">
        <v>200</v>
      </c>
      <c r="B1091" s="110"/>
      <c r="C1091" s="110"/>
      <c r="D1091" s="110"/>
      <c r="E1091" s="110"/>
      <c r="F1091" s="110"/>
      <c r="G1091" s="115"/>
      <c r="H1091" s="133"/>
      <c r="I1091" s="103"/>
      <c r="J1091" s="108"/>
      <c r="K1091" s="112"/>
      <c r="L1091" s="110"/>
      <c r="M1091" s="111"/>
      <c r="N1091" s="103"/>
      <c r="O1091" s="112"/>
      <c r="P1091" s="115"/>
      <c r="Q1091" s="114"/>
      <c r="R1091" s="108"/>
      <c r="S1091" s="115" t="s">
        <v>200</v>
      </c>
      <c r="T1091" s="103" t="b">
        <v>0</v>
      </c>
      <c r="U1091" s="103"/>
      <c r="V1091" s="103"/>
      <c r="W1091" s="103"/>
      <c r="X1091" s="103"/>
      <c r="Y1091" s="103"/>
      <c r="Z1091" s="103"/>
    </row>
    <row r="1092">
      <c r="A1092" s="110" t="s">
        <v>200</v>
      </c>
      <c r="B1092" s="110"/>
      <c r="C1092" s="110"/>
      <c r="D1092" s="110"/>
      <c r="E1092" s="110"/>
      <c r="F1092" s="110"/>
      <c r="G1092" s="115"/>
      <c r="H1092" s="133"/>
      <c r="I1092" s="103"/>
      <c r="J1092" s="108"/>
      <c r="K1092" s="112"/>
      <c r="L1092" s="110"/>
      <c r="M1092" s="111"/>
      <c r="N1092" s="103"/>
      <c r="O1092" s="112"/>
      <c r="P1092" s="115"/>
      <c r="Q1092" s="114"/>
      <c r="R1092" s="108"/>
      <c r="S1092" s="115" t="s">
        <v>200</v>
      </c>
      <c r="T1092" s="103" t="b">
        <v>0</v>
      </c>
      <c r="U1092" s="103"/>
      <c r="V1092" s="103"/>
      <c r="W1092" s="103"/>
      <c r="X1092" s="103"/>
      <c r="Y1092" s="103"/>
      <c r="Z1092" s="103"/>
    </row>
    <row r="1093">
      <c r="A1093" s="110" t="s">
        <v>200</v>
      </c>
      <c r="B1093" s="110"/>
      <c r="C1093" s="110"/>
      <c r="D1093" s="110"/>
      <c r="E1093" s="110"/>
      <c r="F1093" s="110"/>
      <c r="G1093" s="115"/>
      <c r="H1093" s="133"/>
      <c r="I1093" s="103"/>
      <c r="J1093" s="108"/>
      <c r="K1093" s="112"/>
      <c r="L1093" s="110"/>
      <c r="M1093" s="111"/>
      <c r="N1093" s="103"/>
      <c r="O1093" s="112"/>
      <c r="P1093" s="115"/>
      <c r="Q1093" s="114"/>
      <c r="R1093" s="108"/>
      <c r="S1093" s="115" t="s">
        <v>200</v>
      </c>
      <c r="T1093" s="103" t="b">
        <v>0</v>
      </c>
      <c r="U1093" s="103"/>
      <c r="V1093" s="103"/>
      <c r="W1093" s="103"/>
      <c r="X1093" s="103"/>
      <c r="Y1093" s="103"/>
      <c r="Z1093" s="103"/>
    </row>
    <row r="1094">
      <c r="A1094" s="110" t="s">
        <v>200</v>
      </c>
      <c r="B1094" s="110"/>
      <c r="C1094" s="110"/>
      <c r="D1094" s="110"/>
      <c r="E1094" s="110"/>
      <c r="F1094" s="110"/>
      <c r="G1094" s="115"/>
      <c r="H1094" s="133"/>
      <c r="I1094" s="103"/>
      <c r="J1094" s="108"/>
      <c r="K1094" s="112"/>
      <c r="L1094" s="110"/>
      <c r="M1094" s="111"/>
      <c r="N1094" s="103"/>
      <c r="O1094" s="112"/>
      <c r="P1094" s="115"/>
      <c r="Q1094" s="114"/>
      <c r="R1094" s="108"/>
      <c r="S1094" s="115" t="s">
        <v>200</v>
      </c>
      <c r="T1094" s="103" t="b">
        <v>0</v>
      </c>
      <c r="U1094" s="103"/>
      <c r="V1094" s="103"/>
      <c r="W1094" s="103"/>
      <c r="X1094" s="103"/>
      <c r="Y1094" s="103"/>
      <c r="Z1094" s="103"/>
    </row>
    <row r="1095">
      <c r="A1095" s="110" t="s">
        <v>200</v>
      </c>
      <c r="B1095" s="110"/>
      <c r="C1095" s="110"/>
      <c r="D1095" s="110"/>
      <c r="E1095" s="110"/>
      <c r="F1095" s="110"/>
      <c r="G1095" s="115"/>
      <c r="H1095" s="133"/>
      <c r="I1095" s="103"/>
      <c r="J1095" s="108"/>
      <c r="K1095" s="112"/>
      <c r="L1095" s="110"/>
      <c r="M1095" s="111"/>
      <c r="N1095" s="103"/>
      <c r="O1095" s="112"/>
      <c r="P1095" s="115"/>
      <c r="Q1095" s="114"/>
      <c r="R1095" s="108"/>
      <c r="S1095" s="115" t="s">
        <v>200</v>
      </c>
      <c r="T1095" s="103" t="b">
        <v>0</v>
      </c>
      <c r="U1095" s="103"/>
      <c r="V1095" s="103"/>
      <c r="W1095" s="103"/>
      <c r="X1095" s="103"/>
      <c r="Y1095" s="103"/>
      <c r="Z1095" s="103"/>
    </row>
    <row r="1096">
      <c r="A1096" s="110" t="s">
        <v>200</v>
      </c>
      <c r="B1096" s="110"/>
      <c r="C1096" s="110"/>
      <c r="D1096" s="110"/>
      <c r="E1096" s="110"/>
      <c r="F1096" s="110"/>
      <c r="G1096" s="115"/>
      <c r="H1096" s="133"/>
      <c r="I1096" s="103"/>
      <c r="J1096" s="108"/>
      <c r="K1096" s="112"/>
      <c r="L1096" s="110"/>
      <c r="M1096" s="111"/>
      <c r="N1096" s="103"/>
      <c r="O1096" s="112"/>
      <c r="P1096" s="115"/>
      <c r="Q1096" s="114"/>
      <c r="R1096" s="108"/>
      <c r="S1096" s="115" t="s">
        <v>200</v>
      </c>
      <c r="T1096" s="103" t="b">
        <v>0</v>
      </c>
      <c r="U1096" s="103"/>
      <c r="V1096" s="103"/>
      <c r="W1096" s="103"/>
      <c r="X1096" s="103"/>
      <c r="Y1096" s="103"/>
      <c r="Z1096" s="103"/>
    </row>
    <row r="1097">
      <c r="A1097" s="110" t="s">
        <v>200</v>
      </c>
      <c r="B1097" s="110"/>
      <c r="C1097" s="110"/>
      <c r="D1097" s="110"/>
      <c r="E1097" s="110"/>
      <c r="F1097" s="110"/>
      <c r="G1097" s="115"/>
      <c r="H1097" s="133"/>
      <c r="I1097" s="103"/>
      <c r="J1097" s="108"/>
      <c r="K1097" s="112"/>
      <c r="L1097" s="110"/>
      <c r="M1097" s="111"/>
      <c r="N1097" s="103"/>
      <c r="O1097" s="112"/>
      <c r="P1097" s="115"/>
      <c r="Q1097" s="114"/>
      <c r="R1097" s="108"/>
      <c r="S1097" s="115" t="s">
        <v>200</v>
      </c>
      <c r="T1097" s="103" t="b">
        <v>0</v>
      </c>
      <c r="U1097" s="103"/>
      <c r="V1097" s="103"/>
      <c r="W1097" s="103"/>
      <c r="X1097" s="103"/>
      <c r="Y1097" s="103"/>
      <c r="Z1097" s="103"/>
    </row>
    <row r="1098">
      <c r="A1098" s="110" t="s">
        <v>200</v>
      </c>
      <c r="B1098" s="110"/>
      <c r="C1098" s="110"/>
      <c r="D1098" s="110"/>
      <c r="E1098" s="110"/>
      <c r="F1098" s="110"/>
      <c r="G1098" s="115"/>
      <c r="H1098" s="133"/>
      <c r="I1098" s="103"/>
      <c r="J1098" s="108"/>
      <c r="K1098" s="112"/>
      <c r="L1098" s="110"/>
      <c r="M1098" s="111"/>
      <c r="N1098" s="103"/>
      <c r="O1098" s="112"/>
      <c r="P1098" s="115"/>
      <c r="Q1098" s="114"/>
      <c r="R1098" s="108"/>
      <c r="S1098" s="115" t="s">
        <v>200</v>
      </c>
      <c r="T1098" s="103" t="b">
        <v>0</v>
      </c>
      <c r="U1098" s="103"/>
      <c r="V1098" s="103"/>
      <c r="W1098" s="103"/>
      <c r="X1098" s="103"/>
      <c r="Y1098" s="103"/>
      <c r="Z1098" s="103"/>
    </row>
    <row r="1099">
      <c r="A1099" s="110" t="s">
        <v>200</v>
      </c>
      <c r="B1099" s="110"/>
      <c r="C1099" s="110"/>
      <c r="D1099" s="110"/>
      <c r="E1099" s="110"/>
      <c r="F1099" s="110"/>
      <c r="G1099" s="115"/>
      <c r="H1099" s="133"/>
      <c r="I1099" s="103"/>
      <c r="J1099" s="108"/>
      <c r="K1099" s="112"/>
      <c r="L1099" s="110"/>
      <c r="M1099" s="111"/>
      <c r="N1099" s="103"/>
      <c r="O1099" s="112"/>
      <c r="P1099" s="115"/>
      <c r="Q1099" s="114"/>
      <c r="R1099" s="108"/>
      <c r="S1099" s="115" t="s">
        <v>200</v>
      </c>
      <c r="T1099" s="103" t="b">
        <v>0</v>
      </c>
      <c r="U1099" s="103"/>
      <c r="V1099" s="103"/>
      <c r="W1099" s="103"/>
      <c r="X1099" s="103"/>
      <c r="Y1099" s="103"/>
      <c r="Z1099" s="103"/>
    </row>
    <row r="1100">
      <c r="A1100" s="110" t="s">
        <v>200</v>
      </c>
      <c r="B1100" s="110"/>
      <c r="C1100" s="110"/>
      <c r="D1100" s="110"/>
      <c r="E1100" s="110"/>
      <c r="F1100" s="110"/>
      <c r="G1100" s="115"/>
      <c r="H1100" s="133"/>
      <c r="I1100" s="103"/>
      <c r="J1100" s="108"/>
      <c r="K1100" s="112"/>
      <c r="L1100" s="110"/>
      <c r="M1100" s="111"/>
      <c r="N1100" s="103"/>
      <c r="O1100" s="112"/>
      <c r="P1100" s="115"/>
      <c r="Q1100" s="114"/>
      <c r="R1100" s="108"/>
      <c r="S1100" s="115" t="s">
        <v>200</v>
      </c>
      <c r="T1100" s="103" t="b">
        <v>0</v>
      </c>
      <c r="U1100" s="103"/>
      <c r="V1100" s="103"/>
      <c r="W1100" s="103"/>
      <c r="X1100" s="103"/>
      <c r="Y1100" s="103"/>
      <c r="Z1100" s="103"/>
    </row>
    <row r="1101">
      <c r="A1101" s="110" t="s">
        <v>200</v>
      </c>
      <c r="B1101" s="110"/>
      <c r="C1101" s="110"/>
      <c r="D1101" s="110"/>
      <c r="E1101" s="110"/>
      <c r="F1101" s="110"/>
      <c r="G1101" s="115"/>
      <c r="H1101" s="133"/>
      <c r="I1101" s="103"/>
      <c r="J1101" s="108"/>
      <c r="K1101" s="112"/>
      <c r="L1101" s="110"/>
      <c r="M1101" s="111"/>
      <c r="N1101" s="103"/>
      <c r="O1101" s="112"/>
      <c r="P1101" s="115"/>
      <c r="Q1101" s="114"/>
      <c r="R1101" s="108"/>
      <c r="S1101" s="115" t="s">
        <v>200</v>
      </c>
      <c r="T1101" s="103" t="b">
        <v>0</v>
      </c>
      <c r="U1101" s="103"/>
      <c r="V1101" s="103"/>
      <c r="W1101" s="103"/>
      <c r="X1101" s="103"/>
      <c r="Y1101" s="103"/>
      <c r="Z1101" s="103"/>
    </row>
    <row r="1102">
      <c r="A1102" s="110" t="s">
        <v>200</v>
      </c>
      <c r="B1102" s="110"/>
      <c r="C1102" s="110"/>
      <c r="D1102" s="110"/>
      <c r="E1102" s="110"/>
      <c r="F1102" s="110"/>
      <c r="G1102" s="115"/>
      <c r="H1102" s="133"/>
      <c r="I1102" s="103"/>
      <c r="J1102" s="108"/>
      <c r="K1102" s="112"/>
      <c r="L1102" s="110"/>
      <c r="M1102" s="111"/>
      <c r="N1102" s="103"/>
      <c r="O1102" s="112"/>
      <c r="P1102" s="115"/>
      <c r="Q1102" s="114"/>
      <c r="R1102" s="108"/>
      <c r="S1102" s="115" t="s">
        <v>200</v>
      </c>
      <c r="T1102" s="103" t="b">
        <v>0</v>
      </c>
      <c r="U1102" s="103"/>
      <c r="V1102" s="103"/>
      <c r="W1102" s="103"/>
      <c r="X1102" s="103"/>
      <c r="Y1102" s="103"/>
      <c r="Z1102" s="103"/>
    </row>
    <row r="1103">
      <c r="A1103" s="110" t="s">
        <v>200</v>
      </c>
      <c r="B1103" s="110"/>
      <c r="C1103" s="110"/>
      <c r="D1103" s="110"/>
      <c r="E1103" s="110"/>
      <c r="F1103" s="110"/>
      <c r="G1103" s="115"/>
      <c r="H1103" s="133"/>
      <c r="I1103" s="103"/>
      <c r="J1103" s="108"/>
      <c r="K1103" s="112"/>
      <c r="L1103" s="110"/>
      <c r="M1103" s="111"/>
      <c r="N1103" s="103"/>
      <c r="O1103" s="112"/>
      <c r="P1103" s="115"/>
      <c r="Q1103" s="114"/>
      <c r="R1103" s="108"/>
      <c r="S1103" s="115" t="s">
        <v>200</v>
      </c>
      <c r="T1103" s="103" t="b">
        <v>0</v>
      </c>
      <c r="U1103" s="103"/>
      <c r="V1103" s="103"/>
      <c r="W1103" s="103"/>
      <c r="X1103" s="103"/>
      <c r="Y1103" s="103"/>
      <c r="Z1103" s="103"/>
    </row>
    <row r="1104">
      <c r="A1104" s="110" t="s">
        <v>200</v>
      </c>
      <c r="B1104" s="110"/>
      <c r="C1104" s="110"/>
      <c r="D1104" s="110"/>
      <c r="E1104" s="110"/>
      <c r="F1104" s="110"/>
      <c r="G1104" s="115"/>
      <c r="H1104" s="133"/>
      <c r="I1104" s="103"/>
      <c r="J1104" s="108"/>
      <c r="K1104" s="112"/>
      <c r="L1104" s="110"/>
      <c r="M1104" s="111"/>
      <c r="N1104" s="103"/>
      <c r="O1104" s="112"/>
      <c r="P1104" s="115"/>
      <c r="Q1104" s="114"/>
      <c r="R1104" s="108"/>
      <c r="S1104" s="115" t="s">
        <v>200</v>
      </c>
      <c r="T1104" s="103" t="b">
        <v>0</v>
      </c>
      <c r="U1104" s="103"/>
      <c r="V1104" s="103"/>
      <c r="W1104" s="103"/>
      <c r="X1104" s="103"/>
      <c r="Y1104" s="103"/>
      <c r="Z1104" s="103"/>
    </row>
    <row r="1105">
      <c r="A1105" s="110" t="s">
        <v>200</v>
      </c>
      <c r="B1105" s="110"/>
      <c r="C1105" s="110"/>
      <c r="D1105" s="110"/>
      <c r="E1105" s="110"/>
      <c r="F1105" s="110"/>
      <c r="G1105" s="115"/>
      <c r="H1105" s="133"/>
      <c r="I1105" s="103"/>
      <c r="J1105" s="108"/>
      <c r="K1105" s="112"/>
      <c r="L1105" s="110"/>
      <c r="M1105" s="111"/>
      <c r="N1105" s="103"/>
      <c r="O1105" s="112"/>
      <c r="P1105" s="115"/>
      <c r="Q1105" s="114"/>
      <c r="R1105" s="108"/>
      <c r="S1105" s="115" t="s">
        <v>200</v>
      </c>
      <c r="T1105" s="103" t="b">
        <v>0</v>
      </c>
      <c r="U1105" s="103"/>
      <c r="V1105" s="103"/>
      <c r="W1105" s="103"/>
      <c r="X1105" s="103"/>
      <c r="Y1105" s="103"/>
      <c r="Z1105" s="103"/>
    </row>
    <row r="1106">
      <c r="A1106" s="110" t="s">
        <v>200</v>
      </c>
      <c r="B1106" s="110"/>
      <c r="C1106" s="110"/>
      <c r="D1106" s="110"/>
      <c r="E1106" s="110"/>
      <c r="F1106" s="110"/>
      <c r="G1106" s="115"/>
      <c r="H1106" s="133"/>
      <c r="I1106" s="103"/>
      <c r="J1106" s="108"/>
      <c r="K1106" s="112"/>
      <c r="L1106" s="110"/>
      <c r="M1106" s="111"/>
      <c r="N1106" s="103"/>
      <c r="O1106" s="112"/>
      <c r="P1106" s="115"/>
      <c r="Q1106" s="114"/>
      <c r="R1106" s="108"/>
      <c r="S1106" s="115" t="s">
        <v>200</v>
      </c>
      <c r="T1106" s="103" t="b">
        <v>0</v>
      </c>
      <c r="U1106" s="103"/>
      <c r="V1106" s="103"/>
      <c r="W1106" s="103"/>
      <c r="X1106" s="103"/>
      <c r="Y1106" s="103"/>
      <c r="Z1106" s="103"/>
    </row>
    <row r="1107">
      <c r="A1107" s="110" t="s">
        <v>200</v>
      </c>
      <c r="B1107" s="110"/>
      <c r="C1107" s="110"/>
      <c r="D1107" s="110"/>
      <c r="E1107" s="110"/>
      <c r="F1107" s="110"/>
      <c r="G1107" s="115"/>
      <c r="H1107" s="133"/>
      <c r="I1107" s="103"/>
      <c r="J1107" s="108"/>
      <c r="K1107" s="112"/>
      <c r="L1107" s="110"/>
      <c r="M1107" s="111"/>
      <c r="N1107" s="103"/>
      <c r="O1107" s="112"/>
      <c r="P1107" s="115"/>
      <c r="Q1107" s="114"/>
      <c r="R1107" s="108"/>
      <c r="S1107" s="115" t="s">
        <v>200</v>
      </c>
      <c r="T1107" s="103" t="b">
        <v>0</v>
      </c>
      <c r="U1107" s="103"/>
      <c r="V1107" s="103"/>
      <c r="W1107" s="103"/>
      <c r="X1107" s="103"/>
      <c r="Y1107" s="103"/>
      <c r="Z1107" s="103"/>
    </row>
    <row r="1108">
      <c r="A1108" s="110" t="s">
        <v>200</v>
      </c>
      <c r="B1108" s="110"/>
      <c r="C1108" s="110"/>
      <c r="D1108" s="110"/>
      <c r="E1108" s="110"/>
      <c r="F1108" s="110"/>
      <c r="G1108" s="115"/>
      <c r="H1108" s="133"/>
      <c r="I1108" s="103"/>
      <c r="J1108" s="108"/>
      <c r="K1108" s="112"/>
      <c r="L1108" s="110"/>
      <c r="M1108" s="111"/>
      <c r="N1108" s="103"/>
      <c r="O1108" s="112"/>
      <c r="P1108" s="115"/>
      <c r="Q1108" s="114"/>
      <c r="R1108" s="108"/>
      <c r="S1108" s="115" t="s">
        <v>200</v>
      </c>
      <c r="T1108" s="103" t="b">
        <v>0</v>
      </c>
      <c r="U1108" s="103"/>
      <c r="V1108" s="103"/>
      <c r="W1108" s="103"/>
      <c r="X1108" s="103"/>
      <c r="Y1108" s="103"/>
      <c r="Z1108" s="103"/>
    </row>
    <row r="1109">
      <c r="A1109" s="110" t="s">
        <v>200</v>
      </c>
      <c r="B1109" s="110"/>
      <c r="C1109" s="110"/>
      <c r="D1109" s="110"/>
      <c r="E1109" s="110"/>
      <c r="F1109" s="110"/>
      <c r="G1109" s="115"/>
      <c r="H1109" s="133"/>
      <c r="I1109" s="103"/>
      <c r="J1109" s="108"/>
      <c r="K1109" s="112"/>
      <c r="L1109" s="110"/>
      <c r="M1109" s="111"/>
      <c r="N1109" s="103"/>
      <c r="O1109" s="112"/>
      <c r="P1109" s="115"/>
      <c r="Q1109" s="114"/>
      <c r="R1109" s="108"/>
      <c r="S1109" s="115" t="s">
        <v>200</v>
      </c>
      <c r="T1109" s="103" t="b">
        <v>0</v>
      </c>
      <c r="U1109" s="103"/>
      <c r="V1109" s="103"/>
      <c r="W1109" s="103"/>
      <c r="X1109" s="103"/>
      <c r="Y1109" s="103"/>
      <c r="Z1109" s="103"/>
    </row>
    <row r="1110">
      <c r="A1110" s="110" t="s">
        <v>200</v>
      </c>
      <c r="B1110" s="110"/>
      <c r="C1110" s="110"/>
      <c r="D1110" s="110"/>
      <c r="E1110" s="110"/>
      <c r="F1110" s="110"/>
      <c r="G1110" s="115"/>
      <c r="H1110" s="133"/>
      <c r="I1110" s="103"/>
      <c r="J1110" s="108"/>
      <c r="K1110" s="112"/>
      <c r="L1110" s="110"/>
      <c r="M1110" s="111"/>
      <c r="N1110" s="103"/>
      <c r="O1110" s="112"/>
      <c r="P1110" s="115"/>
      <c r="Q1110" s="114"/>
      <c r="R1110" s="108"/>
      <c r="S1110" s="115" t="s">
        <v>200</v>
      </c>
      <c r="T1110" s="103" t="b">
        <v>0</v>
      </c>
      <c r="U1110" s="103"/>
      <c r="V1110" s="103"/>
      <c r="W1110" s="103"/>
      <c r="X1110" s="103"/>
      <c r="Y1110" s="103"/>
      <c r="Z1110" s="103"/>
    </row>
    <row r="1111">
      <c r="A1111" s="110" t="s">
        <v>200</v>
      </c>
      <c r="B1111" s="110"/>
      <c r="C1111" s="110"/>
      <c r="D1111" s="110"/>
      <c r="E1111" s="110"/>
      <c r="F1111" s="110"/>
      <c r="G1111" s="115"/>
      <c r="H1111" s="133"/>
      <c r="I1111" s="103"/>
      <c r="J1111" s="108"/>
      <c r="K1111" s="112"/>
      <c r="L1111" s="110"/>
      <c r="M1111" s="111"/>
      <c r="N1111" s="103"/>
      <c r="O1111" s="112"/>
      <c r="P1111" s="115"/>
      <c r="Q1111" s="114"/>
      <c r="R1111" s="108"/>
      <c r="S1111" s="115" t="s">
        <v>200</v>
      </c>
      <c r="T1111" s="103" t="b">
        <v>0</v>
      </c>
      <c r="U1111" s="103"/>
      <c r="V1111" s="103"/>
      <c r="W1111" s="103"/>
      <c r="X1111" s="103"/>
      <c r="Y1111" s="103"/>
      <c r="Z1111" s="103"/>
    </row>
    <row r="1112">
      <c r="A1112" s="110" t="s">
        <v>200</v>
      </c>
      <c r="B1112" s="110"/>
      <c r="C1112" s="110"/>
      <c r="D1112" s="110"/>
      <c r="E1112" s="110"/>
      <c r="F1112" s="110"/>
      <c r="G1112" s="115"/>
      <c r="H1112" s="133"/>
      <c r="I1112" s="103"/>
      <c r="J1112" s="108"/>
      <c r="K1112" s="112"/>
      <c r="L1112" s="110"/>
      <c r="M1112" s="111"/>
      <c r="N1112" s="103"/>
      <c r="O1112" s="112"/>
      <c r="P1112" s="115"/>
      <c r="Q1112" s="114"/>
      <c r="R1112" s="108"/>
      <c r="S1112" s="115" t="s">
        <v>200</v>
      </c>
      <c r="T1112" s="103" t="b">
        <v>0</v>
      </c>
      <c r="U1112" s="103"/>
      <c r="V1112" s="103"/>
      <c r="W1112" s="103"/>
      <c r="X1112" s="103"/>
      <c r="Y1112" s="103"/>
      <c r="Z1112" s="103"/>
    </row>
    <row r="1113">
      <c r="A1113" s="110" t="s">
        <v>200</v>
      </c>
      <c r="B1113" s="110"/>
      <c r="C1113" s="110"/>
      <c r="D1113" s="110"/>
      <c r="E1113" s="110"/>
      <c r="F1113" s="110"/>
      <c r="G1113" s="115"/>
      <c r="H1113" s="133"/>
      <c r="I1113" s="103"/>
      <c r="J1113" s="108"/>
      <c r="K1113" s="112"/>
      <c r="L1113" s="110"/>
      <c r="M1113" s="111"/>
      <c r="N1113" s="103"/>
      <c r="O1113" s="112"/>
      <c r="P1113" s="115"/>
      <c r="Q1113" s="114"/>
      <c r="R1113" s="108"/>
      <c r="S1113" s="115" t="s">
        <v>200</v>
      </c>
      <c r="T1113" s="103" t="b">
        <v>0</v>
      </c>
      <c r="U1113" s="103"/>
      <c r="V1113" s="103"/>
      <c r="W1113" s="103"/>
      <c r="X1113" s="103"/>
      <c r="Y1113" s="103"/>
      <c r="Z1113" s="103"/>
    </row>
    <row r="1114">
      <c r="A1114" s="110" t="s">
        <v>200</v>
      </c>
      <c r="B1114" s="110"/>
      <c r="C1114" s="110"/>
      <c r="D1114" s="110"/>
      <c r="E1114" s="110"/>
      <c r="F1114" s="110"/>
      <c r="G1114" s="115"/>
      <c r="H1114" s="133"/>
      <c r="I1114" s="103"/>
      <c r="J1114" s="108"/>
      <c r="K1114" s="112"/>
      <c r="L1114" s="110"/>
      <c r="M1114" s="111"/>
      <c r="N1114" s="103"/>
      <c r="O1114" s="112"/>
      <c r="P1114" s="115"/>
      <c r="Q1114" s="114"/>
      <c r="R1114" s="108"/>
      <c r="S1114" s="115" t="s">
        <v>200</v>
      </c>
      <c r="T1114" s="103" t="b">
        <v>0</v>
      </c>
      <c r="U1114" s="103"/>
      <c r="V1114" s="103"/>
      <c r="W1114" s="103"/>
      <c r="X1114" s="103"/>
      <c r="Y1114" s="103"/>
      <c r="Z1114" s="103"/>
    </row>
    <row r="1115">
      <c r="A1115" s="110" t="s">
        <v>200</v>
      </c>
      <c r="B1115" s="110"/>
      <c r="C1115" s="110"/>
      <c r="D1115" s="110"/>
      <c r="E1115" s="110"/>
      <c r="F1115" s="110"/>
      <c r="G1115" s="115"/>
      <c r="H1115" s="133"/>
      <c r="I1115" s="103"/>
      <c r="J1115" s="108"/>
      <c r="K1115" s="112"/>
      <c r="L1115" s="110"/>
      <c r="M1115" s="111"/>
      <c r="N1115" s="103"/>
      <c r="O1115" s="112"/>
      <c r="P1115" s="115"/>
      <c r="Q1115" s="114"/>
      <c r="R1115" s="108"/>
      <c r="S1115" s="115" t="s">
        <v>200</v>
      </c>
      <c r="T1115" s="103" t="b">
        <v>0</v>
      </c>
      <c r="U1115" s="103"/>
      <c r="V1115" s="103"/>
      <c r="W1115" s="103"/>
      <c r="X1115" s="103"/>
      <c r="Y1115" s="103"/>
      <c r="Z1115" s="103"/>
    </row>
    <row r="1116">
      <c r="A1116" s="110" t="s">
        <v>200</v>
      </c>
      <c r="B1116" s="110"/>
      <c r="C1116" s="110"/>
      <c r="D1116" s="110"/>
      <c r="E1116" s="110"/>
      <c r="F1116" s="110"/>
      <c r="G1116" s="115"/>
      <c r="H1116" s="133"/>
      <c r="I1116" s="103"/>
      <c r="J1116" s="108"/>
      <c r="K1116" s="112"/>
      <c r="L1116" s="110"/>
      <c r="M1116" s="111"/>
      <c r="N1116" s="103"/>
      <c r="O1116" s="112"/>
      <c r="P1116" s="115"/>
      <c r="Q1116" s="114"/>
      <c r="R1116" s="108"/>
      <c r="S1116" s="115" t="s">
        <v>200</v>
      </c>
      <c r="T1116" s="103" t="b">
        <v>0</v>
      </c>
      <c r="U1116" s="103"/>
      <c r="V1116" s="103"/>
      <c r="W1116" s="103"/>
      <c r="X1116" s="103"/>
      <c r="Y1116" s="103"/>
      <c r="Z1116" s="103"/>
    </row>
    <row r="1117">
      <c r="A1117" s="110" t="s">
        <v>200</v>
      </c>
      <c r="B1117" s="110"/>
      <c r="C1117" s="110"/>
      <c r="D1117" s="110"/>
      <c r="E1117" s="110"/>
      <c r="F1117" s="110"/>
      <c r="G1117" s="115"/>
      <c r="H1117" s="133"/>
      <c r="I1117" s="103"/>
      <c r="J1117" s="108"/>
      <c r="K1117" s="112"/>
      <c r="L1117" s="110"/>
      <c r="M1117" s="111"/>
      <c r="N1117" s="103"/>
      <c r="O1117" s="112"/>
      <c r="P1117" s="115"/>
      <c r="Q1117" s="114"/>
      <c r="R1117" s="108"/>
      <c r="S1117" s="115" t="s">
        <v>200</v>
      </c>
      <c r="T1117" s="103" t="b">
        <v>0</v>
      </c>
      <c r="U1117" s="103"/>
      <c r="V1117" s="103"/>
      <c r="W1117" s="103"/>
      <c r="X1117" s="103"/>
      <c r="Y1117" s="103"/>
      <c r="Z1117" s="103"/>
    </row>
    <row r="1118">
      <c r="A1118" s="110" t="s">
        <v>200</v>
      </c>
      <c r="B1118" s="110"/>
      <c r="C1118" s="110"/>
      <c r="D1118" s="110"/>
      <c r="E1118" s="110"/>
      <c r="F1118" s="110"/>
      <c r="G1118" s="115"/>
      <c r="H1118" s="133"/>
      <c r="I1118" s="103"/>
      <c r="J1118" s="108"/>
      <c r="K1118" s="112"/>
      <c r="L1118" s="110"/>
      <c r="M1118" s="111"/>
      <c r="N1118" s="103"/>
      <c r="O1118" s="112"/>
      <c r="P1118" s="115"/>
      <c r="Q1118" s="114"/>
      <c r="R1118" s="108"/>
      <c r="S1118" s="115" t="s">
        <v>200</v>
      </c>
      <c r="T1118" s="103" t="b">
        <v>0</v>
      </c>
      <c r="U1118" s="103"/>
      <c r="V1118" s="103"/>
      <c r="W1118" s="103"/>
      <c r="X1118" s="103"/>
      <c r="Y1118" s="103"/>
      <c r="Z1118" s="103"/>
    </row>
    <row r="1119">
      <c r="A1119" s="110" t="s">
        <v>200</v>
      </c>
      <c r="B1119" s="110"/>
      <c r="C1119" s="110"/>
      <c r="D1119" s="110"/>
      <c r="E1119" s="110"/>
      <c r="F1119" s="110"/>
      <c r="G1119" s="115"/>
      <c r="H1119" s="133"/>
      <c r="I1119" s="103"/>
      <c r="J1119" s="108"/>
      <c r="K1119" s="112"/>
      <c r="L1119" s="110"/>
      <c r="M1119" s="111"/>
      <c r="N1119" s="103"/>
      <c r="O1119" s="112"/>
      <c r="P1119" s="115"/>
      <c r="Q1119" s="114"/>
      <c r="R1119" s="108"/>
      <c r="S1119" s="115" t="s">
        <v>200</v>
      </c>
      <c r="T1119" s="103" t="b">
        <v>0</v>
      </c>
      <c r="U1119" s="103"/>
      <c r="V1119" s="103"/>
      <c r="W1119" s="103"/>
      <c r="X1119" s="103"/>
      <c r="Y1119" s="103"/>
      <c r="Z1119" s="103"/>
    </row>
    <row r="1120">
      <c r="A1120" s="110" t="s">
        <v>200</v>
      </c>
      <c r="B1120" s="110"/>
      <c r="C1120" s="110"/>
      <c r="D1120" s="110"/>
      <c r="E1120" s="110"/>
      <c r="F1120" s="110"/>
      <c r="G1120" s="115"/>
      <c r="H1120" s="133"/>
      <c r="I1120" s="103"/>
      <c r="J1120" s="108"/>
      <c r="K1120" s="112"/>
      <c r="L1120" s="110"/>
      <c r="M1120" s="111"/>
      <c r="N1120" s="103"/>
      <c r="O1120" s="112"/>
      <c r="P1120" s="115"/>
      <c r="Q1120" s="114"/>
      <c r="R1120" s="108"/>
      <c r="S1120" s="115" t="s">
        <v>200</v>
      </c>
      <c r="T1120" s="103" t="b">
        <v>0</v>
      </c>
      <c r="U1120" s="103"/>
      <c r="V1120" s="103"/>
      <c r="W1120" s="103"/>
      <c r="X1120" s="103"/>
      <c r="Y1120" s="103"/>
      <c r="Z1120" s="103"/>
    </row>
    <row r="1121">
      <c r="A1121" s="110" t="s">
        <v>200</v>
      </c>
      <c r="B1121" s="110"/>
      <c r="C1121" s="110"/>
      <c r="D1121" s="110"/>
      <c r="E1121" s="110"/>
      <c r="F1121" s="110"/>
      <c r="G1121" s="115"/>
      <c r="H1121" s="133"/>
      <c r="I1121" s="103"/>
      <c r="J1121" s="108"/>
      <c r="K1121" s="112"/>
      <c r="L1121" s="110"/>
      <c r="M1121" s="111"/>
      <c r="N1121" s="103"/>
      <c r="O1121" s="112"/>
      <c r="P1121" s="115"/>
      <c r="Q1121" s="114"/>
      <c r="R1121" s="108"/>
      <c r="S1121" s="115" t="s">
        <v>200</v>
      </c>
      <c r="T1121" s="103" t="b">
        <v>0</v>
      </c>
      <c r="U1121" s="103"/>
      <c r="V1121" s="103"/>
      <c r="W1121" s="103"/>
      <c r="X1121" s="103"/>
      <c r="Y1121" s="103"/>
      <c r="Z1121" s="103"/>
    </row>
    <row r="1122">
      <c r="A1122" s="110" t="s">
        <v>200</v>
      </c>
      <c r="B1122" s="110"/>
      <c r="C1122" s="110"/>
      <c r="D1122" s="110"/>
      <c r="E1122" s="110"/>
      <c r="F1122" s="110"/>
      <c r="G1122" s="115"/>
      <c r="H1122" s="133"/>
      <c r="I1122" s="103"/>
      <c r="J1122" s="108"/>
      <c r="K1122" s="112"/>
      <c r="L1122" s="110"/>
      <c r="M1122" s="111"/>
      <c r="N1122" s="103"/>
      <c r="O1122" s="112"/>
      <c r="P1122" s="115"/>
      <c r="Q1122" s="114"/>
      <c r="R1122" s="108"/>
      <c r="S1122" s="115" t="s">
        <v>200</v>
      </c>
      <c r="T1122" s="103" t="b">
        <v>0</v>
      </c>
      <c r="U1122" s="103"/>
      <c r="V1122" s="103"/>
      <c r="W1122" s="103"/>
      <c r="X1122" s="103"/>
      <c r="Y1122" s="103"/>
      <c r="Z1122" s="103"/>
    </row>
    <row r="1123">
      <c r="A1123" s="110" t="s">
        <v>200</v>
      </c>
      <c r="B1123" s="110"/>
      <c r="C1123" s="110"/>
      <c r="D1123" s="110"/>
      <c r="E1123" s="110"/>
      <c r="F1123" s="110"/>
      <c r="G1123" s="115"/>
      <c r="H1123" s="133"/>
      <c r="I1123" s="103"/>
      <c r="J1123" s="108"/>
      <c r="K1123" s="112"/>
      <c r="L1123" s="110"/>
      <c r="M1123" s="111"/>
      <c r="N1123" s="103"/>
      <c r="O1123" s="112"/>
      <c r="P1123" s="115"/>
      <c r="Q1123" s="114"/>
      <c r="R1123" s="108"/>
      <c r="S1123" s="115" t="s">
        <v>200</v>
      </c>
      <c r="T1123" s="103" t="b">
        <v>0</v>
      </c>
      <c r="U1123" s="103"/>
      <c r="V1123" s="103"/>
      <c r="W1123" s="103"/>
      <c r="X1123" s="103"/>
      <c r="Y1123" s="103"/>
      <c r="Z1123" s="103"/>
    </row>
    <row r="1124">
      <c r="A1124" s="110" t="s">
        <v>200</v>
      </c>
      <c r="B1124" s="110"/>
      <c r="C1124" s="110"/>
      <c r="D1124" s="110"/>
      <c r="E1124" s="110"/>
      <c r="F1124" s="110"/>
      <c r="G1124" s="115"/>
      <c r="H1124" s="133"/>
      <c r="I1124" s="103"/>
      <c r="J1124" s="108"/>
      <c r="K1124" s="112"/>
      <c r="L1124" s="110"/>
      <c r="M1124" s="111"/>
      <c r="N1124" s="103"/>
      <c r="O1124" s="112"/>
      <c r="P1124" s="115"/>
      <c r="Q1124" s="114"/>
      <c r="R1124" s="108"/>
      <c r="S1124" s="115" t="s">
        <v>200</v>
      </c>
      <c r="T1124" s="103" t="b">
        <v>0</v>
      </c>
      <c r="U1124" s="103"/>
      <c r="V1124" s="103"/>
      <c r="W1124" s="103"/>
      <c r="X1124" s="103"/>
      <c r="Y1124" s="103"/>
      <c r="Z1124" s="103"/>
    </row>
    <row r="1125">
      <c r="A1125" s="110" t="s">
        <v>200</v>
      </c>
      <c r="B1125" s="110"/>
      <c r="C1125" s="110"/>
      <c r="D1125" s="110"/>
      <c r="E1125" s="110"/>
      <c r="F1125" s="110"/>
      <c r="G1125" s="115"/>
      <c r="H1125" s="133"/>
      <c r="I1125" s="103"/>
      <c r="J1125" s="108"/>
      <c r="K1125" s="112"/>
      <c r="L1125" s="110"/>
      <c r="M1125" s="111"/>
      <c r="N1125" s="103"/>
      <c r="O1125" s="112"/>
      <c r="P1125" s="115"/>
      <c r="Q1125" s="114"/>
      <c r="R1125" s="108"/>
      <c r="S1125" s="115" t="s">
        <v>200</v>
      </c>
      <c r="T1125" s="103" t="b">
        <v>0</v>
      </c>
      <c r="U1125" s="103"/>
      <c r="V1125" s="103"/>
      <c r="W1125" s="103"/>
      <c r="X1125" s="103"/>
      <c r="Y1125" s="103"/>
      <c r="Z1125" s="103"/>
    </row>
    <row r="1126">
      <c r="A1126" s="110" t="s">
        <v>200</v>
      </c>
      <c r="B1126" s="110"/>
      <c r="C1126" s="110"/>
      <c r="D1126" s="110"/>
      <c r="E1126" s="110"/>
      <c r="F1126" s="110"/>
      <c r="G1126" s="115"/>
      <c r="H1126" s="133"/>
      <c r="I1126" s="103"/>
      <c r="J1126" s="108"/>
      <c r="K1126" s="112"/>
      <c r="L1126" s="110"/>
      <c r="M1126" s="111"/>
      <c r="N1126" s="103"/>
      <c r="O1126" s="112"/>
      <c r="P1126" s="115"/>
      <c r="Q1126" s="114"/>
      <c r="R1126" s="108"/>
      <c r="S1126" s="115" t="s">
        <v>200</v>
      </c>
      <c r="T1126" s="103" t="b">
        <v>0</v>
      </c>
      <c r="U1126" s="103"/>
      <c r="V1126" s="103"/>
      <c r="W1126" s="103"/>
      <c r="X1126" s="103"/>
      <c r="Y1126" s="103"/>
      <c r="Z1126" s="103"/>
    </row>
    <row r="1127">
      <c r="A1127" s="110" t="s">
        <v>200</v>
      </c>
      <c r="B1127" s="110"/>
      <c r="C1127" s="110"/>
      <c r="D1127" s="110"/>
      <c r="E1127" s="110"/>
      <c r="F1127" s="110"/>
      <c r="G1127" s="115"/>
      <c r="H1127" s="133"/>
      <c r="I1127" s="103"/>
      <c r="J1127" s="108"/>
      <c r="K1127" s="112"/>
      <c r="L1127" s="110"/>
      <c r="M1127" s="111"/>
      <c r="N1127" s="103"/>
      <c r="O1127" s="112"/>
      <c r="P1127" s="115"/>
      <c r="Q1127" s="114"/>
      <c r="R1127" s="108"/>
      <c r="S1127" s="115" t="s">
        <v>200</v>
      </c>
      <c r="T1127" s="103" t="b">
        <v>0</v>
      </c>
      <c r="U1127" s="103"/>
      <c r="V1127" s="103"/>
      <c r="W1127" s="103"/>
      <c r="X1127" s="103"/>
      <c r="Y1127" s="103"/>
      <c r="Z1127" s="103"/>
    </row>
    <row r="1128">
      <c r="A1128" s="110" t="s">
        <v>200</v>
      </c>
      <c r="B1128" s="110"/>
      <c r="C1128" s="110"/>
      <c r="D1128" s="110"/>
      <c r="E1128" s="110"/>
      <c r="F1128" s="110"/>
      <c r="G1128" s="115"/>
      <c r="H1128" s="133"/>
      <c r="I1128" s="103"/>
      <c r="J1128" s="108"/>
      <c r="K1128" s="112"/>
      <c r="L1128" s="110"/>
      <c r="M1128" s="111"/>
      <c r="N1128" s="103"/>
      <c r="O1128" s="112"/>
      <c r="P1128" s="115"/>
      <c r="Q1128" s="114"/>
      <c r="R1128" s="108"/>
      <c r="S1128" s="115" t="s">
        <v>200</v>
      </c>
      <c r="T1128" s="103" t="b">
        <v>0</v>
      </c>
      <c r="U1128" s="103"/>
      <c r="V1128" s="103"/>
      <c r="W1128" s="103"/>
      <c r="X1128" s="103"/>
      <c r="Y1128" s="103"/>
      <c r="Z1128" s="103"/>
    </row>
    <row r="1129">
      <c r="A1129" s="110" t="s">
        <v>200</v>
      </c>
      <c r="B1129" s="110"/>
      <c r="C1129" s="110"/>
      <c r="D1129" s="110"/>
      <c r="E1129" s="110"/>
      <c r="F1129" s="110"/>
      <c r="G1129" s="115"/>
      <c r="H1129" s="133"/>
      <c r="I1129" s="103"/>
      <c r="J1129" s="108"/>
      <c r="K1129" s="112"/>
      <c r="L1129" s="110"/>
      <c r="M1129" s="111"/>
      <c r="N1129" s="103"/>
      <c r="O1129" s="112"/>
      <c r="P1129" s="115"/>
      <c r="Q1129" s="114"/>
      <c r="R1129" s="108"/>
      <c r="S1129" s="115" t="s">
        <v>200</v>
      </c>
      <c r="T1129" s="103" t="b">
        <v>0</v>
      </c>
      <c r="U1129" s="103"/>
      <c r="V1129" s="103"/>
      <c r="W1129" s="103"/>
      <c r="X1129" s="103"/>
      <c r="Y1129" s="103"/>
      <c r="Z1129" s="103"/>
    </row>
    <row r="1130">
      <c r="A1130" s="110" t="s">
        <v>200</v>
      </c>
      <c r="B1130" s="110"/>
      <c r="C1130" s="110"/>
      <c r="D1130" s="110"/>
      <c r="E1130" s="110"/>
      <c r="F1130" s="110"/>
      <c r="G1130" s="115"/>
      <c r="H1130" s="133"/>
      <c r="I1130" s="103"/>
      <c r="J1130" s="108"/>
      <c r="K1130" s="112"/>
      <c r="L1130" s="110"/>
      <c r="M1130" s="111"/>
      <c r="N1130" s="103"/>
      <c r="O1130" s="112"/>
      <c r="P1130" s="115"/>
      <c r="Q1130" s="114"/>
      <c r="R1130" s="108"/>
      <c r="S1130" s="115" t="s">
        <v>200</v>
      </c>
      <c r="T1130" s="103" t="b">
        <v>0</v>
      </c>
      <c r="U1130" s="103"/>
      <c r="V1130" s="103"/>
      <c r="W1130" s="103"/>
      <c r="X1130" s="103"/>
      <c r="Y1130" s="103"/>
      <c r="Z1130" s="103"/>
    </row>
    <row r="1131">
      <c r="A1131" s="110" t="s">
        <v>200</v>
      </c>
      <c r="B1131" s="110"/>
      <c r="C1131" s="110"/>
      <c r="D1131" s="110"/>
      <c r="E1131" s="110"/>
      <c r="F1131" s="110"/>
      <c r="G1131" s="115"/>
      <c r="H1131" s="133"/>
      <c r="I1131" s="103"/>
      <c r="J1131" s="108"/>
      <c r="K1131" s="112"/>
      <c r="L1131" s="110"/>
      <c r="M1131" s="111"/>
      <c r="N1131" s="103"/>
      <c r="O1131" s="112"/>
      <c r="P1131" s="115"/>
      <c r="Q1131" s="114"/>
      <c r="R1131" s="108"/>
      <c r="S1131" s="115" t="s">
        <v>200</v>
      </c>
      <c r="T1131" s="103" t="b">
        <v>0</v>
      </c>
      <c r="U1131" s="103"/>
      <c r="V1131" s="103"/>
      <c r="W1131" s="103"/>
      <c r="X1131" s="103"/>
      <c r="Y1131" s="103"/>
      <c r="Z1131" s="103"/>
    </row>
    <row r="1132">
      <c r="A1132" s="110" t="s">
        <v>200</v>
      </c>
      <c r="B1132" s="110"/>
      <c r="C1132" s="110"/>
      <c r="D1132" s="110"/>
      <c r="E1132" s="110"/>
      <c r="F1132" s="110"/>
      <c r="G1132" s="115"/>
      <c r="H1132" s="133"/>
      <c r="I1132" s="103"/>
      <c r="J1132" s="108"/>
      <c r="K1132" s="112"/>
      <c r="L1132" s="110"/>
      <c r="M1132" s="111"/>
      <c r="N1132" s="103"/>
      <c r="O1132" s="112"/>
      <c r="P1132" s="115"/>
      <c r="Q1132" s="114"/>
      <c r="R1132" s="108"/>
      <c r="S1132" s="115" t="s">
        <v>200</v>
      </c>
      <c r="T1132" s="103" t="b">
        <v>0</v>
      </c>
      <c r="U1132" s="103"/>
      <c r="V1132" s="103"/>
      <c r="W1132" s="103"/>
      <c r="X1132" s="103"/>
      <c r="Y1132" s="103"/>
      <c r="Z1132" s="103"/>
    </row>
    <row r="1133">
      <c r="A1133" s="110" t="s">
        <v>200</v>
      </c>
      <c r="B1133" s="110"/>
      <c r="C1133" s="110"/>
      <c r="D1133" s="110"/>
      <c r="E1133" s="110"/>
      <c r="F1133" s="110"/>
      <c r="G1133" s="115"/>
      <c r="H1133" s="133"/>
      <c r="I1133" s="103"/>
      <c r="J1133" s="108"/>
      <c r="K1133" s="112"/>
      <c r="L1133" s="110"/>
      <c r="M1133" s="111"/>
      <c r="N1133" s="103"/>
      <c r="O1133" s="112"/>
      <c r="P1133" s="115"/>
      <c r="Q1133" s="114"/>
      <c r="R1133" s="108"/>
      <c r="S1133" s="115" t="s">
        <v>200</v>
      </c>
      <c r="T1133" s="103" t="b">
        <v>0</v>
      </c>
      <c r="U1133" s="103"/>
      <c r="V1133" s="103"/>
      <c r="W1133" s="103"/>
      <c r="X1133" s="103"/>
      <c r="Y1133" s="103"/>
      <c r="Z1133" s="103"/>
    </row>
    <row r="1134">
      <c r="A1134" s="110" t="s">
        <v>200</v>
      </c>
      <c r="B1134" s="110"/>
      <c r="C1134" s="110"/>
      <c r="D1134" s="110"/>
      <c r="E1134" s="110"/>
      <c r="F1134" s="110"/>
      <c r="G1134" s="115"/>
      <c r="H1134" s="133"/>
      <c r="I1134" s="103"/>
      <c r="J1134" s="108"/>
      <c r="K1134" s="112"/>
      <c r="L1134" s="110"/>
      <c r="M1134" s="111"/>
      <c r="N1134" s="103"/>
      <c r="O1134" s="112"/>
      <c r="P1134" s="115"/>
      <c r="Q1134" s="114"/>
      <c r="R1134" s="108"/>
      <c r="S1134" s="115" t="s">
        <v>200</v>
      </c>
      <c r="T1134" s="103" t="b">
        <v>0</v>
      </c>
      <c r="U1134" s="103"/>
      <c r="V1134" s="103"/>
      <c r="W1134" s="103"/>
      <c r="X1134" s="103"/>
      <c r="Y1134" s="103"/>
      <c r="Z1134" s="103"/>
    </row>
    <row r="1135">
      <c r="A1135" s="110" t="s">
        <v>200</v>
      </c>
      <c r="B1135" s="110"/>
      <c r="C1135" s="110"/>
      <c r="D1135" s="110"/>
      <c r="E1135" s="110"/>
      <c r="F1135" s="110"/>
      <c r="G1135" s="115"/>
      <c r="H1135" s="133"/>
      <c r="I1135" s="103"/>
      <c r="J1135" s="108"/>
      <c r="K1135" s="112"/>
      <c r="L1135" s="110"/>
      <c r="M1135" s="111"/>
      <c r="N1135" s="103"/>
      <c r="O1135" s="112"/>
      <c r="P1135" s="115"/>
      <c r="Q1135" s="114"/>
      <c r="R1135" s="108"/>
      <c r="S1135" s="115" t="s">
        <v>200</v>
      </c>
      <c r="T1135" s="103" t="b">
        <v>0</v>
      </c>
      <c r="U1135" s="103"/>
      <c r="V1135" s="103"/>
      <c r="W1135" s="103"/>
      <c r="X1135" s="103"/>
      <c r="Y1135" s="103"/>
      <c r="Z1135" s="103"/>
    </row>
    <row r="1136">
      <c r="A1136" s="110" t="s">
        <v>200</v>
      </c>
      <c r="B1136" s="110"/>
      <c r="C1136" s="110"/>
      <c r="D1136" s="110"/>
      <c r="E1136" s="110"/>
      <c r="F1136" s="110"/>
      <c r="G1136" s="115"/>
      <c r="H1136" s="133"/>
      <c r="I1136" s="103"/>
      <c r="J1136" s="108"/>
      <c r="K1136" s="112"/>
      <c r="L1136" s="110"/>
      <c r="M1136" s="111"/>
      <c r="N1136" s="103"/>
      <c r="O1136" s="112"/>
      <c r="P1136" s="115"/>
      <c r="Q1136" s="114"/>
      <c r="R1136" s="108"/>
      <c r="S1136" s="115" t="s">
        <v>200</v>
      </c>
      <c r="T1136" s="103" t="b">
        <v>0</v>
      </c>
      <c r="U1136" s="103"/>
      <c r="V1136" s="103"/>
      <c r="W1136" s="103"/>
      <c r="X1136" s="103"/>
      <c r="Y1136" s="103"/>
      <c r="Z1136" s="103"/>
    </row>
    <row r="1137">
      <c r="A1137" s="110" t="s">
        <v>200</v>
      </c>
      <c r="B1137" s="110"/>
      <c r="C1137" s="110"/>
      <c r="D1137" s="110"/>
      <c r="E1137" s="110"/>
      <c r="F1137" s="110"/>
      <c r="G1137" s="115"/>
      <c r="H1137" s="133"/>
      <c r="I1137" s="103"/>
      <c r="J1137" s="108"/>
      <c r="K1137" s="112"/>
      <c r="L1137" s="110"/>
      <c r="M1137" s="111"/>
      <c r="N1137" s="103"/>
      <c r="O1137" s="112"/>
      <c r="P1137" s="115"/>
      <c r="Q1137" s="114"/>
      <c r="R1137" s="108"/>
      <c r="S1137" s="115" t="s">
        <v>200</v>
      </c>
      <c r="T1137" s="103" t="b">
        <v>0</v>
      </c>
      <c r="U1137" s="103"/>
      <c r="V1137" s="103"/>
      <c r="W1137" s="103"/>
      <c r="X1137" s="103"/>
      <c r="Y1137" s="103"/>
      <c r="Z1137" s="103"/>
    </row>
    <row r="1138">
      <c r="A1138" s="110" t="s">
        <v>200</v>
      </c>
      <c r="B1138" s="110"/>
      <c r="C1138" s="110"/>
      <c r="D1138" s="110"/>
      <c r="E1138" s="110"/>
      <c r="F1138" s="110"/>
      <c r="G1138" s="115"/>
      <c r="H1138" s="133"/>
      <c r="I1138" s="103"/>
      <c r="J1138" s="108"/>
      <c r="K1138" s="112"/>
      <c r="L1138" s="110"/>
      <c r="M1138" s="111"/>
      <c r="N1138" s="103"/>
      <c r="O1138" s="112"/>
      <c r="P1138" s="115"/>
      <c r="Q1138" s="114"/>
      <c r="R1138" s="108"/>
      <c r="S1138" s="115" t="s">
        <v>200</v>
      </c>
      <c r="T1138" s="103" t="b">
        <v>0</v>
      </c>
      <c r="U1138" s="103"/>
      <c r="V1138" s="103"/>
      <c r="W1138" s="103"/>
      <c r="X1138" s="103"/>
      <c r="Y1138" s="103"/>
      <c r="Z1138" s="103"/>
    </row>
    <row r="1139">
      <c r="A1139" s="110" t="s">
        <v>200</v>
      </c>
      <c r="B1139" s="110"/>
      <c r="C1139" s="110"/>
      <c r="D1139" s="110"/>
      <c r="E1139" s="110"/>
      <c r="F1139" s="110"/>
      <c r="G1139" s="115"/>
      <c r="H1139" s="133"/>
      <c r="I1139" s="103"/>
      <c r="J1139" s="108"/>
      <c r="K1139" s="112"/>
      <c r="L1139" s="110"/>
      <c r="M1139" s="111"/>
      <c r="N1139" s="103"/>
      <c r="O1139" s="112"/>
      <c r="P1139" s="115"/>
      <c r="Q1139" s="114"/>
      <c r="R1139" s="108"/>
      <c r="S1139" s="115" t="s">
        <v>200</v>
      </c>
      <c r="T1139" s="103" t="b">
        <v>0</v>
      </c>
      <c r="U1139" s="103"/>
      <c r="V1139" s="103"/>
      <c r="W1139" s="103"/>
      <c r="X1139" s="103"/>
      <c r="Y1139" s="103"/>
      <c r="Z1139" s="103"/>
    </row>
    <row r="1140">
      <c r="A1140" s="110" t="s">
        <v>200</v>
      </c>
      <c r="B1140" s="110"/>
      <c r="C1140" s="110"/>
      <c r="D1140" s="110"/>
      <c r="E1140" s="110"/>
      <c r="F1140" s="110"/>
      <c r="G1140" s="115"/>
      <c r="H1140" s="133"/>
      <c r="I1140" s="103"/>
      <c r="J1140" s="108"/>
      <c r="K1140" s="112"/>
      <c r="L1140" s="110"/>
      <c r="M1140" s="111"/>
      <c r="N1140" s="103"/>
      <c r="O1140" s="112"/>
      <c r="P1140" s="115"/>
      <c r="Q1140" s="114"/>
      <c r="R1140" s="108"/>
      <c r="S1140" s="115" t="s">
        <v>200</v>
      </c>
      <c r="T1140" s="103" t="b">
        <v>0</v>
      </c>
      <c r="U1140" s="103"/>
      <c r="V1140" s="103"/>
      <c r="W1140" s="103"/>
      <c r="X1140" s="103"/>
      <c r="Y1140" s="103"/>
      <c r="Z1140" s="103"/>
    </row>
    <row r="1141">
      <c r="A1141" s="110" t="s">
        <v>200</v>
      </c>
      <c r="B1141" s="110"/>
      <c r="C1141" s="110"/>
      <c r="D1141" s="110"/>
      <c r="E1141" s="110"/>
      <c r="F1141" s="110"/>
      <c r="G1141" s="115"/>
      <c r="H1141" s="133"/>
      <c r="I1141" s="103"/>
      <c r="J1141" s="108"/>
      <c r="K1141" s="112"/>
      <c r="L1141" s="110"/>
      <c r="M1141" s="111"/>
      <c r="N1141" s="103"/>
      <c r="O1141" s="112"/>
      <c r="P1141" s="115"/>
      <c r="Q1141" s="114"/>
      <c r="R1141" s="108"/>
      <c r="S1141" s="115" t="s">
        <v>200</v>
      </c>
      <c r="T1141" s="103" t="b">
        <v>0</v>
      </c>
      <c r="U1141" s="103"/>
      <c r="V1141" s="103"/>
      <c r="W1141" s="103"/>
      <c r="X1141" s="103"/>
      <c r="Y1141" s="103"/>
      <c r="Z1141" s="103"/>
    </row>
    <row r="1142">
      <c r="A1142" s="110" t="s">
        <v>200</v>
      </c>
      <c r="B1142" s="110"/>
      <c r="C1142" s="110"/>
      <c r="D1142" s="110"/>
      <c r="E1142" s="110"/>
      <c r="F1142" s="110"/>
      <c r="G1142" s="115"/>
      <c r="H1142" s="133"/>
      <c r="I1142" s="103"/>
      <c r="J1142" s="108"/>
      <c r="K1142" s="112"/>
      <c r="L1142" s="110"/>
      <c r="M1142" s="111"/>
      <c r="N1142" s="103"/>
      <c r="O1142" s="112"/>
      <c r="P1142" s="115"/>
      <c r="Q1142" s="114"/>
      <c r="R1142" s="108"/>
      <c r="S1142" s="115" t="s">
        <v>200</v>
      </c>
      <c r="T1142" s="103" t="b">
        <v>0</v>
      </c>
      <c r="U1142" s="103"/>
      <c r="V1142" s="103"/>
      <c r="W1142" s="103"/>
      <c r="X1142" s="103"/>
      <c r="Y1142" s="103"/>
      <c r="Z1142" s="103"/>
    </row>
    <row r="1143">
      <c r="A1143" s="110" t="s">
        <v>200</v>
      </c>
      <c r="B1143" s="110"/>
      <c r="C1143" s="110"/>
      <c r="D1143" s="110"/>
      <c r="E1143" s="110"/>
      <c r="F1143" s="110"/>
      <c r="G1143" s="115"/>
      <c r="H1143" s="133"/>
      <c r="I1143" s="103"/>
      <c r="J1143" s="108"/>
      <c r="K1143" s="112"/>
      <c r="L1143" s="110"/>
      <c r="M1143" s="111"/>
      <c r="N1143" s="103"/>
      <c r="O1143" s="112"/>
      <c r="P1143" s="115"/>
      <c r="Q1143" s="114"/>
      <c r="R1143" s="108"/>
      <c r="S1143" s="115" t="s">
        <v>200</v>
      </c>
      <c r="T1143" s="103" t="b">
        <v>0</v>
      </c>
      <c r="U1143" s="103"/>
      <c r="V1143" s="103"/>
      <c r="W1143" s="103"/>
      <c r="X1143" s="103"/>
      <c r="Y1143" s="103"/>
      <c r="Z1143" s="103"/>
    </row>
    <row r="1144">
      <c r="A1144" s="110" t="s">
        <v>200</v>
      </c>
      <c r="B1144" s="110"/>
      <c r="C1144" s="110"/>
      <c r="D1144" s="110"/>
      <c r="E1144" s="110"/>
      <c r="F1144" s="110"/>
      <c r="G1144" s="115"/>
      <c r="H1144" s="133"/>
      <c r="I1144" s="103"/>
      <c r="J1144" s="108"/>
      <c r="K1144" s="112"/>
      <c r="L1144" s="110"/>
      <c r="M1144" s="111"/>
      <c r="N1144" s="103"/>
      <c r="O1144" s="112"/>
      <c r="P1144" s="115"/>
      <c r="Q1144" s="114"/>
      <c r="R1144" s="108"/>
      <c r="S1144" s="115" t="s">
        <v>200</v>
      </c>
      <c r="T1144" s="103" t="b">
        <v>0</v>
      </c>
      <c r="U1144" s="103"/>
      <c r="V1144" s="103"/>
      <c r="W1144" s="103"/>
      <c r="X1144" s="103"/>
      <c r="Y1144" s="103"/>
      <c r="Z1144" s="103"/>
    </row>
    <row r="1145">
      <c r="A1145" s="110" t="s">
        <v>200</v>
      </c>
      <c r="B1145" s="110"/>
      <c r="C1145" s="110"/>
      <c r="D1145" s="110"/>
      <c r="E1145" s="110"/>
      <c r="F1145" s="110"/>
      <c r="G1145" s="115"/>
      <c r="H1145" s="133"/>
      <c r="I1145" s="103"/>
      <c r="J1145" s="108"/>
      <c r="K1145" s="112"/>
      <c r="L1145" s="110"/>
      <c r="M1145" s="111"/>
      <c r="N1145" s="103"/>
      <c r="O1145" s="112"/>
      <c r="P1145" s="115"/>
      <c r="Q1145" s="114"/>
      <c r="R1145" s="108"/>
      <c r="S1145" s="115" t="s">
        <v>200</v>
      </c>
      <c r="T1145" s="103" t="b">
        <v>0</v>
      </c>
      <c r="U1145" s="103"/>
      <c r="V1145" s="103"/>
      <c r="W1145" s="103"/>
      <c r="X1145" s="103"/>
      <c r="Y1145" s="103"/>
      <c r="Z1145" s="103"/>
    </row>
    <row r="1146">
      <c r="A1146" s="110" t="s">
        <v>200</v>
      </c>
      <c r="B1146" s="110"/>
      <c r="C1146" s="110"/>
      <c r="D1146" s="110"/>
      <c r="E1146" s="110"/>
      <c r="F1146" s="110"/>
      <c r="G1146" s="115"/>
      <c r="H1146" s="133"/>
      <c r="I1146" s="103"/>
      <c r="J1146" s="108"/>
      <c r="K1146" s="112"/>
      <c r="L1146" s="110"/>
      <c r="M1146" s="111"/>
      <c r="N1146" s="103"/>
      <c r="O1146" s="112"/>
      <c r="P1146" s="115"/>
      <c r="Q1146" s="114"/>
      <c r="R1146" s="108"/>
      <c r="S1146" s="115" t="s">
        <v>200</v>
      </c>
      <c r="T1146" s="103" t="b">
        <v>0</v>
      </c>
      <c r="U1146" s="103"/>
      <c r="V1146" s="103"/>
      <c r="W1146" s="103"/>
      <c r="X1146" s="103"/>
      <c r="Y1146" s="103"/>
      <c r="Z1146" s="103"/>
    </row>
    <row r="1147">
      <c r="A1147" s="110" t="s">
        <v>200</v>
      </c>
      <c r="B1147" s="110"/>
      <c r="C1147" s="110"/>
      <c r="D1147" s="110"/>
      <c r="E1147" s="110"/>
      <c r="F1147" s="110"/>
      <c r="G1147" s="115"/>
      <c r="H1147" s="133"/>
      <c r="I1147" s="103"/>
      <c r="J1147" s="108"/>
      <c r="K1147" s="112"/>
      <c r="L1147" s="110"/>
      <c r="M1147" s="111"/>
      <c r="N1147" s="103"/>
      <c r="O1147" s="112"/>
      <c r="P1147" s="115"/>
      <c r="Q1147" s="114"/>
      <c r="R1147" s="108"/>
      <c r="S1147" s="115" t="s">
        <v>200</v>
      </c>
      <c r="T1147" s="103" t="b">
        <v>0</v>
      </c>
      <c r="U1147" s="103"/>
      <c r="V1147" s="103"/>
      <c r="W1147" s="103"/>
      <c r="X1147" s="103"/>
      <c r="Y1147" s="103"/>
      <c r="Z1147" s="103"/>
    </row>
    <row r="1148">
      <c r="A1148" s="110" t="s">
        <v>200</v>
      </c>
      <c r="B1148" s="110"/>
      <c r="C1148" s="110"/>
      <c r="D1148" s="110"/>
      <c r="E1148" s="110"/>
      <c r="F1148" s="110"/>
      <c r="G1148" s="115"/>
      <c r="H1148" s="133"/>
      <c r="I1148" s="103"/>
      <c r="J1148" s="108"/>
      <c r="K1148" s="112"/>
      <c r="L1148" s="110"/>
      <c r="M1148" s="111"/>
      <c r="N1148" s="103"/>
      <c r="O1148" s="112"/>
      <c r="P1148" s="115"/>
      <c r="Q1148" s="114"/>
      <c r="R1148" s="108"/>
      <c r="S1148" s="115" t="s">
        <v>200</v>
      </c>
      <c r="T1148" s="103" t="b">
        <v>0</v>
      </c>
      <c r="U1148" s="103"/>
      <c r="V1148" s="103"/>
      <c r="W1148" s="103"/>
      <c r="X1148" s="103"/>
      <c r="Y1148" s="103"/>
      <c r="Z1148" s="103"/>
    </row>
    <row r="1149">
      <c r="A1149" s="110" t="s">
        <v>200</v>
      </c>
      <c r="B1149" s="110"/>
      <c r="C1149" s="110"/>
      <c r="D1149" s="110"/>
      <c r="E1149" s="110"/>
      <c r="F1149" s="110"/>
      <c r="G1149" s="115"/>
      <c r="H1149" s="133"/>
      <c r="I1149" s="103"/>
      <c r="J1149" s="108"/>
      <c r="K1149" s="112"/>
      <c r="L1149" s="110"/>
      <c r="M1149" s="111"/>
      <c r="N1149" s="103"/>
      <c r="O1149" s="112"/>
      <c r="P1149" s="115"/>
      <c r="Q1149" s="114"/>
      <c r="R1149" s="108"/>
      <c r="S1149" s="115" t="s">
        <v>200</v>
      </c>
      <c r="T1149" s="103" t="b">
        <v>0</v>
      </c>
      <c r="U1149" s="103"/>
      <c r="V1149" s="103"/>
      <c r="W1149" s="103"/>
      <c r="X1149" s="103"/>
      <c r="Y1149" s="103"/>
      <c r="Z1149" s="103"/>
    </row>
    <row r="1150">
      <c r="A1150" s="110" t="s">
        <v>200</v>
      </c>
      <c r="B1150" s="110"/>
      <c r="C1150" s="110"/>
      <c r="D1150" s="110"/>
      <c r="E1150" s="110"/>
      <c r="F1150" s="110"/>
      <c r="G1150" s="115"/>
      <c r="H1150" s="133"/>
      <c r="I1150" s="103"/>
      <c r="J1150" s="108"/>
      <c r="K1150" s="112"/>
      <c r="L1150" s="110"/>
      <c r="M1150" s="111"/>
      <c r="N1150" s="103"/>
      <c r="O1150" s="112"/>
      <c r="P1150" s="115"/>
      <c r="Q1150" s="114"/>
      <c r="R1150" s="108"/>
      <c r="S1150" s="115" t="s">
        <v>200</v>
      </c>
      <c r="T1150" s="103" t="b">
        <v>0</v>
      </c>
      <c r="U1150" s="103"/>
      <c r="V1150" s="103"/>
      <c r="W1150" s="103"/>
      <c r="X1150" s="103"/>
      <c r="Y1150" s="103"/>
      <c r="Z1150" s="103"/>
    </row>
    <row r="1151">
      <c r="A1151" s="110" t="s">
        <v>200</v>
      </c>
      <c r="B1151" s="110"/>
      <c r="C1151" s="110"/>
      <c r="D1151" s="110"/>
      <c r="E1151" s="110"/>
      <c r="F1151" s="110"/>
      <c r="G1151" s="115"/>
      <c r="H1151" s="133"/>
      <c r="I1151" s="103"/>
      <c r="J1151" s="108"/>
      <c r="K1151" s="112"/>
      <c r="L1151" s="110"/>
      <c r="M1151" s="111"/>
      <c r="N1151" s="103"/>
      <c r="O1151" s="112"/>
      <c r="P1151" s="115"/>
      <c r="Q1151" s="114"/>
      <c r="R1151" s="108"/>
      <c r="S1151" s="115" t="s">
        <v>200</v>
      </c>
      <c r="T1151" s="103" t="b">
        <v>0</v>
      </c>
      <c r="U1151" s="103"/>
      <c r="V1151" s="103"/>
      <c r="W1151" s="103"/>
      <c r="X1151" s="103"/>
      <c r="Y1151" s="103"/>
      <c r="Z1151" s="103"/>
    </row>
    <row r="1152">
      <c r="A1152" s="110" t="s">
        <v>200</v>
      </c>
      <c r="B1152" s="110"/>
      <c r="C1152" s="110"/>
      <c r="D1152" s="110"/>
      <c r="E1152" s="110"/>
      <c r="F1152" s="110"/>
      <c r="G1152" s="115"/>
      <c r="H1152" s="133"/>
      <c r="I1152" s="103"/>
      <c r="J1152" s="108"/>
      <c r="K1152" s="112"/>
      <c r="L1152" s="110"/>
      <c r="M1152" s="111"/>
      <c r="N1152" s="103"/>
      <c r="O1152" s="112"/>
      <c r="P1152" s="115"/>
      <c r="Q1152" s="114"/>
      <c r="R1152" s="108"/>
      <c r="S1152" s="115" t="s">
        <v>200</v>
      </c>
      <c r="T1152" s="103" t="b">
        <v>0</v>
      </c>
      <c r="U1152" s="103"/>
      <c r="V1152" s="103"/>
      <c r="W1152" s="103"/>
      <c r="X1152" s="103"/>
      <c r="Y1152" s="103"/>
      <c r="Z1152" s="103"/>
    </row>
    <row r="1153">
      <c r="A1153" s="110" t="s">
        <v>200</v>
      </c>
      <c r="B1153" s="110"/>
      <c r="C1153" s="110"/>
      <c r="D1153" s="110"/>
      <c r="E1153" s="110"/>
      <c r="F1153" s="110"/>
      <c r="G1153" s="115"/>
      <c r="H1153" s="133"/>
      <c r="I1153" s="103"/>
      <c r="J1153" s="108"/>
      <c r="K1153" s="112"/>
      <c r="L1153" s="110"/>
      <c r="M1153" s="111"/>
      <c r="N1153" s="103"/>
      <c r="O1153" s="112"/>
      <c r="P1153" s="115"/>
      <c r="Q1153" s="114"/>
      <c r="R1153" s="108"/>
      <c r="S1153" s="115" t="s">
        <v>200</v>
      </c>
      <c r="T1153" s="103" t="b">
        <v>0</v>
      </c>
      <c r="U1153" s="103"/>
      <c r="V1153" s="103"/>
      <c r="W1153" s="103"/>
      <c r="X1153" s="103"/>
      <c r="Y1153" s="103"/>
      <c r="Z1153" s="103"/>
    </row>
    <row r="1154">
      <c r="A1154" s="110" t="s">
        <v>200</v>
      </c>
      <c r="B1154" s="110"/>
      <c r="C1154" s="110"/>
      <c r="D1154" s="110"/>
      <c r="E1154" s="110"/>
      <c r="F1154" s="110"/>
      <c r="G1154" s="115"/>
      <c r="H1154" s="133"/>
      <c r="I1154" s="103"/>
      <c r="J1154" s="108"/>
      <c r="K1154" s="112"/>
      <c r="L1154" s="110"/>
      <c r="M1154" s="111"/>
      <c r="N1154" s="103"/>
      <c r="O1154" s="112"/>
      <c r="P1154" s="115"/>
      <c r="Q1154" s="114"/>
      <c r="R1154" s="108"/>
      <c r="S1154" s="115" t="s">
        <v>200</v>
      </c>
      <c r="T1154" s="103" t="b">
        <v>0</v>
      </c>
      <c r="U1154" s="103"/>
      <c r="V1154" s="103"/>
      <c r="W1154" s="103"/>
      <c r="X1154" s="103"/>
      <c r="Y1154" s="103"/>
      <c r="Z1154" s="103"/>
    </row>
    <row r="1155">
      <c r="A1155" s="110" t="s">
        <v>200</v>
      </c>
      <c r="B1155" s="110"/>
      <c r="C1155" s="110"/>
      <c r="D1155" s="110"/>
      <c r="E1155" s="110"/>
      <c r="F1155" s="110"/>
      <c r="G1155" s="115"/>
      <c r="H1155" s="133"/>
      <c r="I1155" s="103"/>
      <c r="J1155" s="108"/>
      <c r="K1155" s="112"/>
      <c r="L1155" s="110"/>
      <c r="M1155" s="111"/>
      <c r="N1155" s="103"/>
      <c r="O1155" s="112"/>
      <c r="P1155" s="115"/>
      <c r="Q1155" s="114"/>
      <c r="R1155" s="108"/>
      <c r="S1155" s="115" t="s">
        <v>200</v>
      </c>
      <c r="T1155" s="103" t="b">
        <v>0</v>
      </c>
      <c r="U1155" s="103"/>
      <c r="V1155" s="103"/>
      <c r="W1155" s="103"/>
      <c r="X1155" s="103"/>
      <c r="Y1155" s="103"/>
      <c r="Z1155" s="103"/>
    </row>
    <row r="1156">
      <c r="A1156" s="110" t="s">
        <v>200</v>
      </c>
      <c r="B1156" s="110"/>
      <c r="C1156" s="110"/>
      <c r="D1156" s="110"/>
      <c r="E1156" s="110"/>
      <c r="F1156" s="110"/>
      <c r="G1156" s="115"/>
      <c r="H1156" s="133"/>
      <c r="I1156" s="103"/>
      <c r="J1156" s="108"/>
      <c r="K1156" s="112"/>
      <c r="L1156" s="110"/>
      <c r="M1156" s="111"/>
      <c r="N1156" s="103"/>
      <c r="O1156" s="112"/>
      <c r="P1156" s="115"/>
      <c r="Q1156" s="114"/>
      <c r="R1156" s="108"/>
      <c r="S1156" s="115" t="s">
        <v>200</v>
      </c>
      <c r="T1156" s="103" t="b">
        <v>0</v>
      </c>
      <c r="U1156" s="103"/>
      <c r="V1156" s="103"/>
      <c r="W1156" s="103"/>
      <c r="X1156" s="103"/>
      <c r="Y1156" s="103"/>
      <c r="Z1156" s="103"/>
    </row>
    <row r="1157">
      <c r="A1157" s="110" t="s">
        <v>200</v>
      </c>
      <c r="B1157" s="110"/>
      <c r="C1157" s="110"/>
      <c r="D1157" s="110"/>
      <c r="E1157" s="110"/>
      <c r="F1157" s="110"/>
      <c r="G1157" s="115"/>
      <c r="H1157" s="133"/>
      <c r="I1157" s="103"/>
      <c r="J1157" s="108"/>
      <c r="K1157" s="112"/>
      <c r="L1157" s="110"/>
      <c r="M1157" s="111"/>
      <c r="N1157" s="103"/>
      <c r="O1157" s="112"/>
      <c r="P1157" s="115"/>
      <c r="Q1157" s="114"/>
      <c r="R1157" s="108"/>
      <c r="S1157" s="115" t="s">
        <v>200</v>
      </c>
      <c r="T1157" s="103" t="b">
        <v>0</v>
      </c>
      <c r="U1157" s="103"/>
      <c r="V1157" s="103"/>
      <c r="W1157" s="103"/>
      <c r="X1157" s="103"/>
      <c r="Y1157" s="103"/>
      <c r="Z1157" s="103"/>
    </row>
    <row r="1158">
      <c r="A1158" s="110" t="s">
        <v>200</v>
      </c>
      <c r="B1158" s="110"/>
      <c r="C1158" s="110"/>
      <c r="D1158" s="110"/>
      <c r="E1158" s="110"/>
      <c r="F1158" s="110"/>
      <c r="G1158" s="115"/>
      <c r="H1158" s="133"/>
      <c r="I1158" s="103"/>
      <c r="J1158" s="108"/>
      <c r="K1158" s="112"/>
      <c r="L1158" s="110"/>
      <c r="M1158" s="111"/>
      <c r="N1158" s="103"/>
      <c r="O1158" s="112"/>
      <c r="P1158" s="115"/>
      <c r="Q1158" s="114"/>
      <c r="R1158" s="108"/>
      <c r="S1158" s="115" t="s">
        <v>200</v>
      </c>
      <c r="T1158" s="103" t="b">
        <v>0</v>
      </c>
      <c r="U1158" s="103"/>
      <c r="V1158" s="103"/>
      <c r="W1158" s="103"/>
      <c r="X1158" s="103"/>
      <c r="Y1158" s="103"/>
      <c r="Z1158" s="103"/>
    </row>
    <row r="1159">
      <c r="A1159" s="110" t="s">
        <v>200</v>
      </c>
      <c r="B1159" s="110"/>
      <c r="C1159" s="110"/>
      <c r="D1159" s="110"/>
      <c r="E1159" s="110"/>
      <c r="F1159" s="110"/>
      <c r="G1159" s="115"/>
      <c r="H1159" s="133"/>
      <c r="I1159" s="103"/>
      <c r="J1159" s="108"/>
      <c r="K1159" s="112"/>
      <c r="L1159" s="110"/>
      <c r="M1159" s="111"/>
      <c r="N1159" s="103"/>
      <c r="O1159" s="112"/>
      <c r="P1159" s="115"/>
      <c r="Q1159" s="114"/>
      <c r="R1159" s="108"/>
      <c r="S1159" s="115" t="s">
        <v>200</v>
      </c>
      <c r="T1159" s="103" t="b">
        <v>0</v>
      </c>
      <c r="U1159" s="103"/>
      <c r="V1159" s="103"/>
      <c r="W1159" s="103"/>
      <c r="X1159" s="103"/>
      <c r="Y1159" s="103"/>
      <c r="Z1159" s="103"/>
    </row>
    <row r="1160">
      <c r="A1160" s="110" t="s">
        <v>200</v>
      </c>
      <c r="B1160" s="110"/>
      <c r="C1160" s="110"/>
      <c r="D1160" s="110"/>
      <c r="E1160" s="110"/>
      <c r="F1160" s="110"/>
      <c r="G1160" s="115"/>
      <c r="H1160" s="133"/>
      <c r="I1160" s="103"/>
      <c r="J1160" s="108"/>
      <c r="K1160" s="112"/>
      <c r="L1160" s="110"/>
      <c r="M1160" s="111"/>
      <c r="N1160" s="103"/>
      <c r="O1160" s="112"/>
      <c r="P1160" s="115"/>
      <c r="Q1160" s="114"/>
      <c r="R1160" s="108"/>
      <c r="S1160" s="115" t="s">
        <v>200</v>
      </c>
      <c r="T1160" s="103" t="b">
        <v>0</v>
      </c>
      <c r="U1160" s="103"/>
      <c r="V1160" s="103"/>
      <c r="W1160" s="103"/>
      <c r="X1160" s="103"/>
      <c r="Y1160" s="103"/>
      <c r="Z1160" s="103"/>
    </row>
    <row r="1161">
      <c r="A1161" s="110" t="s">
        <v>200</v>
      </c>
      <c r="B1161" s="110"/>
      <c r="C1161" s="110"/>
      <c r="D1161" s="110"/>
      <c r="E1161" s="110"/>
      <c r="F1161" s="110"/>
      <c r="G1161" s="115"/>
      <c r="H1161" s="133"/>
      <c r="I1161" s="103"/>
      <c r="J1161" s="108"/>
      <c r="K1161" s="112"/>
      <c r="L1161" s="110"/>
      <c r="M1161" s="111"/>
      <c r="N1161" s="103"/>
      <c r="O1161" s="112"/>
      <c r="P1161" s="115"/>
      <c r="Q1161" s="114"/>
      <c r="R1161" s="108"/>
      <c r="S1161" s="115" t="s">
        <v>200</v>
      </c>
      <c r="T1161" s="103" t="b">
        <v>0</v>
      </c>
      <c r="U1161" s="103"/>
      <c r="V1161" s="103"/>
      <c r="W1161" s="103"/>
      <c r="X1161" s="103"/>
      <c r="Y1161" s="103"/>
      <c r="Z1161" s="103"/>
    </row>
    <row r="1162">
      <c r="A1162" s="110" t="s">
        <v>200</v>
      </c>
      <c r="B1162" s="110"/>
      <c r="C1162" s="110"/>
      <c r="D1162" s="110"/>
      <c r="E1162" s="110"/>
      <c r="F1162" s="110"/>
      <c r="G1162" s="115"/>
      <c r="H1162" s="133"/>
      <c r="I1162" s="103"/>
      <c r="J1162" s="108"/>
      <c r="K1162" s="112"/>
      <c r="L1162" s="110"/>
      <c r="M1162" s="111"/>
      <c r="N1162" s="103"/>
      <c r="O1162" s="112"/>
      <c r="P1162" s="115"/>
      <c r="Q1162" s="114"/>
      <c r="R1162" s="108"/>
      <c r="S1162" s="115" t="s">
        <v>200</v>
      </c>
      <c r="T1162" s="103" t="b">
        <v>0</v>
      </c>
      <c r="U1162" s="103"/>
      <c r="V1162" s="103"/>
      <c r="W1162" s="103"/>
      <c r="X1162" s="103"/>
      <c r="Y1162" s="103"/>
      <c r="Z1162" s="103"/>
    </row>
    <row r="1163">
      <c r="A1163" s="110" t="s">
        <v>200</v>
      </c>
      <c r="B1163" s="110"/>
      <c r="C1163" s="110"/>
      <c r="D1163" s="110"/>
      <c r="E1163" s="110"/>
      <c r="F1163" s="110"/>
      <c r="G1163" s="115"/>
      <c r="H1163" s="133"/>
      <c r="I1163" s="103"/>
      <c r="J1163" s="108"/>
      <c r="K1163" s="112"/>
      <c r="L1163" s="110"/>
      <c r="M1163" s="111"/>
      <c r="N1163" s="103"/>
      <c r="O1163" s="112"/>
      <c r="P1163" s="115"/>
      <c r="Q1163" s="114"/>
      <c r="R1163" s="108"/>
      <c r="S1163" s="115" t="s">
        <v>200</v>
      </c>
      <c r="T1163" s="103" t="b">
        <v>0</v>
      </c>
      <c r="U1163" s="103"/>
      <c r="V1163" s="103"/>
      <c r="W1163" s="103"/>
      <c r="X1163" s="103"/>
      <c r="Y1163" s="103"/>
      <c r="Z1163" s="103"/>
    </row>
    <row r="1164">
      <c r="A1164" s="110" t="s">
        <v>200</v>
      </c>
      <c r="B1164" s="110"/>
      <c r="C1164" s="110"/>
      <c r="D1164" s="110"/>
      <c r="E1164" s="110"/>
      <c r="F1164" s="110"/>
      <c r="G1164" s="115"/>
      <c r="H1164" s="133"/>
      <c r="I1164" s="103"/>
      <c r="J1164" s="108"/>
      <c r="K1164" s="112"/>
      <c r="L1164" s="110"/>
      <c r="M1164" s="111"/>
      <c r="N1164" s="103"/>
      <c r="O1164" s="112"/>
      <c r="P1164" s="115"/>
      <c r="Q1164" s="114"/>
      <c r="R1164" s="108"/>
      <c r="S1164" s="115" t="s">
        <v>200</v>
      </c>
      <c r="T1164" s="103" t="b">
        <v>0</v>
      </c>
      <c r="U1164" s="103"/>
      <c r="V1164" s="103"/>
      <c r="W1164" s="103"/>
      <c r="X1164" s="103"/>
      <c r="Y1164" s="103"/>
      <c r="Z1164" s="103"/>
    </row>
    <row r="1165">
      <c r="A1165" s="110" t="s">
        <v>200</v>
      </c>
      <c r="B1165" s="110"/>
      <c r="C1165" s="110"/>
      <c r="D1165" s="110"/>
      <c r="E1165" s="110"/>
      <c r="F1165" s="110"/>
      <c r="G1165" s="115"/>
      <c r="H1165" s="133"/>
      <c r="I1165" s="103"/>
      <c r="J1165" s="108"/>
      <c r="K1165" s="112"/>
      <c r="L1165" s="110"/>
      <c r="M1165" s="111"/>
      <c r="N1165" s="103"/>
      <c r="O1165" s="112"/>
      <c r="P1165" s="115"/>
      <c r="Q1165" s="114"/>
      <c r="R1165" s="108"/>
      <c r="S1165" s="115" t="s">
        <v>200</v>
      </c>
      <c r="T1165" s="103" t="b">
        <v>0</v>
      </c>
      <c r="U1165" s="103"/>
      <c r="V1165" s="103"/>
      <c r="W1165" s="103"/>
      <c r="X1165" s="103"/>
      <c r="Y1165" s="103"/>
      <c r="Z1165" s="103"/>
    </row>
    <row r="1166">
      <c r="A1166" s="110" t="s">
        <v>200</v>
      </c>
      <c r="B1166" s="110"/>
      <c r="C1166" s="110"/>
      <c r="D1166" s="110"/>
      <c r="E1166" s="110"/>
      <c r="F1166" s="110"/>
      <c r="G1166" s="115"/>
      <c r="H1166" s="133"/>
      <c r="I1166" s="103"/>
      <c r="J1166" s="108"/>
      <c r="K1166" s="112"/>
      <c r="L1166" s="110"/>
      <c r="M1166" s="111"/>
      <c r="N1166" s="103"/>
      <c r="O1166" s="112"/>
      <c r="P1166" s="115"/>
      <c r="Q1166" s="114"/>
      <c r="R1166" s="108"/>
      <c r="S1166" s="115" t="s">
        <v>200</v>
      </c>
      <c r="T1166" s="103" t="b">
        <v>0</v>
      </c>
      <c r="U1166" s="103"/>
      <c r="V1166" s="103"/>
      <c r="W1166" s="103"/>
      <c r="X1166" s="103"/>
      <c r="Y1166" s="103"/>
      <c r="Z1166" s="103"/>
    </row>
    <row r="1167">
      <c r="A1167" s="110" t="s">
        <v>200</v>
      </c>
      <c r="B1167" s="110"/>
      <c r="C1167" s="110"/>
      <c r="D1167" s="110"/>
      <c r="E1167" s="110"/>
      <c r="F1167" s="110"/>
      <c r="G1167" s="115"/>
      <c r="H1167" s="133"/>
      <c r="I1167" s="103"/>
      <c r="J1167" s="108"/>
      <c r="K1167" s="112"/>
      <c r="L1167" s="110"/>
      <c r="M1167" s="111"/>
      <c r="N1167" s="103"/>
      <c r="O1167" s="112"/>
      <c r="P1167" s="115"/>
      <c r="Q1167" s="114"/>
      <c r="R1167" s="108"/>
      <c r="S1167" s="115" t="s">
        <v>200</v>
      </c>
      <c r="T1167" s="103" t="b">
        <v>0</v>
      </c>
      <c r="U1167" s="103"/>
      <c r="V1167" s="103"/>
      <c r="W1167" s="103"/>
      <c r="X1167" s="103"/>
      <c r="Y1167" s="103"/>
      <c r="Z1167" s="103"/>
    </row>
    <row r="1168">
      <c r="A1168" s="110" t="s">
        <v>200</v>
      </c>
      <c r="B1168" s="110"/>
      <c r="C1168" s="110"/>
      <c r="D1168" s="110"/>
      <c r="E1168" s="110"/>
      <c r="F1168" s="110"/>
      <c r="G1168" s="115"/>
      <c r="H1168" s="133"/>
      <c r="I1168" s="103"/>
      <c r="J1168" s="108"/>
      <c r="K1168" s="112"/>
      <c r="L1168" s="110"/>
      <c r="M1168" s="111"/>
      <c r="N1168" s="103"/>
      <c r="O1168" s="112"/>
      <c r="P1168" s="115"/>
      <c r="Q1168" s="114"/>
      <c r="R1168" s="108"/>
      <c r="S1168" s="115" t="s">
        <v>200</v>
      </c>
      <c r="T1168" s="103" t="b">
        <v>0</v>
      </c>
      <c r="U1168" s="103"/>
      <c r="V1168" s="103"/>
      <c r="W1168" s="103"/>
      <c r="X1168" s="103"/>
      <c r="Y1168" s="103"/>
      <c r="Z1168" s="103"/>
    </row>
    <row r="1169">
      <c r="A1169" s="110" t="s">
        <v>200</v>
      </c>
      <c r="B1169" s="110"/>
      <c r="C1169" s="110"/>
      <c r="D1169" s="110"/>
      <c r="E1169" s="110"/>
      <c r="F1169" s="110"/>
      <c r="G1169" s="115"/>
      <c r="H1169" s="133"/>
      <c r="I1169" s="103"/>
      <c r="J1169" s="108"/>
      <c r="K1169" s="112"/>
      <c r="L1169" s="110"/>
      <c r="M1169" s="111"/>
      <c r="N1169" s="103"/>
      <c r="O1169" s="112"/>
      <c r="P1169" s="115"/>
      <c r="Q1169" s="114"/>
      <c r="R1169" s="108"/>
      <c r="S1169" s="115" t="s">
        <v>200</v>
      </c>
      <c r="T1169" s="103" t="b">
        <v>0</v>
      </c>
      <c r="U1169" s="103"/>
      <c r="V1169" s="103"/>
      <c r="W1169" s="103"/>
      <c r="X1169" s="103"/>
      <c r="Y1169" s="103"/>
      <c r="Z1169" s="103"/>
    </row>
    <row r="1170">
      <c r="A1170" s="110" t="s">
        <v>200</v>
      </c>
      <c r="B1170" s="110"/>
      <c r="C1170" s="110"/>
      <c r="D1170" s="110"/>
      <c r="E1170" s="110"/>
      <c r="F1170" s="110"/>
      <c r="G1170" s="115"/>
      <c r="H1170" s="133"/>
      <c r="I1170" s="103"/>
      <c r="J1170" s="108"/>
      <c r="K1170" s="112"/>
      <c r="L1170" s="110"/>
      <c r="M1170" s="111"/>
      <c r="N1170" s="103"/>
      <c r="O1170" s="112"/>
      <c r="P1170" s="115"/>
      <c r="Q1170" s="114"/>
      <c r="R1170" s="108"/>
      <c r="S1170" s="115" t="s">
        <v>200</v>
      </c>
      <c r="T1170" s="103" t="b">
        <v>0</v>
      </c>
      <c r="U1170" s="103"/>
      <c r="V1170" s="103"/>
      <c r="W1170" s="103"/>
      <c r="X1170" s="103"/>
      <c r="Y1170" s="103"/>
      <c r="Z1170" s="103"/>
    </row>
    <row r="1171">
      <c r="A1171" s="110" t="s">
        <v>200</v>
      </c>
      <c r="B1171" s="110"/>
      <c r="C1171" s="110"/>
      <c r="D1171" s="110"/>
      <c r="E1171" s="110"/>
      <c r="F1171" s="110"/>
      <c r="G1171" s="115"/>
      <c r="H1171" s="133"/>
      <c r="I1171" s="103"/>
      <c r="J1171" s="108"/>
      <c r="K1171" s="112"/>
      <c r="L1171" s="110"/>
      <c r="M1171" s="111"/>
      <c r="N1171" s="103"/>
      <c r="O1171" s="112"/>
      <c r="P1171" s="115"/>
      <c r="Q1171" s="114"/>
      <c r="R1171" s="108"/>
      <c r="S1171" s="115" t="s">
        <v>200</v>
      </c>
      <c r="T1171" s="103" t="b">
        <v>0</v>
      </c>
      <c r="U1171" s="103"/>
      <c r="V1171" s="103"/>
      <c r="W1171" s="103"/>
      <c r="X1171" s="103"/>
      <c r="Y1171" s="103"/>
      <c r="Z1171" s="103"/>
    </row>
    <row r="1172">
      <c r="A1172" s="110" t="s">
        <v>200</v>
      </c>
      <c r="B1172" s="110"/>
      <c r="C1172" s="110"/>
      <c r="D1172" s="110"/>
      <c r="E1172" s="110"/>
      <c r="F1172" s="110"/>
      <c r="G1172" s="115"/>
      <c r="H1172" s="133"/>
      <c r="I1172" s="103"/>
      <c r="J1172" s="108"/>
      <c r="K1172" s="112"/>
      <c r="L1172" s="110"/>
      <c r="M1172" s="111"/>
      <c r="N1172" s="103"/>
      <c r="O1172" s="112"/>
      <c r="P1172" s="115"/>
      <c r="Q1172" s="114"/>
      <c r="R1172" s="108"/>
      <c r="S1172" s="115" t="s">
        <v>200</v>
      </c>
      <c r="T1172" s="103" t="b">
        <v>0</v>
      </c>
      <c r="U1172" s="103"/>
      <c r="V1172" s="103"/>
      <c r="W1172" s="103"/>
      <c r="X1172" s="103"/>
      <c r="Y1172" s="103"/>
      <c r="Z1172" s="103"/>
    </row>
    <row r="1173">
      <c r="A1173" s="110" t="s">
        <v>200</v>
      </c>
      <c r="B1173" s="110"/>
      <c r="C1173" s="110"/>
      <c r="D1173" s="110"/>
      <c r="E1173" s="110"/>
      <c r="F1173" s="110"/>
      <c r="G1173" s="115"/>
      <c r="H1173" s="133"/>
      <c r="I1173" s="103"/>
      <c r="J1173" s="108"/>
      <c r="K1173" s="112"/>
      <c r="L1173" s="110"/>
      <c r="M1173" s="111"/>
      <c r="N1173" s="103"/>
      <c r="O1173" s="112"/>
      <c r="P1173" s="115"/>
      <c r="Q1173" s="114"/>
      <c r="R1173" s="108"/>
      <c r="S1173" s="115" t="s">
        <v>200</v>
      </c>
      <c r="T1173" s="103" t="b">
        <v>0</v>
      </c>
      <c r="U1173" s="103"/>
      <c r="V1173" s="103"/>
      <c r="W1173" s="103"/>
      <c r="X1173" s="103"/>
      <c r="Y1173" s="103"/>
      <c r="Z1173" s="103"/>
    </row>
    <row r="1174">
      <c r="A1174" s="110" t="s">
        <v>200</v>
      </c>
      <c r="B1174" s="110"/>
      <c r="C1174" s="110"/>
      <c r="D1174" s="110"/>
      <c r="E1174" s="110"/>
      <c r="F1174" s="110"/>
      <c r="G1174" s="115"/>
      <c r="H1174" s="133"/>
      <c r="I1174" s="103"/>
      <c r="J1174" s="108"/>
      <c r="K1174" s="112"/>
      <c r="L1174" s="110"/>
      <c r="M1174" s="111"/>
      <c r="N1174" s="103"/>
      <c r="O1174" s="112"/>
      <c r="P1174" s="115"/>
      <c r="Q1174" s="114"/>
      <c r="R1174" s="108"/>
      <c r="S1174" s="115" t="s">
        <v>200</v>
      </c>
      <c r="T1174" s="103" t="b">
        <v>0</v>
      </c>
      <c r="U1174" s="103"/>
      <c r="V1174" s="103"/>
      <c r="W1174" s="103"/>
      <c r="X1174" s="103"/>
      <c r="Y1174" s="103"/>
      <c r="Z1174" s="103"/>
    </row>
    <row r="1175">
      <c r="A1175" s="110" t="s">
        <v>200</v>
      </c>
      <c r="B1175" s="110"/>
      <c r="C1175" s="110"/>
      <c r="D1175" s="110"/>
      <c r="E1175" s="110"/>
      <c r="F1175" s="110"/>
      <c r="G1175" s="115"/>
      <c r="H1175" s="133"/>
      <c r="I1175" s="103"/>
      <c r="J1175" s="108"/>
      <c r="K1175" s="112"/>
      <c r="L1175" s="110"/>
      <c r="M1175" s="111"/>
      <c r="N1175" s="103"/>
      <c r="O1175" s="112"/>
      <c r="P1175" s="115"/>
      <c r="Q1175" s="114"/>
      <c r="R1175" s="108"/>
      <c r="S1175" s="115" t="s">
        <v>200</v>
      </c>
      <c r="T1175" s="103" t="b">
        <v>0</v>
      </c>
      <c r="U1175" s="103"/>
      <c r="V1175" s="103"/>
      <c r="W1175" s="103"/>
      <c r="X1175" s="103"/>
      <c r="Y1175" s="103"/>
      <c r="Z1175" s="103"/>
    </row>
    <row r="1176">
      <c r="A1176" s="110" t="s">
        <v>200</v>
      </c>
      <c r="B1176" s="110"/>
      <c r="C1176" s="110"/>
      <c r="D1176" s="110"/>
      <c r="E1176" s="110"/>
      <c r="F1176" s="110"/>
      <c r="G1176" s="115"/>
      <c r="H1176" s="133"/>
      <c r="I1176" s="103"/>
      <c r="J1176" s="108"/>
      <c r="K1176" s="112"/>
      <c r="L1176" s="110"/>
      <c r="M1176" s="111"/>
      <c r="N1176" s="103"/>
      <c r="O1176" s="112"/>
      <c r="P1176" s="115"/>
      <c r="Q1176" s="114"/>
      <c r="R1176" s="108"/>
      <c r="S1176" s="115" t="s">
        <v>200</v>
      </c>
      <c r="T1176" s="103" t="b">
        <v>0</v>
      </c>
      <c r="U1176" s="103"/>
      <c r="V1176" s="103"/>
      <c r="W1176" s="103"/>
      <c r="X1176" s="103"/>
      <c r="Y1176" s="103"/>
      <c r="Z1176" s="103"/>
    </row>
    <row r="1177">
      <c r="A1177" s="110" t="s">
        <v>200</v>
      </c>
      <c r="B1177" s="110"/>
      <c r="C1177" s="110"/>
      <c r="D1177" s="110"/>
      <c r="E1177" s="110"/>
      <c r="F1177" s="110"/>
      <c r="G1177" s="115"/>
      <c r="H1177" s="133"/>
      <c r="I1177" s="103"/>
      <c r="J1177" s="108"/>
      <c r="K1177" s="112"/>
      <c r="L1177" s="110"/>
      <c r="M1177" s="111"/>
      <c r="N1177" s="103"/>
      <c r="O1177" s="112"/>
      <c r="P1177" s="115"/>
      <c r="Q1177" s="114"/>
      <c r="R1177" s="108"/>
      <c r="S1177" s="115" t="s">
        <v>200</v>
      </c>
      <c r="T1177" s="103" t="b">
        <v>0</v>
      </c>
      <c r="U1177" s="103"/>
      <c r="V1177" s="103"/>
      <c r="W1177" s="103"/>
      <c r="X1177" s="103"/>
      <c r="Y1177" s="103"/>
      <c r="Z1177" s="103"/>
    </row>
    <row r="1178">
      <c r="A1178" s="110" t="s">
        <v>200</v>
      </c>
      <c r="B1178" s="110"/>
      <c r="C1178" s="110"/>
      <c r="D1178" s="110"/>
      <c r="E1178" s="110"/>
      <c r="F1178" s="110"/>
      <c r="G1178" s="115"/>
      <c r="H1178" s="133"/>
      <c r="I1178" s="103"/>
      <c r="J1178" s="108"/>
      <c r="K1178" s="112"/>
      <c r="L1178" s="110"/>
      <c r="M1178" s="111"/>
      <c r="N1178" s="103"/>
      <c r="O1178" s="112"/>
      <c r="P1178" s="115"/>
      <c r="Q1178" s="114"/>
      <c r="R1178" s="108"/>
      <c r="S1178" s="115" t="s">
        <v>200</v>
      </c>
      <c r="T1178" s="103" t="b">
        <v>0</v>
      </c>
      <c r="U1178" s="103"/>
      <c r="V1178" s="103"/>
      <c r="W1178" s="103"/>
      <c r="X1178" s="103"/>
      <c r="Y1178" s="103"/>
      <c r="Z1178" s="103"/>
    </row>
    <row r="1179">
      <c r="A1179" s="110" t="s">
        <v>200</v>
      </c>
      <c r="B1179" s="110"/>
      <c r="C1179" s="110"/>
      <c r="D1179" s="110"/>
      <c r="E1179" s="110"/>
      <c r="F1179" s="110"/>
      <c r="G1179" s="115"/>
      <c r="H1179" s="133"/>
      <c r="I1179" s="103"/>
      <c r="J1179" s="108"/>
      <c r="K1179" s="112"/>
      <c r="L1179" s="110"/>
      <c r="M1179" s="111"/>
      <c r="N1179" s="103"/>
      <c r="O1179" s="112"/>
      <c r="P1179" s="115"/>
      <c r="Q1179" s="114"/>
      <c r="R1179" s="108"/>
      <c r="S1179" s="115" t="s">
        <v>200</v>
      </c>
      <c r="T1179" s="103" t="b">
        <v>0</v>
      </c>
      <c r="U1179" s="103"/>
      <c r="V1179" s="103"/>
      <c r="W1179" s="103"/>
      <c r="X1179" s="103"/>
      <c r="Y1179" s="103"/>
      <c r="Z1179" s="103"/>
    </row>
    <row r="1180">
      <c r="A1180" s="110" t="s">
        <v>200</v>
      </c>
      <c r="B1180" s="110"/>
      <c r="C1180" s="110"/>
      <c r="D1180" s="110"/>
      <c r="E1180" s="110"/>
      <c r="F1180" s="110"/>
      <c r="G1180" s="115"/>
      <c r="H1180" s="133"/>
      <c r="I1180" s="103"/>
      <c r="J1180" s="108"/>
      <c r="K1180" s="112"/>
      <c r="L1180" s="110"/>
      <c r="M1180" s="111"/>
      <c r="N1180" s="103"/>
      <c r="O1180" s="112"/>
      <c r="P1180" s="115"/>
      <c r="Q1180" s="114"/>
      <c r="R1180" s="108"/>
      <c r="S1180" s="115" t="s">
        <v>200</v>
      </c>
      <c r="T1180" s="103" t="b">
        <v>0</v>
      </c>
      <c r="U1180" s="103"/>
      <c r="V1180" s="103"/>
      <c r="W1180" s="103"/>
      <c r="X1180" s="103"/>
      <c r="Y1180" s="103"/>
      <c r="Z1180" s="103"/>
    </row>
    <row r="1181">
      <c r="A1181" s="110" t="s">
        <v>200</v>
      </c>
      <c r="B1181" s="110"/>
      <c r="C1181" s="110"/>
      <c r="D1181" s="110"/>
      <c r="E1181" s="110"/>
      <c r="F1181" s="110"/>
      <c r="G1181" s="115"/>
      <c r="H1181" s="133"/>
      <c r="I1181" s="103"/>
      <c r="J1181" s="108"/>
      <c r="K1181" s="112"/>
      <c r="L1181" s="110"/>
      <c r="M1181" s="111"/>
      <c r="N1181" s="103"/>
      <c r="O1181" s="112"/>
      <c r="P1181" s="115"/>
      <c r="Q1181" s="114"/>
      <c r="R1181" s="108"/>
      <c r="S1181" s="115" t="s">
        <v>200</v>
      </c>
      <c r="T1181" s="103" t="b">
        <v>0</v>
      </c>
      <c r="U1181" s="103"/>
      <c r="V1181" s="103"/>
      <c r="W1181" s="103"/>
      <c r="X1181" s="103"/>
      <c r="Y1181" s="103"/>
      <c r="Z1181" s="103"/>
    </row>
    <row r="1182">
      <c r="A1182" s="110" t="s">
        <v>200</v>
      </c>
      <c r="B1182" s="110"/>
      <c r="C1182" s="110"/>
      <c r="D1182" s="110"/>
      <c r="E1182" s="110"/>
      <c r="F1182" s="110"/>
      <c r="G1182" s="115"/>
      <c r="H1182" s="133"/>
      <c r="I1182" s="103"/>
      <c r="J1182" s="108"/>
      <c r="K1182" s="112"/>
      <c r="L1182" s="110"/>
      <c r="M1182" s="111"/>
      <c r="N1182" s="103"/>
      <c r="O1182" s="112"/>
      <c r="P1182" s="115"/>
      <c r="Q1182" s="114"/>
      <c r="R1182" s="108"/>
      <c r="S1182" s="115" t="s">
        <v>200</v>
      </c>
      <c r="T1182" s="103" t="b">
        <v>0</v>
      </c>
      <c r="U1182" s="103"/>
      <c r="V1182" s="103"/>
      <c r="W1182" s="103"/>
      <c r="X1182" s="103"/>
      <c r="Y1182" s="103"/>
      <c r="Z1182" s="103"/>
    </row>
    <row r="1183">
      <c r="A1183" s="110" t="s">
        <v>200</v>
      </c>
      <c r="B1183" s="110"/>
      <c r="C1183" s="110"/>
      <c r="D1183" s="110"/>
      <c r="E1183" s="110"/>
      <c r="F1183" s="110"/>
      <c r="G1183" s="115"/>
      <c r="H1183" s="133"/>
      <c r="I1183" s="103"/>
      <c r="J1183" s="108"/>
      <c r="K1183" s="112"/>
      <c r="L1183" s="110"/>
      <c r="M1183" s="111"/>
      <c r="N1183" s="103"/>
      <c r="O1183" s="112"/>
      <c r="P1183" s="115"/>
      <c r="Q1183" s="114"/>
      <c r="R1183" s="108"/>
      <c r="S1183" s="115" t="s">
        <v>200</v>
      </c>
      <c r="T1183" s="103" t="b">
        <v>0</v>
      </c>
      <c r="U1183" s="103"/>
      <c r="V1183" s="103"/>
      <c r="W1183" s="103"/>
      <c r="X1183" s="103"/>
      <c r="Y1183" s="103"/>
      <c r="Z1183" s="103"/>
    </row>
    <row r="1184">
      <c r="A1184" s="110" t="s">
        <v>200</v>
      </c>
      <c r="B1184" s="110"/>
      <c r="C1184" s="110"/>
      <c r="D1184" s="110"/>
      <c r="E1184" s="110"/>
      <c r="F1184" s="110"/>
      <c r="G1184" s="115"/>
      <c r="H1184" s="133"/>
      <c r="I1184" s="103"/>
      <c r="J1184" s="108"/>
      <c r="K1184" s="112"/>
      <c r="L1184" s="110"/>
      <c r="M1184" s="111"/>
      <c r="N1184" s="103"/>
      <c r="O1184" s="112"/>
      <c r="P1184" s="115"/>
      <c r="Q1184" s="114"/>
      <c r="R1184" s="108"/>
      <c r="S1184" s="115" t="s">
        <v>200</v>
      </c>
      <c r="T1184" s="103" t="b">
        <v>0</v>
      </c>
      <c r="U1184" s="103"/>
      <c r="V1184" s="103"/>
      <c r="W1184" s="103"/>
      <c r="X1184" s="103"/>
      <c r="Y1184" s="103"/>
      <c r="Z1184" s="103"/>
    </row>
    <row r="1185">
      <c r="A1185" s="110" t="s">
        <v>200</v>
      </c>
      <c r="B1185" s="110"/>
      <c r="C1185" s="110"/>
      <c r="D1185" s="110"/>
      <c r="E1185" s="110"/>
      <c r="F1185" s="110"/>
      <c r="G1185" s="115"/>
      <c r="H1185" s="133"/>
      <c r="I1185" s="103"/>
      <c r="J1185" s="108"/>
      <c r="K1185" s="112"/>
      <c r="L1185" s="110"/>
      <c r="M1185" s="111"/>
      <c r="N1185" s="103"/>
      <c r="O1185" s="112"/>
      <c r="P1185" s="115"/>
      <c r="Q1185" s="114"/>
      <c r="R1185" s="108"/>
      <c r="S1185" s="115" t="s">
        <v>200</v>
      </c>
      <c r="T1185" s="103" t="b">
        <v>0</v>
      </c>
      <c r="U1185" s="103"/>
      <c r="V1185" s="103"/>
      <c r="W1185" s="103"/>
      <c r="X1185" s="103"/>
      <c r="Y1185" s="103"/>
      <c r="Z1185" s="103"/>
    </row>
    <row r="1186">
      <c r="A1186" s="110" t="s">
        <v>200</v>
      </c>
      <c r="B1186" s="110"/>
      <c r="C1186" s="110"/>
      <c r="D1186" s="110"/>
      <c r="E1186" s="110"/>
      <c r="F1186" s="110"/>
      <c r="G1186" s="115"/>
      <c r="H1186" s="133"/>
      <c r="I1186" s="103"/>
      <c r="J1186" s="108"/>
      <c r="K1186" s="112"/>
      <c r="L1186" s="110"/>
      <c r="M1186" s="111"/>
      <c r="N1186" s="103"/>
      <c r="O1186" s="112"/>
      <c r="P1186" s="115"/>
      <c r="Q1186" s="114"/>
      <c r="R1186" s="108"/>
      <c r="S1186" s="115" t="s">
        <v>200</v>
      </c>
      <c r="T1186" s="103" t="b">
        <v>0</v>
      </c>
      <c r="U1186" s="103"/>
      <c r="V1186" s="103"/>
      <c r="W1186" s="103"/>
      <c r="X1186" s="103"/>
      <c r="Y1186" s="103"/>
      <c r="Z1186" s="103"/>
    </row>
    <row r="1187">
      <c r="A1187" s="110" t="s">
        <v>200</v>
      </c>
      <c r="B1187" s="110"/>
      <c r="C1187" s="110"/>
      <c r="D1187" s="110"/>
      <c r="E1187" s="110"/>
      <c r="F1187" s="110"/>
      <c r="G1187" s="115"/>
      <c r="H1187" s="133"/>
      <c r="I1187" s="103"/>
      <c r="J1187" s="108"/>
      <c r="K1187" s="112"/>
      <c r="L1187" s="110"/>
      <c r="M1187" s="111"/>
      <c r="N1187" s="103"/>
      <c r="O1187" s="112"/>
      <c r="P1187" s="115"/>
      <c r="Q1187" s="114"/>
      <c r="R1187" s="108"/>
      <c r="S1187" s="115" t="s">
        <v>200</v>
      </c>
      <c r="T1187" s="103" t="b">
        <v>0</v>
      </c>
      <c r="U1187" s="103"/>
      <c r="V1187" s="103"/>
      <c r="W1187" s="103"/>
      <c r="X1187" s="103"/>
      <c r="Y1187" s="103"/>
      <c r="Z1187" s="103"/>
    </row>
    <row r="1188">
      <c r="A1188" s="110" t="s">
        <v>200</v>
      </c>
      <c r="B1188" s="110"/>
      <c r="C1188" s="110"/>
      <c r="D1188" s="110"/>
      <c r="E1188" s="110"/>
      <c r="F1188" s="110"/>
      <c r="G1188" s="115"/>
      <c r="H1188" s="133"/>
      <c r="I1188" s="103"/>
      <c r="J1188" s="108"/>
      <c r="K1188" s="112"/>
      <c r="L1188" s="110"/>
      <c r="M1188" s="111"/>
      <c r="N1188" s="103"/>
      <c r="O1188" s="112"/>
      <c r="P1188" s="115"/>
      <c r="Q1188" s="114"/>
      <c r="R1188" s="108"/>
      <c r="S1188" s="115" t="s">
        <v>200</v>
      </c>
      <c r="T1188" s="103" t="b">
        <v>0</v>
      </c>
      <c r="U1188" s="103"/>
      <c r="V1188" s="103"/>
      <c r="W1188" s="103"/>
      <c r="X1188" s="103"/>
      <c r="Y1188" s="103"/>
      <c r="Z1188" s="103"/>
    </row>
    <row r="1189">
      <c r="A1189" s="110" t="s">
        <v>200</v>
      </c>
      <c r="B1189" s="110"/>
      <c r="C1189" s="110"/>
      <c r="D1189" s="110"/>
      <c r="E1189" s="110"/>
      <c r="F1189" s="110"/>
      <c r="G1189" s="115"/>
      <c r="H1189" s="133"/>
      <c r="I1189" s="103"/>
      <c r="J1189" s="108"/>
      <c r="K1189" s="112"/>
      <c r="L1189" s="110"/>
      <c r="M1189" s="111"/>
      <c r="N1189" s="103"/>
      <c r="O1189" s="112"/>
      <c r="P1189" s="115"/>
      <c r="Q1189" s="114"/>
      <c r="R1189" s="108"/>
      <c r="S1189" s="115" t="s">
        <v>200</v>
      </c>
      <c r="T1189" s="103" t="b">
        <v>0</v>
      </c>
      <c r="U1189" s="103"/>
      <c r="V1189" s="103"/>
      <c r="W1189" s="103"/>
      <c r="X1189" s="103"/>
      <c r="Y1189" s="103"/>
      <c r="Z1189" s="103"/>
    </row>
    <row r="1190">
      <c r="A1190" s="110" t="s">
        <v>200</v>
      </c>
      <c r="B1190" s="110"/>
      <c r="C1190" s="110"/>
      <c r="D1190" s="110"/>
      <c r="E1190" s="110"/>
      <c r="F1190" s="110"/>
      <c r="G1190" s="115"/>
      <c r="H1190" s="133"/>
      <c r="I1190" s="103"/>
      <c r="J1190" s="108"/>
      <c r="K1190" s="112"/>
      <c r="L1190" s="110"/>
      <c r="M1190" s="111"/>
      <c r="N1190" s="103"/>
      <c r="O1190" s="112"/>
      <c r="P1190" s="115"/>
      <c r="Q1190" s="114"/>
      <c r="R1190" s="108"/>
      <c r="S1190" s="115" t="s">
        <v>200</v>
      </c>
      <c r="T1190" s="103" t="b">
        <v>0</v>
      </c>
      <c r="U1190" s="103"/>
      <c r="V1190" s="103"/>
      <c r="W1190" s="103"/>
      <c r="X1190" s="103"/>
      <c r="Y1190" s="103"/>
      <c r="Z1190" s="103"/>
    </row>
    <row r="1191">
      <c r="A1191" s="110" t="s">
        <v>200</v>
      </c>
      <c r="B1191" s="110"/>
      <c r="C1191" s="110"/>
      <c r="D1191" s="110"/>
      <c r="E1191" s="110"/>
      <c r="F1191" s="110"/>
      <c r="G1191" s="115"/>
      <c r="H1191" s="133"/>
      <c r="I1191" s="103"/>
      <c r="J1191" s="108"/>
      <c r="K1191" s="112"/>
      <c r="L1191" s="110"/>
      <c r="M1191" s="111"/>
      <c r="N1191" s="103"/>
      <c r="O1191" s="112"/>
      <c r="P1191" s="115"/>
      <c r="Q1191" s="114"/>
      <c r="R1191" s="108"/>
      <c r="S1191" s="115" t="s">
        <v>200</v>
      </c>
      <c r="T1191" s="103" t="b">
        <v>0</v>
      </c>
      <c r="U1191" s="103"/>
      <c r="V1191" s="103"/>
      <c r="W1191" s="103"/>
      <c r="X1191" s="103"/>
      <c r="Y1191" s="103"/>
      <c r="Z1191" s="103"/>
    </row>
    <row r="1192">
      <c r="A1192" s="110" t="s">
        <v>200</v>
      </c>
      <c r="B1192" s="110"/>
      <c r="C1192" s="110"/>
      <c r="D1192" s="110"/>
      <c r="E1192" s="110"/>
      <c r="F1192" s="110"/>
      <c r="G1192" s="115"/>
      <c r="H1192" s="133"/>
      <c r="I1192" s="103"/>
      <c r="J1192" s="108"/>
      <c r="K1192" s="112"/>
      <c r="L1192" s="110"/>
      <c r="M1192" s="111"/>
      <c r="N1192" s="103"/>
      <c r="O1192" s="112"/>
      <c r="P1192" s="115"/>
      <c r="Q1192" s="114"/>
      <c r="R1192" s="108"/>
      <c r="S1192" s="115" t="s">
        <v>200</v>
      </c>
      <c r="T1192" s="103" t="b">
        <v>0</v>
      </c>
      <c r="U1192" s="103"/>
      <c r="V1192" s="103"/>
      <c r="W1192" s="103"/>
      <c r="X1192" s="103"/>
      <c r="Y1192" s="103"/>
      <c r="Z1192" s="103"/>
    </row>
    <row r="1193">
      <c r="A1193" s="110" t="s">
        <v>200</v>
      </c>
      <c r="B1193" s="110"/>
      <c r="C1193" s="110"/>
      <c r="D1193" s="110"/>
      <c r="E1193" s="110"/>
      <c r="F1193" s="110"/>
      <c r="G1193" s="115"/>
      <c r="H1193" s="133"/>
      <c r="I1193" s="103"/>
      <c r="J1193" s="108"/>
      <c r="K1193" s="112"/>
      <c r="L1193" s="110"/>
      <c r="M1193" s="111"/>
      <c r="N1193" s="103"/>
      <c r="O1193" s="112"/>
      <c r="P1193" s="115"/>
      <c r="Q1193" s="114"/>
      <c r="R1193" s="108"/>
      <c r="S1193" s="115" t="s">
        <v>200</v>
      </c>
      <c r="T1193" s="103" t="b">
        <v>0</v>
      </c>
      <c r="U1193" s="103"/>
      <c r="V1193" s="103"/>
      <c r="W1193" s="103"/>
      <c r="X1193" s="103"/>
      <c r="Y1193" s="103"/>
      <c r="Z1193" s="103"/>
    </row>
    <row r="1194">
      <c r="A1194" s="110" t="s">
        <v>200</v>
      </c>
      <c r="B1194" s="110"/>
      <c r="C1194" s="110"/>
      <c r="D1194" s="110"/>
      <c r="E1194" s="110"/>
      <c r="F1194" s="110"/>
      <c r="G1194" s="115"/>
      <c r="H1194" s="133"/>
      <c r="I1194" s="103"/>
      <c r="J1194" s="108"/>
      <c r="K1194" s="112"/>
      <c r="L1194" s="110"/>
      <c r="M1194" s="111"/>
      <c r="N1194" s="103"/>
      <c r="O1194" s="112"/>
      <c r="P1194" s="115"/>
      <c r="Q1194" s="114"/>
      <c r="R1194" s="108"/>
      <c r="S1194" s="115" t="s">
        <v>200</v>
      </c>
      <c r="T1194" s="103" t="b">
        <v>0</v>
      </c>
      <c r="U1194" s="103"/>
      <c r="V1194" s="103"/>
      <c r="W1194" s="103"/>
      <c r="X1194" s="103"/>
      <c r="Y1194" s="103"/>
      <c r="Z1194" s="103"/>
    </row>
    <row r="1195">
      <c r="A1195" s="110" t="s">
        <v>200</v>
      </c>
      <c r="B1195" s="110"/>
      <c r="C1195" s="110"/>
      <c r="D1195" s="110"/>
      <c r="E1195" s="110"/>
      <c r="F1195" s="110"/>
      <c r="G1195" s="115"/>
      <c r="H1195" s="133"/>
      <c r="I1195" s="103"/>
      <c r="J1195" s="108"/>
      <c r="K1195" s="112"/>
      <c r="L1195" s="110"/>
      <c r="M1195" s="111"/>
      <c r="N1195" s="103"/>
      <c r="O1195" s="112"/>
      <c r="P1195" s="115"/>
      <c r="Q1195" s="114"/>
      <c r="R1195" s="108"/>
      <c r="S1195" s="115" t="s">
        <v>200</v>
      </c>
      <c r="T1195" s="103" t="b">
        <v>0</v>
      </c>
      <c r="U1195" s="103"/>
      <c r="V1195" s="103"/>
      <c r="W1195" s="103"/>
      <c r="X1195" s="103"/>
      <c r="Y1195" s="103"/>
      <c r="Z1195" s="103"/>
    </row>
    <row r="1196">
      <c r="A1196" s="110" t="s">
        <v>200</v>
      </c>
      <c r="B1196" s="110"/>
      <c r="C1196" s="110"/>
      <c r="D1196" s="110"/>
      <c r="E1196" s="110"/>
      <c r="F1196" s="110"/>
      <c r="G1196" s="115"/>
      <c r="H1196" s="133"/>
      <c r="I1196" s="103"/>
      <c r="J1196" s="108"/>
      <c r="K1196" s="112"/>
      <c r="L1196" s="110"/>
      <c r="M1196" s="111"/>
      <c r="N1196" s="103"/>
      <c r="O1196" s="112"/>
      <c r="P1196" s="115"/>
      <c r="Q1196" s="114"/>
      <c r="R1196" s="108"/>
      <c r="S1196" s="115" t="s">
        <v>200</v>
      </c>
      <c r="T1196" s="103" t="b">
        <v>0</v>
      </c>
      <c r="U1196" s="103"/>
      <c r="V1196" s="103"/>
      <c r="W1196" s="103"/>
      <c r="X1196" s="103"/>
      <c r="Y1196" s="103"/>
      <c r="Z1196" s="103"/>
    </row>
    <row r="1197">
      <c r="A1197" s="110" t="s">
        <v>200</v>
      </c>
      <c r="B1197" s="110"/>
      <c r="C1197" s="110"/>
      <c r="D1197" s="110"/>
      <c r="E1197" s="110"/>
      <c r="F1197" s="110"/>
      <c r="G1197" s="115"/>
      <c r="H1197" s="133"/>
      <c r="I1197" s="103"/>
      <c r="J1197" s="108"/>
      <c r="K1197" s="112"/>
      <c r="L1197" s="110"/>
      <c r="M1197" s="111"/>
      <c r="N1197" s="103"/>
      <c r="O1197" s="112"/>
      <c r="P1197" s="115"/>
      <c r="Q1197" s="114"/>
      <c r="R1197" s="108"/>
      <c r="S1197" s="115" t="s">
        <v>200</v>
      </c>
      <c r="T1197" s="103" t="b">
        <v>0</v>
      </c>
      <c r="U1197" s="103"/>
      <c r="V1197" s="103"/>
      <c r="W1197" s="103"/>
      <c r="X1197" s="103"/>
      <c r="Y1197" s="103"/>
      <c r="Z1197" s="103"/>
    </row>
    <row r="1198">
      <c r="A1198" s="110" t="s">
        <v>200</v>
      </c>
      <c r="B1198" s="110"/>
      <c r="C1198" s="110"/>
      <c r="D1198" s="110"/>
      <c r="E1198" s="110"/>
      <c r="F1198" s="110"/>
      <c r="G1198" s="115"/>
      <c r="H1198" s="133"/>
      <c r="I1198" s="103"/>
      <c r="J1198" s="108"/>
      <c r="K1198" s="112"/>
      <c r="L1198" s="110"/>
      <c r="M1198" s="111"/>
      <c r="N1198" s="103"/>
      <c r="O1198" s="112"/>
      <c r="P1198" s="115"/>
      <c r="Q1198" s="114"/>
      <c r="R1198" s="108"/>
      <c r="S1198" s="115" t="s">
        <v>200</v>
      </c>
      <c r="T1198" s="103" t="b">
        <v>0</v>
      </c>
      <c r="U1198" s="103"/>
      <c r="V1198" s="103"/>
      <c r="W1198" s="103"/>
      <c r="X1198" s="103"/>
      <c r="Y1198" s="103"/>
      <c r="Z1198" s="103"/>
    </row>
    <row r="1199">
      <c r="A1199" s="110" t="s">
        <v>200</v>
      </c>
      <c r="B1199" s="110"/>
      <c r="C1199" s="110"/>
      <c r="D1199" s="110"/>
      <c r="E1199" s="110"/>
      <c r="F1199" s="110"/>
      <c r="G1199" s="115"/>
      <c r="H1199" s="133"/>
      <c r="I1199" s="103"/>
      <c r="J1199" s="108"/>
      <c r="K1199" s="112"/>
      <c r="L1199" s="110"/>
      <c r="M1199" s="111"/>
      <c r="N1199" s="103"/>
      <c r="O1199" s="112"/>
      <c r="P1199" s="115"/>
      <c r="Q1199" s="114"/>
      <c r="R1199" s="108"/>
      <c r="S1199" s="115" t="s">
        <v>200</v>
      </c>
      <c r="T1199" s="103" t="b">
        <v>0</v>
      </c>
      <c r="U1199" s="103"/>
      <c r="V1199" s="103"/>
      <c r="W1199" s="103"/>
      <c r="X1199" s="103"/>
      <c r="Y1199" s="103"/>
      <c r="Z1199" s="103"/>
    </row>
    <row r="1200">
      <c r="A1200" s="110" t="s">
        <v>200</v>
      </c>
      <c r="B1200" s="110"/>
      <c r="C1200" s="110"/>
      <c r="D1200" s="110"/>
      <c r="E1200" s="110"/>
      <c r="F1200" s="110"/>
      <c r="G1200" s="115"/>
      <c r="H1200" s="133"/>
      <c r="I1200" s="103"/>
      <c r="J1200" s="108"/>
      <c r="K1200" s="112"/>
      <c r="L1200" s="110"/>
      <c r="M1200" s="111"/>
      <c r="N1200" s="103"/>
      <c r="O1200" s="112"/>
      <c r="P1200" s="115"/>
      <c r="Q1200" s="114"/>
      <c r="R1200" s="108"/>
      <c r="S1200" s="115" t="s">
        <v>200</v>
      </c>
      <c r="T1200" s="103" t="b">
        <v>0</v>
      </c>
      <c r="U1200" s="103"/>
      <c r="V1200" s="103"/>
      <c r="W1200" s="103"/>
      <c r="X1200" s="103"/>
      <c r="Y1200" s="103"/>
      <c r="Z1200" s="103"/>
    </row>
    <row r="1201">
      <c r="A1201" s="110" t="s">
        <v>200</v>
      </c>
      <c r="B1201" s="110"/>
      <c r="C1201" s="110"/>
      <c r="D1201" s="110"/>
      <c r="E1201" s="110"/>
      <c r="F1201" s="110"/>
      <c r="G1201" s="115"/>
      <c r="H1201" s="133"/>
      <c r="I1201" s="103"/>
      <c r="J1201" s="108"/>
      <c r="K1201" s="112"/>
      <c r="L1201" s="110"/>
      <c r="M1201" s="111"/>
      <c r="N1201" s="103"/>
      <c r="O1201" s="112"/>
      <c r="P1201" s="115"/>
      <c r="Q1201" s="114"/>
      <c r="R1201" s="108"/>
      <c r="S1201" s="115" t="s">
        <v>200</v>
      </c>
      <c r="T1201" s="103" t="b">
        <v>0</v>
      </c>
      <c r="U1201" s="103"/>
      <c r="V1201" s="103"/>
      <c r="W1201" s="103"/>
      <c r="X1201" s="103"/>
      <c r="Y1201" s="103"/>
      <c r="Z1201" s="103"/>
    </row>
    <row r="1202">
      <c r="A1202" s="110" t="s">
        <v>200</v>
      </c>
      <c r="B1202" s="110"/>
      <c r="C1202" s="110"/>
      <c r="D1202" s="110"/>
      <c r="E1202" s="110"/>
      <c r="F1202" s="110"/>
      <c r="G1202" s="115"/>
      <c r="H1202" s="133"/>
      <c r="I1202" s="103"/>
      <c r="J1202" s="108"/>
      <c r="K1202" s="112"/>
      <c r="L1202" s="110"/>
      <c r="M1202" s="111"/>
      <c r="N1202" s="103"/>
      <c r="O1202" s="112"/>
      <c r="P1202" s="115"/>
      <c r="Q1202" s="114"/>
      <c r="R1202" s="108"/>
      <c r="S1202" s="115" t="s">
        <v>200</v>
      </c>
      <c r="T1202" s="103" t="b">
        <v>0</v>
      </c>
      <c r="U1202" s="103"/>
      <c r="V1202" s="103"/>
      <c r="W1202" s="103"/>
      <c r="X1202" s="103"/>
      <c r="Y1202" s="103"/>
      <c r="Z1202" s="103"/>
    </row>
    <row r="1203">
      <c r="A1203" s="110" t="s">
        <v>200</v>
      </c>
      <c r="B1203" s="110"/>
      <c r="C1203" s="110"/>
      <c r="D1203" s="110"/>
      <c r="E1203" s="110"/>
      <c r="F1203" s="110"/>
      <c r="G1203" s="115"/>
      <c r="H1203" s="133"/>
      <c r="I1203" s="103"/>
      <c r="J1203" s="108"/>
      <c r="K1203" s="112"/>
      <c r="L1203" s="110"/>
      <c r="M1203" s="111"/>
      <c r="N1203" s="103"/>
      <c r="O1203" s="112"/>
      <c r="P1203" s="115"/>
      <c r="Q1203" s="114"/>
      <c r="R1203" s="108"/>
      <c r="S1203" s="115" t="s">
        <v>200</v>
      </c>
      <c r="T1203" s="103" t="b">
        <v>0</v>
      </c>
      <c r="U1203" s="103"/>
      <c r="V1203" s="103"/>
      <c r="W1203" s="103"/>
      <c r="X1203" s="103"/>
      <c r="Y1203" s="103"/>
      <c r="Z1203" s="103"/>
    </row>
    <row r="1204">
      <c r="A1204" s="110" t="s">
        <v>200</v>
      </c>
      <c r="B1204" s="110"/>
      <c r="C1204" s="110"/>
      <c r="D1204" s="110"/>
      <c r="E1204" s="110"/>
      <c r="F1204" s="110"/>
      <c r="G1204" s="115"/>
      <c r="H1204" s="133"/>
      <c r="I1204" s="103"/>
      <c r="J1204" s="108"/>
      <c r="K1204" s="112"/>
      <c r="L1204" s="110"/>
      <c r="M1204" s="111"/>
      <c r="N1204" s="103"/>
      <c r="O1204" s="112"/>
      <c r="P1204" s="115"/>
      <c r="Q1204" s="114"/>
      <c r="R1204" s="108"/>
      <c r="S1204" s="115" t="s">
        <v>200</v>
      </c>
      <c r="T1204" s="103" t="b">
        <v>0</v>
      </c>
      <c r="U1204" s="103"/>
      <c r="V1204" s="103"/>
      <c r="W1204" s="103"/>
      <c r="X1204" s="103"/>
      <c r="Y1204" s="103"/>
      <c r="Z1204" s="103"/>
    </row>
    <row r="1205">
      <c r="A1205" s="110" t="s">
        <v>200</v>
      </c>
      <c r="B1205" s="110"/>
      <c r="C1205" s="110"/>
      <c r="D1205" s="110"/>
      <c r="E1205" s="110"/>
      <c r="F1205" s="110"/>
      <c r="G1205" s="115"/>
      <c r="H1205" s="133"/>
      <c r="I1205" s="103"/>
      <c r="J1205" s="108"/>
      <c r="K1205" s="112"/>
      <c r="L1205" s="110"/>
      <c r="M1205" s="111"/>
      <c r="N1205" s="103"/>
      <c r="O1205" s="112"/>
      <c r="P1205" s="115"/>
      <c r="Q1205" s="114"/>
      <c r="R1205" s="108"/>
      <c r="S1205" s="115" t="s">
        <v>200</v>
      </c>
      <c r="T1205" s="103" t="b">
        <v>0</v>
      </c>
      <c r="U1205" s="103"/>
      <c r="V1205" s="103"/>
      <c r="W1205" s="103"/>
      <c r="X1205" s="103"/>
      <c r="Y1205" s="103"/>
      <c r="Z1205" s="103"/>
    </row>
    <row r="1206">
      <c r="A1206" s="110" t="s">
        <v>200</v>
      </c>
      <c r="B1206" s="110"/>
      <c r="C1206" s="110"/>
      <c r="D1206" s="110"/>
      <c r="E1206" s="110"/>
      <c r="F1206" s="110"/>
      <c r="G1206" s="115"/>
      <c r="H1206" s="133"/>
      <c r="I1206" s="103"/>
      <c r="J1206" s="108"/>
      <c r="K1206" s="112"/>
      <c r="L1206" s="110"/>
      <c r="M1206" s="111"/>
      <c r="N1206" s="103"/>
      <c r="O1206" s="112"/>
      <c r="P1206" s="115"/>
      <c r="Q1206" s="114"/>
      <c r="R1206" s="108"/>
      <c r="S1206" s="115" t="s">
        <v>200</v>
      </c>
      <c r="T1206" s="103" t="b">
        <v>0</v>
      </c>
      <c r="U1206" s="103"/>
      <c r="V1206" s="103"/>
      <c r="W1206" s="103"/>
      <c r="X1206" s="103"/>
      <c r="Y1206" s="103"/>
      <c r="Z1206" s="103"/>
    </row>
    <row r="1207">
      <c r="A1207" s="110" t="s">
        <v>200</v>
      </c>
      <c r="B1207" s="110"/>
      <c r="C1207" s="110"/>
      <c r="D1207" s="110"/>
      <c r="E1207" s="110"/>
      <c r="F1207" s="110"/>
      <c r="G1207" s="115"/>
      <c r="H1207" s="133"/>
      <c r="I1207" s="103"/>
      <c r="J1207" s="108"/>
      <c r="K1207" s="112"/>
      <c r="L1207" s="110"/>
      <c r="M1207" s="111"/>
      <c r="N1207" s="103"/>
      <c r="O1207" s="112"/>
      <c r="P1207" s="115"/>
      <c r="Q1207" s="114"/>
      <c r="R1207" s="108"/>
      <c r="S1207" s="115" t="s">
        <v>200</v>
      </c>
      <c r="T1207" s="103" t="b">
        <v>0</v>
      </c>
      <c r="U1207" s="103"/>
      <c r="V1207" s="103"/>
      <c r="W1207" s="103"/>
      <c r="X1207" s="103"/>
      <c r="Y1207" s="103"/>
      <c r="Z1207" s="103"/>
    </row>
    <row r="1208">
      <c r="A1208" s="110" t="s">
        <v>200</v>
      </c>
      <c r="B1208" s="110"/>
      <c r="C1208" s="110"/>
      <c r="D1208" s="110"/>
      <c r="E1208" s="110"/>
      <c r="F1208" s="110"/>
      <c r="G1208" s="115"/>
      <c r="H1208" s="133"/>
      <c r="I1208" s="103"/>
      <c r="J1208" s="108"/>
      <c r="K1208" s="112"/>
      <c r="L1208" s="110"/>
      <c r="M1208" s="111"/>
      <c r="N1208" s="103"/>
      <c r="O1208" s="112"/>
      <c r="P1208" s="115"/>
      <c r="Q1208" s="114"/>
      <c r="R1208" s="108"/>
      <c r="S1208" s="115" t="s">
        <v>200</v>
      </c>
      <c r="T1208" s="103" t="b">
        <v>0</v>
      </c>
      <c r="U1208" s="103"/>
      <c r="V1208" s="103"/>
      <c r="W1208" s="103"/>
      <c r="X1208" s="103"/>
      <c r="Y1208" s="103"/>
      <c r="Z1208" s="103"/>
    </row>
    <row r="1209">
      <c r="A1209" s="110" t="s">
        <v>200</v>
      </c>
      <c r="B1209" s="110"/>
      <c r="C1209" s="110"/>
      <c r="D1209" s="110"/>
      <c r="E1209" s="110"/>
      <c r="F1209" s="110"/>
      <c r="G1209" s="115"/>
      <c r="H1209" s="133"/>
      <c r="I1209" s="103"/>
      <c r="J1209" s="108"/>
      <c r="K1209" s="112"/>
      <c r="L1209" s="110"/>
      <c r="M1209" s="111"/>
      <c r="N1209" s="103"/>
      <c r="O1209" s="112"/>
      <c r="P1209" s="115"/>
      <c r="Q1209" s="114"/>
      <c r="R1209" s="108"/>
      <c r="S1209" s="115" t="s">
        <v>200</v>
      </c>
      <c r="T1209" s="103" t="b">
        <v>0</v>
      </c>
      <c r="U1209" s="103"/>
      <c r="V1209" s="103"/>
      <c r="W1209" s="103"/>
      <c r="X1209" s="103"/>
      <c r="Y1209" s="103"/>
      <c r="Z1209" s="103"/>
    </row>
  </sheetData>
  <customSheetViews>
    <customSheetView guid="{00CAE9A0-26A3-4200-8E98-3B6A09AF3AF8}" filter="1" showAutoFilter="1">
      <autoFilter ref="$A$1:$Z$208">
        <filterColumn colId="4">
          <filters>
            <filter val="Pre-entered"/>
            <filter val="Annually"/>
            <filter val="Mid Month"/>
            <filter val="Pre entered"/>
          </filters>
        </filterColumn>
        <filterColumn colId="13">
          <filters>
            <filter val="Active"/>
          </filters>
        </filterColumn>
        <filterColumn colId="5">
          <filters blank="1">
            <filter val="Monthly"/>
            <filter val="Deposit Prepaid&#10;1/3 of Remainder Milestone&#10;1/3 of Remainder Milestone&#10;1/3 of Remainder Milestone Final"/>
            <filter val="One time / 3 months"/>
            <filter val="1/3 Deposit Prepaid&#10;1/3 of Remainder Milestone&#10;1/3 of Remainder Milestone Final"/>
            <filter val="Yearly"/>
            <filter val="One-Time Prepaid"/>
            <filter val="50% Deposit&#10;50% Final Payment"/>
            <filter val="Monthly (6 mo)"/>
            <filter val="1st Month Deposit&#10;1st Month Final + 2nd Month&#10;Monthly * 5"/>
            <filter val="50% Deposit Prepaid&#10;50% Final"/>
            <filter val="Quarterly"/>
            <filter val="Deposit ($2600)   Second Invoice ($1775)  Final Invoice ($1775)"/>
          </filters>
        </filterColumn>
      </autoFilter>
    </customSheetView>
  </customSheetViews>
  <conditionalFormatting sqref="D1:D1209">
    <cfRule type="containsText" dxfId="16" priority="1" operator="containsText" text="Monthly">
      <formula>NOT(ISERROR(SEARCH(("Monthly"),(D1))))</formula>
    </cfRule>
  </conditionalFormatting>
  <conditionalFormatting sqref="D1:D1209">
    <cfRule type="containsText" dxfId="17" priority="2" operator="containsText" text="Fixed">
      <formula>NOT(ISERROR(SEARCH(("Fixed"),(D1))))</formula>
    </cfRule>
  </conditionalFormatting>
  <conditionalFormatting sqref="D1:D1209">
    <cfRule type="containsText" dxfId="12" priority="3" operator="containsText" text="Hourly">
      <formula>NOT(ISERROR(SEARCH(("Hourly"),(D1))))</formula>
    </cfRule>
  </conditionalFormatting>
  <conditionalFormatting sqref="D1:D1209">
    <cfRule type="containsText" dxfId="3" priority="4" operator="containsText" text="Yearly">
      <formula>NOT(ISERROR(SEARCH(("Yearly"),(D1))))</formula>
    </cfRule>
  </conditionalFormatting>
  <conditionalFormatting sqref="N1:N1209">
    <cfRule type="containsText" dxfId="18" priority="5" operator="containsText" text="Closed">
      <formula>NOT(ISERROR(SEARCH(("Closed"),(N1))))</formula>
    </cfRule>
  </conditionalFormatting>
  <conditionalFormatting sqref="N1:N1209">
    <cfRule type="containsText" dxfId="3" priority="6" operator="containsText" text="Active">
      <formula>NOT(ISERROR(SEARCH(("Active"),(N1))))</formula>
    </cfRule>
  </conditionalFormatting>
  <conditionalFormatting sqref="N1:N1209">
    <cfRule type="containsText" dxfId="4" priority="7" operator="containsText" text="Paused">
      <formula>NOT(ISERROR(SEARCH(("Paused"),(N1))))</formula>
    </cfRule>
  </conditionalFormatting>
  <conditionalFormatting sqref="C1:C1209 K72 K128 K134:K135 K147">
    <cfRule type="expression" dxfId="1" priority="8">
      <formula>AND($C1&lt;&gt;"",$O1&lt;&gt;"")</formula>
    </cfRule>
  </conditionalFormatting>
  <dataValidations>
    <dataValidation type="list" allowBlank="1" showErrorMessage="1" sqref="N2:N1209">
      <formula1>List_Project_Status</formula1>
    </dataValidation>
    <dataValidation type="list" allowBlank="1" showErrorMessage="1" sqref="D2:D1209">
      <formula1>List_Invoice_Types</formula1>
    </dataValidation>
    <dataValidation type="list" allowBlank="1" showErrorMessage="1" sqref="L2:L22 L24:L34 L36:L48 L50:L85 L87:L91 L93:L1209">
      <formula1>List_Vendors</formula1>
    </dataValidation>
    <dataValidation type="list" allowBlank="1" sqref="F2 E3:F3 F4 E5:F5 F6:F7 E8:F8 F9 E10:F11 F12 E13:F13 F14 E15:F15 F16 E17:F17 F18:F19 E20:F20 F21:F26 E27:F28 F29:F44 E45:F45 F46:F52 E53:F53 F54:F56 E57:F58 F59 E60:F60 F61:F66 E67:F67 F68:F72 E73:F73 F74:F76 E77:F77 F78:F105 E106:F106 F107:F1209">
      <formula1>List_Billing_Schedules</formula1>
    </dataValidation>
    <dataValidation type="list" allowBlank="1" showErrorMessage="1" sqref="B2:B1209">
      <formula1>List_Clients</formula1>
    </dataValidation>
  </dataValidations>
  <hyperlinks>
    <hyperlink r:id="rId1" ref="C90"/>
    <hyperlink r:id="rId2" ref="K146"/>
    <hyperlink r:id="rId3" ref="K149"/>
    <hyperlink r:id="rId4" ref="K150"/>
    <hyperlink r:id="rId5" ref="K157"/>
    <hyperlink r:id="rId6" ref="K158"/>
    <hyperlink r:id="rId7" ref="K214"/>
    <hyperlink r:id="rId8" ref="K228"/>
  </hyperlinks>
  <drawing r:id="rId9"/>
  <tableParts count="1">
    <tablePart r:id="rId11"/>
  </tableParts>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AA84F"/>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75"/>
  <cols>
    <col customWidth="1" min="1" max="1" width="23.5"/>
    <col customWidth="1" min="2" max="2" width="42.88"/>
    <col customWidth="1" min="3" max="3" width="9.13"/>
    <col customWidth="1" min="4" max="4" width="10.88"/>
    <col customWidth="1" min="5" max="5" width="9.38"/>
    <col customWidth="1" min="6" max="6" width="8.38"/>
    <col customWidth="1" min="7" max="7" width="17.75"/>
    <col customWidth="1" min="8" max="8" width="42.75"/>
    <col customWidth="1" min="9" max="9" width="49.88"/>
    <col customWidth="1" min="10" max="10" width="24.38"/>
    <col customWidth="1" min="11" max="11" width="5.75"/>
  </cols>
  <sheetData>
    <row r="1" ht="33.75" customHeight="1">
      <c r="A1" s="101" t="s">
        <v>1554</v>
      </c>
      <c r="B1" s="101" t="s">
        <v>1555</v>
      </c>
      <c r="C1" s="101" t="s">
        <v>1556</v>
      </c>
      <c r="D1" s="101" t="s">
        <v>1557</v>
      </c>
      <c r="E1" s="101" t="s">
        <v>6</v>
      </c>
      <c r="F1" s="101" t="s">
        <v>10</v>
      </c>
      <c r="G1" s="101" t="s">
        <v>1558</v>
      </c>
      <c r="H1" s="101" t="s">
        <v>1559</v>
      </c>
      <c r="I1" s="101" t="s">
        <v>1560</v>
      </c>
      <c r="J1" s="101" t="s">
        <v>1561</v>
      </c>
      <c r="K1" s="101" t="s">
        <v>16</v>
      </c>
    </row>
    <row r="2">
      <c r="A2" s="134" t="s">
        <v>1150</v>
      </c>
      <c r="B2" s="135"/>
      <c r="C2" s="134" t="s">
        <v>1562</v>
      </c>
      <c r="D2" s="134" t="s">
        <v>21</v>
      </c>
      <c r="E2" s="134"/>
      <c r="F2" s="134">
        <v>30.0</v>
      </c>
      <c r="G2" s="136"/>
      <c r="H2" s="135"/>
      <c r="I2" s="135"/>
      <c r="J2" s="135"/>
      <c r="K2" s="103" t="b">
        <v>0</v>
      </c>
    </row>
    <row r="3">
      <c r="A3" s="135" t="s">
        <v>1155</v>
      </c>
      <c r="B3" s="135" t="s">
        <v>1155</v>
      </c>
      <c r="C3" s="134">
        <v>0.0</v>
      </c>
      <c r="D3" s="134" t="s">
        <v>21</v>
      </c>
      <c r="E3" s="134"/>
      <c r="F3" s="134">
        <v>15.0</v>
      </c>
      <c r="G3" s="136"/>
      <c r="H3" s="135" t="s">
        <v>1563</v>
      </c>
      <c r="I3" s="135" t="s">
        <v>1564</v>
      </c>
      <c r="J3" s="135" t="s">
        <v>1565</v>
      </c>
      <c r="K3" s="103" t="b">
        <v>0</v>
      </c>
    </row>
    <row r="4">
      <c r="A4" s="134" t="s">
        <v>1566</v>
      </c>
      <c r="B4" s="135" t="s">
        <v>1567</v>
      </c>
      <c r="C4" s="134">
        <v>0.0</v>
      </c>
      <c r="D4" s="134" t="s">
        <v>21</v>
      </c>
      <c r="E4" s="134"/>
      <c r="F4" s="134">
        <v>30.0</v>
      </c>
      <c r="G4" s="136"/>
      <c r="H4" s="135" t="s">
        <v>1568</v>
      </c>
      <c r="I4" s="137" t="s">
        <v>1569</v>
      </c>
      <c r="J4" s="135"/>
      <c r="K4" s="103" t="b">
        <v>0</v>
      </c>
    </row>
    <row r="5">
      <c r="A5" s="135" t="s">
        <v>1158</v>
      </c>
      <c r="B5" s="135" t="s">
        <v>1158</v>
      </c>
      <c r="C5" s="134">
        <v>1000.0</v>
      </c>
      <c r="D5" s="134" t="s">
        <v>9</v>
      </c>
      <c r="E5" s="134"/>
      <c r="F5" s="134">
        <v>30.0</v>
      </c>
      <c r="G5" s="136"/>
      <c r="H5" s="135" t="s">
        <v>1570</v>
      </c>
      <c r="I5" s="135" t="s">
        <v>1571</v>
      </c>
      <c r="J5" s="135" t="s">
        <v>1572</v>
      </c>
      <c r="K5" s="103" t="b">
        <v>0</v>
      </c>
    </row>
    <row r="6">
      <c r="A6" s="134" t="s">
        <v>1167</v>
      </c>
      <c r="B6" s="134"/>
      <c r="C6" s="134">
        <v>0.0</v>
      </c>
      <c r="D6" s="134" t="s">
        <v>21</v>
      </c>
      <c r="E6" s="134"/>
      <c r="F6" s="134">
        <v>30.0</v>
      </c>
      <c r="G6" s="136"/>
      <c r="H6" s="135"/>
      <c r="I6" s="135"/>
      <c r="J6" s="135"/>
      <c r="K6" s="103" t="b">
        <v>0</v>
      </c>
    </row>
    <row r="7">
      <c r="A7" s="135" t="s">
        <v>1170</v>
      </c>
      <c r="B7" s="135" t="s">
        <v>1573</v>
      </c>
      <c r="C7" s="134" t="s">
        <v>1574</v>
      </c>
      <c r="D7" s="134" t="s">
        <v>21</v>
      </c>
      <c r="E7" s="134"/>
      <c r="F7" s="134">
        <v>15.0</v>
      </c>
      <c r="G7" s="136"/>
      <c r="H7" s="135" t="s">
        <v>1575</v>
      </c>
      <c r="I7" s="135" t="s">
        <v>1576</v>
      </c>
      <c r="J7" s="135" t="s">
        <v>1577</v>
      </c>
      <c r="K7" s="103" t="b">
        <v>0</v>
      </c>
    </row>
    <row r="8">
      <c r="A8" s="135" t="s">
        <v>1174</v>
      </c>
      <c r="B8" s="135" t="s">
        <v>1174</v>
      </c>
      <c r="C8" s="134">
        <v>1000.0</v>
      </c>
      <c r="D8" s="134" t="s">
        <v>21</v>
      </c>
      <c r="E8" s="134"/>
      <c r="F8" s="134">
        <v>30.0</v>
      </c>
      <c r="G8" s="136"/>
      <c r="H8" s="135" t="s">
        <v>1578</v>
      </c>
      <c r="I8" s="135" t="s">
        <v>1579</v>
      </c>
      <c r="J8" s="135" t="s">
        <v>1580</v>
      </c>
      <c r="K8" s="103" t="b">
        <v>0</v>
      </c>
    </row>
    <row r="9">
      <c r="A9" s="134" t="s">
        <v>1176</v>
      </c>
      <c r="B9" s="134" t="s">
        <v>1176</v>
      </c>
      <c r="C9" s="134">
        <v>0.0</v>
      </c>
      <c r="D9" s="134" t="s">
        <v>21</v>
      </c>
      <c r="E9" s="134"/>
      <c r="F9" s="134">
        <v>30.0</v>
      </c>
      <c r="G9" s="138"/>
      <c r="H9" s="139" t="s">
        <v>1581</v>
      </c>
      <c r="I9" s="65" t="s">
        <v>1582</v>
      </c>
      <c r="J9" s="140" t="s">
        <v>1583</v>
      </c>
      <c r="K9" s="103" t="b">
        <v>0</v>
      </c>
    </row>
    <row r="10">
      <c r="A10" s="134" t="s">
        <v>1178</v>
      </c>
      <c r="B10" s="135"/>
      <c r="C10" s="134">
        <v>0.0</v>
      </c>
      <c r="D10" s="134" t="s">
        <v>21</v>
      </c>
      <c r="E10" s="134"/>
      <c r="F10" s="134">
        <v>30.0</v>
      </c>
      <c r="G10" s="136"/>
      <c r="H10" s="135"/>
      <c r="I10" s="135"/>
      <c r="J10" s="135"/>
      <c r="K10" s="103" t="b">
        <v>0</v>
      </c>
    </row>
    <row r="11">
      <c r="A11" s="135" t="s">
        <v>1184</v>
      </c>
      <c r="B11" s="135" t="s">
        <v>1584</v>
      </c>
      <c r="C11" s="134">
        <v>0.0</v>
      </c>
      <c r="D11" s="134" t="s">
        <v>21</v>
      </c>
      <c r="E11" s="134"/>
      <c r="F11" s="134">
        <v>30.0</v>
      </c>
      <c r="G11" s="136"/>
      <c r="H11" s="135" t="s">
        <v>1585</v>
      </c>
      <c r="I11" s="137" t="s">
        <v>1586</v>
      </c>
      <c r="J11" s="137" t="s">
        <v>1587</v>
      </c>
      <c r="K11" s="103" t="b">
        <v>0</v>
      </c>
    </row>
    <row r="12">
      <c r="A12" s="135" t="s">
        <v>1389</v>
      </c>
      <c r="B12" s="135" t="s">
        <v>1588</v>
      </c>
      <c r="C12" s="134" t="s">
        <v>1589</v>
      </c>
      <c r="D12" s="134" t="s">
        <v>21</v>
      </c>
      <c r="E12" s="134"/>
      <c r="F12" s="134">
        <v>0.0</v>
      </c>
      <c r="G12" s="136"/>
      <c r="H12" s="135" t="s">
        <v>1590</v>
      </c>
      <c r="I12" s="135" t="s">
        <v>1591</v>
      </c>
      <c r="J12" s="135"/>
      <c r="K12" s="103" t="b">
        <v>0</v>
      </c>
    </row>
    <row r="13">
      <c r="A13" s="135" t="s">
        <v>1185</v>
      </c>
      <c r="B13" s="135" t="s">
        <v>1185</v>
      </c>
      <c r="C13" s="134">
        <v>0.0</v>
      </c>
      <c r="D13" s="134" t="s">
        <v>21</v>
      </c>
      <c r="E13" s="134"/>
      <c r="F13" s="134">
        <v>30.0</v>
      </c>
      <c r="G13" s="136"/>
      <c r="H13" s="135" t="s">
        <v>1592</v>
      </c>
      <c r="I13" s="135" t="s">
        <v>1593</v>
      </c>
      <c r="J13" s="135" t="s">
        <v>1594</v>
      </c>
      <c r="K13" s="103" t="b">
        <v>0</v>
      </c>
    </row>
    <row r="14">
      <c r="A14" s="135" t="s">
        <v>1187</v>
      </c>
      <c r="B14" s="135" t="s">
        <v>1595</v>
      </c>
      <c r="C14" s="134">
        <v>0.0</v>
      </c>
      <c r="D14" s="134" t="s">
        <v>21</v>
      </c>
      <c r="E14" s="134"/>
      <c r="F14" s="134">
        <v>30.0</v>
      </c>
      <c r="G14" s="136"/>
      <c r="H14" s="135" t="s">
        <v>1596</v>
      </c>
      <c r="I14" s="135" t="s">
        <v>1597</v>
      </c>
      <c r="J14" s="135"/>
      <c r="K14" s="103" t="b">
        <v>0</v>
      </c>
    </row>
    <row r="15">
      <c r="A15" s="134" t="s">
        <v>1188</v>
      </c>
      <c r="B15" s="135"/>
      <c r="C15" s="134" t="s">
        <v>1589</v>
      </c>
      <c r="D15" s="134" t="s">
        <v>21</v>
      </c>
      <c r="E15" s="134"/>
      <c r="F15" s="134">
        <v>30.0</v>
      </c>
      <c r="G15" s="136"/>
      <c r="H15" s="135"/>
      <c r="I15" s="135"/>
      <c r="J15" s="135"/>
      <c r="K15" s="103" t="b">
        <v>0</v>
      </c>
    </row>
    <row r="16">
      <c r="A16" s="135" t="s">
        <v>1598</v>
      </c>
      <c r="B16" s="135" t="s">
        <v>1598</v>
      </c>
      <c r="C16" s="134">
        <v>0.0</v>
      </c>
      <c r="D16" s="134" t="s">
        <v>21</v>
      </c>
      <c r="E16" s="134"/>
      <c r="F16" s="134">
        <v>30.0</v>
      </c>
      <c r="G16" s="136"/>
      <c r="H16" s="135" t="s">
        <v>1599</v>
      </c>
      <c r="I16" s="135" t="s">
        <v>1600</v>
      </c>
      <c r="J16" s="135"/>
      <c r="K16" s="103" t="b">
        <v>0</v>
      </c>
    </row>
    <row r="17">
      <c r="A17" s="134" t="s">
        <v>1189</v>
      </c>
      <c r="B17" s="135"/>
      <c r="C17" s="134">
        <v>1000.0</v>
      </c>
      <c r="D17" s="134" t="s">
        <v>21</v>
      </c>
      <c r="E17" s="134"/>
      <c r="F17" s="134">
        <v>30.0</v>
      </c>
      <c r="G17" s="136"/>
      <c r="H17" s="135"/>
      <c r="I17" s="135"/>
      <c r="J17" s="135"/>
      <c r="K17" s="103" t="b">
        <v>0</v>
      </c>
    </row>
    <row r="18">
      <c r="A18" s="141" t="s">
        <v>1191</v>
      </c>
      <c r="B18" s="135"/>
      <c r="C18" s="134">
        <v>500.0</v>
      </c>
      <c r="D18" s="134" t="s">
        <v>21</v>
      </c>
      <c r="E18" s="134"/>
      <c r="F18" s="134">
        <v>30.0</v>
      </c>
      <c r="G18" s="136"/>
      <c r="H18" s="135"/>
      <c r="I18" s="135"/>
      <c r="J18" s="135"/>
      <c r="K18" s="103" t="b">
        <v>0</v>
      </c>
    </row>
    <row r="19">
      <c r="A19" s="135" t="s">
        <v>1192</v>
      </c>
      <c r="B19" s="135" t="s">
        <v>1192</v>
      </c>
      <c r="C19" s="134">
        <v>1500.0</v>
      </c>
      <c r="D19" s="134" t="s">
        <v>9</v>
      </c>
      <c r="E19" s="134"/>
      <c r="F19" s="134">
        <v>30.0</v>
      </c>
      <c r="G19" s="136"/>
      <c r="H19" s="135" t="s">
        <v>1601</v>
      </c>
      <c r="I19" s="135" t="s">
        <v>1602</v>
      </c>
      <c r="J19" s="135" t="s">
        <v>1603</v>
      </c>
      <c r="K19" s="103" t="b">
        <v>0</v>
      </c>
    </row>
    <row r="20">
      <c r="A20" s="134" t="s">
        <v>1194</v>
      </c>
      <c r="B20" s="134" t="s">
        <v>1604</v>
      </c>
      <c r="C20" s="134">
        <v>0.0</v>
      </c>
      <c r="D20" s="134" t="s">
        <v>21</v>
      </c>
      <c r="E20" s="134"/>
      <c r="F20" s="134">
        <v>30.0</v>
      </c>
      <c r="G20" s="136"/>
      <c r="H20" s="135"/>
      <c r="I20" s="135"/>
      <c r="J20" s="135"/>
      <c r="K20" s="103" t="b">
        <v>0</v>
      </c>
    </row>
    <row r="21">
      <c r="A21" s="135" t="s">
        <v>1197</v>
      </c>
      <c r="B21" s="135" t="s">
        <v>1197</v>
      </c>
      <c r="C21" s="134" t="s">
        <v>1589</v>
      </c>
      <c r="D21" s="134" t="s">
        <v>21</v>
      </c>
      <c r="E21" s="134"/>
      <c r="F21" s="134">
        <v>30.0</v>
      </c>
      <c r="G21" s="136"/>
      <c r="H21" s="135" t="s">
        <v>1605</v>
      </c>
      <c r="I21" s="135" t="s">
        <v>1606</v>
      </c>
      <c r="J21" s="137" t="s">
        <v>1607</v>
      </c>
      <c r="K21" s="103" t="b">
        <v>0</v>
      </c>
    </row>
    <row r="22">
      <c r="A22" s="135" t="s">
        <v>1200</v>
      </c>
      <c r="B22" s="135" t="s">
        <v>1608</v>
      </c>
      <c r="C22" s="134">
        <v>1500.0</v>
      </c>
      <c r="D22" s="134" t="s">
        <v>9</v>
      </c>
      <c r="E22" s="134"/>
      <c r="F22" s="134">
        <v>30.0</v>
      </c>
      <c r="G22" s="136"/>
      <c r="H22" s="135" t="s">
        <v>1609</v>
      </c>
      <c r="I22" s="135" t="s">
        <v>1610</v>
      </c>
      <c r="J22" s="135" t="s">
        <v>1611</v>
      </c>
      <c r="K22" s="103" t="b">
        <v>0</v>
      </c>
    </row>
    <row r="23">
      <c r="A23" s="135" t="s">
        <v>1612</v>
      </c>
      <c r="B23" s="135" t="s">
        <v>1612</v>
      </c>
      <c r="C23" s="134">
        <v>0.0</v>
      </c>
      <c r="D23" s="134" t="s">
        <v>21</v>
      </c>
      <c r="E23" s="134"/>
      <c r="F23" s="134">
        <v>30.0</v>
      </c>
      <c r="G23" s="136"/>
      <c r="H23" s="135" t="s">
        <v>1613</v>
      </c>
      <c r="I23" s="135" t="s">
        <v>1614</v>
      </c>
      <c r="J23" s="137" t="s">
        <v>1615</v>
      </c>
      <c r="K23" s="103" t="b">
        <v>0</v>
      </c>
    </row>
    <row r="24">
      <c r="A24" s="134" t="s">
        <v>1212</v>
      </c>
      <c r="B24" s="134" t="s">
        <v>1616</v>
      </c>
      <c r="C24" s="134">
        <v>0.0</v>
      </c>
      <c r="D24" s="134" t="s">
        <v>21</v>
      </c>
      <c r="E24" s="135"/>
      <c r="F24" s="134">
        <v>30.0</v>
      </c>
      <c r="G24" s="136"/>
      <c r="H24" s="135"/>
      <c r="I24" s="135"/>
      <c r="J24" s="135"/>
      <c r="K24" s="103" t="b">
        <v>0</v>
      </c>
    </row>
    <row r="25">
      <c r="A25" s="134" t="s">
        <v>1215</v>
      </c>
      <c r="B25" s="135"/>
      <c r="C25" s="134">
        <v>0.0</v>
      </c>
      <c r="D25" s="134" t="s">
        <v>9</v>
      </c>
      <c r="E25" s="134"/>
      <c r="F25" s="134">
        <v>30.0</v>
      </c>
      <c r="G25" s="136"/>
      <c r="H25" s="135"/>
      <c r="I25" s="135"/>
      <c r="J25" s="135"/>
      <c r="K25" s="103" t="b">
        <v>0</v>
      </c>
    </row>
    <row r="26">
      <c r="A26" s="135" t="s">
        <v>1216</v>
      </c>
      <c r="B26" s="135" t="s">
        <v>1216</v>
      </c>
      <c r="C26" s="134">
        <v>0.0</v>
      </c>
      <c r="D26" s="134" t="s">
        <v>21</v>
      </c>
      <c r="E26" s="134"/>
      <c r="F26" s="134">
        <v>30.0</v>
      </c>
      <c r="G26" s="136"/>
      <c r="H26" s="135" t="s">
        <v>1617</v>
      </c>
      <c r="I26" s="135" t="s">
        <v>1618</v>
      </c>
      <c r="J26" s="137" t="s">
        <v>1619</v>
      </c>
      <c r="K26" s="103" t="b">
        <v>0</v>
      </c>
    </row>
    <row r="27">
      <c r="A27" s="134" t="s">
        <v>1223</v>
      </c>
      <c r="B27" s="134" t="s">
        <v>1620</v>
      </c>
      <c r="C27" s="134">
        <v>1000.0</v>
      </c>
      <c r="D27" s="134" t="s">
        <v>9</v>
      </c>
      <c r="E27" s="135"/>
      <c r="F27" s="134">
        <v>30.0</v>
      </c>
      <c r="G27" s="142"/>
      <c r="H27" s="134" t="s">
        <v>1621</v>
      </c>
      <c r="I27" s="134" t="s">
        <v>1622</v>
      </c>
      <c r="J27" s="135"/>
      <c r="K27" s="103" t="b">
        <v>0</v>
      </c>
    </row>
    <row r="28">
      <c r="A28" s="135" t="s">
        <v>1623</v>
      </c>
      <c r="B28" s="135" t="s">
        <v>1624</v>
      </c>
      <c r="C28" s="134">
        <v>0.0</v>
      </c>
      <c r="D28" s="134" t="s">
        <v>21</v>
      </c>
      <c r="E28" s="134"/>
      <c r="F28" s="134">
        <v>30.0</v>
      </c>
      <c r="G28" s="136"/>
      <c r="H28" s="135" t="s">
        <v>1625</v>
      </c>
      <c r="I28" s="135" t="s">
        <v>1626</v>
      </c>
      <c r="J28" s="135" t="s">
        <v>1627</v>
      </c>
      <c r="K28" s="103" t="b">
        <v>0</v>
      </c>
    </row>
    <row r="29">
      <c r="A29" s="134" t="s">
        <v>1227</v>
      </c>
      <c r="B29" s="134" t="s">
        <v>1628</v>
      </c>
      <c r="C29" s="134">
        <v>0.0</v>
      </c>
      <c r="D29" s="134" t="s">
        <v>21</v>
      </c>
      <c r="E29" s="134"/>
      <c r="F29" s="134">
        <v>30.0</v>
      </c>
      <c r="G29" s="136"/>
      <c r="H29" s="135"/>
      <c r="I29" s="135"/>
      <c r="J29" s="135"/>
      <c r="K29" s="103" t="b">
        <v>0</v>
      </c>
    </row>
    <row r="30">
      <c r="A30" s="135" t="s">
        <v>1629</v>
      </c>
      <c r="B30" s="135" t="s">
        <v>1629</v>
      </c>
      <c r="C30" s="134">
        <v>0.0</v>
      </c>
      <c r="D30" s="134" t="s">
        <v>21</v>
      </c>
      <c r="E30" s="134"/>
      <c r="F30" s="134">
        <v>30.0</v>
      </c>
      <c r="G30" s="136"/>
      <c r="H30" s="135" t="s">
        <v>1630</v>
      </c>
      <c r="I30" s="135" t="s">
        <v>1631</v>
      </c>
      <c r="J30" s="135" t="s">
        <v>1632</v>
      </c>
      <c r="K30" s="103" t="b">
        <v>0</v>
      </c>
    </row>
    <row r="31">
      <c r="A31" s="135" t="s">
        <v>1633</v>
      </c>
      <c r="B31" s="135" t="s">
        <v>1634</v>
      </c>
      <c r="C31" s="134">
        <v>0.0</v>
      </c>
      <c r="D31" s="134" t="s">
        <v>21</v>
      </c>
      <c r="E31" s="134"/>
      <c r="F31" s="134">
        <v>30.0</v>
      </c>
      <c r="G31" s="136"/>
      <c r="H31" s="135" t="s">
        <v>1635</v>
      </c>
      <c r="I31" s="135" t="s">
        <v>1636</v>
      </c>
      <c r="J31" s="135" t="s">
        <v>1637</v>
      </c>
      <c r="K31" s="103" t="b">
        <v>0</v>
      </c>
    </row>
    <row r="32">
      <c r="A32" s="135" t="s">
        <v>1638</v>
      </c>
      <c r="B32" s="135" t="s">
        <v>1639</v>
      </c>
      <c r="C32" s="134">
        <v>0.0</v>
      </c>
      <c r="D32" s="134" t="s">
        <v>21</v>
      </c>
      <c r="E32" s="134"/>
      <c r="F32" s="134">
        <v>30.0</v>
      </c>
      <c r="G32" s="136"/>
      <c r="H32" s="135" t="s">
        <v>1640</v>
      </c>
      <c r="I32" s="135" t="s">
        <v>1641</v>
      </c>
      <c r="J32" s="135" t="s">
        <v>1642</v>
      </c>
      <c r="K32" s="103" t="b">
        <v>0</v>
      </c>
    </row>
    <row r="33">
      <c r="A33" s="135" t="s">
        <v>1231</v>
      </c>
      <c r="B33" s="135" t="s">
        <v>1231</v>
      </c>
      <c r="C33" s="134" t="s">
        <v>1589</v>
      </c>
      <c r="D33" s="134" t="s">
        <v>21</v>
      </c>
      <c r="E33" s="134"/>
      <c r="F33" s="134">
        <v>0.0</v>
      </c>
      <c r="G33" s="136"/>
      <c r="H33" s="135" t="s">
        <v>1643</v>
      </c>
      <c r="I33" s="135" t="s">
        <v>1644</v>
      </c>
      <c r="J33" s="135" t="s">
        <v>1645</v>
      </c>
      <c r="K33" s="103" t="b">
        <v>0</v>
      </c>
    </row>
    <row r="34">
      <c r="A34" s="135" t="s">
        <v>1233</v>
      </c>
      <c r="B34" s="134" t="s">
        <v>1646</v>
      </c>
      <c r="C34" s="134">
        <v>0.0</v>
      </c>
      <c r="D34" s="134" t="s">
        <v>9</v>
      </c>
      <c r="E34" s="134"/>
      <c r="F34" s="134">
        <v>30.0</v>
      </c>
      <c r="G34" s="136"/>
      <c r="H34" s="135" t="s">
        <v>1647</v>
      </c>
      <c r="I34" s="134" t="s">
        <v>1648</v>
      </c>
      <c r="J34" s="135" t="s">
        <v>1649</v>
      </c>
      <c r="K34" s="103" t="b">
        <v>0</v>
      </c>
    </row>
    <row r="35">
      <c r="A35" s="135" t="s">
        <v>1650</v>
      </c>
      <c r="B35" s="135" t="s">
        <v>1650</v>
      </c>
      <c r="C35" s="134">
        <v>0.0</v>
      </c>
      <c r="D35" s="134" t="s">
        <v>21</v>
      </c>
      <c r="E35" s="134"/>
      <c r="F35" s="134">
        <v>30.0</v>
      </c>
      <c r="G35" s="136"/>
      <c r="H35" s="135" t="s">
        <v>1651</v>
      </c>
      <c r="I35" s="135" t="s">
        <v>1652</v>
      </c>
      <c r="J35" s="137" t="s">
        <v>1653</v>
      </c>
      <c r="K35" s="103" t="b">
        <v>0</v>
      </c>
    </row>
    <row r="36">
      <c r="A36" s="134" t="s">
        <v>1229</v>
      </c>
      <c r="B36" s="134" t="s">
        <v>1229</v>
      </c>
      <c r="C36" s="134">
        <v>0.0</v>
      </c>
      <c r="D36" s="134" t="s">
        <v>9</v>
      </c>
      <c r="E36" s="134"/>
      <c r="F36" s="134">
        <v>30.0</v>
      </c>
      <c r="G36" s="136"/>
      <c r="H36" s="135"/>
      <c r="I36" s="135"/>
      <c r="J36" s="135"/>
      <c r="K36" s="103" t="b">
        <v>0</v>
      </c>
    </row>
    <row r="37">
      <c r="A37" s="134" t="s">
        <v>1235</v>
      </c>
      <c r="B37" s="135"/>
      <c r="C37" s="134">
        <v>0.0</v>
      </c>
      <c r="D37" s="134" t="s">
        <v>21</v>
      </c>
      <c r="E37" s="134"/>
      <c r="F37" s="134">
        <v>30.0</v>
      </c>
      <c r="G37" s="136"/>
      <c r="H37" s="135"/>
      <c r="I37" s="135"/>
      <c r="J37" s="135"/>
      <c r="K37" s="103" t="b">
        <v>0</v>
      </c>
    </row>
    <row r="38">
      <c r="A38" s="135" t="s">
        <v>1236</v>
      </c>
      <c r="B38" s="135" t="s">
        <v>1236</v>
      </c>
      <c r="C38" s="134">
        <v>0.0</v>
      </c>
      <c r="D38" s="134" t="s">
        <v>21</v>
      </c>
      <c r="E38" s="134"/>
      <c r="F38" s="134">
        <v>30.0</v>
      </c>
      <c r="G38" s="136"/>
      <c r="H38" s="135" t="s">
        <v>1654</v>
      </c>
      <c r="I38" s="135" t="s">
        <v>1655</v>
      </c>
      <c r="J38" s="137" t="s">
        <v>1656</v>
      </c>
      <c r="K38" s="103" t="b">
        <v>0</v>
      </c>
    </row>
    <row r="39">
      <c r="A39" s="135" t="s">
        <v>1238</v>
      </c>
      <c r="B39" s="135" t="s">
        <v>1238</v>
      </c>
      <c r="C39" s="134">
        <v>0.0</v>
      </c>
      <c r="D39" s="134" t="s">
        <v>21</v>
      </c>
      <c r="E39" s="134"/>
      <c r="F39" s="134">
        <v>15.0</v>
      </c>
      <c r="G39" s="136"/>
      <c r="H39" s="135" t="s">
        <v>1657</v>
      </c>
      <c r="I39" s="135" t="s">
        <v>1658</v>
      </c>
      <c r="J39" s="135" t="s">
        <v>1659</v>
      </c>
      <c r="K39" s="103" t="b">
        <v>0</v>
      </c>
    </row>
    <row r="40">
      <c r="A40" s="135" t="s">
        <v>1660</v>
      </c>
      <c r="B40" s="135" t="s">
        <v>1661</v>
      </c>
      <c r="C40" s="134">
        <v>0.0</v>
      </c>
      <c r="D40" s="134" t="s">
        <v>21</v>
      </c>
      <c r="E40" s="134"/>
      <c r="F40" s="134">
        <v>30.0</v>
      </c>
      <c r="G40" s="136"/>
      <c r="H40" s="135" t="s">
        <v>1662</v>
      </c>
      <c r="I40" s="135" t="s">
        <v>1663</v>
      </c>
      <c r="J40" s="135" t="s">
        <v>1664</v>
      </c>
      <c r="K40" s="103" t="b">
        <v>0</v>
      </c>
    </row>
    <row r="41">
      <c r="A41" s="135" t="s">
        <v>1124</v>
      </c>
      <c r="B41" s="135" t="s">
        <v>1665</v>
      </c>
      <c r="C41" s="134">
        <v>0.0</v>
      </c>
      <c r="D41" s="134" t="s">
        <v>21</v>
      </c>
      <c r="E41" s="134"/>
      <c r="F41" s="134">
        <v>30.0</v>
      </c>
      <c r="G41" s="136"/>
      <c r="H41" s="135" t="s">
        <v>1666</v>
      </c>
      <c r="I41" s="135" t="s">
        <v>1667</v>
      </c>
      <c r="J41" s="135" t="s">
        <v>1668</v>
      </c>
      <c r="K41" s="103" t="b">
        <v>0</v>
      </c>
    </row>
    <row r="42">
      <c r="A42" s="135" t="s">
        <v>1239</v>
      </c>
      <c r="B42" s="135" t="s">
        <v>1669</v>
      </c>
      <c r="C42" s="134">
        <v>0.0</v>
      </c>
      <c r="D42" s="134" t="s">
        <v>21</v>
      </c>
      <c r="E42" s="134"/>
      <c r="F42" s="134">
        <v>15.0</v>
      </c>
      <c r="G42" s="136"/>
      <c r="H42" s="135" t="s">
        <v>1670</v>
      </c>
      <c r="I42" s="135" t="s">
        <v>1671</v>
      </c>
      <c r="J42" s="137" t="s">
        <v>1672</v>
      </c>
      <c r="K42" s="103" t="b">
        <v>0</v>
      </c>
    </row>
    <row r="43">
      <c r="A43" s="135" t="s">
        <v>1673</v>
      </c>
      <c r="B43" s="135" t="s">
        <v>1674</v>
      </c>
      <c r="C43" s="134">
        <v>0.0</v>
      </c>
      <c r="D43" s="134" t="s">
        <v>21</v>
      </c>
      <c r="E43" s="134"/>
      <c r="F43" s="134">
        <v>30.0</v>
      </c>
      <c r="G43" s="136"/>
      <c r="H43" s="135" t="s">
        <v>1675</v>
      </c>
      <c r="I43" s="135"/>
      <c r="J43" s="135"/>
      <c r="K43" s="103" t="b">
        <v>0</v>
      </c>
    </row>
    <row r="44">
      <c r="A44" s="134" t="s">
        <v>1371</v>
      </c>
      <c r="B44" s="134" t="s">
        <v>1371</v>
      </c>
      <c r="C44" s="134">
        <v>0.0</v>
      </c>
      <c r="D44" s="134" t="s">
        <v>21</v>
      </c>
      <c r="E44" s="134"/>
      <c r="F44" s="134">
        <v>30.0</v>
      </c>
      <c r="G44" s="136"/>
      <c r="H44" s="134" t="s">
        <v>1676</v>
      </c>
      <c r="I44" s="135" t="s">
        <v>1677</v>
      </c>
      <c r="J44" s="135" t="s">
        <v>1678</v>
      </c>
      <c r="K44" s="103" t="b">
        <v>0</v>
      </c>
    </row>
    <row r="45">
      <c r="A45" s="135" t="s">
        <v>1243</v>
      </c>
      <c r="B45" s="135" t="s">
        <v>1243</v>
      </c>
      <c r="C45" s="134">
        <v>0.0</v>
      </c>
      <c r="D45" s="134" t="s">
        <v>21</v>
      </c>
      <c r="E45" s="134"/>
      <c r="F45" s="134">
        <v>30.0</v>
      </c>
      <c r="G45" s="136"/>
      <c r="H45" s="135" t="s">
        <v>1679</v>
      </c>
      <c r="I45" s="135" t="s">
        <v>1680</v>
      </c>
      <c r="J45" s="135" t="s">
        <v>1681</v>
      </c>
      <c r="K45" s="103" t="b">
        <v>0</v>
      </c>
    </row>
    <row r="46">
      <c r="A46" s="135" t="s">
        <v>1682</v>
      </c>
      <c r="B46" s="135" t="s">
        <v>1683</v>
      </c>
      <c r="C46" s="134">
        <v>0.0</v>
      </c>
      <c r="D46" s="134" t="s">
        <v>21</v>
      </c>
      <c r="E46" s="134"/>
      <c r="F46" s="134">
        <v>30.0</v>
      </c>
      <c r="G46" s="136"/>
      <c r="H46" s="135" t="s">
        <v>1684</v>
      </c>
      <c r="I46" s="135" t="s">
        <v>1685</v>
      </c>
      <c r="J46" s="137" t="s">
        <v>1686</v>
      </c>
      <c r="K46" s="103" t="b">
        <v>0</v>
      </c>
    </row>
    <row r="47">
      <c r="A47" s="135" t="s">
        <v>1244</v>
      </c>
      <c r="B47" s="134" t="s">
        <v>1687</v>
      </c>
      <c r="C47" s="134">
        <v>0.0</v>
      </c>
      <c r="D47" s="134" t="s">
        <v>21</v>
      </c>
      <c r="E47" s="134"/>
      <c r="F47" s="134">
        <v>15.0</v>
      </c>
      <c r="G47" s="136"/>
      <c r="H47" s="135" t="s">
        <v>1688</v>
      </c>
      <c r="I47" s="135" t="s">
        <v>1689</v>
      </c>
      <c r="J47" s="135" t="s">
        <v>1690</v>
      </c>
      <c r="K47" s="103" t="b">
        <v>0</v>
      </c>
    </row>
    <row r="48">
      <c r="A48" s="135" t="s">
        <v>1245</v>
      </c>
      <c r="B48" s="135" t="s">
        <v>1691</v>
      </c>
      <c r="C48" s="134" t="s">
        <v>1589</v>
      </c>
      <c r="D48" s="134" t="s">
        <v>21</v>
      </c>
      <c r="E48" s="134"/>
      <c r="F48" s="134">
        <v>0.0</v>
      </c>
      <c r="G48" s="136"/>
      <c r="H48" s="135" t="s">
        <v>1692</v>
      </c>
      <c r="I48" s="135"/>
      <c r="J48" s="135">
        <v>6.045618131E9</v>
      </c>
      <c r="K48" s="103" t="b">
        <v>0</v>
      </c>
    </row>
    <row r="49">
      <c r="A49" s="135" t="s">
        <v>1519</v>
      </c>
      <c r="B49" s="135" t="s">
        <v>1519</v>
      </c>
      <c r="C49" s="134">
        <v>0.0</v>
      </c>
      <c r="D49" s="134" t="s">
        <v>21</v>
      </c>
      <c r="E49" s="134"/>
      <c r="F49" s="134">
        <v>30.0</v>
      </c>
      <c r="G49" s="136"/>
      <c r="H49" s="135" t="s">
        <v>1693</v>
      </c>
      <c r="I49" s="135" t="s">
        <v>1694</v>
      </c>
      <c r="J49" s="137" t="s">
        <v>1695</v>
      </c>
      <c r="K49" s="103" t="b">
        <v>0</v>
      </c>
    </row>
    <row r="50">
      <c r="A50" s="135" t="s">
        <v>1246</v>
      </c>
      <c r="B50" s="135" t="s">
        <v>1246</v>
      </c>
      <c r="C50" s="134">
        <v>0.0</v>
      </c>
      <c r="D50" s="134" t="s">
        <v>21</v>
      </c>
      <c r="E50" s="134"/>
      <c r="F50" s="134">
        <v>30.0</v>
      </c>
      <c r="G50" s="136"/>
      <c r="H50" s="135" t="s">
        <v>1696</v>
      </c>
      <c r="I50" s="135" t="s">
        <v>1697</v>
      </c>
      <c r="J50" s="135" t="s">
        <v>1698</v>
      </c>
      <c r="K50" s="103" t="b">
        <v>0</v>
      </c>
    </row>
    <row r="51">
      <c r="A51" s="135" t="s">
        <v>1699</v>
      </c>
      <c r="B51" s="135" t="s">
        <v>1699</v>
      </c>
      <c r="C51" s="134">
        <v>0.0</v>
      </c>
      <c r="D51" s="134" t="s">
        <v>21</v>
      </c>
      <c r="E51" s="134"/>
      <c r="F51" s="134">
        <v>30.0</v>
      </c>
      <c r="G51" s="136"/>
      <c r="H51" s="135" t="s">
        <v>1700</v>
      </c>
      <c r="I51" s="135" t="s">
        <v>1701</v>
      </c>
      <c r="J51" s="135">
        <v>1.868358798E10</v>
      </c>
      <c r="K51" s="103" t="b">
        <v>0</v>
      </c>
    </row>
    <row r="52">
      <c r="A52" s="134" t="s">
        <v>1250</v>
      </c>
      <c r="B52" s="135"/>
      <c r="C52" s="134">
        <v>2000.0</v>
      </c>
      <c r="D52" s="134" t="s">
        <v>21</v>
      </c>
      <c r="E52" s="134"/>
      <c r="F52" s="134">
        <v>30.0</v>
      </c>
      <c r="G52" s="136"/>
      <c r="H52" s="135"/>
      <c r="I52" s="135"/>
      <c r="J52" s="135"/>
      <c r="K52" s="103" t="b">
        <v>0</v>
      </c>
    </row>
    <row r="53">
      <c r="A53" s="134" t="s">
        <v>1255</v>
      </c>
      <c r="B53" s="141" t="s">
        <v>1702</v>
      </c>
      <c r="C53" s="134">
        <v>0.0</v>
      </c>
      <c r="D53" s="134" t="s">
        <v>21</v>
      </c>
      <c r="E53" s="134"/>
      <c r="F53" s="134">
        <v>30.0</v>
      </c>
      <c r="G53" s="136"/>
      <c r="H53" s="135"/>
      <c r="I53" s="135"/>
      <c r="J53" s="135"/>
      <c r="K53" s="103" t="b">
        <v>0</v>
      </c>
    </row>
    <row r="54">
      <c r="A54" s="134" t="s">
        <v>1256</v>
      </c>
      <c r="B54" s="135"/>
      <c r="C54" s="134">
        <v>0.0</v>
      </c>
      <c r="D54" s="134" t="s">
        <v>21</v>
      </c>
      <c r="E54" s="134"/>
      <c r="F54" s="134">
        <v>30.0</v>
      </c>
      <c r="G54" s="136"/>
      <c r="H54" s="135"/>
      <c r="I54" s="135"/>
      <c r="J54" s="135"/>
      <c r="K54" s="103" t="b">
        <v>0</v>
      </c>
    </row>
    <row r="55">
      <c r="A55" s="134" t="s">
        <v>1320</v>
      </c>
      <c r="B55" s="135"/>
      <c r="C55" s="134">
        <v>0.0</v>
      </c>
      <c r="D55" s="134" t="s">
        <v>21</v>
      </c>
      <c r="E55" s="134"/>
      <c r="F55" s="134">
        <v>30.0</v>
      </c>
      <c r="G55" s="136"/>
      <c r="H55" s="135"/>
      <c r="I55" s="135"/>
      <c r="J55" s="135"/>
      <c r="K55" s="103" t="b">
        <v>0</v>
      </c>
    </row>
    <row r="56">
      <c r="A56" s="134" t="s">
        <v>1703</v>
      </c>
      <c r="B56" s="135"/>
      <c r="C56" s="134">
        <v>1000.0</v>
      </c>
      <c r="D56" s="134" t="s">
        <v>9</v>
      </c>
      <c r="E56" s="134"/>
      <c r="F56" s="134">
        <v>30.0</v>
      </c>
      <c r="G56" s="136"/>
      <c r="H56" s="135"/>
      <c r="I56" s="135"/>
      <c r="J56" s="135"/>
      <c r="K56" s="103" t="b">
        <v>0</v>
      </c>
    </row>
    <row r="57">
      <c r="A57" s="134" t="s">
        <v>1257</v>
      </c>
      <c r="B57" s="134" t="s">
        <v>1257</v>
      </c>
      <c r="C57" s="134">
        <v>0.0</v>
      </c>
      <c r="D57" s="134" t="s">
        <v>21</v>
      </c>
      <c r="E57" s="134"/>
      <c r="F57" s="134">
        <v>30.0</v>
      </c>
      <c r="G57" s="143"/>
      <c r="H57" s="144" t="s">
        <v>1704</v>
      </c>
      <c r="I57" s="65" t="s">
        <v>1705</v>
      </c>
      <c r="J57" s="140" t="s">
        <v>1706</v>
      </c>
      <c r="K57" s="103" t="b">
        <v>0</v>
      </c>
    </row>
    <row r="58">
      <c r="A58" s="135" t="s">
        <v>1707</v>
      </c>
      <c r="B58" s="135" t="s">
        <v>1707</v>
      </c>
      <c r="C58" s="134">
        <v>0.0</v>
      </c>
      <c r="D58" s="134" t="s">
        <v>21</v>
      </c>
      <c r="E58" s="134"/>
      <c r="F58" s="134">
        <v>30.0</v>
      </c>
      <c r="G58" s="136"/>
      <c r="H58" s="135" t="s">
        <v>1708</v>
      </c>
      <c r="I58" s="135" t="s">
        <v>1709</v>
      </c>
      <c r="J58" s="135" t="s">
        <v>1710</v>
      </c>
      <c r="K58" s="103" t="b">
        <v>0</v>
      </c>
    </row>
    <row r="59">
      <c r="A59" s="135" t="s">
        <v>1259</v>
      </c>
      <c r="B59" s="135" t="s">
        <v>1711</v>
      </c>
      <c r="C59" s="134">
        <v>0.0</v>
      </c>
      <c r="D59" s="134" t="s">
        <v>9</v>
      </c>
      <c r="E59" s="134"/>
      <c r="F59" s="134">
        <v>30.0</v>
      </c>
      <c r="G59" s="136"/>
      <c r="H59" s="135" t="s">
        <v>1712</v>
      </c>
      <c r="I59" s="135" t="s">
        <v>1713</v>
      </c>
      <c r="J59" s="135"/>
      <c r="K59" s="103" t="b">
        <v>0</v>
      </c>
    </row>
    <row r="60">
      <c r="A60" s="134" t="s">
        <v>1262</v>
      </c>
      <c r="B60" s="135"/>
      <c r="C60" s="134" t="s">
        <v>1589</v>
      </c>
      <c r="D60" s="134" t="s">
        <v>9</v>
      </c>
      <c r="E60" s="134"/>
      <c r="F60" s="134">
        <v>30.0</v>
      </c>
      <c r="G60" s="136"/>
      <c r="H60" s="135"/>
      <c r="I60" s="135"/>
      <c r="J60" s="135"/>
      <c r="K60" s="103" t="b">
        <v>0</v>
      </c>
    </row>
    <row r="61">
      <c r="A61" s="134" t="s">
        <v>1264</v>
      </c>
      <c r="B61" s="134" t="s">
        <v>1714</v>
      </c>
      <c r="C61" s="134">
        <v>1000.0</v>
      </c>
      <c r="D61" s="134" t="s">
        <v>21</v>
      </c>
      <c r="E61" s="134"/>
      <c r="F61" s="134">
        <v>0.0</v>
      </c>
      <c r="G61" s="136"/>
      <c r="H61" s="135"/>
      <c r="I61" s="135"/>
      <c r="J61" s="135"/>
      <c r="K61" s="103" t="b">
        <v>0</v>
      </c>
    </row>
    <row r="62">
      <c r="A62" s="135" t="s">
        <v>1275</v>
      </c>
      <c r="B62" s="135" t="s">
        <v>1715</v>
      </c>
      <c r="C62" s="134">
        <v>0.0</v>
      </c>
      <c r="D62" s="134" t="s">
        <v>21</v>
      </c>
      <c r="E62" s="134"/>
      <c r="F62" s="134">
        <v>15.0</v>
      </c>
      <c r="G62" s="136"/>
      <c r="H62" s="135" t="s">
        <v>1716</v>
      </c>
      <c r="I62" s="135" t="s">
        <v>1717</v>
      </c>
      <c r="J62" s="135" t="s">
        <v>1718</v>
      </c>
      <c r="K62" s="103" t="b">
        <v>0</v>
      </c>
    </row>
    <row r="63">
      <c r="A63" s="135" t="s">
        <v>1279</v>
      </c>
      <c r="B63" s="135" t="s">
        <v>1279</v>
      </c>
      <c r="C63" s="134">
        <v>0.0</v>
      </c>
      <c r="D63" s="134" t="s">
        <v>21</v>
      </c>
      <c r="E63" s="134"/>
      <c r="F63" s="134">
        <v>30.0</v>
      </c>
      <c r="G63" s="136"/>
      <c r="H63" s="135" t="s">
        <v>1719</v>
      </c>
      <c r="I63" s="135" t="s">
        <v>1720</v>
      </c>
      <c r="J63" s="135"/>
      <c r="K63" s="103" t="b">
        <v>0</v>
      </c>
    </row>
    <row r="64">
      <c r="A64" s="135" t="s">
        <v>1280</v>
      </c>
      <c r="B64" s="135" t="s">
        <v>1280</v>
      </c>
      <c r="C64" s="134">
        <v>0.0</v>
      </c>
      <c r="D64" s="134" t="s">
        <v>9</v>
      </c>
      <c r="E64" s="134"/>
      <c r="F64" s="134">
        <v>30.0</v>
      </c>
      <c r="G64" s="136"/>
      <c r="H64" s="135" t="s">
        <v>1721</v>
      </c>
      <c r="I64" s="135" t="s">
        <v>1722</v>
      </c>
      <c r="J64" s="135"/>
      <c r="K64" s="103" t="b">
        <v>0</v>
      </c>
    </row>
    <row r="65">
      <c r="A65" s="141" t="s">
        <v>1282</v>
      </c>
      <c r="B65" s="135"/>
      <c r="C65" s="134">
        <v>0.0</v>
      </c>
      <c r="D65" s="134" t="s">
        <v>21</v>
      </c>
      <c r="E65" s="134"/>
      <c r="F65" s="134">
        <v>30.0</v>
      </c>
      <c r="G65" s="136"/>
      <c r="H65" s="135"/>
      <c r="I65" s="135"/>
      <c r="J65" s="135"/>
      <c r="K65" s="103" t="b">
        <v>0</v>
      </c>
    </row>
    <row r="66">
      <c r="A66" s="135" t="s">
        <v>1723</v>
      </c>
      <c r="B66" s="135" t="s">
        <v>1723</v>
      </c>
      <c r="C66" s="134" t="s">
        <v>1589</v>
      </c>
      <c r="D66" s="134" t="s">
        <v>21</v>
      </c>
      <c r="E66" s="134"/>
      <c r="F66" s="134">
        <v>0.0</v>
      </c>
      <c r="G66" s="136"/>
      <c r="H66" s="135" t="s">
        <v>1724</v>
      </c>
      <c r="I66" s="135" t="s">
        <v>1725</v>
      </c>
      <c r="J66" s="135" t="s">
        <v>1726</v>
      </c>
      <c r="K66" s="103" t="b">
        <v>0</v>
      </c>
    </row>
    <row r="67">
      <c r="A67" s="135" t="s">
        <v>1727</v>
      </c>
      <c r="B67" s="135" t="s">
        <v>1728</v>
      </c>
      <c r="C67" s="134">
        <v>0.0</v>
      </c>
      <c r="D67" s="134" t="s">
        <v>21</v>
      </c>
      <c r="E67" s="134"/>
      <c r="F67" s="134">
        <v>30.0</v>
      </c>
      <c r="G67" s="136"/>
      <c r="H67" s="135" t="s">
        <v>1729</v>
      </c>
      <c r="I67" s="135" t="s">
        <v>1730</v>
      </c>
      <c r="J67" s="135" t="s">
        <v>1731</v>
      </c>
      <c r="K67" s="103" t="b">
        <v>0</v>
      </c>
    </row>
    <row r="68">
      <c r="A68" s="134" t="s">
        <v>1283</v>
      </c>
      <c r="B68" s="134" t="s">
        <v>1732</v>
      </c>
      <c r="C68" s="134">
        <v>0.0</v>
      </c>
      <c r="D68" s="134" t="s">
        <v>21</v>
      </c>
      <c r="E68" s="134" t="s">
        <v>27</v>
      </c>
      <c r="F68" s="134">
        <v>30.0</v>
      </c>
      <c r="G68" s="142"/>
      <c r="H68" s="134" t="s">
        <v>1733</v>
      </c>
      <c r="I68" s="135"/>
      <c r="J68" s="135"/>
      <c r="K68" s="103" t="b">
        <v>0</v>
      </c>
    </row>
    <row r="69">
      <c r="A69" s="134" t="s">
        <v>1456</v>
      </c>
      <c r="B69" s="134" t="s">
        <v>1456</v>
      </c>
      <c r="C69" s="134">
        <v>0.0</v>
      </c>
      <c r="D69" s="134" t="s">
        <v>21</v>
      </c>
      <c r="E69" s="134"/>
      <c r="F69" s="134">
        <v>30.0</v>
      </c>
      <c r="G69" s="136"/>
      <c r="H69" s="134" t="s">
        <v>1734</v>
      </c>
      <c r="I69" s="135" t="s">
        <v>1735</v>
      </c>
      <c r="J69" s="135" t="s">
        <v>1736</v>
      </c>
      <c r="K69" s="103" t="b">
        <v>0</v>
      </c>
    </row>
    <row r="70">
      <c r="A70" s="134" t="s">
        <v>1286</v>
      </c>
      <c r="B70" s="135"/>
      <c r="C70" s="134">
        <v>0.0</v>
      </c>
      <c r="D70" s="134" t="s">
        <v>21</v>
      </c>
      <c r="E70" s="134"/>
      <c r="F70" s="134">
        <v>30.0</v>
      </c>
      <c r="G70" s="136"/>
      <c r="H70" s="135"/>
      <c r="I70" s="135"/>
      <c r="J70" s="135"/>
      <c r="K70" s="103" t="b">
        <v>0</v>
      </c>
    </row>
    <row r="71">
      <c r="A71" s="134" t="s">
        <v>1287</v>
      </c>
      <c r="B71" s="135"/>
      <c r="C71" s="134">
        <v>0.0</v>
      </c>
      <c r="D71" s="134" t="s">
        <v>9</v>
      </c>
      <c r="E71" s="135"/>
      <c r="F71" s="135"/>
      <c r="G71" s="136"/>
      <c r="H71" s="135"/>
      <c r="I71" s="135"/>
      <c r="J71" s="135"/>
      <c r="K71" s="103" t="b">
        <v>0</v>
      </c>
    </row>
    <row r="72">
      <c r="A72" s="134" t="s">
        <v>1289</v>
      </c>
      <c r="B72" s="135"/>
      <c r="C72" s="134">
        <v>0.0</v>
      </c>
      <c r="D72" s="134" t="s">
        <v>21</v>
      </c>
      <c r="E72" s="134"/>
      <c r="F72" s="134">
        <v>30.0</v>
      </c>
      <c r="G72" s="136"/>
      <c r="H72" s="135"/>
      <c r="I72" s="135"/>
      <c r="J72" s="135"/>
      <c r="K72" s="103" t="b">
        <v>0</v>
      </c>
    </row>
    <row r="73">
      <c r="A73" s="134" t="s">
        <v>1291</v>
      </c>
      <c r="B73" s="135" t="s">
        <v>1737</v>
      </c>
      <c r="C73" s="134">
        <v>0.0</v>
      </c>
      <c r="D73" s="134" t="s">
        <v>21</v>
      </c>
      <c r="E73" s="134"/>
      <c r="F73" s="134">
        <v>30.0</v>
      </c>
      <c r="G73" s="136"/>
      <c r="H73" s="135" t="s">
        <v>1738</v>
      </c>
      <c r="I73" s="135" t="s">
        <v>1739</v>
      </c>
      <c r="J73" s="135" t="s">
        <v>1740</v>
      </c>
      <c r="K73" s="103" t="b">
        <v>0</v>
      </c>
    </row>
    <row r="74">
      <c r="A74" s="141" t="s">
        <v>1292</v>
      </c>
      <c r="B74" s="135"/>
      <c r="C74" s="134">
        <v>500.0</v>
      </c>
      <c r="D74" s="134" t="s">
        <v>21</v>
      </c>
      <c r="E74" s="134"/>
      <c r="F74" s="134">
        <v>15.0</v>
      </c>
      <c r="G74" s="136"/>
      <c r="H74" s="135"/>
      <c r="I74" s="135"/>
      <c r="J74" s="135"/>
      <c r="K74" s="103" t="b">
        <v>0</v>
      </c>
    </row>
    <row r="75">
      <c r="A75" s="141" t="s">
        <v>1741</v>
      </c>
      <c r="B75" s="135"/>
      <c r="C75" s="134">
        <v>0.0</v>
      </c>
      <c r="D75" s="134" t="s">
        <v>21</v>
      </c>
      <c r="E75" s="134"/>
      <c r="F75" s="134">
        <v>30.0</v>
      </c>
      <c r="G75" s="136"/>
      <c r="H75" s="135"/>
      <c r="I75" s="135"/>
      <c r="J75" s="135"/>
      <c r="K75" s="103" t="b">
        <v>0</v>
      </c>
    </row>
    <row r="76">
      <c r="A76" s="135" t="s">
        <v>1293</v>
      </c>
      <c r="B76" s="135" t="s">
        <v>1742</v>
      </c>
      <c r="C76" s="134">
        <v>0.0</v>
      </c>
      <c r="D76" s="134" t="s">
        <v>9</v>
      </c>
      <c r="E76" s="134"/>
      <c r="F76" s="134">
        <v>30.0</v>
      </c>
      <c r="G76" s="136"/>
      <c r="H76" s="135" t="s">
        <v>1743</v>
      </c>
      <c r="I76" s="135" t="s">
        <v>1744</v>
      </c>
      <c r="J76" s="135" t="s">
        <v>1745</v>
      </c>
      <c r="K76" s="103" t="b">
        <v>0</v>
      </c>
    </row>
    <row r="77">
      <c r="A77" s="135" t="s">
        <v>1294</v>
      </c>
      <c r="B77" s="135" t="s">
        <v>1746</v>
      </c>
      <c r="C77" s="134">
        <v>0.0</v>
      </c>
      <c r="D77" s="134" t="s">
        <v>9</v>
      </c>
      <c r="E77" s="134"/>
      <c r="F77" s="134">
        <v>30.0</v>
      </c>
      <c r="G77" s="136"/>
      <c r="H77" s="135" t="s">
        <v>1747</v>
      </c>
      <c r="I77" s="135" t="s">
        <v>1748</v>
      </c>
      <c r="J77" s="135" t="s">
        <v>1749</v>
      </c>
      <c r="K77" s="103" t="b">
        <v>0</v>
      </c>
    </row>
    <row r="78">
      <c r="A78" s="135" t="s">
        <v>1750</v>
      </c>
      <c r="B78" s="135" t="s">
        <v>1750</v>
      </c>
      <c r="C78" s="134">
        <v>0.0</v>
      </c>
      <c r="D78" s="134" t="s">
        <v>21</v>
      </c>
      <c r="E78" s="134"/>
      <c r="F78" s="134">
        <v>30.0</v>
      </c>
      <c r="G78" s="136"/>
      <c r="H78" s="135" t="s">
        <v>1751</v>
      </c>
      <c r="I78" s="135" t="s">
        <v>1752</v>
      </c>
      <c r="J78" s="137" t="s">
        <v>1753</v>
      </c>
      <c r="K78" s="103" t="b">
        <v>0</v>
      </c>
    </row>
    <row r="79">
      <c r="A79" s="135" t="s">
        <v>1754</v>
      </c>
      <c r="B79" s="135" t="s">
        <v>1754</v>
      </c>
      <c r="C79" s="134">
        <v>0.0</v>
      </c>
      <c r="D79" s="134" t="s">
        <v>21</v>
      </c>
      <c r="E79" s="134"/>
      <c r="F79" s="134">
        <v>30.0</v>
      </c>
      <c r="G79" s="136"/>
      <c r="H79" s="137" t="s">
        <v>1755</v>
      </c>
      <c r="I79" s="135" t="s">
        <v>1756</v>
      </c>
      <c r="J79" s="135"/>
      <c r="K79" s="103" t="b">
        <v>0</v>
      </c>
    </row>
    <row r="80">
      <c r="A80" s="134" t="s">
        <v>1296</v>
      </c>
      <c r="B80" s="135"/>
      <c r="C80" s="134">
        <v>0.0</v>
      </c>
      <c r="D80" s="134" t="s">
        <v>9</v>
      </c>
      <c r="E80" s="134"/>
      <c r="F80" s="134">
        <v>30.0</v>
      </c>
      <c r="G80" s="136"/>
      <c r="H80" s="135"/>
      <c r="I80" s="135"/>
      <c r="J80" s="135"/>
      <c r="K80" s="103" t="b">
        <v>0</v>
      </c>
    </row>
    <row r="81">
      <c r="A81" s="135" t="s">
        <v>1300</v>
      </c>
      <c r="B81" s="135" t="s">
        <v>1757</v>
      </c>
      <c r="C81" s="134">
        <v>0.0</v>
      </c>
      <c r="D81" s="134" t="s">
        <v>9</v>
      </c>
      <c r="E81" s="134"/>
      <c r="F81" s="134">
        <v>30.0</v>
      </c>
      <c r="G81" s="136"/>
      <c r="H81" s="135" t="s">
        <v>1758</v>
      </c>
      <c r="I81" s="135" t="s">
        <v>1759</v>
      </c>
      <c r="J81" s="137" t="s">
        <v>1760</v>
      </c>
      <c r="K81" s="103" t="b">
        <v>0</v>
      </c>
    </row>
    <row r="82">
      <c r="A82" s="135" t="s">
        <v>1304</v>
      </c>
      <c r="B82" s="135" t="s">
        <v>1304</v>
      </c>
      <c r="C82" s="134">
        <v>2000.0</v>
      </c>
      <c r="D82" s="134" t="s">
        <v>21</v>
      </c>
      <c r="E82" s="134"/>
      <c r="F82" s="134">
        <v>30.0</v>
      </c>
      <c r="G82" s="136"/>
      <c r="H82" s="137" t="s">
        <v>1761</v>
      </c>
      <c r="I82" s="135" t="s">
        <v>1762</v>
      </c>
      <c r="J82" s="135" t="s">
        <v>1763</v>
      </c>
      <c r="K82" s="103" t="b">
        <v>0</v>
      </c>
    </row>
    <row r="83">
      <c r="A83" s="134" t="s">
        <v>1308</v>
      </c>
      <c r="B83" s="135"/>
      <c r="C83" s="134">
        <v>2000.0</v>
      </c>
      <c r="D83" s="134" t="s">
        <v>9</v>
      </c>
      <c r="E83" s="134"/>
      <c r="F83" s="134">
        <v>30.0</v>
      </c>
      <c r="G83" s="136"/>
      <c r="H83" s="135"/>
      <c r="I83" s="135"/>
      <c r="J83" s="135"/>
      <c r="K83" s="103" t="b">
        <v>0</v>
      </c>
    </row>
    <row r="84">
      <c r="A84" s="135" t="s">
        <v>1309</v>
      </c>
      <c r="B84" s="135" t="s">
        <v>1764</v>
      </c>
      <c r="C84" s="134">
        <v>0.0</v>
      </c>
      <c r="D84" s="134" t="s">
        <v>21</v>
      </c>
      <c r="E84" s="134"/>
      <c r="F84" s="134">
        <v>30.0</v>
      </c>
      <c r="G84" s="136"/>
      <c r="H84" s="135" t="s">
        <v>1765</v>
      </c>
      <c r="I84" s="135"/>
      <c r="J84" s="135" t="s">
        <v>1766</v>
      </c>
      <c r="K84" s="103" t="b">
        <v>0</v>
      </c>
    </row>
    <row r="85">
      <c r="A85" s="134" t="s">
        <v>1311</v>
      </c>
      <c r="B85" s="135"/>
      <c r="C85" s="134">
        <v>0.0</v>
      </c>
      <c r="D85" s="134" t="s">
        <v>21</v>
      </c>
      <c r="E85" s="134"/>
      <c r="F85" s="134">
        <v>30.0</v>
      </c>
      <c r="G85" s="136"/>
      <c r="H85" s="135"/>
      <c r="I85" s="135"/>
      <c r="J85" s="135"/>
      <c r="K85" s="103" t="b">
        <v>0</v>
      </c>
    </row>
    <row r="86">
      <c r="A86" s="134" t="s">
        <v>1312</v>
      </c>
      <c r="B86" s="135"/>
      <c r="C86" s="134">
        <v>2000.0</v>
      </c>
      <c r="D86" s="134" t="s">
        <v>9</v>
      </c>
      <c r="E86" s="134"/>
      <c r="F86" s="134">
        <v>30.0</v>
      </c>
      <c r="G86" s="136"/>
      <c r="H86" s="135"/>
      <c r="I86" s="135"/>
      <c r="J86" s="135"/>
      <c r="K86" s="103" t="b">
        <v>0</v>
      </c>
    </row>
    <row r="87">
      <c r="A87" s="134" t="s">
        <v>1314</v>
      </c>
      <c r="B87" s="135"/>
      <c r="C87" s="134">
        <v>5000.0</v>
      </c>
      <c r="D87" s="134" t="s">
        <v>21</v>
      </c>
      <c r="E87" s="134"/>
      <c r="F87" s="134">
        <v>30.0</v>
      </c>
      <c r="G87" s="136"/>
      <c r="H87" s="135"/>
      <c r="I87" s="135"/>
      <c r="J87" s="135"/>
      <c r="K87" s="103" t="b">
        <v>0</v>
      </c>
    </row>
    <row r="88">
      <c r="A88" s="134" t="s">
        <v>1324</v>
      </c>
      <c r="B88" s="135"/>
      <c r="C88" s="134">
        <v>0.0</v>
      </c>
      <c r="D88" s="134" t="s">
        <v>21</v>
      </c>
      <c r="E88" s="134"/>
      <c r="F88" s="134">
        <v>30.0</v>
      </c>
      <c r="G88" s="136"/>
      <c r="H88" s="135"/>
      <c r="I88" s="135"/>
      <c r="J88" s="135"/>
      <c r="K88" s="103" t="b">
        <v>0</v>
      </c>
    </row>
    <row r="89">
      <c r="A89" s="134" t="s">
        <v>1325</v>
      </c>
      <c r="B89" s="135"/>
      <c r="C89" s="134">
        <v>0.0</v>
      </c>
      <c r="D89" s="134" t="s">
        <v>21</v>
      </c>
      <c r="E89" s="134"/>
      <c r="F89" s="134">
        <v>15.0</v>
      </c>
      <c r="G89" s="142"/>
      <c r="H89" s="134" t="s">
        <v>67</v>
      </c>
      <c r="I89" s="135"/>
      <c r="J89" s="135"/>
      <c r="K89" s="103" t="b">
        <v>0</v>
      </c>
    </row>
    <row r="90">
      <c r="A90" s="141" t="s">
        <v>1327</v>
      </c>
      <c r="B90" s="135"/>
      <c r="C90" s="134">
        <v>0.0</v>
      </c>
      <c r="D90" s="134" t="s">
        <v>21</v>
      </c>
      <c r="E90" s="134"/>
      <c r="F90" s="134">
        <v>30.0</v>
      </c>
      <c r="G90" s="136"/>
      <c r="H90" s="135"/>
      <c r="I90" s="135"/>
      <c r="J90" s="135"/>
      <c r="K90" s="103" t="b">
        <v>0</v>
      </c>
    </row>
    <row r="91">
      <c r="A91" s="141" t="s">
        <v>1327</v>
      </c>
      <c r="B91" s="135" t="s">
        <v>1767</v>
      </c>
      <c r="C91" s="134">
        <v>0.0</v>
      </c>
      <c r="D91" s="134" t="s">
        <v>21</v>
      </c>
      <c r="E91" s="134"/>
      <c r="F91" s="134">
        <v>30.0</v>
      </c>
      <c r="G91" s="136"/>
      <c r="H91" s="135" t="s">
        <v>1768</v>
      </c>
      <c r="I91" s="135"/>
      <c r="J91" s="137" t="s">
        <v>1769</v>
      </c>
      <c r="K91" s="103" t="b">
        <v>0</v>
      </c>
    </row>
    <row r="92">
      <c r="A92" s="141" t="s">
        <v>1329</v>
      </c>
      <c r="B92" s="135" t="s">
        <v>1770</v>
      </c>
      <c r="C92" s="134">
        <v>0.0</v>
      </c>
      <c r="D92" s="134" t="s">
        <v>21</v>
      </c>
      <c r="E92" s="134"/>
      <c r="F92" s="134">
        <v>30.0</v>
      </c>
      <c r="G92" s="136"/>
      <c r="H92" s="137" t="s">
        <v>1771</v>
      </c>
      <c r="I92" s="135" t="s">
        <v>1772</v>
      </c>
      <c r="J92" s="135" t="s">
        <v>1773</v>
      </c>
      <c r="K92" s="103" t="b">
        <v>0</v>
      </c>
    </row>
    <row r="93">
      <c r="A93" s="134" t="s">
        <v>1248</v>
      </c>
      <c r="B93" s="134" t="s">
        <v>1248</v>
      </c>
      <c r="C93" s="134">
        <v>1000.0</v>
      </c>
      <c r="D93" s="134" t="s">
        <v>21</v>
      </c>
      <c r="E93" s="135"/>
      <c r="F93" s="134">
        <v>30.0</v>
      </c>
      <c r="G93" s="136"/>
      <c r="H93" s="135"/>
      <c r="I93" s="135"/>
      <c r="J93" s="135"/>
      <c r="K93" s="103" t="b">
        <v>0</v>
      </c>
    </row>
    <row r="94">
      <c r="A94" s="134" t="s">
        <v>1228</v>
      </c>
      <c r="B94" s="134" t="s">
        <v>1774</v>
      </c>
      <c r="C94" s="134">
        <v>0.0</v>
      </c>
      <c r="D94" s="134" t="s">
        <v>9</v>
      </c>
      <c r="E94" s="135"/>
      <c r="F94" s="134">
        <v>15.0</v>
      </c>
      <c r="G94" s="138" t="s">
        <v>1775</v>
      </c>
      <c r="H94" s="134" t="s">
        <v>1776</v>
      </c>
      <c r="I94" s="134" t="s">
        <v>1777</v>
      </c>
      <c r="J94" s="134" t="s">
        <v>1778</v>
      </c>
      <c r="K94" s="103" t="b">
        <v>0</v>
      </c>
    </row>
    <row r="95">
      <c r="A95" s="134" t="s">
        <v>1305</v>
      </c>
      <c r="B95" s="134" t="s">
        <v>1779</v>
      </c>
      <c r="C95" s="134">
        <v>0.0</v>
      </c>
      <c r="D95" s="134" t="s">
        <v>21</v>
      </c>
      <c r="E95" s="135"/>
      <c r="F95" s="134">
        <v>15.0</v>
      </c>
      <c r="G95" s="142" t="s">
        <v>1780</v>
      </c>
      <c r="H95" s="134" t="s">
        <v>1781</v>
      </c>
      <c r="I95" s="134" t="s">
        <v>1782</v>
      </c>
      <c r="J95" s="134" t="s">
        <v>1783</v>
      </c>
      <c r="K95" s="103" t="b">
        <v>0</v>
      </c>
    </row>
    <row r="96">
      <c r="A96" s="134" t="s">
        <v>1240</v>
      </c>
      <c r="B96" s="134" t="s">
        <v>1784</v>
      </c>
      <c r="C96" s="134">
        <v>0.0</v>
      </c>
      <c r="D96" s="134" t="s">
        <v>21</v>
      </c>
      <c r="E96" s="135"/>
      <c r="F96" s="134">
        <v>15.0</v>
      </c>
      <c r="G96" s="142" t="s">
        <v>1785</v>
      </c>
      <c r="H96" s="134" t="s">
        <v>1786</v>
      </c>
      <c r="I96" s="145" t="s">
        <v>1787</v>
      </c>
      <c r="J96" s="146" t="s">
        <v>1788</v>
      </c>
      <c r="K96" s="103" t="b">
        <v>0</v>
      </c>
    </row>
    <row r="97">
      <c r="A97" s="134" t="s">
        <v>1252</v>
      </c>
      <c r="B97" s="134" t="s">
        <v>1252</v>
      </c>
      <c r="C97" s="134">
        <v>2000.0</v>
      </c>
      <c r="D97" s="134" t="s">
        <v>21</v>
      </c>
      <c r="E97" s="135"/>
      <c r="F97" s="134">
        <v>0.0</v>
      </c>
      <c r="G97" s="142" t="s">
        <v>1789</v>
      </c>
      <c r="H97" s="144" t="s">
        <v>1790</v>
      </c>
      <c r="I97" s="134" t="s">
        <v>1791</v>
      </c>
      <c r="J97" s="134" t="s">
        <v>1792</v>
      </c>
      <c r="K97" s="103" t="b">
        <v>0</v>
      </c>
    </row>
    <row r="98">
      <c r="A98" s="134" t="s">
        <v>1209</v>
      </c>
      <c r="B98" s="134" t="s">
        <v>1793</v>
      </c>
      <c r="C98" s="134">
        <v>0.0</v>
      </c>
      <c r="D98" s="134" t="s">
        <v>9</v>
      </c>
      <c r="E98" s="135"/>
      <c r="F98" s="134">
        <v>0.0</v>
      </c>
      <c r="G98" s="142" t="s">
        <v>1794</v>
      </c>
      <c r="H98" s="147" t="s">
        <v>1795</v>
      </c>
      <c r="I98" s="134" t="s">
        <v>1796</v>
      </c>
      <c r="J98" s="134" t="s">
        <v>1797</v>
      </c>
      <c r="K98" s="103" t="b">
        <v>0</v>
      </c>
    </row>
    <row r="99">
      <c r="A99" s="134" t="s">
        <v>1330</v>
      </c>
      <c r="B99" s="134" t="s">
        <v>1798</v>
      </c>
      <c r="C99" s="134">
        <v>0.0</v>
      </c>
      <c r="D99" s="134" t="s">
        <v>21</v>
      </c>
      <c r="E99" s="135"/>
      <c r="F99" s="134">
        <v>0.0</v>
      </c>
      <c r="G99" s="142" t="s">
        <v>1799</v>
      </c>
      <c r="H99" s="134" t="s">
        <v>1800</v>
      </c>
      <c r="I99" s="134" t="s">
        <v>1801</v>
      </c>
      <c r="J99" s="148" t="s">
        <v>1802</v>
      </c>
      <c r="K99" s="103" t="b">
        <v>0</v>
      </c>
    </row>
    <row r="100">
      <c r="A100" s="149" t="s">
        <v>1333</v>
      </c>
      <c r="B100" s="135"/>
      <c r="C100" s="134">
        <v>0.0</v>
      </c>
      <c r="D100" s="134" t="s">
        <v>21</v>
      </c>
      <c r="E100" s="135"/>
      <c r="F100" s="134">
        <v>15.0</v>
      </c>
      <c r="G100" s="142" t="s">
        <v>1803</v>
      </c>
      <c r="H100" s="134" t="s">
        <v>1804</v>
      </c>
      <c r="I100" s="135"/>
      <c r="J100" s="135"/>
      <c r="K100" s="103" t="b">
        <v>0</v>
      </c>
    </row>
    <row r="101">
      <c r="A101" s="149" t="s">
        <v>1342</v>
      </c>
      <c r="B101" s="135"/>
      <c r="C101" s="134">
        <v>0.0</v>
      </c>
      <c r="D101" s="134" t="s">
        <v>21</v>
      </c>
      <c r="E101" s="135"/>
      <c r="F101" s="134">
        <v>15.0</v>
      </c>
      <c r="G101" s="136"/>
      <c r="H101" s="135"/>
      <c r="I101" s="135"/>
      <c r="J101" s="135"/>
      <c r="K101" s="103" t="b">
        <v>0</v>
      </c>
    </row>
    <row r="102">
      <c r="A102" s="149" t="s">
        <v>1357</v>
      </c>
      <c r="B102" s="150" t="s">
        <v>1805</v>
      </c>
      <c r="C102" s="150">
        <v>1000.0</v>
      </c>
      <c r="D102" s="150" t="s">
        <v>21</v>
      </c>
      <c r="E102" s="150"/>
      <c r="F102" s="150">
        <v>15.0</v>
      </c>
      <c r="G102" s="151" t="s">
        <v>1806</v>
      </c>
      <c r="H102" s="149" t="s">
        <v>1807</v>
      </c>
      <c r="I102" s="149" t="s">
        <v>1808</v>
      </c>
      <c r="J102" s="149" t="s">
        <v>1809</v>
      </c>
      <c r="K102" s="103" t="b">
        <v>0</v>
      </c>
    </row>
    <row r="103">
      <c r="A103" s="149" t="s">
        <v>1360</v>
      </c>
      <c r="B103" s="149" t="s">
        <v>1360</v>
      </c>
      <c r="C103" s="149">
        <v>1000.0</v>
      </c>
      <c r="D103" s="149" t="s">
        <v>21</v>
      </c>
      <c r="E103" s="152"/>
      <c r="F103" s="149">
        <v>15.0</v>
      </c>
      <c r="G103" s="153" t="s">
        <v>1810</v>
      </c>
      <c r="H103" s="139" t="s">
        <v>1811</v>
      </c>
      <c r="I103" s="149" t="s">
        <v>1812</v>
      </c>
      <c r="J103" s="149" t="s">
        <v>1813</v>
      </c>
      <c r="K103" s="103" t="b">
        <v>0</v>
      </c>
    </row>
    <row r="104">
      <c r="A104" s="149" t="s">
        <v>1345</v>
      </c>
      <c r="B104" s="152"/>
      <c r="C104" s="149">
        <v>0.0</v>
      </c>
      <c r="D104" s="149" t="s">
        <v>21</v>
      </c>
      <c r="E104" s="152"/>
      <c r="F104" s="149">
        <v>0.0</v>
      </c>
      <c r="G104" s="153" t="s">
        <v>1814</v>
      </c>
      <c r="H104" s="149" t="s">
        <v>1815</v>
      </c>
      <c r="I104" s="152"/>
      <c r="J104" s="149">
        <v>5.8771699E9</v>
      </c>
      <c r="K104" s="103" t="b">
        <v>0</v>
      </c>
    </row>
    <row r="105">
      <c r="A105" s="149" t="s">
        <v>1352</v>
      </c>
      <c r="B105" s="152"/>
      <c r="C105" s="134">
        <v>2000.0</v>
      </c>
      <c r="D105" s="134" t="s">
        <v>21</v>
      </c>
      <c r="E105" s="135"/>
      <c r="F105" s="134">
        <v>0.0</v>
      </c>
      <c r="G105" s="142" t="s">
        <v>1789</v>
      </c>
      <c r="H105" s="144" t="s">
        <v>1790</v>
      </c>
      <c r="I105" s="134" t="s">
        <v>1816</v>
      </c>
      <c r="J105" s="134" t="s">
        <v>1792</v>
      </c>
      <c r="K105" s="103" t="b">
        <v>0</v>
      </c>
    </row>
    <row r="106">
      <c r="A106" s="149" t="s">
        <v>1363</v>
      </c>
      <c r="B106" s="149" t="s">
        <v>1363</v>
      </c>
      <c r="C106" s="149">
        <v>0.0</v>
      </c>
      <c r="D106" s="149" t="s">
        <v>9</v>
      </c>
      <c r="E106" s="152"/>
      <c r="F106" s="149">
        <v>0.0</v>
      </c>
      <c r="G106" s="139" t="s">
        <v>1817</v>
      </c>
      <c r="H106" s="149" t="s">
        <v>1818</v>
      </c>
      <c r="I106" s="149" t="s">
        <v>1819</v>
      </c>
      <c r="J106" s="152">
        <f>16195679244</f>
        <v>16195679244</v>
      </c>
      <c r="K106" s="103" t="b">
        <v>0</v>
      </c>
    </row>
    <row r="107">
      <c r="A107" s="149" t="s">
        <v>1365</v>
      </c>
      <c r="B107" s="149" t="s">
        <v>1365</v>
      </c>
      <c r="C107" s="149">
        <v>1000.0</v>
      </c>
      <c r="D107" s="149" t="s">
        <v>21</v>
      </c>
      <c r="E107" s="152"/>
      <c r="F107" s="149">
        <v>30.0</v>
      </c>
      <c r="G107" s="153" t="s">
        <v>1820</v>
      </c>
      <c r="H107" s="149" t="s">
        <v>1821</v>
      </c>
      <c r="I107" s="149" t="s">
        <v>1822</v>
      </c>
      <c r="J107" s="149" t="s">
        <v>1823</v>
      </c>
      <c r="K107" s="103" t="b">
        <v>0</v>
      </c>
    </row>
    <row r="108">
      <c r="A108" s="149" t="s">
        <v>1368</v>
      </c>
      <c r="B108" s="149" t="s">
        <v>1824</v>
      </c>
      <c r="C108" s="154">
        <v>1000.0</v>
      </c>
      <c r="D108" s="149" t="s">
        <v>9</v>
      </c>
      <c r="E108" s="152"/>
      <c r="F108" s="149">
        <v>0.0</v>
      </c>
      <c r="G108" s="153" t="s">
        <v>1825</v>
      </c>
      <c r="H108" s="149" t="s">
        <v>1826</v>
      </c>
      <c r="I108" s="149" t="s">
        <v>1827</v>
      </c>
      <c r="J108" s="65" t="s">
        <v>1828</v>
      </c>
      <c r="K108" s="103" t="b">
        <v>0</v>
      </c>
    </row>
    <row r="109">
      <c r="A109" s="149" t="s">
        <v>1377</v>
      </c>
      <c r="B109" s="149" t="s">
        <v>1377</v>
      </c>
      <c r="C109" s="149">
        <v>0.0</v>
      </c>
      <c r="D109" s="149" t="s">
        <v>9</v>
      </c>
      <c r="E109" s="152"/>
      <c r="F109" s="149">
        <v>30.0</v>
      </c>
      <c r="G109" s="153" t="s">
        <v>1829</v>
      </c>
      <c r="H109" s="149" t="s">
        <v>1830</v>
      </c>
      <c r="I109" s="149" t="s">
        <v>1831</v>
      </c>
      <c r="J109" s="149" t="s">
        <v>1832</v>
      </c>
      <c r="K109" s="103" t="b">
        <v>0</v>
      </c>
    </row>
    <row r="110">
      <c r="A110" s="149" t="s">
        <v>1383</v>
      </c>
      <c r="B110" s="149" t="s">
        <v>1540</v>
      </c>
      <c r="C110" s="149">
        <v>1000.0</v>
      </c>
      <c r="D110" s="149" t="s">
        <v>9</v>
      </c>
      <c r="E110" s="152"/>
      <c r="F110" s="149">
        <v>15.0</v>
      </c>
      <c r="G110" s="153" t="s">
        <v>1833</v>
      </c>
      <c r="H110" s="149" t="s">
        <v>1834</v>
      </c>
      <c r="I110" s="149" t="s">
        <v>1835</v>
      </c>
      <c r="J110" s="149" t="s">
        <v>1836</v>
      </c>
      <c r="K110" s="103" t="b">
        <v>0</v>
      </c>
    </row>
    <row r="111">
      <c r="A111" s="149" t="s">
        <v>1390</v>
      </c>
      <c r="B111" s="149" t="s">
        <v>1390</v>
      </c>
      <c r="C111" s="149">
        <v>0.0</v>
      </c>
      <c r="D111" s="149" t="s">
        <v>21</v>
      </c>
      <c r="E111" s="152"/>
      <c r="F111" s="149">
        <v>15.0</v>
      </c>
      <c r="G111" s="153" t="s">
        <v>1837</v>
      </c>
      <c r="H111" s="149" t="s">
        <v>1838</v>
      </c>
      <c r="I111" s="149" t="s">
        <v>1839</v>
      </c>
      <c r="J111" s="152"/>
      <c r="K111" s="103" t="b">
        <v>0</v>
      </c>
    </row>
    <row r="112">
      <c r="A112" s="155" t="s">
        <v>1394</v>
      </c>
      <c r="B112" s="155" t="s">
        <v>1394</v>
      </c>
      <c r="C112" s="149">
        <v>1000.0</v>
      </c>
      <c r="D112" s="149" t="s">
        <v>21</v>
      </c>
      <c r="E112" s="152"/>
      <c r="F112" s="149">
        <v>15.0</v>
      </c>
      <c r="G112" s="153" t="s">
        <v>1840</v>
      </c>
      <c r="H112" s="149" t="s">
        <v>1841</v>
      </c>
      <c r="I112" s="156" t="s">
        <v>1842</v>
      </c>
      <c r="J112" s="149" t="s">
        <v>1843</v>
      </c>
      <c r="K112" s="103" t="b">
        <v>0</v>
      </c>
    </row>
    <row r="113">
      <c r="A113" s="149" t="s">
        <v>1844</v>
      </c>
      <c r="B113" s="149" t="s">
        <v>1844</v>
      </c>
      <c r="C113" s="152"/>
      <c r="D113" s="149" t="s">
        <v>9</v>
      </c>
      <c r="E113" s="152"/>
      <c r="F113" s="152"/>
      <c r="G113" s="153" t="s">
        <v>1845</v>
      </c>
      <c r="H113" s="157" t="s">
        <v>1846</v>
      </c>
      <c r="I113" s="149" t="s">
        <v>1847</v>
      </c>
      <c r="J113" s="149" t="s">
        <v>1848</v>
      </c>
      <c r="K113" s="103" t="b">
        <v>0</v>
      </c>
    </row>
    <row r="114">
      <c r="A114" s="149" t="s">
        <v>1395</v>
      </c>
      <c r="B114" s="149" t="s">
        <v>1395</v>
      </c>
      <c r="C114" s="152"/>
      <c r="D114" s="149" t="s">
        <v>9</v>
      </c>
      <c r="E114" s="152"/>
      <c r="F114" s="149">
        <v>15.0</v>
      </c>
      <c r="G114" s="153"/>
      <c r="H114" s="157" t="s">
        <v>1849</v>
      </c>
      <c r="I114" s="149" t="s">
        <v>1850</v>
      </c>
      <c r="J114" s="149" t="s">
        <v>1851</v>
      </c>
      <c r="K114" s="103" t="b">
        <v>0</v>
      </c>
    </row>
    <row r="115">
      <c r="A115" s="149" t="s">
        <v>1398</v>
      </c>
      <c r="B115" s="149" t="s">
        <v>1852</v>
      </c>
      <c r="C115" s="152"/>
      <c r="D115" s="149" t="s">
        <v>9</v>
      </c>
      <c r="E115" s="152"/>
      <c r="F115" s="149">
        <v>15.0</v>
      </c>
      <c r="G115" s="158"/>
      <c r="H115" s="157" t="s">
        <v>1846</v>
      </c>
      <c r="I115" s="159" t="s">
        <v>1853</v>
      </c>
      <c r="J115" s="149" t="s">
        <v>1854</v>
      </c>
      <c r="K115" s="103" t="b">
        <v>0</v>
      </c>
    </row>
    <row r="116">
      <c r="A116" s="149" t="s">
        <v>1406</v>
      </c>
      <c r="B116" s="149" t="s">
        <v>1406</v>
      </c>
      <c r="C116" s="152"/>
      <c r="D116" s="149" t="s">
        <v>9</v>
      </c>
      <c r="E116" s="152"/>
      <c r="F116" s="149">
        <v>15.0</v>
      </c>
      <c r="G116" s="158"/>
      <c r="H116" s="157" t="s">
        <v>1855</v>
      </c>
      <c r="I116" s="159" t="s">
        <v>1856</v>
      </c>
      <c r="J116" s="149" t="s">
        <v>1857</v>
      </c>
      <c r="K116" s="103" t="b">
        <v>0</v>
      </c>
    </row>
    <row r="117">
      <c r="A117" s="149" t="s">
        <v>1404</v>
      </c>
      <c r="B117" s="149" t="s">
        <v>1404</v>
      </c>
      <c r="C117" s="152"/>
      <c r="D117" s="149" t="s">
        <v>9</v>
      </c>
      <c r="E117" s="152"/>
      <c r="F117" s="149">
        <v>15.0</v>
      </c>
      <c r="G117" s="158"/>
      <c r="H117" s="116" t="s">
        <v>1858</v>
      </c>
      <c r="I117" s="159" t="s">
        <v>1859</v>
      </c>
      <c r="J117" s="159" t="s">
        <v>1860</v>
      </c>
      <c r="K117" s="103" t="b">
        <v>0</v>
      </c>
    </row>
    <row r="118">
      <c r="A118" s="149" t="s">
        <v>1417</v>
      </c>
      <c r="B118" s="152"/>
      <c r="C118" s="152"/>
      <c r="D118" s="149" t="s">
        <v>9</v>
      </c>
      <c r="E118" s="152"/>
      <c r="F118" s="152"/>
      <c r="G118" s="158"/>
      <c r="H118" s="152"/>
      <c r="I118" s="152"/>
      <c r="J118" s="152"/>
      <c r="K118" s="103" t="b">
        <v>0</v>
      </c>
    </row>
    <row r="119">
      <c r="A119" s="149" t="s">
        <v>1429</v>
      </c>
      <c r="B119" s="149" t="s">
        <v>1429</v>
      </c>
      <c r="C119" s="154">
        <v>1000.0</v>
      </c>
      <c r="D119" s="149" t="s">
        <v>21</v>
      </c>
      <c r="E119" s="152"/>
      <c r="F119" s="149">
        <v>15.0</v>
      </c>
      <c r="G119" s="153" t="s">
        <v>1861</v>
      </c>
      <c r="H119" s="149" t="s">
        <v>1862</v>
      </c>
      <c r="I119" s="145" t="s">
        <v>1863</v>
      </c>
      <c r="J119" s="149" t="s">
        <v>1864</v>
      </c>
      <c r="K119" s="103" t="b">
        <v>0</v>
      </c>
    </row>
    <row r="120">
      <c r="A120" s="149" t="s">
        <v>1426</v>
      </c>
      <c r="B120" s="149" t="s">
        <v>1426</v>
      </c>
      <c r="C120" s="149">
        <v>1000.0</v>
      </c>
      <c r="D120" s="149" t="s">
        <v>21</v>
      </c>
      <c r="E120" s="152"/>
      <c r="F120" s="149">
        <v>15.0</v>
      </c>
      <c r="G120" s="153" t="s">
        <v>1865</v>
      </c>
      <c r="H120" s="149" t="s">
        <v>1866</v>
      </c>
      <c r="I120" s="152"/>
      <c r="J120" s="152"/>
      <c r="K120" s="103" t="b">
        <v>0</v>
      </c>
    </row>
    <row r="121">
      <c r="A121" s="149" t="s">
        <v>1433</v>
      </c>
      <c r="B121" s="149" t="s">
        <v>1433</v>
      </c>
      <c r="C121" s="149">
        <v>1000.0</v>
      </c>
      <c r="D121" s="149" t="s">
        <v>21</v>
      </c>
      <c r="E121" s="152"/>
      <c r="F121" s="149">
        <v>15.0</v>
      </c>
      <c r="G121" s="153" t="s">
        <v>1867</v>
      </c>
      <c r="H121" s="160" t="s">
        <v>1868</v>
      </c>
      <c r="I121" s="145" t="s">
        <v>1869</v>
      </c>
      <c r="J121" s="149" t="s">
        <v>1870</v>
      </c>
      <c r="K121" s="103" t="b">
        <v>0</v>
      </c>
    </row>
    <row r="122">
      <c r="A122" s="149" t="s">
        <v>1439</v>
      </c>
      <c r="B122" s="149" t="s">
        <v>1871</v>
      </c>
      <c r="C122" s="152"/>
      <c r="D122" s="149" t="s">
        <v>21</v>
      </c>
      <c r="E122" s="152"/>
      <c r="F122" s="152"/>
      <c r="G122" s="153" t="s">
        <v>1872</v>
      </c>
      <c r="H122" s="149" t="s">
        <v>1873</v>
      </c>
      <c r="I122" s="152"/>
      <c r="J122" s="152"/>
      <c r="K122" s="103" t="b">
        <v>0</v>
      </c>
    </row>
    <row r="123">
      <c r="A123" s="149" t="s">
        <v>1441</v>
      </c>
      <c r="B123" s="149" t="s">
        <v>1441</v>
      </c>
      <c r="C123" s="152"/>
      <c r="D123" s="149" t="s">
        <v>21</v>
      </c>
      <c r="E123" s="152"/>
      <c r="F123" s="152"/>
      <c r="G123" s="153" t="s">
        <v>1874</v>
      </c>
      <c r="H123" s="149" t="s">
        <v>1875</v>
      </c>
      <c r="I123" s="149" t="s">
        <v>1876</v>
      </c>
      <c r="J123" s="152"/>
      <c r="K123" s="103" t="b">
        <v>0</v>
      </c>
    </row>
    <row r="124">
      <c r="A124" s="149" t="s">
        <v>1444</v>
      </c>
      <c r="B124" s="149" t="s">
        <v>1877</v>
      </c>
      <c r="C124" s="152"/>
      <c r="D124" s="149" t="s">
        <v>21</v>
      </c>
      <c r="E124" s="152"/>
      <c r="F124" s="152"/>
      <c r="G124" s="153" t="s">
        <v>1878</v>
      </c>
      <c r="H124" s="149" t="s">
        <v>1879</v>
      </c>
      <c r="I124" s="152"/>
      <c r="J124" s="149" t="s">
        <v>1880</v>
      </c>
      <c r="K124" s="103" t="b">
        <v>0</v>
      </c>
    </row>
    <row r="125" ht="21.0" customHeight="1">
      <c r="A125" s="149" t="s">
        <v>1447</v>
      </c>
      <c r="B125" s="149" t="s">
        <v>1881</v>
      </c>
      <c r="C125" s="149">
        <v>1200.0</v>
      </c>
      <c r="D125" s="149" t="s">
        <v>21</v>
      </c>
      <c r="E125" s="152"/>
      <c r="F125" s="149">
        <v>15.0</v>
      </c>
      <c r="G125" s="153" t="s">
        <v>1882</v>
      </c>
      <c r="H125" s="160" t="s">
        <v>1883</v>
      </c>
      <c r="I125" s="149" t="s">
        <v>1884</v>
      </c>
      <c r="J125" s="149" t="s">
        <v>1885</v>
      </c>
      <c r="K125" s="103" t="b">
        <v>0</v>
      </c>
    </row>
    <row r="126">
      <c r="A126" s="149" t="s">
        <v>1452</v>
      </c>
      <c r="B126" s="149" t="s">
        <v>1452</v>
      </c>
      <c r="C126" s="149">
        <v>1200.0</v>
      </c>
      <c r="D126" s="149" t="s">
        <v>21</v>
      </c>
      <c r="E126" s="152"/>
      <c r="F126" s="149">
        <v>30.0</v>
      </c>
      <c r="G126" s="153" t="s">
        <v>1886</v>
      </c>
      <c r="H126" s="161" t="s">
        <v>1887</v>
      </c>
      <c r="I126" s="145" t="s">
        <v>1888</v>
      </c>
      <c r="J126" s="146" t="s">
        <v>1889</v>
      </c>
      <c r="K126" s="103" t="b">
        <v>0</v>
      </c>
    </row>
    <row r="127">
      <c r="A127" s="149" t="s">
        <v>1454</v>
      </c>
      <c r="B127" s="149" t="s">
        <v>1454</v>
      </c>
      <c r="C127" s="149">
        <v>0.0</v>
      </c>
      <c r="D127" s="149" t="s">
        <v>9</v>
      </c>
      <c r="E127" s="152"/>
      <c r="F127" s="149">
        <v>0.0</v>
      </c>
      <c r="G127" s="153" t="s">
        <v>1890</v>
      </c>
      <c r="H127" s="149" t="s">
        <v>1891</v>
      </c>
      <c r="I127" s="145" t="s">
        <v>1892</v>
      </c>
      <c r="J127" s="149" t="s">
        <v>1893</v>
      </c>
      <c r="K127" s="103" t="b">
        <v>0</v>
      </c>
    </row>
    <row r="128" ht="24.0" customHeight="1">
      <c r="A128" s="149" t="s">
        <v>1460</v>
      </c>
      <c r="B128" s="162" t="s">
        <v>1894</v>
      </c>
      <c r="C128" s="154">
        <v>1500.0</v>
      </c>
      <c r="D128" s="149" t="s">
        <v>21</v>
      </c>
      <c r="E128" s="152"/>
      <c r="F128" s="149">
        <v>15.0</v>
      </c>
      <c r="G128" s="153" t="s">
        <v>1895</v>
      </c>
      <c r="H128" s="161" t="s">
        <v>1896</v>
      </c>
      <c r="I128" s="149" t="s">
        <v>1897</v>
      </c>
      <c r="J128" s="152">
        <f>17786015478</f>
        <v>17786015478</v>
      </c>
      <c r="K128" s="103" t="b">
        <v>0</v>
      </c>
    </row>
    <row r="129">
      <c r="A129" s="149"/>
      <c r="B129" s="149"/>
      <c r="C129" s="152"/>
      <c r="D129" s="152"/>
      <c r="E129" s="152"/>
      <c r="F129" s="152"/>
      <c r="G129" s="158"/>
      <c r="H129" s="152"/>
      <c r="I129" s="152"/>
      <c r="J129" s="152"/>
      <c r="K129" s="103" t="b">
        <v>0</v>
      </c>
    </row>
    <row r="130">
      <c r="A130" s="149" t="s">
        <v>1467</v>
      </c>
      <c r="B130" s="149" t="s">
        <v>1467</v>
      </c>
      <c r="C130" s="149">
        <v>1000.0</v>
      </c>
      <c r="D130" s="149" t="s">
        <v>21</v>
      </c>
      <c r="E130" s="152"/>
      <c r="F130" s="149">
        <v>30.0</v>
      </c>
      <c r="G130" s="153" t="s">
        <v>1898</v>
      </c>
      <c r="H130" s="160" t="s">
        <v>1899</v>
      </c>
      <c r="I130" s="149" t="s">
        <v>1900</v>
      </c>
      <c r="J130" s="152"/>
      <c r="K130" s="103" t="b">
        <v>0</v>
      </c>
    </row>
    <row r="131">
      <c r="A131" s="149" t="s">
        <v>1473</v>
      </c>
      <c r="B131" s="149" t="s">
        <v>1901</v>
      </c>
      <c r="C131" s="154">
        <v>8000.0</v>
      </c>
      <c r="D131" s="149" t="s">
        <v>21</v>
      </c>
      <c r="E131" s="152"/>
      <c r="F131" s="149">
        <v>30.0</v>
      </c>
      <c r="G131" s="153" t="s">
        <v>1902</v>
      </c>
      <c r="H131" s="149" t="s">
        <v>1903</v>
      </c>
      <c r="I131" s="149" t="s">
        <v>1904</v>
      </c>
      <c r="J131" s="149" t="s">
        <v>1905</v>
      </c>
      <c r="K131" s="103" t="b">
        <v>0</v>
      </c>
    </row>
    <row r="132">
      <c r="A132" s="149" t="s">
        <v>1475</v>
      </c>
      <c r="B132" s="149" t="s">
        <v>1906</v>
      </c>
      <c r="C132" s="154">
        <v>1500.0</v>
      </c>
      <c r="D132" s="149" t="s">
        <v>21</v>
      </c>
      <c r="E132" s="152"/>
      <c r="F132" s="149">
        <v>15.0</v>
      </c>
      <c r="G132" s="153" t="s">
        <v>1907</v>
      </c>
      <c r="H132" s="160" t="s">
        <v>1908</v>
      </c>
      <c r="I132" s="149" t="s">
        <v>1909</v>
      </c>
      <c r="J132" s="152">
        <f>17784260833</f>
        <v>17784260833</v>
      </c>
      <c r="K132" s="103" t="b">
        <v>0</v>
      </c>
    </row>
    <row r="133">
      <c r="A133" s="149" t="s">
        <v>1478</v>
      </c>
      <c r="B133" s="149" t="s">
        <v>1910</v>
      </c>
      <c r="C133" s="149">
        <v>0.0</v>
      </c>
      <c r="D133" s="149" t="s">
        <v>21</v>
      </c>
      <c r="E133" s="152"/>
      <c r="F133" s="149">
        <v>30.0</v>
      </c>
      <c r="G133" s="153" t="s">
        <v>1911</v>
      </c>
      <c r="H133" s="149" t="s">
        <v>1912</v>
      </c>
      <c r="I133" s="149" t="s">
        <v>1913</v>
      </c>
      <c r="J133" s="152"/>
      <c r="K133" s="103" t="b">
        <v>0</v>
      </c>
    </row>
    <row r="134">
      <c r="A134" s="149" t="s">
        <v>1481</v>
      </c>
      <c r="B134" s="149" t="s">
        <v>1481</v>
      </c>
      <c r="C134" s="152"/>
      <c r="D134" s="149" t="s">
        <v>9</v>
      </c>
      <c r="E134" s="152"/>
      <c r="F134" s="152"/>
      <c r="G134" s="153" t="s">
        <v>1914</v>
      </c>
      <c r="H134" s="149" t="s">
        <v>1915</v>
      </c>
      <c r="I134" s="152"/>
      <c r="J134" s="152"/>
      <c r="K134" s="103" t="b">
        <v>0</v>
      </c>
    </row>
    <row r="135">
      <c r="A135" s="149" t="s">
        <v>1483</v>
      </c>
      <c r="B135" s="149" t="s">
        <v>1483</v>
      </c>
      <c r="C135" s="149"/>
      <c r="D135" s="149" t="s">
        <v>9</v>
      </c>
      <c r="E135" s="152"/>
      <c r="F135" s="149">
        <v>15.0</v>
      </c>
      <c r="G135" s="153" t="s">
        <v>1916</v>
      </c>
      <c r="H135" s="161" t="s">
        <v>1917</v>
      </c>
      <c r="I135" s="149" t="s">
        <v>1918</v>
      </c>
      <c r="J135" s="149" t="s">
        <v>1919</v>
      </c>
      <c r="K135" s="103" t="b">
        <v>0</v>
      </c>
    </row>
    <row r="136">
      <c r="A136" s="149" t="s">
        <v>1485</v>
      </c>
      <c r="B136" s="149" t="s">
        <v>1483</v>
      </c>
      <c r="C136" s="152"/>
      <c r="D136" s="149" t="s">
        <v>9</v>
      </c>
      <c r="E136" s="152"/>
      <c r="F136" s="149">
        <v>15.0</v>
      </c>
      <c r="G136" s="153" t="s">
        <v>1916</v>
      </c>
      <c r="H136" s="161" t="s">
        <v>1917</v>
      </c>
      <c r="I136" s="149" t="s">
        <v>1918</v>
      </c>
      <c r="J136" s="149" t="s">
        <v>1919</v>
      </c>
      <c r="K136" s="103" t="b">
        <v>0</v>
      </c>
    </row>
    <row r="137">
      <c r="A137" s="149" t="s">
        <v>1487</v>
      </c>
      <c r="B137" s="149" t="s">
        <v>1487</v>
      </c>
      <c r="C137" s="152"/>
      <c r="D137" s="149" t="s">
        <v>21</v>
      </c>
      <c r="E137" s="152"/>
      <c r="F137" s="149">
        <v>15.0</v>
      </c>
      <c r="G137" s="153" t="s">
        <v>1920</v>
      </c>
      <c r="H137" s="161" t="s">
        <v>1921</v>
      </c>
      <c r="I137" s="163" t="s">
        <v>1922</v>
      </c>
      <c r="J137" s="164" t="s">
        <v>1923</v>
      </c>
      <c r="K137" s="103" t="b">
        <v>0</v>
      </c>
    </row>
    <row r="138">
      <c r="A138" s="149" t="s">
        <v>1491</v>
      </c>
      <c r="B138" s="149" t="s">
        <v>1924</v>
      </c>
      <c r="C138" s="149"/>
      <c r="D138" s="149" t="s">
        <v>9</v>
      </c>
      <c r="E138" s="152"/>
      <c r="F138" s="152"/>
      <c r="G138" s="153" t="s">
        <v>1491</v>
      </c>
      <c r="H138" s="149" t="s">
        <v>1925</v>
      </c>
      <c r="I138" s="152"/>
      <c r="J138" s="152"/>
      <c r="K138" s="103" t="b">
        <v>0</v>
      </c>
    </row>
    <row r="139">
      <c r="A139" s="149" t="s">
        <v>1493</v>
      </c>
      <c r="B139" s="149" t="s">
        <v>1926</v>
      </c>
      <c r="C139" s="152"/>
      <c r="D139" s="149" t="s">
        <v>9</v>
      </c>
      <c r="E139" s="152"/>
      <c r="F139" s="152"/>
      <c r="G139" s="153" t="s">
        <v>1927</v>
      </c>
      <c r="H139" s="149" t="s">
        <v>1928</v>
      </c>
      <c r="I139" s="149" t="s">
        <v>1929</v>
      </c>
      <c r="J139" s="149" t="s">
        <v>1930</v>
      </c>
      <c r="K139" s="103" t="b">
        <v>0</v>
      </c>
    </row>
    <row r="140">
      <c r="A140" s="149" t="s">
        <v>1495</v>
      </c>
      <c r="B140" s="149" t="s">
        <v>1495</v>
      </c>
      <c r="C140" s="154">
        <v>1500.0</v>
      </c>
      <c r="D140" s="149" t="s">
        <v>21</v>
      </c>
      <c r="E140" s="152"/>
      <c r="F140" s="149" t="s">
        <v>1931</v>
      </c>
      <c r="G140" s="153" t="s">
        <v>1932</v>
      </c>
      <c r="H140" s="165" t="s">
        <v>1933</v>
      </c>
      <c r="I140" s="149" t="s">
        <v>1934</v>
      </c>
      <c r="J140" s="146" t="s">
        <v>1935</v>
      </c>
      <c r="K140" s="103" t="b">
        <v>0</v>
      </c>
    </row>
    <row r="141">
      <c r="A141" s="149" t="s">
        <v>1501</v>
      </c>
      <c r="B141" s="149" t="s">
        <v>1471</v>
      </c>
      <c r="C141" s="149">
        <v>1399.0</v>
      </c>
      <c r="D141" s="149" t="s">
        <v>21</v>
      </c>
      <c r="E141" s="152"/>
      <c r="F141" s="152"/>
      <c r="G141" s="153" t="s">
        <v>1936</v>
      </c>
      <c r="H141" s="149" t="s">
        <v>1937</v>
      </c>
      <c r="I141" s="149" t="s">
        <v>1938</v>
      </c>
      <c r="J141" s="149" t="s">
        <v>1939</v>
      </c>
      <c r="K141" s="103" t="b">
        <v>0</v>
      </c>
    </row>
    <row r="142">
      <c r="A142" s="149" t="s">
        <v>1507</v>
      </c>
      <c r="B142" s="149" t="s">
        <v>1940</v>
      </c>
      <c r="C142" s="149">
        <v>0.0</v>
      </c>
      <c r="D142" s="149" t="s">
        <v>21</v>
      </c>
      <c r="E142" s="152"/>
      <c r="F142" s="149">
        <v>15.0</v>
      </c>
      <c r="G142" s="153" t="s">
        <v>1941</v>
      </c>
      <c r="H142" s="149" t="s">
        <v>1942</v>
      </c>
      <c r="I142" s="149" t="s">
        <v>1943</v>
      </c>
      <c r="J142" s="149" t="s">
        <v>1944</v>
      </c>
      <c r="K142" s="103" t="b">
        <v>0</v>
      </c>
    </row>
    <row r="143">
      <c r="A143" s="149" t="s">
        <v>1511</v>
      </c>
      <c r="B143" s="149" t="s">
        <v>1511</v>
      </c>
      <c r="C143" s="149">
        <v>0.0</v>
      </c>
      <c r="D143" s="149" t="s">
        <v>9</v>
      </c>
      <c r="E143" s="152"/>
      <c r="F143" s="149">
        <v>0.0</v>
      </c>
      <c r="G143" s="153" t="s">
        <v>1945</v>
      </c>
      <c r="H143" s="160" t="s">
        <v>1946</v>
      </c>
      <c r="I143" s="145" t="s">
        <v>1947</v>
      </c>
      <c r="J143" s="149" t="s">
        <v>1948</v>
      </c>
      <c r="K143" s="103" t="b">
        <v>0</v>
      </c>
    </row>
    <row r="144">
      <c r="A144" s="149" t="s">
        <v>1516</v>
      </c>
      <c r="B144" s="152"/>
      <c r="C144" s="152"/>
      <c r="D144" s="149" t="s">
        <v>21</v>
      </c>
      <c r="E144" s="152"/>
      <c r="F144" s="152"/>
      <c r="G144" s="153" t="s">
        <v>1949</v>
      </c>
      <c r="H144" s="149" t="s">
        <v>1950</v>
      </c>
      <c r="I144" s="149" t="s">
        <v>1951</v>
      </c>
      <c r="J144" s="149" t="s">
        <v>1952</v>
      </c>
      <c r="K144" s="103" t="b">
        <v>0</v>
      </c>
    </row>
    <row r="145">
      <c r="A145" s="149" t="s">
        <v>1520</v>
      </c>
      <c r="B145" s="149" t="s">
        <v>1520</v>
      </c>
      <c r="C145" s="152"/>
      <c r="D145" s="149" t="s">
        <v>9</v>
      </c>
      <c r="E145" s="152"/>
      <c r="F145" s="152"/>
      <c r="G145" s="153" t="s">
        <v>1953</v>
      </c>
      <c r="H145" s="149" t="s">
        <v>1954</v>
      </c>
      <c r="I145" s="65" t="s">
        <v>1955</v>
      </c>
      <c r="J145" s="65" t="s">
        <v>1956</v>
      </c>
      <c r="K145" s="103" t="b">
        <v>0</v>
      </c>
    </row>
    <row r="146">
      <c r="A146" s="149" t="s">
        <v>1532</v>
      </c>
      <c r="B146" s="149" t="s">
        <v>1532</v>
      </c>
      <c r="C146" s="149">
        <v>0.0</v>
      </c>
      <c r="D146" s="149" t="s">
        <v>9</v>
      </c>
      <c r="E146" s="152"/>
      <c r="F146" s="149">
        <v>15.0</v>
      </c>
      <c r="G146" s="153" t="s">
        <v>1957</v>
      </c>
      <c r="H146" s="149" t="s">
        <v>1958</v>
      </c>
      <c r="I146" s="145" t="s">
        <v>1959</v>
      </c>
      <c r="J146" s="149" t="s">
        <v>1960</v>
      </c>
      <c r="K146" s="103" t="b">
        <v>0</v>
      </c>
    </row>
    <row r="147">
      <c r="A147" s="149" t="s">
        <v>1540</v>
      </c>
      <c r="B147" s="149" t="s">
        <v>1540</v>
      </c>
      <c r="C147" s="149">
        <v>1000.0</v>
      </c>
      <c r="D147" s="149" t="s">
        <v>9</v>
      </c>
      <c r="E147" s="152"/>
      <c r="F147" s="149">
        <v>15.0</v>
      </c>
      <c r="G147" s="153" t="s">
        <v>1833</v>
      </c>
      <c r="H147" s="149" t="s">
        <v>1961</v>
      </c>
      <c r="I147" s="149" t="s">
        <v>1835</v>
      </c>
      <c r="J147" s="149" t="s">
        <v>1836</v>
      </c>
      <c r="K147" s="103" t="b">
        <v>0</v>
      </c>
    </row>
    <row r="148">
      <c r="A148" s="149" t="s">
        <v>1547</v>
      </c>
      <c r="B148" s="149" t="s">
        <v>1962</v>
      </c>
      <c r="C148" s="149">
        <v>1500.0</v>
      </c>
      <c r="D148" s="149" t="s">
        <v>9</v>
      </c>
      <c r="E148" s="152"/>
      <c r="F148" s="152"/>
      <c r="G148" s="153" t="s">
        <v>1963</v>
      </c>
      <c r="H148" s="149" t="s">
        <v>1964</v>
      </c>
      <c r="I148" s="149" t="s">
        <v>1965</v>
      </c>
      <c r="J148" s="152"/>
      <c r="K148" s="103" t="b">
        <v>0</v>
      </c>
    </row>
    <row r="149">
      <c r="A149" s="134" t="s">
        <v>1545</v>
      </c>
      <c r="B149" s="134" t="s">
        <v>1545</v>
      </c>
      <c r="C149" s="134">
        <v>0.0</v>
      </c>
      <c r="D149" s="134" t="s">
        <v>9</v>
      </c>
      <c r="E149" s="134"/>
      <c r="F149" s="134">
        <v>30.0</v>
      </c>
      <c r="G149" s="136"/>
      <c r="H149" s="134" t="s">
        <v>1734</v>
      </c>
      <c r="I149" s="135" t="s">
        <v>1735</v>
      </c>
      <c r="J149" s="135" t="s">
        <v>1736</v>
      </c>
      <c r="K149" s="103" t="b">
        <v>0</v>
      </c>
    </row>
    <row r="150">
      <c r="A150" s="149" t="s">
        <v>1549</v>
      </c>
      <c r="B150" s="149" t="s">
        <v>1549</v>
      </c>
      <c r="C150" s="149">
        <v>1500.0</v>
      </c>
      <c r="D150" s="134" t="s">
        <v>9</v>
      </c>
      <c r="E150" s="152"/>
      <c r="F150" s="152"/>
      <c r="G150" s="153" t="s">
        <v>1966</v>
      </c>
      <c r="H150" s="149" t="s">
        <v>1967</v>
      </c>
      <c r="I150" s="149" t="s">
        <v>1968</v>
      </c>
      <c r="J150" s="152"/>
      <c r="K150" s="103" t="b">
        <v>0</v>
      </c>
    </row>
    <row r="151">
      <c r="A151" s="152"/>
      <c r="B151" s="152"/>
      <c r="C151" s="152"/>
      <c r="D151" s="152"/>
      <c r="E151" s="152"/>
      <c r="F151" s="152"/>
      <c r="G151" s="153"/>
      <c r="H151" s="152"/>
      <c r="I151" s="152"/>
      <c r="J151" s="149" t="s">
        <v>1969</v>
      </c>
      <c r="K151" s="103" t="b">
        <v>0</v>
      </c>
    </row>
    <row r="152">
      <c r="A152" s="152"/>
      <c r="B152" s="152"/>
      <c r="C152" s="152"/>
      <c r="D152" s="152"/>
      <c r="E152" s="152"/>
      <c r="F152" s="152"/>
      <c r="G152" s="158"/>
      <c r="H152" s="152"/>
      <c r="I152" s="152"/>
      <c r="J152" s="152"/>
      <c r="K152" s="103" t="b">
        <v>0</v>
      </c>
    </row>
    <row r="153">
      <c r="A153" s="152"/>
      <c r="B153" s="152"/>
      <c r="C153" s="152"/>
      <c r="D153" s="152"/>
      <c r="E153" s="152"/>
      <c r="F153" s="152"/>
      <c r="G153" s="158"/>
      <c r="H153" s="152"/>
      <c r="I153" s="152"/>
      <c r="J153" s="152"/>
      <c r="K153" s="103" t="b">
        <v>0</v>
      </c>
    </row>
    <row r="154">
      <c r="A154" s="152"/>
      <c r="B154" s="152"/>
      <c r="C154" s="152"/>
      <c r="D154" s="152"/>
      <c r="E154" s="152"/>
      <c r="F154" s="152"/>
      <c r="G154" s="158"/>
      <c r="H154" s="152"/>
      <c r="I154" s="152"/>
      <c r="J154" s="152"/>
      <c r="K154" s="103" t="b">
        <v>0</v>
      </c>
    </row>
    <row r="155">
      <c r="A155" s="152"/>
      <c r="B155" s="152"/>
      <c r="C155" s="152"/>
      <c r="D155" s="152"/>
      <c r="E155" s="152"/>
      <c r="F155" s="152"/>
      <c r="G155" s="158"/>
      <c r="H155" s="152"/>
      <c r="I155" s="152"/>
      <c r="J155" s="152"/>
      <c r="K155" s="103" t="b">
        <v>0</v>
      </c>
    </row>
    <row r="156">
      <c r="A156" s="152"/>
      <c r="B156" s="152"/>
      <c r="C156" s="152"/>
      <c r="D156" s="152"/>
      <c r="E156" s="152"/>
      <c r="F156" s="152"/>
      <c r="G156" s="158"/>
      <c r="H156" s="152"/>
      <c r="I156" s="152"/>
      <c r="J156" s="152"/>
      <c r="K156" s="103" t="b">
        <v>0</v>
      </c>
    </row>
    <row r="157">
      <c r="A157" s="152"/>
      <c r="B157" s="152"/>
      <c r="C157" s="152"/>
      <c r="D157" s="152"/>
      <c r="E157" s="152"/>
      <c r="F157" s="152"/>
      <c r="G157" s="158"/>
      <c r="H157" s="152"/>
      <c r="I157" s="152"/>
      <c r="J157" s="152"/>
      <c r="K157" s="103" t="b">
        <v>0</v>
      </c>
    </row>
    <row r="158">
      <c r="A158" s="152"/>
      <c r="B158" s="152"/>
      <c r="C158" s="152"/>
      <c r="D158" s="152"/>
      <c r="E158" s="152"/>
      <c r="F158" s="152"/>
      <c r="G158" s="158"/>
      <c r="H158" s="152"/>
      <c r="I158" s="152"/>
      <c r="J158" s="152"/>
      <c r="K158" s="103" t="b">
        <v>0</v>
      </c>
    </row>
    <row r="159">
      <c r="A159" s="152"/>
      <c r="B159" s="152"/>
      <c r="C159" s="152"/>
      <c r="D159" s="152"/>
      <c r="E159" s="152"/>
      <c r="F159" s="152"/>
      <c r="G159" s="158"/>
      <c r="H159" s="152"/>
      <c r="I159" s="152"/>
      <c r="J159" s="152"/>
      <c r="K159" s="103" t="b">
        <v>0</v>
      </c>
    </row>
    <row r="160">
      <c r="A160" s="152"/>
      <c r="B160" s="152"/>
      <c r="C160" s="152"/>
      <c r="D160" s="152"/>
      <c r="E160" s="152"/>
      <c r="F160" s="152"/>
      <c r="G160" s="158"/>
      <c r="H160" s="152"/>
      <c r="I160" s="152"/>
      <c r="J160" s="152"/>
      <c r="K160" s="103" t="b">
        <v>0</v>
      </c>
    </row>
    <row r="161">
      <c r="A161" s="152"/>
      <c r="B161" s="152"/>
      <c r="C161" s="152"/>
      <c r="D161" s="152"/>
      <c r="E161" s="152"/>
      <c r="F161" s="152"/>
      <c r="G161" s="158"/>
      <c r="H161" s="152"/>
      <c r="I161" s="152"/>
      <c r="J161" s="152"/>
      <c r="K161" s="103" t="b">
        <v>0</v>
      </c>
    </row>
    <row r="162">
      <c r="A162" s="152"/>
      <c r="B162" s="152"/>
      <c r="C162" s="152"/>
      <c r="D162" s="152"/>
      <c r="E162" s="152"/>
      <c r="F162" s="152"/>
      <c r="G162" s="158"/>
      <c r="H162" s="152"/>
      <c r="I162" s="152"/>
      <c r="J162" s="152"/>
      <c r="K162" s="103" t="b">
        <v>0</v>
      </c>
    </row>
    <row r="163">
      <c r="A163" s="152"/>
      <c r="B163" s="152"/>
      <c r="C163" s="152"/>
      <c r="D163" s="152"/>
      <c r="E163" s="152"/>
      <c r="F163" s="152"/>
      <c r="G163" s="158"/>
      <c r="H163" s="152"/>
      <c r="I163" s="152"/>
      <c r="J163" s="152"/>
      <c r="K163" s="103" t="b">
        <v>0</v>
      </c>
    </row>
    <row r="164">
      <c r="A164" s="152"/>
      <c r="B164" s="152"/>
      <c r="C164" s="152"/>
      <c r="D164" s="152"/>
      <c r="E164" s="152"/>
      <c r="F164" s="152"/>
      <c r="G164" s="158"/>
      <c r="H164" s="152"/>
      <c r="I164" s="152"/>
      <c r="J164" s="152"/>
      <c r="K164" s="103" t="b">
        <v>0</v>
      </c>
    </row>
    <row r="165">
      <c r="A165" s="152"/>
      <c r="B165" s="152"/>
      <c r="C165" s="152"/>
      <c r="D165" s="152"/>
      <c r="E165" s="152"/>
      <c r="F165" s="152"/>
      <c r="G165" s="158"/>
      <c r="H165" s="152"/>
      <c r="I165" s="152"/>
      <c r="J165" s="152"/>
      <c r="K165" s="103" t="b">
        <v>0</v>
      </c>
    </row>
    <row r="166">
      <c r="A166" s="152"/>
      <c r="B166" s="152"/>
      <c r="C166" s="152"/>
      <c r="D166" s="152"/>
      <c r="E166" s="152"/>
      <c r="F166" s="152"/>
      <c r="G166" s="158"/>
      <c r="H166" s="152"/>
      <c r="I166" s="152"/>
      <c r="J166" s="152"/>
      <c r="K166" s="103" t="b">
        <v>0</v>
      </c>
    </row>
    <row r="167">
      <c r="A167" s="152"/>
      <c r="B167" s="152"/>
      <c r="C167" s="152"/>
      <c r="D167" s="152"/>
      <c r="E167" s="152"/>
      <c r="F167" s="152"/>
      <c r="G167" s="158"/>
      <c r="H167" s="152"/>
      <c r="I167" s="152"/>
      <c r="J167" s="152"/>
      <c r="K167" s="103" t="b">
        <v>0</v>
      </c>
    </row>
    <row r="168">
      <c r="A168" s="152"/>
      <c r="B168" s="152"/>
      <c r="C168" s="152"/>
      <c r="D168" s="152"/>
      <c r="E168" s="152"/>
      <c r="F168" s="152"/>
      <c r="G168" s="158"/>
      <c r="H168" s="152"/>
      <c r="I168" s="152"/>
      <c r="J168" s="152"/>
      <c r="K168" s="103" t="b">
        <v>0</v>
      </c>
    </row>
    <row r="169">
      <c r="A169" s="152"/>
      <c r="B169" s="152"/>
      <c r="C169" s="152"/>
      <c r="D169" s="152"/>
      <c r="E169" s="152"/>
      <c r="F169" s="152"/>
      <c r="G169" s="158"/>
      <c r="H169" s="152"/>
      <c r="I169" s="152"/>
      <c r="J169" s="152"/>
      <c r="K169" s="103" t="b">
        <v>0</v>
      </c>
    </row>
    <row r="170">
      <c r="A170" s="152"/>
      <c r="B170" s="152"/>
      <c r="C170" s="152"/>
      <c r="D170" s="152"/>
      <c r="E170" s="152"/>
      <c r="F170" s="152"/>
      <c r="G170" s="158"/>
      <c r="H170" s="152"/>
      <c r="I170" s="152"/>
      <c r="J170" s="152"/>
      <c r="K170" s="103" t="b">
        <v>0</v>
      </c>
    </row>
    <row r="171">
      <c r="A171" s="152"/>
      <c r="B171" s="152"/>
      <c r="C171" s="152"/>
      <c r="D171" s="152"/>
      <c r="E171" s="152"/>
      <c r="F171" s="152"/>
      <c r="G171" s="158"/>
      <c r="H171" s="152"/>
      <c r="I171" s="152"/>
      <c r="J171" s="152"/>
      <c r="K171" s="103" t="b">
        <v>0</v>
      </c>
    </row>
    <row r="172">
      <c r="A172" s="152"/>
      <c r="B172" s="152"/>
      <c r="C172" s="152"/>
      <c r="D172" s="152"/>
      <c r="E172" s="152"/>
      <c r="F172" s="152"/>
      <c r="G172" s="158"/>
      <c r="H172" s="152"/>
      <c r="I172" s="152"/>
      <c r="J172" s="152"/>
      <c r="K172" s="103" t="b">
        <v>0</v>
      </c>
    </row>
    <row r="173">
      <c r="A173" s="152"/>
      <c r="B173" s="152"/>
      <c r="C173" s="152"/>
      <c r="D173" s="152"/>
      <c r="E173" s="152"/>
      <c r="F173" s="152"/>
      <c r="G173" s="158"/>
      <c r="H173" s="152"/>
      <c r="I173" s="152"/>
      <c r="J173" s="152"/>
      <c r="K173" s="103" t="b">
        <v>0</v>
      </c>
    </row>
    <row r="174">
      <c r="A174" s="152"/>
      <c r="B174" s="152"/>
      <c r="C174" s="152"/>
      <c r="D174" s="152"/>
      <c r="E174" s="152"/>
      <c r="F174" s="152"/>
      <c r="G174" s="158"/>
      <c r="H174" s="152"/>
      <c r="I174" s="152"/>
      <c r="J174" s="152"/>
      <c r="K174" s="103" t="b">
        <v>0</v>
      </c>
    </row>
    <row r="175">
      <c r="A175" s="152"/>
      <c r="B175" s="152"/>
      <c r="C175" s="152"/>
      <c r="D175" s="152"/>
      <c r="E175" s="152"/>
      <c r="F175" s="152"/>
      <c r="G175" s="158"/>
      <c r="H175" s="152"/>
      <c r="I175" s="152"/>
      <c r="J175" s="152"/>
      <c r="K175" s="103" t="b">
        <v>0</v>
      </c>
    </row>
    <row r="176">
      <c r="A176" s="152"/>
      <c r="B176" s="152"/>
      <c r="C176" s="152"/>
      <c r="D176" s="152"/>
      <c r="E176" s="152"/>
      <c r="F176" s="152"/>
      <c r="G176" s="158"/>
      <c r="H176" s="152"/>
      <c r="I176" s="152"/>
      <c r="J176" s="152"/>
      <c r="K176" s="103" t="b">
        <v>0</v>
      </c>
    </row>
    <row r="177">
      <c r="A177" s="152"/>
      <c r="B177" s="152"/>
      <c r="C177" s="152"/>
      <c r="D177" s="152"/>
      <c r="E177" s="152"/>
      <c r="F177" s="152"/>
      <c r="G177" s="158"/>
      <c r="H177" s="152"/>
      <c r="I177" s="152"/>
      <c r="J177" s="152"/>
      <c r="K177" s="103" t="b">
        <v>0</v>
      </c>
    </row>
    <row r="178">
      <c r="A178" s="152"/>
      <c r="B178" s="152"/>
      <c r="C178" s="152"/>
      <c r="D178" s="152"/>
      <c r="E178" s="152"/>
      <c r="F178" s="152"/>
      <c r="G178" s="158"/>
      <c r="H178" s="152"/>
      <c r="I178" s="152"/>
      <c r="J178" s="152"/>
      <c r="K178" s="103" t="b">
        <v>0</v>
      </c>
    </row>
    <row r="179">
      <c r="A179" s="152"/>
      <c r="B179" s="152"/>
      <c r="C179" s="152"/>
      <c r="D179" s="152"/>
      <c r="E179" s="152"/>
      <c r="F179" s="152"/>
      <c r="G179" s="158"/>
      <c r="H179" s="152"/>
      <c r="I179" s="152"/>
      <c r="J179" s="152"/>
      <c r="K179" s="103" t="b">
        <v>0</v>
      </c>
    </row>
    <row r="180">
      <c r="A180" s="152"/>
      <c r="B180" s="152"/>
      <c r="C180" s="152"/>
      <c r="D180" s="152"/>
      <c r="E180" s="152"/>
      <c r="F180" s="152"/>
      <c r="G180" s="158"/>
      <c r="H180" s="152"/>
      <c r="I180" s="152"/>
      <c r="J180" s="152"/>
      <c r="K180" s="103" t="b">
        <v>0</v>
      </c>
    </row>
    <row r="181">
      <c r="A181" s="152"/>
      <c r="B181" s="152"/>
      <c r="C181" s="152"/>
      <c r="D181" s="152"/>
      <c r="E181" s="152"/>
      <c r="F181" s="152"/>
      <c r="G181" s="158"/>
      <c r="H181" s="152"/>
      <c r="I181" s="152"/>
      <c r="J181" s="152"/>
      <c r="K181" s="103" t="b">
        <v>0</v>
      </c>
    </row>
    <row r="182">
      <c r="A182" s="152"/>
      <c r="B182" s="152"/>
      <c r="C182" s="152"/>
      <c r="D182" s="152"/>
      <c r="E182" s="152"/>
      <c r="F182" s="152"/>
      <c r="G182" s="158"/>
      <c r="H182" s="152"/>
      <c r="I182" s="152"/>
      <c r="J182" s="152"/>
      <c r="K182" s="103" t="b">
        <v>0</v>
      </c>
    </row>
    <row r="183">
      <c r="A183" s="152"/>
      <c r="B183" s="152"/>
      <c r="C183" s="152"/>
      <c r="D183" s="152"/>
      <c r="E183" s="152"/>
      <c r="F183" s="152"/>
      <c r="G183" s="158"/>
      <c r="H183" s="152"/>
      <c r="I183" s="152"/>
      <c r="J183" s="152"/>
      <c r="K183" s="103" t="b">
        <v>0</v>
      </c>
    </row>
    <row r="184">
      <c r="A184" s="152"/>
      <c r="B184" s="152"/>
      <c r="C184" s="152"/>
      <c r="D184" s="152"/>
      <c r="E184" s="152"/>
      <c r="F184" s="152"/>
      <c r="G184" s="158"/>
      <c r="H184" s="152"/>
      <c r="I184" s="152"/>
      <c r="J184" s="152"/>
      <c r="K184" s="103" t="b">
        <v>0</v>
      </c>
    </row>
    <row r="185">
      <c r="A185" s="152"/>
      <c r="B185" s="152"/>
      <c r="C185" s="152"/>
      <c r="D185" s="152"/>
      <c r="E185" s="152"/>
      <c r="F185" s="152"/>
      <c r="G185" s="158"/>
      <c r="H185" s="152"/>
      <c r="I185" s="152"/>
      <c r="J185" s="152"/>
      <c r="K185" s="103" t="b">
        <v>0</v>
      </c>
    </row>
    <row r="186">
      <c r="A186" s="152"/>
      <c r="B186" s="152"/>
      <c r="C186" s="152"/>
      <c r="D186" s="152"/>
      <c r="E186" s="152"/>
      <c r="F186" s="152"/>
      <c r="G186" s="158"/>
      <c r="H186" s="152"/>
      <c r="I186" s="152"/>
      <c r="J186" s="152"/>
      <c r="K186" s="103" t="b">
        <v>0</v>
      </c>
    </row>
    <row r="187">
      <c r="A187" s="152"/>
      <c r="B187" s="152"/>
      <c r="C187" s="152"/>
      <c r="D187" s="152"/>
      <c r="E187" s="152"/>
      <c r="F187" s="152"/>
      <c r="G187" s="158"/>
      <c r="H187" s="152"/>
      <c r="I187" s="152"/>
      <c r="J187" s="152"/>
      <c r="K187" s="103" t="b">
        <v>0</v>
      </c>
    </row>
    <row r="188">
      <c r="A188" s="152"/>
      <c r="B188" s="152"/>
      <c r="C188" s="152"/>
      <c r="D188" s="152"/>
      <c r="E188" s="152"/>
      <c r="F188" s="152"/>
      <c r="G188" s="158"/>
      <c r="H188" s="152"/>
      <c r="I188" s="152"/>
      <c r="J188" s="152"/>
      <c r="K188" s="103" t="b">
        <v>0</v>
      </c>
    </row>
    <row r="189">
      <c r="A189" s="152"/>
      <c r="B189" s="152"/>
      <c r="C189" s="152"/>
      <c r="D189" s="152"/>
      <c r="E189" s="152"/>
      <c r="F189" s="152"/>
      <c r="G189" s="158"/>
      <c r="H189" s="152"/>
      <c r="I189" s="152"/>
      <c r="J189" s="152"/>
      <c r="K189" s="103" t="b">
        <v>0</v>
      </c>
    </row>
    <row r="190">
      <c r="A190" s="152"/>
      <c r="B190" s="152"/>
      <c r="C190" s="152"/>
      <c r="D190" s="152"/>
      <c r="E190" s="152"/>
      <c r="F190" s="152"/>
      <c r="G190" s="158"/>
      <c r="H190" s="152"/>
      <c r="I190" s="152"/>
      <c r="J190" s="152"/>
      <c r="K190" s="103" t="b">
        <v>0</v>
      </c>
    </row>
    <row r="191">
      <c r="A191" s="152"/>
      <c r="B191" s="152"/>
      <c r="C191" s="152"/>
      <c r="D191" s="152"/>
      <c r="E191" s="152"/>
      <c r="F191" s="152"/>
      <c r="G191" s="158"/>
      <c r="H191" s="152"/>
      <c r="I191" s="152"/>
      <c r="J191" s="152"/>
      <c r="K191" s="103" t="b">
        <v>0</v>
      </c>
    </row>
    <row r="192">
      <c r="A192" s="152"/>
      <c r="B192" s="152"/>
      <c r="C192" s="152"/>
      <c r="D192" s="152"/>
      <c r="E192" s="152"/>
      <c r="F192" s="152"/>
      <c r="G192" s="158"/>
      <c r="H192" s="152"/>
      <c r="I192" s="152"/>
      <c r="J192" s="152"/>
      <c r="K192" s="103" t="b">
        <v>0</v>
      </c>
    </row>
    <row r="193">
      <c r="A193" s="152"/>
      <c r="B193" s="152"/>
      <c r="C193" s="152"/>
      <c r="D193" s="152"/>
      <c r="E193" s="152"/>
      <c r="F193" s="152"/>
      <c r="G193" s="158"/>
      <c r="H193" s="152"/>
      <c r="I193" s="152"/>
      <c r="J193" s="152"/>
      <c r="K193" s="103" t="b">
        <v>0</v>
      </c>
    </row>
    <row r="194">
      <c r="A194" s="152"/>
      <c r="B194" s="152"/>
      <c r="C194" s="152"/>
      <c r="D194" s="152"/>
      <c r="E194" s="152"/>
      <c r="F194" s="152"/>
      <c r="G194" s="158"/>
      <c r="H194" s="152"/>
      <c r="I194" s="152"/>
      <c r="J194" s="152"/>
      <c r="K194" s="103" t="b">
        <v>0</v>
      </c>
    </row>
    <row r="195">
      <c r="A195" s="152"/>
      <c r="B195" s="152"/>
      <c r="C195" s="152"/>
      <c r="D195" s="152"/>
      <c r="E195" s="152"/>
      <c r="F195" s="152"/>
      <c r="G195" s="158"/>
      <c r="H195" s="152"/>
      <c r="I195" s="152"/>
      <c r="J195" s="152"/>
      <c r="K195" s="103" t="b">
        <v>0</v>
      </c>
    </row>
    <row r="196">
      <c r="A196" s="152"/>
      <c r="B196" s="152"/>
      <c r="C196" s="152"/>
      <c r="D196" s="152"/>
      <c r="E196" s="152"/>
      <c r="F196" s="152"/>
      <c r="G196" s="158"/>
      <c r="H196" s="152"/>
      <c r="I196" s="152"/>
      <c r="J196" s="152"/>
      <c r="K196" s="103" t="b">
        <v>0</v>
      </c>
    </row>
    <row r="197">
      <c r="A197" s="152"/>
      <c r="B197" s="152"/>
      <c r="C197" s="152"/>
      <c r="D197" s="152"/>
      <c r="E197" s="152"/>
      <c r="F197" s="152"/>
      <c r="G197" s="158"/>
      <c r="H197" s="152"/>
      <c r="I197" s="152"/>
      <c r="J197" s="152"/>
      <c r="K197" s="103" t="b">
        <v>0</v>
      </c>
    </row>
    <row r="198">
      <c r="A198" s="152"/>
      <c r="B198" s="152"/>
      <c r="C198" s="152"/>
      <c r="D198" s="152"/>
      <c r="E198" s="152"/>
      <c r="F198" s="152"/>
      <c r="G198" s="158"/>
      <c r="H198" s="152"/>
      <c r="I198" s="152"/>
      <c r="J198" s="152"/>
      <c r="K198" s="103" t="b">
        <v>0</v>
      </c>
    </row>
    <row r="199">
      <c r="A199" s="152"/>
      <c r="B199" s="152"/>
      <c r="C199" s="152"/>
      <c r="D199" s="152"/>
      <c r="E199" s="152"/>
      <c r="F199" s="152"/>
      <c r="G199" s="158"/>
      <c r="H199" s="152"/>
      <c r="I199" s="152"/>
      <c r="J199" s="152"/>
      <c r="K199" s="103" t="b">
        <v>0</v>
      </c>
    </row>
    <row r="200">
      <c r="A200" s="152"/>
      <c r="B200" s="152"/>
      <c r="C200" s="152"/>
      <c r="D200" s="152"/>
      <c r="E200" s="152"/>
      <c r="F200" s="152"/>
      <c r="G200" s="158"/>
      <c r="H200" s="152"/>
      <c r="I200" s="152"/>
      <c r="J200" s="152"/>
      <c r="K200" s="103" t="b">
        <v>0</v>
      </c>
    </row>
    <row r="201">
      <c r="A201" s="152"/>
      <c r="B201" s="152"/>
      <c r="C201" s="152"/>
      <c r="D201" s="152"/>
      <c r="E201" s="152"/>
      <c r="F201" s="152"/>
      <c r="G201" s="158"/>
      <c r="H201" s="152"/>
      <c r="I201" s="152"/>
      <c r="J201" s="152"/>
      <c r="K201" s="103" t="b">
        <v>0</v>
      </c>
    </row>
  </sheetData>
  <customSheetViews>
    <customSheetView guid="{00CAE9A0-26A3-4200-8E98-3B6A09AF3AF8}" filter="1" showAutoFilter="1">
      <autoFilter ref="$B$1:$B$201"/>
    </customSheetView>
  </customSheetViews>
  <hyperlinks>
    <hyperlink r:id="rId1" location="google-maps" ref="I4"/>
    <hyperlink r:id="rId2" ref="I11"/>
    <hyperlink r:id="rId3" ref="J11"/>
    <hyperlink r:id="rId4" ref="J21"/>
    <hyperlink r:id="rId5" ref="J23"/>
    <hyperlink r:id="rId6" ref="J26"/>
    <hyperlink r:id="rId7" ref="J35"/>
    <hyperlink r:id="rId8" ref="J38"/>
    <hyperlink r:id="rId9" ref="J42"/>
    <hyperlink r:id="rId10" ref="J46"/>
    <hyperlink r:id="rId11" ref="J49"/>
    <hyperlink r:id="rId12" ref="J78"/>
    <hyperlink r:id="rId13" ref="H79"/>
    <hyperlink r:id="rId14" ref="J81"/>
    <hyperlink r:id="rId15" ref="H82"/>
    <hyperlink r:id="rId16" ref="J91"/>
    <hyperlink r:id="rId17" ref="H92"/>
    <hyperlink r:id="rId18" ref="J96"/>
    <hyperlink r:id="rId19" ref="H98"/>
    <hyperlink r:id="rId20" ref="H114"/>
    <hyperlink r:id="rId21" ref="J126"/>
    <hyperlink r:id="rId22" ref="J140"/>
  </hyperlinks>
  <drawing r:id="rId23"/>
  <tableParts count="1">
    <tablePart r:id="rId25"/>
  </tableParts>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A9999"/>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75"/>
  <cols>
    <col customWidth="1" min="1" max="1" width="28.0"/>
    <col customWidth="1" min="2" max="2" width="19.0"/>
    <col customWidth="1" min="4" max="4" width="15.38"/>
    <col customWidth="1" min="5" max="5" width="13.75"/>
    <col customWidth="1" hidden="1" min="6" max="7" width="14.63"/>
    <col customWidth="1" min="8" max="8" width="14.63"/>
    <col customWidth="1" min="9" max="9" width="21.75"/>
    <col customWidth="1" min="10" max="10" width="29.88"/>
    <col customWidth="1" min="11" max="11" width="12.0"/>
    <col customWidth="1" min="12" max="12" width="5.25"/>
  </cols>
  <sheetData>
    <row r="1">
      <c r="A1" s="1" t="s">
        <v>1970</v>
      </c>
      <c r="B1" s="1" t="s">
        <v>1971</v>
      </c>
      <c r="C1" s="166" t="s">
        <v>1139</v>
      </c>
      <c r="D1" s="167" t="s">
        <v>1972</v>
      </c>
      <c r="E1" s="1" t="s">
        <v>1973</v>
      </c>
      <c r="F1" s="168" t="str">
        <f t="array" ref="F1:F1975">{"Relevant Period";if(H2:H1975="","",
    iferror(
      if(G2:G1975="Monthly",year(D2:D1975)+month(D2:D1975)*0.01,
      year(D2:D1975)),
    "")
  )}
</f>
        <v>Relevant Period</v>
      </c>
      <c r="G1" s="168" t="str">
        <f t="array" ref="G1:G1975">{"Type";if(A2:A1975="","",
    iferror(
      VLOOKUP(A2:A1975,Projects!A:G,v!$B$29,FALSE),
    "Not Set")
  )}</f>
        <v>Type</v>
      </c>
      <c r="H1" s="1" t="s">
        <v>1974</v>
      </c>
      <c r="I1" s="1" t="s">
        <v>1975</v>
      </c>
      <c r="J1" s="1" t="s">
        <v>14</v>
      </c>
      <c r="K1" s="1" t="s">
        <v>15</v>
      </c>
      <c r="L1" s="169" t="s">
        <v>16</v>
      </c>
    </row>
    <row r="2" hidden="1">
      <c r="A2" s="4" t="s">
        <v>1274</v>
      </c>
      <c r="B2" s="170" t="s">
        <v>1976</v>
      </c>
      <c r="C2" s="171">
        <v>500.87</v>
      </c>
      <c r="D2" s="172">
        <v>44228.0</v>
      </c>
      <c r="E2" s="94"/>
      <c r="F2" s="170">
        <v>2021.0</v>
      </c>
      <c r="G2" s="170" t="s">
        <v>1160</v>
      </c>
      <c r="H2" s="170" t="s">
        <v>1264</v>
      </c>
      <c r="I2" s="170" t="s">
        <v>1977</v>
      </c>
      <c r="J2" s="94"/>
      <c r="K2" s="173">
        <v>44501.0</v>
      </c>
      <c r="L2" s="45" t="b">
        <v>1</v>
      </c>
    </row>
    <row r="3" hidden="1">
      <c r="A3" s="16" t="s">
        <v>88</v>
      </c>
      <c r="B3" s="99" t="s">
        <v>1978</v>
      </c>
      <c r="C3" s="174">
        <v>212.5</v>
      </c>
      <c r="D3" s="175">
        <v>44530.0</v>
      </c>
      <c r="E3" s="97"/>
      <c r="F3" s="176">
        <v>2021.11</v>
      </c>
      <c r="G3" s="176" t="s">
        <v>52</v>
      </c>
      <c r="H3" s="176" t="s">
        <v>1264</v>
      </c>
      <c r="I3" s="99" t="s">
        <v>1979</v>
      </c>
      <c r="J3" s="97"/>
      <c r="K3" s="177">
        <v>44501.0</v>
      </c>
      <c r="L3" s="46" t="b">
        <v>1</v>
      </c>
    </row>
    <row r="4" hidden="1">
      <c r="A4" s="4" t="s">
        <v>147</v>
      </c>
      <c r="B4" s="178" t="s">
        <v>1978</v>
      </c>
      <c r="C4" s="171">
        <v>200.0</v>
      </c>
      <c r="D4" s="172">
        <v>44530.0</v>
      </c>
      <c r="E4" s="94"/>
      <c r="F4" s="178">
        <v>2021.11</v>
      </c>
      <c r="G4" s="178" t="s">
        <v>52</v>
      </c>
      <c r="H4" s="178" t="s">
        <v>1264</v>
      </c>
      <c r="I4" s="170" t="s">
        <v>1979</v>
      </c>
      <c r="J4" s="94"/>
      <c r="K4" s="173">
        <v>44501.0</v>
      </c>
      <c r="L4" s="45" t="b">
        <v>1</v>
      </c>
    </row>
    <row r="5" hidden="1">
      <c r="A5" s="16" t="s">
        <v>99</v>
      </c>
      <c r="B5" s="176" t="s">
        <v>1978</v>
      </c>
      <c r="C5" s="174">
        <v>125.0</v>
      </c>
      <c r="D5" s="175">
        <v>44530.0</v>
      </c>
      <c r="E5" s="97"/>
      <c r="F5" s="176">
        <v>2021.11</v>
      </c>
      <c r="G5" s="176" t="s">
        <v>52</v>
      </c>
      <c r="H5" s="176" t="s">
        <v>1264</v>
      </c>
      <c r="I5" s="99" t="s">
        <v>1979</v>
      </c>
      <c r="J5" s="97"/>
      <c r="K5" s="177">
        <v>44501.0</v>
      </c>
      <c r="L5" s="46" t="b">
        <v>1</v>
      </c>
    </row>
    <row r="6" hidden="1">
      <c r="A6" s="4" t="s">
        <v>73</v>
      </c>
      <c r="B6" s="178" t="s">
        <v>1978</v>
      </c>
      <c r="C6" s="171">
        <v>250.0</v>
      </c>
      <c r="D6" s="172">
        <v>44530.0</v>
      </c>
      <c r="E6" s="94"/>
      <c r="F6" s="178">
        <v>2021.11</v>
      </c>
      <c r="G6" s="178" t="s">
        <v>52</v>
      </c>
      <c r="H6" s="178" t="s">
        <v>1264</v>
      </c>
      <c r="I6" s="170" t="s">
        <v>1979</v>
      </c>
      <c r="J6" s="94"/>
      <c r="K6" s="173">
        <v>44501.0</v>
      </c>
      <c r="L6" s="45" t="b">
        <v>1</v>
      </c>
    </row>
    <row r="7" hidden="1">
      <c r="A7" s="16" t="s">
        <v>77</v>
      </c>
      <c r="B7" s="176" t="s">
        <v>1978</v>
      </c>
      <c r="C7" s="174">
        <v>187.5</v>
      </c>
      <c r="D7" s="175">
        <v>44530.0</v>
      </c>
      <c r="E7" s="97"/>
      <c r="F7" s="176">
        <v>2021.11</v>
      </c>
      <c r="G7" s="176" t="s">
        <v>52</v>
      </c>
      <c r="H7" s="176" t="s">
        <v>1264</v>
      </c>
      <c r="I7" s="99" t="s">
        <v>1979</v>
      </c>
      <c r="J7" s="97"/>
      <c r="K7" s="177">
        <v>44501.0</v>
      </c>
      <c r="L7" s="46" t="b">
        <v>1</v>
      </c>
    </row>
    <row r="8" hidden="1">
      <c r="A8" s="4" t="s">
        <v>79</v>
      </c>
      <c r="B8" s="178" t="s">
        <v>1978</v>
      </c>
      <c r="C8" s="171">
        <v>250.0</v>
      </c>
      <c r="D8" s="172">
        <v>44530.0</v>
      </c>
      <c r="E8" s="94"/>
      <c r="F8" s="178">
        <v>2021.11</v>
      </c>
      <c r="G8" s="178" t="s">
        <v>52</v>
      </c>
      <c r="H8" s="178" t="s">
        <v>1264</v>
      </c>
      <c r="I8" s="170" t="s">
        <v>1979</v>
      </c>
      <c r="J8" s="94"/>
      <c r="K8" s="173">
        <v>44501.0</v>
      </c>
      <c r="L8" s="45" t="b">
        <v>1</v>
      </c>
    </row>
    <row r="9" hidden="1">
      <c r="A9" s="16" t="s">
        <v>82</v>
      </c>
      <c r="B9" s="99" t="s">
        <v>1980</v>
      </c>
      <c r="C9" s="174">
        <v>300.0</v>
      </c>
      <c r="D9" s="175">
        <v>44530.0</v>
      </c>
      <c r="E9" s="97"/>
      <c r="F9" s="176">
        <v>2021.11</v>
      </c>
      <c r="G9" s="176" t="s">
        <v>52</v>
      </c>
      <c r="H9" s="176" t="s">
        <v>1264</v>
      </c>
      <c r="I9" s="99" t="s">
        <v>1979</v>
      </c>
      <c r="J9" s="97"/>
      <c r="K9" s="177">
        <v>44501.0</v>
      </c>
      <c r="L9" s="46" t="b">
        <v>1</v>
      </c>
    </row>
    <row r="10" hidden="1">
      <c r="A10" s="4" t="s">
        <v>58</v>
      </c>
      <c r="B10" s="170" t="s">
        <v>1980</v>
      </c>
      <c r="C10" s="171">
        <v>400.0</v>
      </c>
      <c r="D10" s="172">
        <v>44530.0</v>
      </c>
      <c r="E10" s="94"/>
      <c r="F10" s="178">
        <v>2021.11</v>
      </c>
      <c r="G10" s="178" t="s">
        <v>52</v>
      </c>
      <c r="H10" s="178" t="s">
        <v>1264</v>
      </c>
      <c r="I10" s="170" t="s">
        <v>1979</v>
      </c>
      <c r="J10" s="94"/>
      <c r="K10" s="173">
        <v>44501.0</v>
      </c>
      <c r="L10" s="45" t="b">
        <v>1</v>
      </c>
    </row>
    <row r="11" hidden="1">
      <c r="A11" s="16" t="s">
        <v>42</v>
      </c>
      <c r="B11" s="99" t="s">
        <v>1980</v>
      </c>
      <c r="C11" s="174">
        <v>322.5</v>
      </c>
      <c r="D11" s="175">
        <v>44530.0</v>
      </c>
      <c r="E11" s="97"/>
      <c r="F11" s="176">
        <v>2021.11</v>
      </c>
      <c r="G11" s="176" t="s">
        <v>52</v>
      </c>
      <c r="H11" s="176" t="s">
        <v>1264</v>
      </c>
      <c r="I11" s="99" t="s">
        <v>1979</v>
      </c>
      <c r="J11" s="97"/>
      <c r="K11" s="177">
        <v>44501.0</v>
      </c>
      <c r="L11" s="46" t="b">
        <v>1</v>
      </c>
    </row>
    <row r="12" hidden="1">
      <c r="A12" s="4" t="s">
        <v>1274</v>
      </c>
      <c r="B12" s="170" t="s">
        <v>1980</v>
      </c>
      <c r="C12" s="171">
        <v>167.5</v>
      </c>
      <c r="D12" s="172">
        <v>44530.0</v>
      </c>
      <c r="E12" s="94"/>
      <c r="F12" s="178">
        <v>2021.0</v>
      </c>
      <c r="G12" s="178" t="s">
        <v>1160</v>
      </c>
      <c r="H12" s="178" t="s">
        <v>1264</v>
      </c>
      <c r="I12" s="170" t="s">
        <v>1979</v>
      </c>
      <c r="J12" s="94"/>
      <c r="K12" s="173">
        <v>44501.0</v>
      </c>
      <c r="L12" s="45" t="b">
        <v>1</v>
      </c>
    </row>
    <row r="13" hidden="1">
      <c r="A13" s="16" t="s">
        <v>77</v>
      </c>
      <c r="B13" s="99" t="s">
        <v>1980</v>
      </c>
      <c r="C13" s="174">
        <v>45.0</v>
      </c>
      <c r="D13" s="175">
        <v>44530.0</v>
      </c>
      <c r="E13" s="97"/>
      <c r="F13" s="176">
        <v>2021.11</v>
      </c>
      <c r="G13" s="176" t="s">
        <v>52</v>
      </c>
      <c r="H13" s="176" t="s">
        <v>1264</v>
      </c>
      <c r="I13" s="99" t="s">
        <v>1979</v>
      </c>
      <c r="J13" s="97"/>
      <c r="K13" s="177">
        <v>44501.0</v>
      </c>
      <c r="L13" s="46" t="b">
        <v>1</v>
      </c>
    </row>
    <row r="14" hidden="1">
      <c r="A14" s="4" t="s">
        <v>73</v>
      </c>
      <c r="B14" s="170" t="s">
        <v>1980</v>
      </c>
      <c r="C14" s="171">
        <v>60.0</v>
      </c>
      <c r="D14" s="172">
        <v>44530.0</v>
      </c>
      <c r="E14" s="94"/>
      <c r="F14" s="178">
        <v>2021.11</v>
      </c>
      <c r="G14" s="178" t="s">
        <v>52</v>
      </c>
      <c r="H14" s="178" t="s">
        <v>1264</v>
      </c>
      <c r="I14" s="170" t="s">
        <v>1979</v>
      </c>
      <c r="J14" s="94"/>
      <c r="K14" s="173">
        <v>44501.0</v>
      </c>
      <c r="L14" s="45" t="b">
        <v>1</v>
      </c>
    </row>
    <row r="15" hidden="1">
      <c r="A15" s="16" t="s">
        <v>123</v>
      </c>
      <c r="B15" s="99" t="s">
        <v>1980</v>
      </c>
      <c r="C15" s="174">
        <v>587.5</v>
      </c>
      <c r="D15" s="175">
        <v>44530.0</v>
      </c>
      <c r="E15" s="97"/>
      <c r="F15" s="176">
        <v>2021.11</v>
      </c>
      <c r="G15" s="176" t="s">
        <v>52</v>
      </c>
      <c r="H15" s="176" t="s">
        <v>1264</v>
      </c>
      <c r="I15" s="99" t="s">
        <v>1979</v>
      </c>
      <c r="J15" s="97"/>
      <c r="K15" s="177">
        <v>44501.0</v>
      </c>
      <c r="L15" s="46" t="b">
        <v>1</v>
      </c>
    </row>
    <row r="16" hidden="1">
      <c r="A16" s="4" t="s">
        <v>68</v>
      </c>
      <c r="B16" s="170" t="s">
        <v>1980</v>
      </c>
      <c r="C16" s="171">
        <v>297.5</v>
      </c>
      <c r="D16" s="172">
        <v>44530.0</v>
      </c>
      <c r="E16" s="94"/>
      <c r="F16" s="178">
        <v>2021.11</v>
      </c>
      <c r="G16" s="178" t="s">
        <v>52</v>
      </c>
      <c r="H16" s="178" t="s">
        <v>1264</v>
      </c>
      <c r="I16" s="170" t="s">
        <v>1979</v>
      </c>
      <c r="J16" s="94"/>
      <c r="K16" s="173">
        <v>44501.0</v>
      </c>
      <c r="L16" s="45" t="b">
        <v>1</v>
      </c>
    </row>
    <row r="17" hidden="1">
      <c r="A17" s="16" t="s">
        <v>99</v>
      </c>
      <c r="B17" s="99" t="s">
        <v>1980</v>
      </c>
      <c r="C17" s="174">
        <v>495.0</v>
      </c>
      <c r="D17" s="175">
        <v>44530.0</v>
      </c>
      <c r="E17" s="97"/>
      <c r="F17" s="176">
        <v>2021.11</v>
      </c>
      <c r="G17" s="176" t="s">
        <v>52</v>
      </c>
      <c r="H17" s="176" t="s">
        <v>1264</v>
      </c>
      <c r="I17" s="99" t="s">
        <v>1979</v>
      </c>
      <c r="J17" s="97"/>
      <c r="K17" s="177">
        <v>44501.0</v>
      </c>
      <c r="L17" s="46" t="b">
        <v>1</v>
      </c>
    </row>
    <row r="18" hidden="1">
      <c r="A18" s="4" t="s">
        <v>97</v>
      </c>
      <c r="B18" s="170" t="s">
        <v>1980</v>
      </c>
      <c r="C18" s="171">
        <v>30.0</v>
      </c>
      <c r="D18" s="172">
        <v>44530.0</v>
      </c>
      <c r="E18" s="94"/>
      <c r="F18" s="178">
        <v>2021.11</v>
      </c>
      <c r="G18" s="178" t="s">
        <v>52</v>
      </c>
      <c r="H18" s="178" t="s">
        <v>1264</v>
      </c>
      <c r="I18" s="170" t="s">
        <v>1979</v>
      </c>
      <c r="J18" s="94"/>
      <c r="K18" s="173">
        <v>44501.0</v>
      </c>
      <c r="L18" s="45" t="b">
        <v>1</v>
      </c>
    </row>
    <row r="19" hidden="1">
      <c r="A19" s="16" t="s">
        <v>62</v>
      </c>
      <c r="B19" s="99" t="s">
        <v>1980</v>
      </c>
      <c r="C19" s="174">
        <v>350.0</v>
      </c>
      <c r="D19" s="175">
        <v>44530.0</v>
      </c>
      <c r="E19" s="97"/>
      <c r="F19" s="176">
        <v>2021.11</v>
      </c>
      <c r="G19" s="176" t="s">
        <v>52</v>
      </c>
      <c r="H19" s="176" t="s">
        <v>1264</v>
      </c>
      <c r="I19" s="99" t="s">
        <v>1979</v>
      </c>
      <c r="J19" s="97"/>
      <c r="K19" s="177">
        <v>44501.0</v>
      </c>
      <c r="L19" s="46" t="b">
        <v>1</v>
      </c>
    </row>
    <row r="20" hidden="1">
      <c r="A20" s="4" t="s">
        <v>64</v>
      </c>
      <c r="B20" s="170" t="s">
        <v>1980</v>
      </c>
      <c r="C20" s="171">
        <v>257.5</v>
      </c>
      <c r="D20" s="172">
        <v>44530.0</v>
      </c>
      <c r="E20" s="94"/>
      <c r="F20" s="178">
        <v>2021.11</v>
      </c>
      <c r="G20" s="178" t="s">
        <v>52</v>
      </c>
      <c r="H20" s="178" t="s">
        <v>1264</v>
      </c>
      <c r="I20" s="170" t="s">
        <v>1979</v>
      </c>
      <c r="J20" s="94"/>
      <c r="K20" s="173">
        <v>44501.0</v>
      </c>
      <c r="L20" s="45" t="b">
        <v>1</v>
      </c>
    </row>
    <row r="21" hidden="1">
      <c r="A21" s="16" t="s">
        <v>151</v>
      </c>
      <c r="B21" s="99" t="s">
        <v>1980</v>
      </c>
      <c r="C21" s="174">
        <v>310.0</v>
      </c>
      <c r="D21" s="175">
        <v>44530.0</v>
      </c>
      <c r="E21" s="97"/>
      <c r="F21" s="176">
        <v>2021.11</v>
      </c>
      <c r="G21" s="176" t="s">
        <v>52</v>
      </c>
      <c r="H21" s="176" t="s">
        <v>1264</v>
      </c>
      <c r="I21" s="99" t="s">
        <v>1979</v>
      </c>
      <c r="J21" s="97"/>
      <c r="K21" s="177">
        <v>44501.0</v>
      </c>
      <c r="L21" s="46" t="b">
        <v>1</v>
      </c>
    </row>
    <row r="22" hidden="1">
      <c r="A22" s="4" t="s">
        <v>147</v>
      </c>
      <c r="B22" s="170" t="s">
        <v>1980</v>
      </c>
      <c r="C22" s="171">
        <v>75.0</v>
      </c>
      <c r="D22" s="172">
        <v>44530.0</v>
      </c>
      <c r="E22" s="94"/>
      <c r="F22" s="178">
        <v>2021.11</v>
      </c>
      <c r="G22" s="178" t="s">
        <v>52</v>
      </c>
      <c r="H22" s="178" t="s">
        <v>1264</v>
      </c>
      <c r="I22" s="170" t="s">
        <v>1979</v>
      </c>
      <c r="J22" s="94"/>
      <c r="K22" s="173">
        <v>44501.0</v>
      </c>
      <c r="L22" s="45" t="b">
        <v>1</v>
      </c>
    </row>
    <row r="23" hidden="1">
      <c r="A23" s="36" t="s">
        <v>1981</v>
      </c>
      <c r="B23" s="99" t="s">
        <v>1980</v>
      </c>
      <c r="C23" s="174">
        <v>180.0</v>
      </c>
      <c r="D23" s="175">
        <v>44530.0</v>
      </c>
      <c r="E23" s="97"/>
      <c r="F23" s="176">
        <v>2021.11</v>
      </c>
      <c r="G23" s="176" t="s">
        <v>52</v>
      </c>
      <c r="H23" s="176" t="s">
        <v>1264</v>
      </c>
      <c r="I23" s="99" t="s">
        <v>1979</v>
      </c>
      <c r="J23" s="97"/>
      <c r="K23" s="177">
        <v>44501.0</v>
      </c>
      <c r="L23" s="46" t="b">
        <v>1</v>
      </c>
    </row>
    <row r="24" hidden="1">
      <c r="A24" s="4" t="s">
        <v>86</v>
      </c>
      <c r="B24" s="170" t="s">
        <v>1980</v>
      </c>
      <c r="C24" s="171">
        <v>180.0</v>
      </c>
      <c r="D24" s="172">
        <v>44530.0</v>
      </c>
      <c r="E24" s="94"/>
      <c r="F24" s="178">
        <v>2021.11</v>
      </c>
      <c r="G24" s="178" t="s">
        <v>52</v>
      </c>
      <c r="H24" s="178" t="s">
        <v>1264</v>
      </c>
      <c r="I24" s="170" t="s">
        <v>1979</v>
      </c>
      <c r="J24" s="94"/>
      <c r="K24" s="173">
        <v>44501.0</v>
      </c>
      <c r="L24" s="45" t="b">
        <v>1</v>
      </c>
    </row>
    <row r="25" hidden="1">
      <c r="A25" s="16" t="s">
        <v>88</v>
      </c>
      <c r="B25" s="99" t="s">
        <v>1980</v>
      </c>
      <c r="C25" s="174">
        <v>45.0</v>
      </c>
      <c r="D25" s="175">
        <v>44530.0</v>
      </c>
      <c r="E25" s="97"/>
      <c r="F25" s="176">
        <v>2021.11</v>
      </c>
      <c r="G25" s="176" t="s">
        <v>52</v>
      </c>
      <c r="H25" s="176" t="s">
        <v>1264</v>
      </c>
      <c r="I25" s="99" t="s">
        <v>1979</v>
      </c>
      <c r="J25" s="97"/>
      <c r="K25" s="177">
        <v>44501.0</v>
      </c>
      <c r="L25" s="46" t="b">
        <v>1</v>
      </c>
    </row>
    <row r="26" hidden="1">
      <c r="A26" s="4" t="s">
        <v>92</v>
      </c>
      <c r="B26" s="170" t="s">
        <v>1980</v>
      </c>
      <c r="C26" s="171">
        <v>575.0</v>
      </c>
      <c r="D26" s="172">
        <v>44530.0</v>
      </c>
      <c r="E26" s="94"/>
      <c r="F26" s="178">
        <v>2021.11</v>
      </c>
      <c r="G26" s="178" t="s">
        <v>52</v>
      </c>
      <c r="H26" s="178" t="s">
        <v>1264</v>
      </c>
      <c r="I26" s="170" t="s">
        <v>1979</v>
      </c>
      <c r="J26" s="94"/>
      <c r="K26" s="173">
        <v>44501.0</v>
      </c>
      <c r="L26" s="45" t="b">
        <v>1</v>
      </c>
    </row>
    <row r="27" hidden="1">
      <c r="A27" s="16" t="s">
        <v>84</v>
      </c>
      <c r="B27" s="99" t="s">
        <v>1982</v>
      </c>
      <c r="C27" s="174">
        <v>475.0</v>
      </c>
      <c r="D27" s="175">
        <v>44530.0</v>
      </c>
      <c r="E27" s="99"/>
      <c r="F27" s="99">
        <v>2021.11</v>
      </c>
      <c r="G27" s="99" t="s">
        <v>52</v>
      </c>
      <c r="H27" s="99" t="s">
        <v>1264</v>
      </c>
      <c r="I27" s="99" t="s">
        <v>1979</v>
      </c>
      <c r="J27" s="97"/>
      <c r="K27" s="177">
        <v>44501.0</v>
      </c>
      <c r="L27" s="46" t="b">
        <v>1</v>
      </c>
    </row>
    <row r="28" hidden="1">
      <c r="A28" s="4" t="s">
        <v>58</v>
      </c>
      <c r="B28" s="170" t="s">
        <v>1982</v>
      </c>
      <c r="C28" s="171">
        <v>350.0</v>
      </c>
      <c r="D28" s="172">
        <v>44530.0</v>
      </c>
      <c r="E28" s="170"/>
      <c r="F28" s="170">
        <v>2021.11</v>
      </c>
      <c r="G28" s="170" t="s">
        <v>52</v>
      </c>
      <c r="H28" s="170" t="s">
        <v>1264</v>
      </c>
      <c r="I28" s="170" t="s">
        <v>1979</v>
      </c>
      <c r="J28" s="94"/>
      <c r="K28" s="173">
        <v>44501.0</v>
      </c>
      <c r="L28" s="45" t="b">
        <v>1</v>
      </c>
    </row>
    <row r="29" hidden="1">
      <c r="A29" s="16" t="s">
        <v>62</v>
      </c>
      <c r="B29" s="99" t="s">
        <v>1982</v>
      </c>
      <c r="C29" s="174">
        <v>400.0</v>
      </c>
      <c r="D29" s="175">
        <v>44530.0</v>
      </c>
      <c r="E29" s="99"/>
      <c r="F29" s="99">
        <v>2021.11</v>
      </c>
      <c r="G29" s="99" t="s">
        <v>52</v>
      </c>
      <c r="H29" s="99" t="s">
        <v>1264</v>
      </c>
      <c r="I29" s="99" t="s">
        <v>1979</v>
      </c>
      <c r="J29" s="97"/>
      <c r="K29" s="177">
        <v>44501.0</v>
      </c>
      <c r="L29" s="46" t="b">
        <v>1</v>
      </c>
    </row>
    <row r="30" hidden="1">
      <c r="A30" s="4" t="s">
        <v>115</v>
      </c>
      <c r="B30" s="170" t="s">
        <v>1982</v>
      </c>
      <c r="C30" s="171">
        <v>562.5</v>
      </c>
      <c r="D30" s="172">
        <v>44530.0</v>
      </c>
      <c r="E30" s="170"/>
      <c r="F30" s="170">
        <v>2021.11</v>
      </c>
      <c r="G30" s="170" t="s">
        <v>52</v>
      </c>
      <c r="H30" s="170" t="s">
        <v>1264</v>
      </c>
      <c r="I30" s="170" t="s">
        <v>1979</v>
      </c>
      <c r="J30" s="94"/>
      <c r="K30" s="173">
        <v>44501.0</v>
      </c>
      <c r="L30" s="45" t="b">
        <v>1</v>
      </c>
    </row>
    <row r="31" hidden="1">
      <c r="A31" s="16" t="s">
        <v>118</v>
      </c>
      <c r="B31" s="99" t="s">
        <v>1982</v>
      </c>
      <c r="C31" s="174">
        <v>562.5</v>
      </c>
      <c r="D31" s="175">
        <v>44530.0</v>
      </c>
      <c r="E31" s="99"/>
      <c r="F31" s="99">
        <v>2021.11</v>
      </c>
      <c r="G31" s="99" t="s">
        <v>52</v>
      </c>
      <c r="H31" s="99" t="s">
        <v>1264</v>
      </c>
      <c r="I31" s="99" t="s">
        <v>1979</v>
      </c>
      <c r="J31" s="97"/>
      <c r="K31" s="177">
        <v>44501.0</v>
      </c>
      <c r="L31" s="46" t="b">
        <v>1</v>
      </c>
    </row>
    <row r="32" hidden="1">
      <c r="A32" s="4" t="s">
        <v>123</v>
      </c>
      <c r="B32" s="170" t="s">
        <v>1982</v>
      </c>
      <c r="C32" s="171">
        <v>1512.5</v>
      </c>
      <c r="D32" s="172">
        <v>44530.0</v>
      </c>
      <c r="E32" s="170"/>
      <c r="F32" s="170">
        <v>2021.11</v>
      </c>
      <c r="G32" s="170" t="s">
        <v>52</v>
      </c>
      <c r="H32" s="170" t="s">
        <v>1264</v>
      </c>
      <c r="I32" s="170" t="s">
        <v>1979</v>
      </c>
      <c r="J32" s="94"/>
      <c r="K32" s="173">
        <v>44501.0</v>
      </c>
      <c r="L32" s="45" t="b">
        <v>1</v>
      </c>
    </row>
    <row r="33" hidden="1">
      <c r="A33" s="16" t="s">
        <v>81</v>
      </c>
      <c r="B33" s="99" t="s">
        <v>1983</v>
      </c>
      <c r="C33" s="174">
        <v>250.0</v>
      </c>
      <c r="D33" s="175">
        <v>44530.0</v>
      </c>
      <c r="E33" s="97"/>
      <c r="F33" s="176">
        <v>2021.11</v>
      </c>
      <c r="G33" s="176" t="s">
        <v>52</v>
      </c>
      <c r="H33" s="176" t="s">
        <v>1264</v>
      </c>
      <c r="I33" s="99" t="s">
        <v>1979</v>
      </c>
      <c r="J33" s="97"/>
      <c r="K33" s="177">
        <v>44501.0</v>
      </c>
      <c r="L33" s="46" t="b">
        <v>1</v>
      </c>
    </row>
    <row r="34" hidden="1">
      <c r="A34" s="4" t="s">
        <v>92</v>
      </c>
      <c r="B34" s="170" t="s">
        <v>1984</v>
      </c>
      <c r="C34" s="171">
        <v>425.0</v>
      </c>
      <c r="D34" s="172">
        <v>44530.0</v>
      </c>
      <c r="E34" s="94"/>
      <c r="F34" s="178">
        <v>2021.11</v>
      </c>
      <c r="G34" s="178" t="s">
        <v>52</v>
      </c>
      <c r="H34" s="178" t="s">
        <v>1264</v>
      </c>
      <c r="I34" s="170" t="s">
        <v>1979</v>
      </c>
      <c r="J34" s="94"/>
      <c r="K34" s="173">
        <v>44501.0</v>
      </c>
      <c r="L34" s="45" t="b">
        <v>1</v>
      </c>
    </row>
    <row r="35" hidden="1">
      <c r="A35" s="16" t="s">
        <v>159</v>
      </c>
      <c r="B35" s="99" t="s">
        <v>1984</v>
      </c>
      <c r="C35" s="174">
        <v>200.0</v>
      </c>
      <c r="D35" s="175">
        <v>44530.0</v>
      </c>
      <c r="E35" s="97"/>
      <c r="F35" s="176">
        <v>2021.0</v>
      </c>
      <c r="G35" s="176" t="s">
        <v>1160</v>
      </c>
      <c r="H35" s="176" t="s">
        <v>1264</v>
      </c>
      <c r="I35" s="99" t="s">
        <v>1979</v>
      </c>
      <c r="J35" s="97"/>
      <c r="K35" s="177">
        <v>44501.0</v>
      </c>
      <c r="L35" s="46" t="b">
        <v>1</v>
      </c>
    </row>
    <row r="36" hidden="1">
      <c r="A36" s="4" t="s">
        <v>162</v>
      </c>
      <c r="B36" s="170" t="s">
        <v>1984</v>
      </c>
      <c r="C36" s="171">
        <v>200.0</v>
      </c>
      <c r="D36" s="172">
        <v>44530.0</v>
      </c>
      <c r="E36" s="94"/>
      <c r="F36" s="178">
        <v>2021.0</v>
      </c>
      <c r="G36" s="178" t="s">
        <v>1160</v>
      </c>
      <c r="H36" s="178" t="s">
        <v>1264</v>
      </c>
      <c r="I36" s="170" t="s">
        <v>1979</v>
      </c>
      <c r="J36" s="94"/>
      <c r="K36" s="173">
        <v>44501.0</v>
      </c>
      <c r="L36" s="45" t="b">
        <v>1</v>
      </c>
    </row>
    <row r="37" hidden="1">
      <c r="A37" s="16" t="s">
        <v>42</v>
      </c>
      <c r="B37" s="99" t="s">
        <v>1984</v>
      </c>
      <c r="C37" s="174">
        <v>300.0</v>
      </c>
      <c r="D37" s="175">
        <v>44530.0</v>
      </c>
      <c r="E37" s="97"/>
      <c r="F37" s="176">
        <v>2021.11</v>
      </c>
      <c r="G37" s="176" t="s">
        <v>52</v>
      </c>
      <c r="H37" s="176" t="s">
        <v>1264</v>
      </c>
      <c r="I37" s="99" t="s">
        <v>1979</v>
      </c>
      <c r="J37" s="97"/>
      <c r="K37" s="177">
        <v>44501.0</v>
      </c>
      <c r="L37" s="46" t="b">
        <v>1</v>
      </c>
    </row>
    <row r="38" hidden="1">
      <c r="A38" s="4" t="s">
        <v>58</v>
      </c>
      <c r="B38" s="170" t="s">
        <v>1985</v>
      </c>
      <c r="C38" s="171">
        <v>300.0</v>
      </c>
      <c r="D38" s="172">
        <v>44530.0</v>
      </c>
      <c r="E38" s="94"/>
      <c r="F38" s="178">
        <v>2021.11</v>
      </c>
      <c r="G38" s="178" t="s">
        <v>52</v>
      </c>
      <c r="H38" s="178" t="s">
        <v>1264</v>
      </c>
      <c r="I38" s="170" t="s">
        <v>1979</v>
      </c>
      <c r="J38" s="94"/>
      <c r="K38" s="173">
        <v>44501.0</v>
      </c>
      <c r="L38" s="45" t="b">
        <v>1</v>
      </c>
    </row>
    <row r="39" hidden="1">
      <c r="A39" s="16" t="s">
        <v>81</v>
      </c>
      <c r="B39" s="99" t="s">
        <v>1985</v>
      </c>
      <c r="C39" s="174">
        <v>167.5</v>
      </c>
      <c r="D39" s="175">
        <v>44530.0</v>
      </c>
      <c r="E39" s="97"/>
      <c r="F39" s="176">
        <v>2021.11</v>
      </c>
      <c r="G39" s="176" t="s">
        <v>52</v>
      </c>
      <c r="H39" s="176" t="s">
        <v>1264</v>
      </c>
      <c r="I39" s="99" t="s">
        <v>1979</v>
      </c>
      <c r="J39" s="97"/>
      <c r="K39" s="177">
        <v>44501.0</v>
      </c>
      <c r="L39" s="46" t="b">
        <v>1</v>
      </c>
    </row>
    <row r="40" hidden="1">
      <c r="A40" s="4" t="s">
        <v>75</v>
      </c>
      <c r="B40" s="170" t="s">
        <v>1985</v>
      </c>
      <c r="C40" s="171">
        <v>225.0</v>
      </c>
      <c r="D40" s="172">
        <v>44530.0</v>
      </c>
      <c r="E40" s="94"/>
      <c r="F40" s="178">
        <v>2021.11</v>
      </c>
      <c r="G40" s="178" t="s">
        <v>52</v>
      </c>
      <c r="H40" s="178" t="s">
        <v>1264</v>
      </c>
      <c r="I40" s="170" t="s">
        <v>1979</v>
      </c>
      <c r="J40" s="94"/>
      <c r="K40" s="173">
        <v>44501.0</v>
      </c>
      <c r="L40" s="45" t="b">
        <v>1</v>
      </c>
    </row>
    <row r="41" hidden="1">
      <c r="A41" s="16" t="s">
        <v>120</v>
      </c>
      <c r="B41" s="99" t="s">
        <v>1985</v>
      </c>
      <c r="C41" s="174">
        <v>487.5</v>
      </c>
      <c r="D41" s="175">
        <v>44530.0</v>
      </c>
      <c r="E41" s="97"/>
      <c r="F41" s="176">
        <v>2021.11</v>
      </c>
      <c r="G41" s="176" t="s">
        <v>52</v>
      </c>
      <c r="H41" s="176" t="s">
        <v>1264</v>
      </c>
      <c r="I41" s="99" t="s">
        <v>1979</v>
      </c>
      <c r="J41" s="97"/>
      <c r="K41" s="177">
        <v>44501.0</v>
      </c>
      <c r="L41" s="46" t="b">
        <v>1</v>
      </c>
    </row>
    <row r="42" hidden="1">
      <c r="A42" s="4" t="s">
        <v>159</v>
      </c>
      <c r="B42" s="170" t="s">
        <v>1985</v>
      </c>
      <c r="C42" s="171">
        <v>500.0</v>
      </c>
      <c r="D42" s="172">
        <v>44530.0</v>
      </c>
      <c r="E42" s="94"/>
      <c r="F42" s="178">
        <v>2021.0</v>
      </c>
      <c r="G42" s="178" t="s">
        <v>1160</v>
      </c>
      <c r="H42" s="178" t="s">
        <v>1264</v>
      </c>
      <c r="I42" s="170" t="s">
        <v>1979</v>
      </c>
      <c r="J42" s="94"/>
      <c r="K42" s="173">
        <v>44501.0</v>
      </c>
      <c r="L42" s="45" t="b">
        <v>1</v>
      </c>
    </row>
    <row r="43" hidden="1">
      <c r="A43" s="16" t="s">
        <v>162</v>
      </c>
      <c r="B43" s="99" t="s">
        <v>1985</v>
      </c>
      <c r="C43" s="174">
        <v>500.0</v>
      </c>
      <c r="D43" s="175">
        <v>44530.0</v>
      </c>
      <c r="E43" s="97"/>
      <c r="F43" s="176">
        <v>2021.0</v>
      </c>
      <c r="G43" s="176" t="s">
        <v>1160</v>
      </c>
      <c r="H43" s="176" t="s">
        <v>1264</v>
      </c>
      <c r="I43" s="99" t="s">
        <v>1979</v>
      </c>
      <c r="J43" s="97"/>
      <c r="K43" s="177">
        <v>44501.0</v>
      </c>
      <c r="L43" s="46" t="b">
        <v>1</v>
      </c>
    </row>
    <row r="44" hidden="1">
      <c r="A44" s="4" t="s">
        <v>156</v>
      </c>
      <c r="B44" s="170" t="s">
        <v>1985</v>
      </c>
      <c r="C44" s="171">
        <v>30.0</v>
      </c>
      <c r="D44" s="172">
        <v>44530.0</v>
      </c>
      <c r="E44" s="94"/>
      <c r="F44" s="178">
        <v>2021.11</v>
      </c>
      <c r="G44" s="178" t="s">
        <v>52</v>
      </c>
      <c r="H44" s="178" t="s">
        <v>1264</v>
      </c>
      <c r="I44" s="170" t="s">
        <v>1979</v>
      </c>
      <c r="J44" s="94"/>
      <c r="K44" s="173">
        <v>44501.0</v>
      </c>
      <c r="L44" s="45" t="b">
        <v>1</v>
      </c>
    </row>
    <row r="45" hidden="1">
      <c r="A45" s="16" t="s">
        <v>54</v>
      </c>
      <c r="B45" s="99" t="s">
        <v>1985</v>
      </c>
      <c r="C45" s="174">
        <v>192.5</v>
      </c>
      <c r="D45" s="175">
        <v>44530.0</v>
      </c>
      <c r="E45" s="97"/>
      <c r="F45" s="176">
        <v>2021.11</v>
      </c>
      <c r="G45" s="176" t="s">
        <v>52</v>
      </c>
      <c r="H45" s="176" t="s">
        <v>1264</v>
      </c>
      <c r="I45" s="99" t="s">
        <v>1979</v>
      </c>
      <c r="J45" s="97"/>
      <c r="K45" s="177">
        <v>44501.0</v>
      </c>
      <c r="L45" s="46" t="b">
        <v>1</v>
      </c>
    </row>
    <row r="46" hidden="1">
      <c r="A46" s="4" t="s">
        <v>144</v>
      </c>
      <c r="B46" s="170" t="s">
        <v>1986</v>
      </c>
      <c r="C46" s="171">
        <v>82.5</v>
      </c>
      <c r="D46" s="172">
        <v>44530.0</v>
      </c>
      <c r="E46" s="94"/>
      <c r="F46" s="178">
        <v>2021.0</v>
      </c>
      <c r="G46" s="178" t="s">
        <v>1160</v>
      </c>
      <c r="H46" s="178" t="s">
        <v>1264</v>
      </c>
      <c r="I46" s="170" t="s">
        <v>1979</v>
      </c>
      <c r="J46" s="94"/>
      <c r="K46" s="173">
        <v>44501.0</v>
      </c>
      <c r="L46" s="45" t="b">
        <v>1</v>
      </c>
    </row>
    <row r="47" hidden="1">
      <c r="A47" s="16" t="s">
        <v>102</v>
      </c>
      <c r="B47" s="99" t="s">
        <v>1987</v>
      </c>
      <c r="C47" s="174">
        <v>250.0</v>
      </c>
      <c r="D47" s="175">
        <v>44530.0</v>
      </c>
      <c r="E47" s="97"/>
      <c r="F47" s="176">
        <v>2021.11</v>
      </c>
      <c r="G47" s="176" t="s">
        <v>52</v>
      </c>
      <c r="H47" s="176" t="s">
        <v>1264</v>
      </c>
      <c r="I47" s="99" t="s">
        <v>1979</v>
      </c>
      <c r="J47" s="97"/>
      <c r="K47" s="177">
        <v>44501.0</v>
      </c>
      <c r="L47" s="46" t="b">
        <v>1</v>
      </c>
    </row>
    <row r="48" hidden="1">
      <c r="A48" s="4" t="s">
        <v>58</v>
      </c>
      <c r="B48" s="170" t="s">
        <v>1988</v>
      </c>
      <c r="C48" s="171">
        <v>44.39</v>
      </c>
      <c r="D48" s="172">
        <v>44501.0</v>
      </c>
      <c r="E48" s="94"/>
      <c r="F48" s="170">
        <v>2021.11</v>
      </c>
      <c r="G48" s="170" t="s">
        <v>52</v>
      </c>
      <c r="H48" s="170" t="s">
        <v>1264</v>
      </c>
      <c r="I48" s="170" t="s">
        <v>1977</v>
      </c>
      <c r="J48" s="94"/>
      <c r="K48" s="173">
        <v>44501.0</v>
      </c>
      <c r="L48" s="45" t="b">
        <v>1</v>
      </c>
    </row>
    <row r="49" hidden="1">
      <c r="A49" s="16" t="s">
        <v>58</v>
      </c>
      <c r="B49" s="99" t="s">
        <v>1989</v>
      </c>
      <c r="C49" s="174">
        <v>73.39</v>
      </c>
      <c r="D49" s="175">
        <v>44501.0</v>
      </c>
      <c r="E49" s="97"/>
      <c r="F49" s="99">
        <v>2021.11</v>
      </c>
      <c r="G49" s="99" t="s">
        <v>52</v>
      </c>
      <c r="H49" s="99" t="s">
        <v>1264</v>
      </c>
      <c r="I49" s="99" t="s">
        <v>1990</v>
      </c>
      <c r="J49" s="97"/>
      <c r="K49" s="177">
        <v>44501.0</v>
      </c>
      <c r="L49" s="46" t="b">
        <v>1</v>
      </c>
    </row>
    <row r="50" hidden="1">
      <c r="A50" s="4" t="s">
        <v>1991</v>
      </c>
      <c r="B50" s="170" t="s">
        <v>1978</v>
      </c>
      <c r="C50" s="171">
        <v>50.0</v>
      </c>
      <c r="D50" s="172">
        <v>44530.0</v>
      </c>
      <c r="E50" s="94"/>
      <c r="F50" s="170">
        <v>2021.0</v>
      </c>
      <c r="G50" s="170" t="s">
        <v>1992</v>
      </c>
      <c r="H50" s="170" t="s">
        <v>1264</v>
      </c>
      <c r="I50" s="170" t="s">
        <v>1993</v>
      </c>
      <c r="J50" s="94"/>
      <c r="K50" s="173">
        <v>44501.0</v>
      </c>
      <c r="L50" s="45" t="b">
        <v>1</v>
      </c>
    </row>
    <row r="51" hidden="1">
      <c r="A51" s="16" t="s">
        <v>1317</v>
      </c>
      <c r="B51" s="99" t="s">
        <v>1978</v>
      </c>
      <c r="C51" s="174">
        <v>200.0</v>
      </c>
      <c r="D51" s="175">
        <v>44530.0</v>
      </c>
      <c r="E51" s="97"/>
      <c r="F51" s="99">
        <v>2021.0</v>
      </c>
      <c r="G51" s="99" t="s">
        <v>1160</v>
      </c>
      <c r="H51" s="99" t="s">
        <v>1264</v>
      </c>
      <c r="I51" s="99" t="s">
        <v>1979</v>
      </c>
      <c r="J51" s="97"/>
      <c r="K51" s="177">
        <v>44501.0</v>
      </c>
      <c r="L51" s="46" t="b">
        <v>1</v>
      </c>
    </row>
    <row r="52" hidden="1">
      <c r="A52" s="4" t="s">
        <v>1322</v>
      </c>
      <c r="B52" s="170" t="s">
        <v>1978</v>
      </c>
      <c r="C52" s="171">
        <v>200.0</v>
      </c>
      <c r="D52" s="172">
        <v>44530.0</v>
      </c>
      <c r="E52" s="94"/>
      <c r="F52" s="170">
        <v>2021.0</v>
      </c>
      <c r="G52" s="170" t="s">
        <v>1160</v>
      </c>
      <c r="H52" s="170" t="s">
        <v>1264</v>
      </c>
      <c r="I52" s="170" t="s">
        <v>1979</v>
      </c>
      <c r="J52" s="94"/>
      <c r="K52" s="173">
        <v>44501.0</v>
      </c>
      <c r="L52" s="45" t="b">
        <v>1</v>
      </c>
    </row>
    <row r="53" hidden="1">
      <c r="A53" s="16" t="s">
        <v>105</v>
      </c>
      <c r="B53" s="99" t="s">
        <v>1229</v>
      </c>
      <c r="C53" s="174">
        <v>12.0</v>
      </c>
      <c r="D53" s="175">
        <v>44501.0</v>
      </c>
      <c r="E53" s="97"/>
      <c r="F53" s="99">
        <v>2021.0</v>
      </c>
      <c r="G53" s="99" t="s">
        <v>1992</v>
      </c>
      <c r="H53" s="99" t="s">
        <v>1264</v>
      </c>
      <c r="I53" s="99" t="s">
        <v>1990</v>
      </c>
      <c r="J53" s="97"/>
      <c r="K53" s="177">
        <v>44501.0</v>
      </c>
      <c r="L53" s="46" t="b">
        <v>1</v>
      </c>
    </row>
    <row r="54" hidden="1">
      <c r="A54" s="4" t="s">
        <v>1991</v>
      </c>
      <c r="B54" s="170" t="s">
        <v>1983</v>
      </c>
      <c r="C54" s="171">
        <v>150.0</v>
      </c>
      <c r="D54" s="172">
        <v>44530.0</v>
      </c>
      <c r="E54" s="94"/>
      <c r="F54" s="170">
        <v>2021.0</v>
      </c>
      <c r="G54" s="170" t="s">
        <v>1992</v>
      </c>
      <c r="H54" s="170" t="s">
        <v>1264</v>
      </c>
      <c r="I54" s="170" t="s">
        <v>1993</v>
      </c>
      <c r="J54" s="94"/>
      <c r="K54" s="173">
        <v>44501.0</v>
      </c>
      <c r="L54" s="45" t="b">
        <v>1</v>
      </c>
    </row>
    <row r="55" hidden="1">
      <c r="A55" s="16" t="s">
        <v>1991</v>
      </c>
      <c r="B55" s="99" t="s">
        <v>1982</v>
      </c>
      <c r="C55" s="174">
        <v>100.0</v>
      </c>
      <c r="D55" s="175">
        <v>44530.0</v>
      </c>
      <c r="E55" s="97"/>
      <c r="F55" s="99">
        <v>2021.0</v>
      </c>
      <c r="G55" s="99" t="s">
        <v>1992</v>
      </c>
      <c r="H55" s="99" t="s">
        <v>1264</v>
      </c>
      <c r="I55" s="99" t="s">
        <v>1993</v>
      </c>
      <c r="J55" s="97"/>
      <c r="K55" s="177">
        <v>44501.0</v>
      </c>
      <c r="L55" s="46" t="b">
        <v>1</v>
      </c>
    </row>
    <row r="56" hidden="1">
      <c r="A56" s="4" t="s">
        <v>1266</v>
      </c>
      <c r="B56" s="170" t="s">
        <v>1985</v>
      </c>
      <c r="C56" s="171">
        <v>90.0</v>
      </c>
      <c r="D56" s="172">
        <v>44530.0</v>
      </c>
      <c r="E56" s="94"/>
      <c r="F56" s="170">
        <v>2021.0</v>
      </c>
      <c r="G56" s="170" t="s">
        <v>1152</v>
      </c>
      <c r="H56" s="170" t="s">
        <v>1264</v>
      </c>
      <c r="I56" s="170" t="s">
        <v>1267</v>
      </c>
      <c r="J56" s="94"/>
      <c r="K56" s="173">
        <v>44501.0</v>
      </c>
      <c r="L56" s="45" t="b">
        <v>1</v>
      </c>
    </row>
    <row r="57" hidden="1">
      <c r="A57" s="16" t="s">
        <v>1269</v>
      </c>
      <c r="B57" s="99" t="s">
        <v>1987</v>
      </c>
      <c r="C57" s="174">
        <v>250.0</v>
      </c>
      <c r="D57" s="175">
        <v>44530.0</v>
      </c>
      <c r="E57" s="97"/>
      <c r="F57" s="99">
        <v>2021.0</v>
      </c>
      <c r="G57" s="99" t="s">
        <v>1152</v>
      </c>
      <c r="H57" s="99" t="s">
        <v>1264</v>
      </c>
      <c r="I57" s="99" t="s">
        <v>1270</v>
      </c>
      <c r="J57" s="97"/>
      <c r="K57" s="177">
        <v>44501.0</v>
      </c>
      <c r="L57" s="46" t="b">
        <v>1</v>
      </c>
    </row>
    <row r="58" hidden="1">
      <c r="A58" s="4" t="s">
        <v>1271</v>
      </c>
      <c r="B58" s="170" t="s">
        <v>1994</v>
      </c>
      <c r="C58" s="171">
        <v>6.46</v>
      </c>
      <c r="D58" s="172">
        <v>44501.0</v>
      </c>
      <c r="E58" s="94"/>
      <c r="F58" s="170">
        <v>2021.0</v>
      </c>
      <c r="G58" s="170" t="s">
        <v>1152</v>
      </c>
      <c r="H58" s="170" t="s">
        <v>1264</v>
      </c>
      <c r="I58" s="170" t="s">
        <v>1995</v>
      </c>
      <c r="J58" s="94"/>
      <c r="K58" s="173">
        <v>44501.0</v>
      </c>
      <c r="L58" s="45" t="b">
        <v>1</v>
      </c>
    </row>
    <row r="59" hidden="1">
      <c r="A59" s="16" t="s">
        <v>1271</v>
      </c>
      <c r="B59" s="99" t="s">
        <v>1996</v>
      </c>
      <c r="C59" s="174">
        <v>57.7</v>
      </c>
      <c r="D59" s="175">
        <v>44501.0</v>
      </c>
      <c r="E59" s="97"/>
      <c r="F59" s="99">
        <v>2021.0</v>
      </c>
      <c r="G59" s="99" t="s">
        <v>1152</v>
      </c>
      <c r="H59" s="99" t="s">
        <v>1264</v>
      </c>
      <c r="I59" s="99" t="s">
        <v>1995</v>
      </c>
      <c r="J59" s="97"/>
      <c r="K59" s="177">
        <v>44501.0</v>
      </c>
      <c r="L59" s="46" t="b">
        <v>1</v>
      </c>
    </row>
    <row r="60" hidden="1">
      <c r="A60" s="4" t="s">
        <v>105</v>
      </c>
      <c r="B60" s="170" t="s">
        <v>1229</v>
      </c>
      <c r="C60" s="171">
        <v>68.02</v>
      </c>
      <c r="D60" s="172">
        <v>44501.0</v>
      </c>
      <c r="E60" s="94"/>
      <c r="F60" s="170">
        <v>2021.0</v>
      </c>
      <c r="G60" s="170" t="s">
        <v>1992</v>
      </c>
      <c r="H60" s="170" t="s">
        <v>1264</v>
      </c>
      <c r="I60" s="170" t="s">
        <v>1990</v>
      </c>
      <c r="J60" s="94"/>
      <c r="K60" s="173">
        <v>44501.0</v>
      </c>
      <c r="L60" s="45" t="b">
        <v>1</v>
      </c>
    </row>
    <row r="61" hidden="1">
      <c r="A61" s="16" t="s">
        <v>1271</v>
      </c>
      <c r="B61" s="99" t="s">
        <v>1997</v>
      </c>
      <c r="C61" s="174">
        <v>51.35</v>
      </c>
      <c r="D61" s="175">
        <v>44501.0</v>
      </c>
      <c r="E61" s="97"/>
      <c r="F61" s="99">
        <v>2021.0</v>
      </c>
      <c r="G61" s="99" t="s">
        <v>1152</v>
      </c>
      <c r="H61" s="99" t="s">
        <v>1264</v>
      </c>
      <c r="I61" s="99" t="s">
        <v>1995</v>
      </c>
      <c r="J61" s="97"/>
      <c r="K61" s="177">
        <v>44501.0</v>
      </c>
      <c r="L61" s="46" t="b">
        <v>1</v>
      </c>
    </row>
    <row r="62" hidden="1">
      <c r="A62" s="4" t="s">
        <v>1271</v>
      </c>
      <c r="B62" s="170" t="s">
        <v>1998</v>
      </c>
      <c r="C62" s="171">
        <v>130.38</v>
      </c>
      <c r="D62" s="172">
        <v>44501.0</v>
      </c>
      <c r="E62" s="94"/>
      <c r="F62" s="170">
        <v>2021.0</v>
      </c>
      <c r="G62" s="170" t="s">
        <v>1152</v>
      </c>
      <c r="H62" s="170" t="s">
        <v>1264</v>
      </c>
      <c r="I62" s="170" t="s">
        <v>1995</v>
      </c>
      <c r="J62" s="94"/>
      <c r="K62" s="173">
        <v>44501.0</v>
      </c>
      <c r="L62" s="45" t="b">
        <v>1</v>
      </c>
    </row>
    <row r="63" hidden="1">
      <c r="A63" s="16" t="s">
        <v>1269</v>
      </c>
      <c r="B63" s="99" t="s">
        <v>1314</v>
      </c>
      <c r="C63" s="174">
        <v>210.0</v>
      </c>
      <c r="D63" s="175">
        <v>44501.0</v>
      </c>
      <c r="E63" s="97"/>
      <c r="F63" s="99">
        <v>2021.0</v>
      </c>
      <c r="G63" s="99" t="s">
        <v>1152</v>
      </c>
      <c r="H63" s="99" t="s">
        <v>1264</v>
      </c>
      <c r="I63" s="99" t="s">
        <v>1270</v>
      </c>
      <c r="J63" s="97"/>
      <c r="K63" s="177">
        <v>44501.0</v>
      </c>
      <c r="L63" s="46" t="b">
        <v>1</v>
      </c>
    </row>
    <row r="64" hidden="1">
      <c r="A64" s="4" t="s">
        <v>92</v>
      </c>
      <c r="B64" s="170" t="s">
        <v>1988</v>
      </c>
      <c r="C64" s="171">
        <v>58.8</v>
      </c>
      <c r="D64" s="172">
        <v>44501.0</v>
      </c>
      <c r="E64" s="94"/>
      <c r="F64" s="170">
        <v>2021.11</v>
      </c>
      <c r="G64" s="170" t="s">
        <v>52</v>
      </c>
      <c r="H64" s="170" t="s">
        <v>1999</v>
      </c>
      <c r="I64" s="170" t="s">
        <v>1977</v>
      </c>
      <c r="J64" s="94"/>
      <c r="K64" s="173">
        <v>44501.0</v>
      </c>
      <c r="L64" s="45" t="b">
        <v>1</v>
      </c>
    </row>
    <row r="65" hidden="1">
      <c r="A65" s="16" t="s">
        <v>115</v>
      </c>
      <c r="B65" s="99" t="s">
        <v>1976</v>
      </c>
      <c r="C65" s="174">
        <v>1666.58</v>
      </c>
      <c r="D65" s="175">
        <v>44501.0</v>
      </c>
      <c r="E65" s="97"/>
      <c r="F65" s="99">
        <v>2021.11</v>
      </c>
      <c r="G65" s="99" t="s">
        <v>52</v>
      </c>
      <c r="H65" s="99" t="s">
        <v>1999</v>
      </c>
      <c r="I65" s="99" t="s">
        <v>1977</v>
      </c>
      <c r="J65" s="97"/>
      <c r="K65" s="177">
        <v>44501.0</v>
      </c>
      <c r="L65" s="46" t="b">
        <v>1</v>
      </c>
    </row>
    <row r="66" hidden="1">
      <c r="A66" s="4" t="s">
        <v>118</v>
      </c>
      <c r="B66" s="170" t="s">
        <v>1976</v>
      </c>
      <c r="C66" s="171">
        <v>1665.89</v>
      </c>
      <c r="D66" s="172">
        <v>44501.0</v>
      </c>
      <c r="E66" s="94"/>
      <c r="F66" s="170">
        <v>2021.11</v>
      </c>
      <c r="G66" s="170" t="s">
        <v>52</v>
      </c>
      <c r="H66" s="170" t="s">
        <v>1999</v>
      </c>
      <c r="I66" s="170" t="s">
        <v>1977</v>
      </c>
      <c r="J66" s="94"/>
      <c r="K66" s="173">
        <v>44501.0</v>
      </c>
      <c r="L66" s="45" t="b">
        <v>1</v>
      </c>
    </row>
    <row r="67" hidden="1">
      <c r="A67" s="16" t="s">
        <v>1183</v>
      </c>
      <c r="B67" s="99" t="s">
        <v>1976</v>
      </c>
      <c r="C67" s="174">
        <v>7.84</v>
      </c>
      <c r="D67" s="175">
        <v>44501.0</v>
      </c>
      <c r="E67" s="97"/>
      <c r="F67" s="99">
        <v>2021.0</v>
      </c>
      <c r="G67" s="99" t="s">
        <v>1160</v>
      </c>
      <c r="H67" s="99" t="s">
        <v>1999</v>
      </c>
      <c r="I67" s="99" t="s">
        <v>1977</v>
      </c>
      <c r="J67" s="97"/>
      <c r="K67" s="177">
        <v>44501.0</v>
      </c>
      <c r="L67" s="46" t="b">
        <v>1</v>
      </c>
    </row>
    <row r="68" hidden="1">
      <c r="A68" s="4" t="s">
        <v>1271</v>
      </c>
      <c r="B68" s="170" t="s">
        <v>2000</v>
      </c>
      <c r="C68" s="171">
        <v>453.2</v>
      </c>
      <c r="D68" s="172">
        <v>44501.0</v>
      </c>
      <c r="E68" s="94"/>
      <c r="F68" s="170">
        <v>2021.0</v>
      </c>
      <c r="G68" s="170" t="s">
        <v>1152</v>
      </c>
      <c r="H68" s="170" t="s">
        <v>1999</v>
      </c>
      <c r="I68" s="170" t="s">
        <v>1995</v>
      </c>
      <c r="J68" s="94"/>
      <c r="K68" s="173">
        <v>44501.0</v>
      </c>
      <c r="L68" s="45" t="b">
        <v>1</v>
      </c>
    </row>
    <row r="69" hidden="1">
      <c r="A69" s="16" t="s">
        <v>33</v>
      </c>
      <c r="B69" s="99" t="s">
        <v>2001</v>
      </c>
      <c r="C69" s="174">
        <v>33.14</v>
      </c>
      <c r="D69" s="175">
        <v>44501.0</v>
      </c>
      <c r="E69" s="97"/>
      <c r="F69" s="99">
        <v>2021.0</v>
      </c>
      <c r="G69" s="99" t="s">
        <v>1160</v>
      </c>
      <c r="H69" s="99" t="s">
        <v>1999</v>
      </c>
      <c r="I69" s="99" t="s">
        <v>1990</v>
      </c>
      <c r="J69" s="97"/>
      <c r="K69" s="177">
        <v>44501.0</v>
      </c>
      <c r="L69" s="46" t="b">
        <v>1</v>
      </c>
    </row>
    <row r="70" hidden="1">
      <c r="A70" s="4" t="s">
        <v>1173</v>
      </c>
      <c r="B70" s="170" t="s">
        <v>1976</v>
      </c>
      <c r="C70" s="171">
        <v>102.19</v>
      </c>
      <c r="D70" s="172">
        <v>44501.0</v>
      </c>
      <c r="E70" s="94"/>
      <c r="F70" s="170">
        <v>2021.0</v>
      </c>
      <c r="G70" s="170" t="s">
        <v>1160</v>
      </c>
      <c r="H70" s="170" t="s">
        <v>1999</v>
      </c>
      <c r="I70" s="170" t="s">
        <v>1977</v>
      </c>
      <c r="J70" s="94"/>
      <c r="K70" s="173">
        <v>44501.0</v>
      </c>
      <c r="L70" s="45" t="b">
        <v>1</v>
      </c>
    </row>
    <row r="71" hidden="1">
      <c r="A71" s="16" t="s">
        <v>129</v>
      </c>
      <c r="B71" s="99" t="s">
        <v>2002</v>
      </c>
      <c r="C71" s="174">
        <v>168.33</v>
      </c>
      <c r="D71" s="175">
        <v>44501.0</v>
      </c>
      <c r="E71" s="97"/>
      <c r="F71" s="99">
        <v>2021.0</v>
      </c>
      <c r="G71" s="99" t="s">
        <v>1160</v>
      </c>
      <c r="H71" s="99" t="s">
        <v>1999</v>
      </c>
      <c r="I71" s="99" t="s">
        <v>1979</v>
      </c>
      <c r="J71" s="97"/>
      <c r="K71" s="177">
        <v>44501.0</v>
      </c>
      <c r="L71" s="46" t="b">
        <v>1</v>
      </c>
    </row>
    <row r="72" hidden="1">
      <c r="A72" s="4" t="s">
        <v>1166</v>
      </c>
      <c r="B72" s="170" t="s">
        <v>2002</v>
      </c>
      <c r="C72" s="171">
        <v>172.48</v>
      </c>
      <c r="D72" s="172">
        <v>44501.0</v>
      </c>
      <c r="E72" s="94"/>
      <c r="F72" s="170">
        <v>2021.0</v>
      </c>
      <c r="G72" s="170" t="s">
        <v>1160</v>
      </c>
      <c r="H72" s="170" t="s">
        <v>1999</v>
      </c>
      <c r="I72" s="170" t="s">
        <v>1979</v>
      </c>
      <c r="J72" s="94"/>
      <c r="K72" s="173">
        <v>44501.0</v>
      </c>
      <c r="L72" s="45" t="b">
        <v>1</v>
      </c>
    </row>
    <row r="73" hidden="1">
      <c r="A73" s="16" t="s">
        <v>60</v>
      </c>
      <c r="B73" s="99" t="s">
        <v>2002</v>
      </c>
      <c r="C73" s="174">
        <v>1478.44</v>
      </c>
      <c r="D73" s="175">
        <v>44501.0</v>
      </c>
      <c r="E73" s="97"/>
      <c r="F73" s="99">
        <v>2021.0</v>
      </c>
      <c r="G73" s="99" t="s">
        <v>1160</v>
      </c>
      <c r="H73" s="99" t="s">
        <v>1999</v>
      </c>
      <c r="I73" s="99" t="s">
        <v>1979</v>
      </c>
      <c r="J73" s="97"/>
      <c r="K73" s="177">
        <v>44501.0</v>
      </c>
      <c r="L73" s="46" t="b">
        <v>1</v>
      </c>
    </row>
    <row r="74" hidden="1">
      <c r="A74" s="4" t="s">
        <v>96</v>
      </c>
      <c r="B74" s="170" t="s">
        <v>2002</v>
      </c>
      <c r="C74" s="171">
        <v>21.4</v>
      </c>
      <c r="D74" s="172">
        <v>44501.0</v>
      </c>
      <c r="E74" s="94"/>
      <c r="F74" s="170">
        <v>2021.11</v>
      </c>
      <c r="G74" s="170" t="s">
        <v>52</v>
      </c>
      <c r="H74" s="170" t="s">
        <v>1999</v>
      </c>
      <c r="I74" s="170" t="s">
        <v>1979</v>
      </c>
      <c r="J74" s="94"/>
      <c r="K74" s="173">
        <v>44501.0</v>
      </c>
      <c r="L74" s="45" t="b">
        <v>1</v>
      </c>
    </row>
    <row r="75" hidden="1">
      <c r="A75" s="16" t="s">
        <v>1321</v>
      </c>
      <c r="B75" s="99" t="s">
        <v>2002</v>
      </c>
      <c r="C75" s="174">
        <v>186.34</v>
      </c>
      <c r="D75" s="175">
        <v>44501.0</v>
      </c>
      <c r="E75" s="97"/>
      <c r="F75" s="99">
        <v>2021.0</v>
      </c>
      <c r="G75" s="99" t="s">
        <v>1160</v>
      </c>
      <c r="H75" s="99" t="s">
        <v>1999</v>
      </c>
      <c r="I75" s="99" t="s">
        <v>1979</v>
      </c>
      <c r="J75" s="97"/>
      <c r="K75" s="177">
        <v>44501.0</v>
      </c>
      <c r="L75" s="46" t="b">
        <v>1</v>
      </c>
    </row>
    <row r="76" hidden="1">
      <c r="A76" s="4" t="s">
        <v>159</v>
      </c>
      <c r="B76" s="170" t="s">
        <v>2002</v>
      </c>
      <c r="C76" s="171">
        <v>54.54</v>
      </c>
      <c r="D76" s="172">
        <v>44501.0</v>
      </c>
      <c r="E76" s="94"/>
      <c r="F76" s="170">
        <v>2021.0</v>
      </c>
      <c r="G76" s="170" t="s">
        <v>1160</v>
      </c>
      <c r="H76" s="170" t="s">
        <v>1999</v>
      </c>
      <c r="I76" s="170" t="s">
        <v>1979</v>
      </c>
      <c r="J76" s="94"/>
      <c r="K76" s="173">
        <v>44501.0</v>
      </c>
      <c r="L76" s="45" t="b">
        <v>1</v>
      </c>
    </row>
    <row r="77" hidden="1">
      <c r="A77" s="16" t="s">
        <v>120</v>
      </c>
      <c r="B77" s="99" t="s">
        <v>2002</v>
      </c>
      <c r="C77" s="174">
        <v>207.46</v>
      </c>
      <c r="D77" s="175">
        <v>44501.0</v>
      </c>
      <c r="E77" s="97"/>
      <c r="F77" s="99">
        <v>2021.11</v>
      </c>
      <c r="G77" s="99" t="s">
        <v>52</v>
      </c>
      <c r="H77" s="99" t="s">
        <v>1999</v>
      </c>
      <c r="I77" s="99" t="s">
        <v>1979</v>
      </c>
      <c r="J77" s="97"/>
      <c r="K77" s="177">
        <v>44501.0</v>
      </c>
      <c r="L77" s="46" t="b">
        <v>1</v>
      </c>
    </row>
    <row r="78" hidden="1">
      <c r="A78" s="4" t="s">
        <v>162</v>
      </c>
      <c r="B78" s="170" t="s">
        <v>2002</v>
      </c>
      <c r="C78" s="171">
        <v>189.41</v>
      </c>
      <c r="D78" s="172">
        <v>44501.0</v>
      </c>
      <c r="E78" s="94"/>
      <c r="F78" s="170">
        <v>2021.0</v>
      </c>
      <c r="G78" s="170" t="s">
        <v>1160</v>
      </c>
      <c r="H78" s="170" t="s">
        <v>1999</v>
      </c>
      <c r="I78" s="170" t="s">
        <v>1979</v>
      </c>
      <c r="J78" s="94"/>
      <c r="K78" s="173">
        <v>44501.0</v>
      </c>
      <c r="L78" s="45" t="b">
        <v>1</v>
      </c>
    </row>
    <row r="79" hidden="1">
      <c r="A79" s="16" t="s">
        <v>82</v>
      </c>
      <c r="B79" s="99" t="s">
        <v>2002</v>
      </c>
      <c r="C79" s="174">
        <v>57.36</v>
      </c>
      <c r="D79" s="175">
        <v>44501.0</v>
      </c>
      <c r="E79" s="97"/>
      <c r="F79" s="99">
        <v>2021.11</v>
      </c>
      <c r="G79" s="99" t="s">
        <v>52</v>
      </c>
      <c r="H79" s="99" t="s">
        <v>1999</v>
      </c>
      <c r="I79" s="99" t="s">
        <v>1979</v>
      </c>
      <c r="J79" s="97"/>
      <c r="K79" s="177">
        <v>44501.0</v>
      </c>
      <c r="L79" s="46" t="b">
        <v>1</v>
      </c>
    </row>
    <row r="80" hidden="1">
      <c r="A80" s="4" t="s">
        <v>1242</v>
      </c>
      <c r="B80" s="170" t="s">
        <v>2002</v>
      </c>
      <c r="C80" s="171">
        <v>9.34</v>
      </c>
      <c r="D80" s="172">
        <v>44501.0</v>
      </c>
      <c r="E80" s="94"/>
      <c r="F80" s="170">
        <v>2021.0</v>
      </c>
      <c r="G80" s="170" t="s">
        <v>1152</v>
      </c>
      <c r="H80" s="170" t="s">
        <v>1999</v>
      </c>
      <c r="I80" s="170" t="s">
        <v>1979</v>
      </c>
      <c r="J80" s="94"/>
      <c r="K80" s="173">
        <v>44501.0</v>
      </c>
      <c r="L80" s="45" t="b">
        <v>1</v>
      </c>
    </row>
    <row r="81" hidden="1">
      <c r="A81" s="16" t="s">
        <v>1263</v>
      </c>
      <c r="B81" s="99" t="s">
        <v>2002</v>
      </c>
      <c r="C81" s="174">
        <v>890.17</v>
      </c>
      <c r="D81" s="175">
        <v>44501.0</v>
      </c>
      <c r="E81" s="97"/>
      <c r="F81" s="99">
        <v>2021.0</v>
      </c>
      <c r="G81" s="99" t="s">
        <v>1152</v>
      </c>
      <c r="H81" s="99" t="s">
        <v>1999</v>
      </c>
      <c r="I81" s="99" t="s">
        <v>1993</v>
      </c>
      <c r="J81" s="97"/>
      <c r="K81" s="177">
        <v>44501.0</v>
      </c>
      <c r="L81" s="46" t="b">
        <v>1</v>
      </c>
    </row>
    <row r="82" hidden="1">
      <c r="A82" s="4" t="s">
        <v>37</v>
      </c>
      <c r="B82" s="170" t="s">
        <v>2002</v>
      </c>
      <c r="C82" s="171">
        <v>352.38</v>
      </c>
      <c r="D82" s="172">
        <v>44501.0</v>
      </c>
      <c r="E82" s="94"/>
      <c r="F82" s="170">
        <v>2021.0</v>
      </c>
      <c r="G82" s="170" t="s">
        <v>1160</v>
      </c>
      <c r="H82" s="170" t="s">
        <v>1999</v>
      </c>
      <c r="I82" s="170" t="s">
        <v>1979</v>
      </c>
      <c r="J82" s="94"/>
      <c r="K82" s="173">
        <v>44501.0</v>
      </c>
      <c r="L82" s="45" t="b">
        <v>1</v>
      </c>
    </row>
    <row r="83" hidden="1">
      <c r="A83" s="16" t="s">
        <v>81</v>
      </c>
      <c r="B83" s="99" t="s">
        <v>2002</v>
      </c>
      <c r="C83" s="174">
        <v>35.48</v>
      </c>
      <c r="D83" s="175">
        <v>44501.0</v>
      </c>
      <c r="E83" s="97"/>
      <c r="F83" s="99">
        <v>2021.11</v>
      </c>
      <c r="G83" s="99" t="s">
        <v>52</v>
      </c>
      <c r="H83" s="99" t="s">
        <v>1999</v>
      </c>
      <c r="I83" s="99" t="s">
        <v>1979</v>
      </c>
      <c r="J83" s="97"/>
      <c r="K83" s="177">
        <v>44501.0</v>
      </c>
      <c r="L83" s="46" t="b">
        <v>1</v>
      </c>
    </row>
    <row r="84" hidden="1">
      <c r="A84" s="4" t="s">
        <v>1319</v>
      </c>
      <c r="B84" s="170" t="s">
        <v>2002</v>
      </c>
      <c r="C84" s="171">
        <v>21.23</v>
      </c>
      <c r="D84" s="172">
        <v>44501.0</v>
      </c>
      <c r="E84" s="94"/>
      <c r="F84" s="170">
        <v>2021.0</v>
      </c>
      <c r="G84" s="170" t="s">
        <v>1160</v>
      </c>
      <c r="H84" s="170" t="s">
        <v>1999</v>
      </c>
      <c r="I84" s="170" t="s">
        <v>1979</v>
      </c>
      <c r="J84" s="94"/>
      <c r="K84" s="173">
        <v>44501.0</v>
      </c>
      <c r="L84" s="45" t="b">
        <v>1</v>
      </c>
    </row>
    <row r="85" hidden="1">
      <c r="A85" s="16" t="s">
        <v>166</v>
      </c>
      <c r="B85" s="99" t="s">
        <v>2002</v>
      </c>
      <c r="C85" s="174">
        <v>380.94</v>
      </c>
      <c r="D85" s="175">
        <v>44501.0</v>
      </c>
      <c r="E85" s="97"/>
      <c r="F85" s="99">
        <v>2021.0</v>
      </c>
      <c r="G85" s="99" t="s">
        <v>1160</v>
      </c>
      <c r="H85" s="99" t="s">
        <v>1999</v>
      </c>
      <c r="I85" s="99" t="s">
        <v>1979</v>
      </c>
      <c r="J85" s="97"/>
      <c r="K85" s="177">
        <v>44501.0</v>
      </c>
      <c r="L85" s="46" t="b">
        <v>1</v>
      </c>
    </row>
    <row r="86" hidden="1">
      <c r="A86" s="4" t="s">
        <v>1266</v>
      </c>
      <c r="B86" s="170" t="s">
        <v>2002</v>
      </c>
      <c r="C86" s="171">
        <v>204.95</v>
      </c>
      <c r="D86" s="172">
        <v>44501.0</v>
      </c>
      <c r="E86" s="94"/>
      <c r="F86" s="170">
        <v>2021.0</v>
      </c>
      <c r="G86" s="170" t="s">
        <v>1152</v>
      </c>
      <c r="H86" s="170" t="s">
        <v>1999</v>
      </c>
      <c r="I86" s="170" t="s">
        <v>1267</v>
      </c>
      <c r="J86" s="94"/>
      <c r="K86" s="173">
        <v>44501.0</v>
      </c>
      <c r="L86" s="45" t="b">
        <v>1</v>
      </c>
    </row>
    <row r="87" hidden="1">
      <c r="A87" s="16" t="s">
        <v>22</v>
      </c>
      <c r="B87" s="99" t="s">
        <v>2002</v>
      </c>
      <c r="C87" s="174">
        <v>367.6</v>
      </c>
      <c r="D87" s="175">
        <v>44501.0</v>
      </c>
      <c r="E87" s="97"/>
      <c r="F87" s="99">
        <v>2021.0</v>
      </c>
      <c r="G87" s="99" t="s">
        <v>1160</v>
      </c>
      <c r="H87" s="99" t="s">
        <v>1999</v>
      </c>
      <c r="I87" s="99" t="s">
        <v>1979</v>
      </c>
      <c r="J87" s="97"/>
      <c r="K87" s="177">
        <v>44501.0</v>
      </c>
      <c r="L87" s="46" t="b">
        <v>1</v>
      </c>
    </row>
    <row r="88" hidden="1">
      <c r="A88" s="4" t="s">
        <v>90</v>
      </c>
      <c r="B88" s="170" t="s">
        <v>2002</v>
      </c>
      <c r="C88" s="171">
        <v>19.76</v>
      </c>
      <c r="D88" s="172">
        <v>44501.0</v>
      </c>
      <c r="E88" s="94"/>
      <c r="F88" s="170">
        <v>2021.11</v>
      </c>
      <c r="G88" s="170" t="s">
        <v>52</v>
      </c>
      <c r="H88" s="170" t="s">
        <v>1999</v>
      </c>
      <c r="I88" s="170" t="s">
        <v>1979</v>
      </c>
      <c r="J88" s="94"/>
      <c r="K88" s="173">
        <v>44501.0</v>
      </c>
      <c r="L88" s="45" t="b">
        <v>1</v>
      </c>
    </row>
    <row r="89" hidden="1">
      <c r="A89" s="16" t="s">
        <v>92</v>
      </c>
      <c r="B89" s="99" t="s">
        <v>2002</v>
      </c>
      <c r="C89" s="174">
        <v>48.02</v>
      </c>
      <c r="D89" s="175">
        <v>44501.0</v>
      </c>
      <c r="E89" s="97"/>
      <c r="F89" s="99">
        <v>2021.11</v>
      </c>
      <c r="G89" s="99" t="s">
        <v>52</v>
      </c>
      <c r="H89" s="99" t="s">
        <v>1999</v>
      </c>
      <c r="I89" s="99" t="s">
        <v>1979</v>
      </c>
      <c r="J89" s="97"/>
      <c r="K89" s="177">
        <v>44501.0</v>
      </c>
      <c r="L89" s="46" t="b">
        <v>1</v>
      </c>
    </row>
    <row r="90" hidden="1">
      <c r="A90" s="4" t="s">
        <v>1290</v>
      </c>
      <c r="B90" s="170" t="s">
        <v>2002</v>
      </c>
      <c r="C90" s="171">
        <v>55.17</v>
      </c>
      <c r="D90" s="172">
        <v>44501.0</v>
      </c>
      <c r="E90" s="94"/>
      <c r="F90" s="170">
        <v>2021.0</v>
      </c>
      <c r="G90" s="170" t="s">
        <v>1152</v>
      </c>
      <c r="H90" s="170" t="s">
        <v>1999</v>
      </c>
      <c r="I90" s="170" t="s">
        <v>1979</v>
      </c>
      <c r="J90" s="94"/>
      <c r="K90" s="173">
        <v>44501.0</v>
      </c>
      <c r="L90" s="45" t="b">
        <v>1</v>
      </c>
    </row>
    <row r="91" hidden="1">
      <c r="A91" s="16" t="s">
        <v>33</v>
      </c>
      <c r="B91" s="99" t="s">
        <v>2002</v>
      </c>
      <c r="C91" s="174">
        <v>1880.22</v>
      </c>
      <c r="D91" s="175">
        <v>44501.0</v>
      </c>
      <c r="E91" s="97"/>
      <c r="F91" s="99">
        <v>2021.0</v>
      </c>
      <c r="G91" s="99" t="s">
        <v>1160</v>
      </c>
      <c r="H91" s="99" t="s">
        <v>1999</v>
      </c>
      <c r="I91" s="99" t="s">
        <v>1979</v>
      </c>
      <c r="J91" s="97"/>
      <c r="K91" s="177">
        <v>44501.0</v>
      </c>
      <c r="L91" s="46" t="b">
        <v>1</v>
      </c>
    </row>
    <row r="92" hidden="1">
      <c r="A92" s="4" t="s">
        <v>123</v>
      </c>
      <c r="B92" s="170" t="s">
        <v>2002</v>
      </c>
      <c r="C92" s="171">
        <v>76.49</v>
      </c>
      <c r="D92" s="172">
        <v>44501.0</v>
      </c>
      <c r="E92" s="94"/>
      <c r="F92" s="170">
        <v>2021.11</v>
      </c>
      <c r="G92" s="170" t="s">
        <v>52</v>
      </c>
      <c r="H92" s="170" t="s">
        <v>1999</v>
      </c>
      <c r="I92" s="170" t="s">
        <v>1979</v>
      </c>
      <c r="J92" s="94"/>
      <c r="K92" s="173">
        <v>44501.0</v>
      </c>
      <c r="L92" s="45" t="b">
        <v>1</v>
      </c>
    </row>
    <row r="93" hidden="1">
      <c r="A93" s="16" t="s">
        <v>115</v>
      </c>
      <c r="B93" s="99" t="s">
        <v>2002</v>
      </c>
      <c r="C93" s="174">
        <v>18.52</v>
      </c>
      <c r="D93" s="175">
        <v>44501.0</v>
      </c>
      <c r="E93" s="97"/>
      <c r="F93" s="99">
        <v>2021.11</v>
      </c>
      <c r="G93" s="99" t="s">
        <v>52</v>
      </c>
      <c r="H93" s="99" t="s">
        <v>1999</v>
      </c>
      <c r="I93" s="99" t="s">
        <v>1979</v>
      </c>
      <c r="J93" s="97"/>
      <c r="K93" s="177">
        <v>44501.0</v>
      </c>
      <c r="L93" s="46" t="b">
        <v>1</v>
      </c>
    </row>
    <row r="94" hidden="1">
      <c r="A94" s="4" t="s">
        <v>99</v>
      </c>
      <c r="B94" s="170" t="s">
        <v>2002</v>
      </c>
      <c r="C94" s="171">
        <v>1.19</v>
      </c>
      <c r="D94" s="172">
        <v>44501.0</v>
      </c>
      <c r="E94" s="94"/>
      <c r="F94" s="170">
        <v>2021.11</v>
      </c>
      <c r="G94" s="170" t="s">
        <v>52</v>
      </c>
      <c r="H94" s="170" t="s">
        <v>1999</v>
      </c>
      <c r="I94" s="170" t="s">
        <v>1979</v>
      </c>
      <c r="J94" s="94"/>
      <c r="K94" s="173">
        <v>44501.0</v>
      </c>
      <c r="L94" s="45" t="b">
        <v>1</v>
      </c>
    </row>
    <row r="95" hidden="1">
      <c r="A95" s="16" t="s">
        <v>58</v>
      </c>
      <c r="B95" s="99" t="s">
        <v>2002</v>
      </c>
      <c r="C95" s="174">
        <v>210.92</v>
      </c>
      <c r="D95" s="175">
        <v>44501.0</v>
      </c>
      <c r="E95" s="97"/>
      <c r="F95" s="99">
        <v>2021.11</v>
      </c>
      <c r="G95" s="99" t="s">
        <v>52</v>
      </c>
      <c r="H95" s="99" t="s">
        <v>1999</v>
      </c>
      <c r="I95" s="99" t="s">
        <v>1979</v>
      </c>
      <c r="J95" s="97"/>
      <c r="K95" s="177">
        <v>44501.0</v>
      </c>
      <c r="L95" s="46" t="b">
        <v>1</v>
      </c>
    </row>
    <row r="96" hidden="1">
      <c r="A96" s="4" t="s">
        <v>1266</v>
      </c>
      <c r="B96" s="170" t="s">
        <v>2003</v>
      </c>
      <c r="C96" s="171">
        <v>23.33</v>
      </c>
      <c r="D96" s="172">
        <v>44501.0</v>
      </c>
      <c r="E96" s="94"/>
      <c r="F96" s="170">
        <v>2021.0</v>
      </c>
      <c r="G96" s="170" t="s">
        <v>1152</v>
      </c>
      <c r="H96" s="170" t="s">
        <v>1999</v>
      </c>
      <c r="I96" s="170" t="s">
        <v>1267</v>
      </c>
      <c r="J96" s="170" t="s">
        <v>2004</v>
      </c>
      <c r="K96" s="173">
        <v>44501.0</v>
      </c>
      <c r="L96" s="45" t="b">
        <v>1</v>
      </c>
    </row>
    <row r="97" hidden="1">
      <c r="A97" s="16" t="s">
        <v>1266</v>
      </c>
      <c r="B97" s="99" t="s">
        <v>2003</v>
      </c>
      <c r="C97" s="174">
        <v>37.33</v>
      </c>
      <c r="D97" s="175">
        <v>44501.0</v>
      </c>
      <c r="E97" s="97"/>
      <c r="F97" s="99">
        <v>2021.0</v>
      </c>
      <c r="G97" s="99" t="s">
        <v>1152</v>
      </c>
      <c r="H97" s="99" t="s">
        <v>1999</v>
      </c>
      <c r="I97" s="99" t="s">
        <v>1267</v>
      </c>
      <c r="J97" s="99" t="s">
        <v>2005</v>
      </c>
      <c r="K97" s="177">
        <v>44501.0</v>
      </c>
      <c r="L97" s="46" t="b">
        <v>1</v>
      </c>
    </row>
    <row r="98" hidden="1">
      <c r="A98" s="4" t="s">
        <v>1266</v>
      </c>
      <c r="B98" s="170" t="s">
        <v>1193</v>
      </c>
      <c r="C98" s="171">
        <v>2576.96</v>
      </c>
      <c r="D98" s="172">
        <v>44501.0</v>
      </c>
      <c r="E98" s="94"/>
      <c r="F98" s="170">
        <v>2021.0</v>
      </c>
      <c r="G98" s="170" t="s">
        <v>1152</v>
      </c>
      <c r="H98" s="170" t="s">
        <v>1999</v>
      </c>
      <c r="I98" s="170" t="s">
        <v>1267</v>
      </c>
      <c r="J98" s="170" t="s">
        <v>2006</v>
      </c>
      <c r="K98" s="173">
        <v>44501.0</v>
      </c>
      <c r="L98" s="45" t="b">
        <v>1</v>
      </c>
    </row>
    <row r="99" hidden="1">
      <c r="A99" s="16" t="s">
        <v>144</v>
      </c>
      <c r="B99" s="99" t="s">
        <v>1986</v>
      </c>
      <c r="C99" s="174">
        <v>147.6</v>
      </c>
      <c r="D99" s="175">
        <v>44561.0</v>
      </c>
      <c r="E99" s="99">
        <v>2.0</v>
      </c>
      <c r="F99" s="99">
        <v>2021.0</v>
      </c>
      <c r="G99" s="99" t="s">
        <v>1160</v>
      </c>
      <c r="H99" s="99" t="s">
        <v>1264</v>
      </c>
      <c r="I99" s="99" t="s">
        <v>1979</v>
      </c>
      <c r="J99" s="97"/>
      <c r="K99" s="177">
        <v>44531.0</v>
      </c>
      <c r="L99" s="46" t="b">
        <v>1</v>
      </c>
    </row>
    <row r="100" hidden="1">
      <c r="A100" s="4" t="s">
        <v>60</v>
      </c>
      <c r="B100" s="170" t="s">
        <v>1986</v>
      </c>
      <c r="C100" s="171">
        <v>95.1</v>
      </c>
      <c r="D100" s="172">
        <v>44561.0</v>
      </c>
      <c r="E100" s="170">
        <v>2.0</v>
      </c>
      <c r="F100" s="170">
        <v>2021.0</v>
      </c>
      <c r="G100" s="170" t="s">
        <v>1160</v>
      </c>
      <c r="H100" s="170" t="s">
        <v>1264</v>
      </c>
      <c r="I100" s="170" t="s">
        <v>1979</v>
      </c>
      <c r="J100" s="94"/>
      <c r="K100" s="173">
        <v>44531.0</v>
      </c>
      <c r="L100" s="45" t="b">
        <v>1</v>
      </c>
    </row>
    <row r="101" hidden="1">
      <c r="A101" s="16" t="s">
        <v>225</v>
      </c>
      <c r="B101" s="99" t="s">
        <v>1986</v>
      </c>
      <c r="C101" s="174">
        <v>54.9</v>
      </c>
      <c r="D101" s="175">
        <v>44561.0</v>
      </c>
      <c r="E101" s="99">
        <v>2.0</v>
      </c>
      <c r="F101" s="99">
        <v>2021.12</v>
      </c>
      <c r="G101" s="99" t="s">
        <v>52</v>
      </c>
      <c r="H101" s="99" t="s">
        <v>1264</v>
      </c>
      <c r="I101" s="99" t="s">
        <v>1979</v>
      </c>
      <c r="J101" s="97"/>
      <c r="K101" s="177">
        <v>44531.0</v>
      </c>
      <c r="L101" s="46" t="b">
        <v>1</v>
      </c>
    </row>
    <row r="102" hidden="1">
      <c r="A102" s="4" t="s">
        <v>1991</v>
      </c>
      <c r="B102" s="170" t="s">
        <v>1986</v>
      </c>
      <c r="C102" s="171">
        <v>200.0</v>
      </c>
      <c r="D102" s="172">
        <v>44561.0</v>
      </c>
      <c r="E102" s="170">
        <v>2.0</v>
      </c>
      <c r="F102" s="170">
        <v>2021.0</v>
      </c>
      <c r="G102" s="170" t="s">
        <v>1992</v>
      </c>
      <c r="H102" s="170" t="s">
        <v>1264</v>
      </c>
      <c r="I102" s="170" t="s">
        <v>1993</v>
      </c>
      <c r="J102" s="170" t="s">
        <v>2007</v>
      </c>
      <c r="K102" s="173">
        <v>44531.0</v>
      </c>
      <c r="L102" s="45" t="b">
        <v>1</v>
      </c>
    </row>
    <row r="103" hidden="1">
      <c r="A103" s="16" t="s">
        <v>97</v>
      </c>
      <c r="B103" s="99" t="s">
        <v>1978</v>
      </c>
      <c r="C103" s="174">
        <v>125.0</v>
      </c>
      <c r="D103" s="175">
        <v>44561.0</v>
      </c>
      <c r="E103" s="97"/>
      <c r="F103" s="99">
        <v>2021.12</v>
      </c>
      <c r="G103" s="99" t="s">
        <v>52</v>
      </c>
      <c r="H103" s="99" t="s">
        <v>1264</v>
      </c>
      <c r="I103" s="99" t="s">
        <v>1979</v>
      </c>
      <c r="J103" s="97"/>
      <c r="K103" s="177">
        <v>44531.0</v>
      </c>
      <c r="L103" s="46" t="b">
        <v>1</v>
      </c>
    </row>
    <row r="104" hidden="1">
      <c r="A104" s="4" t="s">
        <v>147</v>
      </c>
      <c r="B104" s="170" t="s">
        <v>1978</v>
      </c>
      <c r="C104" s="171">
        <v>200.0</v>
      </c>
      <c r="D104" s="172">
        <v>44561.0</v>
      </c>
      <c r="E104" s="94"/>
      <c r="F104" s="170">
        <v>2021.12</v>
      </c>
      <c r="G104" s="170" t="s">
        <v>52</v>
      </c>
      <c r="H104" s="170" t="s">
        <v>1264</v>
      </c>
      <c r="I104" s="170" t="s">
        <v>1979</v>
      </c>
      <c r="J104" s="94"/>
      <c r="K104" s="173">
        <v>44531.0</v>
      </c>
      <c r="L104" s="45" t="b">
        <v>1</v>
      </c>
    </row>
    <row r="105" hidden="1">
      <c r="A105" s="16" t="s">
        <v>88</v>
      </c>
      <c r="B105" s="99" t="s">
        <v>1978</v>
      </c>
      <c r="C105" s="174">
        <v>212.5</v>
      </c>
      <c r="D105" s="175">
        <v>44561.0</v>
      </c>
      <c r="E105" s="97"/>
      <c r="F105" s="99">
        <v>2021.12</v>
      </c>
      <c r="G105" s="99" t="s">
        <v>52</v>
      </c>
      <c r="H105" s="99" t="s">
        <v>1264</v>
      </c>
      <c r="I105" s="99" t="s">
        <v>1979</v>
      </c>
      <c r="J105" s="97"/>
      <c r="K105" s="177">
        <v>44531.0</v>
      </c>
      <c r="L105" s="46" t="b">
        <v>1</v>
      </c>
    </row>
    <row r="106" hidden="1">
      <c r="A106" s="4" t="s">
        <v>73</v>
      </c>
      <c r="B106" s="170" t="s">
        <v>1978</v>
      </c>
      <c r="C106" s="171">
        <v>250.0</v>
      </c>
      <c r="D106" s="172">
        <v>44561.0</v>
      </c>
      <c r="E106" s="94"/>
      <c r="F106" s="170">
        <v>2021.12</v>
      </c>
      <c r="G106" s="170" t="s">
        <v>52</v>
      </c>
      <c r="H106" s="170" t="s">
        <v>1264</v>
      </c>
      <c r="I106" s="170" t="s">
        <v>1979</v>
      </c>
      <c r="J106" s="94"/>
      <c r="K106" s="173">
        <v>44531.0</v>
      </c>
      <c r="L106" s="45" t="b">
        <v>1</v>
      </c>
    </row>
    <row r="107" hidden="1">
      <c r="A107" s="16" t="s">
        <v>79</v>
      </c>
      <c r="B107" s="99" t="s">
        <v>1978</v>
      </c>
      <c r="C107" s="174">
        <v>250.0</v>
      </c>
      <c r="D107" s="175">
        <v>44561.0</v>
      </c>
      <c r="E107" s="97"/>
      <c r="F107" s="99">
        <v>2021.12</v>
      </c>
      <c r="G107" s="99" t="s">
        <v>52</v>
      </c>
      <c r="H107" s="99" t="s">
        <v>1264</v>
      </c>
      <c r="I107" s="99" t="s">
        <v>1979</v>
      </c>
      <c r="J107" s="97"/>
      <c r="K107" s="177">
        <v>44531.0</v>
      </c>
      <c r="L107" s="46" t="b">
        <v>1</v>
      </c>
    </row>
    <row r="108" hidden="1">
      <c r="A108" s="4" t="s">
        <v>1317</v>
      </c>
      <c r="B108" s="170" t="s">
        <v>1978</v>
      </c>
      <c r="C108" s="171">
        <v>150.0</v>
      </c>
      <c r="D108" s="172">
        <v>44561.0</v>
      </c>
      <c r="E108" s="94"/>
      <c r="F108" s="170">
        <v>2021.0</v>
      </c>
      <c r="G108" s="170" t="s">
        <v>1160</v>
      </c>
      <c r="H108" s="170" t="s">
        <v>1264</v>
      </c>
      <c r="I108" s="170" t="s">
        <v>1979</v>
      </c>
      <c r="J108" s="94"/>
      <c r="K108" s="173">
        <v>44531.0</v>
      </c>
      <c r="L108" s="45" t="b">
        <v>1</v>
      </c>
    </row>
    <row r="109" hidden="1">
      <c r="A109" s="16" t="s">
        <v>42</v>
      </c>
      <c r="B109" s="99" t="s">
        <v>1984</v>
      </c>
      <c r="C109" s="174">
        <v>300.0</v>
      </c>
      <c r="D109" s="175">
        <v>44561.0</v>
      </c>
      <c r="E109" s="99">
        <v>13.0</v>
      </c>
      <c r="F109" s="99">
        <v>2021.12</v>
      </c>
      <c r="G109" s="99" t="s">
        <v>52</v>
      </c>
      <c r="H109" s="99" t="s">
        <v>1264</v>
      </c>
      <c r="I109" s="99" t="s">
        <v>1979</v>
      </c>
      <c r="J109" s="97"/>
      <c r="K109" s="177">
        <v>44531.0</v>
      </c>
      <c r="L109" s="46" t="b">
        <v>1</v>
      </c>
    </row>
    <row r="110" hidden="1">
      <c r="A110" s="4" t="s">
        <v>92</v>
      </c>
      <c r="B110" s="170" t="s">
        <v>1984</v>
      </c>
      <c r="C110" s="171">
        <v>212.5</v>
      </c>
      <c r="D110" s="172">
        <v>44561.0</v>
      </c>
      <c r="E110" s="170">
        <v>13.0</v>
      </c>
      <c r="F110" s="170">
        <v>2021.12</v>
      </c>
      <c r="G110" s="170" t="s">
        <v>52</v>
      </c>
      <c r="H110" s="170" t="s">
        <v>1264</v>
      </c>
      <c r="I110" s="170" t="s">
        <v>1979</v>
      </c>
      <c r="J110" s="94"/>
      <c r="K110" s="173">
        <v>44531.0</v>
      </c>
      <c r="L110" s="45" t="b">
        <v>1</v>
      </c>
    </row>
    <row r="111" hidden="1">
      <c r="A111" s="16" t="s">
        <v>54</v>
      </c>
      <c r="B111" s="99" t="s">
        <v>1984</v>
      </c>
      <c r="C111" s="174">
        <f>125+325</f>
        <v>450</v>
      </c>
      <c r="D111" s="175">
        <v>44561.0</v>
      </c>
      <c r="E111" s="99">
        <v>13.0</v>
      </c>
      <c r="F111" s="99">
        <v>2021.12</v>
      </c>
      <c r="G111" s="99" t="s">
        <v>52</v>
      </c>
      <c r="H111" s="99" t="s">
        <v>1264</v>
      </c>
      <c r="I111" s="99" t="s">
        <v>1979</v>
      </c>
      <c r="J111" s="99" t="s">
        <v>2008</v>
      </c>
      <c r="K111" s="177">
        <v>44531.0</v>
      </c>
      <c r="L111" s="46" t="b">
        <v>1</v>
      </c>
    </row>
    <row r="112" hidden="1">
      <c r="A112" s="4" t="s">
        <v>147</v>
      </c>
      <c r="B112" s="170" t="s">
        <v>1984</v>
      </c>
      <c r="C112" s="171">
        <v>250.0</v>
      </c>
      <c r="D112" s="172">
        <v>44561.0</v>
      </c>
      <c r="E112" s="170">
        <v>13.0</v>
      </c>
      <c r="F112" s="170">
        <v>2021.12</v>
      </c>
      <c r="G112" s="170" t="s">
        <v>52</v>
      </c>
      <c r="H112" s="170" t="s">
        <v>1264</v>
      </c>
      <c r="I112" s="170" t="s">
        <v>1979</v>
      </c>
      <c r="J112" s="94"/>
      <c r="K112" s="173">
        <v>44531.0</v>
      </c>
      <c r="L112" s="45" t="b">
        <v>1</v>
      </c>
    </row>
    <row r="113" hidden="1">
      <c r="A113" s="16" t="s">
        <v>102</v>
      </c>
      <c r="B113" s="99" t="s">
        <v>1987</v>
      </c>
      <c r="C113" s="174">
        <v>250.0</v>
      </c>
      <c r="D113" s="175">
        <v>44561.0</v>
      </c>
      <c r="E113" s="99">
        <v>1016.0</v>
      </c>
      <c r="F113" s="99">
        <v>2021.12</v>
      </c>
      <c r="G113" s="99" t="s">
        <v>52</v>
      </c>
      <c r="H113" s="99" t="s">
        <v>1264</v>
      </c>
      <c r="I113" s="99" t="s">
        <v>1979</v>
      </c>
      <c r="J113" s="97"/>
      <c r="K113" s="177">
        <v>44531.0</v>
      </c>
      <c r="L113" s="46" t="b">
        <v>1</v>
      </c>
    </row>
    <row r="114" hidden="1">
      <c r="A114" s="4" t="s">
        <v>1269</v>
      </c>
      <c r="B114" s="170" t="s">
        <v>1987</v>
      </c>
      <c r="C114" s="171">
        <v>100.0</v>
      </c>
      <c r="D114" s="172">
        <v>44561.0</v>
      </c>
      <c r="E114" s="170">
        <v>1016.0</v>
      </c>
      <c r="F114" s="170">
        <v>2021.0</v>
      </c>
      <c r="G114" s="170" t="s">
        <v>1152</v>
      </c>
      <c r="H114" s="170" t="s">
        <v>1264</v>
      </c>
      <c r="I114" s="170" t="s">
        <v>1979</v>
      </c>
      <c r="J114" s="94"/>
      <c r="K114" s="173">
        <v>44531.0</v>
      </c>
      <c r="L114" s="45" t="b">
        <v>1</v>
      </c>
    </row>
    <row r="115" hidden="1">
      <c r="A115" s="16" t="s">
        <v>177</v>
      </c>
      <c r="B115" s="99" t="s">
        <v>1983</v>
      </c>
      <c r="C115" s="174">
        <v>137.5</v>
      </c>
      <c r="D115" s="175">
        <v>44561.0</v>
      </c>
      <c r="E115" s="99">
        <v>57.0</v>
      </c>
      <c r="F115" s="99">
        <v>2021.0</v>
      </c>
      <c r="G115" s="99" t="s">
        <v>1160</v>
      </c>
      <c r="H115" s="99" t="s">
        <v>1264</v>
      </c>
      <c r="I115" s="99" t="s">
        <v>1979</v>
      </c>
      <c r="J115" s="97"/>
      <c r="K115" s="177">
        <v>44531.0</v>
      </c>
      <c r="L115" s="46" t="b">
        <v>1</v>
      </c>
    </row>
    <row r="116" hidden="1">
      <c r="A116" s="4" t="s">
        <v>81</v>
      </c>
      <c r="B116" s="170" t="s">
        <v>1983</v>
      </c>
      <c r="C116" s="171">
        <v>250.0</v>
      </c>
      <c r="D116" s="172">
        <v>44561.0</v>
      </c>
      <c r="E116" s="170">
        <v>57.0</v>
      </c>
      <c r="F116" s="170">
        <v>2021.12</v>
      </c>
      <c r="G116" s="170" t="s">
        <v>52</v>
      </c>
      <c r="H116" s="170" t="s">
        <v>1264</v>
      </c>
      <c r="I116" s="170" t="s">
        <v>1979</v>
      </c>
      <c r="J116" s="94"/>
      <c r="K116" s="173">
        <v>44531.0</v>
      </c>
      <c r="L116" s="45" t="b">
        <v>1</v>
      </c>
    </row>
    <row r="117" hidden="1">
      <c r="A117" s="16" t="s">
        <v>1269</v>
      </c>
      <c r="B117" s="99" t="s">
        <v>1983</v>
      </c>
      <c r="C117" s="174">
        <v>62.5</v>
      </c>
      <c r="D117" s="175">
        <v>44561.0</v>
      </c>
      <c r="E117" s="99">
        <v>57.0</v>
      </c>
      <c r="F117" s="99">
        <v>2021.0</v>
      </c>
      <c r="G117" s="99" t="s">
        <v>1152</v>
      </c>
      <c r="H117" s="99" t="s">
        <v>1264</v>
      </c>
      <c r="I117" s="99" t="s">
        <v>1270</v>
      </c>
      <c r="J117" s="99" t="s">
        <v>2009</v>
      </c>
      <c r="K117" s="177">
        <v>44531.0</v>
      </c>
      <c r="L117" s="46" t="b">
        <v>1</v>
      </c>
    </row>
    <row r="118" hidden="1">
      <c r="A118" s="4" t="s">
        <v>115</v>
      </c>
      <c r="B118" s="170" t="s">
        <v>1982</v>
      </c>
      <c r="C118" s="171">
        <v>662.5</v>
      </c>
      <c r="D118" s="172">
        <v>44561.0</v>
      </c>
      <c r="E118" s="170" t="s">
        <v>2010</v>
      </c>
      <c r="F118" s="170">
        <v>2021.12</v>
      </c>
      <c r="G118" s="170" t="s">
        <v>52</v>
      </c>
      <c r="H118" s="170" t="s">
        <v>1264</v>
      </c>
      <c r="I118" s="170" t="s">
        <v>1979</v>
      </c>
      <c r="J118" s="94"/>
      <c r="K118" s="173">
        <v>44531.0</v>
      </c>
      <c r="L118" s="45" t="b">
        <v>1</v>
      </c>
    </row>
    <row r="119" hidden="1">
      <c r="A119" s="16" t="s">
        <v>118</v>
      </c>
      <c r="B119" s="99" t="s">
        <v>1982</v>
      </c>
      <c r="C119" s="174">
        <v>662.5</v>
      </c>
      <c r="D119" s="175">
        <v>44561.0</v>
      </c>
      <c r="E119" s="99" t="s">
        <v>2010</v>
      </c>
      <c r="F119" s="99">
        <v>2021.12</v>
      </c>
      <c r="G119" s="99" t="s">
        <v>52</v>
      </c>
      <c r="H119" s="99" t="s">
        <v>1264</v>
      </c>
      <c r="I119" s="99" t="s">
        <v>1979</v>
      </c>
      <c r="J119" s="97"/>
      <c r="K119" s="177">
        <v>44531.0</v>
      </c>
      <c r="L119" s="46" t="b">
        <v>1</v>
      </c>
    </row>
    <row r="120" hidden="1">
      <c r="A120" s="4" t="s">
        <v>92</v>
      </c>
      <c r="B120" s="170" t="s">
        <v>1982</v>
      </c>
      <c r="C120" s="171">
        <v>350.0</v>
      </c>
      <c r="D120" s="172">
        <v>44561.0</v>
      </c>
      <c r="E120" s="170" t="s">
        <v>2010</v>
      </c>
      <c r="F120" s="170">
        <v>2021.12</v>
      </c>
      <c r="G120" s="170" t="s">
        <v>52</v>
      </c>
      <c r="H120" s="170" t="s">
        <v>1264</v>
      </c>
      <c r="I120" s="170" t="s">
        <v>1979</v>
      </c>
      <c r="J120" s="94"/>
      <c r="K120" s="173">
        <v>44531.0</v>
      </c>
      <c r="L120" s="45" t="b">
        <v>1</v>
      </c>
    </row>
    <row r="121" hidden="1">
      <c r="A121" s="16" t="s">
        <v>84</v>
      </c>
      <c r="B121" s="99" t="s">
        <v>1982</v>
      </c>
      <c r="C121" s="174">
        <v>475.0</v>
      </c>
      <c r="D121" s="175">
        <v>44561.0</v>
      </c>
      <c r="E121" s="99" t="s">
        <v>2010</v>
      </c>
      <c r="F121" s="99">
        <v>2021.12</v>
      </c>
      <c r="G121" s="99" t="s">
        <v>52</v>
      </c>
      <c r="H121" s="99" t="s">
        <v>1264</v>
      </c>
      <c r="I121" s="99" t="s">
        <v>1979</v>
      </c>
      <c r="J121" s="97"/>
      <c r="K121" s="177">
        <v>44531.0</v>
      </c>
      <c r="L121" s="46" t="b">
        <v>1</v>
      </c>
    </row>
    <row r="122" hidden="1">
      <c r="A122" s="4" t="s">
        <v>123</v>
      </c>
      <c r="B122" s="170" t="s">
        <v>1982</v>
      </c>
      <c r="C122" s="171">
        <v>1287.5</v>
      </c>
      <c r="D122" s="172">
        <v>44561.0</v>
      </c>
      <c r="E122" s="170" t="s">
        <v>2010</v>
      </c>
      <c r="F122" s="170">
        <v>2021.12</v>
      </c>
      <c r="G122" s="170" t="s">
        <v>52</v>
      </c>
      <c r="H122" s="170" t="s">
        <v>1264</v>
      </c>
      <c r="I122" s="170" t="s">
        <v>1979</v>
      </c>
      <c r="J122" s="94"/>
      <c r="K122" s="173">
        <v>44531.0</v>
      </c>
      <c r="L122" s="45" t="b">
        <v>1</v>
      </c>
    </row>
    <row r="123" hidden="1">
      <c r="A123" s="16" t="s">
        <v>62</v>
      </c>
      <c r="B123" s="99" t="s">
        <v>1982</v>
      </c>
      <c r="C123" s="174">
        <v>400.0</v>
      </c>
      <c r="D123" s="175">
        <v>44561.0</v>
      </c>
      <c r="E123" s="99" t="s">
        <v>2010</v>
      </c>
      <c r="F123" s="99">
        <v>2021.12</v>
      </c>
      <c r="G123" s="99" t="s">
        <v>52</v>
      </c>
      <c r="H123" s="99" t="s">
        <v>1264</v>
      </c>
      <c r="I123" s="99" t="s">
        <v>1979</v>
      </c>
      <c r="J123" s="97"/>
      <c r="K123" s="177">
        <v>44531.0</v>
      </c>
      <c r="L123" s="46" t="b">
        <v>1</v>
      </c>
    </row>
    <row r="124" hidden="1">
      <c r="A124" s="4" t="s">
        <v>147</v>
      </c>
      <c r="B124" s="170" t="s">
        <v>1980</v>
      </c>
      <c r="C124" s="171">
        <v>75.0</v>
      </c>
      <c r="D124" s="172">
        <v>44561.0</v>
      </c>
      <c r="E124" s="170">
        <v>106.0</v>
      </c>
      <c r="F124" s="170">
        <v>2021.12</v>
      </c>
      <c r="G124" s="170" t="s">
        <v>52</v>
      </c>
      <c r="H124" s="170" t="s">
        <v>1264</v>
      </c>
      <c r="I124" s="170" t="s">
        <v>1979</v>
      </c>
      <c r="J124" s="94"/>
      <c r="K124" s="173">
        <v>44531.0</v>
      </c>
      <c r="L124" s="45" t="b">
        <v>1</v>
      </c>
    </row>
    <row r="125" hidden="1">
      <c r="A125" s="16" t="s">
        <v>92</v>
      </c>
      <c r="B125" s="99" t="s">
        <v>1980</v>
      </c>
      <c r="C125" s="96">
        <f>350+225</f>
        <v>575</v>
      </c>
      <c r="D125" s="175">
        <v>44561.0</v>
      </c>
      <c r="E125" s="99">
        <v>106.0</v>
      </c>
      <c r="F125" s="99">
        <v>2021.12</v>
      </c>
      <c r="G125" s="99" t="s">
        <v>52</v>
      </c>
      <c r="H125" s="99" t="s">
        <v>1264</v>
      </c>
      <c r="I125" s="99" t="s">
        <v>1979</v>
      </c>
      <c r="J125" s="97"/>
      <c r="K125" s="177">
        <v>44531.0</v>
      </c>
      <c r="L125" s="46" t="b">
        <v>1</v>
      </c>
    </row>
    <row r="126" hidden="1">
      <c r="A126" s="4" t="s">
        <v>88</v>
      </c>
      <c r="B126" s="170" t="s">
        <v>1980</v>
      </c>
      <c r="C126" s="171">
        <v>45.0</v>
      </c>
      <c r="D126" s="172">
        <v>44561.0</v>
      </c>
      <c r="E126" s="170">
        <v>106.0</v>
      </c>
      <c r="F126" s="170">
        <v>2021.12</v>
      </c>
      <c r="G126" s="170" t="s">
        <v>52</v>
      </c>
      <c r="H126" s="170" t="s">
        <v>1264</v>
      </c>
      <c r="I126" s="170" t="s">
        <v>1979</v>
      </c>
      <c r="J126" s="94"/>
      <c r="K126" s="173">
        <v>44531.0</v>
      </c>
      <c r="L126" s="45" t="b">
        <v>1</v>
      </c>
    </row>
    <row r="127" hidden="1">
      <c r="A127" s="16" t="s">
        <v>151</v>
      </c>
      <c r="B127" s="99" t="s">
        <v>1980</v>
      </c>
      <c r="C127" s="96">
        <f>250+60</f>
        <v>310</v>
      </c>
      <c r="D127" s="175">
        <v>44561.0</v>
      </c>
      <c r="E127" s="99">
        <v>106.0</v>
      </c>
      <c r="F127" s="99">
        <v>2021.12</v>
      </c>
      <c r="G127" s="99" t="s">
        <v>52</v>
      </c>
      <c r="H127" s="99" t="s">
        <v>1264</v>
      </c>
      <c r="I127" s="99" t="s">
        <v>1979</v>
      </c>
      <c r="J127" s="97"/>
      <c r="K127" s="177">
        <v>44531.0</v>
      </c>
      <c r="L127" s="46" t="b">
        <v>1</v>
      </c>
    </row>
    <row r="128" hidden="1">
      <c r="A128" s="31" t="s">
        <v>2011</v>
      </c>
      <c r="B128" s="170" t="s">
        <v>1980</v>
      </c>
      <c r="C128" s="93">
        <f t="shared" ref="C128:C129" si="1">150+30</f>
        <v>180</v>
      </c>
      <c r="D128" s="172">
        <v>44561.0</v>
      </c>
      <c r="E128" s="170">
        <v>106.0</v>
      </c>
      <c r="F128" s="170">
        <v>2021.12</v>
      </c>
      <c r="G128" s="170" t="s">
        <v>52</v>
      </c>
      <c r="H128" s="170" t="s">
        <v>1264</v>
      </c>
      <c r="I128" s="170" t="s">
        <v>1979</v>
      </c>
      <c r="J128" s="94"/>
      <c r="K128" s="173">
        <v>44531.0</v>
      </c>
      <c r="L128" s="45" t="b">
        <v>1</v>
      </c>
    </row>
    <row r="129" hidden="1">
      <c r="A129" s="16" t="s">
        <v>86</v>
      </c>
      <c r="B129" s="99" t="s">
        <v>1980</v>
      </c>
      <c r="C129" s="96">
        <f t="shared" si="1"/>
        <v>180</v>
      </c>
      <c r="D129" s="175">
        <v>44561.0</v>
      </c>
      <c r="E129" s="99">
        <v>106.0</v>
      </c>
      <c r="F129" s="99">
        <v>2021.12</v>
      </c>
      <c r="G129" s="99" t="s">
        <v>52</v>
      </c>
      <c r="H129" s="99" t="s">
        <v>1264</v>
      </c>
      <c r="I129" s="99" t="s">
        <v>1979</v>
      </c>
      <c r="J129" s="97"/>
      <c r="K129" s="177">
        <v>44531.0</v>
      </c>
      <c r="L129" s="46" t="b">
        <v>1</v>
      </c>
    </row>
    <row r="130" hidden="1">
      <c r="A130" s="4" t="s">
        <v>97</v>
      </c>
      <c r="B130" s="170" t="s">
        <v>1980</v>
      </c>
      <c r="C130" s="171">
        <v>30.0</v>
      </c>
      <c r="D130" s="172">
        <v>44561.0</v>
      </c>
      <c r="E130" s="170">
        <v>106.0</v>
      </c>
      <c r="F130" s="170">
        <v>2021.12</v>
      </c>
      <c r="G130" s="170" t="s">
        <v>52</v>
      </c>
      <c r="H130" s="170" t="s">
        <v>1264</v>
      </c>
      <c r="I130" s="170" t="s">
        <v>1979</v>
      </c>
      <c r="J130" s="94"/>
      <c r="K130" s="173">
        <v>44531.0</v>
      </c>
      <c r="L130" s="45" t="b">
        <v>1</v>
      </c>
    </row>
    <row r="131" hidden="1">
      <c r="A131" s="16" t="s">
        <v>82</v>
      </c>
      <c r="B131" s="99" t="s">
        <v>1980</v>
      </c>
      <c r="C131" s="96">
        <f>225+75</f>
        <v>300</v>
      </c>
      <c r="D131" s="175">
        <v>44561.0</v>
      </c>
      <c r="E131" s="99">
        <v>106.0</v>
      </c>
      <c r="F131" s="99">
        <v>2021.12</v>
      </c>
      <c r="G131" s="99" t="s">
        <v>52</v>
      </c>
      <c r="H131" s="99" t="s">
        <v>1264</v>
      </c>
      <c r="I131" s="99" t="s">
        <v>1979</v>
      </c>
      <c r="J131" s="97"/>
      <c r="K131" s="177">
        <v>44531.0</v>
      </c>
      <c r="L131" s="46" t="b">
        <v>1</v>
      </c>
    </row>
    <row r="132" hidden="1">
      <c r="A132" s="4" t="s">
        <v>99</v>
      </c>
      <c r="B132" s="170" t="s">
        <v>1980</v>
      </c>
      <c r="C132" s="93">
        <f>375+120</f>
        <v>495</v>
      </c>
      <c r="D132" s="172">
        <v>44561.0</v>
      </c>
      <c r="E132" s="170">
        <v>106.0</v>
      </c>
      <c r="F132" s="170">
        <v>2021.12</v>
      </c>
      <c r="G132" s="170" t="s">
        <v>52</v>
      </c>
      <c r="H132" s="170" t="s">
        <v>1264</v>
      </c>
      <c r="I132" s="170" t="s">
        <v>1979</v>
      </c>
      <c r="J132" s="94"/>
      <c r="K132" s="173">
        <v>44531.0</v>
      </c>
      <c r="L132" s="45" t="b">
        <v>1</v>
      </c>
    </row>
    <row r="133" hidden="1">
      <c r="A133" s="16" t="s">
        <v>68</v>
      </c>
      <c r="B133" s="99" t="s">
        <v>1980</v>
      </c>
      <c r="C133" s="96">
        <f>237.5+60</f>
        <v>297.5</v>
      </c>
      <c r="D133" s="175">
        <v>44561.0</v>
      </c>
      <c r="E133" s="99">
        <v>106.0</v>
      </c>
      <c r="F133" s="99">
        <v>2021.12</v>
      </c>
      <c r="G133" s="99" t="s">
        <v>52</v>
      </c>
      <c r="H133" s="99" t="s">
        <v>1264</v>
      </c>
      <c r="I133" s="99" t="s">
        <v>1979</v>
      </c>
      <c r="J133" s="97"/>
      <c r="K133" s="177">
        <v>44531.0</v>
      </c>
      <c r="L133" s="46" t="b">
        <v>1</v>
      </c>
    </row>
    <row r="134" hidden="1">
      <c r="A134" s="4" t="s">
        <v>42</v>
      </c>
      <c r="B134" s="170" t="s">
        <v>1980</v>
      </c>
      <c r="C134" s="93">
        <f>187.5+135</f>
        <v>322.5</v>
      </c>
      <c r="D134" s="172">
        <v>44561.0</v>
      </c>
      <c r="E134" s="170">
        <v>106.0</v>
      </c>
      <c r="F134" s="170">
        <v>2021.12</v>
      </c>
      <c r="G134" s="170" t="s">
        <v>52</v>
      </c>
      <c r="H134" s="170" t="s">
        <v>1264</v>
      </c>
      <c r="I134" s="170" t="s">
        <v>1979</v>
      </c>
      <c r="J134" s="94"/>
      <c r="K134" s="173">
        <v>44531.0</v>
      </c>
      <c r="L134" s="45" t="b">
        <v>1</v>
      </c>
    </row>
    <row r="135" hidden="1">
      <c r="A135" s="16" t="s">
        <v>58</v>
      </c>
      <c r="B135" s="99" t="s">
        <v>1980</v>
      </c>
      <c r="C135" s="174">
        <v>400.0</v>
      </c>
      <c r="D135" s="175">
        <v>44561.0</v>
      </c>
      <c r="E135" s="99">
        <v>106.0</v>
      </c>
      <c r="F135" s="99">
        <v>2021.12</v>
      </c>
      <c r="G135" s="99" t="s">
        <v>52</v>
      </c>
      <c r="H135" s="99" t="s">
        <v>1264</v>
      </c>
      <c r="I135" s="99" t="s">
        <v>1979</v>
      </c>
      <c r="J135" s="97"/>
      <c r="K135" s="177">
        <v>44531.0</v>
      </c>
      <c r="L135" s="46" t="b">
        <v>1</v>
      </c>
    </row>
    <row r="136" hidden="1">
      <c r="A136" s="4" t="s">
        <v>123</v>
      </c>
      <c r="B136" s="170" t="s">
        <v>1980</v>
      </c>
      <c r="C136" s="171">
        <v>700.0</v>
      </c>
      <c r="D136" s="172">
        <v>44561.0</v>
      </c>
      <c r="E136" s="170">
        <v>106.0</v>
      </c>
      <c r="F136" s="170">
        <v>2021.12</v>
      </c>
      <c r="G136" s="170" t="s">
        <v>52</v>
      </c>
      <c r="H136" s="170" t="s">
        <v>1264</v>
      </c>
      <c r="I136" s="170" t="s">
        <v>1979</v>
      </c>
      <c r="J136" s="94"/>
      <c r="K136" s="173">
        <v>44531.0</v>
      </c>
      <c r="L136" s="45" t="b">
        <v>1</v>
      </c>
    </row>
    <row r="137" hidden="1">
      <c r="A137" s="16" t="s">
        <v>73</v>
      </c>
      <c r="B137" s="99" t="s">
        <v>1980</v>
      </c>
      <c r="C137" s="174">
        <v>60.0</v>
      </c>
      <c r="D137" s="175">
        <v>44561.0</v>
      </c>
      <c r="E137" s="99">
        <v>106.0</v>
      </c>
      <c r="F137" s="99">
        <v>2021.12</v>
      </c>
      <c r="G137" s="99" t="s">
        <v>52</v>
      </c>
      <c r="H137" s="99" t="s">
        <v>1264</v>
      </c>
      <c r="I137" s="99" t="s">
        <v>1979</v>
      </c>
      <c r="J137" s="97"/>
      <c r="K137" s="177">
        <v>44531.0</v>
      </c>
      <c r="L137" s="46" t="b">
        <v>1</v>
      </c>
    </row>
    <row r="138" hidden="1">
      <c r="A138" s="4" t="s">
        <v>50</v>
      </c>
      <c r="B138" s="170" t="s">
        <v>1980</v>
      </c>
      <c r="C138" s="93">
        <f>137.5+30</f>
        <v>167.5</v>
      </c>
      <c r="D138" s="172">
        <v>44561.0</v>
      </c>
      <c r="E138" s="170">
        <v>106.0</v>
      </c>
      <c r="F138" s="170">
        <v>2021.12</v>
      </c>
      <c r="G138" s="170" t="s">
        <v>52</v>
      </c>
      <c r="H138" s="170" t="s">
        <v>1264</v>
      </c>
      <c r="I138" s="170" t="s">
        <v>1979</v>
      </c>
      <c r="J138" s="94"/>
      <c r="K138" s="173">
        <v>44531.0</v>
      </c>
      <c r="L138" s="45" t="b">
        <v>1</v>
      </c>
    </row>
    <row r="139" hidden="1">
      <c r="A139" s="16" t="s">
        <v>62</v>
      </c>
      <c r="B139" s="99" t="s">
        <v>1980</v>
      </c>
      <c r="C139" s="96">
        <f>200+150</f>
        <v>350</v>
      </c>
      <c r="D139" s="175">
        <v>44561.0</v>
      </c>
      <c r="E139" s="99">
        <v>106.0</v>
      </c>
      <c r="F139" s="99">
        <v>2021.12</v>
      </c>
      <c r="G139" s="99" t="s">
        <v>52</v>
      </c>
      <c r="H139" s="99" t="s">
        <v>1264</v>
      </c>
      <c r="I139" s="99" t="s">
        <v>1979</v>
      </c>
      <c r="J139" s="97"/>
      <c r="K139" s="177">
        <v>44531.0</v>
      </c>
      <c r="L139" s="46" t="b">
        <v>1</v>
      </c>
    </row>
    <row r="140" hidden="1">
      <c r="A140" s="4" t="s">
        <v>137</v>
      </c>
      <c r="B140" s="170" t="s">
        <v>1980</v>
      </c>
      <c r="C140" s="171">
        <v>750.0</v>
      </c>
      <c r="D140" s="172">
        <v>44561.0</v>
      </c>
      <c r="E140" s="170">
        <v>106.0</v>
      </c>
      <c r="F140" s="170">
        <v>2021.0</v>
      </c>
      <c r="G140" s="170" t="s">
        <v>1160</v>
      </c>
      <c r="H140" s="170" t="s">
        <v>1264</v>
      </c>
      <c r="I140" s="170" t="s">
        <v>1979</v>
      </c>
      <c r="J140" s="170"/>
      <c r="K140" s="173">
        <v>44531.0</v>
      </c>
      <c r="L140" s="45" t="b">
        <v>1</v>
      </c>
    </row>
    <row r="141" hidden="1">
      <c r="A141" s="16" t="s">
        <v>225</v>
      </c>
      <c r="B141" s="99" t="s">
        <v>1980</v>
      </c>
      <c r="C141" s="174">
        <v>50.0</v>
      </c>
      <c r="D141" s="175">
        <v>44561.0</v>
      </c>
      <c r="E141" s="99">
        <v>106.0</v>
      </c>
      <c r="F141" s="99">
        <v>2021.12</v>
      </c>
      <c r="G141" s="99" t="s">
        <v>52</v>
      </c>
      <c r="H141" s="99" t="s">
        <v>1264</v>
      </c>
      <c r="I141" s="99" t="s">
        <v>1979</v>
      </c>
      <c r="J141" s="99" t="s">
        <v>2012</v>
      </c>
      <c r="K141" s="177">
        <v>44531.0</v>
      </c>
      <c r="L141" s="46" t="b">
        <v>1</v>
      </c>
    </row>
    <row r="142" hidden="1">
      <c r="A142" s="4" t="s">
        <v>120</v>
      </c>
      <c r="B142" s="170" t="s">
        <v>1985</v>
      </c>
      <c r="C142" s="171">
        <v>387.5</v>
      </c>
      <c r="D142" s="172">
        <v>44561.0</v>
      </c>
      <c r="E142" s="170">
        <v>17.0</v>
      </c>
      <c r="F142" s="170">
        <v>2021.12</v>
      </c>
      <c r="G142" s="170" t="s">
        <v>52</v>
      </c>
      <c r="H142" s="170" t="s">
        <v>1264</v>
      </c>
      <c r="I142" s="170" t="s">
        <v>1979</v>
      </c>
      <c r="J142" s="94"/>
      <c r="K142" s="173">
        <v>44531.0</v>
      </c>
      <c r="L142" s="45" t="b">
        <v>1</v>
      </c>
    </row>
    <row r="143" hidden="1">
      <c r="A143" s="16" t="s">
        <v>58</v>
      </c>
      <c r="B143" s="99" t="s">
        <v>1985</v>
      </c>
      <c r="C143" s="174">
        <v>250.0</v>
      </c>
      <c r="D143" s="175">
        <v>44561.0</v>
      </c>
      <c r="E143" s="99">
        <v>17.0</v>
      </c>
      <c r="F143" s="99">
        <v>2021.12</v>
      </c>
      <c r="G143" s="99" t="s">
        <v>52</v>
      </c>
      <c r="H143" s="99" t="s">
        <v>1264</v>
      </c>
      <c r="I143" s="99" t="s">
        <v>1979</v>
      </c>
      <c r="J143" s="97"/>
      <c r="K143" s="177">
        <v>44531.0</v>
      </c>
      <c r="L143" s="46" t="b">
        <v>1</v>
      </c>
    </row>
    <row r="144" hidden="1">
      <c r="A144" s="4" t="s">
        <v>81</v>
      </c>
      <c r="B144" s="170" t="s">
        <v>1985</v>
      </c>
      <c r="C144" s="171">
        <f>287.5+60</f>
        <v>347.5</v>
      </c>
      <c r="D144" s="172">
        <v>44561.0</v>
      </c>
      <c r="E144" s="170">
        <v>17.0</v>
      </c>
      <c r="F144" s="170">
        <v>2021.12</v>
      </c>
      <c r="G144" s="170" t="s">
        <v>52</v>
      </c>
      <c r="H144" s="170" t="s">
        <v>1264</v>
      </c>
      <c r="I144" s="170" t="s">
        <v>1979</v>
      </c>
      <c r="J144" s="94"/>
      <c r="K144" s="173">
        <v>44531.0</v>
      </c>
      <c r="L144" s="45" t="b">
        <v>1</v>
      </c>
    </row>
    <row r="145" hidden="1">
      <c r="A145" s="16" t="s">
        <v>54</v>
      </c>
      <c r="B145" s="99" t="s">
        <v>1985</v>
      </c>
      <c r="C145" s="174">
        <v>212.5</v>
      </c>
      <c r="D145" s="175">
        <v>44561.0</v>
      </c>
      <c r="E145" s="99">
        <v>17.0</v>
      </c>
      <c r="F145" s="99">
        <v>2021.12</v>
      </c>
      <c r="G145" s="99" t="s">
        <v>52</v>
      </c>
      <c r="H145" s="99" t="s">
        <v>1264</v>
      </c>
      <c r="I145" s="99" t="s">
        <v>1979</v>
      </c>
      <c r="J145" s="97"/>
      <c r="K145" s="177">
        <v>44531.0</v>
      </c>
      <c r="L145" s="46" t="b">
        <v>1</v>
      </c>
    </row>
    <row r="146" hidden="1">
      <c r="A146" s="4" t="s">
        <v>75</v>
      </c>
      <c r="B146" s="170" t="s">
        <v>1985</v>
      </c>
      <c r="C146" s="171">
        <v>225.0</v>
      </c>
      <c r="D146" s="172">
        <v>44561.0</v>
      </c>
      <c r="E146" s="170">
        <v>17.0</v>
      </c>
      <c r="F146" s="170">
        <v>2021.12</v>
      </c>
      <c r="G146" s="170" t="s">
        <v>52</v>
      </c>
      <c r="H146" s="170" t="s">
        <v>1264</v>
      </c>
      <c r="I146" s="170" t="s">
        <v>1979</v>
      </c>
      <c r="J146" s="94"/>
      <c r="K146" s="173">
        <v>44531.0</v>
      </c>
      <c r="L146" s="45" t="b">
        <v>1</v>
      </c>
    </row>
    <row r="147" hidden="1">
      <c r="A147" s="16" t="s">
        <v>177</v>
      </c>
      <c r="B147" s="99" t="s">
        <v>1985</v>
      </c>
      <c r="C147" s="174">
        <v>600.0</v>
      </c>
      <c r="D147" s="175">
        <v>44561.0</v>
      </c>
      <c r="E147" s="99">
        <v>17.0</v>
      </c>
      <c r="F147" s="99">
        <v>2021.0</v>
      </c>
      <c r="G147" s="99" t="s">
        <v>1160</v>
      </c>
      <c r="H147" s="99" t="s">
        <v>1264</v>
      </c>
      <c r="I147" s="99" t="s">
        <v>1979</v>
      </c>
      <c r="J147" s="97"/>
      <c r="K147" s="177">
        <v>44531.0</v>
      </c>
      <c r="L147" s="46" t="b">
        <v>1</v>
      </c>
    </row>
    <row r="148" hidden="1">
      <c r="A148" s="4" t="s">
        <v>156</v>
      </c>
      <c r="B148" s="170" t="s">
        <v>1985</v>
      </c>
      <c r="C148" s="171">
        <v>225.0</v>
      </c>
      <c r="D148" s="172">
        <v>44561.0</v>
      </c>
      <c r="E148" s="170">
        <v>17.0</v>
      </c>
      <c r="F148" s="170">
        <v>2021.12</v>
      </c>
      <c r="G148" s="170" t="s">
        <v>52</v>
      </c>
      <c r="H148" s="170" t="s">
        <v>1264</v>
      </c>
      <c r="I148" s="170" t="s">
        <v>1979</v>
      </c>
      <c r="J148" s="94"/>
      <c r="K148" s="173">
        <v>44531.0</v>
      </c>
      <c r="L148" s="45" t="b">
        <v>1</v>
      </c>
    </row>
    <row r="149" hidden="1">
      <c r="A149" s="16" t="s">
        <v>221</v>
      </c>
      <c r="B149" s="99" t="s">
        <v>1985</v>
      </c>
      <c r="C149" s="174">
        <v>250.0</v>
      </c>
      <c r="D149" s="175">
        <v>44561.0</v>
      </c>
      <c r="E149" s="99">
        <v>17.0</v>
      </c>
      <c r="F149" s="99">
        <v>2021.0</v>
      </c>
      <c r="G149" s="99" t="s">
        <v>1160</v>
      </c>
      <c r="H149" s="99" t="s">
        <v>1264</v>
      </c>
      <c r="I149" s="99" t="s">
        <v>1979</v>
      </c>
      <c r="J149" s="97"/>
      <c r="K149" s="177">
        <v>44531.0</v>
      </c>
      <c r="L149" s="46" t="b">
        <v>1</v>
      </c>
    </row>
    <row r="150" hidden="1">
      <c r="A150" s="4" t="s">
        <v>1321</v>
      </c>
      <c r="B150" s="170" t="s">
        <v>1985</v>
      </c>
      <c r="C150" s="171">
        <v>400.0</v>
      </c>
      <c r="D150" s="172">
        <v>44561.0</v>
      </c>
      <c r="E150" s="170">
        <v>17.0</v>
      </c>
      <c r="F150" s="170">
        <v>2021.0</v>
      </c>
      <c r="G150" s="170" t="s">
        <v>1160</v>
      </c>
      <c r="H150" s="170" t="s">
        <v>1264</v>
      </c>
      <c r="I150" s="170" t="s">
        <v>1979</v>
      </c>
      <c r="J150" s="94"/>
      <c r="K150" s="173">
        <v>44531.0</v>
      </c>
      <c r="L150" s="45" t="b">
        <v>1</v>
      </c>
    </row>
    <row r="151" hidden="1">
      <c r="A151" s="16" t="s">
        <v>92</v>
      </c>
      <c r="B151" s="99" t="s">
        <v>1985</v>
      </c>
      <c r="C151" s="174">
        <v>450.0</v>
      </c>
      <c r="D151" s="175">
        <v>44561.0</v>
      </c>
      <c r="E151" s="99">
        <v>17.0</v>
      </c>
      <c r="F151" s="99">
        <v>2021.12</v>
      </c>
      <c r="G151" s="99" t="s">
        <v>52</v>
      </c>
      <c r="H151" s="99" t="s">
        <v>1264</v>
      </c>
      <c r="I151" s="99" t="s">
        <v>1979</v>
      </c>
      <c r="J151" s="97"/>
      <c r="K151" s="177">
        <v>44531.0</v>
      </c>
      <c r="L151" s="46" t="b">
        <v>1</v>
      </c>
    </row>
    <row r="152" hidden="1">
      <c r="A152" s="4" t="s">
        <v>1266</v>
      </c>
      <c r="B152" s="170" t="s">
        <v>1985</v>
      </c>
      <c r="C152" s="171">
        <v>112.5</v>
      </c>
      <c r="D152" s="172">
        <v>44561.0</v>
      </c>
      <c r="E152" s="170">
        <v>17.0</v>
      </c>
      <c r="F152" s="170">
        <v>2021.0</v>
      </c>
      <c r="G152" s="170" t="s">
        <v>1152</v>
      </c>
      <c r="H152" s="170" t="s">
        <v>1264</v>
      </c>
      <c r="I152" s="170" t="s">
        <v>1267</v>
      </c>
      <c r="J152" s="170" t="s">
        <v>2013</v>
      </c>
      <c r="K152" s="173">
        <v>44531.0</v>
      </c>
      <c r="L152" s="45" t="b">
        <v>1</v>
      </c>
    </row>
    <row r="153" hidden="1">
      <c r="A153" s="16" t="s">
        <v>17</v>
      </c>
      <c r="B153" s="179" t="s">
        <v>1976</v>
      </c>
      <c r="C153" s="180">
        <v>159.58</v>
      </c>
      <c r="D153" s="181">
        <v>44531.0</v>
      </c>
      <c r="E153" s="99">
        <v>202203.0</v>
      </c>
      <c r="F153" s="99">
        <v>2021.0</v>
      </c>
      <c r="G153" s="99" t="s">
        <v>1160</v>
      </c>
      <c r="H153" s="99" t="s">
        <v>1999</v>
      </c>
      <c r="I153" s="99" t="s">
        <v>1977</v>
      </c>
      <c r="J153" s="97"/>
      <c r="K153" s="177">
        <v>44531.0</v>
      </c>
      <c r="L153" s="46" t="b">
        <v>1</v>
      </c>
    </row>
    <row r="154" hidden="1">
      <c r="A154" s="4" t="s">
        <v>1271</v>
      </c>
      <c r="B154" s="182" t="s">
        <v>2014</v>
      </c>
      <c r="C154" s="183">
        <v>336.35</v>
      </c>
      <c r="D154" s="184">
        <v>44539.0</v>
      </c>
      <c r="E154" s="170">
        <v>202203.0</v>
      </c>
      <c r="F154" s="170">
        <v>2021.0</v>
      </c>
      <c r="G154" s="170" t="s">
        <v>1152</v>
      </c>
      <c r="H154" s="170" t="s">
        <v>1999</v>
      </c>
      <c r="I154" s="170" t="s">
        <v>1995</v>
      </c>
      <c r="J154" s="94"/>
      <c r="K154" s="173">
        <v>44531.0</v>
      </c>
      <c r="L154" s="45" t="b">
        <v>1</v>
      </c>
    </row>
    <row r="155" hidden="1">
      <c r="A155" s="16" t="s">
        <v>137</v>
      </c>
      <c r="B155" s="185" t="s">
        <v>2015</v>
      </c>
      <c r="C155" s="180">
        <v>90.95</v>
      </c>
      <c r="D155" s="181">
        <v>44547.0</v>
      </c>
      <c r="E155" s="99">
        <v>202203.0</v>
      </c>
      <c r="F155" s="99">
        <v>2021.0</v>
      </c>
      <c r="G155" s="99" t="s">
        <v>1160</v>
      </c>
      <c r="H155" s="99" t="s">
        <v>1999</v>
      </c>
      <c r="I155" s="99" t="s">
        <v>1990</v>
      </c>
      <c r="J155" s="97"/>
      <c r="K155" s="177">
        <v>44531.0</v>
      </c>
      <c r="L155" s="46" t="b">
        <v>1</v>
      </c>
    </row>
    <row r="156" hidden="1">
      <c r="A156" s="4" t="s">
        <v>115</v>
      </c>
      <c r="B156" s="182" t="s">
        <v>1976</v>
      </c>
      <c r="C156" s="183">
        <v>750.0</v>
      </c>
      <c r="D156" s="184">
        <v>44550.0</v>
      </c>
      <c r="E156" s="170">
        <v>202203.0</v>
      </c>
      <c r="F156" s="170">
        <v>2021.12</v>
      </c>
      <c r="G156" s="170" t="s">
        <v>52</v>
      </c>
      <c r="H156" s="170" t="s">
        <v>1999</v>
      </c>
      <c r="I156" s="170" t="s">
        <v>1977</v>
      </c>
      <c r="J156" s="94"/>
      <c r="K156" s="173">
        <v>44531.0</v>
      </c>
      <c r="L156" s="45" t="b">
        <v>1</v>
      </c>
    </row>
    <row r="157" hidden="1">
      <c r="A157" s="16" t="s">
        <v>118</v>
      </c>
      <c r="B157" s="99" t="s">
        <v>1976</v>
      </c>
      <c r="C157" s="174">
        <v>750.0</v>
      </c>
      <c r="D157" s="175">
        <v>44552.0</v>
      </c>
      <c r="E157" s="99">
        <v>202203.0</v>
      </c>
      <c r="F157" s="99">
        <v>2021.12</v>
      </c>
      <c r="G157" s="99" t="s">
        <v>52</v>
      </c>
      <c r="H157" s="99" t="s">
        <v>1999</v>
      </c>
      <c r="I157" s="99" t="s">
        <v>1977</v>
      </c>
      <c r="J157" s="97"/>
      <c r="K157" s="177">
        <v>44531.0</v>
      </c>
      <c r="L157" s="46" t="b">
        <v>1</v>
      </c>
    </row>
    <row r="158" hidden="1">
      <c r="A158" s="4" t="s">
        <v>92</v>
      </c>
      <c r="B158" s="170" t="s">
        <v>1988</v>
      </c>
      <c r="C158" s="171">
        <v>70.0</v>
      </c>
      <c r="D158" s="172">
        <v>44553.0</v>
      </c>
      <c r="E158" s="170">
        <v>202203.0</v>
      </c>
      <c r="F158" s="170">
        <v>2021.12</v>
      </c>
      <c r="G158" s="170" t="s">
        <v>52</v>
      </c>
      <c r="H158" s="170" t="s">
        <v>1999</v>
      </c>
      <c r="I158" s="170" t="s">
        <v>1977</v>
      </c>
      <c r="J158" s="94"/>
      <c r="K158" s="173">
        <v>44531.0</v>
      </c>
      <c r="L158" s="45" t="b">
        <v>1</v>
      </c>
    </row>
    <row r="159" hidden="1">
      <c r="A159" s="16" t="s">
        <v>92</v>
      </c>
      <c r="B159" s="99" t="s">
        <v>1988</v>
      </c>
      <c r="C159" s="174">
        <v>13.4</v>
      </c>
      <c r="D159" s="175">
        <v>44555.0</v>
      </c>
      <c r="E159" s="99">
        <v>202203.0</v>
      </c>
      <c r="F159" s="99">
        <v>2021.12</v>
      </c>
      <c r="G159" s="99" t="s">
        <v>52</v>
      </c>
      <c r="H159" s="99" t="s">
        <v>1999</v>
      </c>
      <c r="I159" s="99" t="s">
        <v>1977</v>
      </c>
      <c r="J159" s="97"/>
      <c r="K159" s="177">
        <v>44531.0</v>
      </c>
      <c r="L159" s="46" t="b">
        <v>1</v>
      </c>
    </row>
    <row r="160" hidden="1">
      <c r="A160" s="4" t="s">
        <v>189</v>
      </c>
      <c r="B160" s="170" t="s">
        <v>2002</v>
      </c>
      <c r="C160" s="171">
        <v>684.35</v>
      </c>
      <c r="D160" s="172">
        <v>44561.0</v>
      </c>
      <c r="E160" s="170">
        <v>202203.0</v>
      </c>
      <c r="F160" s="170">
        <v>2021.0</v>
      </c>
      <c r="G160" s="170" t="s">
        <v>1160</v>
      </c>
      <c r="H160" s="170" t="s">
        <v>1999</v>
      </c>
      <c r="I160" s="170" t="s">
        <v>1979</v>
      </c>
      <c r="J160" s="94"/>
      <c r="K160" s="173">
        <v>44531.0</v>
      </c>
      <c r="L160" s="45" t="b">
        <v>1</v>
      </c>
    </row>
    <row r="161" hidden="1">
      <c r="A161" s="16" t="s">
        <v>39</v>
      </c>
      <c r="B161" s="99" t="s">
        <v>2002</v>
      </c>
      <c r="C161" s="174">
        <v>48.65</v>
      </c>
      <c r="D161" s="175">
        <v>44561.0</v>
      </c>
      <c r="E161" s="99">
        <v>202203.0</v>
      </c>
      <c r="F161" s="99">
        <v>2021.0</v>
      </c>
      <c r="G161" s="99" t="s">
        <v>1160</v>
      </c>
      <c r="H161" s="99" t="s">
        <v>1999</v>
      </c>
      <c r="I161" s="99" t="s">
        <v>1979</v>
      </c>
      <c r="J161" s="97"/>
      <c r="K161" s="177">
        <v>44531.0</v>
      </c>
      <c r="L161" s="46" t="b">
        <v>1</v>
      </c>
    </row>
    <row r="162" hidden="1">
      <c r="A162" s="4" t="s">
        <v>60</v>
      </c>
      <c r="B162" s="170" t="s">
        <v>2002</v>
      </c>
      <c r="C162" s="171">
        <v>272.88</v>
      </c>
      <c r="D162" s="172">
        <v>44561.0</v>
      </c>
      <c r="E162" s="170">
        <v>202203.0</v>
      </c>
      <c r="F162" s="170">
        <v>2021.0</v>
      </c>
      <c r="G162" s="170" t="s">
        <v>1160</v>
      </c>
      <c r="H162" s="170" t="s">
        <v>1999</v>
      </c>
      <c r="I162" s="170" t="s">
        <v>1979</v>
      </c>
      <c r="J162" s="94"/>
      <c r="K162" s="173">
        <v>44531.0</v>
      </c>
      <c r="L162" s="45" t="b">
        <v>1</v>
      </c>
    </row>
    <row r="163" hidden="1">
      <c r="A163" s="16" t="s">
        <v>96</v>
      </c>
      <c r="B163" s="99" t="s">
        <v>2002</v>
      </c>
      <c r="C163" s="174">
        <v>1.3</v>
      </c>
      <c r="D163" s="175">
        <v>44561.0</v>
      </c>
      <c r="E163" s="99">
        <v>202203.0</v>
      </c>
      <c r="F163" s="99">
        <v>2021.12</v>
      </c>
      <c r="G163" s="99" t="s">
        <v>52</v>
      </c>
      <c r="H163" s="99" t="s">
        <v>1999</v>
      </c>
      <c r="I163" s="99" t="s">
        <v>1979</v>
      </c>
      <c r="J163" s="97"/>
      <c r="K163" s="177">
        <v>44531.0</v>
      </c>
      <c r="L163" s="46" t="b">
        <v>1</v>
      </c>
    </row>
    <row r="164" hidden="1">
      <c r="A164" s="4" t="s">
        <v>149</v>
      </c>
      <c r="B164" s="170" t="s">
        <v>2002</v>
      </c>
      <c r="C164" s="171">
        <v>12.25</v>
      </c>
      <c r="D164" s="172">
        <v>44561.0</v>
      </c>
      <c r="E164" s="170">
        <v>202203.0</v>
      </c>
      <c r="F164" s="170">
        <v>2021.0</v>
      </c>
      <c r="G164" s="170" t="s">
        <v>1152</v>
      </c>
      <c r="H164" s="170" t="s">
        <v>1999</v>
      </c>
      <c r="I164" s="170" t="s">
        <v>1979</v>
      </c>
      <c r="J164" s="94"/>
      <c r="K164" s="173">
        <v>44531.0</v>
      </c>
      <c r="L164" s="45" t="b">
        <v>1</v>
      </c>
    </row>
    <row r="165" hidden="1">
      <c r="A165" s="16" t="s">
        <v>58</v>
      </c>
      <c r="B165" s="99" t="s">
        <v>2002</v>
      </c>
      <c r="C165" s="174">
        <v>36.61</v>
      </c>
      <c r="D165" s="175">
        <v>44561.0</v>
      </c>
      <c r="E165" s="99">
        <v>202203.0</v>
      </c>
      <c r="F165" s="99">
        <v>2021.12</v>
      </c>
      <c r="G165" s="99" t="s">
        <v>52</v>
      </c>
      <c r="H165" s="99" t="s">
        <v>1999</v>
      </c>
      <c r="I165" s="99" t="s">
        <v>1979</v>
      </c>
      <c r="J165" s="97"/>
      <c r="K165" s="177">
        <v>44531.0</v>
      </c>
      <c r="L165" s="46" t="b">
        <v>1</v>
      </c>
    </row>
    <row r="166" hidden="1">
      <c r="A166" s="4" t="s">
        <v>159</v>
      </c>
      <c r="B166" s="170" t="s">
        <v>2002</v>
      </c>
      <c r="C166" s="171">
        <v>18.96</v>
      </c>
      <c r="D166" s="172">
        <v>44561.0</v>
      </c>
      <c r="E166" s="170">
        <v>202203.0</v>
      </c>
      <c r="F166" s="170">
        <v>2021.0</v>
      </c>
      <c r="G166" s="170" t="s">
        <v>1160</v>
      </c>
      <c r="H166" s="170" t="s">
        <v>1999</v>
      </c>
      <c r="I166" s="170" t="s">
        <v>1979</v>
      </c>
      <c r="J166" s="94"/>
      <c r="K166" s="173">
        <v>44531.0</v>
      </c>
      <c r="L166" s="45" t="b">
        <v>1</v>
      </c>
    </row>
    <row r="167" hidden="1">
      <c r="A167" s="16" t="s">
        <v>120</v>
      </c>
      <c r="B167" s="99" t="s">
        <v>2002</v>
      </c>
      <c r="C167" s="174">
        <v>135.14</v>
      </c>
      <c r="D167" s="175">
        <v>44561.0</v>
      </c>
      <c r="E167" s="99">
        <v>202203.0</v>
      </c>
      <c r="F167" s="99">
        <v>2021.12</v>
      </c>
      <c r="G167" s="99" t="s">
        <v>52</v>
      </c>
      <c r="H167" s="99" t="s">
        <v>1999</v>
      </c>
      <c r="I167" s="99" t="s">
        <v>1979</v>
      </c>
      <c r="J167" s="97"/>
      <c r="K167" s="177">
        <v>44531.0</v>
      </c>
      <c r="L167" s="46" t="b">
        <v>1</v>
      </c>
    </row>
    <row r="168" hidden="1">
      <c r="A168" s="4" t="s">
        <v>162</v>
      </c>
      <c r="B168" s="170" t="s">
        <v>2002</v>
      </c>
      <c r="C168" s="171">
        <v>22.36</v>
      </c>
      <c r="D168" s="172">
        <v>44561.0</v>
      </c>
      <c r="E168" s="170">
        <v>202203.0</v>
      </c>
      <c r="F168" s="170">
        <v>2021.0</v>
      </c>
      <c r="G168" s="170" t="s">
        <v>1160</v>
      </c>
      <c r="H168" s="170" t="s">
        <v>1999</v>
      </c>
      <c r="I168" s="170" t="s">
        <v>1979</v>
      </c>
      <c r="J168" s="94"/>
      <c r="K168" s="173">
        <v>44531.0</v>
      </c>
      <c r="L168" s="45" t="b">
        <v>1</v>
      </c>
    </row>
    <row r="169" hidden="1">
      <c r="A169" s="16" t="s">
        <v>42</v>
      </c>
      <c r="B169" s="99" t="s">
        <v>2002</v>
      </c>
      <c r="C169" s="174">
        <v>131.39</v>
      </c>
      <c r="D169" s="175">
        <v>44561.0</v>
      </c>
      <c r="E169" s="99">
        <v>202203.0</v>
      </c>
      <c r="F169" s="99">
        <v>2021.12</v>
      </c>
      <c r="G169" s="99" t="s">
        <v>52</v>
      </c>
      <c r="H169" s="99" t="s">
        <v>1999</v>
      </c>
      <c r="I169" s="99" t="s">
        <v>1979</v>
      </c>
      <c r="J169" s="97"/>
      <c r="K169" s="177">
        <v>44531.0</v>
      </c>
      <c r="L169" s="46" t="b">
        <v>1</v>
      </c>
    </row>
    <row r="170" hidden="1">
      <c r="A170" s="4" t="s">
        <v>166</v>
      </c>
      <c r="B170" s="170" t="s">
        <v>2002</v>
      </c>
      <c r="C170" s="171">
        <v>717.56</v>
      </c>
      <c r="D170" s="172">
        <v>44561.0</v>
      </c>
      <c r="E170" s="170">
        <v>202203.0</v>
      </c>
      <c r="F170" s="170">
        <v>2021.0</v>
      </c>
      <c r="G170" s="170" t="s">
        <v>1160</v>
      </c>
      <c r="H170" s="170" t="s">
        <v>1999</v>
      </c>
      <c r="I170" s="170" t="s">
        <v>1979</v>
      </c>
      <c r="J170" s="94"/>
      <c r="K170" s="173">
        <v>44531.0</v>
      </c>
      <c r="L170" s="45" t="b">
        <v>1</v>
      </c>
    </row>
    <row r="171" hidden="1">
      <c r="A171" s="16" t="s">
        <v>1266</v>
      </c>
      <c r="B171" s="99" t="s">
        <v>2002</v>
      </c>
      <c r="C171" s="174">
        <v>78.08</v>
      </c>
      <c r="D171" s="175">
        <v>44561.0</v>
      </c>
      <c r="E171" s="99">
        <v>202203.0</v>
      </c>
      <c r="F171" s="99">
        <v>2021.0</v>
      </c>
      <c r="G171" s="99" t="s">
        <v>1152</v>
      </c>
      <c r="H171" s="99" t="s">
        <v>1999</v>
      </c>
      <c r="I171" s="99" t="s">
        <v>1979</v>
      </c>
      <c r="J171" s="97"/>
      <c r="K171" s="177">
        <v>44531.0</v>
      </c>
      <c r="L171" s="46" t="b">
        <v>1</v>
      </c>
    </row>
    <row r="172" hidden="1">
      <c r="A172" s="4" t="s">
        <v>105</v>
      </c>
      <c r="B172" s="170" t="s">
        <v>2002</v>
      </c>
      <c r="C172" s="171">
        <v>7.56</v>
      </c>
      <c r="D172" s="172">
        <v>44561.0</v>
      </c>
      <c r="E172" s="170">
        <v>202203.0</v>
      </c>
      <c r="F172" s="170">
        <v>2021.0</v>
      </c>
      <c r="G172" s="170" t="s">
        <v>1992</v>
      </c>
      <c r="H172" s="170" t="s">
        <v>1999</v>
      </c>
      <c r="I172" s="170" t="s">
        <v>1979</v>
      </c>
      <c r="J172" s="94"/>
      <c r="K172" s="173">
        <v>44531.0</v>
      </c>
      <c r="L172" s="45" t="b">
        <v>1</v>
      </c>
    </row>
    <row r="173" hidden="1">
      <c r="A173" s="16" t="s">
        <v>90</v>
      </c>
      <c r="B173" s="99" t="s">
        <v>2002</v>
      </c>
      <c r="C173" s="174">
        <v>63.93</v>
      </c>
      <c r="D173" s="175">
        <v>44561.0</v>
      </c>
      <c r="E173" s="99">
        <v>202203.0</v>
      </c>
      <c r="F173" s="99">
        <v>2021.12</v>
      </c>
      <c r="G173" s="99" t="s">
        <v>52</v>
      </c>
      <c r="H173" s="99" t="s">
        <v>1999</v>
      </c>
      <c r="I173" s="99" t="s">
        <v>1979</v>
      </c>
      <c r="J173" s="97"/>
      <c r="K173" s="177">
        <v>44531.0</v>
      </c>
      <c r="L173" s="46" t="b">
        <v>1</v>
      </c>
    </row>
    <row r="174" hidden="1">
      <c r="A174" s="4" t="s">
        <v>137</v>
      </c>
      <c r="B174" s="170" t="s">
        <v>2002</v>
      </c>
      <c r="C174" s="171">
        <v>604.37</v>
      </c>
      <c r="D174" s="172">
        <v>44561.0</v>
      </c>
      <c r="E174" s="170">
        <v>202203.0</v>
      </c>
      <c r="F174" s="170">
        <v>2021.0</v>
      </c>
      <c r="G174" s="170" t="s">
        <v>1160</v>
      </c>
      <c r="H174" s="170" t="s">
        <v>1999</v>
      </c>
      <c r="I174" s="170" t="s">
        <v>1979</v>
      </c>
      <c r="J174" s="94"/>
      <c r="K174" s="173">
        <v>44531.0</v>
      </c>
      <c r="L174" s="45" t="b">
        <v>1</v>
      </c>
    </row>
    <row r="175" hidden="1">
      <c r="A175" s="16" t="s">
        <v>92</v>
      </c>
      <c r="B175" s="99" t="s">
        <v>2002</v>
      </c>
      <c r="C175" s="174">
        <v>1.21</v>
      </c>
      <c r="D175" s="175">
        <v>44561.0</v>
      </c>
      <c r="E175" s="99">
        <v>202203.0</v>
      </c>
      <c r="F175" s="99">
        <v>2021.12</v>
      </c>
      <c r="G175" s="99" t="s">
        <v>52</v>
      </c>
      <c r="H175" s="99" t="s">
        <v>1999</v>
      </c>
      <c r="I175" s="99" t="s">
        <v>1979</v>
      </c>
      <c r="J175" s="97"/>
      <c r="K175" s="177">
        <v>44531.0</v>
      </c>
      <c r="L175" s="46" t="b">
        <v>1</v>
      </c>
    </row>
    <row r="176" hidden="1">
      <c r="A176" s="4" t="s">
        <v>33</v>
      </c>
      <c r="B176" s="170" t="s">
        <v>2002</v>
      </c>
      <c r="C176" s="171">
        <v>360.64</v>
      </c>
      <c r="D176" s="172">
        <v>44561.0</v>
      </c>
      <c r="E176" s="170">
        <v>202203.0</v>
      </c>
      <c r="F176" s="170">
        <v>2021.0</v>
      </c>
      <c r="G176" s="170" t="s">
        <v>1160</v>
      </c>
      <c r="H176" s="170" t="s">
        <v>1999</v>
      </c>
      <c r="I176" s="170" t="s">
        <v>1979</v>
      </c>
      <c r="J176" s="94"/>
      <c r="K176" s="173">
        <v>44531.0</v>
      </c>
      <c r="L176" s="45" t="b">
        <v>1</v>
      </c>
    </row>
    <row r="177" hidden="1">
      <c r="A177" s="16" t="s">
        <v>135</v>
      </c>
      <c r="B177" s="99" t="s">
        <v>2002</v>
      </c>
      <c r="C177" s="174">
        <v>830.91</v>
      </c>
      <c r="D177" s="175">
        <v>44561.0</v>
      </c>
      <c r="E177" s="99">
        <v>202203.0</v>
      </c>
      <c r="F177" s="99">
        <v>2021.0</v>
      </c>
      <c r="G177" s="99" t="s">
        <v>1160</v>
      </c>
      <c r="H177" s="99" t="s">
        <v>1999</v>
      </c>
      <c r="I177" s="99" t="s">
        <v>1979</v>
      </c>
      <c r="J177" s="97"/>
      <c r="K177" s="177">
        <v>44531.0</v>
      </c>
      <c r="L177" s="46" t="b">
        <v>1</v>
      </c>
    </row>
    <row r="178" hidden="1">
      <c r="A178" s="4" t="s">
        <v>70</v>
      </c>
      <c r="B178" s="170" t="s">
        <v>2002</v>
      </c>
      <c r="C178" s="171">
        <v>29.68</v>
      </c>
      <c r="D178" s="172">
        <v>44561.0</v>
      </c>
      <c r="E178" s="170">
        <v>202203.0</v>
      </c>
      <c r="F178" s="170">
        <v>2021.0</v>
      </c>
      <c r="G178" s="170" t="s">
        <v>1160</v>
      </c>
      <c r="H178" s="170" t="s">
        <v>1999</v>
      </c>
      <c r="I178" s="170" t="s">
        <v>1979</v>
      </c>
      <c r="J178" s="94"/>
      <c r="K178" s="173">
        <v>44531.0</v>
      </c>
      <c r="L178" s="45" t="b">
        <v>1</v>
      </c>
    </row>
    <row r="179" hidden="1">
      <c r="A179" s="16" t="s">
        <v>1263</v>
      </c>
      <c r="B179" s="99" t="s">
        <v>2002</v>
      </c>
      <c r="C179" s="174">
        <v>158.96</v>
      </c>
      <c r="D179" s="175">
        <v>44561.0</v>
      </c>
      <c r="E179" s="99">
        <v>202203.0</v>
      </c>
      <c r="F179" s="99">
        <v>2021.0</v>
      </c>
      <c r="G179" s="99" t="s">
        <v>1152</v>
      </c>
      <c r="H179" s="99" t="s">
        <v>1999</v>
      </c>
      <c r="I179" s="99" t="s">
        <v>1979</v>
      </c>
      <c r="J179" s="97"/>
      <c r="K179" s="177">
        <v>44531.0</v>
      </c>
      <c r="L179" s="46" t="b">
        <v>1</v>
      </c>
    </row>
    <row r="180" hidden="1">
      <c r="A180" s="4" t="s">
        <v>115</v>
      </c>
      <c r="B180" s="170" t="s">
        <v>1976</v>
      </c>
      <c r="C180" s="171">
        <v>750.0</v>
      </c>
      <c r="D180" s="172">
        <v>44575.0</v>
      </c>
      <c r="E180" s="94"/>
      <c r="F180" s="170">
        <v>2022.01</v>
      </c>
      <c r="G180" s="170" t="s">
        <v>52</v>
      </c>
      <c r="H180" s="170" t="s">
        <v>1999</v>
      </c>
      <c r="I180" s="170" t="s">
        <v>1977</v>
      </c>
      <c r="J180" s="94"/>
      <c r="K180" s="173">
        <v>44562.0</v>
      </c>
      <c r="L180" s="45" t="b">
        <v>1</v>
      </c>
    </row>
    <row r="181" hidden="1">
      <c r="A181" s="16" t="s">
        <v>118</v>
      </c>
      <c r="B181" s="99" t="s">
        <v>1976</v>
      </c>
      <c r="C181" s="174">
        <v>750.0</v>
      </c>
      <c r="D181" s="175">
        <v>44577.0</v>
      </c>
      <c r="E181" s="97"/>
      <c r="F181" s="99">
        <v>2022.01</v>
      </c>
      <c r="G181" s="99" t="s">
        <v>52</v>
      </c>
      <c r="H181" s="99" t="s">
        <v>1999</v>
      </c>
      <c r="I181" s="99" t="s">
        <v>1977</v>
      </c>
      <c r="J181" s="97"/>
      <c r="K181" s="177">
        <v>44562.0</v>
      </c>
      <c r="L181" s="46" t="b">
        <v>1</v>
      </c>
    </row>
    <row r="182" hidden="1">
      <c r="A182" s="4" t="s">
        <v>1266</v>
      </c>
      <c r="B182" s="170" t="s">
        <v>1994</v>
      </c>
      <c r="C182" s="171">
        <v>6.59</v>
      </c>
      <c r="D182" s="172">
        <v>44544.0</v>
      </c>
      <c r="E182" s="94"/>
      <c r="F182" s="170">
        <v>2021.0</v>
      </c>
      <c r="G182" s="170" t="s">
        <v>1152</v>
      </c>
      <c r="H182" s="170" t="s">
        <v>1264</v>
      </c>
      <c r="I182" s="170" t="s">
        <v>1272</v>
      </c>
      <c r="J182" s="170" t="s">
        <v>2016</v>
      </c>
      <c r="K182" s="173">
        <v>44531.0</v>
      </c>
      <c r="L182" s="45" t="b">
        <v>1</v>
      </c>
    </row>
    <row r="183" hidden="1">
      <c r="A183" s="16" t="s">
        <v>1266</v>
      </c>
      <c r="B183" s="99" t="s">
        <v>1996</v>
      </c>
      <c r="C183" s="174">
        <v>29.66</v>
      </c>
      <c r="D183" s="175">
        <v>44540.0</v>
      </c>
      <c r="E183" s="97"/>
      <c r="F183" s="99">
        <v>2021.0</v>
      </c>
      <c r="G183" s="99" t="s">
        <v>1152</v>
      </c>
      <c r="H183" s="99" t="s">
        <v>1264</v>
      </c>
      <c r="I183" s="99" t="s">
        <v>1272</v>
      </c>
      <c r="J183" s="99" t="s">
        <v>2016</v>
      </c>
      <c r="K183" s="177">
        <v>44531.0</v>
      </c>
      <c r="L183" s="46" t="b">
        <v>1</v>
      </c>
    </row>
    <row r="184" hidden="1">
      <c r="A184" s="4" t="s">
        <v>1266</v>
      </c>
      <c r="B184" s="170" t="s">
        <v>1997</v>
      </c>
      <c r="C184" s="171">
        <v>25.51</v>
      </c>
      <c r="D184" s="172">
        <v>44566.0</v>
      </c>
      <c r="E184" s="94"/>
      <c r="F184" s="170">
        <v>2022.0</v>
      </c>
      <c r="G184" s="170" t="s">
        <v>1152</v>
      </c>
      <c r="H184" s="170" t="s">
        <v>1264</v>
      </c>
      <c r="I184" s="170" t="s">
        <v>1272</v>
      </c>
      <c r="J184" s="170" t="s">
        <v>2016</v>
      </c>
      <c r="K184" s="173">
        <v>44531.0</v>
      </c>
      <c r="L184" s="45" t="b">
        <v>1</v>
      </c>
    </row>
    <row r="185" hidden="1">
      <c r="A185" s="16" t="s">
        <v>42</v>
      </c>
      <c r="B185" s="99" t="s">
        <v>1989</v>
      </c>
      <c r="C185" s="174">
        <v>9.19</v>
      </c>
      <c r="D185" s="175">
        <v>44568.0</v>
      </c>
      <c r="E185" s="97"/>
      <c r="F185" s="99">
        <v>2022.01</v>
      </c>
      <c r="G185" s="99" t="s">
        <v>52</v>
      </c>
      <c r="H185" s="99" t="s">
        <v>1264</v>
      </c>
      <c r="I185" s="99" t="s">
        <v>1990</v>
      </c>
      <c r="J185" s="99" t="s">
        <v>2016</v>
      </c>
      <c r="K185" s="177">
        <v>44531.0</v>
      </c>
      <c r="L185" s="46" t="b">
        <v>1</v>
      </c>
    </row>
    <row r="186" hidden="1">
      <c r="A186" s="4" t="s">
        <v>1266</v>
      </c>
      <c r="B186" s="170" t="s">
        <v>1998</v>
      </c>
      <c r="C186" s="171">
        <v>65.01</v>
      </c>
      <c r="D186" s="172">
        <v>44568.0</v>
      </c>
      <c r="E186" s="94"/>
      <c r="F186" s="170">
        <v>2022.0</v>
      </c>
      <c r="G186" s="170" t="s">
        <v>1152</v>
      </c>
      <c r="H186" s="170" t="s">
        <v>1264</v>
      </c>
      <c r="I186" s="170" t="s">
        <v>1272</v>
      </c>
      <c r="J186" s="170" t="s">
        <v>2016</v>
      </c>
      <c r="K186" s="173">
        <v>44531.0</v>
      </c>
      <c r="L186" s="45" t="b">
        <v>1</v>
      </c>
    </row>
    <row r="187" hidden="1">
      <c r="A187" s="16" t="s">
        <v>1271</v>
      </c>
      <c r="B187" s="99" t="s">
        <v>2017</v>
      </c>
      <c r="C187" s="174">
        <v>51.97</v>
      </c>
      <c r="D187" s="175">
        <v>44557.0</v>
      </c>
      <c r="E187" s="97"/>
      <c r="F187" s="99">
        <v>2021.0</v>
      </c>
      <c r="G187" s="99" t="s">
        <v>1152</v>
      </c>
      <c r="H187" s="99" t="s">
        <v>1264</v>
      </c>
      <c r="I187" s="99" t="s">
        <v>1995</v>
      </c>
      <c r="J187" s="99" t="s">
        <v>2016</v>
      </c>
      <c r="K187" s="177">
        <v>44531.0</v>
      </c>
      <c r="L187" s="46" t="b">
        <v>1</v>
      </c>
    </row>
    <row r="188" hidden="1">
      <c r="A188" s="4" t="s">
        <v>1322</v>
      </c>
      <c r="B188" s="170" t="s">
        <v>1976</v>
      </c>
      <c r="C188" s="171">
        <v>80.83</v>
      </c>
      <c r="D188" s="172">
        <v>44562.0</v>
      </c>
      <c r="E188" s="94"/>
      <c r="F188" s="170">
        <v>2022.0</v>
      </c>
      <c r="G188" s="170" t="s">
        <v>1160</v>
      </c>
      <c r="H188" s="170" t="s">
        <v>1264</v>
      </c>
      <c r="I188" s="170" t="s">
        <v>1977</v>
      </c>
      <c r="J188" s="170" t="s">
        <v>2016</v>
      </c>
      <c r="K188" s="173">
        <v>44531.0</v>
      </c>
      <c r="L188" s="45" t="b">
        <v>1</v>
      </c>
    </row>
    <row r="189" hidden="1">
      <c r="A189" s="16" t="s">
        <v>39</v>
      </c>
      <c r="B189" s="99" t="s">
        <v>1986</v>
      </c>
      <c r="C189" s="174">
        <v>12.6</v>
      </c>
      <c r="D189" s="175">
        <v>44592.0</v>
      </c>
      <c r="E189" s="99">
        <v>3.0</v>
      </c>
      <c r="F189" s="99">
        <v>2022.0</v>
      </c>
      <c r="G189" s="99" t="s">
        <v>1160</v>
      </c>
      <c r="H189" s="99" t="s">
        <v>1264</v>
      </c>
      <c r="I189" s="99" t="s">
        <v>1979</v>
      </c>
      <c r="J189" s="97"/>
      <c r="K189" s="177">
        <v>44562.0</v>
      </c>
      <c r="L189" s="46" t="b">
        <v>1</v>
      </c>
    </row>
    <row r="190" hidden="1">
      <c r="A190" s="4" t="s">
        <v>246</v>
      </c>
      <c r="B190" s="170" t="s">
        <v>1986</v>
      </c>
      <c r="C190" s="171">
        <v>263.1</v>
      </c>
      <c r="D190" s="172">
        <v>44592.0</v>
      </c>
      <c r="E190" s="170">
        <v>3.0</v>
      </c>
      <c r="F190" s="170">
        <v>2022.01</v>
      </c>
      <c r="G190" s="170" t="s">
        <v>52</v>
      </c>
      <c r="H190" s="170" t="s">
        <v>1264</v>
      </c>
      <c r="I190" s="170" t="s">
        <v>1979</v>
      </c>
      <c r="J190" s="94"/>
      <c r="K190" s="173">
        <v>44562.0</v>
      </c>
      <c r="L190" s="45" t="b">
        <v>1</v>
      </c>
    </row>
    <row r="191" hidden="1">
      <c r="A191" s="16" t="s">
        <v>1319</v>
      </c>
      <c r="B191" s="99" t="s">
        <v>2018</v>
      </c>
      <c r="C191" s="174">
        <v>750.0</v>
      </c>
      <c r="D191" s="175">
        <v>44592.0</v>
      </c>
      <c r="E191" s="99">
        <v>3.0</v>
      </c>
      <c r="F191" s="99">
        <v>2022.0</v>
      </c>
      <c r="G191" s="99" t="s">
        <v>1160</v>
      </c>
      <c r="H191" s="99" t="s">
        <v>1264</v>
      </c>
      <c r="I191" s="99" t="s">
        <v>1979</v>
      </c>
      <c r="J191" s="99"/>
      <c r="K191" s="177">
        <v>44562.0</v>
      </c>
      <c r="L191" s="46" t="b">
        <v>1</v>
      </c>
    </row>
    <row r="192" hidden="1">
      <c r="A192" s="4" t="s">
        <v>97</v>
      </c>
      <c r="B192" s="170" t="s">
        <v>1978</v>
      </c>
      <c r="C192" s="171">
        <v>125.0</v>
      </c>
      <c r="D192" s="172">
        <v>44592.0</v>
      </c>
      <c r="E192" s="94"/>
      <c r="F192" s="170">
        <v>2022.01</v>
      </c>
      <c r="G192" s="170" t="s">
        <v>52</v>
      </c>
      <c r="H192" s="170" t="s">
        <v>1264</v>
      </c>
      <c r="I192" s="170" t="s">
        <v>1979</v>
      </c>
      <c r="J192" s="94"/>
      <c r="K192" s="173">
        <v>44562.0</v>
      </c>
      <c r="L192" s="45" t="b">
        <v>1</v>
      </c>
    </row>
    <row r="193" hidden="1">
      <c r="A193" s="16" t="s">
        <v>147</v>
      </c>
      <c r="B193" s="99" t="s">
        <v>1978</v>
      </c>
      <c r="C193" s="174">
        <v>200.0</v>
      </c>
      <c r="D193" s="175">
        <v>44592.0</v>
      </c>
      <c r="E193" s="97"/>
      <c r="F193" s="99">
        <v>2022.01</v>
      </c>
      <c r="G193" s="99" t="s">
        <v>52</v>
      </c>
      <c r="H193" s="99" t="s">
        <v>1264</v>
      </c>
      <c r="I193" s="99" t="s">
        <v>1979</v>
      </c>
      <c r="J193" s="97"/>
      <c r="K193" s="177">
        <v>44562.0</v>
      </c>
      <c r="L193" s="46" t="b">
        <v>1</v>
      </c>
    </row>
    <row r="194" hidden="1">
      <c r="A194" s="4" t="s">
        <v>88</v>
      </c>
      <c r="B194" s="170" t="s">
        <v>1978</v>
      </c>
      <c r="C194" s="171">
        <v>212.5</v>
      </c>
      <c r="D194" s="172">
        <v>44592.0</v>
      </c>
      <c r="E194" s="94"/>
      <c r="F194" s="170">
        <v>2022.01</v>
      </c>
      <c r="G194" s="170" t="s">
        <v>52</v>
      </c>
      <c r="H194" s="170" t="s">
        <v>1264</v>
      </c>
      <c r="I194" s="170" t="s">
        <v>1979</v>
      </c>
      <c r="J194" s="94"/>
      <c r="K194" s="173">
        <v>44562.0</v>
      </c>
      <c r="L194" s="45" t="b">
        <v>1</v>
      </c>
    </row>
    <row r="195" hidden="1">
      <c r="A195" s="16" t="s">
        <v>73</v>
      </c>
      <c r="B195" s="99" t="s">
        <v>1978</v>
      </c>
      <c r="C195" s="174">
        <v>250.0</v>
      </c>
      <c r="D195" s="175">
        <v>44592.0</v>
      </c>
      <c r="E195" s="97"/>
      <c r="F195" s="99">
        <v>2022.01</v>
      </c>
      <c r="G195" s="99" t="s">
        <v>52</v>
      </c>
      <c r="H195" s="99" t="s">
        <v>1264</v>
      </c>
      <c r="I195" s="99" t="s">
        <v>1979</v>
      </c>
      <c r="J195" s="97"/>
      <c r="K195" s="177">
        <v>44562.0</v>
      </c>
      <c r="L195" s="46" t="b">
        <v>1</v>
      </c>
    </row>
    <row r="196" hidden="1">
      <c r="A196" s="4" t="s">
        <v>79</v>
      </c>
      <c r="B196" s="170" t="s">
        <v>1978</v>
      </c>
      <c r="C196" s="171">
        <v>250.0</v>
      </c>
      <c r="D196" s="172">
        <v>44592.0</v>
      </c>
      <c r="E196" s="94"/>
      <c r="F196" s="170">
        <v>2022.01</v>
      </c>
      <c r="G196" s="170" t="s">
        <v>52</v>
      </c>
      <c r="H196" s="170" t="s">
        <v>1264</v>
      </c>
      <c r="I196" s="170" t="s">
        <v>1979</v>
      </c>
      <c r="J196" s="94"/>
      <c r="K196" s="173">
        <v>44562.0</v>
      </c>
      <c r="L196" s="45" t="b">
        <v>1</v>
      </c>
    </row>
    <row r="197" hidden="1">
      <c r="A197" s="16" t="s">
        <v>1317</v>
      </c>
      <c r="B197" s="99" t="s">
        <v>1978</v>
      </c>
      <c r="C197" s="174">
        <v>150.0</v>
      </c>
      <c r="D197" s="175">
        <v>44592.0</v>
      </c>
      <c r="E197" s="97"/>
      <c r="F197" s="99">
        <v>2022.0</v>
      </c>
      <c r="G197" s="99" t="s">
        <v>1160</v>
      </c>
      <c r="H197" s="99" t="s">
        <v>1264</v>
      </c>
      <c r="I197" s="99" t="s">
        <v>1979</v>
      </c>
      <c r="J197" s="97"/>
      <c r="K197" s="177">
        <v>44562.0</v>
      </c>
      <c r="L197" s="46" t="b">
        <v>1</v>
      </c>
    </row>
    <row r="198" hidden="1">
      <c r="A198" s="4" t="s">
        <v>223</v>
      </c>
      <c r="B198" s="170" t="s">
        <v>1978</v>
      </c>
      <c r="C198" s="171">
        <v>150.0</v>
      </c>
      <c r="D198" s="172">
        <v>44592.0</v>
      </c>
      <c r="E198" s="94"/>
      <c r="F198" s="170">
        <v>2022.01</v>
      </c>
      <c r="G198" s="170" t="s">
        <v>52</v>
      </c>
      <c r="H198" s="170" t="s">
        <v>1264</v>
      </c>
      <c r="I198" s="170" t="s">
        <v>1979</v>
      </c>
      <c r="J198" s="94"/>
      <c r="K198" s="173">
        <v>44562.0</v>
      </c>
      <c r="L198" s="45" t="b">
        <v>1</v>
      </c>
    </row>
    <row r="199" hidden="1">
      <c r="A199" s="16" t="s">
        <v>203</v>
      </c>
      <c r="B199" s="99" t="s">
        <v>1983</v>
      </c>
      <c r="C199" s="174">
        <v>175.0</v>
      </c>
      <c r="D199" s="175">
        <v>44592.0</v>
      </c>
      <c r="E199" s="99">
        <v>58.0</v>
      </c>
      <c r="F199" s="99">
        <v>2022.0</v>
      </c>
      <c r="G199" s="99" t="s">
        <v>1160</v>
      </c>
      <c r="H199" s="99" t="s">
        <v>1264</v>
      </c>
      <c r="I199" s="99" t="s">
        <v>1979</v>
      </c>
      <c r="J199" s="97"/>
      <c r="K199" s="177">
        <v>44562.0</v>
      </c>
      <c r="L199" s="46" t="b">
        <v>1</v>
      </c>
    </row>
    <row r="200" hidden="1">
      <c r="A200" s="4" t="s">
        <v>1269</v>
      </c>
      <c r="B200" s="170" t="s">
        <v>1983</v>
      </c>
      <c r="C200" s="171">
        <v>112.5</v>
      </c>
      <c r="D200" s="172">
        <v>44592.0</v>
      </c>
      <c r="E200" s="170">
        <v>58.0</v>
      </c>
      <c r="F200" s="170">
        <v>2022.0</v>
      </c>
      <c r="G200" s="170" t="s">
        <v>1152</v>
      </c>
      <c r="H200" s="170" t="s">
        <v>1264</v>
      </c>
      <c r="I200" s="170" t="s">
        <v>1270</v>
      </c>
      <c r="J200" s="170" t="s">
        <v>2009</v>
      </c>
      <c r="K200" s="173">
        <v>44562.0</v>
      </c>
      <c r="L200" s="45" t="b">
        <v>1</v>
      </c>
    </row>
    <row r="201" hidden="1">
      <c r="A201" s="16" t="s">
        <v>177</v>
      </c>
      <c r="B201" s="99" t="s">
        <v>1983</v>
      </c>
      <c r="C201" s="174">
        <v>175.0</v>
      </c>
      <c r="D201" s="175">
        <v>44592.0</v>
      </c>
      <c r="E201" s="99">
        <v>58.0</v>
      </c>
      <c r="F201" s="99">
        <v>2022.0</v>
      </c>
      <c r="G201" s="99" t="s">
        <v>1160</v>
      </c>
      <c r="H201" s="99" t="s">
        <v>1264</v>
      </c>
      <c r="I201" s="99" t="s">
        <v>1979</v>
      </c>
      <c r="J201" s="97"/>
      <c r="K201" s="177">
        <v>44562.0</v>
      </c>
      <c r="L201" s="46" t="b">
        <v>1</v>
      </c>
    </row>
    <row r="202" hidden="1">
      <c r="A202" s="4" t="s">
        <v>81</v>
      </c>
      <c r="B202" s="170" t="s">
        <v>1983</v>
      </c>
      <c r="C202" s="171">
        <v>250.0</v>
      </c>
      <c r="D202" s="172">
        <v>44592.0</v>
      </c>
      <c r="E202" s="170">
        <v>58.0</v>
      </c>
      <c r="F202" s="170">
        <v>2022.01</v>
      </c>
      <c r="G202" s="170" t="s">
        <v>52</v>
      </c>
      <c r="H202" s="170" t="s">
        <v>1264</v>
      </c>
      <c r="I202" s="170" t="s">
        <v>1979</v>
      </c>
      <c r="J202" s="94"/>
      <c r="K202" s="173">
        <v>44562.0</v>
      </c>
      <c r="L202" s="45" t="b">
        <v>1</v>
      </c>
    </row>
    <row r="203" hidden="1">
      <c r="A203" s="16" t="s">
        <v>73</v>
      </c>
      <c r="B203" s="99" t="s">
        <v>1983</v>
      </c>
      <c r="C203" s="174">
        <v>50.0</v>
      </c>
      <c r="D203" s="175">
        <v>44592.0</v>
      </c>
      <c r="E203" s="99">
        <v>58.0</v>
      </c>
      <c r="F203" s="99">
        <v>2022.01</v>
      </c>
      <c r="G203" s="99" t="s">
        <v>52</v>
      </c>
      <c r="H203" s="99" t="s">
        <v>1264</v>
      </c>
      <c r="I203" s="99" t="s">
        <v>1979</v>
      </c>
      <c r="J203" s="97"/>
      <c r="K203" s="177">
        <v>44562.0</v>
      </c>
      <c r="L203" s="46" t="b">
        <v>1</v>
      </c>
    </row>
    <row r="204" hidden="1">
      <c r="A204" s="4" t="s">
        <v>102</v>
      </c>
      <c r="B204" s="170" t="s">
        <v>1987</v>
      </c>
      <c r="C204" s="171">
        <v>250.0</v>
      </c>
      <c r="D204" s="172">
        <v>44592.0</v>
      </c>
      <c r="E204" s="170">
        <v>1017.0</v>
      </c>
      <c r="F204" s="170">
        <v>2022.01</v>
      </c>
      <c r="G204" s="170" t="s">
        <v>52</v>
      </c>
      <c r="H204" s="170" t="s">
        <v>1264</v>
      </c>
      <c r="I204" s="170" t="s">
        <v>1979</v>
      </c>
      <c r="J204" s="94"/>
      <c r="K204" s="173">
        <v>44562.0</v>
      </c>
      <c r="L204" s="45" t="b">
        <v>1</v>
      </c>
    </row>
    <row r="205" hidden="1">
      <c r="A205" s="16" t="s">
        <v>115</v>
      </c>
      <c r="B205" s="99" t="s">
        <v>1982</v>
      </c>
      <c r="C205" s="174">
        <v>662.5</v>
      </c>
      <c r="D205" s="175">
        <v>44592.0</v>
      </c>
      <c r="E205" s="99" t="s">
        <v>2019</v>
      </c>
      <c r="F205" s="99">
        <v>2022.01</v>
      </c>
      <c r="G205" s="99" t="s">
        <v>52</v>
      </c>
      <c r="H205" s="99" t="s">
        <v>1264</v>
      </c>
      <c r="I205" s="99" t="s">
        <v>1979</v>
      </c>
      <c r="J205" s="97"/>
      <c r="K205" s="177">
        <v>44562.0</v>
      </c>
      <c r="L205" s="46" t="b">
        <v>1</v>
      </c>
    </row>
    <row r="206" hidden="1">
      <c r="A206" s="4" t="s">
        <v>118</v>
      </c>
      <c r="B206" s="170" t="s">
        <v>1982</v>
      </c>
      <c r="C206" s="171">
        <v>662.5</v>
      </c>
      <c r="D206" s="172">
        <v>44592.0</v>
      </c>
      <c r="E206" s="170" t="s">
        <v>2019</v>
      </c>
      <c r="F206" s="170">
        <v>2022.01</v>
      </c>
      <c r="G206" s="170" t="s">
        <v>52</v>
      </c>
      <c r="H206" s="170" t="s">
        <v>1264</v>
      </c>
      <c r="I206" s="170" t="s">
        <v>1979</v>
      </c>
      <c r="J206" s="94"/>
      <c r="K206" s="173">
        <v>44562.0</v>
      </c>
      <c r="L206" s="45" t="b">
        <v>1</v>
      </c>
    </row>
    <row r="207" hidden="1">
      <c r="A207" s="16" t="s">
        <v>92</v>
      </c>
      <c r="B207" s="99" t="s">
        <v>1982</v>
      </c>
      <c r="C207" s="174">
        <v>350.0</v>
      </c>
      <c r="D207" s="175">
        <v>44592.0</v>
      </c>
      <c r="E207" s="99" t="s">
        <v>2019</v>
      </c>
      <c r="F207" s="99">
        <v>2022.01</v>
      </c>
      <c r="G207" s="99" t="s">
        <v>52</v>
      </c>
      <c r="H207" s="99" t="s">
        <v>1264</v>
      </c>
      <c r="I207" s="99" t="s">
        <v>1979</v>
      </c>
      <c r="J207" s="97"/>
      <c r="K207" s="177">
        <v>44562.0</v>
      </c>
      <c r="L207" s="46" t="b">
        <v>1</v>
      </c>
    </row>
    <row r="208" hidden="1">
      <c r="A208" s="4" t="s">
        <v>84</v>
      </c>
      <c r="B208" s="170" t="s">
        <v>1982</v>
      </c>
      <c r="C208" s="171">
        <v>475.0</v>
      </c>
      <c r="D208" s="172">
        <v>44592.0</v>
      </c>
      <c r="E208" s="170" t="s">
        <v>2019</v>
      </c>
      <c r="F208" s="170">
        <v>2022.01</v>
      </c>
      <c r="G208" s="170" t="s">
        <v>52</v>
      </c>
      <c r="H208" s="170" t="s">
        <v>1264</v>
      </c>
      <c r="I208" s="170" t="s">
        <v>1979</v>
      </c>
      <c r="J208" s="94"/>
      <c r="K208" s="173">
        <v>44562.0</v>
      </c>
      <c r="L208" s="45" t="b">
        <v>1</v>
      </c>
    </row>
    <row r="209" hidden="1">
      <c r="A209" s="16" t="s">
        <v>123</v>
      </c>
      <c r="B209" s="99" t="s">
        <v>1982</v>
      </c>
      <c r="C209" s="174">
        <v>1212.5</v>
      </c>
      <c r="D209" s="175">
        <v>44592.0</v>
      </c>
      <c r="E209" s="99" t="s">
        <v>2019</v>
      </c>
      <c r="F209" s="99">
        <v>2022.01</v>
      </c>
      <c r="G209" s="99" t="s">
        <v>52</v>
      </c>
      <c r="H209" s="99" t="s">
        <v>1264</v>
      </c>
      <c r="I209" s="99" t="s">
        <v>1979</v>
      </c>
      <c r="J209" s="97"/>
      <c r="K209" s="177">
        <v>44562.0</v>
      </c>
      <c r="L209" s="46" t="b">
        <v>1</v>
      </c>
    </row>
    <row r="210" hidden="1">
      <c r="A210" s="4" t="s">
        <v>62</v>
      </c>
      <c r="B210" s="170" t="s">
        <v>1982</v>
      </c>
      <c r="C210" s="171">
        <v>450.0</v>
      </c>
      <c r="D210" s="172">
        <v>44592.0</v>
      </c>
      <c r="E210" s="170" t="s">
        <v>2019</v>
      </c>
      <c r="F210" s="170">
        <v>2022.01</v>
      </c>
      <c r="G210" s="170" t="s">
        <v>52</v>
      </c>
      <c r="H210" s="170" t="s">
        <v>1264</v>
      </c>
      <c r="I210" s="170" t="s">
        <v>1979</v>
      </c>
      <c r="J210" s="94"/>
      <c r="K210" s="173">
        <v>44562.0</v>
      </c>
      <c r="L210" s="45" t="b">
        <v>1</v>
      </c>
    </row>
    <row r="211" hidden="1">
      <c r="A211" s="16" t="s">
        <v>147</v>
      </c>
      <c r="B211" s="99" t="s">
        <v>1980</v>
      </c>
      <c r="C211" s="174">
        <v>75.0</v>
      </c>
      <c r="D211" s="175">
        <v>44592.0</v>
      </c>
      <c r="E211" s="99">
        <v>107.0</v>
      </c>
      <c r="F211" s="99">
        <v>2022.01</v>
      </c>
      <c r="G211" s="99" t="s">
        <v>52</v>
      </c>
      <c r="H211" s="99" t="s">
        <v>1264</v>
      </c>
      <c r="I211" s="99" t="s">
        <v>1979</v>
      </c>
      <c r="J211" s="97"/>
      <c r="K211" s="177">
        <v>44562.0</v>
      </c>
      <c r="L211" s="46" t="b">
        <v>1</v>
      </c>
    </row>
    <row r="212" hidden="1">
      <c r="A212" s="4" t="s">
        <v>92</v>
      </c>
      <c r="B212" s="170" t="s">
        <v>1980</v>
      </c>
      <c r="C212" s="93">
        <f>350+225</f>
        <v>575</v>
      </c>
      <c r="D212" s="172">
        <v>44592.0</v>
      </c>
      <c r="E212" s="170">
        <v>107.0</v>
      </c>
      <c r="F212" s="170">
        <v>2022.01</v>
      </c>
      <c r="G212" s="170" t="s">
        <v>52</v>
      </c>
      <c r="H212" s="170" t="s">
        <v>1264</v>
      </c>
      <c r="I212" s="170" t="s">
        <v>1979</v>
      </c>
      <c r="J212" s="94"/>
      <c r="K212" s="173">
        <v>44562.0</v>
      </c>
      <c r="L212" s="45" t="b">
        <v>1</v>
      </c>
    </row>
    <row r="213" hidden="1">
      <c r="A213" s="16" t="s">
        <v>88</v>
      </c>
      <c r="B213" s="99" t="s">
        <v>1980</v>
      </c>
      <c r="C213" s="174">
        <v>45.0</v>
      </c>
      <c r="D213" s="175">
        <v>44592.0</v>
      </c>
      <c r="E213" s="99">
        <v>107.0</v>
      </c>
      <c r="F213" s="99">
        <v>2022.01</v>
      </c>
      <c r="G213" s="99" t="s">
        <v>52</v>
      </c>
      <c r="H213" s="99" t="s">
        <v>1264</v>
      </c>
      <c r="I213" s="99" t="s">
        <v>1979</v>
      </c>
      <c r="J213" s="97"/>
      <c r="K213" s="177">
        <v>44562.0</v>
      </c>
      <c r="L213" s="46" t="b">
        <v>1</v>
      </c>
    </row>
    <row r="214" hidden="1">
      <c r="A214" s="4" t="s">
        <v>151</v>
      </c>
      <c r="B214" s="170" t="s">
        <v>1980</v>
      </c>
      <c r="C214" s="93">
        <f>250+60</f>
        <v>310</v>
      </c>
      <c r="D214" s="172">
        <v>44592.0</v>
      </c>
      <c r="E214" s="170">
        <v>107.0</v>
      </c>
      <c r="F214" s="170">
        <v>2022.01</v>
      </c>
      <c r="G214" s="170" t="s">
        <v>52</v>
      </c>
      <c r="H214" s="170" t="s">
        <v>1264</v>
      </c>
      <c r="I214" s="170" t="s">
        <v>1979</v>
      </c>
      <c r="J214" s="94"/>
      <c r="K214" s="173">
        <v>44562.0</v>
      </c>
      <c r="L214" s="45" t="b">
        <v>1</v>
      </c>
    </row>
    <row r="215" hidden="1">
      <c r="A215" s="36" t="s">
        <v>2020</v>
      </c>
      <c r="B215" s="99" t="s">
        <v>1980</v>
      </c>
      <c r="C215" s="96">
        <f t="shared" ref="C215:C216" si="2">150+30</f>
        <v>180</v>
      </c>
      <c r="D215" s="175">
        <v>44592.0</v>
      </c>
      <c r="E215" s="99">
        <v>107.0</v>
      </c>
      <c r="F215" s="99">
        <v>2022.01</v>
      </c>
      <c r="G215" s="99" t="s">
        <v>52</v>
      </c>
      <c r="H215" s="99" t="s">
        <v>1264</v>
      </c>
      <c r="I215" s="99" t="s">
        <v>1979</v>
      </c>
      <c r="J215" s="97"/>
      <c r="K215" s="177">
        <v>44562.0</v>
      </c>
      <c r="L215" s="46" t="b">
        <v>1</v>
      </c>
    </row>
    <row r="216" hidden="1">
      <c r="A216" s="4" t="s">
        <v>86</v>
      </c>
      <c r="B216" s="170" t="s">
        <v>1980</v>
      </c>
      <c r="C216" s="93">
        <f t="shared" si="2"/>
        <v>180</v>
      </c>
      <c r="D216" s="172">
        <v>44592.0</v>
      </c>
      <c r="E216" s="170">
        <v>107.0</v>
      </c>
      <c r="F216" s="170">
        <v>2022.01</v>
      </c>
      <c r="G216" s="170" t="s">
        <v>52</v>
      </c>
      <c r="H216" s="170" t="s">
        <v>1264</v>
      </c>
      <c r="I216" s="170" t="s">
        <v>1979</v>
      </c>
      <c r="J216" s="94"/>
      <c r="K216" s="173">
        <v>44562.0</v>
      </c>
      <c r="L216" s="45" t="b">
        <v>1</v>
      </c>
    </row>
    <row r="217" hidden="1">
      <c r="A217" s="16" t="s">
        <v>97</v>
      </c>
      <c r="B217" s="99" t="s">
        <v>1980</v>
      </c>
      <c r="C217" s="174">
        <v>30.0</v>
      </c>
      <c r="D217" s="175">
        <v>44592.0</v>
      </c>
      <c r="E217" s="99">
        <v>107.0</v>
      </c>
      <c r="F217" s="99">
        <v>2022.01</v>
      </c>
      <c r="G217" s="99" t="s">
        <v>52</v>
      </c>
      <c r="H217" s="99" t="s">
        <v>1264</v>
      </c>
      <c r="I217" s="99" t="s">
        <v>1979</v>
      </c>
      <c r="J217" s="97"/>
      <c r="K217" s="177">
        <v>44562.0</v>
      </c>
      <c r="L217" s="46" t="b">
        <v>1</v>
      </c>
    </row>
    <row r="218" hidden="1">
      <c r="A218" s="4" t="s">
        <v>82</v>
      </c>
      <c r="B218" s="170" t="s">
        <v>1980</v>
      </c>
      <c r="C218" s="93">
        <f>225+75</f>
        <v>300</v>
      </c>
      <c r="D218" s="172">
        <v>44592.0</v>
      </c>
      <c r="E218" s="170">
        <v>107.0</v>
      </c>
      <c r="F218" s="170">
        <v>2022.01</v>
      </c>
      <c r="G218" s="170" t="s">
        <v>52</v>
      </c>
      <c r="H218" s="170" t="s">
        <v>1264</v>
      </c>
      <c r="I218" s="170" t="s">
        <v>1979</v>
      </c>
      <c r="J218" s="94"/>
      <c r="K218" s="173">
        <v>44562.0</v>
      </c>
      <c r="L218" s="45" t="b">
        <v>1</v>
      </c>
    </row>
    <row r="219" hidden="1">
      <c r="A219" s="16" t="s">
        <v>99</v>
      </c>
      <c r="B219" s="99" t="s">
        <v>1980</v>
      </c>
      <c r="C219" s="96">
        <f>375+120</f>
        <v>495</v>
      </c>
      <c r="D219" s="175">
        <v>44592.0</v>
      </c>
      <c r="E219" s="99">
        <v>107.0</v>
      </c>
      <c r="F219" s="99">
        <v>2022.01</v>
      </c>
      <c r="G219" s="99" t="s">
        <v>52</v>
      </c>
      <c r="H219" s="99" t="s">
        <v>1264</v>
      </c>
      <c r="I219" s="99" t="s">
        <v>1979</v>
      </c>
      <c r="J219" s="97"/>
      <c r="K219" s="177">
        <v>44562.0</v>
      </c>
      <c r="L219" s="46" t="b">
        <v>1</v>
      </c>
    </row>
    <row r="220" hidden="1">
      <c r="A220" s="4" t="s">
        <v>68</v>
      </c>
      <c r="B220" s="170" t="s">
        <v>1980</v>
      </c>
      <c r="C220" s="93">
        <f>237.5+60</f>
        <v>297.5</v>
      </c>
      <c r="D220" s="172">
        <v>44592.0</v>
      </c>
      <c r="E220" s="170">
        <v>107.0</v>
      </c>
      <c r="F220" s="170">
        <v>2022.01</v>
      </c>
      <c r="G220" s="170" t="s">
        <v>52</v>
      </c>
      <c r="H220" s="170" t="s">
        <v>1264</v>
      </c>
      <c r="I220" s="170" t="s">
        <v>1979</v>
      </c>
      <c r="J220" s="94"/>
      <c r="K220" s="173">
        <v>44562.0</v>
      </c>
      <c r="L220" s="45" t="b">
        <v>1</v>
      </c>
    </row>
    <row r="221" hidden="1">
      <c r="A221" s="16" t="s">
        <v>42</v>
      </c>
      <c r="B221" s="99" t="s">
        <v>1980</v>
      </c>
      <c r="C221" s="96">
        <f>187.5+135</f>
        <v>322.5</v>
      </c>
      <c r="D221" s="175">
        <v>44592.0</v>
      </c>
      <c r="E221" s="99">
        <v>107.0</v>
      </c>
      <c r="F221" s="99">
        <v>2022.01</v>
      </c>
      <c r="G221" s="99" t="s">
        <v>52</v>
      </c>
      <c r="H221" s="99" t="s">
        <v>1264</v>
      </c>
      <c r="I221" s="99" t="s">
        <v>1979</v>
      </c>
      <c r="J221" s="97"/>
      <c r="K221" s="177">
        <v>44562.0</v>
      </c>
      <c r="L221" s="46" t="b">
        <v>1</v>
      </c>
    </row>
    <row r="222" hidden="1">
      <c r="A222" s="4" t="s">
        <v>58</v>
      </c>
      <c r="B222" s="170" t="s">
        <v>1980</v>
      </c>
      <c r="C222" s="171">
        <v>400.0</v>
      </c>
      <c r="D222" s="172">
        <v>44592.0</v>
      </c>
      <c r="E222" s="170">
        <v>107.0</v>
      </c>
      <c r="F222" s="170">
        <v>2022.01</v>
      </c>
      <c r="G222" s="170" t="s">
        <v>52</v>
      </c>
      <c r="H222" s="170" t="s">
        <v>1264</v>
      </c>
      <c r="I222" s="170" t="s">
        <v>1979</v>
      </c>
      <c r="J222" s="94"/>
      <c r="K222" s="173">
        <v>44562.0</v>
      </c>
      <c r="L222" s="45" t="b">
        <v>1</v>
      </c>
    </row>
    <row r="223" hidden="1">
      <c r="A223" s="16" t="s">
        <v>123</v>
      </c>
      <c r="B223" s="99" t="s">
        <v>1980</v>
      </c>
      <c r="C223" s="174">
        <v>837.5</v>
      </c>
      <c r="D223" s="175">
        <v>44592.0</v>
      </c>
      <c r="E223" s="99">
        <v>107.0</v>
      </c>
      <c r="F223" s="99">
        <v>2022.01</v>
      </c>
      <c r="G223" s="99" t="s">
        <v>52</v>
      </c>
      <c r="H223" s="99" t="s">
        <v>1264</v>
      </c>
      <c r="I223" s="99" t="s">
        <v>1979</v>
      </c>
      <c r="J223" s="97"/>
      <c r="K223" s="177">
        <v>44562.0</v>
      </c>
      <c r="L223" s="46" t="b">
        <v>1</v>
      </c>
    </row>
    <row r="224" hidden="1">
      <c r="A224" s="4" t="s">
        <v>73</v>
      </c>
      <c r="B224" s="170" t="s">
        <v>1980</v>
      </c>
      <c r="C224" s="171">
        <v>60.0</v>
      </c>
      <c r="D224" s="172">
        <v>44592.0</v>
      </c>
      <c r="E224" s="170">
        <v>107.0</v>
      </c>
      <c r="F224" s="170">
        <v>2022.01</v>
      </c>
      <c r="G224" s="170" t="s">
        <v>52</v>
      </c>
      <c r="H224" s="170" t="s">
        <v>1264</v>
      </c>
      <c r="I224" s="170" t="s">
        <v>1979</v>
      </c>
      <c r="J224" s="94"/>
      <c r="K224" s="173">
        <v>44562.0</v>
      </c>
      <c r="L224" s="45" t="b">
        <v>1</v>
      </c>
    </row>
    <row r="225" hidden="1">
      <c r="A225" s="16" t="s">
        <v>50</v>
      </c>
      <c r="B225" s="99" t="s">
        <v>1980</v>
      </c>
      <c r="C225" s="96">
        <f>137.5+30</f>
        <v>167.5</v>
      </c>
      <c r="D225" s="175">
        <v>44592.0</v>
      </c>
      <c r="E225" s="99">
        <v>107.0</v>
      </c>
      <c r="F225" s="99">
        <v>2022.01</v>
      </c>
      <c r="G225" s="99" t="s">
        <v>52</v>
      </c>
      <c r="H225" s="99" t="s">
        <v>1264</v>
      </c>
      <c r="I225" s="99" t="s">
        <v>1979</v>
      </c>
      <c r="J225" s="97"/>
      <c r="K225" s="177">
        <v>44562.0</v>
      </c>
      <c r="L225" s="46" t="b">
        <v>1</v>
      </c>
    </row>
    <row r="226" hidden="1">
      <c r="A226" s="4" t="s">
        <v>62</v>
      </c>
      <c r="B226" s="170" t="s">
        <v>1980</v>
      </c>
      <c r="C226" s="93">
        <f>150+150</f>
        <v>300</v>
      </c>
      <c r="D226" s="172">
        <v>44592.0</v>
      </c>
      <c r="E226" s="170">
        <v>107.0</v>
      </c>
      <c r="F226" s="170">
        <v>2022.01</v>
      </c>
      <c r="G226" s="170" t="s">
        <v>52</v>
      </c>
      <c r="H226" s="170" t="s">
        <v>1264</v>
      </c>
      <c r="I226" s="170" t="s">
        <v>1979</v>
      </c>
      <c r="J226" s="94"/>
      <c r="K226" s="173">
        <v>44562.0</v>
      </c>
      <c r="L226" s="45" t="b">
        <v>1</v>
      </c>
    </row>
    <row r="227" hidden="1">
      <c r="A227" s="16" t="s">
        <v>223</v>
      </c>
      <c r="B227" s="99" t="s">
        <v>1980</v>
      </c>
      <c r="C227" s="96">
        <f>150+75</f>
        <v>225</v>
      </c>
      <c r="D227" s="175">
        <v>44592.0</v>
      </c>
      <c r="E227" s="99">
        <v>107.0</v>
      </c>
      <c r="F227" s="99">
        <v>2022.01</v>
      </c>
      <c r="G227" s="99" t="s">
        <v>52</v>
      </c>
      <c r="H227" s="99" t="s">
        <v>1264</v>
      </c>
      <c r="I227" s="99" t="s">
        <v>1979</v>
      </c>
      <c r="J227" s="97"/>
      <c r="K227" s="177">
        <v>44562.0</v>
      </c>
      <c r="L227" s="46" t="b">
        <v>1</v>
      </c>
    </row>
    <row r="228" hidden="1">
      <c r="A228" s="4" t="s">
        <v>225</v>
      </c>
      <c r="B228" s="170" t="s">
        <v>1980</v>
      </c>
      <c r="C228" s="171">
        <v>1000.0</v>
      </c>
      <c r="D228" s="172">
        <v>44592.0</v>
      </c>
      <c r="E228" s="170">
        <v>107.0</v>
      </c>
      <c r="F228" s="170">
        <v>2022.01</v>
      </c>
      <c r="G228" s="170" t="s">
        <v>52</v>
      </c>
      <c r="H228" s="170" t="s">
        <v>1264</v>
      </c>
      <c r="I228" s="170" t="s">
        <v>1979</v>
      </c>
      <c r="J228" s="94"/>
      <c r="K228" s="173">
        <v>44562.0</v>
      </c>
      <c r="L228" s="45" t="b">
        <v>1</v>
      </c>
    </row>
    <row r="229" hidden="1">
      <c r="A229" s="16" t="s">
        <v>246</v>
      </c>
      <c r="B229" s="99" t="s">
        <v>1980</v>
      </c>
      <c r="C229" s="96">
        <f>45+150</f>
        <v>195</v>
      </c>
      <c r="D229" s="175">
        <v>44592.0</v>
      </c>
      <c r="E229" s="99">
        <v>107.0</v>
      </c>
      <c r="F229" s="99">
        <v>2022.01</v>
      </c>
      <c r="G229" s="99" t="s">
        <v>52</v>
      </c>
      <c r="H229" s="99" t="s">
        <v>1264</v>
      </c>
      <c r="I229" s="99" t="s">
        <v>1979</v>
      </c>
      <c r="J229" s="97"/>
      <c r="K229" s="177">
        <v>44562.0</v>
      </c>
      <c r="L229" s="46" t="b">
        <v>1</v>
      </c>
    </row>
    <row r="230" hidden="1">
      <c r="A230" s="4" t="s">
        <v>1313</v>
      </c>
      <c r="B230" s="170" t="s">
        <v>1985</v>
      </c>
      <c r="C230" s="171">
        <v>362.5</v>
      </c>
      <c r="D230" s="172">
        <v>44592.0</v>
      </c>
      <c r="E230" s="170">
        <v>18.0</v>
      </c>
      <c r="F230" s="170">
        <v>2022.0</v>
      </c>
      <c r="G230" s="170" t="s">
        <v>1160</v>
      </c>
      <c r="H230" s="170" t="s">
        <v>1264</v>
      </c>
      <c r="I230" s="170" t="s">
        <v>1979</v>
      </c>
      <c r="J230" s="94"/>
      <c r="K230" s="173">
        <v>44562.0</v>
      </c>
      <c r="L230" s="45" t="b">
        <v>1</v>
      </c>
    </row>
    <row r="231" hidden="1">
      <c r="A231" s="16" t="s">
        <v>296</v>
      </c>
      <c r="B231" s="99" t="s">
        <v>1985</v>
      </c>
      <c r="C231" s="174">
        <v>30.0</v>
      </c>
      <c r="D231" s="175">
        <v>44592.0</v>
      </c>
      <c r="E231" s="99">
        <v>18.0</v>
      </c>
      <c r="F231" s="99">
        <v>2022.01</v>
      </c>
      <c r="G231" s="99" t="s">
        <v>52</v>
      </c>
      <c r="H231" s="99" t="s">
        <v>1264</v>
      </c>
      <c r="I231" s="99" t="s">
        <v>1979</v>
      </c>
      <c r="J231" s="97"/>
      <c r="K231" s="177">
        <v>44562.0</v>
      </c>
      <c r="L231" s="46" t="b">
        <v>1</v>
      </c>
    </row>
    <row r="232" hidden="1">
      <c r="A232" s="4" t="s">
        <v>203</v>
      </c>
      <c r="B232" s="170" t="s">
        <v>1985</v>
      </c>
      <c r="C232" s="171">
        <v>675.0</v>
      </c>
      <c r="D232" s="172">
        <v>44592.0</v>
      </c>
      <c r="E232" s="170">
        <v>18.0</v>
      </c>
      <c r="F232" s="170">
        <v>2022.0</v>
      </c>
      <c r="G232" s="170" t="s">
        <v>1160</v>
      </c>
      <c r="H232" s="170" t="s">
        <v>1264</v>
      </c>
      <c r="I232" s="170" t="s">
        <v>1979</v>
      </c>
      <c r="J232" s="94"/>
      <c r="K232" s="173">
        <v>44562.0</v>
      </c>
      <c r="L232" s="45" t="b">
        <v>1</v>
      </c>
    </row>
    <row r="233" hidden="1">
      <c r="A233" s="16" t="s">
        <v>248</v>
      </c>
      <c r="B233" s="99" t="s">
        <v>1985</v>
      </c>
      <c r="C233" s="174">
        <v>500.0</v>
      </c>
      <c r="D233" s="175">
        <v>44592.0</v>
      </c>
      <c r="E233" s="99">
        <v>18.0</v>
      </c>
      <c r="F233" s="99">
        <v>2022.0</v>
      </c>
      <c r="G233" s="99" t="s">
        <v>1160</v>
      </c>
      <c r="H233" s="99" t="s">
        <v>1264</v>
      </c>
      <c r="I233" s="99" t="s">
        <v>1979</v>
      </c>
      <c r="J233" s="97"/>
      <c r="K233" s="177">
        <v>44562.0</v>
      </c>
      <c r="L233" s="46" t="b">
        <v>1</v>
      </c>
    </row>
    <row r="234" hidden="1">
      <c r="A234" s="4" t="s">
        <v>156</v>
      </c>
      <c r="B234" s="170" t="s">
        <v>1985</v>
      </c>
      <c r="C234" s="171">
        <v>225.0</v>
      </c>
      <c r="D234" s="172">
        <v>44592.0</v>
      </c>
      <c r="E234" s="170">
        <v>18.0</v>
      </c>
      <c r="F234" s="170">
        <v>2022.01</v>
      </c>
      <c r="G234" s="170" t="s">
        <v>52</v>
      </c>
      <c r="H234" s="170" t="s">
        <v>1264</v>
      </c>
      <c r="I234" s="170" t="s">
        <v>1979</v>
      </c>
      <c r="J234" s="94"/>
      <c r="K234" s="173">
        <v>44562.0</v>
      </c>
      <c r="L234" s="45" t="b">
        <v>1</v>
      </c>
    </row>
    <row r="235" hidden="1">
      <c r="A235" s="16" t="s">
        <v>75</v>
      </c>
      <c r="B235" s="99" t="s">
        <v>1985</v>
      </c>
      <c r="C235" s="174">
        <v>225.0</v>
      </c>
      <c r="D235" s="175">
        <v>44592.0</v>
      </c>
      <c r="E235" s="99">
        <v>18.0</v>
      </c>
      <c r="F235" s="99">
        <v>2022.01</v>
      </c>
      <c r="G235" s="99" t="s">
        <v>52</v>
      </c>
      <c r="H235" s="99" t="s">
        <v>1264</v>
      </c>
      <c r="I235" s="99" t="s">
        <v>1979</v>
      </c>
      <c r="J235" s="97"/>
      <c r="K235" s="177">
        <v>44562.0</v>
      </c>
      <c r="L235" s="46" t="b">
        <v>1</v>
      </c>
    </row>
    <row r="236" hidden="1">
      <c r="A236" s="4" t="s">
        <v>54</v>
      </c>
      <c r="B236" s="170" t="s">
        <v>1985</v>
      </c>
      <c r="C236" s="171">
        <v>162.5</v>
      </c>
      <c r="D236" s="172">
        <v>44592.0</v>
      </c>
      <c r="E236" s="170">
        <v>18.0</v>
      </c>
      <c r="F236" s="170">
        <v>2022.01</v>
      </c>
      <c r="G236" s="170" t="s">
        <v>52</v>
      </c>
      <c r="H236" s="170" t="s">
        <v>1264</v>
      </c>
      <c r="I236" s="170" t="s">
        <v>1979</v>
      </c>
      <c r="J236" s="94"/>
      <c r="K236" s="173">
        <v>44562.0</v>
      </c>
      <c r="L236" s="45" t="b">
        <v>1</v>
      </c>
    </row>
    <row r="237" hidden="1">
      <c r="A237" s="16" t="s">
        <v>58</v>
      </c>
      <c r="B237" s="99" t="s">
        <v>1985</v>
      </c>
      <c r="C237" s="174">
        <v>250.0</v>
      </c>
      <c r="D237" s="175">
        <v>44592.0</v>
      </c>
      <c r="E237" s="99">
        <v>18.0</v>
      </c>
      <c r="F237" s="99">
        <v>2022.01</v>
      </c>
      <c r="G237" s="99" t="s">
        <v>52</v>
      </c>
      <c r="H237" s="99" t="s">
        <v>1264</v>
      </c>
      <c r="I237" s="99" t="s">
        <v>1979</v>
      </c>
      <c r="J237" s="97"/>
      <c r="K237" s="177">
        <v>44562.0</v>
      </c>
      <c r="L237" s="46" t="b">
        <v>1</v>
      </c>
    </row>
    <row r="238" hidden="1">
      <c r="A238" s="4" t="s">
        <v>120</v>
      </c>
      <c r="B238" s="170" t="s">
        <v>1985</v>
      </c>
      <c r="C238" s="171">
        <v>375.0</v>
      </c>
      <c r="D238" s="172">
        <v>44592.0</v>
      </c>
      <c r="E238" s="170">
        <v>18.0</v>
      </c>
      <c r="F238" s="170">
        <v>2022.01</v>
      </c>
      <c r="G238" s="170" t="s">
        <v>52</v>
      </c>
      <c r="H238" s="170" t="s">
        <v>1264</v>
      </c>
      <c r="I238" s="170" t="s">
        <v>1979</v>
      </c>
      <c r="J238" s="94"/>
      <c r="K238" s="173">
        <v>44562.0</v>
      </c>
      <c r="L238" s="45" t="b">
        <v>1</v>
      </c>
    </row>
    <row r="239" hidden="1">
      <c r="A239" s="16" t="s">
        <v>1266</v>
      </c>
      <c r="B239" s="99" t="s">
        <v>1985</v>
      </c>
      <c r="C239" s="174">
        <v>142.5</v>
      </c>
      <c r="D239" s="175">
        <v>44592.0</v>
      </c>
      <c r="E239" s="99">
        <v>18.0</v>
      </c>
      <c r="F239" s="99">
        <v>2022.0</v>
      </c>
      <c r="G239" s="99" t="s">
        <v>1152</v>
      </c>
      <c r="H239" s="99" t="s">
        <v>1264</v>
      </c>
      <c r="I239" s="99" t="s">
        <v>1267</v>
      </c>
      <c r="J239" s="99" t="s">
        <v>2021</v>
      </c>
      <c r="K239" s="177">
        <v>44562.0</v>
      </c>
      <c r="L239" s="46" t="b">
        <v>1</v>
      </c>
    </row>
    <row r="240" hidden="1">
      <c r="A240" s="4" t="s">
        <v>54</v>
      </c>
      <c r="B240" s="170" t="s">
        <v>1984</v>
      </c>
      <c r="C240" s="171">
        <v>175.0</v>
      </c>
      <c r="D240" s="172">
        <v>44592.0</v>
      </c>
      <c r="E240" s="170">
        <v>1.0</v>
      </c>
      <c r="F240" s="170">
        <v>2022.01</v>
      </c>
      <c r="G240" s="170" t="s">
        <v>52</v>
      </c>
      <c r="H240" s="170" t="s">
        <v>1264</v>
      </c>
      <c r="I240" s="170" t="s">
        <v>1979</v>
      </c>
      <c r="J240" s="94"/>
      <c r="K240" s="173">
        <v>44562.0</v>
      </c>
      <c r="L240" s="45" t="b">
        <v>1</v>
      </c>
    </row>
    <row r="241" hidden="1">
      <c r="A241" s="16" t="s">
        <v>147</v>
      </c>
      <c r="B241" s="99" t="s">
        <v>1984</v>
      </c>
      <c r="C241" s="174">
        <v>250.0</v>
      </c>
      <c r="D241" s="175">
        <v>44592.0</v>
      </c>
      <c r="E241" s="99">
        <v>1.0</v>
      </c>
      <c r="F241" s="99">
        <v>2022.01</v>
      </c>
      <c r="G241" s="99" t="s">
        <v>52</v>
      </c>
      <c r="H241" s="99" t="s">
        <v>1264</v>
      </c>
      <c r="I241" s="99" t="s">
        <v>1979</v>
      </c>
      <c r="J241" s="97"/>
      <c r="K241" s="177">
        <v>44562.0</v>
      </c>
      <c r="L241" s="46" t="b">
        <v>1</v>
      </c>
    </row>
    <row r="242" hidden="1">
      <c r="A242" s="4" t="s">
        <v>42</v>
      </c>
      <c r="B242" s="170" t="s">
        <v>1984</v>
      </c>
      <c r="C242" s="171">
        <v>175.0</v>
      </c>
      <c r="D242" s="172">
        <v>44592.0</v>
      </c>
      <c r="E242" s="170">
        <v>1.0</v>
      </c>
      <c r="F242" s="170">
        <v>2022.01</v>
      </c>
      <c r="G242" s="170" t="s">
        <v>52</v>
      </c>
      <c r="H242" s="170" t="s">
        <v>1264</v>
      </c>
      <c r="I242" s="170" t="s">
        <v>1979</v>
      </c>
      <c r="J242" s="94"/>
      <c r="K242" s="173">
        <v>44562.0</v>
      </c>
      <c r="L242" s="45" t="b">
        <v>1</v>
      </c>
    </row>
    <row r="243" hidden="1">
      <c r="A243" s="16" t="s">
        <v>92</v>
      </c>
      <c r="B243" s="99" t="s">
        <v>1984</v>
      </c>
      <c r="C243" s="174">
        <v>212.5</v>
      </c>
      <c r="D243" s="175">
        <v>44592.0</v>
      </c>
      <c r="E243" s="99">
        <v>1.0</v>
      </c>
      <c r="F243" s="99">
        <v>2022.01</v>
      </c>
      <c r="G243" s="99" t="s">
        <v>52</v>
      </c>
      <c r="H243" s="99" t="s">
        <v>1264</v>
      </c>
      <c r="I243" s="99" t="s">
        <v>1979</v>
      </c>
      <c r="J243" s="97"/>
      <c r="K243" s="177">
        <v>44562.0</v>
      </c>
      <c r="L243" s="46" t="b">
        <v>1</v>
      </c>
    </row>
    <row r="244" hidden="1">
      <c r="A244" s="4" t="s">
        <v>120</v>
      </c>
      <c r="B244" s="170" t="s">
        <v>1984</v>
      </c>
      <c r="C244" s="171">
        <f>125+50</f>
        <v>175</v>
      </c>
      <c r="D244" s="172">
        <v>44592.0</v>
      </c>
      <c r="E244" s="170">
        <v>1.0</v>
      </c>
      <c r="F244" s="170">
        <v>2022.01</v>
      </c>
      <c r="G244" s="170" t="s">
        <v>52</v>
      </c>
      <c r="H244" s="170" t="s">
        <v>1264</v>
      </c>
      <c r="I244" s="170" t="s">
        <v>1979</v>
      </c>
      <c r="J244" s="94"/>
      <c r="K244" s="173">
        <v>44562.0</v>
      </c>
      <c r="L244" s="45" t="b">
        <v>1</v>
      </c>
    </row>
    <row r="245" hidden="1">
      <c r="A245" s="16" t="s">
        <v>37</v>
      </c>
      <c r="B245" s="99" t="s">
        <v>1984</v>
      </c>
      <c r="C245" s="174">
        <v>100.0</v>
      </c>
      <c r="D245" s="175">
        <v>44592.0</v>
      </c>
      <c r="E245" s="99">
        <v>1.0</v>
      </c>
      <c r="F245" s="99">
        <v>2022.0</v>
      </c>
      <c r="G245" s="99" t="s">
        <v>1160</v>
      </c>
      <c r="H245" s="99" t="s">
        <v>1264</v>
      </c>
      <c r="I245" s="99" t="s">
        <v>1979</v>
      </c>
      <c r="J245" s="97"/>
      <c r="K245" s="177">
        <v>44562.0</v>
      </c>
      <c r="L245" s="46" t="b">
        <v>1</v>
      </c>
    </row>
    <row r="246" hidden="1">
      <c r="A246" s="4" t="s">
        <v>1271</v>
      </c>
      <c r="B246" s="170" t="s">
        <v>1994</v>
      </c>
      <c r="C246" s="171">
        <v>12.87</v>
      </c>
      <c r="D246" s="172">
        <v>44592.0</v>
      </c>
      <c r="E246" s="94"/>
      <c r="F246" s="170">
        <v>2022.0</v>
      </c>
      <c r="G246" s="170" t="s">
        <v>1152</v>
      </c>
      <c r="H246" s="170" t="s">
        <v>1264</v>
      </c>
      <c r="I246" s="170" t="s">
        <v>1995</v>
      </c>
      <c r="J246" s="94"/>
      <c r="K246" s="173">
        <v>44562.0</v>
      </c>
      <c r="L246" s="45" t="b">
        <v>1</v>
      </c>
    </row>
    <row r="247" hidden="1">
      <c r="A247" s="16" t="s">
        <v>1271</v>
      </c>
      <c r="B247" s="99" t="s">
        <v>1996</v>
      </c>
      <c r="C247" s="174">
        <v>57.65</v>
      </c>
      <c r="D247" s="175">
        <v>44592.0</v>
      </c>
      <c r="E247" s="97"/>
      <c r="F247" s="99">
        <v>2022.0</v>
      </c>
      <c r="G247" s="99" t="s">
        <v>1152</v>
      </c>
      <c r="H247" s="99" t="s">
        <v>1264</v>
      </c>
      <c r="I247" s="99" t="s">
        <v>1995</v>
      </c>
      <c r="J247" s="99" t="s">
        <v>2022</v>
      </c>
      <c r="K247" s="177">
        <v>44562.0</v>
      </c>
      <c r="L247" s="46" t="b">
        <v>1</v>
      </c>
    </row>
    <row r="248" hidden="1">
      <c r="A248" s="4" t="s">
        <v>203</v>
      </c>
      <c r="B248" s="170" t="s">
        <v>1989</v>
      </c>
      <c r="C248" s="171">
        <v>9.97</v>
      </c>
      <c r="D248" s="172">
        <v>44592.0</v>
      </c>
      <c r="E248" s="94"/>
      <c r="F248" s="170">
        <v>2022.0</v>
      </c>
      <c r="G248" s="170" t="s">
        <v>1160</v>
      </c>
      <c r="H248" s="170" t="s">
        <v>1264</v>
      </c>
      <c r="I248" s="170" t="s">
        <v>1995</v>
      </c>
      <c r="J248" s="94"/>
      <c r="K248" s="173">
        <v>44562.0</v>
      </c>
      <c r="L248" s="45" t="b">
        <v>1</v>
      </c>
    </row>
    <row r="249" hidden="1">
      <c r="A249" s="16" t="s">
        <v>1271</v>
      </c>
      <c r="B249" s="99" t="s">
        <v>2017</v>
      </c>
      <c r="C249" s="174">
        <v>51.18</v>
      </c>
      <c r="D249" s="175">
        <v>44592.0</v>
      </c>
      <c r="E249" s="97"/>
      <c r="F249" s="99">
        <v>2022.0</v>
      </c>
      <c r="G249" s="99" t="s">
        <v>1152</v>
      </c>
      <c r="H249" s="99" t="s">
        <v>1264</v>
      </c>
      <c r="I249" s="99" t="s">
        <v>1995</v>
      </c>
      <c r="J249" s="99" t="s">
        <v>2023</v>
      </c>
      <c r="K249" s="177">
        <v>44562.0</v>
      </c>
      <c r="L249" s="46" t="b">
        <v>1</v>
      </c>
    </row>
    <row r="250" hidden="1">
      <c r="A250" s="4" t="s">
        <v>1271</v>
      </c>
      <c r="B250" s="170" t="s">
        <v>2024</v>
      </c>
      <c r="C250" s="171">
        <v>176.04</v>
      </c>
      <c r="D250" s="172">
        <v>44592.0</v>
      </c>
      <c r="E250" s="94"/>
      <c r="F250" s="170">
        <v>2022.0</v>
      </c>
      <c r="G250" s="170" t="s">
        <v>1152</v>
      </c>
      <c r="H250" s="170" t="s">
        <v>1264</v>
      </c>
      <c r="I250" s="170" t="s">
        <v>1267</v>
      </c>
      <c r="J250" s="170" t="s">
        <v>2025</v>
      </c>
      <c r="K250" s="173">
        <v>44562.0</v>
      </c>
      <c r="L250" s="45" t="b">
        <v>1</v>
      </c>
    </row>
    <row r="251" hidden="1">
      <c r="A251" s="16" t="s">
        <v>1269</v>
      </c>
      <c r="B251" s="99" t="s">
        <v>2026</v>
      </c>
      <c r="C251" s="174">
        <v>25.82</v>
      </c>
      <c r="D251" s="175">
        <v>44592.0</v>
      </c>
      <c r="E251" s="97"/>
      <c r="F251" s="99">
        <v>2022.0</v>
      </c>
      <c r="G251" s="99" t="s">
        <v>1152</v>
      </c>
      <c r="H251" s="99" t="s">
        <v>1264</v>
      </c>
      <c r="I251" s="99" t="s">
        <v>1977</v>
      </c>
      <c r="J251" s="97"/>
      <c r="K251" s="177">
        <v>44562.0</v>
      </c>
      <c r="L251" s="46" t="b">
        <v>1</v>
      </c>
    </row>
    <row r="252" hidden="1">
      <c r="A252" s="4" t="s">
        <v>58</v>
      </c>
      <c r="B252" s="170" t="s">
        <v>1976</v>
      </c>
      <c r="C252" s="171">
        <v>173.65</v>
      </c>
      <c r="D252" s="172">
        <v>44592.0</v>
      </c>
      <c r="E252" s="94"/>
      <c r="F252" s="170">
        <v>2022.01</v>
      </c>
      <c r="G252" s="170" t="s">
        <v>52</v>
      </c>
      <c r="H252" s="170" t="s">
        <v>1264</v>
      </c>
      <c r="I252" s="170" t="s">
        <v>1977</v>
      </c>
      <c r="J252" s="170" t="s">
        <v>2027</v>
      </c>
      <c r="K252" s="173">
        <v>44562.0</v>
      </c>
      <c r="L252" s="45" t="b">
        <v>1</v>
      </c>
    </row>
    <row r="253" hidden="1">
      <c r="A253" s="16" t="s">
        <v>1319</v>
      </c>
      <c r="B253" s="99" t="s">
        <v>2018</v>
      </c>
      <c r="C253" s="174">
        <v>787.5</v>
      </c>
      <c r="D253" s="175">
        <v>44592.0</v>
      </c>
      <c r="E253" s="97"/>
      <c r="F253" s="99">
        <v>2022.0</v>
      </c>
      <c r="G253" s="99" t="s">
        <v>1160</v>
      </c>
      <c r="H253" s="99" t="s">
        <v>1264</v>
      </c>
      <c r="I253" s="99" t="s">
        <v>1979</v>
      </c>
      <c r="J253" s="99" t="s">
        <v>2028</v>
      </c>
      <c r="K253" s="177">
        <v>44562.0</v>
      </c>
      <c r="L253" s="46" t="b">
        <v>1</v>
      </c>
    </row>
    <row r="254" hidden="1">
      <c r="A254" s="4" t="s">
        <v>1271</v>
      </c>
      <c r="B254" s="170" t="s">
        <v>1997</v>
      </c>
      <c r="C254" s="171">
        <v>51.12</v>
      </c>
      <c r="D254" s="172">
        <v>44592.0</v>
      </c>
      <c r="E254" s="94"/>
      <c r="F254" s="170">
        <v>2022.0</v>
      </c>
      <c r="G254" s="170" t="s">
        <v>1152</v>
      </c>
      <c r="H254" s="170" t="s">
        <v>1264</v>
      </c>
      <c r="I254" s="170" t="s">
        <v>1995</v>
      </c>
      <c r="J254" s="94"/>
      <c r="K254" s="173">
        <v>44562.0</v>
      </c>
      <c r="L254" s="45" t="b">
        <v>1</v>
      </c>
    </row>
    <row r="255" hidden="1">
      <c r="A255" s="16" t="s">
        <v>1271</v>
      </c>
      <c r="B255" s="99" t="s">
        <v>1998</v>
      </c>
      <c r="C255" s="174">
        <v>129.77</v>
      </c>
      <c r="D255" s="175">
        <v>44592.0</v>
      </c>
      <c r="E255" s="97"/>
      <c r="F255" s="99">
        <v>2022.0</v>
      </c>
      <c r="G255" s="99" t="s">
        <v>1152</v>
      </c>
      <c r="H255" s="99" t="s">
        <v>1264</v>
      </c>
      <c r="I255" s="99" t="s">
        <v>1995</v>
      </c>
      <c r="J255" s="97"/>
      <c r="K255" s="177">
        <v>44562.0</v>
      </c>
      <c r="L255" s="46" t="b">
        <v>1</v>
      </c>
    </row>
    <row r="256" hidden="1">
      <c r="A256" s="4" t="s">
        <v>189</v>
      </c>
      <c r="B256" s="170" t="s">
        <v>2002</v>
      </c>
      <c r="C256" s="171">
        <v>23.44</v>
      </c>
      <c r="D256" s="172">
        <v>44592.0</v>
      </c>
      <c r="E256" s="94"/>
      <c r="F256" s="170">
        <v>2022.0</v>
      </c>
      <c r="G256" s="170" t="s">
        <v>1160</v>
      </c>
      <c r="H256" s="170" t="s">
        <v>1999</v>
      </c>
      <c r="I256" s="170" t="s">
        <v>1979</v>
      </c>
      <c r="J256" s="94"/>
      <c r="K256" s="173">
        <v>44562.0</v>
      </c>
      <c r="L256" s="45" t="b">
        <v>1</v>
      </c>
    </row>
    <row r="257" hidden="1">
      <c r="A257" s="16" t="s">
        <v>96</v>
      </c>
      <c r="B257" s="99" t="s">
        <v>2002</v>
      </c>
      <c r="C257" s="174">
        <v>53.61</v>
      </c>
      <c r="D257" s="175">
        <v>44592.0</v>
      </c>
      <c r="E257" s="97"/>
      <c r="F257" s="99">
        <v>2022.01</v>
      </c>
      <c r="G257" s="99" t="s">
        <v>52</v>
      </c>
      <c r="H257" s="99" t="s">
        <v>1999</v>
      </c>
      <c r="I257" s="99" t="s">
        <v>1979</v>
      </c>
      <c r="J257" s="97"/>
      <c r="K257" s="177">
        <v>44562.0</v>
      </c>
      <c r="L257" s="46" t="b">
        <v>1</v>
      </c>
    </row>
    <row r="258" hidden="1">
      <c r="A258" s="4" t="s">
        <v>58</v>
      </c>
      <c r="B258" s="170" t="s">
        <v>2002</v>
      </c>
      <c r="C258" s="171">
        <v>90.26</v>
      </c>
      <c r="D258" s="172">
        <v>44592.0</v>
      </c>
      <c r="E258" s="94"/>
      <c r="F258" s="170">
        <v>2022.01</v>
      </c>
      <c r="G258" s="170" t="s">
        <v>52</v>
      </c>
      <c r="H258" s="170" t="s">
        <v>1999</v>
      </c>
      <c r="I258" s="170" t="s">
        <v>1979</v>
      </c>
      <c r="J258" s="94"/>
      <c r="K258" s="173">
        <v>44562.0</v>
      </c>
      <c r="L258" s="45" t="b">
        <v>1</v>
      </c>
    </row>
    <row r="259" hidden="1">
      <c r="A259" s="16" t="s">
        <v>159</v>
      </c>
      <c r="B259" s="99" t="s">
        <v>2002</v>
      </c>
      <c r="C259" s="174">
        <v>16.43</v>
      </c>
      <c r="D259" s="175">
        <v>44592.0</v>
      </c>
      <c r="E259" s="97"/>
      <c r="F259" s="99">
        <v>2022.0</v>
      </c>
      <c r="G259" s="99" t="s">
        <v>1160</v>
      </c>
      <c r="H259" s="99" t="s">
        <v>1999</v>
      </c>
      <c r="I259" s="99" t="s">
        <v>1979</v>
      </c>
      <c r="J259" s="97"/>
      <c r="K259" s="177">
        <v>44562.0</v>
      </c>
      <c r="L259" s="46" t="b">
        <v>1</v>
      </c>
    </row>
    <row r="260" hidden="1">
      <c r="A260" s="4" t="s">
        <v>203</v>
      </c>
      <c r="B260" s="170" t="s">
        <v>2002</v>
      </c>
      <c r="C260" s="171">
        <v>49.77</v>
      </c>
      <c r="D260" s="172">
        <v>44592.0</v>
      </c>
      <c r="E260" s="94"/>
      <c r="F260" s="170">
        <v>2022.0</v>
      </c>
      <c r="G260" s="170" t="s">
        <v>1160</v>
      </c>
      <c r="H260" s="170" t="s">
        <v>1999</v>
      </c>
      <c r="I260" s="170" t="s">
        <v>1979</v>
      </c>
      <c r="J260" s="94"/>
      <c r="K260" s="173">
        <v>44562.0</v>
      </c>
      <c r="L260" s="45" t="b">
        <v>1</v>
      </c>
    </row>
    <row r="261" hidden="1">
      <c r="A261" s="16" t="s">
        <v>239</v>
      </c>
      <c r="B261" s="99" t="s">
        <v>2002</v>
      </c>
      <c r="C261" s="174">
        <v>786.12</v>
      </c>
      <c r="D261" s="175">
        <v>44592.0</v>
      </c>
      <c r="E261" s="97"/>
      <c r="F261" s="99">
        <v>2022.0</v>
      </c>
      <c r="G261" s="99" t="s">
        <v>1160</v>
      </c>
      <c r="H261" s="99" t="s">
        <v>1999</v>
      </c>
      <c r="I261" s="99" t="s">
        <v>1979</v>
      </c>
      <c r="J261" s="97"/>
      <c r="K261" s="177">
        <v>44562.0</v>
      </c>
      <c r="L261" s="46" t="b">
        <v>1</v>
      </c>
    </row>
    <row r="262" hidden="1">
      <c r="A262" s="4" t="s">
        <v>120</v>
      </c>
      <c r="B262" s="170" t="s">
        <v>2002</v>
      </c>
      <c r="C262" s="171">
        <v>410.18</v>
      </c>
      <c r="D262" s="172">
        <v>44592.0</v>
      </c>
      <c r="E262" s="94"/>
      <c r="F262" s="170">
        <v>2022.01</v>
      </c>
      <c r="G262" s="170" t="s">
        <v>52</v>
      </c>
      <c r="H262" s="170" t="s">
        <v>1999</v>
      </c>
      <c r="I262" s="170" t="s">
        <v>1979</v>
      </c>
      <c r="J262" s="94"/>
      <c r="K262" s="173">
        <v>44562.0</v>
      </c>
      <c r="L262" s="45" t="b">
        <v>1</v>
      </c>
    </row>
    <row r="263" hidden="1">
      <c r="A263" s="16" t="s">
        <v>232</v>
      </c>
      <c r="B263" s="99" t="s">
        <v>2002</v>
      </c>
      <c r="C263" s="174">
        <v>720.88</v>
      </c>
      <c r="D263" s="175">
        <v>44592.0</v>
      </c>
      <c r="E263" s="97"/>
      <c r="F263" s="99">
        <v>2022.0</v>
      </c>
      <c r="G263" s="99" t="s">
        <v>1160</v>
      </c>
      <c r="H263" s="99" t="s">
        <v>1999</v>
      </c>
      <c r="I263" s="99" t="s">
        <v>1979</v>
      </c>
      <c r="J263" s="97"/>
      <c r="K263" s="177">
        <v>44562.0</v>
      </c>
      <c r="L263" s="46" t="b">
        <v>1</v>
      </c>
    </row>
    <row r="264" hidden="1">
      <c r="A264" s="4" t="s">
        <v>254</v>
      </c>
      <c r="B264" s="170" t="s">
        <v>2002</v>
      </c>
      <c r="C264" s="171">
        <v>303.06</v>
      </c>
      <c r="D264" s="172">
        <v>44592.0</v>
      </c>
      <c r="E264" s="94"/>
      <c r="F264" s="170">
        <v>2022.0</v>
      </c>
      <c r="G264" s="170" t="s">
        <v>1160</v>
      </c>
      <c r="H264" s="170" t="s">
        <v>1999</v>
      </c>
      <c r="I264" s="170" t="s">
        <v>1979</v>
      </c>
      <c r="J264" s="94"/>
      <c r="K264" s="173">
        <v>44562.0</v>
      </c>
      <c r="L264" s="45" t="b">
        <v>1</v>
      </c>
    </row>
    <row r="265" hidden="1">
      <c r="A265" s="16" t="s">
        <v>42</v>
      </c>
      <c r="B265" s="99" t="s">
        <v>2002</v>
      </c>
      <c r="C265" s="174">
        <v>106.19</v>
      </c>
      <c r="D265" s="175">
        <v>44592.0</v>
      </c>
      <c r="E265" s="97"/>
      <c r="F265" s="99">
        <v>2022.01</v>
      </c>
      <c r="G265" s="99" t="s">
        <v>52</v>
      </c>
      <c r="H265" s="99" t="s">
        <v>1999</v>
      </c>
      <c r="I265" s="99" t="s">
        <v>1979</v>
      </c>
      <c r="J265" s="97"/>
      <c r="K265" s="177">
        <v>44562.0</v>
      </c>
      <c r="L265" s="46" t="b">
        <v>1</v>
      </c>
    </row>
    <row r="266" hidden="1">
      <c r="A266" s="4" t="s">
        <v>82</v>
      </c>
      <c r="B266" s="170" t="s">
        <v>2002</v>
      </c>
      <c r="C266" s="171">
        <v>58.95</v>
      </c>
      <c r="D266" s="172">
        <v>44592.0</v>
      </c>
      <c r="E266" s="94"/>
      <c r="F266" s="170">
        <v>2022.01</v>
      </c>
      <c r="G266" s="170" t="s">
        <v>52</v>
      </c>
      <c r="H266" s="170" t="s">
        <v>1999</v>
      </c>
      <c r="I266" s="170" t="s">
        <v>1979</v>
      </c>
      <c r="J266" s="94"/>
      <c r="K266" s="173">
        <v>44562.0</v>
      </c>
      <c r="L266" s="45" t="b">
        <v>1</v>
      </c>
    </row>
    <row r="267" hidden="1">
      <c r="A267" s="16" t="s">
        <v>1242</v>
      </c>
      <c r="B267" s="99" t="s">
        <v>2002</v>
      </c>
      <c r="C267" s="174">
        <v>56.47</v>
      </c>
      <c r="D267" s="175">
        <v>44592.0</v>
      </c>
      <c r="E267" s="97"/>
      <c r="F267" s="99">
        <v>2022.0</v>
      </c>
      <c r="G267" s="99" t="s">
        <v>1152</v>
      </c>
      <c r="H267" s="99" t="s">
        <v>1999</v>
      </c>
      <c r="I267" s="99" t="s">
        <v>1979</v>
      </c>
      <c r="J267" s="97"/>
      <c r="K267" s="177">
        <v>44562.0</v>
      </c>
      <c r="L267" s="46" t="b">
        <v>1</v>
      </c>
    </row>
    <row r="268" hidden="1">
      <c r="A268" s="4" t="s">
        <v>1263</v>
      </c>
      <c r="B268" s="170" t="s">
        <v>2002</v>
      </c>
      <c r="C268" s="171">
        <v>287.37</v>
      </c>
      <c r="D268" s="172">
        <v>44592.0</v>
      </c>
      <c r="E268" s="94"/>
      <c r="F268" s="170">
        <v>2022.0</v>
      </c>
      <c r="G268" s="170" t="s">
        <v>1152</v>
      </c>
      <c r="H268" s="170" t="s">
        <v>1999</v>
      </c>
      <c r="I268" s="170" t="s">
        <v>1979</v>
      </c>
      <c r="J268" s="94"/>
      <c r="K268" s="173">
        <v>44562.0</v>
      </c>
      <c r="L268" s="45" t="b">
        <v>1</v>
      </c>
    </row>
    <row r="269" hidden="1">
      <c r="A269" s="16" t="s">
        <v>259</v>
      </c>
      <c r="B269" s="99" t="s">
        <v>2002</v>
      </c>
      <c r="C269" s="174">
        <v>99.04</v>
      </c>
      <c r="D269" s="175">
        <v>44592.0</v>
      </c>
      <c r="E269" s="97"/>
      <c r="F269" s="99">
        <v>2022.0</v>
      </c>
      <c r="G269" s="99" t="s">
        <v>1160</v>
      </c>
      <c r="H269" s="99" t="s">
        <v>1999</v>
      </c>
      <c r="I269" s="99" t="s">
        <v>1979</v>
      </c>
      <c r="J269" s="97"/>
      <c r="K269" s="177">
        <v>44562.0</v>
      </c>
      <c r="L269" s="46" t="b">
        <v>1</v>
      </c>
    </row>
    <row r="270" hidden="1">
      <c r="A270" s="4" t="s">
        <v>166</v>
      </c>
      <c r="B270" s="170" t="s">
        <v>2002</v>
      </c>
      <c r="C270" s="171">
        <v>13.21</v>
      </c>
      <c r="D270" s="172">
        <v>44592.0</v>
      </c>
      <c r="E270" s="94"/>
      <c r="F270" s="170">
        <v>2022.0</v>
      </c>
      <c r="G270" s="170" t="s">
        <v>1160</v>
      </c>
      <c r="H270" s="170" t="s">
        <v>1999</v>
      </c>
      <c r="I270" s="170" t="s">
        <v>1979</v>
      </c>
      <c r="J270" s="94"/>
      <c r="K270" s="173">
        <v>44562.0</v>
      </c>
      <c r="L270" s="45" t="b">
        <v>1</v>
      </c>
    </row>
    <row r="271" hidden="1">
      <c r="A271" s="16" t="s">
        <v>1266</v>
      </c>
      <c r="B271" s="99" t="s">
        <v>2002</v>
      </c>
      <c r="C271" s="174">
        <v>369.81</v>
      </c>
      <c r="D271" s="175">
        <v>44592.0</v>
      </c>
      <c r="E271" s="97"/>
      <c r="F271" s="99">
        <v>2022.0</v>
      </c>
      <c r="G271" s="99" t="s">
        <v>1152</v>
      </c>
      <c r="H271" s="99" t="s">
        <v>1999</v>
      </c>
      <c r="I271" s="99" t="s">
        <v>1979</v>
      </c>
      <c r="J271" s="97"/>
      <c r="K271" s="177">
        <v>44562.0</v>
      </c>
      <c r="L271" s="46" t="b">
        <v>1</v>
      </c>
    </row>
    <row r="272" hidden="1">
      <c r="A272" s="4" t="s">
        <v>244</v>
      </c>
      <c r="B272" s="170" t="s">
        <v>2002</v>
      </c>
      <c r="C272" s="171">
        <v>435.84</v>
      </c>
      <c r="D272" s="172">
        <v>44592.0</v>
      </c>
      <c r="E272" s="94"/>
      <c r="F272" s="170">
        <v>2022.0</v>
      </c>
      <c r="G272" s="170" t="s">
        <v>1160</v>
      </c>
      <c r="H272" s="170" t="s">
        <v>1999</v>
      </c>
      <c r="I272" s="170" t="s">
        <v>1979</v>
      </c>
      <c r="J272" s="94"/>
      <c r="K272" s="173">
        <v>44562.0</v>
      </c>
      <c r="L272" s="45" t="b">
        <v>1</v>
      </c>
    </row>
    <row r="273" hidden="1">
      <c r="A273" s="16" t="s">
        <v>22</v>
      </c>
      <c r="B273" s="99" t="s">
        <v>2002</v>
      </c>
      <c r="C273" s="174">
        <v>66.29</v>
      </c>
      <c r="D273" s="175">
        <v>44592.0</v>
      </c>
      <c r="E273" s="97"/>
      <c r="F273" s="99">
        <v>2022.0</v>
      </c>
      <c r="G273" s="99" t="s">
        <v>1160</v>
      </c>
      <c r="H273" s="99" t="s">
        <v>1999</v>
      </c>
      <c r="I273" s="99" t="s">
        <v>1979</v>
      </c>
      <c r="J273" s="97"/>
      <c r="K273" s="177">
        <v>44562.0</v>
      </c>
      <c r="L273" s="46" t="b">
        <v>1</v>
      </c>
    </row>
    <row r="274" hidden="1">
      <c r="A274" s="4" t="s">
        <v>90</v>
      </c>
      <c r="B274" s="170" t="s">
        <v>2002</v>
      </c>
      <c r="C274" s="171">
        <v>92.52</v>
      </c>
      <c r="D274" s="172">
        <v>44592.0</v>
      </c>
      <c r="E274" s="94"/>
      <c r="F274" s="170">
        <v>2022.01</v>
      </c>
      <c r="G274" s="170" t="s">
        <v>52</v>
      </c>
      <c r="H274" s="170" t="s">
        <v>1999</v>
      </c>
      <c r="I274" s="170" t="s">
        <v>1979</v>
      </c>
      <c r="J274" s="94"/>
      <c r="K274" s="173">
        <v>44562.0</v>
      </c>
      <c r="L274" s="45" t="b">
        <v>1</v>
      </c>
    </row>
    <row r="275" hidden="1">
      <c r="A275" s="16" t="s">
        <v>137</v>
      </c>
      <c r="B275" s="99" t="s">
        <v>2002</v>
      </c>
      <c r="C275" s="174">
        <v>50.99</v>
      </c>
      <c r="D275" s="175">
        <v>44592.0</v>
      </c>
      <c r="E275" s="97"/>
      <c r="F275" s="99">
        <v>2022.0</v>
      </c>
      <c r="G275" s="99" t="s">
        <v>1160</v>
      </c>
      <c r="H275" s="99" t="s">
        <v>1999</v>
      </c>
      <c r="I275" s="99" t="s">
        <v>1979</v>
      </c>
      <c r="J275" s="97"/>
      <c r="K275" s="177">
        <v>44562.0</v>
      </c>
      <c r="L275" s="46" t="b">
        <v>1</v>
      </c>
    </row>
    <row r="276" hidden="1">
      <c r="A276" s="4" t="s">
        <v>92</v>
      </c>
      <c r="B276" s="170" t="s">
        <v>2002</v>
      </c>
      <c r="C276" s="171">
        <v>20.14</v>
      </c>
      <c r="D276" s="172">
        <v>44592.0</v>
      </c>
      <c r="E276" s="94"/>
      <c r="F276" s="170">
        <v>2022.01</v>
      </c>
      <c r="G276" s="170" t="s">
        <v>52</v>
      </c>
      <c r="H276" s="170" t="s">
        <v>1999</v>
      </c>
      <c r="I276" s="170" t="s">
        <v>1979</v>
      </c>
      <c r="J276" s="94"/>
      <c r="K276" s="173">
        <v>44562.0</v>
      </c>
      <c r="L276" s="45" t="b">
        <v>1</v>
      </c>
    </row>
    <row r="277" hidden="1">
      <c r="A277" s="16" t="s">
        <v>141</v>
      </c>
      <c r="B277" s="99" t="s">
        <v>2002</v>
      </c>
      <c r="C277" s="174">
        <v>0.0</v>
      </c>
      <c r="D277" s="175">
        <v>44592.0</v>
      </c>
      <c r="E277" s="97"/>
      <c r="F277" s="99">
        <v>2022.0</v>
      </c>
      <c r="G277" s="99" t="s">
        <v>1152</v>
      </c>
      <c r="H277" s="99" t="s">
        <v>1999</v>
      </c>
      <c r="I277" s="99" t="s">
        <v>1979</v>
      </c>
      <c r="J277" s="97"/>
      <c r="K277" s="177">
        <v>44562.0</v>
      </c>
      <c r="L277" s="46" t="b">
        <v>1</v>
      </c>
    </row>
    <row r="278" hidden="1">
      <c r="A278" s="4" t="s">
        <v>231</v>
      </c>
      <c r="B278" s="170" t="s">
        <v>2002</v>
      </c>
      <c r="C278" s="171">
        <v>76.86</v>
      </c>
      <c r="D278" s="172">
        <v>44592.0</v>
      </c>
      <c r="E278" s="94"/>
      <c r="F278" s="170">
        <v>2022.0</v>
      </c>
      <c r="G278" s="170" t="s">
        <v>1152</v>
      </c>
      <c r="H278" s="170" t="s">
        <v>1999</v>
      </c>
      <c r="I278" s="170" t="s">
        <v>1979</v>
      </c>
      <c r="J278" s="94"/>
      <c r="K278" s="173">
        <v>44562.0</v>
      </c>
      <c r="L278" s="45" t="b">
        <v>1</v>
      </c>
    </row>
    <row r="279" hidden="1">
      <c r="A279" s="16" t="s">
        <v>33</v>
      </c>
      <c r="B279" s="99" t="s">
        <v>2002</v>
      </c>
      <c r="C279" s="174">
        <v>238.02</v>
      </c>
      <c r="D279" s="175">
        <v>44592.0</v>
      </c>
      <c r="E279" s="97"/>
      <c r="F279" s="99">
        <v>2022.0</v>
      </c>
      <c r="G279" s="99" t="s">
        <v>1160</v>
      </c>
      <c r="H279" s="99" t="s">
        <v>1999</v>
      </c>
      <c r="I279" s="99" t="s">
        <v>1979</v>
      </c>
      <c r="J279" s="97"/>
      <c r="K279" s="177">
        <v>44562.0</v>
      </c>
      <c r="L279" s="46" t="b">
        <v>1</v>
      </c>
    </row>
    <row r="280" hidden="1">
      <c r="A280" s="4" t="s">
        <v>123</v>
      </c>
      <c r="B280" s="170" t="s">
        <v>2002</v>
      </c>
      <c r="C280" s="171">
        <v>183.47</v>
      </c>
      <c r="D280" s="172">
        <v>44592.0</v>
      </c>
      <c r="E280" s="94"/>
      <c r="F280" s="170">
        <v>2022.01</v>
      </c>
      <c r="G280" s="170" t="s">
        <v>52</v>
      </c>
      <c r="H280" s="170" t="s">
        <v>1999</v>
      </c>
      <c r="I280" s="170" t="s">
        <v>1979</v>
      </c>
      <c r="J280" s="94"/>
      <c r="K280" s="173">
        <v>44562.0</v>
      </c>
      <c r="L280" s="45" t="b">
        <v>1</v>
      </c>
    </row>
    <row r="281" hidden="1">
      <c r="A281" s="16" t="s">
        <v>115</v>
      </c>
      <c r="B281" s="99" t="s">
        <v>2002</v>
      </c>
      <c r="C281" s="174">
        <v>2.66</v>
      </c>
      <c r="D281" s="175">
        <v>44592.0</v>
      </c>
      <c r="E281" s="97"/>
      <c r="F281" s="99">
        <v>2022.01</v>
      </c>
      <c r="G281" s="99" t="s">
        <v>52</v>
      </c>
      <c r="H281" s="99" t="s">
        <v>1999</v>
      </c>
      <c r="I281" s="99" t="s">
        <v>1979</v>
      </c>
      <c r="J281" s="97"/>
      <c r="K281" s="177">
        <v>44562.0</v>
      </c>
      <c r="L281" s="46" t="b">
        <v>1</v>
      </c>
    </row>
    <row r="282" hidden="1">
      <c r="A282" s="4" t="s">
        <v>135</v>
      </c>
      <c r="B282" s="170" t="s">
        <v>2002</v>
      </c>
      <c r="C282" s="171">
        <v>1619.73</v>
      </c>
      <c r="D282" s="172">
        <v>44592.0</v>
      </c>
      <c r="E282" s="94"/>
      <c r="F282" s="170">
        <v>2022.0</v>
      </c>
      <c r="G282" s="170" t="s">
        <v>1160</v>
      </c>
      <c r="H282" s="170" t="s">
        <v>1999</v>
      </c>
      <c r="I282" s="170" t="s">
        <v>1979</v>
      </c>
      <c r="J282" s="94"/>
      <c r="K282" s="173">
        <v>44562.0</v>
      </c>
      <c r="L282" s="45" t="b">
        <v>1</v>
      </c>
    </row>
    <row r="283" hidden="1">
      <c r="A283" s="16" t="s">
        <v>92</v>
      </c>
      <c r="B283" s="99" t="s">
        <v>1988</v>
      </c>
      <c r="C283" s="174">
        <v>46.24</v>
      </c>
      <c r="D283" s="175">
        <v>44586.0</v>
      </c>
      <c r="E283" s="97"/>
      <c r="F283" s="99">
        <v>2022.01</v>
      </c>
      <c r="G283" s="99" t="s">
        <v>52</v>
      </c>
      <c r="H283" s="99" t="s">
        <v>1999</v>
      </c>
      <c r="I283" s="99" t="s">
        <v>1977</v>
      </c>
      <c r="J283" s="97"/>
      <c r="K283" s="177">
        <v>44562.0</v>
      </c>
      <c r="L283" s="46" t="b">
        <v>1</v>
      </c>
    </row>
    <row r="284" hidden="1">
      <c r="A284" s="4" t="s">
        <v>1271</v>
      </c>
      <c r="B284" s="170" t="s">
        <v>2000</v>
      </c>
      <c r="C284" s="171">
        <v>465.04</v>
      </c>
      <c r="D284" s="172">
        <v>44594.0</v>
      </c>
      <c r="E284" s="94"/>
      <c r="F284" s="170">
        <v>2022.0</v>
      </c>
      <c r="G284" s="170" t="s">
        <v>1152</v>
      </c>
      <c r="H284" s="170" t="s">
        <v>1999</v>
      </c>
      <c r="I284" s="170" t="s">
        <v>1977</v>
      </c>
      <c r="J284" s="94"/>
      <c r="K284" s="173">
        <v>44593.0</v>
      </c>
      <c r="L284" s="45" t="b">
        <v>1</v>
      </c>
    </row>
    <row r="285" hidden="1">
      <c r="A285" s="16" t="s">
        <v>92</v>
      </c>
      <c r="B285" s="99" t="s">
        <v>1988</v>
      </c>
      <c r="C285" s="174">
        <v>70.0</v>
      </c>
      <c r="D285" s="175">
        <v>44594.0</v>
      </c>
      <c r="E285" s="97"/>
      <c r="F285" s="99">
        <v>2022.02</v>
      </c>
      <c r="G285" s="99" t="s">
        <v>52</v>
      </c>
      <c r="H285" s="99" t="s">
        <v>1999</v>
      </c>
      <c r="I285" s="99" t="s">
        <v>1977</v>
      </c>
      <c r="J285" s="97"/>
      <c r="K285" s="177">
        <v>44593.0</v>
      </c>
      <c r="L285" s="46" t="b">
        <v>1</v>
      </c>
    </row>
    <row r="286" hidden="1">
      <c r="A286" s="4" t="s">
        <v>115</v>
      </c>
      <c r="B286" s="170" t="s">
        <v>1976</v>
      </c>
      <c r="C286" s="171">
        <v>750.0</v>
      </c>
      <c r="D286" s="172">
        <v>44597.0</v>
      </c>
      <c r="E286" s="94"/>
      <c r="F286" s="170">
        <v>2022.02</v>
      </c>
      <c r="G286" s="170" t="s">
        <v>52</v>
      </c>
      <c r="H286" s="170" t="s">
        <v>1999</v>
      </c>
      <c r="I286" s="170" t="s">
        <v>1977</v>
      </c>
      <c r="J286" s="94"/>
      <c r="K286" s="173">
        <v>44593.0</v>
      </c>
      <c r="L286" s="45" t="b">
        <v>1</v>
      </c>
    </row>
    <row r="287" hidden="1">
      <c r="A287" s="16" t="s">
        <v>118</v>
      </c>
      <c r="B287" s="99" t="s">
        <v>1976</v>
      </c>
      <c r="C287" s="174">
        <v>750.0</v>
      </c>
      <c r="D287" s="175">
        <v>44598.0</v>
      </c>
      <c r="E287" s="97"/>
      <c r="F287" s="99">
        <v>2022.02</v>
      </c>
      <c r="G287" s="99" t="s">
        <v>52</v>
      </c>
      <c r="H287" s="99" t="s">
        <v>1999</v>
      </c>
      <c r="I287" s="99" t="s">
        <v>1977</v>
      </c>
      <c r="J287" s="97"/>
      <c r="K287" s="177">
        <v>44593.0</v>
      </c>
      <c r="L287" s="46" t="b">
        <v>1</v>
      </c>
    </row>
    <row r="288" hidden="1">
      <c r="A288" s="4" t="s">
        <v>223</v>
      </c>
      <c r="B288" s="170" t="s">
        <v>1978</v>
      </c>
      <c r="C288" s="171">
        <v>250.0</v>
      </c>
      <c r="D288" s="172">
        <v>44620.0</v>
      </c>
      <c r="E288" s="94"/>
      <c r="F288" s="170">
        <v>2022.02</v>
      </c>
      <c r="G288" s="170" t="s">
        <v>52</v>
      </c>
      <c r="H288" s="170" t="s">
        <v>1264</v>
      </c>
      <c r="I288" s="170" t="s">
        <v>1979</v>
      </c>
      <c r="J288" s="94"/>
      <c r="K288" s="173">
        <v>44593.0</v>
      </c>
      <c r="L288" s="45" t="b">
        <v>1</v>
      </c>
    </row>
    <row r="289" hidden="1">
      <c r="A289" s="16" t="s">
        <v>88</v>
      </c>
      <c r="B289" s="99" t="s">
        <v>1978</v>
      </c>
      <c r="C289" s="174">
        <v>212.5</v>
      </c>
      <c r="D289" s="175">
        <v>44620.0</v>
      </c>
      <c r="E289" s="97"/>
      <c r="F289" s="99">
        <v>2022.02</v>
      </c>
      <c r="G289" s="99" t="s">
        <v>52</v>
      </c>
      <c r="H289" s="99" t="s">
        <v>1264</v>
      </c>
      <c r="I289" s="99" t="s">
        <v>1979</v>
      </c>
      <c r="J289" s="97"/>
      <c r="K289" s="177">
        <v>44593.0</v>
      </c>
      <c r="L289" s="46" t="b">
        <v>1</v>
      </c>
    </row>
    <row r="290" hidden="1">
      <c r="A290" s="4" t="s">
        <v>66</v>
      </c>
      <c r="B290" s="170" t="s">
        <v>1978</v>
      </c>
      <c r="C290" s="171">
        <v>275.0</v>
      </c>
      <c r="D290" s="172">
        <v>44620.0</v>
      </c>
      <c r="E290" s="94"/>
      <c r="F290" s="170">
        <v>2022.02</v>
      </c>
      <c r="G290" s="170" t="s">
        <v>52</v>
      </c>
      <c r="H290" s="170" t="s">
        <v>1264</v>
      </c>
      <c r="I290" s="170" t="s">
        <v>1979</v>
      </c>
      <c r="J290" s="94"/>
      <c r="K290" s="173">
        <v>44593.0</v>
      </c>
      <c r="L290" s="45" t="b">
        <v>1</v>
      </c>
    </row>
    <row r="291" hidden="1">
      <c r="A291" s="16" t="s">
        <v>97</v>
      </c>
      <c r="B291" s="99" t="s">
        <v>1978</v>
      </c>
      <c r="C291" s="174">
        <v>125.0</v>
      </c>
      <c r="D291" s="175">
        <v>44620.0</v>
      </c>
      <c r="E291" s="97"/>
      <c r="F291" s="99">
        <v>2022.02</v>
      </c>
      <c r="G291" s="99" t="s">
        <v>52</v>
      </c>
      <c r="H291" s="99" t="s">
        <v>1264</v>
      </c>
      <c r="I291" s="99" t="s">
        <v>1979</v>
      </c>
      <c r="J291" s="97"/>
      <c r="K291" s="177">
        <v>44593.0</v>
      </c>
      <c r="L291" s="46" t="b">
        <v>1</v>
      </c>
    </row>
    <row r="292" hidden="1">
      <c r="A292" s="4" t="s">
        <v>147</v>
      </c>
      <c r="B292" s="170" t="s">
        <v>1978</v>
      </c>
      <c r="C292" s="171">
        <v>200.0</v>
      </c>
      <c r="D292" s="172">
        <v>44620.0</v>
      </c>
      <c r="E292" s="94"/>
      <c r="F292" s="170">
        <v>2022.02</v>
      </c>
      <c r="G292" s="170" t="s">
        <v>52</v>
      </c>
      <c r="H292" s="170" t="s">
        <v>1264</v>
      </c>
      <c r="I292" s="170" t="s">
        <v>1979</v>
      </c>
      <c r="J292" s="94"/>
      <c r="K292" s="173">
        <v>44593.0</v>
      </c>
      <c r="L292" s="45" t="b">
        <v>1</v>
      </c>
    </row>
    <row r="293" hidden="1">
      <c r="A293" s="16" t="s">
        <v>73</v>
      </c>
      <c r="B293" s="99" t="s">
        <v>1978</v>
      </c>
      <c r="C293" s="174">
        <v>250.0</v>
      </c>
      <c r="D293" s="175">
        <v>44620.0</v>
      </c>
      <c r="E293" s="97"/>
      <c r="F293" s="99">
        <v>2022.02</v>
      </c>
      <c r="G293" s="99" t="s">
        <v>52</v>
      </c>
      <c r="H293" s="99" t="s">
        <v>1264</v>
      </c>
      <c r="I293" s="99" t="s">
        <v>1979</v>
      </c>
      <c r="J293" s="97"/>
      <c r="K293" s="177">
        <v>44593.0</v>
      </c>
      <c r="L293" s="46" t="b">
        <v>1</v>
      </c>
    </row>
    <row r="294" hidden="1">
      <c r="A294" s="4" t="s">
        <v>162</v>
      </c>
      <c r="B294" s="170" t="s">
        <v>1978</v>
      </c>
      <c r="C294" s="171">
        <v>100.0</v>
      </c>
      <c r="D294" s="172">
        <v>44620.0</v>
      </c>
      <c r="E294" s="94"/>
      <c r="F294" s="170">
        <v>2022.0</v>
      </c>
      <c r="G294" s="170" t="s">
        <v>1160</v>
      </c>
      <c r="H294" s="170" t="s">
        <v>1264</v>
      </c>
      <c r="I294" s="170" t="s">
        <v>1979</v>
      </c>
      <c r="J294" s="94"/>
      <c r="K294" s="173">
        <v>44593.0</v>
      </c>
      <c r="L294" s="45" t="b">
        <v>1</v>
      </c>
    </row>
    <row r="295" hidden="1">
      <c r="A295" s="16" t="s">
        <v>42</v>
      </c>
      <c r="B295" s="99" t="s">
        <v>1984</v>
      </c>
      <c r="C295" s="174">
        <v>175.0</v>
      </c>
      <c r="D295" s="175">
        <v>44620.0</v>
      </c>
      <c r="E295" s="99">
        <v>2.0</v>
      </c>
      <c r="F295" s="99">
        <v>2022.02</v>
      </c>
      <c r="G295" s="99" t="s">
        <v>52</v>
      </c>
      <c r="H295" s="99" t="s">
        <v>1264</v>
      </c>
      <c r="I295" s="99" t="s">
        <v>1979</v>
      </c>
      <c r="J295" s="97"/>
      <c r="K295" s="177">
        <v>44593.0</v>
      </c>
      <c r="L295" s="46" t="b">
        <v>1</v>
      </c>
    </row>
    <row r="296" hidden="1">
      <c r="A296" s="4" t="s">
        <v>92</v>
      </c>
      <c r="B296" s="170" t="s">
        <v>1984</v>
      </c>
      <c r="C296" s="171">
        <v>212.5</v>
      </c>
      <c r="D296" s="172">
        <v>44620.0</v>
      </c>
      <c r="E296" s="170">
        <v>2.0</v>
      </c>
      <c r="F296" s="170">
        <v>2022.02</v>
      </c>
      <c r="G296" s="170" t="s">
        <v>52</v>
      </c>
      <c r="H296" s="170" t="s">
        <v>1264</v>
      </c>
      <c r="I296" s="170" t="s">
        <v>1979</v>
      </c>
      <c r="J296" s="94"/>
      <c r="K296" s="173">
        <v>44593.0</v>
      </c>
      <c r="L296" s="45" t="b">
        <v>1</v>
      </c>
    </row>
    <row r="297" hidden="1">
      <c r="A297" s="16" t="s">
        <v>296</v>
      </c>
      <c r="B297" s="99" t="s">
        <v>1984</v>
      </c>
      <c r="C297" s="174">
        <v>200.0</v>
      </c>
      <c r="D297" s="175">
        <v>44620.0</v>
      </c>
      <c r="E297" s="99">
        <v>2.0</v>
      </c>
      <c r="F297" s="99">
        <v>2022.02</v>
      </c>
      <c r="G297" s="99" t="s">
        <v>52</v>
      </c>
      <c r="H297" s="99" t="s">
        <v>1264</v>
      </c>
      <c r="I297" s="99" t="s">
        <v>1979</v>
      </c>
      <c r="J297" s="97"/>
      <c r="K297" s="177">
        <v>44593.0</v>
      </c>
      <c r="L297" s="46" t="b">
        <v>1</v>
      </c>
    </row>
    <row r="298" hidden="1">
      <c r="A298" s="4" t="s">
        <v>54</v>
      </c>
      <c r="B298" s="170" t="s">
        <v>1984</v>
      </c>
      <c r="C298" s="171">
        <v>175.0</v>
      </c>
      <c r="D298" s="172">
        <v>44620.0</v>
      </c>
      <c r="E298" s="170">
        <v>2.0</v>
      </c>
      <c r="F298" s="170">
        <v>2022.02</v>
      </c>
      <c r="G298" s="170" t="s">
        <v>52</v>
      </c>
      <c r="H298" s="170" t="s">
        <v>1264</v>
      </c>
      <c r="I298" s="170" t="s">
        <v>1979</v>
      </c>
      <c r="J298" s="94"/>
      <c r="K298" s="173">
        <v>44593.0</v>
      </c>
      <c r="L298" s="45" t="b">
        <v>1</v>
      </c>
    </row>
    <row r="299" hidden="1">
      <c r="A299" s="16" t="s">
        <v>102</v>
      </c>
      <c r="B299" s="99" t="s">
        <v>1987</v>
      </c>
      <c r="C299" s="174">
        <v>150.0</v>
      </c>
      <c r="D299" s="175">
        <v>44620.0</v>
      </c>
      <c r="E299" s="99">
        <v>1018.0</v>
      </c>
      <c r="F299" s="99">
        <v>2022.02</v>
      </c>
      <c r="G299" s="99" t="s">
        <v>52</v>
      </c>
      <c r="H299" s="99" t="s">
        <v>1264</v>
      </c>
      <c r="I299" s="99" t="s">
        <v>1979</v>
      </c>
      <c r="J299" s="97"/>
      <c r="K299" s="177">
        <v>44593.0</v>
      </c>
      <c r="L299" s="46" t="b">
        <v>1</v>
      </c>
    </row>
    <row r="300" hidden="1">
      <c r="A300" s="4" t="s">
        <v>246</v>
      </c>
      <c r="B300" s="170" t="s">
        <v>1986</v>
      </c>
      <c r="C300" s="171">
        <v>187.5</v>
      </c>
      <c r="D300" s="172">
        <v>44620.0</v>
      </c>
      <c r="E300" s="170">
        <v>4.0</v>
      </c>
      <c r="F300" s="170">
        <v>2022.02</v>
      </c>
      <c r="G300" s="170" t="s">
        <v>52</v>
      </c>
      <c r="H300" s="170" t="s">
        <v>1264</v>
      </c>
      <c r="I300" s="170" t="s">
        <v>1979</v>
      </c>
      <c r="J300" s="94"/>
      <c r="K300" s="173">
        <v>44593.0</v>
      </c>
      <c r="L300" s="45" t="b">
        <v>1</v>
      </c>
    </row>
    <row r="301" hidden="1">
      <c r="A301" s="16" t="s">
        <v>147</v>
      </c>
      <c r="B301" s="99" t="s">
        <v>1980</v>
      </c>
      <c r="C301" s="174">
        <v>75.0</v>
      </c>
      <c r="D301" s="175">
        <v>44620.0</v>
      </c>
      <c r="E301" s="99">
        <v>108.0</v>
      </c>
      <c r="F301" s="99">
        <v>2022.02</v>
      </c>
      <c r="G301" s="99" t="s">
        <v>52</v>
      </c>
      <c r="H301" s="99" t="s">
        <v>1264</v>
      </c>
      <c r="I301" s="99" t="s">
        <v>1979</v>
      </c>
      <c r="J301" s="97"/>
      <c r="K301" s="177">
        <v>44593.0</v>
      </c>
      <c r="L301" s="46" t="b">
        <v>1</v>
      </c>
    </row>
    <row r="302" hidden="1">
      <c r="A302" s="4" t="s">
        <v>92</v>
      </c>
      <c r="B302" s="170" t="s">
        <v>1980</v>
      </c>
      <c r="C302" s="93">
        <f>350+225</f>
        <v>575</v>
      </c>
      <c r="D302" s="172">
        <v>44620.0</v>
      </c>
      <c r="E302" s="170">
        <v>108.0</v>
      </c>
      <c r="F302" s="170">
        <v>2022.02</v>
      </c>
      <c r="G302" s="170" t="s">
        <v>52</v>
      </c>
      <c r="H302" s="170" t="s">
        <v>1264</v>
      </c>
      <c r="I302" s="170" t="s">
        <v>1979</v>
      </c>
      <c r="J302" s="94"/>
      <c r="K302" s="173">
        <v>44593.0</v>
      </c>
      <c r="L302" s="45" t="b">
        <v>1</v>
      </c>
    </row>
    <row r="303" hidden="1">
      <c r="A303" s="16" t="s">
        <v>88</v>
      </c>
      <c r="B303" s="99" t="s">
        <v>1980</v>
      </c>
      <c r="C303" s="174">
        <v>45.0</v>
      </c>
      <c r="D303" s="175">
        <v>44620.0</v>
      </c>
      <c r="E303" s="99">
        <v>108.0</v>
      </c>
      <c r="F303" s="99">
        <v>2022.02</v>
      </c>
      <c r="G303" s="99" t="s">
        <v>52</v>
      </c>
      <c r="H303" s="99" t="s">
        <v>1264</v>
      </c>
      <c r="I303" s="99" t="s">
        <v>1979</v>
      </c>
      <c r="J303" s="97"/>
      <c r="K303" s="177">
        <v>44593.0</v>
      </c>
      <c r="L303" s="46" t="b">
        <v>1</v>
      </c>
    </row>
    <row r="304" hidden="1">
      <c r="A304" s="4" t="s">
        <v>151</v>
      </c>
      <c r="B304" s="170" t="s">
        <v>1980</v>
      </c>
      <c r="C304" s="93">
        <f>250+60</f>
        <v>310</v>
      </c>
      <c r="D304" s="172">
        <v>44620.0</v>
      </c>
      <c r="E304" s="170">
        <v>108.0</v>
      </c>
      <c r="F304" s="170">
        <v>2022.02</v>
      </c>
      <c r="G304" s="170" t="s">
        <v>52</v>
      </c>
      <c r="H304" s="170" t="s">
        <v>1264</v>
      </c>
      <c r="I304" s="170" t="s">
        <v>1979</v>
      </c>
      <c r="J304" s="94"/>
      <c r="K304" s="173">
        <v>44593.0</v>
      </c>
      <c r="L304" s="45" t="b">
        <v>1</v>
      </c>
    </row>
    <row r="305" hidden="1">
      <c r="A305" s="36" t="s">
        <v>2029</v>
      </c>
      <c r="B305" s="99" t="s">
        <v>1980</v>
      </c>
      <c r="C305" s="174">
        <v>180.0</v>
      </c>
      <c r="D305" s="175">
        <v>44620.0</v>
      </c>
      <c r="E305" s="99">
        <v>108.0</v>
      </c>
      <c r="F305" s="99">
        <v>2022.02</v>
      </c>
      <c r="G305" s="99" t="s">
        <v>52</v>
      </c>
      <c r="H305" s="99" t="s">
        <v>1264</v>
      </c>
      <c r="I305" s="99" t="s">
        <v>1979</v>
      </c>
      <c r="J305" s="97"/>
      <c r="K305" s="177">
        <v>44593.0</v>
      </c>
      <c r="L305" s="46" t="b">
        <v>1</v>
      </c>
    </row>
    <row r="306" hidden="1">
      <c r="A306" s="4" t="s">
        <v>86</v>
      </c>
      <c r="B306" s="170" t="s">
        <v>1980</v>
      </c>
      <c r="C306" s="171">
        <v>180.0</v>
      </c>
      <c r="D306" s="172">
        <v>44620.0</v>
      </c>
      <c r="E306" s="170">
        <v>108.0</v>
      </c>
      <c r="F306" s="170">
        <v>2022.02</v>
      </c>
      <c r="G306" s="170" t="s">
        <v>52</v>
      </c>
      <c r="H306" s="170" t="s">
        <v>1264</v>
      </c>
      <c r="I306" s="170" t="s">
        <v>1979</v>
      </c>
      <c r="J306" s="94"/>
      <c r="K306" s="173">
        <v>44593.0</v>
      </c>
      <c r="L306" s="45" t="b">
        <v>1</v>
      </c>
    </row>
    <row r="307" hidden="1">
      <c r="A307" s="16" t="s">
        <v>97</v>
      </c>
      <c r="B307" s="99" t="s">
        <v>1980</v>
      </c>
      <c r="C307" s="174">
        <v>30.0</v>
      </c>
      <c r="D307" s="175">
        <v>44620.0</v>
      </c>
      <c r="E307" s="99">
        <v>108.0</v>
      </c>
      <c r="F307" s="99">
        <v>2022.02</v>
      </c>
      <c r="G307" s="99" t="s">
        <v>52</v>
      </c>
      <c r="H307" s="99" t="s">
        <v>1264</v>
      </c>
      <c r="I307" s="99" t="s">
        <v>1979</v>
      </c>
      <c r="J307" s="97"/>
      <c r="K307" s="177">
        <v>44593.0</v>
      </c>
      <c r="L307" s="46" t="b">
        <v>1</v>
      </c>
    </row>
    <row r="308" hidden="1">
      <c r="A308" s="4" t="s">
        <v>82</v>
      </c>
      <c r="B308" s="170" t="s">
        <v>1980</v>
      </c>
      <c r="C308" s="171">
        <v>300.0</v>
      </c>
      <c r="D308" s="172">
        <v>44620.0</v>
      </c>
      <c r="E308" s="170">
        <v>108.0</v>
      </c>
      <c r="F308" s="170">
        <v>2022.02</v>
      </c>
      <c r="G308" s="170" t="s">
        <v>52</v>
      </c>
      <c r="H308" s="170" t="s">
        <v>1264</v>
      </c>
      <c r="I308" s="170" t="s">
        <v>1979</v>
      </c>
      <c r="J308" s="94"/>
      <c r="K308" s="173">
        <v>44593.0</v>
      </c>
      <c r="L308" s="45" t="b">
        <v>1</v>
      </c>
    </row>
    <row r="309" hidden="1">
      <c r="A309" s="16" t="s">
        <v>99</v>
      </c>
      <c r="B309" s="99" t="s">
        <v>1980</v>
      </c>
      <c r="C309" s="96">
        <f>337.5+120</f>
        <v>457.5</v>
      </c>
      <c r="D309" s="175">
        <v>44620.0</v>
      </c>
      <c r="E309" s="99">
        <v>108.0</v>
      </c>
      <c r="F309" s="99">
        <v>2022.02</v>
      </c>
      <c r="G309" s="99" t="s">
        <v>52</v>
      </c>
      <c r="H309" s="99" t="s">
        <v>1264</v>
      </c>
      <c r="I309" s="99" t="s">
        <v>1979</v>
      </c>
      <c r="J309" s="97"/>
      <c r="K309" s="177">
        <v>44593.0</v>
      </c>
      <c r="L309" s="46" t="b">
        <v>1</v>
      </c>
    </row>
    <row r="310" hidden="1">
      <c r="A310" s="4" t="s">
        <v>68</v>
      </c>
      <c r="B310" s="170" t="s">
        <v>1980</v>
      </c>
      <c r="C310" s="171">
        <f>237.5+60</f>
        <v>297.5</v>
      </c>
      <c r="D310" s="172">
        <v>44620.0</v>
      </c>
      <c r="E310" s="170">
        <v>108.0</v>
      </c>
      <c r="F310" s="170">
        <v>2022.02</v>
      </c>
      <c r="G310" s="170" t="s">
        <v>52</v>
      </c>
      <c r="H310" s="170" t="s">
        <v>1264</v>
      </c>
      <c r="I310" s="170" t="s">
        <v>1979</v>
      </c>
      <c r="J310" s="94"/>
      <c r="K310" s="173">
        <v>44593.0</v>
      </c>
      <c r="L310" s="45" t="b">
        <v>1</v>
      </c>
    </row>
    <row r="311" hidden="1">
      <c r="A311" s="16" t="s">
        <v>42</v>
      </c>
      <c r="B311" s="99" t="s">
        <v>1980</v>
      </c>
      <c r="C311" s="96">
        <f>187.5+135</f>
        <v>322.5</v>
      </c>
      <c r="D311" s="175">
        <v>44620.0</v>
      </c>
      <c r="E311" s="99">
        <v>108.0</v>
      </c>
      <c r="F311" s="99">
        <v>2022.02</v>
      </c>
      <c r="G311" s="99" t="s">
        <v>52</v>
      </c>
      <c r="H311" s="99" t="s">
        <v>1264</v>
      </c>
      <c r="I311" s="99" t="s">
        <v>1979</v>
      </c>
      <c r="J311" s="97"/>
      <c r="K311" s="177">
        <v>44593.0</v>
      </c>
      <c r="L311" s="46" t="b">
        <v>1</v>
      </c>
    </row>
    <row r="312" hidden="1">
      <c r="A312" s="4" t="s">
        <v>58</v>
      </c>
      <c r="B312" s="170" t="s">
        <v>1980</v>
      </c>
      <c r="C312" s="171">
        <v>400.0</v>
      </c>
      <c r="D312" s="172">
        <v>44620.0</v>
      </c>
      <c r="E312" s="170">
        <v>108.0</v>
      </c>
      <c r="F312" s="170">
        <v>2022.02</v>
      </c>
      <c r="G312" s="170" t="s">
        <v>52</v>
      </c>
      <c r="H312" s="170" t="s">
        <v>1264</v>
      </c>
      <c r="I312" s="170" t="s">
        <v>1979</v>
      </c>
      <c r="J312" s="94"/>
      <c r="K312" s="173">
        <v>44593.0</v>
      </c>
      <c r="L312" s="45" t="b">
        <v>1</v>
      </c>
    </row>
    <row r="313" hidden="1">
      <c r="A313" s="16" t="s">
        <v>123</v>
      </c>
      <c r="B313" s="99" t="s">
        <v>1980</v>
      </c>
      <c r="C313" s="174">
        <v>587.5</v>
      </c>
      <c r="D313" s="175">
        <v>44620.0</v>
      </c>
      <c r="E313" s="99">
        <v>108.0</v>
      </c>
      <c r="F313" s="99">
        <v>2022.02</v>
      </c>
      <c r="G313" s="99" t="s">
        <v>52</v>
      </c>
      <c r="H313" s="99" t="s">
        <v>1264</v>
      </c>
      <c r="I313" s="99" t="s">
        <v>1979</v>
      </c>
      <c r="J313" s="97"/>
      <c r="K313" s="177">
        <v>44593.0</v>
      </c>
      <c r="L313" s="46" t="b">
        <v>1</v>
      </c>
    </row>
    <row r="314" hidden="1">
      <c r="A314" s="4" t="s">
        <v>73</v>
      </c>
      <c r="B314" s="170" t="s">
        <v>1980</v>
      </c>
      <c r="C314" s="171">
        <v>60.0</v>
      </c>
      <c r="D314" s="172">
        <v>44620.0</v>
      </c>
      <c r="E314" s="170">
        <v>108.0</v>
      </c>
      <c r="F314" s="170">
        <v>2022.02</v>
      </c>
      <c r="G314" s="170" t="s">
        <v>52</v>
      </c>
      <c r="H314" s="170" t="s">
        <v>1264</v>
      </c>
      <c r="I314" s="170" t="s">
        <v>1979</v>
      </c>
      <c r="J314" s="94"/>
      <c r="K314" s="173">
        <v>44593.0</v>
      </c>
      <c r="L314" s="45" t="b">
        <v>1</v>
      </c>
    </row>
    <row r="315" hidden="1">
      <c r="A315" s="16" t="s">
        <v>50</v>
      </c>
      <c r="B315" s="99" t="s">
        <v>1980</v>
      </c>
      <c r="C315" s="174">
        <f>137.5+30</f>
        <v>167.5</v>
      </c>
      <c r="D315" s="175">
        <v>44620.0</v>
      </c>
      <c r="E315" s="99">
        <v>108.0</v>
      </c>
      <c r="F315" s="99">
        <v>2022.02</v>
      </c>
      <c r="G315" s="99" t="s">
        <v>52</v>
      </c>
      <c r="H315" s="99" t="s">
        <v>1264</v>
      </c>
      <c r="I315" s="99" t="s">
        <v>1979</v>
      </c>
      <c r="J315" s="97"/>
      <c r="K315" s="177">
        <v>44593.0</v>
      </c>
      <c r="L315" s="46" t="b">
        <v>1</v>
      </c>
    </row>
    <row r="316" hidden="1">
      <c r="A316" s="4" t="s">
        <v>62</v>
      </c>
      <c r="B316" s="170" t="s">
        <v>1980</v>
      </c>
      <c r="C316" s="171">
        <v>300.0</v>
      </c>
      <c r="D316" s="172">
        <v>44620.0</v>
      </c>
      <c r="E316" s="170">
        <v>108.0</v>
      </c>
      <c r="F316" s="170">
        <v>2022.02</v>
      </c>
      <c r="G316" s="170" t="s">
        <v>52</v>
      </c>
      <c r="H316" s="170" t="s">
        <v>1264</v>
      </c>
      <c r="I316" s="170" t="s">
        <v>1979</v>
      </c>
      <c r="J316" s="94"/>
      <c r="K316" s="173">
        <v>44593.0</v>
      </c>
      <c r="L316" s="45" t="b">
        <v>1</v>
      </c>
    </row>
    <row r="317" hidden="1">
      <c r="A317" s="16" t="s">
        <v>223</v>
      </c>
      <c r="B317" s="99" t="s">
        <v>1980</v>
      </c>
      <c r="C317" s="96">
        <f>150+75</f>
        <v>225</v>
      </c>
      <c r="D317" s="175">
        <v>44620.0</v>
      </c>
      <c r="E317" s="99">
        <v>108.0</v>
      </c>
      <c r="F317" s="99">
        <v>2022.02</v>
      </c>
      <c r="G317" s="99" t="s">
        <v>52</v>
      </c>
      <c r="H317" s="99" t="s">
        <v>1264</v>
      </c>
      <c r="I317" s="99" t="s">
        <v>1979</v>
      </c>
      <c r="J317" s="97"/>
      <c r="K317" s="177">
        <v>44593.0</v>
      </c>
      <c r="L317" s="46" t="b">
        <v>1</v>
      </c>
    </row>
    <row r="318" hidden="1">
      <c r="A318" s="4" t="s">
        <v>225</v>
      </c>
      <c r="B318" s="170" t="s">
        <v>1980</v>
      </c>
      <c r="C318" s="93">
        <f>1500+360</f>
        <v>1860</v>
      </c>
      <c r="D318" s="172">
        <v>44620.0</v>
      </c>
      <c r="E318" s="170">
        <v>108.0</v>
      </c>
      <c r="F318" s="170">
        <v>2022.02</v>
      </c>
      <c r="G318" s="170" t="s">
        <v>52</v>
      </c>
      <c r="H318" s="170" t="s">
        <v>1264</v>
      </c>
      <c r="I318" s="170" t="s">
        <v>1979</v>
      </c>
      <c r="J318" s="94"/>
      <c r="K318" s="173">
        <v>44593.0</v>
      </c>
      <c r="L318" s="45" t="b">
        <v>1</v>
      </c>
    </row>
    <row r="319" hidden="1">
      <c r="A319" s="16" t="s">
        <v>246</v>
      </c>
      <c r="B319" s="99" t="s">
        <v>1980</v>
      </c>
      <c r="C319" s="174">
        <v>145.0</v>
      </c>
      <c r="D319" s="175">
        <v>44620.0</v>
      </c>
      <c r="E319" s="99">
        <v>108.0</v>
      </c>
      <c r="F319" s="99">
        <v>2022.02</v>
      </c>
      <c r="G319" s="99" t="s">
        <v>52</v>
      </c>
      <c r="H319" s="99" t="s">
        <v>1264</v>
      </c>
      <c r="I319" s="99" t="s">
        <v>1979</v>
      </c>
      <c r="J319" s="97"/>
      <c r="K319" s="177">
        <v>44593.0</v>
      </c>
      <c r="L319" s="46" t="b">
        <v>1</v>
      </c>
    </row>
    <row r="320" hidden="1">
      <c r="A320" s="4" t="s">
        <v>296</v>
      </c>
      <c r="B320" s="170" t="s">
        <v>1980</v>
      </c>
      <c r="C320" s="171">
        <v>500.0</v>
      </c>
      <c r="D320" s="172">
        <v>44620.0</v>
      </c>
      <c r="E320" s="170">
        <v>108.0</v>
      </c>
      <c r="F320" s="170">
        <v>2022.02</v>
      </c>
      <c r="G320" s="170" t="s">
        <v>52</v>
      </c>
      <c r="H320" s="170" t="s">
        <v>1264</v>
      </c>
      <c r="I320" s="170" t="s">
        <v>1979</v>
      </c>
      <c r="J320" s="94"/>
      <c r="K320" s="173">
        <v>44593.0</v>
      </c>
      <c r="L320" s="45" t="b">
        <v>1</v>
      </c>
    </row>
    <row r="321" hidden="1">
      <c r="A321" s="16" t="s">
        <v>66</v>
      </c>
      <c r="B321" s="99" t="s">
        <v>1980</v>
      </c>
      <c r="C321" s="174">
        <v>60.0</v>
      </c>
      <c r="D321" s="175">
        <v>44620.0</v>
      </c>
      <c r="E321" s="99">
        <v>108.0</v>
      </c>
      <c r="F321" s="99">
        <v>2022.02</v>
      </c>
      <c r="G321" s="99" t="s">
        <v>52</v>
      </c>
      <c r="H321" s="99" t="s">
        <v>1264</v>
      </c>
      <c r="I321" s="99" t="s">
        <v>1979</v>
      </c>
      <c r="J321" s="97"/>
      <c r="K321" s="177">
        <v>44593.0</v>
      </c>
      <c r="L321" s="46" t="b">
        <v>1</v>
      </c>
    </row>
    <row r="322" hidden="1">
      <c r="A322" s="4" t="s">
        <v>261</v>
      </c>
      <c r="B322" s="170" t="s">
        <v>1983</v>
      </c>
      <c r="C322" s="171">
        <v>312.5</v>
      </c>
      <c r="D322" s="186">
        <v>44620.0</v>
      </c>
      <c r="E322" s="170">
        <v>59.0</v>
      </c>
      <c r="F322" s="170">
        <v>2022.0</v>
      </c>
      <c r="G322" s="170" t="s">
        <v>1160</v>
      </c>
      <c r="H322" s="170" t="s">
        <v>1264</v>
      </c>
      <c r="I322" s="170" t="s">
        <v>1979</v>
      </c>
      <c r="J322" s="94"/>
      <c r="K322" s="173">
        <v>44593.0</v>
      </c>
      <c r="L322" s="45" t="b">
        <v>1</v>
      </c>
    </row>
    <row r="323" hidden="1">
      <c r="A323" s="16" t="s">
        <v>1269</v>
      </c>
      <c r="B323" s="99" t="s">
        <v>1983</v>
      </c>
      <c r="C323" s="174">
        <v>18.75</v>
      </c>
      <c r="D323" s="187">
        <v>44620.0</v>
      </c>
      <c r="E323" s="99">
        <v>59.0</v>
      </c>
      <c r="F323" s="99">
        <v>2022.0</v>
      </c>
      <c r="G323" s="99" t="s">
        <v>1152</v>
      </c>
      <c r="H323" s="99" t="s">
        <v>1264</v>
      </c>
      <c r="I323" s="99" t="s">
        <v>1270</v>
      </c>
      <c r="J323" s="99" t="s">
        <v>2009</v>
      </c>
      <c r="K323" s="177">
        <v>44593.0</v>
      </c>
      <c r="L323" s="46" t="b">
        <v>1</v>
      </c>
    </row>
    <row r="324" hidden="1">
      <c r="A324" s="4" t="s">
        <v>162</v>
      </c>
      <c r="B324" s="170" t="s">
        <v>1983</v>
      </c>
      <c r="C324" s="171">
        <v>187.5</v>
      </c>
      <c r="D324" s="186">
        <v>44620.0</v>
      </c>
      <c r="E324" s="170">
        <v>59.0</v>
      </c>
      <c r="F324" s="170">
        <v>2022.0</v>
      </c>
      <c r="G324" s="170" t="s">
        <v>1160</v>
      </c>
      <c r="H324" s="170" t="s">
        <v>1264</v>
      </c>
      <c r="I324" s="170" t="s">
        <v>1979</v>
      </c>
      <c r="J324" s="94"/>
      <c r="K324" s="173">
        <v>44593.0</v>
      </c>
      <c r="L324" s="45" t="b">
        <v>1</v>
      </c>
    </row>
    <row r="325" hidden="1">
      <c r="A325" s="16" t="s">
        <v>81</v>
      </c>
      <c r="B325" s="99" t="s">
        <v>1983</v>
      </c>
      <c r="C325" s="174">
        <v>250.0</v>
      </c>
      <c r="D325" s="187">
        <v>44620.0</v>
      </c>
      <c r="E325" s="99">
        <v>59.0</v>
      </c>
      <c r="F325" s="99">
        <v>2022.02</v>
      </c>
      <c r="G325" s="99" t="s">
        <v>52</v>
      </c>
      <c r="H325" s="99" t="s">
        <v>1264</v>
      </c>
      <c r="I325" s="99" t="s">
        <v>1979</v>
      </c>
      <c r="J325" s="97"/>
      <c r="K325" s="177">
        <v>44593.0</v>
      </c>
      <c r="L325" s="46" t="b">
        <v>1</v>
      </c>
    </row>
    <row r="326" hidden="1">
      <c r="A326" s="4" t="s">
        <v>289</v>
      </c>
      <c r="B326" s="170" t="s">
        <v>1983</v>
      </c>
      <c r="C326" s="171">
        <v>250.0</v>
      </c>
      <c r="D326" s="186">
        <v>44620.0</v>
      </c>
      <c r="E326" s="170">
        <v>59.0</v>
      </c>
      <c r="F326" s="170">
        <v>2022.0</v>
      </c>
      <c r="G326" s="170" t="s">
        <v>1160</v>
      </c>
      <c r="H326" s="170" t="s">
        <v>1264</v>
      </c>
      <c r="I326" s="170" t="s">
        <v>1979</v>
      </c>
      <c r="J326" s="94"/>
      <c r="K326" s="173">
        <v>44593.0</v>
      </c>
      <c r="L326" s="45" t="b">
        <v>1</v>
      </c>
    </row>
    <row r="327" hidden="1">
      <c r="A327" s="16" t="s">
        <v>115</v>
      </c>
      <c r="B327" s="99" t="s">
        <v>1982</v>
      </c>
      <c r="C327" s="174">
        <v>662.5</v>
      </c>
      <c r="D327" s="187">
        <v>44620.0</v>
      </c>
      <c r="E327" s="99" t="s">
        <v>2030</v>
      </c>
      <c r="F327" s="99">
        <v>2022.02</v>
      </c>
      <c r="G327" s="99" t="s">
        <v>52</v>
      </c>
      <c r="H327" s="99" t="s">
        <v>1264</v>
      </c>
      <c r="I327" s="99" t="s">
        <v>1979</v>
      </c>
      <c r="J327" s="97"/>
      <c r="K327" s="177">
        <v>44593.0</v>
      </c>
      <c r="L327" s="46" t="b">
        <v>1</v>
      </c>
    </row>
    <row r="328" hidden="1">
      <c r="A328" s="4" t="s">
        <v>118</v>
      </c>
      <c r="B328" s="170" t="s">
        <v>1982</v>
      </c>
      <c r="C328" s="171">
        <v>662.5</v>
      </c>
      <c r="D328" s="186">
        <v>44620.0</v>
      </c>
      <c r="E328" s="170" t="s">
        <v>2030</v>
      </c>
      <c r="F328" s="170">
        <v>2022.02</v>
      </c>
      <c r="G328" s="170" t="s">
        <v>52</v>
      </c>
      <c r="H328" s="170" t="s">
        <v>1264</v>
      </c>
      <c r="I328" s="170" t="s">
        <v>1979</v>
      </c>
      <c r="J328" s="94"/>
      <c r="K328" s="173">
        <v>44593.0</v>
      </c>
      <c r="L328" s="45" t="b">
        <v>1</v>
      </c>
    </row>
    <row r="329" hidden="1">
      <c r="A329" s="16" t="s">
        <v>92</v>
      </c>
      <c r="B329" s="99" t="s">
        <v>1982</v>
      </c>
      <c r="C329" s="174">
        <v>350.0</v>
      </c>
      <c r="D329" s="187">
        <v>44620.0</v>
      </c>
      <c r="E329" s="99" t="s">
        <v>2030</v>
      </c>
      <c r="F329" s="99">
        <v>2022.02</v>
      </c>
      <c r="G329" s="99" t="s">
        <v>52</v>
      </c>
      <c r="H329" s="99" t="s">
        <v>1264</v>
      </c>
      <c r="I329" s="99" t="s">
        <v>1979</v>
      </c>
      <c r="J329" s="97"/>
      <c r="K329" s="177">
        <v>44593.0</v>
      </c>
      <c r="L329" s="46" t="b">
        <v>1</v>
      </c>
    </row>
    <row r="330" hidden="1">
      <c r="A330" s="4" t="s">
        <v>84</v>
      </c>
      <c r="B330" s="170" t="s">
        <v>1982</v>
      </c>
      <c r="C330" s="171">
        <v>475.0</v>
      </c>
      <c r="D330" s="186">
        <v>44620.0</v>
      </c>
      <c r="E330" s="170" t="s">
        <v>2030</v>
      </c>
      <c r="F330" s="170">
        <v>2022.02</v>
      </c>
      <c r="G330" s="170" t="s">
        <v>52</v>
      </c>
      <c r="H330" s="170" t="s">
        <v>1264</v>
      </c>
      <c r="I330" s="170" t="s">
        <v>1979</v>
      </c>
      <c r="J330" s="94"/>
      <c r="K330" s="173">
        <v>44593.0</v>
      </c>
      <c r="L330" s="45" t="b">
        <v>1</v>
      </c>
    </row>
    <row r="331" hidden="1">
      <c r="A331" s="16" t="s">
        <v>123</v>
      </c>
      <c r="B331" s="99" t="s">
        <v>1982</v>
      </c>
      <c r="C331" s="174">
        <v>1237.5</v>
      </c>
      <c r="D331" s="187">
        <v>44620.0</v>
      </c>
      <c r="E331" s="99" t="s">
        <v>2030</v>
      </c>
      <c r="F331" s="99">
        <v>2022.02</v>
      </c>
      <c r="G331" s="99" t="s">
        <v>52</v>
      </c>
      <c r="H331" s="99" t="s">
        <v>1264</v>
      </c>
      <c r="I331" s="99" t="s">
        <v>1979</v>
      </c>
      <c r="J331" s="97"/>
      <c r="K331" s="177">
        <v>44593.0</v>
      </c>
      <c r="L331" s="46" t="b">
        <v>1</v>
      </c>
    </row>
    <row r="332" hidden="1">
      <c r="A332" s="4" t="s">
        <v>62</v>
      </c>
      <c r="B332" s="170" t="s">
        <v>1982</v>
      </c>
      <c r="C332" s="171">
        <v>450.0</v>
      </c>
      <c r="D332" s="186">
        <v>44620.0</v>
      </c>
      <c r="E332" s="170" t="s">
        <v>2030</v>
      </c>
      <c r="F332" s="170">
        <v>2022.02</v>
      </c>
      <c r="G332" s="170" t="s">
        <v>52</v>
      </c>
      <c r="H332" s="170" t="s">
        <v>1264</v>
      </c>
      <c r="I332" s="170" t="s">
        <v>1979</v>
      </c>
      <c r="J332" s="94"/>
      <c r="K332" s="173">
        <v>44593.0</v>
      </c>
      <c r="L332" s="45" t="b">
        <v>1</v>
      </c>
    </row>
    <row r="333" hidden="1">
      <c r="A333" s="16" t="s">
        <v>1271</v>
      </c>
      <c r="B333" s="99" t="s">
        <v>1994</v>
      </c>
      <c r="C333" s="174">
        <v>14.09</v>
      </c>
      <c r="D333" s="175">
        <v>44631.0</v>
      </c>
      <c r="E333" s="97"/>
      <c r="F333" s="99">
        <v>2022.0</v>
      </c>
      <c r="G333" s="99" t="s">
        <v>1152</v>
      </c>
      <c r="H333" s="99" t="s">
        <v>1264</v>
      </c>
      <c r="I333" s="99" t="s">
        <v>1995</v>
      </c>
      <c r="J333" s="97"/>
      <c r="K333" s="177">
        <v>44593.0</v>
      </c>
      <c r="L333" s="46" t="b">
        <v>1</v>
      </c>
    </row>
    <row r="334" hidden="1">
      <c r="A334" s="4" t="s">
        <v>334</v>
      </c>
      <c r="B334" s="170" t="s">
        <v>1976</v>
      </c>
      <c r="C334" s="171">
        <v>178.2</v>
      </c>
      <c r="D334" s="172">
        <v>44609.0</v>
      </c>
      <c r="E334" s="94"/>
      <c r="F334" s="170">
        <v>2022.0</v>
      </c>
      <c r="G334" s="170" t="s">
        <v>1160</v>
      </c>
      <c r="H334" s="170" t="s">
        <v>1264</v>
      </c>
      <c r="I334" s="170" t="s">
        <v>1977</v>
      </c>
      <c r="J334" s="170" t="s">
        <v>2031</v>
      </c>
      <c r="K334" s="173">
        <v>44593.0</v>
      </c>
      <c r="L334" s="45" t="b">
        <v>1</v>
      </c>
    </row>
    <row r="335" hidden="1">
      <c r="A335" s="16" t="s">
        <v>1271</v>
      </c>
      <c r="B335" s="99" t="s">
        <v>2017</v>
      </c>
      <c r="C335" s="174">
        <v>52.14</v>
      </c>
      <c r="D335" s="175">
        <v>44631.0</v>
      </c>
      <c r="E335" s="97"/>
      <c r="F335" s="99">
        <v>2022.0</v>
      </c>
      <c r="G335" s="99" t="s">
        <v>1152</v>
      </c>
      <c r="H335" s="99" t="s">
        <v>1264</v>
      </c>
      <c r="I335" s="99" t="s">
        <v>1995</v>
      </c>
      <c r="J335" s="99" t="s">
        <v>2032</v>
      </c>
      <c r="K335" s="177">
        <v>44593.0</v>
      </c>
      <c r="L335" s="46" t="b">
        <v>1</v>
      </c>
    </row>
    <row r="336" hidden="1">
      <c r="A336" s="4" t="s">
        <v>1271</v>
      </c>
      <c r="B336" s="170" t="s">
        <v>1998</v>
      </c>
      <c r="C336" s="171">
        <v>130.92</v>
      </c>
      <c r="D336" s="172">
        <v>44631.0</v>
      </c>
      <c r="E336" s="94"/>
      <c r="F336" s="170">
        <v>2022.0</v>
      </c>
      <c r="G336" s="170" t="s">
        <v>1152</v>
      </c>
      <c r="H336" s="170" t="s">
        <v>1264</v>
      </c>
      <c r="I336" s="170" t="s">
        <v>1995</v>
      </c>
      <c r="J336" s="94"/>
      <c r="K336" s="173">
        <v>44593.0</v>
      </c>
      <c r="L336" s="45" t="b">
        <v>1</v>
      </c>
    </row>
    <row r="337" hidden="1">
      <c r="A337" s="16" t="s">
        <v>120</v>
      </c>
      <c r="B337" s="99" t="s">
        <v>1985</v>
      </c>
      <c r="C337" s="174">
        <v>337.5</v>
      </c>
      <c r="D337" s="175">
        <v>44620.0</v>
      </c>
      <c r="E337" s="99">
        <v>19.0</v>
      </c>
      <c r="F337" s="99">
        <v>2022.02</v>
      </c>
      <c r="G337" s="99" t="s">
        <v>52</v>
      </c>
      <c r="H337" s="99" t="s">
        <v>1264</v>
      </c>
      <c r="I337" s="99" t="s">
        <v>1979</v>
      </c>
      <c r="J337" s="97"/>
      <c r="K337" s="177">
        <v>44593.0</v>
      </c>
      <c r="L337" s="46" t="b">
        <v>1</v>
      </c>
    </row>
    <row r="338" hidden="1">
      <c r="A338" s="4" t="s">
        <v>58</v>
      </c>
      <c r="B338" s="170" t="s">
        <v>1985</v>
      </c>
      <c r="C338" s="171">
        <v>300.0</v>
      </c>
      <c r="D338" s="172">
        <v>44620.0</v>
      </c>
      <c r="E338" s="170">
        <v>19.0</v>
      </c>
      <c r="F338" s="170">
        <v>2022.02</v>
      </c>
      <c r="G338" s="170" t="s">
        <v>52</v>
      </c>
      <c r="H338" s="170" t="s">
        <v>1264</v>
      </c>
      <c r="I338" s="170" t="s">
        <v>1979</v>
      </c>
      <c r="J338" s="94"/>
      <c r="K338" s="173">
        <v>44593.0</v>
      </c>
      <c r="L338" s="45" t="b">
        <v>1</v>
      </c>
    </row>
    <row r="339" hidden="1">
      <c r="A339" s="16" t="s">
        <v>54</v>
      </c>
      <c r="B339" s="99" t="s">
        <v>1985</v>
      </c>
      <c r="C339" s="174">
        <v>162.5</v>
      </c>
      <c r="D339" s="175">
        <v>44620.0</v>
      </c>
      <c r="E339" s="99">
        <v>19.0</v>
      </c>
      <c r="F339" s="99">
        <v>2022.02</v>
      </c>
      <c r="G339" s="99" t="s">
        <v>52</v>
      </c>
      <c r="H339" s="99" t="s">
        <v>1264</v>
      </c>
      <c r="I339" s="99" t="s">
        <v>1979</v>
      </c>
      <c r="J339" s="97"/>
      <c r="K339" s="177">
        <v>44593.0</v>
      </c>
      <c r="L339" s="46" t="b">
        <v>1</v>
      </c>
    </row>
    <row r="340" hidden="1">
      <c r="A340" s="4" t="s">
        <v>75</v>
      </c>
      <c r="B340" s="170" t="s">
        <v>1985</v>
      </c>
      <c r="C340" s="171">
        <v>225.0</v>
      </c>
      <c r="D340" s="172">
        <v>44620.0</v>
      </c>
      <c r="E340" s="170">
        <v>19.0</v>
      </c>
      <c r="F340" s="170">
        <v>2022.02</v>
      </c>
      <c r="G340" s="170" t="s">
        <v>52</v>
      </c>
      <c r="H340" s="170" t="s">
        <v>1264</v>
      </c>
      <c r="I340" s="170" t="s">
        <v>1979</v>
      </c>
      <c r="J340" s="94"/>
      <c r="K340" s="173">
        <v>44593.0</v>
      </c>
      <c r="L340" s="45" t="b">
        <v>1</v>
      </c>
    </row>
    <row r="341" hidden="1">
      <c r="A341" s="16" t="s">
        <v>156</v>
      </c>
      <c r="B341" s="99" t="s">
        <v>1985</v>
      </c>
      <c r="C341" s="174">
        <v>462.5</v>
      </c>
      <c r="D341" s="175">
        <v>44620.0</v>
      </c>
      <c r="E341" s="99">
        <v>19.0</v>
      </c>
      <c r="F341" s="99">
        <v>2022.02</v>
      </c>
      <c r="G341" s="99" t="s">
        <v>52</v>
      </c>
      <c r="H341" s="99" t="s">
        <v>1264</v>
      </c>
      <c r="I341" s="99" t="s">
        <v>1979</v>
      </c>
      <c r="J341" s="97"/>
      <c r="K341" s="177">
        <v>44593.0</v>
      </c>
      <c r="L341" s="46" t="b">
        <v>1</v>
      </c>
    </row>
    <row r="342" hidden="1">
      <c r="A342" s="4" t="s">
        <v>81</v>
      </c>
      <c r="B342" s="170" t="s">
        <v>1985</v>
      </c>
      <c r="C342" s="171">
        <v>287.5</v>
      </c>
      <c r="D342" s="172">
        <v>44620.0</v>
      </c>
      <c r="E342" s="170">
        <v>19.0</v>
      </c>
      <c r="F342" s="170">
        <v>2022.02</v>
      </c>
      <c r="G342" s="170" t="s">
        <v>52</v>
      </c>
      <c r="H342" s="170" t="s">
        <v>1264</v>
      </c>
      <c r="I342" s="170" t="s">
        <v>1979</v>
      </c>
      <c r="J342" s="94"/>
      <c r="K342" s="173">
        <v>44593.0</v>
      </c>
      <c r="L342" s="45" t="b">
        <v>1</v>
      </c>
    </row>
    <row r="343" hidden="1">
      <c r="A343" s="16" t="s">
        <v>162</v>
      </c>
      <c r="B343" s="99" t="s">
        <v>1985</v>
      </c>
      <c r="C343" s="174">
        <v>737.5</v>
      </c>
      <c r="D343" s="175">
        <v>44620.0</v>
      </c>
      <c r="E343" s="99">
        <v>19.0</v>
      </c>
      <c r="F343" s="99">
        <v>2022.0</v>
      </c>
      <c r="G343" s="99" t="s">
        <v>1160</v>
      </c>
      <c r="H343" s="99" t="s">
        <v>1264</v>
      </c>
      <c r="I343" s="99" t="s">
        <v>1979</v>
      </c>
      <c r="J343" s="97"/>
      <c r="K343" s="177">
        <v>44593.0</v>
      </c>
      <c r="L343" s="46" t="b">
        <v>1</v>
      </c>
    </row>
    <row r="344" hidden="1">
      <c r="A344" s="4" t="s">
        <v>296</v>
      </c>
      <c r="B344" s="170" t="s">
        <v>1985</v>
      </c>
      <c r="C344" s="171">
        <v>237.5</v>
      </c>
      <c r="D344" s="172">
        <v>44620.0</v>
      </c>
      <c r="E344" s="170">
        <v>19.0</v>
      </c>
      <c r="F344" s="170">
        <v>2022.02</v>
      </c>
      <c r="G344" s="170" t="s">
        <v>52</v>
      </c>
      <c r="H344" s="170" t="s">
        <v>1264</v>
      </c>
      <c r="I344" s="170" t="s">
        <v>1979</v>
      </c>
      <c r="J344" s="94"/>
      <c r="K344" s="173">
        <v>44593.0</v>
      </c>
      <c r="L344" s="45" t="b">
        <v>1</v>
      </c>
    </row>
    <row r="345" hidden="1">
      <c r="A345" s="16" t="s">
        <v>299</v>
      </c>
      <c r="B345" s="99" t="s">
        <v>1985</v>
      </c>
      <c r="C345" s="174">
        <v>662.5</v>
      </c>
      <c r="D345" s="175">
        <v>44620.0</v>
      </c>
      <c r="E345" s="99">
        <v>19.0</v>
      </c>
      <c r="F345" s="99">
        <v>2022.02</v>
      </c>
      <c r="G345" s="99" t="s">
        <v>52</v>
      </c>
      <c r="H345" s="99" t="s">
        <v>1264</v>
      </c>
      <c r="I345" s="99" t="s">
        <v>1979</v>
      </c>
      <c r="J345" s="97"/>
      <c r="K345" s="177">
        <v>44593.0</v>
      </c>
      <c r="L345" s="46" t="b">
        <v>1</v>
      </c>
    </row>
    <row r="346" hidden="1">
      <c r="A346" s="4" t="s">
        <v>177</v>
      </c>
      <c r="B346" s="170" t="s">
        <v>1985</v>
      </c>
      <c r="C346" s="93">
        <f>0.75*30</f>
        <v>22.5</v>
      </c>
      <c r="D346" s="172">
        <v>44620.0</v>
      </c>
      <c r="E346" s="170">
        <v>19.0</v>
      </c>
      <c r="F346" s="170">
        <v>2022.0</v>
      </c>
      <c r="G346" s="170" t="s">
        <v>1160</v>
      </c>
      <c r="H346" s="170" t="s">
        <v>1264</v>
      </c>
      <c r="I346" s="170" t="s">
        <v>1979</v>
      </c>
      <c r="J346" s="94"/>
      <c r="K346" s="173">
        <v>44593.0</v>
      </c>
      <c r="L346" s="45" t="b">
        <v>1</v>
      </c>
    </row>
    <row r="347" hidden="1">
      <c r="A347" s="16" t="s">
        <v>1266</v>
      </c>
      <c r="B347" s="99" t="s">
        <v>1985</v>
      </c>
      <c r="C347" s="174">
        <v>120.0</v>
      </c>
      <c r="D347" s="175">
        <v>44620.0</v>
      </c>
      <c r="E347" s="99">
        <v>19.0</v>
      </c>
      <c r="F347" s="99">
        <v>2022.0</v>
      </c>
      <c r="G347" s="99" t="s">
        <v>1152</v>
      </c>
      <c r="H347" s="99" t="s">
        <v>1264</v>
      </c>
      <c r="I347" s="99" t="s">
        <v>1267</v>
      </c>
      <c r="J347" s="99" t="s">
        <v>2033</v>
      </c>
      <c r="K347" s="177">
        <v>44593.0</v>
      </c>
      <c r="L347" s="46" t="b">
        <v>1</v>
      </c>
    </row>
    <row r="348" hidden="1">
      <c r="A348" s="4" t="s">
        <v>264</v>
      </c>
      <c r="B348" s="170" t="s">
        <v>2002</v>
      </c>
      <c r="C348" s="171">
        <v>115.1</v>
      </c>
      <c r="D348" s="172">
        <v>44620.0</v>
      </c>
      <c r="E348" s="94"/>
      <c r="F348" s="170">
        <v>2022.0</v>
      </c>
      <c r="G348" s="170" t="s">
        <v>1160</v>
      </c>
      <c r="H348" s="170" t="s">
        <v>1999</v>
      </c>
      <c r="I348" s="170" t="s">
        <v>1979</v>
      </c>
      <c r="J348" s="94"/>
      <c r="K348" s="173">
        <v>44593.0</v>
      </c>
      <c r="L348" s="45" t="b">
        <v>1</v>
      </c>
    </row>
    <row r="349" hidden="1">
      <c r="A349" s="16" t="s">
        <v>246</v>
      </c>
      <c r="B349" s="99" t="s">
        <v>2002</v>
      </c>
      <c r="C349" s="174">
        <v>19.57</v>
      </c>
      <c r="D349" s="175">
        <v>44620.0</v>
      </c>
      <c r="E349" s="97"/>
      <c r="F349" s="99">
        <v>2022.02</v>
      </c>
      <c r="G349" s="99" t="s">
        <v>52</v>
      </c>
      <c r="H349" s="99" t="s">
        <v>1999</v>
      </c>
      <c r="I349" s="99" t="s">
        <v>1979</v>
      </c>
      <c r="J349" s="97"/>
      <c r="K349" s="177">
        <v>44593.0</v>
      </c>
      <c r="L349" s="46" t="b">
        <v>1</v>
      </c>
    </row>
    <row r="350" hidden="1">
      <c r="A350" s="4" t="s">
        <v>54</v>
      </c>
      <c r="B350" s="170" t="s">
        <v>2002</v>
      </c>
      <c r="C350" s="171">
        <v>157.5</v>
      </c>
      <c r="D350" s="172">
        <v>44620.0</v>
      </c>
      <c r="E350" s="94"/>
      <c r="F350" s="170">
        <v>2022.02</v>
      </c>
      <c r="G350" s="170" t="s">
        <v>52</v>
      </c>
      <c r="H350" s="170" t="s">
        <v>1999</v>
      </c>
      <c r="I350" s="170" t="s">
        <v>1979</v>
      </c>
      <c r="J350" s="94"/>
      <c r="K350" s="173">
        <v>44593.0</v>
      </c>
      <c r="L350" s="45" t="b">
        <v>1</v>
      </c>
    </row>
    <row r="351" hidden="1">
      <c r="A351" s="16" t="s">
        <v>203</v>
      </c>
      <c r="B351" s="99" t="s">
        <v>2002</v>
      </c>
      <c r="C351" s="174">
        <v>59.66</v>
      </c>
      <c r="D351" s="175">
        <v>44620.0</v>
      </c>
      <c r="E351" s="97"/>
      <c r="F351" s="99">
        <v>2022.0</v>
      </c>
      <c r="G351" s="99" t="s">
        <v>1160</v>
      </c>
      <c r="H351" s="99" t="s">
        <v>1999</v>
      </c>
      <c r="I351" s="99" t="s">
        <v>1979</v>
      </c>
      <c r="J351" s="97"/>
      <c r="K351" s="177">
        <v>44593.0</v>
      </c>
      <c r="L351" s="46" t="b">
        <v>1</v>
      </c>
    </row>
    <row r="352" hidden="1">
      <c r="A352" s="4" t="s">
        <v>120</v>
      </c>
      <c r="B352" s="170" t="s">
        <v>2002</v>
      </c>
      <c r="C352" s="171">
        <v>379.0</v>
      </c>
      <c r="D352" s="172">
        <v>44620.0</v>
      </c>
      <c r="E352" s="94"/>
      <c r="F352" s="170">
        <v>2022.02</v>
      </c>
      <c r="G352" s="170" t="s">
        <v>52</v>
      </c>
      <c r="H352" s="170" t="s">
        <v>1999</v>
      </c>
      <c r="I352" s="170" t="s">
        <v>1979</v>
      </c>
      <c r="J352" s="94"/>
      <c r="K352" s="173">
        <v>44593.0</v>
      </c>
      <c r="L352" s="45" t="b">
        <v>1</v>
      </c>
    </row>
    <row r="353" hidden="1">
      <c r="A353" s="16" t="s">
        <v>302</v>
      </c>
      <c r="B353" s="99" t="s">
        <v>2002</v>
      </c>
      <c r="C353" s="174">
        <v>835.28</v>
      </c>
      <c r="D353" s="175">
        <v>44620.0</v>
      </c>
      <c r="E353" s="97"/>
      <c r="F353" s="99">
        <v>2022.0</v>
      </c>
      <c r="G353" s="99" t="s">
        <v>1160</v>
      </c>
      <c r="H353" s="99" t="s">
        <v>1999</v>
      </c>
      <c r="I353" s="99" t="s">
        <v>1979</v>
      </c>
      <c r="J353" s="97"/>
      <c r="K353" s="177">
        <v>44593.0</v>
      </c>
      <c r="L353" s="46" t="b">
        <v>1</v>
      </c>
    </row>
    <row r="354" hidden="1">
      <c r="A354" s="4" t="s">
        <v>162</v>
      </c>
      <c r="B354" s="170" t="s">
        <v>2002</v>
      </c>
      <c r="C354" s="171">
        <v>14.68</v>
      </c>
      <c r="D354" s="172">
        <v>44620.0</v>
      </c>
      <c r="E354" s="94"/>
      <c r="F354" s="170">
        <v>2022.0</v>
      </c>
      <c r="G354" s="170" t="s">
        <v>1160</v>
      </c>
      <c r="H354" s="170" t="s">
        <v>1999</v>
      </c>
      <c r="I354" s="170" t="s">
        <v>1979</v>
      </c>
      <c r="J354" s="94"/>
      <c r="K354" s="173">
        <v>44593.0</v>
      </c>
      <c r="L354" s="45" t="b">
        <v>1</v>
      </c>
    </row>
    <row r="355" hidden="1">
      <c r="A355" s="16" t="s">
        <v>1263</v>
      </c>
      <c r="B355" s="99" t="s">
        <v>2002</v>
      </c>
      <c r="C355" s="174">
        <v>79.57</v>
      </c>
      <c r="D355" s="175">
        <v>44620.0</v>
      </c>
      <c r="E355" s="97"/>
      <c r="F355" s="99">
        <v>2022.0</v>
      </c>
      <c r="G355" s="99" t="s">
        <v>1152</v>
      </c>
      <c r="H355" s="99" t="s">
        <v>1999</v>
      </c>
      <c r="I355" s="99" t="s">
        <v>1979</v>
      </c>
      <c r="J355" s="97"/>
      <c r="K355" s="177">
        <v>44593.0</v>
      </c>
      <c r="L355" s="46" t="b">
        <v>1</v>
      </c>
    </row>
    <row r="356" hidden="1">
      <c r="A356" s="4" t="s">
        <v>259</v>
      </c>
      <c r="B356" s="170" t="s">
        <v>2002</v>
      </c>
      <c r="C356" s="171">
        <v>135.77</v>
      </c>
      <c r="D356" s="172">
        <v>44620.0</v>
      </c>
      <c r="E356" s="94"/>
      <c r="F356" s="170">
        <v>2022.0</v>
      </c>
      <c r="G356" s="170" t="s">
        <v>1160</v>
      </c>
      <c r="H356" s="170" t="s">
        <v>1999</v>
      </c>
      <c r="I356" s="170" t="s">
        <v>1979</v>
      </c>
      <c r="J356" s="94"/>
      <c r="K356" s="173">
        <v>44593.0</v>
      </c>
      <c r="L356" s="45" t="b">
        <v>1</v>
      </c>
    </row>
    <row r="357" hidden="1">
      <c r="A357" s="16" t="s">
        <v>1266</v>
      </c>
      <c r="B357" s="99" t="s">
        <v>2002</v>
      </c>
      <c r="C357" s="174">
        <v>252.77</v>
      </c>
      <c r="D357" s="175">
        <v>44620.0</v>
      </c>
      <c r="E357" s="97"/>
      <c r="F357" s="99">
        <v>2022.0</v>
      </c>
      <c r="G357" s="99" t="s">
        <v>1152</v>
      </c>
      <c r="H357" s="99" t="s">
        <v>1999</v>
      </c>
      <c r="I357" s="99" t="s">
        <v>1979</v>
      </c>
      <c r="J357" s="97"/>
      <c r="K357" s="177">
        <v>44593.0</v>
      </c>
      <c r="L357" s="46" t="b">
        <v>1</v>
      </c>
    </row>
    <row r="358" hidden="1">
      <c r="A358" s="4" t="s">
        <v>50</v>
      </c>
      <c r="B358" s="170" t="s">
        <v>2002</v>
      </c>
      <c r="C358" s="171">
        <v>2.49</v>
      </c>
      <c r="D358" s="172">
        <v>44620.0</v>
      </c>
      <c r="E358" s="94"/>
      <c r="F358" s="170">
        <v>2022.02</v>
      </c>
      <c r="G358" s="170" t="s">
        <v>52</v>
      </c>
      <c r="H358" s="170" t="s">
        <v>1999</v>
      </c>
      <c r="I358" s="170" t="s">
        <v>1979</v>
      </c>
      <c r="J358" s="94"/>
      <c r="K358" s="173">
        <v>44593.0</v>
      </c>
      <c r="L358" s="45" t="b">
        <v>1</v>
      </c>
    </row>
    <row r="359" hidden="1">
      <c r="A359" s="16" t="s">
        <v>105</v>
      </c>
      <c r="B359" s="99" t="s">
        <v>2002</v>
      </c>
      <c r="C359" s="174">
        <v>13.27</v>
      </c>
      <c r="D359" s="175">
        <v>44620.0</v>
      </c>
      <c r="E359" s="97"/>
      <c r="F359" s="99">
        <v>2022.0</v>
      </c>
      <c r="G359" s="99" t="s">
        <v>1992</v>
      </c>
      <c r="H359" s="99" t="s">
        <v>1999</v>
      </c>
      <c r="I359" s="99" t="s">
        <v>1979</v>
      </c>
      <c r="J359" s="97"/>
      <c r="K359" s="177">
        <v>44593.0</v>
      </c>
      <c r="L359" s="46" t="b">
        <v>1</v>
      </c>
    </row>
    <row r="360" hidden="1">
      <c r="A360" s="4" t="s">
        <v>90</v>
      </c>
      <c r="B360" s="170" t="s">
        <v>2002</v>
      </c>
      <c r="C360" s="171">
        <v>117.53</v>
      </c>
      <c r="D360" s="172">
        <v>44620.0</v>
      </c>
      <c r="E360" s="94"/>
      <c r="F360" s="170">
        <v>2022.02</v>
      </c>
      <c r="G360" s="170" t="s">
        <v>52</v>
      </c>
      <c r="H360" s="170" t="s">
        <v>1999</v>
      </c>
      <c r="I360" s="170" t="s">
        <v>1979</v>
      </c>
      <c r="J360" s="94"/>
      <c r="K360" s="173">
        <v>44593.0</v>
      </c>
      <c r="L360" s="45" t="b">
        <v>1</v>
      </c>
    </row>
    <row r="361" hidden="1">
      <c r="A361" s="16" t="s">
        <v>137</v>
      </c>
      <c r="B361" s="99" t="s">
        <v>2002</v>
      </c>
      <c r="C361" s="174">
        <v>2.21</v>
      </c>
      <c r="D361" s="175">
        <v>44620.0</v>
      </c>
      <c r="E361" s="97"/>
      <c r="F361" s="99">
        <v>2022.0</v>
      </c>
      <c r="G361" s="99" t="s">
        <v>1160</v>
      </c>
      <c r="H361" s="99" t="s">
        <v>1999</v>
      </c>
      <c r="I361" s="99" t="s">
        <v>1979</v>
      </c>
      <c r="J361" s="97"/>
      <c r="K361" s="177">
        <v>44593.0</v>
      </c>
      <c r="L361" s="46" t="b">
        <v>1</v>
      </c>
    </row>
    <row r="362" hidden="1">
      <c r="A362" s="4" t="s">
        <v>92</v>
      </c>
      <c r="B362" s="170" t="s">
        <v>2002</v>
      </c>
      <c r="C362" s="171">
        <v>12.93</v>
      </c>
      <c r="D362" s="172">
        <v>44620.0</v>
      </c>
      <c r="E362" s="94"/>
      <c r="F362" s="170">
        <v>2022.02</v>
      </c>
      <c r="G362" s="170" t="s">
        <v>52</v>
      </c>
      <c r="H362" s="170" t="s">
        <v>1999</v>
      </c>
      <c r="I362" s="170" t="s">
        <v>1979</v>
      </c>
      <c r="J362" s="94"/>
      <c r="K362" s="173">
        <v>44593.0</v>
      </c>
      <c r="L362" s="45" t="b">
        <v>1</v>
      </c>
    </row>
    <row r="363" hidden="1">
      <c r="A363" s="16" t="s">
        <v>156</v>
      </c>
      <c r="B363" s="99" t="s">
        <v>2002</v>
      </c>
      <c r="C363" s="174">
        <v>40.16</v>
      </c>
      <c r="D363" s="175">
        <v>44620.0</v>
      </c>
      <c r="E363" s="97"/>
      <c r="F363" s="99">
        <v>2022.02</v>
      </c>
      <c r="G363" s="99" t="s">
        <v>52</v>
      </c>
      <c r="H363" s="99" t="s">
        <v>1999</v>
      </c>
      <c r="I363" s="99" t="s">
        <v>1979</v>
      </c>
      <c r="J363" s="97"/>
      <c r="K363" s="177">
        <v>44593.0</v>
      </c>
      <c r="L363" s="46" t="b">
        <v>1</v>
      </c>
    </row>
    <row r="364" hidden="1">
      <c r="A364" s="4" t="s">
        <v>313</v>
      </c>
      <c r="B364" s="170" t="s">
        <v>2002</v>
      </c>
      <c r="C364" s="171">
        <v>264.94</v>
      </c>
      <c r="D364" s="172">
        <v>44620.0</v>
      </c>
      <c r="E364" s="94"/>
      <c r="F364" s="170">
        <v>2022.0</v>
      </c>
      <c r="G364" s="170" t="s">
        <v>1160</v>
      </c>
      <c r="H364" s="170" t="s">
        <v>1999</v>
      </c>
      <c r="I364" s="170" t="s">
        <v>1979</v>
      </c>
      <c r="J364" s="94"/>
      <c r="K364" s="173">
        <v>44593.0</v>
      </c>
      <c r="L364" s="45" t="b">
        <v>1</v>
      </c>
    </row>
    <row r="365" hidden="1">
      <c r="A365" s="16" t="s">
        <v>123</v>
      </c>
      <c r="B365" s="99" t="s">
        <v>2002</v>
      </c>
      <c r="C365" s="174">
        <v>94.83</v>
      </c>
      <c r="D365" s="175">
        <v>44620.0</v>
      </c>
      <c r="E365" s="97"/>
      <c r="F365" s="99">
        <v>2022.02</v>
      </c>
      <c r="G365" s="99" t="s">
        <v>52</v>
      </c>
      <c r="H365" s="99" t="s">
        <v>1999</v>
      </c>
      <c r="I365" s="99" t="s">
        <v>1979</v>
      </c>
      <c r="J365" s="97"/>
      <c r="K365" s="177">
        <v>44593.0</v>
      </c>
      <c r="L365" s="46" t="b">
        <v>1</v>
      </c>
    </row>
    <row r="366" hidden="1">
      <c r="A366" s="4" t="s">
        <v>115</v>
      </c>
      <c r="B366" s="170" t="s">
        <v>2002</v>
      </c>
      <c r="C366" s="171">
        <v>22.11</v>
      </c>
      <c r="D366" s="172">
        <v>44620.0</v>
      </c>
      <c r="E366" s="94"/>
      <c r="F366" s="170">
        <v>2022.02</v>
      </c>
      <c r="G366" s="170" t="s">
        <v>52</v>
      </c>
      <c r="H366" s="170" t="s">
        <v>1999</v>
      </c>
      <c r="I366" s="170" t="s">
        <v>1979</v>
      </c>
      <c r="J366" s="94"/>
      <c r="K366" s="173">
        <v>44593.0</v>
      </c>
      <c r="L366" s="45" t="b">
        <v>1</v>
      </c>
    </row>
    <row r="367" hidden="1">
      <c r="A367" s="16" t="s">
        <v>296</v>
      </c>
      <c r="B367" s="99" t="s">
        <v>2002</v>
      </c>
      <c r="C367" s="174">
        <v>250.94</v>
      </c>
      <c r="D367" s="175">
        <v>44620.0</v>
      </c>
      <c r="E367" s="97"/>
      <c r="F367" s="99">
        <v>2022.02</v>
      </c>
      <c r="G367" s="99" t="s">
        <v>52</v>
      </c>
      <c r="H367" s="99" t="s">
        <v>1999</v>
      </c>
      <c r="I367" s="99" t="s">
        <v>1979</v>
      </c>
      <c r="J367" s="97"/>
      <c r="K367" s="177">
        <v>44593.0</v>
      </c>
      <c r="L367" s="46" t="b">
        <v>1</v>
      </c>
    </row>
    <row r="368" hidden="1">
      <c r="A368" s="4" t="s">
        <v>66</v>
      </c>
      <c r="B368" s="170" t="s">
        <v>2002</v>
      </c>
      <c r="C368" s="171">
        <v>79.56</v>
      </c>
      <c r="D368" s="172">
        <v>44620.0</v>
      </c>
      <c r="E368" s="94"/>
      <c r="F368" s="170">
        <v>2022.02</v>
      </c>
      <c r="G368" s="170" t="s">
        <v>52</v>
      </c>
      <c r="H368" s="170" t="s">
        <v>1999</v>
      </c>
      <c r="I368" s="170" t="s">
        <v>1979</v>
      </c>
      <c r="J368" s="94"/>
      <c r="K368" s="173">
        <v>44593.0</v>
      </c>
      <c r="L368" s="45" t="b">
        <v>1</v>
      </c>
    </row>
    <row r="369" hidden="1">
      <c r="A369" s="16" t="s">
        <v>311</v>
      </c>
      <c r="B369" s="99" t="s">
        <v>2002</v>
      </c>
      <c r="C369" s="174">
        <v>34.4</v>
      </c>
      <c r="D369" s="175">
        <v>44620.0</v>
      </c>
      <c r="E369" s="97"/>
      <c r="F369" s="99">
        <v>2022.02</v>
      </c>
      <c r="G369" s="99" t="s">
        <v>52</v>
      </c>
      <c r="H369" s="99" t="s">
        <v>1999</v>
      </c>
      <c r="I369" s="99" t="s">
        <v>1979</v>
      </c>
      <c r="J369" s="97"/>
      <c r="K369" s="177">
        <v>44593.0</v>
      </c>
      <c r="L369" s="46" t="b">
        <v>1</v>
      </c>
    </row>
    <row r="370" hidden="1">
      <c r="A370" s="4" t="s">
        <v>118</v>
      </c>
      <c r="B370" s="170" t="s">
        <v>1976</v>
      </c>
      <c r="C370" s="171">
        <v>750.0</v>
      </c>
      <c r="D370" s="172">
        <v>44617.0</v>
      </c>
      <c r="E370" s="94"/>
      <c r="F370" s="170">
        <v>2022.02</v>
      </c>
      <c r="G370" s="170" t="s">
        <v>52</v>
      </c>
      <c r="H370" s="170" t="s">
        <v>1999</v>
      </c>
      <c r="I370" s="170" t="s">
        <v>1977</v>
      </c>
      <c r="J370" s="94"/>
      <c r="K370" s="173">
        <v>44593.0</v>
      </c>
      <c r="L370" s="45" t="b">
        <v>1</v>
      </c>
    </row>
    <row r="371" hidden="1">
      <c r="A371" s="16" t="s">
        <v>115</v>
      </c>
      <c r="B371" s="99" t="s">
        <v>1976</v>
      </c>
      <c r="C371" s="174">
        <v>750.0</v>
      </c>
      <c r="D371" s="175">
        <v>44618.0</v>
      </c>
      <c r="E371" s="97"/>
      <c r="F371" s="99">
        <v>2022.02</v>
      </c>
      <c r="G371" s="99" t="s">
        <v>52</v>
      </c>
      <c r="H371" s="99" t="s">
        <v>1999</v>
      </c>
      <c r="I371" s="99" t="s">
        <v>1977</v>
      </c>
      <c r="J371" s="97"/>
      <c r="K371" s="177">
        <v>44593.0</v>
      </c>
      <c r="L371" s="46" t="b">
        <v>1</v>
      </c>
    </row>
    <row r="372" hidden="1">
      <c r="A372" s="4" t="s">
        <v>279</v>
      </c>
      <c r="B372" s="170" t="s">
        <v>1287</v>
      </c>
      <c r="C372" s="171">
        <v>49.25</v>
      </c>
      <c r="D372" s="172">
        <v>44621.0</v>
      </c>
      <c r="E372" s="94"/>
      <c r="F372" s="170">
        <v>2022.0</v>
      </c>
      <c r="G372" s="170" t="s">
        <v>1160</v>
      </c>
      <c r="H372" s="170" t="s">
        <v>1999</v>
      </c>
      <c r="I372" s="170" t="s">
        <v>2034</v>
      </c>
      <c r="J372" s="94"/>
      <c r="K372" s="173">
        <v>44593.0</v>
      </c>
      <c r="L372" s="45" t="b">
        <v>1</v>
      </c>
    </row>
    <row r="373" hidden="1">
      <c r="A373" s="16" t="s">
        <v>92</v>
      </c>
      <c r="B373" s="99" t="s">
        <v>1988</v>
      </c>
      <c r="C373" s="174">
        <v>70.0</v>
      </c>
      <c r="D373" s="175">
        <v>44627.0</v>
      </c>
      <c r="E373" s="97"/>
      <c r="F373" s="99">
        <v>2022.03</v>
      </c>
      <c r="G373" s="99" t="s">
        <v>52</v>
      </c>
      <c r="H373" s="99" t="s">
        <v>1999</v>
      </c>
      <c r="I373" s="99" t="s">
        <v>1977</v>
      </c>
      <c r="J373" s="97"/>
      <c r="K373" s="177">
        <v>44593.0</v>
      </c>
      <c r="L373" s="46" t="b">
        <v>1</v>
      </c>
    </row>
    <row r="374" hidden="1">
      <c r="A374" s="4" t="s">
        <v>279</v>
      </c>
      <c r="B374" s="170" t="s">
        <v>1976</v>
      </c>
      <c r="C374" s="171">
        <v>20.0</v>
      </c>
      <c r="D374" s="172">
        <v>44630.0</v>
      </c>
      <c r="E374" s="94"/>
      <c r="F374" s="170">
        <v>2022.0</v>
      </c>
      <c r="G374" s="170" t="s">
        <v>1160</v>
      </c>
      <c r="H374" s="170" t="s">
        <v>1999</v>
      </c>
      <c r="I374" s="170" t="s">
        <v>1977</v>
      </c>
      <c r="J374" s="94"/>
      <c r="K374" s="173">
        <v>44593.0</v>
      </c>
      <c r="L374" s="45" t="b">
        <v>1</v>
      </c>
    </row>
    <row r="375" hidden="1">
      <c r="A375" s="16" t="s">
        <v>42</v>
      </c>
      <c r="B375" s="99" t="s">
        <v>1984</v>
      </c>
      <c r="C375" s="174">
        <v>350.0</v>
      </c>
      <c r="D375" s="187">
        <v>44651.0</v>
      </c>
      <c r="E375" s="99">
        <v>3.0</v>
      </c>
      <c r="F375" s="99">
        <v>2022.03</v>
      </c>
      <c r="G375" s="99" t="s">
        <v>52</v>
      </c>
      <c r="H375" s="99" t="s">
        <v>1264</v>
      </c>
      <c r="I375" s="99" t="s">
        <v>1979</v>
      </c>
      <c r="J375" s="97"/>
      <c r="K375" s="177">
        <v>44621.0</v>
      </c>
      <c r="L375" s="46" t="b">
        <v>1</v>
      </c>
    </row>
    <row r="376" hidden="1">
      <c r="A376" s="4" t="s">
        <v>92</v>
      </c>
      <c r="B376" s="170" t="s">
        <v>1984</v>
      </c>
      <c r="C376" s="171">
        <v>212.5</v>
      </c>
      <c r="D376" s="186">
        <v>44651.0</v>
      </c>
      <c r="E376" s="170">
        <v>3.0</v>
      </c>
      <c r="F376" s="170">
        <v>2022.03</v>
      </c>
      <c r="G376" s="170" t="s">
        <v>52</v>
      </c>
      <c r="H376" s="170" t="s">
        <v>1264</v>
      </c>
      <c r="I376" s="170" t="s">
        <v>1979</v>
      </c>
      <c r="J376" s="94"/>
      <c r="K376" s="173">
        <v>44621.0</v>
      </c>
      <c r="L376" s="45" t="b">
        <v>1</v>
      </c>
    </row>
    <row r="377" hidden="1">
      <c r="A377" s="16" t="s">
        <v>147</v>
      </c>
      <c r="B377" s="99" t="s">
        <v>1984</v>
      </c>
      <c r="C377" s="174">
        <v>250.0</v>
      </c>
      <c r="D377" s="187">
        <v>44651.0</v>
      </c>
      <c r="E377" s="99">
        <v>3.0</v>
      </c>
      <c r="F377" s="99">
        <v>2022.03</v>
      </c>
      <c r="G377" s="99" t="s">
        <v>52</v>
      </c>
      <c r="H377" s="99" t="s">
        <v>1264</v>
      </c>
      <c r="I377" s="99" t="s">
        <v>1979</v>
      </c>
      <c r="J377" s="97"/>
      <c r="K377" s="177">
        <v>44621.0</v>
      </c>
      <c r="L377" s="46" t="b">
        <v>1</v>
      </c>
    </row>
    <row r="378" hidden="1">
      <c r="A378" s="4" t="s">
        <v>54</v>
      </c>
      <c r="B378" s="170" t="s">
        <v>1984</v>
      </c>
      <c r="C378" s="171">
        <v>175.0</v>
      </c>
      <c r="D378" s="186">
        <v>44651.0</v>
      </c>
      <c r="E378" s="170">
        <v>3.0</v>
      </c>
      <c r="F378" s="170">
        <v>2022.03</v>
      </c>
      <c r="G378" s="170" t="s">
        <v>52</v>
      </c>
      <c r="H378" s="170" t="s">
        <v>1264</v>
      </c>
      <c r="I378" s="170" t="s">
        <v>1979</v>
      </c>
      <c r="J378" s="94"/>
      <c r="K378" s="173">
        <v>44621.0</v>
      </c>
      <c r="L378" s="45" t="b">
        <v>1</v>
      </c>
    </row>
    <row r="379" hidden="1">
      <c r="A379" s="16" t="s">
        <v>246</v>
      </c>
      <c r="B379" s="99" t="s">
        <v>1986</v>
      </c>
      <c r="C379" s="174">
        <v>187.5</v>
      </c>
      <c r="D379" s="187">
        <v>44651.0</v>
      </c>
      <c r="E379" s="99">
        <v>5.0</v>
      </c>
      <c r="F379" s="99">
        <v>2022.03</v>
      </c>
      <c r="G379" s="99" t="s">
        <v>52</v>
      </c>
      <c r="H379" s="99" t="s">
        <v>1264</v>
      </c>
      <c r="I379" s="99" t="s">
        <v>1979</v>
      </c>
      <c r="J379" s="97"/>
      <c r="K379" s="177">
        <v>44621.0</v>
      </c>
      <c r="L379" s="46" t="b">
        <v>1</v>
      </c>
    </row>
    <row r="380" hidden="1">
      <c r="A380" s="4" t="s">
        <v>1269</v>
      </c>
      <c r="B380" s="170" t="s">
        <v>1986</v>
      </c>
      <c r="C380" s="171">
        <v>50.0</v>
      </c>
      <c r="D380" s="186">
        <v>44651.0</v>
      </c>
      <c r="E380" s="170">
        <v>5.0</v>
      </c>
      <c r="F380" s="170">
        <v>2022.0</v>
      </c>
      <c r="G380" s="170" t="s">
        <v>1152</v>
      </c>
      <c r="H380" s="170" t="s">
        <v>1264</v>
      </c>
      <c r="I380" s="170" t="s">
        <v>1270</v>
      </c>
      <c r="J380" s="170" t="s">
        <v>2035</v>
      </c>
      <c r="K380" s="173">
        <v>44621.0</v>
      </c>
      <c r="L380" s="45" t="b">
        <v>1</v>
      </c>
    </row>
    <row r="381" hidden="1">
      <c r="A381" s="16" t="s">
        <v>223</v>
      </c>
      <c r="B381" s="99" t="s">
        <v>1978</v>
      </c>
      <c r="C381" s="174">
        <v>200.0</v>
      </c>
      <c r="D381" s="187">
        <v>44651.0</v>
      </c>
      <c r="E381" s="97"/>
      <c r="F381" s="99">
        <v>2022.03</v>
      </c>
      <c r="G381" s="99" t="s">
        <v>52</v>
      </c>
      <c r="H381" s="99" t="s">
        <v>1264</v>
      </c>
      <c r="I381" s="99" t="s">
        <v>1979</v>
      </c>
      <c r="J381" s="97"/>
      <c r="K381" s="177">
        <v>44621.0</v>
      </c>
      <c r="L381" s="46" t="b">
        <v>1</v>
      </c>
    </row>
    <row r="382" hidden="1">
      <c r="A382" s="4" t="s">
        <v>97</v>
      </c>
      <c r="B382" s="170" t="s">
        <v>1978</v>
      </c>
      <c r="C382" s="171">
        <v>125.0</v>
      </c>
      <c r="D382" s="186">
        <v>44651.0</v>
      </c>
      <c r="E382" s="94"/>
      <c r="F382" s="170">
        <v>2022.03</v>
      </c>
      <c r="G382" s="170" t="s">
        <v>52</v>
      </c>
      <c r="H382" s="170" t="s">
        <v>1264</v>
      </c>
      <c r="I382" s="170" t="s">
        <v>1979</v>
      </c>
      <c r="J382" s="94"/>
      <c r="K382" s="173">
        <v>44621.0</v>
      </c>
      <c r="L382" s="45" t="b">
        <v>1</v>
      </c>
    </row>
    <row r="383" hidden="1">
      <c r="A383" s="16" t="s">
        <v>66</v>
      </c>
      <c r="B383" s="99" t="s">
        <v>1978</v>
      </c>
      <c r="C383" s="174">
        <v>275.0</v>
      </c>
      <c r="D383" s="187">
        <v>44651.0</v>
      </c>
      <c r="E383" s="97"/>
      <c r="F383" s="99">
        <v>2022.03</v>
      </c>
      <c r="G383" s="99" t="s">
        <v>52</v>
      </c>
      <c r="H383" s="99" t="s">
        <v>1264</v>
      </c>
      <c r="I383" s="99" t="s">
        <v>1979</v>
      </c>
      <c r="J383" s="97"/>
      <c r="K383" s="177">
        <v>44621.0</v>
      </c>
      <c r="L383" s="46" t="b">
        <v>1</v>
      </c>
    </row>
    <row r="384" hidden="1">
      <c r="A384" s="4" t="s">
        <v>147</v>
      </c>
      <c r="B384" s="170" t="s">
        <v>1978</v>
      </c>
      <c r="C384" s="171">
        <v>200.0</v>
      </c>
      <c r="D384" s="186">
        <v>44651.0</v>
      </c>
      <c r="E384" s="94"/>
      <c r="F384" s="170">
        <v>2022.03</v>
      </c>
      <c r="G384" s="170" t="s">
        <v>52</v>
      </c>
      <c r="H384" s="170" t="s">
        <v>1264</v>
      </c>
      <c r="I384" s="170" t="s">
        <v>1979</v>
      </c>
      <c r="J384" s="94"/>
      <c r="K384" s="173">
        <v>44621.0</v>
      </c>
      <c r="L384" s="45" t="b">
        <v>1</v>
      </c>
    </row>
    <row r="385" hidden="1">
      <c r="A385" s="16" t="s">
        <v>88</v>
      </c>
      <c r="B385" s="99" t="s">
        <v>1978</v>
      </c>
      <c r="C385" s="174">
        <v>212.5</v>
      </c>
      <c r="D385" s="187">
        <v>44651.0</v>
      </c>
      <c r="E385" s="97"/>
      <c r="F385" s="99">
        <v>2022.03</v>
      </c>
      <c r="G385" s="99" t="s">
        <v>52</v>
      </c>
      <c r="H385" s="99" t="s">
        <v>1264</v>
      </c>
      <c r="I385" s="99" t="s">
        <v>1979</v>
      </c>
      <c r="J385" s="97"/>
      <c r="K385" s="177">
        <v>44621.0</v>
      </c>
      <c r="L385" s="46" t="b">
        <v>1</v>
      </c>
    </row>
    <row r="386" hidden="1">
      <c r="A386" s="4" t="s">
        <v>73</v>
      </c>
      <c r="B386" s="170" t="s">
        <v>1978</v>
      </c>
      <c r="C386" s="171">
        <v>250.0</v>
      </c>
      <c r="D386" s="186">
        <v>44651.0</v>
      </c>
      <c r="E386" s="94"/>
      <c r="F386" s="170">
        <v>2022.03</v>
      </c>
      <c r="G386" s="170" t="s">
        <v>52</v>
      </c>
      <c r="H386" s="170" t="s">
        <v>1264</v>
      </c>
      <c r="I386" s="170" t="s">
        <v>1979</v>
      </c>
      <c r="J386" s="94"/>
      <c r="K386" s="173">
        <v>44621.0</v>
      </c>
      <c r="L386" s="45" t="b">
        <v>1</v>
      </c>
    </row>
    <row r="387" hidden="1">
      <c r="A387" s="16" t="s">
        <v>102</v>
      </c>
      <c r="B387" s="99" t="s">
        <v>1987</v>
      </c>
      <c r="C387" s="174">
        <v>150.0</v>
      </c>
      <c r="D387" s="187">
        <v>44651.0</v>
      </c>
      <c r="E387" s="99">
        <v>1018.0</v>
      </c>
      <c r="F387" s="99">
        <v>2022.03</v>
      </c>
      <c r="G387" s="99" t="s">
        <v>52</v>
      </c>
      <c r="H387" s="99" t="s">
        <v>1264</v>
      </c>
      <c r="I387" s="99" t="s">
        <v>1979</v>
      </c>
      <c r="J387" s="97"/>
      <c r="K387" s="177">
        <v>44621.0</v>
      </c>
      <c r="L387" s="46" t="b">
        <v>1</v>
      </c>
    </row>
    <row r="388" hidden="1">
      <c r="A388" s="4" t="s">
        <v>1269</v>
      </c>
      <c r="B388" s="170" t="s">
        <v>2036</v>
      </c>
      <c r="C388" s="171">
        <v>50.0</v>
      </c>
      <c r="D388" s="172">
        <v>44651.0</v>
      </c>
      <c r="E388" s="170">
        <v>1.0</v>
      </c>
      <c r="F388" s="170">
        <v>2022.0</v>
      </c>
      <c r="G388" s="170" t="s">
        <v>1152</v>
      </c>
      <c r="H388" s="170" t="s">
        <v>1264</v>
      </c>
      <c r="I388" s="170" t="s">
        <v>1270</v>
      </c>
      <c r="J388" s="170" t="s">
        <v>2037</v>
      </c>
      <c r="K388" s="173">
        <v>44621.0</v>
      </c>
      <c r="L388" s="45" t="b">
        <v>1</v>
      </c>
    </row>
    <row r="389" hidden="1">
      <c r="A389" s="16" t="s">
        <v>115</v>
      </c>
      <c r="B389" s="99" t="s">
        <v>1982</v>
      </c>
      <c r="C389" s="174">
        <v>662.5</v>
      </c>
      <c r="D389" s="175">
        <v>44651.0</v>
      </c>
      <c r="E389" s="99" t="s">
        <v>2038</v>
      </c>
      <c r="F389" s="99">
        <v>2022.03</v>
      </c>
      <c r="G389" s="99" t="s">
        <v>52</v>
      </c>
      <c r="H389" s="99" t="s">
        <v>1264</v>
      </c>
      <c r="I389" s="99" t="s">
        <v>1979</v>
      </c>
      <c r="J389" s="97"/>
      <c r="K389" s="177">
        <v>44621.0</v>
      </c>
      <c r="L389" s="46" t="b">
        <v>1</v>
      </c>
    </row>
    <row r="390" hidden="1">
      <c r="A390" s="4" t="s">
        <v>118</v>
      </c>
      <c r="B390" s="170" t="s">
        <v>1982</v>
      </c>
      <c r="C390" s="171">
        <v>662.5</v>
      </c>
      <c r="D390" s="172">
        <v>44651.0</v>
      </c>
      <c r="E390" s="170" t="s">
        <v>2038</v>
      </c>
      <c r="F390" s="170">
        <v>2022.03</v>
      </c>
      <c r="G390" s="170" t="s">
        <v>52</v>
      </c>
      <c r="H390" s="170" t="s">
        <v>1264</v>
      </c>
      <c r="I390" s="170" t="s">
        <v>1979</v>
      </c>
      <c r="J390" s="94"/>
      <c r="K390" s="173">
        <v>44621.0</v>
      </c>
      <c r="L390" s="45" t="b">
        <v>1</v>
      </c>
    </row>
    <row r="391" hidden="1">
      <c r="A391" s="16" t="s">
        <v>92</v>
      </c>
      <c r="B391" s="99" t="s">
        <v>1982</v>
      </c>
      <c r="C391" s="174">
        <v>350.0</v>
      </c>
      <c r="D391" s="175">
        <v>44651.0</v>
      </c>
      <c r="E391" s="99" t="s">
        <v>2038</v>
      </c>
      <c r="F391" s="99">
        <v>2022.03</v>
      </c>
      <c r="G391" s="99" t="s">
        <v>52</v>
      </c>
      <c r="H391" s="99" t="s">
        <v>1264</v>
      </c>
      <c r="I391" s="99" t="s">
        <v>1979</v>
      </c>
      <c r="J391" s="97"/>
      <c r="K391" s="177">
        <v>44621.0</v>
      </c>
      <c r="L391" s="46" t="b">
        <v>1</v>
      </c>
    </row>
    <row r="392" hidden="1">
      <c r="A392" s="4" t="s">
        <v>84</v>
      </c>
      <c r="B392" s="170" t="s">
        <v>1982</v>
      </c>
      <c r="C392" s="171">
        <v>475.0</v>
      </c>
      <c r="D392" s="172">
        <v>44651.0</v>
      </c>
      <c r="E392" s="170" t="s">
        <v>2038</v>
      </c>
      <c r="F392" s="170">
        <v>2022.03</v>
      </c>
      <c r="G392" s="170" t="s">
        <v>52</v>
      </c>
      <c r="H392" s="170" t="s">
        <v>1264</v>
      </c>
      <c r="I392" s="170" t="s">
        <v>1979</v>
      </c>
      <c r="J392" s="94"/>
      <c r="K392" s="173">
        <v>44621.0</v>
      </c>
      <c r="L392" s="45" t="b">
        <v>1</v>
      </c>
    </row>
    <row r="393" hidden="1">
      <c r="A393" s="16" t="s">
        <v>123</v>
      </c>
      <c r="B393" s="99" t="s">
        <v>1982</v>
      </c>
      <c r="C393" s="174">
        <v>1137.5</v>
      </c>
      <c r="D393" s="175">
        <v>44651.0</v>
      </c>
      <c r="E393" s="99" t="s">
        <v>2038</v>
      </c>
      <c r="F393" s="99">
        <v>2022.03</v>
      </c>
      <c r="G393" s="99" t="s">
        <v>52</v>
      </c>
      <c r="H393" s="99" t="s">
        <v>1264</v>
      </c>
      <c r="I393" s="99" t="s">
        <v>1979</v>
      </c>
      <c r="J393" s="97"/>
      <c r="K393" s="177">
        <v>44621.0</v>
      </c>
      <c r="L393" s="46" t="b">
        <v>1</v>
      </c>
    </row>
    <row r="394" hidden="1">
      <c r="A394" s="4" t="s">
        <v>62</v>
      </c>
      <c r="B394" s="170" t="s">
        <v>1982</v>
      </c>
      <c r="C394" s="171">
        <v>450.0</v>
      </c>
      <c r="D394" s="172">
        <v>44651.0</v>
      </c>
      <c r="E394" s="170" t="s">
        <v>2038</v>
      </c>
      <c r="F394" s="170">
        <v>2022.03</v>
      </c>
      <c r="G394" s="170" t="s">
        <v>52</v>
      </c>
      <c r="H394" s="170" t="s">
        <v>1264</v>
      </c>
      <c r="I394" s="170" t="s">
        <v>1979</v>
      </c>
      <c r="J394" s="94"/>
      <c r="K394" s="173">
        <v>44621.0</v>
      </c>
      <c r="L394" s="45" t="b">
        <v>1</v>
      </c>
    </row>
    <row r="395" hidden="1">
      <c r="A395" s="16" t="s">
        <v>147</v>
      </c>
      <c r="B395" s="99" t="s">
        <v>1980</v>
      </c>
      <c r="C395" s="174">
        <v>75.0</v>
      </c>
      <c r="D395" s="175">
        <v>44651.0</v>
      </c>
      <c r="E395" s="99">
        <v>109.0</v>
      </c>
      <c r="F395" s="99">
        <v>2022.03</v>
      </c>
      <c r="G395" s="99" t="s">
        <v>52</v>
      </c>
      <c r="H395" s="99" t="s">
        <v>1264</v>
      </c>
      <c r="I395" s="99" t="s">
        <v>1979</v>
      </c>
      <c r="J395" s="97"/>
      <c r="K395" s="177">
        <v>44621.0</v>
      </c>
      <c r="L395" s="46" t="b">
        <v>1</v>
      </c>
    </row>
    <row r="396" hidden="1">
      <c r="A396" s="4" t="s">
        <v>92</v>
      </c>
      <c r="B396" s="170" t="s">
        <v>1980</v>
      </c>
      <c r="C396" s="93">
        <f>350+225</f>
        <v>575</v>
      </c>
      <c r="D396" s="172">
        <v>44651.0</v>
      </c>
      <c r="E396" s="170">
        <v>109.0</v>
      </c>
      <c r="F396" s="170">
        <v>2022.03</v>
      </c>
      <c r="G396" s="170" t="s">
        <v>52</v>
      </c>
      <c r="H396" s="170" t="s">
        <v>1264</v>
      </c>
      <c r="I396" s="170" t="s">
        <v>1979</v>
      </c>
      <c r="J396" s="94"/>
      <c r="K396" s="173">
        <v>44621.0</v>
      </c>
      <c r="L396" s="45" t="b">
        <v>1</v>
      </c>
    </row>
    <row r="397" hidden="1">
      <c r="A397" s="16" t="s">
        <v>88</v>
      </c>
      <c r="B397" s="99" t="s">
        <v>1980</v>
      </c>
      <c r="C397" s="174">
        <v>45.0</v>
      </c>
      <c r="D397" s="175">
        <v>44651.0</v>
      </c>
      <c r="E397" s="99">
        <v>109.0</v>
      </c>
      <c r="F397" s="99">
        <v>2022.03</v>
      </c>
      <c r="G397" s="99" t="s">
        <v>52</v>
      </c>
      <c r="H397" s="99" t="s">
        <v>1264</v>
      </c>
      <c r="I397" s="99" t="s">
        <v>1979</v>
      </c>
      <c r="J397" s="97"/>
      <c r="K397" s="177">
        <v>44621.0</v>
      </c>
      <c r="L397" s="46" t="b">
        <v>1</v>
      </c>
    </row>
    <row r="398" hidden="1">
      <c r="A398" s="4" t="s">
        <v>151</v>
      </c>
      <c r="B398" s="170" t="s">
        <v>1980</v>
      </c>
      <c r="C398" s="93">
        <f>250+60</f>
        <v>310</v>
      </c>
      <c r="D398" s="172">
        <v>44651.0</v>
      </c>
      <c r="E398" s="170">
        <v>109.0</v>
      </c>
      <c r="F398" s="170">
        <v>2022.03</v>
      </c>
      <c r="G398" s="170" t="s">
        <v>52</v>
      </c>
      <c r="H398" s="170" t="s">
        <v>1264</v>
      </c>
      <c r="I398" s="170" t="s">
        <v>1979</v>
      </c>
      <c r="J398" s="94"/>
      <c r="K398" s="173">
        <v>44621.0</v>
      </c>
      <c r="L398" s="45" t="b">
        <v>1</v>
      </c>
    </row>
    <row r="399" hidden="1">
      <c r="A399" s="36" t="s">
        <v>2039</v>
      </c>
      <c r="B399" s="99" t="s">
        <v>1980</v>
      </c>
      <c r="C399" s="96">
        <f t="shared" ref="C399:C400" si="3">150+30</f>
        <v>180</v>
      </c>
      <c r="D399" s="175">
        <v>44651.0</v>
      </c>
      <c r="E399" s="99">
        <v>109.0</v>
      </c>
      <c r="F399" s="99">
        <v>2022.03</v>
      </c>
      <c r="G399" s="99" t="s">
        <v>52</v>
      </c>
      <c r="H399" s="99" t="s">
        <v>1264</v>
      </c>
      <c r="I399" s="99" t="s">
        <v>1979</v>
      </c>
      <c r="J399" s="97"/>
      <c r="K399" s="177">
        <v>44621.0</v>
      </c>
      <c r="L399" s="46" t="b">
        <v>1</v>
      </c>
    </row>
    <row r="400" hidden="1">
      <c r="A400" s="4" t="s">
        <v>86</v>
      </c>
      <c r="B400" s="170" t="s">
        <v>1980</v>
      </c>
      <c r="C400" s="93">
        <f t="shared" si="3"/>
        <v>180</v>
      </c>
      <c r="D400" s="172">
        <v>44651.0</v>
      </c>
      <c r="E400" s="170">
        <v>109.0</v>
      </c>
      <c r="F400" s="170">
        <v>2022.03</v>
      </c>
      <c r="G400" s="170" t="s">
        <v>52</v>
      </c>
      <c r="H400" s="170" t="s">
        <v>1264</v>
      </c>
      <c r="I400" s="170" t="s">
        <v>1979</v>
      </c>
      <c r="J400" s="94"/>
      <c r="K400" s="173">
        <v>44621.0</v>
      </c>
      <c r="L400" s="45" t="b">
        <v>1</v>
      </c>
    </row>
    <row r="401" hidden="1">
      <c r="A401" s="16" t="s">
        <v>97</v>
      </c>
      <c r="B401" s="99" t="s">
        <v>1980</v>
      </c>
      <c r="C401" s="174">
        <v>30.0</v>
      </c>
      <c r="D401" s="175">
        <v>44651.0</v>
      </c>
      <c r="E401" s="99">
        <v>109.0</v>
      </c>
      <c r="F401" s="99">
        <v>2022.03</v>
      </c>
      <c r="G401" s="99" t="s">
        <v>52</v>
      </c>
      <c r="H401" s="99" t="s">
        <v>1264</v>
      </c>
      <c r="I401" s="99" t="s">
        <v>1979</v>
      </c>
      <c r="J401" s="97"/>
      <c r="K401" s="177">
        <v>44621.0</v>
      </c>
      <c r="L401" s="46" t="b">
        <v>1</v>
      </c>
    </row>
    <row r="402" hidden="1">
      <c r="A402" s="4" t="s">
        <v>82</v>
      </c>
      <c r="B402" s="170" t="s">
        <v>1980</v>
      </c>
      <c r="C402" s="93">
        <f>225+75</f>
        <v>300</v>
      </c>
      <c r="D402" s="172">
        <v>44651.0</v>
      </c>
      <c r="E402" s="170">
        <v>109.0</v>
      </c>
      <c r="F402" s="170">
        <v>2022.03</v>
      </c>
      <c r="G402" s="170" t="s">
        <v>52</v>
      </c>
      <c r="H402" s="170" t="s">
        <v>1264</v>
      </c>
      <c r="I402" s="170" t="s">
        <v>1979</v>
      </c>
      <c r="J402" s="94"/>
      <c r="K402" s="173">
        <v>44621.0</v>
      </c>
      <c r="L402" s="45" t="b">
        <v>1</v>
      </c>
    </row>
    <row r="403" hidden="1">
      <c r="A403" s="16" t="s">
        <v>99</v>
      </c>
      <c r="B403" s="99" t="s">
        <v>1980</v>
      </c>
      <c r="C403" s="96">
        <f>337.5+120</f>
        <v>457.5</v>
      </c>
      <c r="D403" s="175">
        <v>44651.0</v>
      </c>
      <c r="E403" s="99">
        <v>109.0</v>
      </c>
      <c r="F403" s="99">
        <v>2022.03</v>
      </c>
      <c r="G403" s="99" t="s">
        <v>52</v>
      </c>
      <c r="H403" s="99" t="s">
        <v>1264</v>
      </c>
      <c r="I403" s="99" t="s">
        <v>1979</v>
      </c>
      <c r="J403" s="97"/>
      <c r="K403" s="177">
        <v>44621.0</v>
      </c>
      <c r="L403" s="46" t="b">
        <v>1</v>
      </c>
    </row>
    <row r="404" hidden="1">
      <c r="A404" s="4" t="s">
        <v>68</v>
      </c>
      <c r="B404" s="170" t="s">
        <v>1980</v>
      </c>
      <c r="C404" s="93">
        <f>237.5+60</f>
        <v>297.5</v>
      </c>
      <c r="D404" s="172">
        <v>44651.0</v>
      </c>
      <c r="E404" s="170">
        <v>109.0</v>
      </c>
      <c r="F404" s="170">
        <v>2022.03</v>
      </c>
      <c r="G404" s="170" t="s">
        <v>52</v>
      </c>
      <c r="H404" s="170" t="s">
        <v>1264</v>
      </c>
      <c r="I404" s="170" t="s">
        <v>1979</v>
      </c>
      <c r="J404" s="94"/>
      <c r="K404" s="173">
        <v>44621.0</v>
      </c>
      <c r="L404" s="45" t="b">
        <v>1</v>
      </c>
    </row>
    <row r="405" hidden="1">
      <c r="A405" s="16" t="s">
        <v>42</v>
      </c>
      <c r="B405" s="99" t="s">
        <v>1980</v>
      </c>
      <c r="C405" s="96">
        <f>212.5+135</f>
        <v>347.5</v>
      </c>
      <c r="D405" s="175">
        <v>44651.0</v>
      </c>
      <c r="E405" s="99">
        <v>109.0</v>
      </c>
      <c r="F405" s="99">
        <v>2022.03</v>
      </c>
      <c r="G405" s="99" t="s">
        <v>52</v>
      </c>
      <c r="H405" s="99" t="s">
        <v>1264</v>
      </c>
      <c r="I405" s="99" t="s">
        <v>1979</v>
      </c>
      <c r="J405" s="97"/>
      <c r="K405" s="177">
        <v>44621.0</v>
      </c>
      <c r="L405" s="46" t="b">
        <v>1</v>
      </c>
    </row>
    <row r="406" hidden="1">
      <c r="A406" s="4" t="s">
        <v>58</v>
      </c>
      <c r="B406" s="170" t="s">
        <v>1980</v>
      </c>
      <c r="C406" s="171">
        <v>400.0</v>
      </c>
      <c r="D406" s="172">
        <v>44651.0</v>
      </c>
      <c r="E406" s="170">
        <v>109.0</v>
      </c>
      <c r="F406" s="170">
        <v>2022.03</v>
      </c>
      <c r="G406" s="170" t="s">
        <v>52</v>
      </c>
      <c r="H406" s="170" t="s">
        <v>1264</v>
      </c>
      <c r="I406" s="170" t="s">
        <v>1979</v>
      </c>
      <c r="J406" s="94"/>
      <c r="K406" s="173">
        <v>44621.0</v>
      </c>
      <c r="L406" s="45" t="b">
        <v>1</v>
      </c>
    </row>
    <row r="407" hidden="1">
      <c r="A407" s="16" t="s">
        <v>123</v>
      </c>
      <c r="B407" s="99" t="s">
        <v>1980</v>
      </c>
      <c r="C407" s="174">
        <v>300.0</v>
      </c>
      <c r="D407" s="175">
        <v>44651.0</v>
      </c>
      <c r="E407" s="99">
        <v>109.0</v>
      </c>
      <c r="F407" s="99">
        <v>2022.03</v>
      </c>
      <c r="G407" s="99" t="s">
        <v>52</v>
      </c>
      <c r="H407" s="99" t="s">
        <v>1264</v>
      </c>
      <c r="I407" s="99" t="s">
        <v>1979</v>
      </c>
      <c r="J407" s="97"/>
      <c r="K407" s="177">
        <v>44621.0</v>
      </c>
      <c r="L407" s="46" t="b">
        <v>1</v>
      </c>
    </row>
    <row r="408" hidden="1">
      <c r="A408" s="4" t="s">
        <v>73</v>
      </c>
      <c r="B408" s="170" t="s">
        <v>1980</v>
      </c>
      <c r="C408" s="171">
        <v>60.0</v>
      </c>
      <c r="D408" s="172">
        <v>44651.0</v>
      </c>
      <c r="E408" s="170">
        <v>109.0</v>
      </c>
      <c r="F408" s="170">
        <v>2022.03</v>
      </c>
      <c r="G408" s="170" t="s">
        <v>52</v>
      </c>
      <c r="H408" s="170" t="s">
        <v>1264</v>
      </c>
      <c r="I408" s="170" t="s">
        <v>1979</v>
      </c>
      <c r="J408" s="94"/>
      <c r="K408" s="173">
        <v>44621.0</v>
      </c>
      <c r="L408" s="45" t="b">
        <v>1</v>
      </c>
    </row>
    <row r="409" hidden="1">
      <c r="A409" s="16" t="s">
        <v>50</v>
      </c>
      <c r="B409" s="99" t="s">
        <v>1980</v>
      </c>
      <c r="C409" s="96">
        <f>137.5+30</f>
        <v>167.5</v>
      </c>
      <c r="D409" s="175">
        <v>44651.0</v>
      </c>
      <c r="E409" s="99">
        <v>109.0</v>
      </c>
      <c r="F409" s="99">
        <v>2022.03</v>
      </c>
      <c r="G409" s="99" t="s">
        <v>52</v>
      </c>
      <c r="H409" s="99" t="s">
        <v>1264</v>
      </c>
      <c r="I409" s="99" t="s">
        <v>1979</v>
      </c>
      <c r="J409" s="97"/>
      <c r="K409" s="177">
        <v>44621.0</v>
      </c>
      <c r="L409" s="46" t="b">
        <v>1</v>
      </c>
    </row>
    <row r="410" hidden="1">
      <c r="A410" s="4" t="s">
        <v>62</v>
      </c>
      <c r="B410" s="170" t="s">
        <v>1980</v>
      </c>
      <c r="C410" s="93">
        <f>150+150</f>
        <v>300</v>
      </c>
      <c r="D410" s="172">
        <v>44651.0</v>
      </c>
      <c r="E410" s="170">
        <v>109.0</v>
      </c>
      <c r="F410" s="170">
        <v>2022.03</v>
      </c>
      <c r="G410" s="170" t="s">
        <v>52</v>
      </c>
      <c r="H410" s="170" t="s">
        <v>1264</v>
      </c>
      <c r="I410" s="170" t="s">
        <v>1979</v>
      </c>
      <c r="J410" s="94"/>
      <c r="K410" s="173">
        <v>44621.0</v>
      </c>
      <c r="L410" s="45" t="b">
        <v>1</v>
      </c>
    </row>
    <row r="411" hidden="1">
      <c r="A411" s="16" t="s">
        <v>223</v>
      </c>
      <c r="B411" s="99" t="s">
        <v>1980</v>
      </c>
      <c r="C411" s="96">
        <f>100+75</f>
        <v>175</v>
      </c>
      <c r="D411" s="175">
        <v>44651.0</v>
      </c>
      <c r="E411" s="99">
        <v>109.0</v>
      </c>
      <c r="F411" s="99">
        <v>2022.03</v>
      </c>
      <c r="G411" s="99" t="s">
        <v>52</v>
      </c>
      <c r="H411" s="99" t="s">
        <v>1264</v>
      </c>
      <c r="I411" s="99" t="s">
        <v>1979</v>
      </c>
      <c r="J411" s="97"/>
      <c r="K411" s="177">
        <v>44621.0</v>
      </c>
      <c r="L411" s="46" t="b">
        <v>1</v>
      </c>
    </row>
    <row r="412" hidden="1">
      <c r="A412" s="4" t="s">
        <v>225</v>
      </c>
      <c r="B412" s="170" t="s">
        <v>1980</v>
      </c>
      <c r="C412" s="93">
        <f>1500+360</f>
        <v>1860</v>
      </c>
      <c r="D412" s="172">
        <v>44651.0</v>
      </c>
      <c r="E412" s="170">
        <v>109.0</v>
      </c>
      <c r="F412" s="170">
        <v>2022.03</v>
      </c>
      <c r="G412" s="170" t="s">
        <v>52</v>
      </c>
      <c r="H412" s="170" t="s">
        <v>1264</v>
      </c>
      <c r="I412" s="170" t="s">
        <v>1979</v>
      </c>
      <c r="J412" s="94"/>
      <c r="K412" s="173">
        <v>44621.0</v>
      </c>
      <c r="L412" s="45" t="b">
        <v>1</v>
      </c>
    </row>
    <row r="413" hidden="1">
      <c r="A413" s="16" t="s">
        <v>246</v>
      </c>
      <c r="B413" s="99" t="s">
        <v>1980</v>
      </c>
      <c r="C413" s="174">
        <v>45.0</v>
      </c>
      <c r="D413" s="175">
        <v>44651.0</v>
      </c>
      <c r="E413" s="99">
        <v>109.0</v>
      </c>
      <c r="F413" s="99">
        <v>2022.03</v>
      </c>
      <c r="G413" s="99" t="s">
        <v>52</v>
      </c>
      <c r="H413" s="99" t="s">
        <v>1264</v>
      </c>
      <c r="I413" s="99" t="s">
        <v>1979</v>
      </c>
      <c r="J413" s="97"/>
      <c r="K413" s="177">
        <v>44621.0</v>
      </c>
      <c r="L413" s="46" t="b">
        <v>1</v>
      </c>
    </row>
    <row r="414" hidden="1">
      <c r="A414" s="4" t="s">
        <v>296</v>
      </c>
      <c r="B414" s="170" t="s">
        <v>1980</v>
      </c>
      <c r="C414" s="171">
        <v>350.0</v>
      </c>
      <c r="D414" s="172">
        <v>44651.0</v>
      </c>
      <c r="E414" s="170">
        <v>109.0</v>
      </c>
      <c r="F414" s="170">
        <v>2022.03</v>
      </c>
      <c r="G414" s="170" t="s">
        <v>52</v>
      </c>
      <c r="H414" s="170" t="s">
        <v>1264</v>
      </c>
      <c r="I414" s="170" t="s">
        <v>1979</v>
      </c>
      <c r="J414" s="94"/>
      <c r="K414" s="173">
        <v>44621.0</v>
      </c>
      <c r="L414" s="45" t="b">
        <v>1</v>
      </c>
    </row>
    <row r="415" hidden="1">
      <c r="A415" s="16" t="s">
        <v>66</v>
      </c>
      <c r="B415" s="99" t="s">
        <v>1980</v>
      </c>
      <c r="C415" s="174">
        <v>60.0</v>
      </c>
      <c r="D415" s="175">
        <v>44651.0</v>
      </c>
      <c r="E415" s="99">
        <v>109.0</v>
      </c>
      <c r="F415" s="99">
        <v>2022.03</v>
      </c>
      <c r="G415" s="99" t="s">
        <v>52</v>
      </c>
      <c r="H415" s="99" t="s">
        <v>1264</v>
      </c>
      <c r="I415" s="99" t="s">
        <v>1979</v>
      </c>
      <c r="J415" s="97"/>
      <c r="K415" s="177">
        <v>44621.0</v>
      </c>
      <c r="L415" s="46" t="b">
        <v>1</v>
      </c>
    </row>
    <row r="416" hidden="1">
      <c r="A416" s="4" t="s">
        <v>311</v>
      </c>
      <c r="B416" s="170" t="s">
        <v>1980</v>
      </c>
      <c r="C416" s="93">
        <f>450+105</f>
        <v>555</v>
      </c>
      <c r="D416" s="172">
        <v>44651.0</v>
      </c>
      <c r="E416" s="170">
        <v>109.0</v>
      </c>
      <c r="F416" s="170">
        <v>2022.03</v>
      </c>
      <c r="G416" s="170" t="s">
        <v>52</v>
      </c>
      <c r="H416" s="170" t="s">
        <v>1264</v>
      </c>
      <c r="I416" s="170" t="s">
        <v>1979</v>
      </c>
      <c r="J416" s="94"/>
      <c r="K416" s="173">
        <v>44621.0</v>
      </c>
      <c r="L416" s="45" t="b">
        <v>1</v>
      </c>
    </row>
    <row r="417" hidden="1">
      <c r="A417" s="16" t="s">
        <v>279</v>
      </c>
      <c r="B417" s="99" t="s">
        <v>1980</v>
      </c>
      <c r="C417" s="96">
        <f>400+150</f>
        <v>550</v>
      </c>
      <c r="D417" s="175">
        <v>44651.0</v>
      </c>
      <c r="E417" s="99">
        <v>109.0</v>
      </c>
      <c r="F417" s="99">
        <v>2022.0</v>
      </c>
      <c r="G417" s="99" t="s">
        <v>1160</v>
      </c>
      <c r="H417" s="99" t="s">
        <v>1264</v>
      </c>
      <c r="I417" s="99" t="s">
        <v>1979</v>
      </c>
      <c r="J417" s="97"/>
      <c r="K417" s="177">
        <v>44621.0</v>
      </c>
      <c r="L417" s="46" t="b">
        <v>1</v>
      </c>
    </row>
    <row r="418" hidden="1">
      <c r="A418" s="4" t="s">
        <v>120</v>
      </c>
      <c r="B418" s="170" t="s">
        <v>1985</v>
      </c>
      <c r="C418" s="171">
        <v>575.0</v>
      </c>
      <c r="D418" s="172">
        <v>44651.0</v>
      </c>
      <c r="E418" s="170">
        <v>20.0</v>
      </c>
      <c r="F418" s="170">
        <v>2022.03</v>
      </c>
      <c r="G418" s="170" t="s">
        <v>52</v>
      </c>
      <c r="H418" s="170" t="s">
        <v>1264</v>
      </c>
      <c r="I418" s="170" t="s">
        <v>1979</v>
      </c>
      <c r="J418" s="94"/>
      <c r="K418" s="173">
        <v>44621.0</v>
      </c>
      <c r="L418" s="45" t="b">
        <v>1</v>
      </c>
    </row>
    <row r="419" hidden="1">
      <c r="A419" s="16" t="s">
        <v>58</v>
      </c>
      <c r="B419" s="99" t="s">
        <v>1985</v>
      </c>
      <c r="C419" s="174">
        <v>300.0</v>
      </c>
      <c r="D419" s="175">
        <v>44651.0</v>
      </c>
      <c r="E419" s="99">
        <v>20.0</v>
      </c>
      <c r="F419" s="99">
        <v>2022.03</v>
      </c>
      <c r="G419" s="99" t="s">
        <v>52</v>
      </c>
      <c r="H419" s="99" t="s">
        <v>1264</v>
      </c>
      <c r="I419" s="99" t="s">
        <v>1979</v>
      </c>
      <c r="J419" s="97"/>
      <c r="K419" s="177">
        <v>44621.0</v>
      </c>
      <c r="L419" s="46" t="b">
        <v>1</v>
      </c>
    </row>
    <row r="420" hidden="1">
      <c r="A420" s="4" t="s">
        <v>54</v>
      </c>
      <c r="B420" s="170" t="s">
        <v>1985</v>
      </c>
      <c r="C420" s="171">
        <v>162.5</v>
      </c>
      <c r="D420" s="172">
        <v>44651.0</v>
      </c>
      <c r="E420" s="170">
        <v>20.0</v>
      </c>
      <c r="F420" s="170">
        <v>2022.03</v>
      </c>
      <c r="G420" s="170" t="s">
        <v>52</v>
      </c>
      <c r="H420" s="170" t="s">
        <v>1264</v>
      </c>
      <c r="I420" s="170" t="s">
        <v>1979</v>
      </c>
      <c r="J420" s="94"/>
      <c r="K420" s="173">
        <v>44621.0</v>
      </c>
      <c r="L420" s="45" t="b">
        <v>1</v>
      </c>
    </row>
    <row r="421" hidden="1">
      <c r="A421" s="16" t="s">
        <v>75</v>
      </c>
      <c r="B421" s="99" t="s">
        <v>1985</v>
      </c>
      <c r="C421" s="174">
        <v>225.0</v>
      </c>
      <c r="D421" s="175">
        <v>44651.0</v>
      </c>
      <c r="E421" s="99">
        <v>20.0</v>
      </c>
      <c r="F421" s="99">
        <v>2022.03</v>
      </c>
      <c r="G421" s="99" t="s">
        <v>52</v>
      </c>
      <c r="H421" s="99" t="s">
        <v>1264</v>
      </c>
      <c r="I421" s="99" t="s">
        <v>1979</v>
      </c>
      <c r="J421" s="97"/>
      <c r="K421" s="177">
        <v>44621.0</v>
      </c>
      <c r="L421" s="46" t="b">
        <v>1</v>
      </c>
    </row>
    <row r="422" hidden="1">
      <c r="A422" s="4" t="s">
        <v>156</v>
      </c>
      <c r="B422" s="170" t="s">
        <v>1985</v>
      </c>
      <c r="C422" s="171">
        <v>225.0</v>
      </c>
      <c r="D422" s="172">
        <v>44651.0</v>
      </c>
      <c r="E422" s="170">
        <v>20.0</v>
      </c>
      <c r="F422" s="170">
        <v>2022.03</v>
      </c>
      <c r="G422" s="170" t="s">
        <v>52</v>
      </c>
      <c r="H422" s="170" t="s">
        <v>1264</v>
      </c>
      <c r="I422" s="170" t="s">
        <v>1979</v>
      </c>
      <c r="J422" s="94"/>
      <c r="K422" s="173">
        <v>44621.0</v>
      </c>
      <c r="L422" s="45" t="b">
        <v>1</v>
      </c>
    </row>
    <row r="423" hidden="1">
      <c r="A423" s="16" t="s">
        <v>81</v>
      </c>
      <c r="B423" s="99" t="s">
        <v>1985</v>
      </c>
      <c r="C423" s="174">
        <v>287.5</v>
      </c>
      <c r="D423" s="175">
        <v>44651.0</v>
      </c>
      <c r="E423" s="99">
        <v>20.0</v>
      </c>
      <c r="F423" s="99">
        <v>2022.03</v>
      </c>
      <c r="G423" s="99" t="s">
        <v>52</v>
      </c>
      <c r="H423" s="99" t="s">
        <v>1264</v>
      </c>
      <c r="I423" s="99" t="s">
        <v>1979</v>
      </c>
      <c r="J423" s="97"/>
      <c r="K423" s="177">
        <v>44621.0</v>
      </c>
      <c r="L423" s="46" t="b">
        <v>1</v>
      </c>
    </row>
    <row r="424" hidden="1">
      <c r="A424" s="4" t="s">
        <v>313</v>
      </c>
      <c r="B424" s="170" t="s">
        <v>1985</v>
      </c>
      <c r="C424" s="171">
        <v>2187.5</v>
      </c>
      <c r="D424" s="172">
        <v>44651.0</v>
      </c>
      <c r="E424" s="170">
        <v>20.0</v>
      </c>
      <c r="F424" s="170">
        <v>2022.0</v>
      </c>
      <c r="G424" s="170" t="s">
        <v>1160</v>
      </c>
      <c r="H424" s="170" t="s">
        <v>1264</v>
      </c>
      <c r="I424" s="170" t="s">
        <v>1979</v>
      </c>
      <c r="J424" s="94"/>
      <c r="K424" s="173">
        <v>44621.0</v>
      </c>
      <c r="L424" s="45" t="b">
        <v>1</v>
      </c>
    </row>
    <row r="425" hidden="1">
      <c r="A425" s="16" t="s">
        <v>296</v>
      </c>
      <c r="B425" s="99" t="s">
        <v>1985</v>
      </c>
      <c r="C425" s="174">
        <v>300.0</v>
      </c>
      <c r="D425" s="175">
        <v>44651.0</v>
      </c>
      <c r="E425" s="99">
        <v>20.0</v>
      </c>
      <c r="F425" s="99">
        <v>2022.03</v>
      </c>
      <c r="G425" s="99" t="s">
        <v>52</v>
      </c>
      <c r="H425" s="99" t="s">
        <v>1264</v>
      </c>
      <c r="I425" s="99" t="s">
        <v>1979</v>
      </c>
      <c r="J425" s="97"/>
      <c r="K425" s="177">
        <v>44621.0</v>
      </c>
      <c r="L425" s="46" t="b">
        <v>1</v>
      </c>
    </row>
    <row r="426" hidden="1">
      <c r="A426" s="4" t="s">
        <v>299</v>
      </c>
      <c r="B426" s="170" t="s">
        <v>1985</v>
      </c>
      <c r="C426" s="171">
        <v>337.5</v>
      </c>
      <c r="D426" s="172">
        <v>44651.0</v>
      </c>
      <c r="E426" s="170">
        <v>20.0</v>
      </c>
      <c r="F426" s="170">
        <v>2022.03</v>
      </c>
      <c r="G426" s="170" t="s">
        <v>52</v>
      </c>
      <c r="H426" s="170" t="s">
        <v>1264</v>
      </c>
      <c r="I426" s="170" t="s">
        <v>1979</v>
      </c>
      <c r="J426" s="94"/>
      <c r="K426" s="173">
        <v>44621.0</v>
      </c>
      <c r="L426" s="45" t="b">
        <v>1</v>
      </c>
    </row>
    <row r="427" hidden="1">
      <c r="A427" s="16" t="s">
        <v>42</v>
      </c>
      <c r="B427" s="99" t="s">
        <v>1985</v>
      </c>
      <c r="C427" s="174">
        <v>200.0</v>
      </c>
      <c r="D427" s="175">
        <v>44651.0</v>
      </c>
      <c r="E427" s="99">
        <v>20.0</v>
      </c>
      <c r="F427" s="99">
        <v>2022.03</v>
      </c>
      <c r="G427" s="99" t="s">
        <v>52</v>
      </c>
      <c r="H427" s="99" t="s">
        <v>1264</v>
      </c>
      <c r="I427" s="99" t="s">
        <v>1979</v>
      </c>
      <c r="J427" s="97"/>
      <c r="K427" s="177">
        <v>44621.0</v>
      </c>
      <c r="L427" s="46" t="b">
        <v>1</v>
      </c>
    </row>
    <row r="428" hidden="1">
      <c r="A428" s="4" t="s">
        <v>99</v>
      </c>
      <c r="B428" s="170" t="s">
        <v>1985</v>
      </c>
      <c r="C428" s="171">
        <v>315.0</v>
      </c>
      <c r="D428" s="172">
        <v>44651.0</v>
      </c>
      <c r="E428" s="170">
        <v>20.0</v>
      </c>
      <c r="F428" s="170">
        <v>2022.03</v>
      </c>
      <c r="G428" s="170" t="s">
        <v>52</v>
      </c>
      <c r="H428" s="170" t="s">
        <v>1264</v>
      </c>
      <c r="I428" s="170" t="s">
        <v>1979</v>
      </c>
      <c r="J428" s="94"/>
      <c r="K428" s="173">
        <v>44621.0</v>
      </c>
      <c r="L428" s="45" t="b">
        <v>1</v>
      </c>
    </row>
    <row r="429" hidden="1">
      <c r="A429" s="16" t="s">
        <v>1266</v>
      </c>
      <c r="B429" s="99" t="s">
        <v>1985</v>
      </c>
      <c r="C429" s="174">
        <v>135.0</v>
      </c>
      <c r="D429" s="175">
        <v>44651.0</v>
      </c>
      <c r="E429" s="99">
        <v>20.0</v>
      </c>
      <c r="F429" s="99">
        <v>2022.0</v>
      </c>
      <c r="G429" s="99" t="s">
        <v>1152</v>
      </c>
      <c r="H429" s="99" t="s">
        <v>1264</v>
      </c>
      <c r="I429" s="99" t="s">
        <v>1267</v>
      </c>
      <c r="J429" s="99" t="s">
        <v>2040</v>
      </c>
      <c r="K429" s="177">
        <v>44621.0</v>
      </c>
      <c r="L429" s="46" t="b">
        <v>1</v>
      </c>
    </row>
    <row r="430" hidden="1">
      <c r="A430" s="4" t="s">
        <v>1269</v>
      </c>
      <c r="B430" s="170" t="s">
        <v>1983</v>
      </c>
      <c r="C430" s="171">
        <v>12.5</v>
      </c>
      <c r="D430" s="172">
        <v>44651.0</v>
      </c>
      <c r="E430" s="170">
        <v>60.0</v>
      </c>
      <c r="F430" s="170">
        <v>2022.0</v>
      </c>
      <c r="G430" s="170" t="s">
        <v>1152</v>
      </c>
      <c r="H430" s="170" t="s">
        <v>1264</v>
      </c>
      <c r="I430" s="170" t="s">
        <v>1270</v>
      </c>
      <c r="J430" s="170" t="s">
        <v>2009</v>
      </c>
      <c r="K430" s="173">
        <v>44621.0</v>
      </c>
      <c r="L430" s="45" t="b">
        <v>1</v>
      </c>
    </row>
    <row r="431" hidden="1">
      <c r="A431" s="16" t="s">
        <v>177</v>
      </c>
      <c r="B431" s="99" t="s">
        <v>1983</v>
      </c>
      <c r="C431" s="174">
        <v>112.5</v>
      </c>
      <c r="D431" s="175">
        <v>44651.0</v>
      </c>
      <c r="E431" s="99">
        <v>60.0</v>
      </c>
      <c r="F431" s="99">
        <v>2022.0</v>
      </c>
      <c r="G431" s="99" t="s">
        <v>1160</v>
      </c>
      <c r="H431" s="99" t="s">
        <v>1264</v>
      </c>
      <c r="I431" s="99" t="s">
        <v>1979</v>
      </c>
      <c r="J431" s="97"/>
      <c r="K431" s="177">
        <v>44621.0</v>
      </c>
      <c r="L431" s="46" t="b">
        <v>1</v>
      </c>
    </row>
    <row r="432" hidden="1">
      <c r="A432" s="4" t="s">
        <v>299</v>
      </c>
      <c r="B432" s="170" t="s">
        <v>1983</v>
      </c>
      <c r="C432" s="171">
        <v>275.0</v>
      </c>
      <c r="D432" s="172">
        <v>44651.0</v>
      </c>
      <c r="E432" s="170">
        <v>60.0</v>
      </c>
      <c r="F432" s="170">
        <v>2022.03</v>
      </c>
      <c r="G432" s="170" t="s">
        <v>52</v>
      </c>
      <c r="H432" s="170" t="s">
        <v>1264</v>
      </c>
      <c r="I432" s="170" t="s">
        <v>1979</v>
      </c>
      <c r="J432" s="94"/>
      <c r="K432" s="173">
        <v>44621.0</v>
      </c>
      <c r="L432" s="45" t="b">
        <v>1</v>
      </c>
    </row>
    <row r="433" hidden="1">
      <c r="A433" s="16" t="s">
        <v>81</v>
      </c>
      <c r="B433" s="99" t="s">
        <v>1983</v>
      </c>
      <c r="C433" s="174">
        <v>250.0</v>
      </c>
      <c r="D433" s="175">
        <v>44651.0</v>
      </c>
      <c r="E433" s="99">
        <v>60.0</v>
      </c>
      <c r="F433" s="99">
        <v>2022.03</v>
      </c>
      <c r="G433" s="99" t="s">
        <v>52</v>
      </c>
      <c r="H433" s="99" t="s">
        <v>1264</v>
      </c>
      <c r="I433" s="99" t="s">
        <v>1979</v>
      </c>
      <c r="J433" s="97"/>
      <c r="K433" s="177">
        <v>44621.0</v>
      </c>
      <c r="L433" s="46" t="b">
        <v>1</v>
      </c>
    </row>
    <row r="434" hidden="1">
      <c r="A434" s="4" t="s">
        <v>289</v>
      </c>
      <c r="B434" s="170" t="s">
        <v>1983</v>
      </c>
      <c r="C434" s="171">
        <v>25.0</v>
      </c>
      <c r="D434" s="172">
        <v>44651.0</v>
      </c>
      <c r="E434" s="170">
        <v>60.0</v>
      </c>
      <c r="F434" s="170">
        <v>2022.0</v>
      </c>
      <c r="G434" s="170" t="s">
        <v>1160</v>
      </c>
      <c r="H434" s="170" t="s">
        <v>1264</v>
      </c>
      <c r="I434" s="170" t="s">
        <v>1979</v>
      </c>
      <c r="J434" s="94"/>
      <c r="K434" s="173">
        <v>44621.0</v>
      </c>
      <c r="L434" s="45" t="b">
        <v>1</v>
      </c>
    </row>
    <row r="435" hidden="1">
      <c r="A435" s="16" t="s">
        <v>54</v>
      </c>
      <c r="B435" s="99" t="s">
        <v>2002</v>
      </c>
      <c r="C435" s="174">
        <v>56.96</v>
      </c>
      <c r="D435" s="175">
        <v>44651.0</v>
      </c>
      <c r="E435" s="97"/>
      <c r="F435" s="99">
        <v>2022.03</v>
      </c>
      <c r="G435" s="99" t="s">
        <v>52</v>
      </c>
      <c r="H435" s="99" t="s">
        <v>1999</v>
      </c>
      <c r="I435" s="99" t="s">
        <v>1979</v>
      </c>
      <c r="J435" s="97"/>
      <c r="K435" s="177">
        <v>44621.0</v>
      </c>
      <c r="L435" s="46" t="b">
        <v>1</v>
      </c>
    </row>
    <row r="436" hidden="1">
      <c r="A436" s="4" t="s">
        <v>350</v>
      </c>
      <c r="B436" s="170" t="s">
        <v>2002</v>
      </c>
      <c r="C436" s="171">
        <v>735.79</v>
      </c>
      <c r="D436" s="172">
        <v>44651.0</v>
      </c>
      <c r="E436" s="94"/>
      <c r="F436" s="170">
        <v>2022.0</v>
      </c>
      <c r="G436" s="170" t="s">
        <v>1160</v>
      </c>
      <c r="H436" s="170" t="s">
        <v>1999</v>
      </c>
      <c r="I436" s="170" t="s">
        <v>1979</v>
      </c>
      <c r="J436" s="94"/>
      <c r="K436" s="173">
        <v>44621.0</v>
      </c>
      <c r="L436" s="45" t="b">
        <v>1</v>
      </c>
    </row>
    <row r="437" hidden="1">
      <c r="A437" s="16" t="s">
        <v>120</v>
      </c>
      <c r="B437" s="99" t="s">
        <v>2002</v>
      </c>
      <c r="C437" s="174">
        <v>20.36</v>
      </c>
      <c r="D437" s="175">
        <v>44651.0</v>
      </c>
      <c r="E437" s="97"/>
      <c r="F437" s="99">
        <v>2022.03</v>
      </c>
      <c r="G437" s="99" t="s">
        <v>52</v>
      </c>
      <c r="H437" s="99" t="s">
        <v>1999</v>
      </c>
      <c r="I437" s="99" t="s">
        <v>1979</v>
      </c>
      <c r="J437" s="97"/>
      <c r="K437" s="177">
        <v>44621.0</v>
      </c>
      <c r="L437" s="46" t="b">
        <v>1</v>
      </c>
    </row>
    <row r="438" hidden="1">
      <c r="A438" s="4" t="s">
        <v>302</v>
      </c>
      <c r="B438" s="170" t="s">
        <v>2002</v>
      </c>
      <c r="C438" s="171">
        <v>127.83</v>
      </c>
      <c r="D438" s="172">
        <v>44651.0</v>
      </c>
      <c r="E438" s="94"/>
      <c r="F438" s="170">
        <v>2022.0</v>
      </c>
      <c r="G438" s="170" t="s">
        <v>1160</v>
      </c>
      <c r="H438" s="170" t="s">
        <v>1999</v>
      </c>
      <c r="I438" s="170" t="s">
        <v>1979</v>
      </c>
      <c r="J438" s="94"/>
      <c r="K438" s="173">
        <v>44621.0</v>
      </c>
      <c r="L438" s="45" t="b">
        <v>1</v>
      </c>
    </row>
    <row r="439" hidden="1">
      <c r="A439" s="16" t="s">
        <v>356</v>
      </c>
      <c r="B439" s="99" t="s">
        <v>2002</v>
      </c>
      <c r="C439" s="174">
        <v>107.62</v>
      </c>
      <c r="D439" s="175">
        <v>44651.0</v>
      </c>
      <c r="E439" s="97"/>
      <c r="F439" s="99">
        <v>2022.0</v>
      </c>
      <c r="G439" s="99" t="s">
        <v>1160</v>
      </c>
      <c r="H439" s="99" t="s">
        <v>1999</v>
      </c>
      <c r="I439" s="99" t="s">
        <v>1979</v>
      </c>
      <c r="J439" s="97"/>
      <c r="K439" s="177">
        <v>44621.0</v>
      </c>
      <c r="L439" s="46" t="b">
        <v>1</v>
      </c>
    </row>
    <row r="440" hidden="1">
      <c r="A440" s="4" t="s">
        <v>42</v>
      </c>
      <c r="B440" s="170" t="s">
        <v>2002</v>
      </c>
      <c r="C440" s="171">
        <v>21.13</v>
      </c>
      <c r="D440" s="172">
        <v>44651.0</v>
      </c>
      <c r="E440" s="94"/>
      <c r="F440" s="170">
        <v>2022.03</v>
      </c>
      <c r="G440" s="170" t="s">
        <v>52</v>
      </c>
      <c r="H440" s="170" t="s">
        <v>1999</v>
      </c>
      <c r="I440" s="170" t="s">
        <v>1979</v>
      </c>
      <c r="J440" s="94"/>
      <c r="K440" s="173">
        <v>44621.0</v>
      </c>
      <c r="L440" s="45" t="b">
        <v>1</v>
      </c>
    </row>
    <row r="441" hidden="1">
      <c r="A441" s="16" t="s">
        <v>82</v>
      </c>
      <c r="B441" s="99" t="s">
        <v>2002</v>
      </c>
      <c r="C441" s="174">
        <v>27.61</v>
      </c>
      <c r="D441" s="175">
        <v>44651.0</v>
      </c>
      <c r="E441" s="97"/>
      <c r="F441" s="99">
        <v>2022.03</v>
      </c>
      <c r="G441" s="99" t="s">
        <v>52</v>
      </c>
      <c r="H441" s="99" t="s">
        <v>1999</v>
      </c>
      <c r="I441" s="99" t="s">
        <v>1979</v>
      </c>
      <c r="J441" s="97"/>
      <c r="K441" s="177">
        <v>44621.0</v>
      </c>
      <c r="L441" s="46" t="b">
        <v>1</v>
      </c>
    </row>
    <row r="442" hidden="1">
      <c r="A442" s="4" t="s">
        <v>354</v>
      </c>
      <c r="B442" s="170" t="s">
        <v>2002</v>
      </c>
      <c r="C442" s="171">
        <v>385.99</v>
      </c>
      <c r="D442" s="172">
        <v>44651.0</v>
      </c>
      <c r="E442" s="94"/>
      <c r="F442" s="170">
        <v>2022.03</v>
      </c>
      <c r="G442" s="170" t="s">
        <v>52</v>
      </c>
      <c r="H442" s="170" t="s">
        <v>1999</v>
      </c>
      <c r="I442" s="170" t="s">
        <v>1979</v>
      </c>
      <c r="J442" s="94"/>
      <c r="K442" s="173">
        <v>44621.0</v>
      </c>
      <c r="L442" s="45" t="b">
        <v>1</v>
      </c>
    </row>
    <row r="443" hidden="1">
      <c r="A443" s="16" t="s">
        <v>259</v>
      </c>
      <c r="B443" s="99" t="s">
        <v>2002</v>
      </c>
      <c r="C443" s="174">
        <v>38.97</v>
      </c>
      <c r="D443" s="175">
        <v>44651.0</v>
      </c>
      <c r="E443" s="97"/>
      <c r="F443" s="99">
        <v>2022.0</v>
      </c>
      <c r="G443" s="99" t="s">
        <v>1160</v>
      </c>
      <c r="H443" s="99" t="s">
        <v>1999</v>
      </c>
      <c r="I443" s="99" t="s">
        <v>1979</v>
      </c>
      <c r="J443" s="97"/>
      <c r="K443" s="177">
        <v>44621.0</v>
      </c>
      <c r="L443" s="46" t="b">
        <v>1</v>
      </c>
    </row>
    <row r="444" hidden="1">
      <c r="A444" s="4" t="s">
        <v>1266</v>
      </c>
      <c r="B444" s="170" t="s">
        <v>2002</v>
      </c>
      <c r="C444" s="171">
        <v>285.35</v>
      </c>
      <c r="D444" s="172">
        <v>44651.0</v>
      </c>
      <c r="E444" s="94"/>
      <c r="F444" s="170">
        <v>2022.0</v>
      </c>
      <c r="G444" s="170" t="s">
        <v>1152</v>
      </c>
      <c r="H444" s="170" t="s">
        <v>1999</v>
      </c>
      <c r="I444" s="170" t="s">
        <v>1979</v>
      </c>
      <c r="J444" s="94"/>
      <c r="K444" s="173">
        <v>44621.0</v>
      </c>
      <c r="L444" s="45" t="b">
        <v>1</v>
      </c>
    </row>
    <row r="445" hidden="1">
      <c r="A445" s="16" t="s">
        <v>50</v>
      </c>
      <c r="B445" s="99" t="s">
        <v>2002</v>
      </c>
      <c r="C445" s="174">
        <v>2.03</v>
      </c>
      <c r="D445" s="175">
        <v>44651.0</v>
      </c>
      <c r="E445" s="97"/>
      <c r="F445" s="99">
        <v>2022.03</v>
      </c>
      <c r="G445" s="99" t="s">
        <v>52</v>
      </c>
      <c r="H445" s="99" t="s">
        <v>1999</v>
      </c>
      <c r="I445" s="99" t="s">
        <v>1979</v>
      </c>
      <c r="J445" s="97"/>
      <c r="K445" s="177">
        <v>44621.0</v>
      </c>
      <c r="L445" s="46" t="b">
        <v>1</v>
      </c>
    </row>
    <row r="446" hidden="1">
      <c r="A446" s="4" t="s">
        <v>90</v>
      </c>
      <c r="B446" s="170" t="s">
        <v>2002</v>
      </c>
      <c r="C446" s="171">
        <v>4.96</v>
      </c>
      <c r="D446" s="172">
        <v>44651.0</v>
      </c>
      <c r="E446" s="94"/>
      <c r="F446" s="170">
        <v>2022.03</v>
      </c>
      <c r="G446" s="170" t="s">
        <v>52</v>
      </c>
      <c r="H446" s="170" t="s">
        <v>1999</v>
      </c>
      <c r="I446" s="170" t="s">
        <v>1979</v>
      </c>
      <c r="J446" s="94"/>
      <c r="K446" s="173">
        <v>44621.0</v>
      </c>
      <c r="L446" s="45" t="b">
        <v>1</v>
      </c>
    </row>
    <row r="447" hidden="1">
      <c r="A447" s="16" t="s">
        <v>92</v>
      </c>
      <c r="B447" s="99" t="s">
        <v>2002</v>
      </c>
      <c r="C447" s="174">
        <v>34.38</v>
      </c>
      <c r="D447" s="175">
        <v>44651.0</v>
      </c>
      <c r="E447" s="97"/>
      <c r="F447" s="99">
        <v>2022.03</v>
      </c>
      <c r="G447" s="99" t="s">
        <v>52</v>
      </c>
      <c r="H447" s="99" t="s">
        <v>1999</v>
      </c>
      <c r="I447" s="99" t="s">
        <v>1979</v>
      </c>
      <c r="J447" s="97"/>
      <c r="K447" s="177">
        <v>44621.0</v>
      </c>
      <c r="L447" s="46" t="b">
        <v>1</v>
      </c>
    </row>
    <row r="448" hidden="1">
      <c r="A448" s="4" t="s">
        <v>313</v>
      </c>
      <c r="B448" s="170" t="s">
        <v>2002</v>
      </c>
      <c r="C448" s="171">
        <v>106.07</v>
      </c>
      <c r="D448" s="172">
        <v>44651.0</v>
      </c>
      <c r="E448" s="94"/>
      <c r="F448" s="170">
        <v>2022.0</v>
      </c>
      <c r="G448" s="170" t="s">
        <v>1160</v>
      </c>
      <c r="H448" s="170" t="s">
        <v>1999</v>
      </c>
      <c r="I448" s="170" t="s">
        <v>1979</v>
      </c>
      <c r="J448" s="94"/>
      <c r="K448" s="173">
        <v>44621.0</v>
      </c>
      <c r="L448" s="45" t="b">
        <v>1</v>
      </c>
    </row>
    <row r="449" hidden="1">
      <c r="A449" s="16" t="s">
        <v>231</v>
      </c>
      <c r="B449" s="99" t="s">
        <v>2002</v>
      </c>
      <c r="C449" s="174">
        <v>5.58</v>
      </c>
      <c r="D449" s="175">
        <v>44651.0</v>
      </c>
      <c r="E449" s="97"/>
      <c r="F449" s="99">
        <v>2022.0</v>
      </c>
      <c r="G449" s="99" t="s">
        <v>1152</v>
      </c>
      <c r="H449" s="99" t="s">
        <v>1999</v>
      </c>
      <c r="I449" s="99" t="s">
        <v>1979</v>
      </c>
      <c r="J449" s="97"/>
      <c r="K449" s="177">
        <v>44621.0</v>
      </c>
      <c r="L449" s="46" t="b">
        <v>1</v>
      </c>
    </row>
    <row r="450" hidden="1">
      <c r="A450" s="4" t="s">
        <v>123</v>
      </c>
      <c r="B450" s="170" t="s">
        <v>2002</v>
      </c>
      <c r="C450" s="171">
        <v>194.81</v>
      </c>
      <c r="D450" s="172">
        <v>44651.0</v>
      </c>
      <c r="E450" s="94"/>
      <c r="F450" s="170">
        <v>2022.03</v>
      </c>
      <c r="G450" s="170" t="s">
        <v>52</v>
      </c>
      <c r="H450" s="170" t="s">
        <v>1999</v>
      </c>
      <c r="I450" s="170" t="s">
        <v>1979</v>
      </c>
      <c r="J450" s="94"/>
      <c r="K450" s="173">
        <v>44621.0</v>
      </c>
      <c r="L450" s="45" t="b">
        <v>1</v>
      </c>
    </row>
    <row r="451" hidden="1">
      <c r="A451" s="16" t="s">
        <v>390</v>
      </c>
      <c r="B451" s="99" t="s">
        <v>2002</v>
      </c>
      <c r="C451" s="174">
        <v>66.77</v>
      </c>
      <c r="D451" s="175">
        <v>44651.0</v>
      </c>
      <c r="E451" s="97"/>
      <c r="F451" s="99">
        <v>2022.0</v>
      </c>
      <c r="G451" s="99" t="s">
        <v>1160</v>
      </c>
      <c r="H451" s="99" t="s">
        <v>1999</v>
      </c>
      <c r="I451" s="99" t="s">
        <v>1979</v>
      </c>
      <c r="J451" s="97"/>
      <c r="K451" s="177">
        <v>44621.0</v>
      </c>
      <c r="L451" s="46" t="b">
        <v>1</v>
      </c>
    </row>
    <row r="452" hidden="1">
      <c r="A452" s="4" t="s">
        <v>118</v>
      </c>
      <c r="B452" s="170" t="s">
        <v>2002</v>
      </c>
      <c r="C452" s="171">
        <v>111.99</v>
      </c>
      <c r="D452" s="172">
        <v>44651.0</v>
      </c>
      <c r="E452" s="94"/>
      <c r="F452" s="170">
        <v>2022.03</v>
      </c>
      <c r="G452" s="170" t="s">
        <v>52</v>
      </c>
      <c r="H452" s="170" t="s">
        <v>1999</v>
      </c>
      <c r="I452" s="170" t="s">
        <v>1979</v>
      </c>
      <c r="J452" s="94"/>
      <c r="K452" s="173">
        <v>44621.0</v>
      </c>
      <c r="L452" s="45" t="b">
        <v>1</v>
      </c>
    </row>
    <row r="453" hidden="1">
      <c r="A453" s="16" t="s">
        <v>296</v>
      </c>
      <c r="B453" s="99" t="s">
        <v>2002</v>
      </c>
      <c r="C453" s="174">
        <v>76.05</v>
      </c>
      <c r="D453" s="175">
        <v>44651.0</v>
      </c>
      <c r="E453" s="97"/>
      <c r="F453" s="99">
        <v>2022.03</v>
      </c>
      <c r="G453" s="99" t="s">
        <v>52</v>
      </c>
      <c r="H453" s="99" t="s">
        <v>1999</v>
      </c>
      <c r="I453" s="99" t="s">
        <v>1979</v>
      </c>
      <c r="J453" s="97"/>
      <c r="K453" s="177">
        <v>44621.0</v>
      </c>
      <c r="L453" s="46" t="b">
        <v>1</v>
      </c>
    </row>
    <row r="454" hidden="1">
      <c r="A454" s="4" t="s">
        <v>373</v>
      </c>
      <c r="B454" s="170" t="s">
        <v>2002</v>
      </c>
      <c r="C454" s="171">
        <v>145.57</v>
      </c>
      <c r="D454" s="172">
        <v>44651.0</v>
      </c>
      <c r="E454" s="94"/>
      <c r="F454" s="170">
        <v>2022.0</v>
      </c>
      <c r="G454" s="170" t="s">
        <v>1160</v>
      </c>
      <c r="H454" s="170" t="s">
        <v>1999</v>
      </c>
      <c r="I454" s="170" t="s">
        <v>1979</v>
      </c>
      <c r="J454" s="94"/>
      <c r="K454" s="173">
        <v>44621.0</v>
      </c>
      <c r="L454" s="45" t="b">
        <v>1</v>
      </c>
    </row>
    <row r="455" hidden="1">
      <c r="A455" s="16" t="s">
        <v>311</v>
      </c>
      <c r="B455" s="99" t="s">
        <v>2002</v>
      </c>
      <c r="C455" s="174">
        <v>111.18</v>
      </c>
      <c r="D455" s="175">
        <v>44651.0</v>
      </c>
      <c r="E455" s="97"/>
      <c r="F455" s="99">
        <v>2022.03</v>
      </c>
      <c r="G455" s="99" t="s">
        <v>52</v>
      </c>
      <c r="H455" s="99" t="s">
        <v>1999</v>
      </c>
      <c r="I455" s="99" t="s">
        <v>1979</v>
      </c>
      <c r="J455" s="97"/>
      <c r="K455" s="177">
        <v>44621.0</v>
      </c>
      <c r="L455" s="46" t="b">
        <v>1</v>
      </c>
    </row>
    <row r="456" hidden="1">
      <c r="A456" s="4" t="s">
        <v>279</v>
      </c>
      <c r="B456" s="170" t="s">
        <v>1976</v>
      </c>
      <c r="C456" s="171">
        <v>75.0</v>
      </c>
      <c r="D456" s="172">
        <v>44632.0</v>
      </c>
      <c r="E456" s="94"/>
      <c r="F456" s="170">
        <v>2022.0</v>
      </c>
      <c r="G456" s="170" t="s">
        <v>1160</v>
      </c>
      <c r="H456" s="170" t="s">
        <v>1999</v>
      </c>
      <c r="I456" s="170" t="s">
        <v>1977</v>
      </c>
      <c r="J456" s="94"/>
      <c r="K456" s="173">
        <v>44621.0</v>
      </c>
      <c r="L456" s="45" t="b">
        <v>1</v>
      </c>
    </row>
    <row r="457" hidden="1">
      <c r="A457" s="16" t="s">
        <v>118</v>
      </c>
      <c r="B457" s="99" t="s">
        <v>1976</v>
      </c>
      <c r="C457" s="174">
        <v>750.0</v>
      </c>
      <c r="D457" s="175">
        <v>44638.0</v>
      </c>
      <c r="E457" s="97"/>
      <c r="F457" s="99">
        <v>2022.03</v>
      </c>
      <c r="G457" s="99" t="s">
        <v>52</v>
      </c>
      <c r="H457" s="99" t="s">
        <v>1999</v>
      </c>
      <c r="I457" s="99" t="s">
        <v>1977</v>
      </c>
      <c r="J457" s="97"/>
      <c r="K457" s="177">
        <v>44621.0</v>
      </c>
      <c r="L457" s="46" t="b">
        <v>1</v>
      </c>
    </row>
    <row r="458" hidden="1">
      <c r="A458" s="4" t="s">
        <v>92</v>
      </c>
      <c r="B458" s="170" t="s">
        <v>1988</v>
      </c>
      <c r="C458" s="171">
        <v>10.0</v>
      </c>
      <c r="D458" s="172">
        <v>44636.0</v>
      </c>
      <c r="E458" s="94"/>
      <c r="F458" s="170">
        <v>2022.03</v>
      </c>
      <c r="G458" s="170" t="s">
        <v>52</v>
      </c>
      <c r="H458" s="170" t="s">
        <v>1999</v>
      </c>
      <c r="I458" s="170" t="s">
        <v>1977</v>
      </c>
      <c r="J458" s="94"/>
      <c r="K458" s="173">
        <v>44621.0</v>
      </c>
      <c r="L458" s="45" t="b">
        <v>1</v>
      </c>
    </row>
    <row r="459" hidden="1">
      <c r="A459" s="16" t="s">
        <v>115</v>
      </c>
      <c r="B459" s="99" t="s">
        <v>1976</v>
      </c>
      <c r="C459" s="174">
        <v>750.0</v>
      </c>
      <c r="D459" s="175">
        <v>44641.0</v>
      </c>
      <c r="E459" s="97"/>
      <c r="F459" s="99">
        <v>2022.03</v>
      </c>
      <c r="G459" s="99" t="s">
        <v>52</v>
      </c>
      <c r="H459" s="99" t="s">
        <v>1999</v>
      </c>
      <c r="I459" s="99" t="s">
        <v>1977</v>
      </c>
      <c r="J459" s="97"/>
      <c r="K459" s="177">
        <v>44621.0</v>
      </c>
      <c r="L459" s="46" t="b">
        <v>1</v>
      </c>
    </row>
    <row r="460" hidden="1">
      <c r="A460" s="4" t="s">
        <v>279</v>
      </c>
      <c r="B460" s="170" t="s">
        <v>1976</v>
      </c>
      <c r="C460" s="171">
        <v>250.0</v>
      </c>
      <c r="D460" s="172">
        <v>44641.0</v>
      </c>
      <c r="E460" s="94"/>
      <c r="F460" s="170">
        <v>2022.0</v>
      </c>
      <c r="G460" s="170" t="s">
        <v>1160</v>
      </c>
      <c r="H460" s="170" t="s">
        <v>1999</v>
      </c>
      <c r="I460" s="170" t="s">
        <v>1977</v>
      </c>
      <c r="J460" s="94"/>
      <c r="K460" s="173">
        <v>44621.0</v>
      </c>
      <c r="L460" s="45" t="b">
        <v>1</v>
      </c>
    </row>
    <row r="461" hidden="1">
      <c r="A461" s="16" t="s">
        <v>92</v>
      </c>
      <c r="B461" s="99" t="s">
        <v>1988</v>
      </c>
      <c r="C461" s="174">
        <v>4.52</v>
      </c>
      <c r="D461" s="175">
        <v>44645.0</v>
      </c>
      <c r="E461" s="97"/>
      <c r="F461" s="99">
        <v>2022.03</v>
      </c>
      <c r="G461" s="99" t="s">
        <v>52</v>
      </c>
      <c r="H461" s="99" t="s">
        <v>1999</v>
      </c>
      <c r="I461" s="99" t="s">
        <v>1977</v>
      </c>
      <c r="J461" s="97"/>
      <c r="K461" s="177">
        <v>44621.0</v>
      </c>
      <c r="L461" s="46" t="b">
        <v>1</v>
      </c>
    </row>
    <row r="462" hidden="1">
      <c r="A462" s="4" t="s">
        <v>118</v>
      </c>
      <c r="B462" s="170" t="s">
        <v>1976</v>
      </c>
      <c r="C462" s="171">
        <v>483.86</v>
      </c>
      <c r="D462" s="172">
        <v>44653.0</v>
      </c>
      <c r="E462" s="94"/>
      <c r="F462" s="170">
        <v>2022.04</v>
      </c>
      <c r="G462" s="170" t="s">
        <v>52</v>
      </c>
      <c r="H462" s="170" t="s">
        <v>1999</v>
      </c>
      <c r="I462" s="170" t="s">
        <v>1977</v>
      </c>
      <c r="J462" s="94"/>
      <c r="K462" s="173">
        <v>44621.0</v>
      </c>
      <c r="L462" s="45" t="b">
        <v>1</v>
      </c>
    </row>
    <row r="463" hidden="1">
      <c r="A463" s="16" t="s">
        <v>115</v>
      </c>
      <c r="B463" s="99" t="s">
        <v>1976</v>
      </c>
      <c r="C463" s="174">
        <v>252.5</v>
      </c>
      <c r="D463" s="175">
        <v>44653.0</v>
      </c>
      <c r="E463" s="97"/>
      <c r="F463" s="99">
        <v>2022.04</v>
      </c>
      <c r="G463" s="99" t="s">
        <v>52</v>
      </c>
      <c r="H463" s="99" t="s">
        <v>1999</v>
      </c>
      <c r="I463" s="99" t="s">
        <v>1977</v>
      </c>
      <c r="J463" s="97"/>
      <c r="K463" s="177">
        <v>44621.0</v>
      </c>
      <c r="L463" s="46" t="b">
        <v>1</v>
      </c>
    </row>
    <row r="464" hidden="1">
      <c r="A464" s="4" t="s">
        <v>279</v>
      </c>
      <c r="B464" s="170" t="s">
        <v>1976</v>
      </c>
      <c r="C464" s="171">
        <v>308.0</v>
      </c>
      <c r="D464" s="172">
        <v>44653.0</v>
      </c>
      <c r="E464" s="94"/>
      <c r="F464" s="170">
        <v>2022.0</v>
      </c>
      <c r="G464" s="170" t="s">
        <v>1160</v>
      </c>
      <c r="H464" s="170" t="s">
        <v>1999</v>
      </c>
      <c r="I464" s="170" t="s">
        <v>1977</v>
      </c>
      <c r="J464" s="94"/>
      <c r="K464" s="173">
        <v>44621.0</v>
      </c>
      <c r="L464" s="45" t="b">
        <v>1</v>
      </c>
    </row>
    <row r="465" hidden="1">
      <c r="A465" s="16" t="s">
        <v>1271</v>
      </c>
      <c r="B465" s="99" t="s">
        <v>1997</v>
      </c>
      <c r="C465" s="174">
        <v>51.09</v>
      </c>
      <c r="D465" s="175">
        <v>44628.0</v>
      </c>
      <c r="E465" s="97"/>
      <c r="F465" s="99">
        <v>2022.0</v>
      </c>
      <c r="G465" s="99" t="s">
        <v>1152</v>
      </c>
      <c r="H465" s="99" t="s">
        <v>1264</v>
      </c>
      <c r="I465" s="99" t="s">
        <v>1995</v>
      </c>
      <c r="J465" s="97"/>
      <c r="K465" s="177">
        <v>44621.0</v>
      </c>
      <c r="L465" s="46" t="b">
        <v>1</v>
      </c>
    </row>
    <row r="466" hidden="1">
      <c r="A466" s="4" t="s">
        <v>1271</v>
      </c>
      <c r="B466" s="170" t="s">
        <v>1994</v>
      </c>
      <c r="C466" s="171">
        <v>14.09</v>
      </c>
      <c r="D466" s="172">
        <v>44634.0</v>
      </c>
      <c r="E466" s="94"/>
      <c r="F466" s="170">
        <v>2022.0</v>
      </c>
      <c r="G466" s="170" t="s">
        <v>1152</v>
      </c>
      <c r="H466" s="170" t="s">
        <v>1264</v>
      </c>
      <c r="I466" s="170" t="s">
        <v>1995</v>
      </c>
      <c r="J466" s="94"/>
      <c r="K466" s="173">
        <v>44621.0</v>
      </c>
      <c r="L466" s="45" t="b">
        <v>1</v>
      </c>
    </row>
    <row r="467" hidden="1">
      <c r="A467" s="16" t="s">
        <v>1271</v>
      </c>
      <c r="B467" s="99" t="s">
        <v>2017</v>
      </c>
      <c r="C467" s="174">
        <v>55.83</v>
      </c>
      <c r="D467" s="175">
        <v>44647.0</v>
      </c>
      <c r="E467" s="97"/>
      <c r="F467" s="99">
        <v>2022.0</v>
      </c>
      <c r="G467" s="99" t="s">
        <v>1152</v>
      </c>
      <c r="H467" s="99" t="s">
        <v>1264</v>
      </c>
      <c r="I467" s="99" t="s">
        <v>1995</v>
      </c>
      <c r="J467" s="99" t="s">
        <v>2041</v>
      </c>
      <c r="K467" s="177">
        <v>44621.0</v>
      </c>
      <c r="L467" s="46" t="b">
        <v>1</v>
      </c>
    </row>
    <row r="468" hidden="1">
      <c r="A468" s="4" t="s">
        <v>203</v>
      </c>
      <c r="B468" s="170" t="s">
        <v>2017</v>
      </c>
      <c r="C468" s="171">
        <v>38.72</v>
      </c>
      <c r="D468" s="172">
        <v>44648.0</v>
      </c>
      <c r="E468" s="94"/>
      <c r="F468" s="170">
        <v>2022.0</v>
      </c>
      <c r="G468" s="170" t="s">
        <v>1160</v>
      </c>
      <c r="H468" s="170" t="s">
        <v>1264</v>
      </c>
      <c r="I468" s="170" t="s">
        <v>2034</v>
      </c>
      <c r="J468" s="94"/>
      <c r="K468" s="173">
        <v>44621.0</v>
      </c>
      <c r="L468" s="45" t="b">
        <v>1</v>
      </c>
    </row>
    <row r="469" hidden="1">
      <c r="A469" s="16" t="s">
        <v>162</v>
      </c>
      <c r="B469" s="99" t="s">
        <v>2017</v>
      </c>
      <c r="C469" s="174">
        <v>38.72</v>
      </c>
      <c r="D469" s="175">
        <v>44649.0</v>
      </c>
      <c r="E469" s="97"/>
      <c r="F469" s="99">
        <v>2022.0</v>
      </c>
      <c r="G469" s="99" t="s">
        <v>1160</v>
      </c>
      <c r="H469" s="99" t="s">
        <v>1264</v>
      </c>
      <c r="I469" s="99" t="s">
        <v>2034</v>
      </c>
      <c r="J469" s="97"/>
      <c r="K469" s="177">
        <v>44621.0</v>
      </c>
      <c r="L469" s="46" t="b">
        <v>1</v>
      </c>
    </row>
    <row r="470" hidden="1">
      <c r="A470" s="4" t="s">
        <v>1271</v>
      </c>
      <c r="B470" s="170" t="s">
        <v>1997</v>
      </c>
      <c r="C470" s="171">
        <v>49.98</v>
      </c>
      <c r="D470" s="172">
        <v>44657.0</v>
      </c>
      <c r="E470" s="94"/>
      <c r="F470" s="170">
        <v>2022.0</v>
      </c>
      <c r="G470" s="170" t="s">
        <v>1152</v>
      </c>
      <c r="H470" s="170" t="s">
        <v>1264</v>
      </c>
      <c r="I470" s="170" t="s">
        <v>1995</v>
      </c>
      <c r="J470" s="94"/>
      <c r="K470" s="173">
        <v>44621.0</v>
      </c>
      <c r="L470" s="45" t="b">
        <v>1</v>
      </c>
    </row>
    <row r="471" hidden="1">
      <c r="A471" s="16" t="s">
        <v>1271</v>
      </c>
      <c r="B471" s="99" t="s">
        <v>2042</v>
      </c>
      <c r="C471" s="174">
        <v>82.74</v>
      </c>
      <c r="D471" s="175">
        <v>44659.0</v>
      </c>
      <c r="E471" s="97"/>
      <c r="F471" s="99">
        <v>2022.0</v>
      </c>
      <c r="G471" s="99" t="s">
        <v>1152</v>
      </c>
      <c r="H471" s="99" t="s">
        <v>1264</v>
      </c>
      <c r="I471" s="99" t="s">
        <v>1272</v>
      </c>
      <c r="J471" s="99" t="s">
        <v>2041</v>
      </c>
      <c r="K471" s="177">
        <v>44621.0</v>
      </c>
      <c r="L471" s="46" t="b">
        <v>1</v>
      </c>
    </row>
    <row r="472" hidden="1">
      <c r="A472" s="4" t="s">
        <v>1271</v>
      </c>
      <c r="B472" s="170" t="s">
        <v>1998</v>
      </c>
      <c r="C472" s="171">
        <v>64.03</v>
      </c>
      <c r="D472" s="172">
        <v>44660.0</v>
      </c>
      <c r="E472" s="94"/>
      <c r="F472" s="170">
        <v>2022.0</v>
      </c>
      <c r="G472" s="170" t="s">
        <v>1152</v>
      </c>
      <c r="H472" s="170" t="s">
        <v>1264</v>
      </c>
      <c r="I472" s="170" t="s">
        <v>1995</v>
      </c>
      <c r="J472" s="170" t="s">
        <v>2041</v>
      </c>
      <c r="K472" s="173">
        <v>44621.0</v>
      </c>
      <c r="L472" s="45" t="b">
        <v>1</v>
      </c>
    </row>
    <row r="473" hidden="1">
      <c r="A473" s="16" t="s">
        <v>102</v>
      </c>
      <c r="B473" s="99" t="s">
        <v>1987</v>
      </c>
      <c r="C473" s="174">
        <v>150.0</v>
      </c>
      <c r="D473" s="175">
        <v>44680.0</v>
      </c>
      <c r="E473" s="99">
        <v>1020.0</v>
      </c>
      <c r="F473" s="99">
        <v>2022.04</v>
      </c>
      <c r="G473" s="99" t="s">
        <v>52</v>
      </c>
      <c r="H473" s="99" t="s">
        <v>1264</v>
      </c>
      <c r="I473" s="99" t="s">
        <v>1979</v>
      </c>
      <c r="J473" s="97"/>
      <c r="K473" s="177">
        <v>44652.0</v>
      </c>
      <c r="L473" s="46" t="b">
        <v>1</v>
      </c>
    </row>
    <row r="474" hidden="1">
      <c r="A474" s="4" t="s">
        <v>223</v>
      </c>
      <c r="B474" s="170" t="s">
        <v>1978</v>
      </c>
      <c r="C474" s="171">
        <v>500.0</v>
      </c>
      <c r="D474" s="172">
        <v>44680.0</v>
      </c>
      <c r="E474" s="188">
        <v>44652.0</v>
      </c>
      <c r="F474" s="170">
        <v>2022.04</v>
      </c>
      <c r="G474" s="170" t="s">
        <v>52</v>
      </c>
      <c r="H474" s="170" t="s">
        <v>1264</v>
      </c>
      <c r="I474" s="170" t="s">
        <v>1979</v>
      </c>
      <c r="J474" s="94"/>
      <c r="K474" s="173">
        <v>44652.0</v>
      </c>
      <c r="L474" s="45" t="b">
        <v>1</v>
      </c>
    </row>
    <row r="475" hidden="1">
      <c r="A475" s="16" t="s">
        <v>66</v>
      </c>
      <c r="B475" s="99" t="s">
        <v>1978</v>
      </c>
      <c r="C475" s="174">
        <v>312.5</v>
      </c>
      <c r="D475" s="175">
        <v>44680.0</v>
      </c>
      <c r="E475" s="189">
        <v>44652.0</v>
      </c>
      <c r="F475" s="99">
        <v>2022.04</v>
      </c>
      <c r="G475" s="99" t="s">
        <v>52</v>
      </c>
      <c r="H475" s="99" t="s">
        <v>1264</v>
      </c>
      <c r="I475" s="99" t="s">
        <v>1979</v>
      </c>
      <c r="J475" s="97"/>
      <c r="K475" s="177">
        <v>44652.0</v>
      </c>
      <c r="L475" s="46" t="b">
        <v>1</v>
      </c>
    </row>
    <row r="476" hidden="1">
      <c r="A476" s="4" t="s">
        <v>97</v>
      </c>
      <c r="B476" s="170" t="s">
        <v>1978</v>
      </c>
      <c r="C476" s="171">
        <v>125.0</v>
      </c>
      <c r="D476" s="172">
        <v>44680.0</v>
      </c>
      <c r="E476" s="188">
        <v>44652.0</v>
      </c>
      <c r="F476" s="170">
        <v>2022.04</v>
      </c>
      <c r="G476" s="170" t="s">
        <v>52</v>
      </c>
      <c r="H476" s="170" t="s">
        <v>1264</v>
      </c>
      <c r="I476" s="170" t="s">
        <v>1979</v>
      </c>
      <c r="J476" s="94"/>
      <c r="K476" s="173">
        <v>44652.0</v>
      </c>
      <c r="L476" s="45" t="b">
        <v>1</v>
      </c>
    </row>
    <row r="477" hidden="1">
      <c r="A477" s="16" t="s">
        <v>147</v>
      </c>
      <c r="B477" s="99" t="s">
        <v>1978</v>
      </c>
      <c r="C477" s="174">
        <v>200.0</v>
      </c>
      <c r="D477" s="175">
        <v>44680.0</v>
      </c>
      <c r="E477" s="189">
        <v>44652.0</v>
      </c>
      <c r="F477" s="99">
        <v>2022.04</v>
      </c>
      <c r="G477" s="99" t="s">
        <v>52</v>
      </c>
      <c r="H477" s="99" t="s">
        <v>1264</v>
      </c>
      <c r="I477" s="99" t="s">
        <v>1979</v>
      </c>
      <c r="J477" s="97"/>
      <c r="K477" s="177">
        <v>44652.0</v>
      </c>
      <c r="L477" s="46" t="b">
        <v>1</v>
      </c>
    </row>
    <row r="478" hidden="1">
      <c r="A478" s="4" t="s">
        <v>88</v>
      </c>
      <c r="B478" s="170" t="s">
        <v>1978</v>
      </c>
      <c r="C478" s="171">
        <v>212.5</v>
      </c>
      <c r="D478" s="172">
        <v>44680.0</v>
      </c>
      <c r="E478" s="188">
        <v>44652.0</v>
      </c>
      <c r="F478" s="170">
        <v>2022.04</v>
      </c>
      <c r="G478" s="170" t="s">
        <v>52</v>
      </c>
      <c r="H478" s="170" t="s">
        <v>1264</v>
      </c>
      <c r="I478" s="170" t="s">
        <v>1979</v>
      </c>
      <c r="J478" s="94"/>
      <c r="K478" s="173">
        <v>44652.0</v>
      </c>
      <c r="L478" s="45" t="b">
        <v>1</v>
      </c>
    </row>
    <row r="479" hidden="1">
      <c r="A479" s="16" t="s">
        <v>73</v>
      </c>
      <c r="B479" s="99" t="s">
        <v>1978</v>
      </c>
      <c r="C479" s="174">
        <v>250.0</v>
      </c>
      <c r="D479" s="175">
        <v>44680.0</v>
      </c>
      <c r="E479" s="189">
        <v>44652.0</v>
      </c>
      <c r="F479" s="99">
        <v>2022.04</v>
      </c>
      <c r="G479" s="99" t="s">
        <v>52</v>
      </c>
      <c r="H479" s="99" t="s">
        <v>1264</v>
      </c>
      <c r="I479" s="99" t="s">
        <v>1979</v>
      </c>
      <c r="J479" s="97"/>
      <c r="K479" s="177">
        <v>44652.0</v>
      </c>
      <c r="L479" s="46" t="b">
        <v>1</v>
      </c>
    </row>
    <row r="480" hidden="1">
      <c r="A480" s="4" t="s">
        <v>50</v>
      </c>
      <c r="B480" s="170" t="s">
        <v>1978</v>
      </c>
      <c r="C480" s="171">
        <v>100.0</v>
      </c>
      <c r="D480" s="172">
        <v>44680.0</v>
      </c>
      <c r="E480" s="188">
        <v>44652.0</v>
      </c>
      <c r="F480" s="170">
        <v>2022.04</v>
      </c>
      <c r="G480" s="170" t="s">
        <v>52</v>
      </c>
      <c r="H480" s="170" t="s">
        <v>1264</v>
      </c>
      <c r="I480" s="170" t="s">
        <v>1979</v>
      </c>
      <c r="J480" s="94"/>
      <c r="K480" s="173">
        <v>44652.0</v>
      </c>
      <c r="L480" s="45" t="b">
        <v>1</v>
      </c>
    </row>
    <row r="481" hidden="1">
      <c r="A481" s="16" t="s">
        <v>42</v>
      </c>
      <c r="B481" s="99" t="s">
        <v>1984</v>
      </c>
      <c r="C481" s="174">
        <v>350.0</v>
      </c>
      <c r="D481" s="175">
        <v>44681.0</v>
      </c>
      <c r="E481" s="99">
        <v>4.0</v>
      </c>
      <c r="F481" s="99">
        <v>2022.04</v>
      </c>
      <c r="G481" s="99" t="s">
        <v>52</v>
      </c>
      <c r="H481" s="99" t="s">
        <v>1264</v>
      </c>
      <c r="I481" s="99" t="s">
        <v>1979</v>
      </c>
      <c r="J481" s="97"/>
      <c r="K481" s="177">
        <v>44652.0</v>
      </c>
      <c r="L481" s="46" t="b">
        <v>1</v>
      </c>
    </row>
    <row r="482" hidden="1">
      <c r="A482" s="4" t="s">
        <v>92</v>
      </c>
      <c r="B482" s="170" t="s">
        <v>1984</v>
      </c>
      <c r="C482" s="171">
        <v>212.5</v>
      </c>
      <c r="D482" s="172">
        <v>44681.0</v>
      </c>
      <c r="E482" s="170">
        <v>4.0</v>
      </c>
      <c r="F482" s="170">
        <v>2022.04</v>
      </c>
      <c r="G482" s="170" t="s">
        <v>52</v>
      </c>
      <c r="H482" s="170" t="s">
        <v>1264</v>
      </c>
      <c r="I482" s="170" t="s">
        <v>1979</v>
      </c>
      <c r="J482" s="94"/>
      <c r="K482" s="173">
        <v>44652.0</v>
      </c>
      <c r="L482" s="45" t="b">
        <v>1</v>
      </c>
    </row>
    <row r="483" hidden="1">
      <c r="A483" s="16" t="s">
        <v>54</v>
      </c>
      <c r="B483" s="99" t="s">
        <v>1984</v>
      </c>
      <c r="C483" s="174">
        <v>175.0</v>
      </c>
      <c r="D483" s="175">
        <v>44681.0</v>
      </c>
      <c r="E483" s="99">
        <v>4.0</v>
      </c>
      <c r="F483" s="99">
        <v>2022.04</v>
      </c>
      <c r="G483" s="99" t="s">
        <v>52</v>
      </c>
      <c r="H483" s="99" t="s">
        <v>1264</v>
      </c>
      <c r="I483" s="99" t="s">
        <v>1979</v>
      </c>
      <c r="J483" s="97"/>
      <c r="K483" s="177">
        <v>44652.0</v>
      </c>
      <c r="L483" s="46" t="b">
        <v>1</v>
      </c>
    </row>
    <row r="484" hidden="1">
      <c r="A484" s="4" t="s">
        <v>246</v>
      </c>
      <c r="B484" s="170" t="s">
        <v>1986</v>
      </c>
      <c r="C484" s="171">
        <v>187.5</v>
      </c>
      <c r="D484" s="172">
        <v>44681.0</v>
      </c>
      <c r="E484" s="170">
        <v>6.0</v>
      </c>
      <c r="F484" s="170">
        <v>2022.04</v>
      </c>
      <c r="G484" s="170" t="s">
        <v>52</v>
      </c>
      <c r="H484" s="170" t="s">
        <v>1264</v>
      </c>
      <c r="I484" s="170" t="s">
        <v>1979</v>
      </c>
      <c r="J484" s="94"/>
      <c r="K484" s="173">
        <v>44652.0</v>
      </c>
      <c r="L484" s="45" t="b">
        <v>1</v>
      </c>
    </row>
    <row r="485" hidden="1">
      <c r="A485" s="16" t="s">
        <v>82</v>
      </c>
      <c r="B485" s="99" t="s">
        <v>1986</v>
      </c>
      <c r="C485" s="174">
        <v>225.0</v>
      </c>
      <c r="D485" s="175">
        <v>44681.0</v>
      </c>
      <c r="E485" s="99">
        <v>6.0</v>
      </c>
      <c r="F485" s="99">
        <v>2022.04</v>
      </c>
      <c r="G485" s="99" t="s">
        <v>52</v>
      </c>
      <c r="H485" s="99" t="s">
        <v>1264</v>
      </c>
      <c r="I485" s="99" t="s">
        <v>1979</v>
      </c>
      <c r="J485" s="97"/>
      <c r="K485" s="177">
        <v>44652.0</v>
      </c>
      <c r="L485" s="46" t="b">
        <v>1</v>
      </c>
    </row>
    <row r="486" hidden="1">
      <c r="A486" s="4" t="s">
        <v>279</v>
      </c>
      <c r="B486" s="170" t="s">
        <v>1986</v>
      </c>
      <c r="C486" s="171">
        <v>125.0</v>
      </c>
      <c r="D486" s="172">
        <v>44681.0</v>
      </c>
      <c r="E486" s="170">
        <v>6.0</v>
      </c>
      <c r="F486" s="170">
        <v>2022.0</v>
      </c>
      <c r="G486" s="170" t="s">
        <v>1160</v>
      </c>
      <c r="H486" s="170" t="s">
        <v>1264</v>
      </c>
      <c r="I486" s="170" t="s">
        <v>1979</v>
      </c>
      <c r="J486" s="94"/>
      <c r="K486" s="173">
        <v>44652.0</v>
      </c>
      <c r="L486" s="45" t="b">
        <v>1</v>
      </c>
    </row>
    <row r="487" hidden="1">
      <c r="A487" s="16" t="s">
        <v>1269</v>
      </c>
      <c r="B487" s="99" t="s">
        <v>2036</v>
      </c>
      <c r="C487" s="174">
        <v>50.0</v>
      </c>
      <c r="D487" s="175">
        <v>44681.0</v>
      </c>
      <c r="E487" s="99">
        <v>2.0</v>
      </c>
      <c r="F487" s="99">
        <v>2022.0</v>
      </c>
      <c r="G487" s="99" t="s">
        <v>1152</v>
      </c>
      <c r="H487" s="99" t="s">
        <v>1264</v>
      </c>
      <c r="I487" s="99" t="s">
        <v>1270</v>
      </c>
      <c r="J487" s="99" t="s">
        <v>2037</v>
      </c>
      <c r="K487" s="177">
        <v>44652.0</v>
      </c>
      <c r="L487" s="46" t="b">
        <v>1</v>
      </c>
    </row>
    <row r="488" hidden="1">
      <c r="A488" s="4" t="s">
        <v>115</v>
      </c>
      <c r="B488" s="170" t="s">
        <v>1982</v>
      </c>
      <c r="C488" s="171">
        <v>662.5</v>
      </c>
      <c r="D488" s="172">
        <v>44681.0</v>
      </c>
      <c r="E488" s="170" t="s">
        <v>2043</v>
      </c>
      <c r="F488" s="170">
        <v>2022.04</v>
      </c>
      <c r="G488" s="170" t="s">
        <v>52</v>
      </c>
      <c r="H488" s="170" t="s">
        <v>1264</v>
      </c>
      <c r="I488" s="170" t="s">
        <v>1979</v>
      </c>
      <c r="J488" s="94"/>
      <c r="K488" s="173">
        <v>44652.0</v>
      </c>
      <c r="L488" s="45" t="b">
        <v>1</v>
      </c>
    </row>
    <row r="489" hidden="1">
      <c r="A489" s="16" t="s">
        <v>118</v>
      </c>
      <c r="B489" s="99" t="s">
        <v>1982</v>
      </c>
      <c r="C489" s="174">
        <v>662.5</v>
      </c>
      <c r="D489" s="175">
        <v>44681.0</v>
      </c>
      <c r="E489" s="99" t="s">
        <v>2043</v>
      </c>
      <c r="F489" s="99">
        <v>2022.04</v>
      </c>
      <c r="G489" s="99" t="s">
        <v>52</v>
      </c>
      <c r="H489" s="99" t="s">
        <v>1264</v>
      </c>
      <c r="I489" s="99" t="s">
        <v>1979</v>
      </c>
      <c r="J489" s="97"/>
      <c r="K489" s="177">
        <v>44652.0</v>
      </c>
      <c r="L489" s="46" t="b">
        <v>1</v>
      </c>
    </row>
    <row r="490" hidden="1">
      <c r="A490" s="4" t="s">
        <v>92</v>
      </c>
      <c r="B490" s="170" t="s">
        <v>1982</v>
      </c>
      <c r="C490" s="171">
        <v>350.0</v>
      </c>
      <c r="D490" s="172">
        <v>44681.0</v>
      </c>
      <c r="E490" s="170" t="s">
        <v>2043</v>
      </c>
      <c r="F490" s="170">
        <v>2022.04</v>
      </c>
      <c r="G490" s="170" t="s">
        <v>52</v>
      </c>
      <c r="H490" s="170" t="s">
        <v>1264</v>
      </c>
      <c r="I490" s="170" t="s">
        <v>1979</v>
      </c>
      <c r="J490" s="94"/>
      <c r="K490" s="173">
        <v>44652.0</v>
      </c>
      <c r="L490" s="45" t="b">
        <v>1</v>
      </c>
    </row>
    <row r="491" hidden="1">
      <c r="A491" s="16" t="s">
        <v>84</v>
      </c>
      <c r="B491" s="99" t="s">
        <v>1982</v>
      </c>
      <c r="C491" s="174">
        <v>475.0</v>
      </c>
      <c r="D491" s="175">
        <v>44681.0</v>
      </c>
      <c r="E491" s="99" t="s">
        <v>2043</v>
      </c>
      <c r="F491" s="99">
        <v>2022.04</v>
      </c>
      <c r="G491" s="99" t="s">
        <v>52</v>
      </c>
      <c r="H491" s="99" t="s">
        <v>1264</v>
      </c>
      <c r="I491" s="99" t="s">
        <v>1979</v>
      </c>
      <c r="J491" s="97"/>
      <c r="K491" s="177">
        <v>44652.0</v>
      </c>
      <c r="L491" s="46" t="b">
        <v>1</v>
      </c>
    </row>
    <row r="492" hidden="1">
      <c r="A492" s="4" t="s">
        <v>123</v>
      </c>
      <c r="B492" s="170" t="s">
        <v>1982</v>
      </c>
      <c r="C492" s="171">
        <v>1067.5</v>
      </c>
      <c r="D492" s="172">
        <v>44681.0</v>
      </c>
      <c r="E492" s="170" t="s">
        <v>2043</v>
      </c>
      <c r="F492" s="170">
        <v>2022.04</v>
      </c>
      <c r="G492" s="170" t="s">
        <v>52</v>
      </c>
      <c r="H492" s="170" t="s">
        <v>1264</v>
      </c>
      <c r="I492" s="170" t="s">
        <v>1979</v>
      </c>
      <c r="J492" s="94"/>
      <c r="K492" s="173">
        <v>44652.0</v>
      </c>
      <c r="L492" s="45" t="b">
        <v>1</v>
      </c>
    </row>
    <row r="493" hidden="1">
      <c r="A493" s="16" t="s">
        <v>62</v>
      </c>
      <c r="B493" s="99" t="s">
        <v>1982</v>
      </c>
      <c r="C493" s="174">
        <v>450.0</v>
      </c>
      <c r="D493" s="175">
        <v>44681.0</v>
      </c>
      <c r="E493" s="99" t="s">
        <v>2043</v>
      </c>
      <c r="F493" s="99">
        <v>2022.04</v>
      </c>
      <c r="G493" s="99" t="s">
        <v>52</v>
      </c>
      <c r="H493" s="99" t="s">
        <v>1264</v>
      </c>
      <c r="I493" s="99" t="s">
        <v>1979</v>
      </c>
      <c r="J493" s="97"/>
      <c r="K493" s="177">
        <v>44652.0</v>
      </c>
      <c r="L493" s="46" t="b">
        <v>1</v>
      </c>
    </row>
    <row r="494" hidden="1">
      <c r="A494" s="4" t="s">
        <v>54</v>
      </c>
      <c r="B494" s="170" t="s">
        <v>1985</v>
      </c>
      <c r="C494" s="171">
        <v>162.5</v>
      </c>
      <c r="D494" s="172">
        <v>44681.0</v>
      </c>
      <c r="E494" s="170">
        <v>21.0</v>
      </c>
      <c r="F494" s="170">
        <v>2022.04</v>
      </c>
      <c r="G494" s="170" t="s">
        <v>52</v>
      </c>
      <c r="H494" s="170" t="s">
        <v>1264</v>
      </c>
      <c r="I494" s="170" t="s">
        <v>1979</v>
      </c>
      <c r="J494" s="94"/>
      <c r="K494" s="173">
        <v>44652.0</v>
      </c>
      <c r="L494" s="45" t="b">
        <v>1</v>
      </c>
    </row>
    <row r="495" hidden="1">
      <c r="A495" s="16" t="s">
        <v>58</v>
      </c>
      <c r="B495" s="99" t="s">
        <v>1985</v>
      </c>
      <c r="C495" s="174">
        <v>300.0</v>
      </c>
      <c r="D495" s="175">
        <v>44681.0</v>
      </c>
      <c r="E495" s="99">
        <v>21.0</v>
      </c>
      <c r="F495" s="99">
        <v>2022.04</v>
      </c>
      <c r="G495" s="99" t="s">
        <v>52</v>
      </c>
      <c r="H495" s="99" t="s">
        <v>1264</v>
      </c>
      <c r="I495" s="99" t="s">
        <v>1979</v>
      </c>
      <c r="J495" s="97"/>
      <c r="K495" s="177">
        <v>44652.0</v>
      </c>
      <c r="L495" s="46" t="b">
        <v>1</v>
      </c>
    </row>
    <row r="496" hidden="1">
      <c r="A496" s="4" t="s">
        <v>120</v>
      </c>
      <c r="B496" s="170" t="s">
        <v>1985</v>
      </c>
      <c r="C496" s="171">
        <v>575.0</v>
      </c>
      <c r="D496" s="172">
        <v>44681.0</v>
      </c>
      <c r="E496" s="170">
        <v>21.0</v>
      </c>
      <c r="F496" s="170">
        <v>2022.04</v>
      </c>
      <c r="G496" s="170" t="s">
        <v>52</v>
      </c>
      <c r="H496" s="170" t="s">
        <v>1264</v>
      </c>
      <c r="I496" s="170" t="s">
        <v>1979</v>
      </c>
      <c r="J496" s="94"/>
      <c r="K496" s="173">
        <v>44652.0</v>
      </c>
      <c r="L496" s="45" t="b">
        <v>1</v>
      </c>
    </row>
    <row r="497" hidden="1">
      <c r="A497" s="16" t="s">
        <v>156</v>
      </c>
      <c r="B497" s="99" t="s">
        <v>1985</v>
      </c>
      <c r="C497" s="174">
        <v>225.0</v>
      </c>
      <c r="D497" s="175">
        <v>44681.0</v>
      </c>
      <c r="E497" s="99">
        <v>21.0</v>
      </c>
      <c r="F497" s="99">
        <v>2022.04</v>
      </c>
      <c r="G497" s="99" t="s">
        <v>52</v>
      </c>
      <c r="H497" s="99" t="s">
        <v>1264</v>
      </c>
      <c r="I497" s="99" t="s">
        <v>1979</v>
      </c>
      <c r="J497" s="97"/>
      <c r="K497" s="177">
        <v>44652.0</v>
      </c>
      <c r="L497" s="46" t="b">
        <v>1</v>
      </c>
    </row>
    <row r="498" hidden="1">
      <c r="A498" s="4" t="s">
        <v>296</v>
      </c>
      <c r="B498" s="170" t="s">
        <v>1985</v>
      </c>
      <c r="C498" s="171">
        <v>475.0</v>
      </c>
      <c r="D498" s="172">
        <v>44681.0</v>
      </c>
      <c r="E498" s="170">
        <v>21.0</v>
      </c>
      <c r="F498" s="170">
        <v>2022.04</v>
      </c>
      <c r="G498" s="170" t="s">
        <v>52</v>
      </c>
      <c r="H498" s="170" t="s">
        <v>1264</v>
      </c>
      <c r="I498" s="170" t="s">
        <v>1979</v>
      </c>
      <c r="J498" s="94"/>
      <c r="K498" s="173">
        <v>44652.0</v>
      </c>
      <c r="L498" s="45" t="b">
        <v>1</v>
      </c>
    </row>
    <row r="499" hidden="1">
      <c r="A499" s="16" t="s">
        <v>299</v>
      </c>
      <c r="B499" s="99" t="s">
        <v>1985</v>
      </c>
      <c r="C499" s="174">
        <v>362.5</v>
      </c>
      <c r="D499" s="175">
        <v>44681.0</v>
      </c>
      <c r="E499" s="99">
        <v>21.0</v>
      </c>
      <c r="F499" s="99">
        <v>2022.04</v>
      </c>
      <c r="G499" s="99" t="s">
        <v>52</v>
      </c>
      <c r="H499" s="99" t="s">
        <v>1264</v>
      </c>
      <c r="I499" s="99" t="s">
        <v>1979</v>
      </c>
      <c r="J499" s="97"/>
      <c r="K499" s="177">
        <v>44652.0</v>
      </c>
      <c r="L499" s="46" t="b">
        <v>1</v>
      </c>
    </row>
    <row r="500" hidden="1">
      <c r="A500" s="4" t="s">
        <v>347</v>
      </c>
      <c r="B500" s="170" t="s">
        <v>1985</v>
      </c>
      <c r="C500" s="171">
        <v>537.5</v>
      </c>
      <c r="D500" s="172">
        <v>44681.0</v>
      </c>
      <c r="E500" s="170">
        <v>21.0</v>
      </c>
      <c r="F500" s="170">
        <v>2022.0</v>
      </c>
      <c r="G500" s="170" t="s">
        <v>1160</v>
      </c>
      <c r="H500" s="170" t="s">
        <v>1264</v>
      </c>
      <c r="I500" s="170" t="s">
        <v>1979</v>
      </c>
      <c r="J500" s="94"/>
      <c r="K500" s="173">
        <v>44652.0</v>
      </c>
      <c r="L500" s="45" t="b">
        <v>1</v>
      </c>
    </row>
    <row r="501" hidden="1">
      <c r="A501" s="16" t="s">
        <v>352</v>
      </c>
      <c r="B501" s="99" t="s">
        <v>1985</v>
      </c>
      <c r="C501" s="174">
        <v>150.0</v>
      </c>
      <c r="D501" s="175">
        <v>44681.0</v>
      </c>
      <c r="E501" s="99">
        <v>21.0</v>
      </c>
      <c r="F501" s="99">
        <v>2022.0</v>
      </c>
      <c r="G501" s="99" t="s">
        <v>1160</v>
      </c>
      <c r="H501" s="99" t="s">
        <v>1264</v>
      </c>
      <c r="I501" s="99" t="s">
        <v>1979</v>
      </c>
      <c r="J501" s="97"/>
      <c r="K501" s="177">
        <v>44652.0</v>
      </c>
      <c r="L501" s="46" t="b">
        <v>1</v>
      </c>
    </row>
    <row r="502" hidden="1">
      <c r="A502" s="4" t="s">
        <v>326</v>
      </c>
      <c r="B502" s="170" t="s">
        <v>1985</v>
      </c>
      <c r="C502" s="171">
        <v>725.0</v>
      </c>
      <c r="D502" s="172">
        <v>44681.0</v>
      </c>
      <c r="E502" s="170">
        <v>21.0</v>
      </c>
      <c r="F502" s="170">
        <v>2022.0</v>
      </c>
      <c r="G502" s="170" t="s">
        <v>1160</v>
      </c>
      <c r="H502" s="170" t="s">
        <v>1264</v>
      </c>
      <c r="I502" s="170" t="s">
        <v>1979</v>
      </c>
      <c r="J502" s="94"/>
      <c r="K502" s="173">
        <v>44652.0</v>
      </c>
      <c r="L502" s="45" t="b">
        <v>1</v>
      </c>
    </row>
    <row r="503" hidden="1">
      <c r="A503" s="16" t="s">
        <v>296</v>
      </c>
      <c r="B503" s="99" t="s">
        <v>1985</v>
      </c>
      <c r="C503" s="96">
        <f>45/2</f>
        <v>22.5</v>
      </c>
      <c r="D503" s="175">
        <v>44681.0</v>
      </c>
      <c r="E503" s="99">
        <v>21.0</v>
      </c>
      <c r="F503" s="99">
        <v>2022.04</v>
      </c>
      <c r="G503" s="99" t="s">
        <v>52</v>
      </c>
      <c r="H503" s="99" t="s">
        <v>1264</v>
      </c>
      <c r="I503" s="99" t="s">
        <v>1979</v>
      </c>
      <c r="J503" s="99" t="s">
        <v>2044</v>
      </c>
      <c r="K503" s="177">
        <v>44652.0</v>
      </c>
      <c r="L503" s="46" t="b">
        <v>1</v>
      </c>
    </row>
    <row r="504" hidden="1">
      <c r="A504" s="4" t="s">
        <v>299</v>
      </c>
      <c r="B504" s="170" t="s">
        <v>1985</v>
      </c>
      <c r="C504" s="171">
        <v>22.5</v>
      </c>
      <c r="D504" s="172">
        <v>44681.0</v>
      </c>
      <c r="E504" s="170">
        <v>21.0</v>
      </c>
      <c r="F504" s="170">
        <v>2022.04</v>
      </c>
      <c r="G504" s="170" t="s">
        <v>52</v>
      </c>
      <c r="H504" s="170" t="s">
        <v>1264</v>
      </c>
      <c r="I504" s="170" t="s">
        <v>1979</v>
      </c>
      <c r="J504" s="170" t="s">
        <v>2044</v>
      </c>
      <c r="K504" s="173">
        <v>44652.0</v>
      </c>
      <c r="L504" s="45" t="b">
        <v>1</v>
      </c>
    </row>
    <row r="505" hidden="1">
      <c r="A505" s="16" t="s">
        <v>420</v>
      </c>
      <c r="B505" s="99" t="s">
        <v>1985</v>
      </c>
      <c r="C505" s="174">
        <v>30.0</v>
      </c>
      <c r="D505" s="175">
        <v>44681.0</v>
      </c>
      <c r="E505" s="99">
        <v>21.0</v>
      </c>
      <c r="F505" s="99">
        <v>2022.0</v>
      </c>
      <c r="G505" s="99" t="s">
        <v>1160</v>
      </c>
      <c r="H505" s="99" t="s">
        <v>1264</v>
      </c>
      <c r="I505" s="99" t="s">
        <v>1979</v>
      </c>
      <c r="J505" s="99" t="s">
        <v>2044</v>
      </c>
      <c r="K505" s="177">
        <v>44652.0</v>
      </c>
      <c r="L505" s="46" t="b">
        <v>1</v>
      </c>
    </row>
    <row r="506" hidden="1">
      <c r="A506" s="4" t="s">
        <v>1266</v>
      </c>
      <c r="B506" s="170" t="s">
        <v>1985</v>
      </c>
      <c r="C506" s="171">
        <v>60.0</v>
      </c>
      <c r="D506" s="172">
        <v>44681.0</v>
      </c>
      <c r="E506" s="170">
        <v>21.0</v>
      </c>
      <c r="F506" s="170">
        <v>2022.0</v>
      </c>
      <c r="G506" s="170" t="s">
        <v>1152</v>
      </c>
      <c r="H506" s="170" t="s">
        <v>1264</v>
      </c>
      <c r="I506" s="170" t="s">
        <v>1267</v>
      </c>
      <c r="J506" s="170" t="s">
        <v>2045</v>
      </c>
      <c r="K506" s="173">
        <v>44652.0</v>
      </c>
      <c r="L506" s="45" t="b">
        <v>1</v>
      </c>
    </row>
    <row r="507" hidden="1">
      <c r="A507" s="16" t="s">
        <v>299</v>
      </c>
      <c r="B507" s="99" t="s">
        <v>1983</v>
      </c>
      <c r="C507" s="174">
        <v>175.0</v>
      </c>
      <c r="D507" s="175">
        <v>44681.0</v>
      </c>
      <c r="E507" s="99">
        <v>61.0</v>
      </c>
      <c r="F507" s="99">
        <v>2022.04</v>
      </c>
      <c r="G507" s="99" t="s">
        <v>52</v>
      </c>
      <c r="H507" s="99" t="s">
        <v>1264</v>
      </c>
      <c r="I507" s="99" t="s">
        <v>1979</v>
      </c>
      <c r="J507" s="97"/>
      <c r="K507" s="177">
        <v>44652.0</v>
      </c>
      <c r="L507" s="46" t="b">
        <v>1</v>
      </c>
    </row>
    <row r="508" hidden="1">
      <c r="A508" s="4" t="s">
        <v>75</v>
      </c>
      <c r="B508" s="170" t="s">
        <v>1983</v>
      </c>
      <c r="C508" s="171">
        <v>187.5</v>
      </c>
      <c r="D508" s="172">
        <v>44681.0</v>
      </c>
      <c r="E508" s="170">
        <v>61.0</v>
      </c>
      <c r="F508" s="170">
        <v>2022.04</v>
      </c>
      <c r="G508" s="170" t="s">
        <v>52</v>
      </c>
      <c r="H508" s="170" t="s">
        <v>1264</v>
      </c>
      <c r="I508" s="170" t="s">
        <v>1979</v>
      </c>
      <c r="J508" s="94"/>
      <c r="K508" s="173">
        <v>44652.0</v>
      </c>
      <c r="L508" s="45" t="b">
        <v>1</v>
      </c>
    </row>
    <row r="509" hidden="1">
      <c r="A509" s="16" t="s">
        <v>296</v>
      </c>
      <c r="B509" s="99" t="s">
        <v>2017</v>
      </c>
      <c r="C509" s="174">
        <v>38.84</v>
      </c>
      <c r="D509" s="175">
        <v>44663.0</v>
      </c>
      <c r="E509" s="97"/>
      <c r="F509" s="99">
        <v>2022.04</v>
      </c>
      <c r="G509" s="99" t="s">
        <v>52</v>
      </c>
      <c r="H509" s="99" t="s">
        <v>1264</v>
      </c>
      <c r="I509" s="99" t="s">
        <v>1990</v>
      </c>
      <c r="J509" s="97"/>
      <c r="K509" s="177">
        <v>44652.0</v>
      </c>
      <c r="L509" s="46" t="b">
        <v>1</v>
      </c>
    </row>
    <row r="510" hidden="1">
      <c r="A510" s="4" t="s">
        <v>299</v>
      </c>
      <c r="B510" s="170" t="s">
        <v>2017</v>
      </c>
      <c r="C510" s="171">
        <v>38.84</v>
      </c>
      <c r="D510" s="172">
        <v>44663.0</v>
      </c>
      <c r="E510" s="94"/>
      <c r="F510" s="170">
        <v>2022.04</v>
      </c>
      <c r="G510" s="170" t="s">
        <v>52</v>
      </c>
      <c r="H510" s="170" t="s">
        <v>1264</v>
      </c>
      <c r="I510" s="170" t="s">
        <v>1990</v>
      </c>
      <c r="J510" s="94"/>
      <c r="K510" s="173">
        <v>44652.0</v>
      </c>
      <c r="L510" s="45" t="b">
        <v>1</v>
      </c>
    </row>
    <row r="511" hidden="1">
      <c r="A511" s="16" t="s">
        <v>1266</v>
      </c>
      <c r="B511" s="99" t="s">
        <v>1994</v>
      </c>
      <c r="C511" s="174">
        <v>13.92</v>
      </c>
      <c r="D511" s="175">
        <v>44665.0</v>
      </c>
      <c r="E511" s="97"/>
      <c r="F511" s="99">
        <v>2022.0</v>
      </c>
      <c r="G511" s="99" t="s">
        <v>1152</v>
      </c>
      <c r="H511" s="99" t="s">
        <v>1264</v>
      </c>
      <c r="I511" s="99" t="s">
        <v>1995</v>
      </c>
      <c r="J511" s="97"/>
      <c r="K511" s="177">
        <v>44652.0</v>
      </c>
      <c r="L511" s="46" t="b">
        <v>1</v>
      </c>
    </row>
    <row r="512" hidden="1">
      <c r="A512" s="4" t="s">
        <v>1271</v>
      </c>
      <c r="B512" s="170" t="s">
        <v>2017</v>
      </c>
      <c r="C512" s="171">
        <v>51.94</v>
      </c>
      <c r="D512" s="172">
        <v>44678.0</v>
      </c>
      <c r="E512" s="94"/>
      <c r="F512" s="170">
        <v>2022.0</v>
      </c>
      <c r="G512" s="170" t="s">
        <v>1152</v>
      </c>
      <c r="H512" s="170" t="s">
        <v>1264</v>
      </c>
      <c r="I512" s="170" t="s">
        <v>1995</v>
      </c>
      <c r="J512" s="94"/>
      <c r="K512" s="173">
        <v>44652.0</v>
      </c>
      <c r="L512" s="45" t="b">
        <v>1</v>
      </c>
    </row>
    <row r="513" hidden="1">
      <c r="A513" s="16" t="s">
        <v>1271</v>
      </c>
      <c r="B513" s="99" t="s">
        <v>1997</v>
      </c>
      <c r="C513" s="174">
        <v>51.37</v>
      </c>
      <c r="D513" s="175">
        <v>44687.0</v>
      </c>
      <c r="E513" s="97"/>
      <c r="F513" s="99">
        <v>2022.0</v>
      </c>
      <c r="G513" s="99" t="s">
        <v>1152</v>
      </c>
      <c r="H513" s="99" t="s">
        <v>1264</v>
      </c>
      <c r="I513" s="99" t="s">
        <v>1995</v>
      </c>
      <c r="J513" s="97"/>
      <c r="K513" s="177">
        <v>44652.0</v>
      </c>
      <c r="L513" s="46" t="b">
        <v>1</v>
      </c>
    </row>
    <row r="514" hidden="1">
      <c r="A514" s="4" t="s">
        <v>147</v>
      </c>
      <c r="B514" s="170" t="s">
        <v>1980</v>
      </c>
      <c r="C514" s="171">
        <v>75.0</v>
      </c>
      <c r="D514" s="172">
        <v>44681.0</v>
      </c>
      <c r="E514" s="170">
        <v>110.0</v>
      </c>
      <c r="F514" s="170">
        <v>2022.04</v>
      </c>
      <c r="G514" s="170" t="s">
        <v>52</v>
      </c>
      <c r="H514" s="170" t="s">
        <v>1264</v>
      </c>
      <c r="I514" s="170" t="s">
        <v>1979</v>
      </c>
      <c r="J514" s="94"/>
      <c r="K514" s="173">
        <v>44652.0</v>
      </c>
      <c r="L514" s="45" t="b">
        <v>1</v>
      </c>
    </row>
    <row r="515" hidden="1">
      <c r="A515" s="16" t="s">
        <v>92</v>
      </c>
      <c r="B515" s="99" t="s">
        <v>1980</v>
      </c>
      <c r="C515" s="96">
        <f>350+225</f>
        <v>575</v>
      </c>
      <c r="D515" s="175">
        <v>44681.0</v>
      </c>
      <c r="E515" s="99">
        <v>110.0</v>
      </c>
      <c r="F515" s="99">
        <v>2022.04</v>
      </c>
      <c r="G515" s="99" t="s">
        <v>52</v>
      </c>
      <c r="H515" s="99" t="s">
        <v>1264</v>
      </c>
      <c r="I515" s="99" t="s">
        <v>1979</v>
      </c>
      <c r="J515" s="97"/>
      <c r="K515" s="177">
        <v>44652.0</v>
      </c>
      <c r="L515" s="46" t="b">
        <v>1</v>
      </c>
    </row>
    <row r="516" hidden="1">
      <c r="A516" s="4" t="s">
        <v>88</v>
      </c>
      <c r="B516" s="170" t="s">
        <v>1980</v>
      </c>
      <c r="C516" s="171">
        <v>45.0</v>
      </c>
      <c r="D516" s="172">
        <v>44681.0</v>
      </c>
      <c r="E516" s="170">
        <v>110.0</v>
      </c>
      <c r="F516" s="170">
        <v>2022.04</v>
      </c>
      <c r="G516" s="170" t="s">
        <v>52</v>
      </c>
      <c r="H516" s="170" t="s">
        <v>1264</v>
      </c>
      <c r="I516" s="170" t="s">
        <v>1979</v>
      </c>
      <c r="J516" s="94"/>
      <c r="K516" s="173">
        <v>44652.0</v>
      </c>
      <c r="L516" s="45" t="b">
        <v>1</v>
      </c>
    </row>
    <row r="517" hidden="1">
      <c r="A517" s="16" t="s">
        <v>151</v>
      </c>
      <c r="B517" s="99" t="s">
        <v>1980</v>
      </c>
      <c r="C517" s="174">
        <v>310.0</v>
      </c>
      <c r="D517" s="175">
        <v>44681.0</v>
      </c>
      <c r="E517" s="99">
        <v>110.0</v>
      </c>
      <c r="F517" s="99">
        <v>2022.04</v>
      </c>
      <c r="G517" s="99" t="s">
        <v>52</v>
      </c>
      <c r="H517" s="99" t="s">
        <v>1264</v>
      </c>
      <c r="I517" s="99" t="s">
        <v>1979</v>
      </c>
      <c r="J517" s="97"/>
      <c r="K517" s="177">
        <v>44652.0</v>
      </c>
      <c r="L517" s="46" t="b">
        <v>1</v>
      </c>
    </row>
    <row r="518" hidden="1">
      <c r="A518" s="31" t="s">
        <v>2046</v>
      </c>
      <c r="B518" s="170" t="s">
        <v>1980</v>
      </c>
      <c r="C518" s="171">
        <v>230.0</v>
      </c>
      <c r="D518" s="172">
        <v>44681.0</v>
      </c>
      <c r="E518" s="170">
        <v>110.0</v>
      </c>
      <c r="F518" s="170">
        <v>2022.04</v>
      </c>
      <c r="G518" s="170" t="s">
        <v>52</v>
      </c>
      <c r="H518" s="170" t="s">
        <v>1264</v>
      </c>
      <c r="I518" s="170" t="s">
        <v>1979</v>
      </c>
      <c r="J518" s="94"/>
      <c r="K518" s="173">
        <v>44652.0</v>
      </c>
      <c r="L518" s="45" t="b">
        <v>1</v>
      </c>
    </row>
    <row r="519" hidden="1">
      <c r="A519" s="16" t="s">
        <v>86</v>
      </c>
      <c r="B519" s="99" t="s">
        <v>1980</v>
      </c>
      <c r="C519" s="174">
        <v>280.0</v>
      </c>
      <c r="D519" s="175">
        <v>44681.0</v>
      </c>
      <c r="E519" s="99">
        <v>110.0</v>
      </c>
      <c r="F519" s="99">
        <v>2022.04</v>
      </c>
      <c r="G519" s="99" t="s">
        <v>52</v>
      </c>
      <c r="H519" s="99" t="s">
        <v>1264</v>
      </c>
      <c r="I519" s="99" t="s">
        <v>1979</v>
      </c>
      <c r="J519" s="97"/>
      <c r="K519" s="177">
        <v>44652.0</v>
      </c>
      <c r="L519" s="46" t="b">
        <v>1</v>
      </c>
    </row>
    <row r="520" hidden="1">
      <c r="A520" s="4" t="s">
        <v>97</v>
      </c>
      <c r="B520" s="170" t="s">
        <v>1980</v>
      </c>
      <c r="C520" s="171">
        <v>30.0</v>
      </c>
      <c r="D520" s="172">
        <v>44681.0</v>
      </c>
      <c r="E520" s="170">
        <v>110.0</v>
      </c>
      <c r="F520" s="170">
        <v>2022.04</v>
      </c>
      <c r="G520" s="170" t="s">
        <v>52</v>
      </c>
      <c r="H520" s="170" t="s">
        <v>1264</v>
      </c>
      <c r="I520" s="170" t="s">
        <v>1979</v>
      </c>
      <c r="J520" s="94"/>
      <c r="K520" s="173">
        <v>44652.0</v>
      </c>
      <c r="L520" s="45" t="b">
        <v>1</v>
      </c>
    </row>
    <row r="521" hidden="1">
      <c r="A521" s="16" t="s">
        <v>82</v>
      </c>
      <c r="B521" s="99" t="s">
        <v>1980</v>
      </c>
      <c r="C521" s="174">
        <v>75.0</v>
      </c>
      <c r="D521" s="175">
        <v>44681.0</v>
      </c>
      <c r="E521" s="99">
        <v>110.0</v>
      </c>
      <c r="F521" s="99">
        <v>2022.04</v>
      </c>
      <c r="G521" s="99" t="s">
        <v>52</v>
      </c>
      <c r="H521" s="99" t="s">
        <v>1264</v>
      </c>
      <c r="I521" s="99" t="s">
        <v>1979</v>
      </c>
      <c r="J521" s="97"/>
      <c r="K521" s="177">
        <v>44652.0</v>
      </c>
      <c r="L521" s="46" t="b">
        <v>1</v>
      </c>
    </row>
    <row r="522" hidden="1">
      <c r="A522" s="4" t="s">
        <v>99</v>
      </c>
      <c r="B522" s="170" t="s">
        <v>1980</v>
      </c>
      <c r="C522" s="93">
        <f>337.5+120</f>
        <v>457.5</v>
      </c>
      <c r="D522" s="172">
        <v>44681.0</v>
      </c>
      <c r="E522" s="170">
        <v>110.0</v>
      </c>
      <c r="F522" s="170">
        <v>2022.04</v>
      </c>
      <c r="G522" s="170" t="s">
        <v>52</v>
      </c>
      <c r="H522" s="170" t="s">
        <v>1264</v>
      </c>
      <c r="I522" s="170" t="s">
        <v>1979</v>
      </c>
      <c r="J522" s="94"/>
      <c r="K522" s="173">
        <v>44652.0</v>
      </c>
      <c r="L522" s="45" t="b">
        <v>1</v>
      </c>
    </row>
    <row r="523" hidden="1">
      <c r="A523" s="16" t="s">
        <v>68</v>
      </c>
      <c r="B523" s="99" t="s">
        <v>1980</v>
      </c>
      <c r="C523" s="96">
        <f>237.5+60</f>
        <v>297.5</v>
      </c>
      <c r="D523" s="175">
        <v>44681.0</v>
      </c>
      <c r="E523" s="99">
        <v>110.0</v>
      </c>
      <c r="F523" s="99">
        <v>2022.04</v>
      </c>
      <c r="G523" s="99" t="s">
        <v>52</v>
      </c>
      <c r="H523" s="99" t="s">
        <v>1264</v>
      </c>
      <c r="I523" s="99" t="s">
        <v>1979</v>
      </c>
      <c r="J523" s="97"/>
      <c r="K523" s="177">
        <v>44652.0</v>
      </c>
      <c r="L523" s="46" t="b">
        <v>1</v>
      </c>
    </row>
    <row r="524" hidden="1">
      <c r="A524" s="4" t="s">
        <v>42</v>
      </c>
      <c r="B524" s="170" t="s">
        <v>1980</v>
      </c>
      <c r="C524" s="93">
        <f>212.5+135</f>
        <v>347.5</v>
      </c>
      <c r="D524" s="172">
        <v>44681.0</v>
      </c>
      <c r="E524" s="170">
        <v>110.0</v>
      </c>
      <c r="F524" s="170">
        <v>2022.04</v>
      </c>
      <c r="G524" s="170" t="s">
        <v>52</v>
      </c>
      <c r="H524" s="170" t="s">
        <v>1264</v>
      </c>
      <c r="I524" s="170" t="s">
        <v>1979</v>
      </c>
      <c r="J524" s="94"/>
      <c r="K524" s="173">
        <v>44652.0</v>
      </c>
      <c r="L524" s="45" t="b">
        <v>1</v>
      </c>
    </row>
    <row r="525" hidden="1">
      <c r="A525" s="16" t="s">
        <v>58</v>
      </c>
      <c r="B525" s="99" t="s">
        <v>1980</v>
      </c>
      <c r="C525" s="174">
        <v>400.0</v>
      </c>
      <c r="D525" s="175">
        <v>44681.0</v>
      </c>
      <c r="E525" s="99">
        <v>110.0</v>
      </c>
      <c r="F525" s="99">
        <v>2022.04</v>
      </c>
      <c r="G525" s="99" t="s">
        <v>52</v>
      </c>
      <c r="H525" s="99" t="s">
        <v>1264</v>
      </c>
      <c r="I525" s="99" t="s">
        <v>1979</v>
      </c>
      <c r="J525" s="97"/>
      <c r="K525" s="177">
        <v>44652.0</v>
      </c>
      <c r="L525" s="46" t="b">
        <v>1</v>
      </c>
    </row>
    <row r="526" hidden="1">
      <c r="A526" s="4" t="s">
        <v>123</v>
      </c>
      <c r="B526" s="170" t="s">
        <v>1980</v>
      </c>
      <c r="C526" s="171">
        <v>300.0</v>
      </c>
      <c r="D526" s="172">
        <v>44681.0</v>
      </c>
      <c r="E526" s="170">
        <v>110.0</v>
      </c>
      <c r="F526" s="170">
        <v>2022.04</v>
      </c>
      <c r="G526" s="170" t="s">
        <v>52</v>
      </c>
      <c r="H526" s="170" t="s">
        <v>1264</v>
      </c>
      <c r="I526" s="170" t="s">
        <v>1979</v>
      </c>
      <c r="J526" s="94"/>
      <c r="K526" s="173">
        <v>44652.0</v>
      </c>
      <c r="L526" s="45" t="b">
        <v>1</v>
      </c>
    </row>
    <row r="527" hidden="1">
      <c r="A527" s="16" t="s">
        <v>73</v>
      </c>
      <c r="B527" s="99" t="s">
        <v>1980</v>
      </c>
      <c r="C527" s="174">
        <v>60.0</v>
      </c>
      <c r="D527" s="175">
        <v>44681.0</v>
      </c>
      <c r="E527" s="99">
        <v>110.0</v>
      </c>
      <c r="F527" s="99">
        <v>2022.04</v>
      </c>
      <c r="G527" s="99" t="s">
        <v>52</v>
      </c>
      <c r="H527" s="99" t="s">
        <v>1264</v>
      </c>
      <c r="I527" s="99" t="s">
        <v>1979</v>
      </c>
      <c r="J527" s="97"/>
      <c r="K527" s="177">
        <v>44652.0</v>
      </c>
      <c r="L527" s="46" t="b">
        <v>1</v>
      </c>
    </row>
    <row r="528" hidden="1">
      <c r="A528" s="4" t="s">
        <v>50</v>
      </c>
      <c r="B528" s="170" t="s">
        <v>1980</v>
      </c>
      <c r="C528" s="171">
        <v>30.0</v>
      </c>
      <c r="D528" s="172">
        <v>44681.0</v>
      </c>
      <c r="E528" s="170">
        <v>110.0</v>
      </c>
      <c r="F528" s="170">
        <v>2022.04</v>
      </c>
      <c r="G528" s="170" t="s">
        <v>52</v>
      </c>
      <c r="H528" s="170" t="s">
        <v>1264</v>
      </c>
      <c r="I528" s="170" t="s">
        <v>1979</v>
      </c>
      <c r="J528" s="94"/>
      <c r="K528" s="173">
        <v>44652.0</v>
      </c>
      <c r="L528" s="45" t="b">
        <v>1</v>
      </c>
    </row>
    <row r="529" hidden="1">
      <c r="A529" s="16" t="s">
        <v>62</v>
      </c>
      <c r="B529" s="99" t="s">
        <v>1980</v>
      </c>
      <c r="C529" s="174">
        <v>300.0</v>
      </c>
      <c r="D529" s="175">
        <v>44681.0</v>
      </c>
      <c r="E529" s="99">
        <v>110.0</v>
      </c>
      <c r="F529" s="99">
        <v>2022.04</v>
      </c>
      <c r="G529" s="99" t="s">
        <v>52</v>
      </c>
      <c r="H529" s="99" t="s">
        <v>1264</v>
      </c>
      <c r="I529" s="99" t="s">
        <v>1979</v>
      </c>
      <c r="J529" s="97"/>
      <c r="K529" s="177">
        <v>44652.0</v>
      </c>
      <c r="L529" s="46" t="b">
        <v>1</v>
      </c>
    </row>
    <row r="530" hidden="1">
      <c r="A530" s="4" t="s">
        <v>223</v>
      </c>
      <c r="B530" s="170" t="s">
        <v>1980</v>
      </c>
      <c r="C530" s="171">
        <v>75.0</v>
      </c>
      <c r="D530" s="172">
        <v>44681.0</v>
      </c>
      <c r="E530" s="170">
        <v>110.0</v>
      </c>
      <c r="F530" s="170">
        <v>2022.04</v>
      </c>
      <c r="G530" s="170" t="s">
        <v>52</v>
      </c>
      <c r="H530" s="170" t="s">
        <v>1264</v>
      </c>
      <c r="I530" s="170" t="s">
        <v>1979</v>
      </c>
      <c r="J530" s="94"/>
      <c r="K530" s="173">
        <v>44652.0</v>
      </c>
      <c r="L530" s="45" t="b">
        <v>1</v>
      </c>
    </row>
    <row r="531" hidden="1">
      <c r="A531" s="16" t="s">
        <v>225</v>
      </c>
      <c r="B531" s="99" t="s">
        <v>1980</v>
      </c>
      <c r="C531" s="96">
        <f>1500+360</f>
        <v>1860</v>
      </c>
      <c r="D531" s="175">
        <v>44681.0</v>
      </c>
      <c r="E531" s="99">
        <v>110.0</v>
      </c>
      <c r="F531" s="99">
        <v>2022.04</v>
      </c>
      <c r="G531" s="99" t="s">
        <v>52</v>
      </c>
      <c r="H531" s="99" t="s">
        <v>1264</v>
      </c>
      <c r="I531" s="99" t="s">
        <v>1979</v>
      </c>
      <c r="J531" s="97"/>
      <c r="K531" s="177">
        <v>44652.0</v>
      </c>
      <c r="L531" s="46" t="b">
        <v>1</v>
      </c>
    </row>
    <row r="532" hidden="1">
      <c r="A532" s="4" t="s">
        <v>246</v>
      </c>
      <c r="B532" s="170" t="s">
        <v>1980</v>
      </c>
      <c r="C532" s="171">
        <v>45.0</v>
      </c>
      <c r="D532" s="172">
        <v>44681.0</v>
      </c>
      <c r="E532" s="170">
        <v>110.0</v>
      </c>
      <c r="F532" s="170">
        <v>2022.04</v>
      </c>
      <c r="G532" s="170" t="s">
        <v>52</v>
      </c>
      <c r="H532" s="170" t="s">
        <v>1264</v>
      </c>
      <c r="I532" s="170" t="s">
        <v>1979</v>
      </c>
      <c r="J532" s="94"/>
      <c r="K532" s="173">
        <v>44652.0</v>
      </c>
      <c r="L532" s="45" t="b">
        <v>1</v>
      </c>
    </row>
    <row r="533" hidden="1">
      <c r="A533" s="16" t="s">
        <v>296</v>
      </c>
      <c r="B533" s="99" t="s">
        <v>1980</v>
      </c>
      <c r="C533" s="174">
        <v>350.0</v>
      </c>
      <c r="D533" s="175">
        <v>44681.0</v>
      </c>
      <c r="E533" s="99">
        <v>110.0</v>
      </c>
      <c r="F533" s="99">
        <v>2022.04</v>
      </c>
      <c r="G533" s="99" t="s">
        <v>52</v>
      </c>
      <c r="H533" s="99" t="s">
        <v>1264</v>
      </c>
      <c r="I533" s="99" t="s">
        <v>1979</v>
      </c>
      <c r="J533" s="97"/>
      <c r="K533" s="177">
        <v>44652.0</v>
      </c>
      <c r="L533" s="46" t="b">
        <v>1</v>
      </c>
    </row>
    <row r="534" hidden="1">
      <c r="A534" s="4" t="s">
        <v>66</v>
      </c>
      <c r="B534" s="170" t="s">
        <v>1980</v>
      </c>
      <c r="C534" s="171">
        <v>60.0</v>
      </c>
      <c r="D534" s="172">
        <v>44681.0</v>
      </c>
      <c r="E534" s="170">
        <v>110.0</v>
      </c>
      <c r="F534" s="170">
        <v>2022.04</v>
      </c>
      <c r="G534" s="170" t="s">
        <v>52</v>
      </c>
      <c r="H534" s="170" t="s">
        <v>1264</v>
      </c>
      <c r="I534" s="170" t="s">
        <v>1979</v>
      </c>
      <c r="J534" s="94"/>
      <c r="K534" s="173">
        <v>44652.0</v>
      </c>
      <c r="L534" s="45" t="b">
        <v>1</v>
      </c>
    </row>
    <row r="535" hidden="1">
      <c r="A535" s="16" t="s">
        <v>279</v>
      </c>
      <c r="B535" s="99" t="s">
        <v>1980</v>
      </c>
      <c r="C535" s="174">
        <f>30+75</f>
        <v>105</v>
      </c>
      <c r="D535" s="175">
        <v>44681.0</v>
      </c>
      <c r="E535" s="99">
        <v>110.0</v>
      </c>
      <c r="F535" s="99">
        <v>2022.0</v>
      </c>
      <c r="G535" s="99" t="s">
        <v>1160</v>
      </c>
      <c r="H535" s="99" t="s">
        <v>1264</v>
      </c>
      <c r="I535" s="99" t="s">
        <v>1979</v>
      </c>
      <c r="J535" s="97"/>
      <c r="K535" s="177">
        <v>44652.0</v>
      </c>
      <c r="L535" s="46" t="b">
        <v>1</v>
      </c>
    </row>
    <row r="536" hidden="1">
      <c r="A536" s="4" t="s">
        <v>354</v>
      </c>
      <c r="B536" s="170" t="s">
        <v>1980</v>
      </c>
      <c r="C536" s="171">
        <v>610.0</v>
      </c>
      <c r="D536" s="172">
        <v>44681.0</v>
      </c>
      <c r="E536" s="170">
        <v>110.0</v>
      </c>
      <c r="F536" s="170">
        <v>2022.04</v>
      </c>
      <c r="G536" s="170" t="s">
        <v>52</v>
      </c>
      <c r="H536" s="170" t="s">
        <v>1264</v>
      </c>
      <c r="I536" s="170" t="s">
        <v>1979</v>
      </c>
      <c r="J536" s="94"/>
      <c r="K536" s="173">
        <v>44652.0</v>
      </c>
      <c r="L536" s="45" t="b">
        <v>1</v>
      </c>
    </row>
    <row r="537" hidden="1">
      <c r="A537" s="16" t="s">
        <v>264</v>
      </c>
      <c r="B537" s="99" t="s">
        <v>2002</v>
      </c>
      <c r="C537" s="190">
        <v>55.80225939995643</v>
      </c>
      <c r="D537" s="175">
        <v>44681.0</v>
      </c>
      <c r="E537" s="97"/>
      <c r="F537" s="99">
        <v>2022.0</v>
      </c>
      <c r="G537" s="99" t="s">
        <v>1160</v>
      </c>
      <c r="H537" s="99" t="s">
        <v>1999</v>
      </c>
      <c r="I537" s="99" t="s">
        <v>1979</v>
      </c>
      <c r="J537" s="97"/>
      <c r="K537" s="177">
        <v>44652.0</v>
      </c>
      <c r="L537" s="46" t="b">
        <v>1</v>
      </c>
    </row>
    <row r="538" hidden="1">
      <c r="A538" s="4" t="s">
        <v>264</v>
      </c>
      <c r="B538" s="170" t="s">
        <v>2002</v>
      </c>
      <c r="C538" s="190">
        <v>468.0829684505032</v>
      </c>
      <c r="D538" s="172">
        <v>44681.0</v>
      </c>
      <c r="E538" s="94"/>
      <c r="F538" s="170">
        <v>2022.0</v>
      </c>
      <c r="G538" s="170" t="s">
        <v>1160</v>
      </c>
      <c r="H538" s="170" t="s">
        <v>1999</v>
      </c>
      <c r="I538" s="170" t="s">
        <v>1979</v>
      </c>
      <c r="J538" s="94"/>
      <c r="K538" s="173">
        <v>44652.0</v>
      </c>
      <c r="L538" s="45" t="b">
        <v>1</v>
      </c>
    </row>
    <row r="539" hidden="1">
      <c r="A539" s="16" t="s">
        <v>54</v>
      </c>
      <c r="B539" s="99" t="s">
        <v>2002</v>
      </c>
      <c r="C539" s="190">
        <v>23.144444444444442</v>
      </c>
      <c r="D539" s="175">
        <v>44681.0</v>
      </c>
      <c r="E539" s="97"/>
      <c r="F539" s="99">
        <v>2022.04</v>
      </c>
      <c r="G539" s="99" t="s">
        <v>52</v>
      </c>
      <c r="H539" s="99" t="s">
        <v>1999</v>
      </c>
      <c r="I539" s="99" t="s">
        <v>1979</v>
      </c>
      <c r="J539" s="97"/>
      <c r="K539" s="177">
        <v>44652.0</v>
      </c>
      <c r="L539" s="46" t="b">
        <v>1</v>
      </c>
    </row>
    <row r="540" hidden="1">
      <c r="A540" s="4" t="s">
        <v>149</v>
      </c>
      <c r="B540" s="170" t="s">
        <v>2002</v>
      </c>
      <c r="C540" s="190">
        <v>23.877777777777776</v>
      </c>
      <c r="D540" s="172">
        <v>44681.0</v>
      </c>
      <c r="E540" s="94"/>
      <c r="F540" s="170">
        <v>2022.0</v>
      </c>
      <c r="G540" s="170" t="s">
        <v>1152</v>
      </c>
      <c r="H540" s="170" t="s">
        <v>1999</v>
      </c>
      <c r="I540" s="170" t="s">
        <v>1979</v>
      </c>
      <c r="J540" s="94"/>
      <c r="K540" s="173">
        <v>44652.0</v>
      </c>
      <c r="L540" s="45" t="b">
        <v>1</v>
      </c>
    </row>
    <row r="541" hidden="1">
      <c r="A541" s="16" t="s">
        <v>147</v>
      </c>
      <c r="B541" s="99" t="s">
        <v>2002</v>
      </c>
      <c r="C541" s="190">
        <v>12.283333333333333</v>
      </c>
      <c r="D541" s="175">
        <v>44681.0</v>
      </c>
      <c r="E541" s="97"/>
      <c r="F541" s="99">
        <v>2022.04</v>
      </c>
      <c r="G541" s="99" t="s">
        <v>52</v>
      </c>
      <c r="H541" s="99" t="s">
        <v>1999</v>
      </c>
      <c r="I541" s="99" t="s">
        <v>1979</v>
      </c>
      <c r="J541" s="97"/>
      <c r="K541" s="177">
        <v>44652.0</v>
      </c>
      <c r="L541" s="46" t="b">
        <v>1</v>
      </c>
    </row>
    <row r="542" hidden="1">
      <c r="A542" s="4" t="s">
        <v>203</v>
      </c>
      <c r="B542" s="170" t="s">
        <v>2002</v>
      </c>
      <c r="C542" s="190">
        <v>467.48333333333323</v>
      </c>
      <c r="D542" s="172">
        <v>44681.0</v>
      </c>
      <c r="E542" s="94"/>
      <c r="F542" s="170">
        <v>2022.0</v>
      </c>
      <c r="G542" s="170" t="s">
        <v>1160</v>
      </c>
      <c r="H542" s="170" t="s">
        <v>1999</v>
      </c>
      <c r="I542" s="170" t="s">
        <v>1979</v>
      </c>
      <c r="J542" s="94"/>
      <c r="K542" s="173">
        <v>44652.0</v>
      </c>
      <c r="L542" s="45" t="b">
        <v>1</v>
      </c>
    </row>
    <row r="543" hidden="1">
      <c r="A543" s="16" t="s">
        <v>82</v>
      </c>
      <c r="B543" s="99" t="s">
        <v>2002</v>
      </c>
      <c r="C543" s="190">
        <v>7.583333333333333</v>
      </c>
      <c r="D543" s="175">
        <v>44681.0</v>
      </c>
      <c r="E543" s="97"/>
      <c r="F543" s="99">
        <v>2022.04</v>
      </c>
      <c r="G543" s="99" t="s">
        <v>52</v>
      </c>
      <c r="H543" s="99" t="s">
        <v>1999</v>
      </c>
      <c r="I543" s="99" t="s">
        <v>1979</v>
      </c>
      <c r="J543" s="97"/>
      <c r="K543" s="177">
        <v>44652.0</v>
      </c>
      <c r="L543" s="46" t="b">
        <v>1</v>
      </c>
    </row>
    <row r="544" hidden="1">
      <c r="A544" s="4" t="s">
        <v>354</v>
      </c>
      <c r="B544" s="170" t="s">
        <v>2002</v>
      </c>
      <c r="C544" s="190">
        <v>304.1388888888888</v>
      </c>
      <c r="D544" s="172">
        <v>44681.0</v>
      </c>
      <c r="E544" s="94"/>
      <c r="F544" s="170">
        <v>2022.04</v>
      </c>
      <c r="G544" s="170" t="s">
        <v>52</v>
      </c>
      <c r="H544" s="170" t="s">
        <v>1999</v>
      </c>
      <c r="I544" s="170" t="s">
        <v>1979</v>
      </c>
      <c r="J544" s="94"/>
      <c r="K544" s="173">
        <v>44652.0</v>
      </c>
      <c r="L544" s="45" t="b">
        <v>1</v>
      </c>
    </row>
    <row r="545" hidden="1">
      <c r="A545" s="16" t="s">
        <v>1266</v>
      </c>
      <c r="B545" s="99" t="s">
        <v>2002</v>
      </c>
      <c r="C545" s="190">
        <v>431.5277777777778</v>
      </c>
      <c r="D545" s="175">
        <v>44681.0</v>
      </c>
      <c r="E545" s="97"/>
      <c r="F545" s="99">
        <v>2022.0</v>
      </c>
      <c r="G545" s="99" t="s">
        <v>1152</v>
      </c>
      <c r="H545" s="99" t="s">
        <v>1999</v>
      </c>
      <c r="I545" s="99" t="s">
        <v>1979</v>
      </c>
      <c r="J545" s="97"/>
      <c r="K545" s="177">
        <v>44652.0</v>
      </c>
      <c r="L545" s="46" t="b">
        <v>1</v>
      </c>
    </row>
    <row r="546" hidden="1">
      <c r="A546" s="4" t="s">
        <v>420</v>
      </c>
      <c r="B546" s="170" t="s">
        <v>2002</v>
      </c>
      <c r="C546" s="190">
        <v>163.79444444444448</v>
      </c>
      <c r="D546" s="172">
        <v>44681.0</v>
      </c>
      <c r="E546" s="94"/>
      <c r="F546" s="170">
        <v>2022.0</v>
      </c>
      <c r="G546" s="170" t="s">
        <v>1160</v>
      </c>
      <c r="H546" s="170" t="s">
        <v>1999</v>
      </c>
      <c r="I546" s="170" t="s">
        <v>1979</v>
      </c>
      <c r="J546" s="94"/>
      <c r="K546" s="173">
        <v>44652.0</v>
      </c>
      <c r="L546" s="45" t="b">
        <v>1</v>
      </c>
    </row>
    <row r="547" hidden="1">
      <c r="A547" s="16" t="s">
        <v>123</v>
      </c>
      <c r="B547" s="99" t="s">
        <v>2002</v>
      </c>
      <c r="C547" s="190">
        <v>156.10517956782465</v>
      </c>
      <c r="D547" s="175">
        <v>44681.0</v>
      </c>
      <c r="E547" s="97"/>
      <c r="F547" s="99">
        <v>2022.04</v>
      </c>
      <c r="G547" s="99" t="s">
        <v>52</v>
      </c>
      <c r="H547" s="99" t="s">
        <v>1999</v>
      </c>
      <c r="I547" s="99" t="s">
        <v>1979</v>
      </c>
      <c r="J547" s="97"/>
      <c r="K547" s="177">
        <v>44652.0</v>
      </c>
      <c r="L547" s="46" t="b">
        <v>1</v>
      </c>
    </row>
    <row r="548" hidden="1">
      <c r="A548" s="4" t="s">
        <v>115</v>
      </c>
      <c r="B548" s="170" t="s">
        <v>2002</v>
      </c>
      <c r="C548" s="190">
        <v>11.783333333333331</v>
      </c>
      <c r="D548" s="172">
        <v>44681.0</v>
      </c>
      <c r="E548" s="94"/>
      <c r="F548" s="170">
        <v>2022.04</v>
      </c>
      <c r="G548" s="170" t="s">
        <v>52</v>
      </c>
      <c r="H548" s="170" t="s">
        <v>1999</v>
      </c>
      <c r="I548" s="170" t="s">
        <v>1979</v>
      </c>
      <c r="J548" s="94"/>
      <c r="K548" s="173">
        <v>44652.0</v>
      </c>
      <c r="L548" s="45" t="b">
        <v>1</v>
      </c>
    </row>
    <row r="549" hidden="1">
      <c r="A549" s="16" t="s">
        <v>118</v>
      </c>
      <c r="B549" s="99" t="s">
        <v>2002</v>
      </c>
      <c r="C549" s="190">
        <v>90.10555555555555</v>
      </c>
      <c r="D549" s="175">
        <v>44681.0</v>
      </c>
      <c r="E549" s="97"/>
      <c r="F549" s="99">
        <v>2022.04</v>
      </c>
      <c r="G549" s="99" t="s">
        <v>52</v>
      </c>
      <c r="H549" s="99" t="s">
        <v>1999</v>
      </c>
      <c r="I549" s="99" t="s">
        <v>1979</v>
      </c>
      <c r="J549" s="97"/>
      <c r="K549" s="177">
        <v>44652.0</v>
      </c>
      <c r="L549" s="46" t="b">
        <v>1</v>
      </c>
    </row>
    <row r="550" hidden="1">
      <c r="A550" s="4" t="s">
        <v>373</v>
      </c>
      <c r="B550" s="170" t="s">
        <v>2002</v>
      </c>
      <c r="C550" s="190">
        <v>281.79999999999995</v>
      </c>
      <c r="D550" s="172">
        <v>44681.0</v>
      </c>
      <c r="E550" s="94"/>
      <c r="F550" s="170">
        <v>2022.0</v>
      </c>
      <c r="G550" s="170" t="s">
        <v>1160</v>
      </c>
      <c r="H550" s="170" t="s">
        <v>1999</v>
      </c>
      <c r="I550" s="170" t="s">
        <v>1979</v>
      </c>
      <c r="J550" s="94"/>
      <c r="K550" s="173">
        <v>44652.0</v>
      </c>
      <c r="L550" s="45" t="b">
        <v>1</v>
      </c>
    </row>
    <row r="551" hidden="1">
      <c r="A551" s="16" t="s">
        <v>118</v>
      </c>
      <c r="B551" s="99" t="s">
        <v>1976</v>
      </c>
      <c r="C551" s="191">
        <v>750.0</v>
      </c>
      <c r="D551" s="175">
        <v>44672.0</v>
      </c>
      <c r="E551" s="97"/>
      <c r="F551" s="99">
        <v>2022.04</v>
      </c>
      <c r="G551" s="99" t="s">
        <v>52</v>
      </c>
      <c r="H551" s="99" t="s">
        <v>1999</v>
      </c>
      <c r="I551" s="99" t="s">
        <v>1977</v>
      </c>
      <c r="J551" s="97"/>
      <c r="K551" s="177">
        <v>44652.0</v>
      </c>
      <c r="L551" s="46" t="b">
        <v>1</v>
      </c>
    </row>
    <row r="552" hidden="1">
      <c r="A552" s="4" t="s">
        <v>115</v>
      </c>
      <c r="B552" s="170" t="s">
        <v>1976</v>
      </c>
      <c r="C552" s="171">
        <v>750.0</v>
      </c>
      <c r="D552" s="172">
        <v>44680.0</v>
      </c>
      <c r="E552" s="94"/>
      <c r="F552" s="170">
        <v>2022.04</v>
      </c>
      <c r="G552" s="170" t="s">
        <v>52</v>
      </c>
      <c r="H552" s="170" t="s">
        <v>1999</v>
      </c>
      <c r="I552" s="170" t="s">
        <v>1977</v>
      </c>
      <c r="J552" s="94"/>
      <c r="K552" s="173">
        <v>44652.0</v>
      </c>
      <c r="L552" s="45" t="b">
        <v>1</v>
      </c>
    </row>
    <row r="553" hidden="1">
      <c r="A553" s="16" t="s">
        <v>1271</v>
      </c>
      <c r="B553" s="99" t="s">
        <v>2000</v>
      </c>
      <c r="C553" s="174">
        <v>470.09</v>
      </c>
      <c r="D553" s="175">
        <v>44681.0</v>
      </c>
      <c r="E553" s="97"/>
      <c r="F553" s="99">
        <v>2022.0</v>
      </c>
      <c r="G553" s="99" t="s">
        <v>1152</v>
      </c>
      <c r="H553" s="99" t="s">
        <v>1999</v>
      </c>
      <c r="I553" s="99" t="s">
        <v>1995</v>
      </c>
      <c r="J553" s="97"/>
      <c r="K553" s="177">
        <v>44652.0</v>
      </c>
      <c r="L553" s="46" t="b">
        <v>1</v>
      </c>
    </row>
    <row r="554" hidden="1">
      <c r="A554" s="4" t="s">
        <v>115</v>
      </c>
      <c r="B554" s="170" t="s">
        <v>1976</v>
      </c>
      <c r="C554" s="171">
        <v>28.96</v>
      </c>
      <c r="D554" s="172">
        <v>44682.0</v>
      </c>
      <c r="E554" s="94"/>
      <c r="F554" s="170">
        <v>2022.05</v>
      </c>
      <c r="G554" s="170" t="s">
        <v>52</v>
      </c>
      <c r="H554" s="170" t="s">
        <v>1999</v>
      </c>
      <c r="I554" s="170" t="s">
        <v>1977</v>
      </c>
      <c r="J554" s="94"/>
      <c r="K554" s="173">
        <v>44652.0</v>
      </c>
      <c r="L554" s="45" t="b">
        <v>1</v>
      </c>
    </row>
    <row r="555" hidden="1">
      <c r="A555" s="16" t="s">
        <v>118</v>
      </c>
      <c r="B555" s="99" t="s">
        <v>1976</v>
      </c>
      <c r="C555" s="174">
        <v>331.35</v>
      </c>
      <c r="D555" s="175">
        <v>44683.0</v>
      </c>
      <c r="E555" s="97"/>
      <c r="F555" s="99">
        <v>2022.05</v>
      </c>
      <c r="G555" s="99" t="s">
        <v>52</v>
      </c>
      <c r="H555" s="99" t="s">
        <v>1999</v>
      </c>
      <c r="I555" s="99" t="s">
        <v>1977</v>
      </c>
      <c r="J555" s="97"/>
      <c r="K555" s="177">
        <v>44652.0</v>
      </c>
      <c r="L555" s="46" t="b">
        <v>1</v>
      </c>
    </row>
    <row r="556" hidden="1">
      <c r="A556" s="4" t="s">
        <v>279</v>
      </c>
      <c r="B556" s="170" t="s">
        <v>1976</v>
      </c>
      <c r="C556" s="171">
        <v>304.53</v>
      </c>
      <c r="D556" s="172">
        <v>44683.0</v>
      </c>
      <c r="E556" s="94"/>
      <c r="F556" s="170">
        <v>2022.0</v>
      </c>
      <c r="G556" s="170" t="s">
        <v>1160</v>
      </c>
      <c r="H556" s="170" t="s">
        <v>1999</v>
      </c>
      <c r="I556" s="170" t="s">
        <v>1977</v>
      </c>
      <c r="J556" s="94"/>
      <c r="K556" s="173">
        <v>44652.0</v>
      </c>
      <c r="L556" s="45" t="b">
        <v>1</v>
      </c>
    </row>
    <row r="557" hidden="1">
      <c r="A557" s="16" t="s">
        <v>92</v>
      </c>
      <c r="B557" s="99" t="s">
        <v>1988</v>
      </c>
      <c r="C557" s="174">
        <v>70.0</v>
      </c>
      <c r="D557" s="175">
        <v>44684.0</v>
      </c>
      <c r="E557" s="97"/>
      <c r="F557" s="99">
        <v>2022.05</v>
      </c>
      <c r="G557" s="99" t="s">
        <v>52</v>
      </c>
      <c r="H557" s="99" t="s">
        <v>1999</v>
      </c>
      <c r="I557" s="99" t="s">
        <v>1977</v>
      </c>
      <c r="J557" s="97"/>
      <c r="K557" s="177">
        <v>44652.0</v>
      </c>
      <c r="L557" s="46" t="b">
        <v>1</v>
      </c>
    </row>
    <row r="558" hidden="1">
      <c r="A558" s="4" t="s">
        <v>1266</v>
      </c>
      <c r="B558" s="94"/>
      <c r="C558" s="171">
        <v>49.92</v>
      </c>
      <c r="D558" s="172">
        <v>44711.0</v>
      </c>
      <c r="E558" s="94"/>
      <c r="F558" s="170">
        <v>2022.0</v>
      </c>
      <c r="G558" s="170" t="s">
        <v>1152</v>
      </c>
      <c r="H558" s="170" t="s">
        <v>1264</v>
      </c>
      <c r="I558" s="170" t="s">
        <v>1267</v>
      </c>
      <c r="J558" s="170" t="s">
        <v>2047</v>
      </c>
      <c r="K558" s="173">
        <v>44682.0</v>
      </c>
      <c r="L558" s="45" t="b">
        <v>1</v>
      </c>
    </row>
    <row r="559" hidden="1">
      <c r="A559" s="16" t="s">
        <v>102</v>
      </c>
      <c r="B559" s="99" t="s">
        <v>1987</v>
      </c>
      <c r="C559" s="174">
        <v>150.0</v>
      </c>
      <c r="D559" s="175">
        <v>44712.0</v>
      </c>
      <c r="E559" s="99">
        <v>1021.0</v>
      </c>
      <c r="F559" s="99">
        <v>2022.05</v>
      </c>
      <c r="G559" s="99" t="s">
        <v>52</v>
      </c>
      <c r="H559" s="99" t="s">
        <v>1264</v>
      </c>
      <c r="I559" s="99" t="s">
        <v>1979</v>
      </c>
      <c r="J559" s="97"/>
      <c r="K559" s="177">
        <v>44682.0</v>
      </c>
      <c r="L559" s="46" t="b">
        <v>1</v>
      </c>
    </row>
    <row r="560" hidden="1">
      <c r="A560" s="4" t="s">
        <v>82</v>
      </c>
      <c r="B560" s="170" t="s">
        <v>1986</v>
      </c>
      <c r="C560" s="171">
        <v>225.0</v>
      </c>
      <c r="D560" s="172">
        <v>44712.0</v>
      </c>
      <c r="E560" s="170">
        <v>7.0</v>
      </c>
      <c r="F560" s="170">
        <v>2022.05</v>
      </c>
      <c r="G560" s="170" t="s">
        <v>52</v>
      </c>
      <c r="H560" s="170" t="s">
        <v>1264</v>
      </c>
      <c r="I560" s="170" t="s">
        <v>1979</v>
      </c>
      <c r="J560" s="94"/>
      <c r="K560" s="173">
        <v>44682.0</v>
      </c>
      <c r="L560" s="45" t="b">
        <v>1</v>
      </c>
    </row>
    <row r="561" hidden="1">
      <c r="A561" s="16" t="s">
        <v>279</v>
      </c>
      <c r="B561" s="99" t="s">
        <v>1986</v>
      </c>
      <c r="C561" s="174">
        <v>125.0</v>
      </c>
      <c r="D561" s="175">
        <v>44712.0</v>
      </c>
      <c r="E561" s="99">
        <v>7.0</v>
      </c>
      <c r="F561" s="99">
        <v>2022.0</v>
      </c>
      <c r="G561" s="99" t="s">
        <v>1160</v>
      </c>
      <c r="H561" s="99" t="s">
        <v>1264</v>
      </c>
      <c r="I561" s="99" t="s">
        <v>1979</v>
      </c>
      <c r="J561" s="97"/>
      <c r="K561" s="177">
        <v>44682.0</v>
      </c>
      <c r="L561" s="46" t="b">
        <v>1</v>
      </c>
    </row>
    <row r="562" hidden="1">
      <c r="A562" s="4" t="s">
        <v>68</v>
      </c>
      <c r="B562" s="170" t="s">
        <v>1986</v>
      </c>
      <c r="C562" s="171">
        <v>237.5</v>
      </c>
      <c r="D562" s="172">
        <v>44712.0</v>
      </c>
      <c r="E562" s="170">
        <v>7.0</v>
      </c>
      <c r="F562" s="170">
        <v>2022.05</v>
      </c>
      <c r="G562" s="170" t="s">
        <v>52</v>
      </c>
      <c r="H562" s="170" t="s">
        <v>1264</v>
      </c>
      <c r="I562" s="170" t="s">
        <v>1979</v>
      </c>
      <c r="J562" s="94"/>
      <c r="K562" s="173">
        <v>44682.0</v>
      </c>
      <c r="L562" s="45" t="b">
        <v>1</v>
      </c>
    </row>
    <row r="563" hidden="1">
      <c r="A563" s="16" t="s">
        <v>147</v>
      </c>
      <c r="B563" s="99" t="s">
        <v>1980</v>
      </c>
      <c r="C563" s="174">
        <v>75.0</v>
      </c>
      <c r="D563" s="175">
        <v>44712.0</v>
      </c>
      <c r="E563" s="99">
        <v>111.0</v>
      </c>
      <c r="F563" s="99">
        <v>2022.05</v>
      </c>
      <c r="G563" s="99" t="s">
        <v>52</v>
      </c>
      <c r="H563" s="99" t="s">
        <v>1264</v>
      </c>
      <c r="I563" s="99" t="s">
        <v>1979</v>
      </c>
      <c r="J563" s="97"/>
      <c r="K563" s="177">
        <v>44682.0</v>
      </c>
      <c r="L563" s="46" t="b">
        <v>1</v>
      </c>
    </row>
    <row r="564" hidden="1">
      <c r="A564" s="4" t="s">
        <v>92</v>
      </c>
      <c r="B564" s="170" t="s">
        <v>1980</v>
      </c>
      <c r="C564" s="93">
        <f>350+225</f>
        <v>575</v>
      </c>
      <c r="D564" s="172">
        <v>44712.0</v>
      </c>
      <c r="E564" s="170">
        <v>111.0</v>
      </c>
      <c r="F564" s="170">
        <v>2022.05</v>
      </c>
      <c r="G564" s="170" t="s">
        <v>52</v>
      </c>
      <c r="H564" s="170" t="s">
        <v>1264</v>
      </c>
      <c r="I564" s="170" t="s">
        <v>1979</v>
      </c>
      <c r="J564" s="94"/>
      <c r="K564" s="173">
        <v>44682.0</v>
      </c>
      <c r="L564" s="45" t="b">
        <v>1</v>
      </c>
    </row>
    <row r="565" hidden="1">
      <c r="A565" s="16" t="s">
        <v>88</v>
      </c>
      <c r="B565" s="99" t="s">
        <v>1980</v>
      </c>
      <c r="C565" s="174">
        <v>45.0</v>
      </c>
      <c r="D565" s="175">
        <v>44712.0</v>
      </c>
      <c r="E565" s="99">
        <v>111.0</v>
      </c>
      <c r="F565" s="99">
        <v>2022.05</v>
      </c>
      <c r="G565" s="99" t="s">
        <v>52</v>
      </c>
      <c r="H565" s="99" t="s">
        <v>1264</v>
      </c>
      <c r="I565" s="99" t="s">
        <v>1979</v>
      </c>
      <c r="J565" s="97"/>
      <c r="K565" s="177">
        <v>44682.0</v>
      </c>
      <c r="L565" s="46" t="b">
        <v>1</v>
      </c>
    </row>
    <row r="566" hidden="1">
      <c r="A566" s="4" t="s">
        <v>151</v>
      </c>
      <c r="B566" s="170" t="s">
        <v>1980</v>
      </c>
      <c r="C566" s="171">
        <v>60.0</v>
      </c>
      <c r="D566" s="172">
        <v>44712.0</v>
      </c>
      <c r="E566" s="170">
        <v>111.0</v>
      </c>
      <c r="F566" s="170">
        <v>2022.05</v>
      </c>
      <c r="G566" s="170" t="s">
        <v>52</v>
      </c>
      <c r="H566" s="170" t="s">
        <v>1264</v>
      </c>
      <c r="I566" s="170" t="s">
        <v>1979</v>
      </c>
      <c r="J566" s="94"/>
      <c r="K566" s="173">
        <v>44682.0</v>
      </c>
      <c r="L566" s="45" t="b">
        <v>1</v>
      </c>
    </row>
    <row r="567" hidden="1">
      <c r="A567" s="36" t="s">
        <v>2048</v>
      </c>
      <c r="B567" s="99" t="s">
        <v>1980</v>
      </c>
      <c r="C567" s="174">
        <v>245.0</v>
      </c>
      <c r="D567" s="175">
        <v>44712.0</v>
      </c>
      <c r="E567" s="99">
        <v>111.0</v>
      </c>
      <c r="F567" s="99">
        <v>2022.05</v>
      </c>
      <c r="G567" s="99" t="s">
        <v>52</v>
      </c>
      <c r="H567" s="99" t="s">
        <v>1264</v>
      </c>
      <c r="I567" s="99" t="s">
        <v>1979</v>
      </c>
      <c r="J567" s="97"/>
      <c r="K567" s="177">
        <v>44682.0</v>
      </c>
      <c r="L567" s="46" t="b">
        <v>1</v>
      </c>
    </row>
    <row r="568" hidden="1">
      <c r="A568" s="4" t="s">
        <v>86</v>
      </c>
      <c r="B568" s="170" t="s">
        <v>1980</v>
      </c>
      <c r="C568" s="171">
        <v>175.0</v>
      </c>
      <c r="D568" s="172">
        <v>44712.0</v>
      </c>
      <c r="E568" s="170">
        <v>111.0</v>
      </c>
      <c r="F568" s="170">
        <v>2022.05</v>
      </c>
      <c r="G568" s="170" t="s">
        <v>52</v>
      </c>
      <c r="H568" s="170" t="s">
        <v>1264</v>
      </c>
      <c r="I568" s="170" t="s">
        <v>1979</v>
      </c>
      <c r="J568" s="94"/>
      <c r="K568" s="173">
        <v>44682.0</v>
      </c>
      <c r="L568" s="45" t="b">
        <v>1</v>
      </c>
    </row>
    <row r="569" hidden="1">
      <c r="A569" s="16" t="s">
        <v>97</v>
      </c>
      <c r="B569" s="99" t="s">
        <v>1980</v>
      </c>
      <c r="C569" s="174">
        <v>30.0</v>
      </c>
      <c r="D569" s="175">
        <v>44712.0</v>
      </c>
      <c r="E569" s="99">
        <v>111.0</v>
      </c>
      <c r="F569" s="99">
        <v>2022.05</v>
      </c>
      <c r="G569" s="99" t="s">
        <v>52</v>
      </c>
      <c r="H569" s="99" t="s">
        <v>1264</v>
      </c>
      <c r="I569" s="99" t="s">
        <v>1979</v>
      </c>
      <c r="J569" s="97"/>
      <c r="K569" s="177">
        <v>44682.0</v>
      </c>
      <c r="L569" s="46" t="b">
        <v>1</v>
      </c>
    </row>
    <row r="570" hidden="1">
      <c r="A570" s="4" t="s">
        <v>82</v>
      </c>
      <c r="B570" s="170" t="s">
        <v>1980</v>
      </c>
      <c r="C570" s="171">
        <v>75.0</v>
      </c>
      <c r="D570" s="172">
        <v>44712.0</v>
      </c>
      <c r="E570" s="170">
        <v>111.0</v>
      </c>
      <c r="F570" s="170">
        <v>2022.05</v>
      </c>
      <c r="G570" s="170" t="s">
        <v>52</v>
      </c>
      <c r="H570" s="170" t="s">
        <v>1264</v>
      </c>
      <c r="I570" s="170" t="s">
        <v>1979</v>
      </c>
      <c r="J570" s="94"/>
      <c r="K570" s="173">
        <v>44682.0</v>
      </c>
      <c r="L570" s="45" t="b">
        <v>1</v>
      </c>
    </row>
    <row r="571" hidden="1">
      <c r="A571" s="16" t="s">
        <v>99</v>
      </c>
      <c r="B571" s="99" t="s">
        <v>1980</v>
      </c>
      <c r="C571" s="96">
        <f>337.5+120</f>
        <v>457.5</v>
      </c>
      <c r="D571" s="175">
        <v>44712.0</v>
      </c>
      <c r="E571" s="99">
        <v>111.0</v>
      </c>
      <c r="F571" s="99">
        <v>2022.05</v>
      </c>
      <c r="G571" s="99" t="s">
        <v>52</v>
      </c>
      <c r="H571" s="99" t="s">
        <v>1264</v>
      </c>
      <c r="I571" s="99" t="s">
        <v>1979</v>
      </c>
      <c r="J571" s="97"/>
      <c r="K571" s="177">
        <v>44682.0</v>
      </c>
      <c r="L571" s="46" t="b">
        <v>1</v>
      </c>
    </row>
    <row r="572" hidden="1">
      <c r="A572" s="4" t="s">
        <v>68</v>
      </c>
      <c r="B572" s="170" t="s">
        <v>1980</v>
      </c>
      <c r="C572" s="171">
        <v>60.0</v>
      </c>
      <c r="D572" s="172">
        <v>44712.0</v>
      </c>
      <c r="E572" s="170">
        <v>111.0</v>
      </c>
      <c r="F572" s="170">
        <v>2022.05</v>
      </c>
      <c r="G572" s="170" t="s">
        <v>52</v>
      </c>
      <c r="H572" s="170" t="s">
        <v>1264</v>
      </c>
      <c r="I572" s="170" t="s">
        <v>1979</v>
      </c>
      <c r="J572" s="94"/>
      <c r="K572" s="173">
        <v>44682.0</v>
      </c>
      <c r="L572" s="45" t="b">
        <v>1</v>
      </c>
    </row>
    <row r="573" hidden="1">
      <c r="A573" s="16" t="s">
        <v>42</v>
      </c>
      <c r="B573" s="99" t="s">
        <v>1980</v>
      </c>
      <c r="C573" s="96">
        <f>212.5+135</f>
        <v>347.5</v>
      </c>
      <c r="D573" s="175">
        <v>44712.0</v>
      </c>
      <c r="E573" s="99">
        <v>111.0</v>
      </c>
      <c r="F573" s="99">
        <v>2022.05</v>
      </c>
      <c r="G573" s="99" t="s">
        <v>52</v>
      </c>
      <c r="H573" s="99" t="s">
        <v>1264</v>
      </c>
      <c r="I573" s="99" t="s">
        <v>1979</v>
      </c>
      <c r="J573" s="97"/>
      <c r="K573" s="177">
        <v>44682.0</v>
      </c>
      <c r="L573" s="46" t="b">
        <v>1</v>
      </c>
    </row>
    <row r="574" hidden="1">
      <c r="A574" s="4" t="s">
        <v>58</v>
      </c>
      <c r="B574" s="170" t="s">
        <v>1980</v>
      </c>
      <c r="C574" s="171">
        <v>400.0</v>
      </c>
      <c r="D574" s="172">
        <v>44712.0</v>
      </c>
      <c r="E574" s="170">
        <v>111.0</v>
      </c>
      <c r="F574" s="170">
        <v>2022.05</v>
      </c>
      <c r="G574" s="170" t="s">
        <v>52</v>
      </c>
      <c r="H574" s="170" t="s">
        <v>1264</v>
      </c>
      <c r="I574" s="170" t="s">
        <v>1979</v>
      </c>
      <c r="J574" s="94"/>
      <c r="K574" s="173">
        <v>44682.0</v>
      </c>
      <c r="L574" s="45" t="b">
        <v>1</v>
      </c>
    </row>
    <row r="575" hidden="1">
      <c r="A575" s="16" t="s">
        <v>123</v>
      </c>
      <c r="B575" s="99" t="s">
        <v>1980</v>
      </c>
      <c r="C575" s="174">
        <v>300.0</v>
      </c>
      <c r="D575" s="175">
        <v>44712.0</v>
      </c>
      <c r="E575" s="99">
        <v>111.0</v>
      </c>
      <c r="F575" s="99">
        <v>2022.05</v>
      </c>
      <c r="G575" s="99" t="s">
        <v>52</v>
      </c>
      <c r="H575" s="99" t="s">
        <v>1264</v>
      </c>
      <c r="I575" s="99" t="s">
        <v>1979</v>
      </c>
      <c r="J575" s="97"/>
      <c r="K575" s="177">
        <v>44682.0</v>
      </c>
      <c r="L575" s="46" t="b">
        <v>1</v>
      </c>
    </row>
    <row r="576" hidden="1">
      <c r="A576" s="4" t="s">
        <v>73</v>
      </c>
      <c r="B576" s="170" t="s">
        <v>1980</v>
      </c>
      <c r="C576" s="171">
        <v>60.0</v>
      </c>
      <c r="D576" s="172">
        <v>44712.0</v>
      </c>
      <c r="E576" s="170">
        <v>111.0</v>
      </c>
      <c r="F576" s="170">
        <v>2022.05</v>
      </c>
      <c r="G576" s="170" t="s">
        <v>52</v>
      </c>
      <c r="H576" s="170" t="s">
        <v>1264</v>
      </c>
      <c r="I576" s="170" t="s">
        <v>1979</v>
      </c>
      <c r="J576" s="94"/>
      <c r="K576" s="173">
        <v>44682.0</v>
      </c>
      <c r="L576" s="45" t="b">
        <v>1</v>
      </c>
    </row>
    <row r="577" hidden="1">
      <c r="A577" s="16" t="s">
        <v>50</v>
      </c>
      <c r="B577" s="99" t="s">
        <v>1980</v>
      </c>
      <c r="C577" s="174">
        <v>30.0</v>
      </c>
      <c r="D577" s="175">
        <v>44712.0</v>
      </c>
      <c r="E577" s="99">
        <v>111.0</v>
      </c>
      <c r="F577" s="99">
        <v>2022.05</v>
      </c>
      <c r="G577" s="99" t="s">
        <v>52</v>
      </c>
      <c r="H577" s="99" t="s">
        <v>1264</v>
      </c>
      <c r="I577" s="99" t="s">
        <v>1979</v>
      </c>
      <c r="J577" s="97"/>
      <c r="K577" s="177">
        <v>44682.0</v>
      </c>
      <c r="L577" s="46" t="b">
        <v>1</v>
      </c>
    </row>
    <row r="578" hidden="1">
      <c r="A578" s="4" t="s">
        <v>62</v>
      </c>
      <c r="B578" s="170" t="s">
        <v>1980</v>
      </c>
      <c r="C578" s="93">
        <f>150+50</f>
        <v>200</v>
      </c>
      <c r="D578" s="172">
        <v>44712.0</v>
      </c>
      <c r="E578" s="170">
        <v>111.0</v>
      </c>
      <c r="F578" s="170">
        <v>2022.05</v>
      </c>
      <c r="G578" s="170" t="s">
        <v>52</v>
      </c>
      <c r="H578" s="170" t="s">
        <v>1264</v>
      </c>
      <c r="I578" s="170" t="s">
        <v>1979</v>
      </c>
      <c r="J578" s="94"/>
      <c r="K578" s="173">
        <v>44682.0</v>
      </c>
      <c r="L578" s="45" t="b">
        <v>1</v>
      </c>
    </row>
    <row r="579" hidden="1">
      <c r="A579" s="16" t="s">
        <v>223</v>
      </c>
      <c r="B579" s="99" t="s">
        <v>1980</v>
      </c>
      <c r="C579" s="174">
        <v>75.0</v>
      </c>
      <c r="D579" s="175">
        <v>44712.0</v>
      </c>
      <c r="E579" s="99">
        <v>111.0</v>
      </c>
      <c r="F579" s="99">
        <v>2022.05</v>
      </c>
      <c r="G579" s="99" t="s">
        <v>52</v>
      </c>
      <c r="H579" s="99" t="s">
        <v>1264</v>
      </c>
      <c r="I579" s="99" t="s">
        <v>1979</v>
      </c>
      <c r="J579" s="97"/>
      <c r="K579" s="177">
        <v>44682.0</v>
      </c>
      <c r="L579" s="46" t="b">
        <v>1</v>
      </c>
    </row>
    <row r="580" hidden="1">
      <c r="A580" s="4" t="s">
        <v>225</v>
      </c>
      <c r="B580" s="170" t="s">
        <v>1980</v>
      </c>
      <c r="C580" s="93">
        <f>1500+360</f>
        <v>1860</v>
      </c>
      <c r="D580" s="172">
        <v>44712.0</v>
      </c>
      <c r="E580" s="170">
        <v>111.0</v>
      </c>
      <c r="F580" s="170">
        <v>2022.05</v>
      </c>
      <c r="G580" s="170" t="s">
        <v>52</v>
      </c>
      <c r="H580" s="170" t="s">
        <v>1264</v>
      </c>
      <c r="I580" s="170" t="s">
        <v>1979</v>
      </c>
      <c r="J580" s="94"/>
      <c r="K580" s="173">
        <v>44682.0</v>
      </c>
      <c r="L580" s="45" t="b">
        <v>1</v>
      </c>
    </row>
    <row r="581" hidden="1">
      <c r="A581" s="16" t="s">
        <v>246</v>
      </c>
      <c r="B581" s="99" t="s">
        <v>1980</v>
      </c>
      <c r="C581" s="174">
        <v>45.0</v>
      </c>
      <c r="D581" s="175">
        <v>44712.0</v>
      </c>
      <c r="E581" s="99">
        <v>111.0</v>
      </c>
      <c r="F581" s="99">
        <v>2022.05</v>
      </c>
      <c r="G581" s="99" t="s">
        <v>52</v>
      </c>
      <c r="H581" s="99" t="s">
        <v>1264</v>
      </c>
      <c r="I581" s="99" t="s">
        <v>1979</v>
      </c>
      <c r="J581" s="97"/>
      <c r="K581" s="177">
        <v>44682.0</v>
      </c>
      <c r="L581" s="46" t="b">
        <v>1</v>
      </c>
    </row>
    <row r="582" hidden="1">
      <c r="A582" s="4" t="s">
        <v>66</v>
      </c>
      <c r="B582" s="170" t="s">
        <v>1980</v>
      </c>
      <c r="C582" s="171">
        <v>60.0</v>
      </c>
      <c r="D582" s="172">
        <v>44712.0</v>
      </c>
      <c r="E582" s="170">
        <v>111.0</v>
      </c>
      <c r="F582" s="170">
        <v>2022.05</v>
      </c>
      <c r="G582" s="170" t="s">
        <v>52</v>
      </c>
      <c r="H582" s="170" t="s">
        <v>1264</v>
      </c>
      <c r="I582" s="170" t="s">
        <v>1979</v>
      </c>
      <c r="J582" s="94"/>
      <c r="K582" s="173">
        <v>44682.0</v>
      </c>
      <c r="L582" s="45" t="b">
        <v>1</v>
      </c>
    </row>
    <row r="583" hidden="1">
      <c r="A583" s="16" t="s">
        <v>279</v>
      </c>
      <c r="B583" s="99" t="s">
        <v>1980</v>
      </c>
      <c r="C583" s="174">
        <v>30.0</v>
      </c>
      <c r="D583" s="175">
        <v>44712.0</v>
      </c>
      <c r="E583" s="99">
        <v>111.0</v>
      </c>
      <c r="F583" s="99">
        <v>2022.0</v>
      </c>
      <c r="G583" s="99" t="s">
        <v>1160</v>
      </c>
      <c r="H583" s="99" t="s">
        <v>1264</v>
      </c>
      <c r="I583" s="99" t="s">
        <v>1979</v>
      </c>
      <c r="J583" s="97"/>
      <c r="K583" s="177">
        <v>44682.0</v>
      </c>
      <c r="L583" s="46" t="b">
        <v>1</v>
      </c>
    </row>
    <row r="584" hidden="1">
      <c r="A584" s="4" t="s">
        <v>354</v>
      </c>
      <c r="B584" s="170" t="s">
        <v>1980</v>
      </c>
      <c r="C584" s="93">
        <f>150+500</f>
        <v>650</v>
      </c>
      <c r="D584" s="172">
        <v>44712.0</v>
      </c>
      <c r="E584" s="170">
        <v>111.0</v>
      </c>
      <c r="F584" s="170">
        <v>2022.05</v>
      </c>
      <c r="G584" s="170" t="s">
        <v>52</v>
      </c>
      <c r="H584" s="170" t="s">
        <v>1264</v>
      </c>
      <c r="I584" s="170" t="s">
        <v>1979</v>
      </c>
      <c r="J584" s="94"/>
      <c r="K584" s="173">
        <v>44682.0</v>
      </c>
      <c r="L584" s="45" t="b">
        <v>1</v>
      </c>
    </row>
    <row r="585" hidden="1">
      <c r="A585" s="16" t="s">
        <v>420</v>
      </c>
      <c r="B585" s="99" t="s">
        <v>1980</v>
      </c>
      <c r="C585" s="174">
        <v>1250.0</v>
      </c>
      <c r="D585" s="175">
        <v>44712.0</v>
      </c>
      <c r="E585" s="99">
        <v>111.0</v>
      </c>
      <c r="F585" s="99">
        <v>2022.0</v>
      </c>
      <c r="G585" s="99" t="s">
        <v>1160</v>
      </c>
      <c r="H585" s="99" t="s">
        <v>1264</v>
      </c>
      <c r="I585" s="99" t="s">
        <v>1979</v>
      </c>
      <c r="J585" s="97"/>
      <c r="K585" s="177">
        <v>44682.0</v>
      </c>
      <c r="L585" s="46" t="b">
        <v>1</v>
      </c>
    </row>
    <row r="586" hidden="1">
      <c r="A586" s="4" t="s">
        <v>427</v>
      </c>
      <c r="B586" s="170" t="s">
        <v>1980</v>
      </c>
      <c r="C586" s="93">
        <f>300+90</f>
        <v>390</v>
      </c>
      <c r="D586" s="172">
        <v>44712.0</v>
      </c>
      <c r="E586" s="170">
        <v>111.0</v>
      </c>
      <c r="F586" s="170">
        <v>2022.0</v>
      </c>
      <c r="G586" s="170" t="s">
        <v>1160</v>
      </c>
      <c r="H586" s="170" t="s">
        <v>1264</v>
      </c>
      <c r="I586" s="170" t="s">
        <v>1979</v>
      </c>
      <c r="J586" s="94"/>
      <c r="K586" s="173">
        <v>44682.0</v>
      </c>
      <c r="L586" s="45" t="b">
        <v>1</v>
      </c>
    </row>
    <row r="587" hidden="1">
      <c r="A587" s="16" t="s">
        <v>347</v>
      </c>
      <c r="B587" s="99" t="s">
        <v>1980</v>
      </c>
      <c r="C587" s="174">
        <v>300.0</v>
      </c>
      <c r="D587" s="175">
        <v>44712.0</v>
      </c>
      <c r="E587" s="99">
        <v>111.0</v>
      </c>
      <c r="F587" s="99">
        <v>2022.0</v>
      </c>
      <c r="G587" s="99" t="s">
        <v>1160</v>
      </c>
      <c r="H587" s="99" t="s">
        <v>1264</v>
      </c>
      <c r="I587" s="99" t="s">
        <v>1979</v>
      </c>
      <c r="J587" s="97"/>
      <c r="K587" s="177">
        <v>44682.0</v>
      </c>
      <c r="L587" s="46" t="b">
        <v>1</v>
      </c>
    </row>
    <row r="588" hidden="1">
      <c r="A588" s="4" t="s">
        <v>1356</v>
      </c>
      <c r="B588" s="170" t="s">
        <v>2036</v>
      </c>
      <c r="C588" s="171">
        <v>250.0</v>
      </c>
      <c r="D588" s="172">
        <v>44712.0</v>
      </c>
      <c r="E588" s="188">
        <v>44682.0</v>
      </c>
      <c r="F588" s="170">
        <v>2022.0</v>
      </c>
      <c r="G588" s="170" t="s">
        <v>1160</v>
      </c>
      <c r="H588" s="170" t="s">
        <v>1264</v>
      </c>
      <c r="I588" s="170" t="s">
        <v>1979</v>
      </c>
      <c r="J588" s="94"/>
      <c r="K588" s="173">
        <v>44682.0</v>
      </c>
      <c r="L588" s="45" t="b">
        <v>1</v>
      </c>
    </row>
    <row r="589" hidden="1">
      <c r="A589" s="16" t="s">
        <v>42</v>
      </c>
      <c r="B589" s="99" t="s">
        <v>1984</v>
      </c>
      <c r="C589" s="174">
        <v>350.0</v>
      </c>
      <c r="D589" s="175">
        <v>44712.0</v>
      </c>
      <c r="E589" s="99">
        <v>5.0</v>
      </c>
      <c r="F589" s="99">
        <v>2022.05</v>
      </c>
      <c r="G589" s="99" t="s">
        <v>52</v>
      </c>
      <c r="H589" s="99" t="s">
        <v>1264</v>
      </c>
      <c r="I589" s="99" t="s">
        <v>1979</v>
      </c>
      <c r="J589" s="97"/>
      <c r="K589" s="177">
        <v>44682.0</v>
      </c>
      <c r="L589" s="46" t="b">
        <v>1</v>
      </c>
    </row>
    <row r="590" hidden="1">
      <c r="A590" s="4" t="s">
        <v>92</v>
      </c>
      <c r="B590" s="170" t="s">
        <v>1984</v>
      </c>
      <c r="C590" s="171">
        <v>212.5</v>
      </c>
      <c r="D590" s="172">
        <v>44712.0</v>
      </c>
      <c r="E590" s="170">
        <v>5.0</v>
      </c>
      <c r="F590" s="170">
        <v>2022.05</v>
      </c>
      <c r="G590" s="170" t="s">
        <v>52</v>
      </c>
      <c r="H590" s="170" t="s">
        <v>1264</v>
      </c>
      <c r="I590" s="170" t="s">
        <v>1979</v>
      </c>
      <c r="J590" s="94"/>
      <c r="K590" s="173">
        <v>44682.0</v>
      </c>
      <c r="L590" s="45" t="b">
        <v>1</v>
      </c>
    </row>
    <row r="591" hidden="1">
      <c r="A591" s="16" t="s">
        <v>54</v>
      </c>
      <c r="B591" s="99" t="s">
        <v>1984</v>
      </c>
      <c r="C591" s="174">
        <v>175.0</v>
      </c>
      <c r="D591" s="175">
        <v>44712.0</v>
      </c>
      <c r="E591" s="99">
        <v>5.0</v>
      </c>
      <c r="F591" s="99">
        <v>2022.05</v>
      </c>
      <c r="G591" s="99" t="s">
        <v>52</v>
      </c>
      <c r="H591" s="99" t="s">
        <v>1264</v>
      </c>
      <c r="I591" s="99" t="s">
        <v>1979</v>
      </c>
      <c r="J591" s="97"/>
      <c r="K591" s="177">
        <v>44682.0</v>
      </c>
      <c r="L591" s="46" t="b">
        <v>1</v>
      </c>
    </row>
    <row r="592" hidden="1">
      <c r="A592" s="4" t="s">
        <v>66</v>
      </c>
      <c r="B592" s="170" t="s">
        <v>1978</v>
      </c>
      <c r="C592" s="171">
        <v>312.5</v>
      </c>
      <c r="D592" s="172">
        <v>44712.0</v>
      </c>
      <c r="E592" s="188">
        <v>44682.0</v>
      </c>
      <c r="F592" s="170">
        <v>2022.05</v>
      </c>
      <c r="G592" s="170" t="s">
        <v>52</v>
      </c>
      <c r="H592" s="170" t="s">
        <v>1264</v>
      </c>
      <c r="I592" s="170" t="s">
        <v>1979</v>
      </c>
      <c r="J592" s="94"/>
      <c r="K592" s="173">
        <v>44682.0</v>
      </c>
      <c r="L592" s="45" t="b">
        <v>1</v>
      </c>
    </row>
    <row r="593" hidden="1">
      <c r="A593" s="16" t="s">
        <v>97</v>
      </c>
      <c r="B593" s="99" t="s">
        <v>1978</v>
      </c>
      <c r="C593" s="174">
        <v>125.0</v>
      </c>
      <c r="D593" s="175">
        <v>44712.0</v>
      </c>
      <c r="E593" s="189">
        <v>44682.0</v>
      </c>
      <c r="F593" s="99">
        <v>2022.05</v>
      </c>
      <c r="G593" s="99" t="s">
        <v>52</v>
      </c>
      <c r="H593" s="99" t="s">
        <v>1264</v>
      </c>
      <c r="I593" s="99" t="s">
        <v>1979</v>
      </c>
      <c r="J593" s="97"/>
      <c r="K593" s="177">
        <v>44682.0</v>
      </c>
      <c r="L593" s="46" t="b">
        <v>1</v>
      </c>
    </row>
    <row r="594" hidden="1">
      <c r="A594" s="4" t="s">
        <v>147</v>
      </c>
      <c r="B594" s="170" t="s">
        <v>1978</v>
      </c>
      <c r="C594" s="171">
        <v>200.0</v>
      </c>
      <c r="D594" s="172">
        <v>44712.0</v>
      </c>
      <c r="E594" s="188">
        <v>44682.0</v>
      </c>
      <c r="F594" s="170">
        <v>2022.05</v>
      </c>
      <c r="G594" s="170" t="s">
        <v>52</v>
      </c>
      <c r="H594" s="170" t="s">
        <v>1264</v>
      </c>
      <c r="I594" s="170" t="s">
        <v>1979</v>
      </c>
      <c r="J594" s="94"/>
      <c r="K594" s="173">
        <v>44682.0</v>
      </c>
      <c r="L594" s="45" t="b">
        <v>1</v>
      </c>
    </row>
    <row r="595" hidden="1">
      <c r="A595" s="16" t="s">
        <v>88</v>
      </c>
      <c r="B595" s="99" t="s">
        <v>1978</v>
      </c>
      <c r="C595" s="174">
        <v>212.5</v>
      </c>
      <c r="D595" s="175">
        <v>44712.0</v>
      </c>
      <c r="E595" s="189">
        <v>44682.0</v>
      </c>
      <c r="F595" s="99">
        <v>2022.05</v>
      </c>
      <c r="G595" s="99" t="s">
        <v>52</v>
      </c>
      <c r="H595" s="99" t="s">
        <v>1264</v>
      </c>
      <c r="I595" s="99" t="s">
        <v>1979</v>
      </c>
      <c r="J595" s="97"/>
      <c r="K595" s="177">
        <v>44682.0</v>
      </c>
      <c r="L595" s="46" t="b">
        <v>1</v>
      </c>
    </row>
    <row r="596" hidden="1">
      <c r="A596" s="4" t="s">
        <v>73</v>
      </c>
      <c r="B596" s="170" t="s">
        <v>1978</v>
      </c>
      <c r="C596" s="171">
        <v>250.0</v>
      </c>
      <c r="D596" s="172">
        <v>44712.0</v>
      </c>
      <c r="E596" s="188">
        <v>44682.0</v>
      </c>
      <c r="F596" s="170">
        <v>2022.05</v>
      </c>
      <c r="G596" s="170" t="s">
        <v>52</v>
      </c>
      <c r="H596" s="170" t="s">
        <v>1264</v>
      </c>
      <c r="I596" s="170" t="s">
        <v>1979</v>
      </c>
      <c r="J596" s="94"/>
      <c r="K596" s="173">
        <v>44682.0</v>
      </c>
      <c r="L596" s="45" t="b">
        <v>1</v>
      </c>
    </row>
    <row r="597" hidden="1">
      <c r="A597" s="16" t="s">
        <v>223</v>
      </c>
      <c r="B597" s="99" t="s">
        <v>1978</v>
      </c>
      <c r="C597" s="174">
        <v>500.0</v>
      </c>
      <c r="D597" s="175">
        <v>44712.0</v>
      </c>
      <c r="E597" s="189">
        <v>44682.0</v>
      </c>
      <c r="F597" s="99">
        <v>2022.05</v>
      </c>
      <c r="G597" s="99" t="s">
        <v>52</v>
      </c>
      <c r="H597" s="99" t="s">
        <v>1264</v>
      </c>
      <c r="I597" s="99" t="s">
        <v>1979</v>
      </c>
      <c r="J597" s="97"/>
      <c r="K597" s="177">
        <v>44682.0</v>
      </c>
      <c r="L597" s="46" t="b">
        <v>1</v>
      </c>
    </row>
    <row r="598" hidden="1">
      <c r="A598" s="4" t="s">
        <v>50</v>
      </c>
      <c r="B598" s="170" t="s">
        <v>1978</v>
      </c>
      <c r="C598" s="171">
        <v>137.5</v>
      </c>
      <c r="D598" s="172">
        <v>44712.0</v>
      </c>
      <c r="E598" s="188">
        <v>44682.0</v>
      </c>
      <c r="F598" s="170">
        <v>2022.05</v>
      </c>
      <c r="G598" s="170" t="s">
        <v>52</v>
      </c>
      <c r="H598" s="170" t="s">
        <v>1264</v>
      </c>
      <c r="I598" s="170" t="s">
        <v>1979</v>
      </c>
      <c r="J598" s="94"/>
      <c r="K598" s="173">
        <v>44682.0</v>
      </c>
      <c r="L598" s="45" t="b">
        <v>1</v>
      </c>
    </row>
    <row r="599" hidden="1">
      <c r="A599" s="16" t="s">
        <v>151</v>
      </c>
      <c r="B599" s="99" t="s">
        <v>1978</v>
      </c>
      <c r="C599" s="174">
        <v>250.0</v>
      </c>
      <c r="D599" s="175">
        <v>44712.0</v>
      </c>
      <c r="E599" s="189">
        <v>44682.0</v>
      </c>
      <c r="F599" s="99">
        <v>2022.05</v>
      </c>
      <c r="G599" s="99" t="s">
        <v>52</v>
      </c>
      <c r="H599" s="99" t="s">
        <v>1264</v>
      </c>
      <c r="I599" s="99" t="s">
        <v>1979</v>
      </c>
      <c r="J599" s="97"/>
      <c r="K599" s="177">
        <v>44682.0</v>
      </c>
      <c r="L599" s="46" t="b">
        <v>1</v>
      </c>
    </row>
    <row r="600" hidden="1">
      <c r="A600" s="4" t="s">
        <v>1269</v>
      </c>
      <c r="B600" s="170" t="s">
        <v>1978</v>
      </c>
      <c r="C600" s="171">
        <v>150.0</v>
      </c>
      <c r="D600" s="172">
        <v>44712.0</v>
      </c>
      <c r="E600" s="188">
        <v>44682.0</v>
      </c>
      <c r="F600" s="170">
        <v>2022.0</v>
      </c>
      <c r="G600" s="170" t="s">
        <v>1152</v>
      </c>
      <c r="H600" s="170" t="s">
        <v>1264</v>
      </c>
      <c r="I600" s="170" t="s">
        <v>1270</v>
      </c>
      <c r="J600" s="170" t="s">
        <v>2049</v>
      </c>
      <c r="K600" s="173">
        <v>44682.0</v>
      </c>
      <c r="L600" s="45" t="b">
        <v>1</v>
      </c>
    </row>
    <row r="601" hidden="1">
      <c r="A601" s="16" t="s">
        <v>54</v>
      </c>
      <c r="B601" s="99" t="s">
        <v>1985</v>
      </c>
      <c r="C601" s="174">
        <v>162.5</v>
      </c>
      <c r="D601" s="175">
        <v>44712.0</v>
      </c>
      <c r="E601" s="99">
        <v>22.0</v>
      </c>
      <c r="F601" s="99">
        <v>2022.05</v>
      </c>
      <c r="G601" s="99" t="s">
        <v>52</v>
      </c>
      <c r="H601" s="99" t="s">
        <v>1264</v>
      </c>
      <c r="I601" s="99" t="s">
        <v>1979</v>
      </c>
      <c r="J601" s="97"/>
      <c r="K601" s="177">
        <v>44682.0</v>
      </c>
      <c r="L601" s="46" t="b">
        <v>1</v>
      </c>
    </row>
    <row r="602" hidden="1">
      <c r="A602" s="4" t="s">
        <v>58</v>
      </c>
      <c r="B602" s="170" t="s">
        <v>1985</v>
      </c>
      <c r="C602" s="171">
        <v>300.0</v>
      </c>
      <c r="D602" s="172">
        <v>44712.0</v>
      </c>
      <c r="E602" s="170">
        <v>22.0</v>
      </c>
      <c r="F602" s="170">
        <v>2022.05</v>
      </c>
      <c r="G602" s="170" t="s">
        <v>52</v>
      </c>
      <c r="H602" s="170" t="s">
        <v>1264</v>
      </c>
      <c r="I602" s="170" t="s">
        <v>1979</v>
      </c>
      <c r="J602" s="94"/>
      <c r="K602" s="173">
        <v>44682.0</v>
      </c>
      <c r="L602" s="45" t="b">
        <v>1</v>
      </c>
    </row>
    <row r="603" hidden="1">
      <c r="A603" s="16" t="s">
        <v>120</v>
      </c>
      <c r="B603" s="99" t="s">
        <v>1985</v>
      </c>
      <c r="C603" s="174">
        <v>550.0</v>
      </c>
      <c r="D603" s="175">
        <v>44712.0</v>
      </c>
      <c r="E603" s="99">
        <v>22.0</v>
      </c>
      <c r="F603" s="99">
        <v>2022.05</v>
      </c>
      <c r="G603" s="99" t="s">
        <v>52</v>
      </c>
      <c r="H603" s="99" t="s">
        <v>1264</v>
      </c>
      <c r="I603" s="99" t="s">
        <v>1979</v>
      </c>
      <c r="J603" s="97"/>
      <c r="K603" s="177">
        <v>44682.0</v>
      </c>
      <c r="L603" s="46" t="b">
        <v>1</v>
      </c>
    </row>
    <row r="604" hidden="1">
      <c r="A604" s="4" t="s">
        <v>156</v>
      </c>
      <c r="B604" s="170" t="s">
        <v>1985</v>
      </c>
      <c r="C604" s="171">
        <v>225.0</v>
      </c>
      <c r="D604" s="172">
        <v>44712.0</v>
      </c>
      <c r="E604" s="170">
        <v>22.0</v>
      </c>
      <c r="F604" s="170">
        <v>2022.05</v>
      </c>
      <c r="G604" s="170" t="s">
        <v>52</v>
      </c>
      <c r="H604" s="170" t="s">
        <v>1264</v>
      </c>
      <c r="I604" s="170" t="s">
        <v>1979</v>
      </c>
      <c r="J604" s="94"/>
      <c r="K604" s="173">
        <v>44682.0</v>
      </c>
      <c r="L604" s="45" t="b">
        <v>1</v>
      </c>
    </row>
    <row r="605" hidden="1">
      <c r="A605" s="16" t="s">
        <v>420</v>
      </c>
      <c r="B605" s="99" t="s">
        <v>1985</v>
      </c>
      <c r="C605" s="174">
        <v>1337.5</v>
      </c>
      <c r="D605" s="175">
        <v>44712.0</v>
      </c>
      <c r="E605" s="99">
        <v>22.0</v>
      </c>
      <c r="F605" s="99">
        <v>2022.0</v>
      </c>
      <c r="G605" s="99" t="s">
        <v>1160</v>
      </c>
      <c r="H605" s="99" t="s">
        <v>1264</v>
      </c>
      <c r="I605" s="99" t="s">
        <v>1979</v>
      </c>
      <c r="J605" s="97"/>
      <c r="K605" s="177">
        <v>44682.0</v>
      </c>
      <c r="L605" s="46" t="b">
        <v>1</v>
      </c>
    </row>
    <row r="606" hidden="1">
      <c r="A606" s="4" t="s">
        <v>408</v>
      </c>
      <c r="B606" s="170" t="s">
        <v>1985</v>
      </c>
      <c r="C606" s="171">
        <v>537.5</v>
      </c>
      <c r="D606" s="172">
        <v>44712.0</v>
      </c>
      <c r="E606" s="170">
        <v>22.0</v>
      </c>
      <c r="F606" s="170">
        <v>2022.0</v>
      </c>
      <c r="G606" s="170" t="s">
        <v>1160</v>
      </c>
      <c r="H606" s="170" t="s">
        <v>1264</v>
      </c>
      <c r="I606" s="170" t="s">
        <v>1979</v>
      </c>
      <c r="J606" s="94"/>
      <c r="K606" s="173">
        <v>44682.0</v>
      </c>
      <c r="L606" s="45" t="b">
        <v>1</v>
      </c>
    </row>
    <row r="607" hidden="1">
      <c r="A607" s="16" t="s">
        <v>414</v>
      </c>
      <c r="B607" s="99" t="s">
        <v>1985</v>
      </c>
      <c r="C607" s="174">
        <v>700.0</v>
      </c>
      <c r="D607" s="175">
        <v>44712.0</v>
      </c>
      <c r="E607" s="99">
        <v>22.0</v>
      </c>
      <c r="F607" s="99">
        <v>2022.0</v>
      </c>
      <c r="G607" s="99" t="s">
        <v>1160</v>
      </c>
      <c r="H607" s="99" t="s">
        <v>1264</v>
      </c>
      <c r="I607" s="99" t="s">
        <v>1979</v>
      </c>
      <c r="J607" s="97"/>
      <c r="K607" s="177">
        <v>44682.0</v>
      </c>
      <c r="L607" s="46" t="b">
        <v>1</v>
      </c>
    </row>
    <row r="608" hidden="1">
      <c r="A608" s="4" t="s">
        <v>326</v>
      </c>
      <c r="B608" s="170" t="s">
        <v>1985</v>
      </c>
      <c r="C608" s="171">
        <v>700.0</v>
      </c>
      <c r="D608" s="172">
        <v>44712.0</v>
      </c>
      <c r="E608" s="170">
        <v>22.0</v>
      </c>
      <c r="F608" s="170">
        <v>2022.0</v>
      </c>
      <c r="G608" s="170" t="s">
        <v>1160</v>
      </c>
      <c r="H608" s="170" t="s">
        <v>1264</v>
      </c>
      <c r="I608" s="170" t="s">
        <v>1979</v>
      </c>
      <c r="J608" s="94"/>
      <c r="K608" s="173">
        <v>44682.0</v>
      </c>
      <c r="L608" s="45" t="b">
        <v>1</v>
      </c>
    </row>
    <row r="609" hidden="1">
      <c r="A609" s="16" t="s">
        <v>203</v>
      </c>
      <c r="B609" s="99" t="s">
        <v>1985</v>
      </c>
      <c r="C609" s="174">
        <v>45.0</v>
      </c>
      <c r="D609" s="175">
        <v>44712.0</v>
      </c>
      <c r="E609" s="99">
        <v>22.0</v>
      </c>
      <c r="F609" s="99">
        <v>2022.0</v>
      </c>
      <c r="G609" s="99" t="s">
        <v>1160</v>
      </c>
      <c r="H609" s="99" t="s">
        <v>1264</v>
      </c>
      <c r="I609" s="99" t="s">
        <v>1979</v>
      </c>
      <c r="J609" s="99" t="s">
        <v>2050</v>
      </c>
      <c r="K609" s="177">
        <v>44682.0</v>
      </c>
      <c r="L609" s="46" t="b">
        <v>1</v>
      </c>
    </row>
    <row r="610" hidden="1">
      <c r="A610" s="4" t="s">
        <v>1266</v>
      </c>
      <c r="B610" s="170" t="s">
        <v>1985</v>
      </c>
      <c r="C610" s="171">
        <v>75.0</v>
      </c>
      <c r="D610" s="172">
        <v>44712.0</v>
      </c>
      <c r="E610" s="170">
        <v>22.0</v>
      </c>
      <c r="F610" s="170">
        <v>2022.0</v>
      </c>
      <c r="G610" s="170" t="s">
        <v>1152</v>
      </c>
      <c r="H610" s="170" t="s">
        <v>1264</v>
      </c>
      <c r="I610" s="170" t="s">
        <v>1267</v>
      </c>
      <c r="J610" s="170" t="s">
        <v>2051</v>
      </c>
      <c r="K610" s="173">
        <v>44682.0</v>
      </c>
      <c r="L610" s="45" t="b">
        <v>1</v>
      </c>
    </row>
    <row r="611" hidden="1">
      <c r="A611" s="16" t="s">
        <v>115</v>
      </c>
      <c r="B611" s="99" t="s">
        <v>1982</v>
      </c>
      <c r="C611" s="174">
        <v>662.5</v>
      </c>
      <c r="D611" s="175">
        <v>44712.0</v>
      </c>
      <c r="E611" s="99" t="s">
        <v>2052</v>
      </c>
      <c r="F611" s="99">
        <v>2022.05</v>
      </c>
      <c r="G611" s="99" t="s">
        <v>52</v>
      </c>
      <c r="H611" s="99" t="s">
        <v>1264</v>
      </c>
      <c r="I611" s="99" t="s">
        <v>1979</v>
      </c>
      <c r="J611" s="97"/>
      <c r="K611" s="177">
        <v>44682.0</v>
      </c>
      <c r="L611" s="46" t="b">
        <v>1</v>
      </c>
    </row>
    <row r="612" hidden="1">
      <c r="A612" s="4" t="s">
        <v>118</v>
      </c>
      <c r="B612" s="170" t="s">
        <v>1982</v>
      </c>
      <c r="C612" s="171">
        <v>662.5</v>
      </c>
      <c r="D612" s="172">
        <v>44712.0</v>
      </c>
      <c r="E612" s="170" t="s">
        <v>2052</v>
      </c>
      <c r="F612" s="170">
        <v>2022.05</v>
      </c>
      <c r="G612" s="170" t="s">
        <v>52</v>
      </c>
      <c r="H612" s="170" t="s">
        <v>1264</v>
      </c>
      <c r="I612" s="170" t="s">
        <v>1979</v>
      </c>
      <c r="J612" s="94"/>
      <c r="K612" s="173">
        <v>44682.0</v>
      </c>
      <c r="L612" s="45" t="b">
        <v>1</v>
      </c>
    </row>
    <row r="613" hidden="1">
      <c r="A613" s="16" t="s">
        <v>92</v>
      </c>
      <c r="B613" s="99" t="s">
        <v>1982</v>
      </c>
      <c r="C613" s="174">
        <v>350.0</v>
      </c>
      <c r="D613" s="175">
        <v>44712.0</v>
      </c>
      <c r="E613" s="99" t="s">
        <v>2052</v>
      </c>
      <c r="F613" s="99">
        <v>2022.05</v>
      </c>
      <c r="G613" s="99" t="s">
        <v>52</v>
      </c>
      <c r="H613" s="99" t="s">
        <v>1264</v>
      </c>
      <c r="I613" s="99" t="s">
        <v>1979</v>
      </c>
      <c r="J613" s="97"/>
      <c r="K613" s="177">
        <v>44682.0</v>
      </c>
      <c r="L613" s="46" t="b">
        <v>1</v>
      </c>
    </row>
    <row r="614" hidden="1">
      <c r="A614" s="4" t="s">
        <v>84</v>
      </c>
      <c r="B614" s="170" t="s">
        <v>1982</v>
      </c>
      <c r="C614" s="171">
        <v>475.0</v>
      </c>
      <c r="D614" s="172">
        <v>44712.0</v>
      </c>
      <c r="E614" s="170" t="s">
        <v>2052</v>
      </c>
      <c r="F614" s="170">
        <v>2022.05</v>
      </c>
      <c r="G614" s="170" t="s">
        <v>52</v>
      </c>
      <c r="H614" s="170" t="s">
        <v>1264</v>
      </c>
      <c r="I614" s="170" t="s">
        <v>1979</v>
      </c>
      <c r="J614" s="94"/>
      <c r="K614" s="173">
        <v>44682.0</v>
      </c>
      <c r="L614" s="45" t="b">
        <v>1</v>
      </c>
    </row>
    <row r="615" hidden="1">
      <c r="A615" s="16" t="s">
        <v>123</v>
      </c>
      <c r="B615" s="99" t="s">
        <v>1982</v>
      </c>
      <c r="C615" s="174">
        <v>1087.5</v>
      </c>
      <c r="D615" s="175">
        <v>44712.0</v>
      </c>
      <c r="E615" s="99" t="s">
        <v>2052</v>
      </c>
      <c r="F615" s="99">
        <v>2022.05</v>
      </c>
      <c r="G615" s="99" t="s">
        <v>52</v>
      </c>
      <c r="H615" s="99" t="s">
        <v>1264</v>
      </c>
      <c r="I615" s="99" t="s">
        <v>1979</v>
      </c>
      <c r="J615" s="97"/>
      <c r="K615" s="177">
        <v>44682.0</v>
      </c>
      <c r="L615" s="46" t="b">
        <v>1</v>
      </c>
    </row>
    <row r="616" hidden="1">
      <c r="A616" s="4" t="s">
        <v>62</v>
      </c>
      <c r="B616" s="170" t="s">
        <v>1982</v>
      </c>
      <c r="C616" s="171">
        <v>450.0</v>
      </c>
      <c r="D616" s="172">
        <v>44712.0</v>
      </c>
      <c r="E616" s="170" t="s">
        <v>2052</v>
      </c>
      <c r="F616" s="170">
        <v>2022.05</v>
      </c>
      <c r="G616" s="170" t="s">
        <v>52</v>
      </c>
      <c r="H616" s="170" t="s">
        <v>1264</v>
      </c>
      <c r="I616" s="170" t="s">
        <v>1979</v>
      </c>
      <c r="J616" s="94"/>
      <c r="K616" s="173">
        <v>44682.0</v>
      </c>
      <c r="L616" s="45" t="b">
        <v>1</v>
      </c>
    </row>
    <row r="617" hidden="1">
      <c r="A617" s="16" t="s">
        <v>1356</v>
      </c>
      <c r="B617" s="99" t="s">
        <v>1983</v>
      </c>
      <c r="C617" s="174">
        <v>50.0</v>
      </c>
      <c r="D617" s="175">
        <v>44712.0</v>
      </c>
      <c r="E617" s="99">
        <v>62.0</v>
      </c>
      <c r="F617" s="99">
        <v>2022.0</v>
      </c>
      <c r="G617" s="99" t="s">
        <v>1160</v>
      </c>
      <c r="H617" s="99" t="s">
        <v>1264</v>
      </c>
      <c r="I617" s="99" t="s">
        <v>1979</v>
      </c>
      <c r="J617" s="97"/>
      <c r="K617" s="177">
        <v>44682.0</v>
      </c>
      <c r="L617" s="46" t="b">
        <v>1</v>
      </c>
    </row>
    <row r="618" hidden="1">
      <c r="A618" s="4" t="s">
        <v>75</v>
      </c>
      <c r="B618" s="170" t="s">
        <v>1983</v>
      </c>
      <c r="C618" s="171">
        <v>187.5</v>
      </c>
      <c r="D618" s="172">
        <v>44712.0</v>
      </c>
      <c r="E618" s="170">
        <v>62.0</v>
      </c>
      <c r="F618" s="170">
        <v>2022.05</v>
      </c>
      <c r="G618" s="170" t="s">
        <v>52</v>
      </c>
      <c r="H618" s="170" t="s">
        <v>1264</v>
      </c>
      <c r="I618" s="170" t="s">
        <v>1979</v>
      </c>
      <c r="J618" s="94"/>
      <c r="K618" s="173">
        <v>44682.0</v>
      </c>
      <c r="L618" s="45" t="b">
        <v>1</v>
      </c>
    </row>
    <row r="619" hidden="1">
      <c r="A619" s="16" t="s">
        <v>1271</v>
      </c>
      <c r="B619" s="99" t="s">
        <v>1998</v>
      </c>
      <c r="C619" s="174">
        <v>65.44</v>
      </c>
      <c r="D619" s="175">
        <v>44723.0</v>
      </c>
      <c r="E619" s="97"/>
      <c r="F619" s="99">
        <v>2022.0</v>
      </c>
      <c r="G619" s="99" t="s">
        <v>1152</v>
      </c>
      <c r="H619" s="99" t="s">
        <v>1264</v>
      </c>
      <c r="I619" s="99" t="s">
        <v>1995</v>
      </c>
      <c r="J619" s="99" t="s">
        <v>2053</v>
      </c>
      <c r="K619" s="177">
        <v>44682.0</v>
      </c>
      <c r="L619" s="46" t="b">
        <v>1</v>
      </c>
    </row>
    <row r="620" hidden="1">
      <c r="A620" s="4" t="s">
        <v>1271</v>
      </c>
      <c r="B620" s="170" t="s">
        <v>1994</v>
      </c>
      <c r="C620" s="171">
        <v>14.4</v>
      </c>
      <c r="D620" s="172">
        <v>44723.0</v>
      </c>
      <c r="E620" s="94"/>
      <c r="F620" s="170">
        <v>2022.0</v>
      </c>
      <c r="G620" s="170" t="s">
        <v>1152</v>
      </c>
      <c r="H620" s="170" t="s">
        <v>1264</v>
      </c>
      <c r="I620" s="170" t="s">
        <v>1995</v>
      </c>
      <c r="J620" s="94"/>
      <c r="K620" s="173">
        <v>44682.0</v>
      </c>
      <c r="L620" s="45" t="b">
        <v>1</v>
      </c>
    </row>
    <row r="621" hidden="1">
      <c r="A621" s="16" t="s">
        <v>1266</v>
      </c>
      <c r="B621" s="99" t="s">
        <v>2054</v>
      </c>
      <c r="C621" s="174">
        <v>103.98</v>
      </c>
      <c r="D621" s="175">
        <v>44723.0</v>
      </c>
      <c r="E621" s="97"/>
      <c r="F621" s="99">
        <v>2022.0</v>
      </c>
      <c r="G621" s="99" t="s">
        <v>1152</v>
      </c>
      <c r="H621" s="99" t="s">
        <v>1264</v>
      </c>
      <c r="I621" s="99" t="s">
        <v>1267</v>
      </c>
      <c r="J621" s="99" t="s">
        <v>2055</v>
      </c>
      <c r="K621" s="177">
        <v>44682.0</v>
      </c>
      <c r="L621" s="46" t="b">
        <v>1</v>
      </c>
    </row>
    <row r="622" hidden="1">
      <c r="A622" s="4" t="s">
        <v>1266</v>
      </c>
      <c r="B622" s="170" t="s">
        <v>2054</v>
      </c>
      <c r="C622" s="171">
        <v>25.83</v>
      </c>
      <c r="D622" s="172">
        <v>44723.0</v>
      </c>
      <c r="E622" s="94"/>
      <c r="F622" s="170">
        <v>2022.0</v>
      </c>
      <c r="G622" s="170" t="s">
        <v>1152</v>
      </c>
      <c r="H622" s="170" t="s">
        <v>1264</v>
      </c>
      <c r="I622" s="170" t="s">
        <v>1267</v>
      </c>
      <c r="J622" s="170" t="s">
        <v>2056</v>
      </c>
      <c r="K622" s="173">
        <v>44682.0</v>
      </c>
      <c r="L622" s="45" t="b">
        <v>1</v>
      </c>
    </row>
    <row r="623" hidden="1">
      <c r="A623" s="16" t="s">
        <v>1266</v>
      </c>
      <c r="B623" s="99" t="s">
        <v>2017</v>
      </c>
      <c r="C623" s="174">
        <v>52.04</v>
      </c>
      <c r="D623" s="175">
        <v>44723.0</v>
      </c>
      <c r="E623" s="97"/>
      <c r="F623" s="99">
        <v>2022.0</v>
      </c>
      <c r="G623" s="99" t="s">
        <v>1152</v>
      </c>
      <c r="H623" s="99" t="s">
        <v>1264</v>
      </c>
      <c r="I623" s="99" t="s">
        <v>1995</v>
      </c>
      <c r="J623" s="99" t="s">
        <v>2057</v>
      </c>
      <c r="K623" s="177">
        <v>44682.0</v>
      </c>
      <c r="L623" s="46" t="b">
        <v>1</v>
      </c>
    </row>
    <row r="624" hidden="1">
      <c r="A624" s="4" t="s">
        <v>1266</v>
      </c>
      <c r="B624" s="170" t="s">
        <v>1997</v>
      </c>
      <c r="C624" s="171">
        <v>50.33</v>
      </c>
      <c r="D624" s="172">
        <v>44723.0</v>
      </c>
      <c r="E624" s="94"/>
      <c r="F624" s="170">
        <v>2022.0</v>
      </c>
      <c r="G624" s="170" t="s">
        <v>1152</v>
      </c>
      <c r="H624" s="170" t="s">
        <v>1264</v>
      </c>
      <c r="I624" s="170" t="s">
        <v>1995</v>
      </c>
      <c r="J624" s="170" t="s">
        <v>2058</v>
      </c>
      <c r="K624" s="173">
        <v>44682.0</v>
      </c>
      <c r="L624" s="45" t="b">
        <v>1</v>
      </c>
    </row>
    <row r="625" hidden="1">
      <c r="A625" s="16" t="s">
        <v>1266</v>
      </c>
      <c r="B625" s="99" t="s">
        <v>2059</v>
      </c>
      <c r="C625" s="96">
        <f>392-17.5</f>
        <v>374.5</v>
      </c>
      <c r="D625" s="187">
        <v>44733.0</v>
      </c>
      <c r="E625" s="97"/>
      <c r="F625" s="99">
        <v>2022.0</v>
      </c>
      <c r="G625" s="99" t="s">
        <v>1152</v>
      </c>
      <c r="H625" s="99" t="s">
        <v>1264</v>
      </c>
      <c r="I625" s="99" t="s">
        <v>1267</v>
      </c>
      <c r="J625" s="99" t="s">
        <v>2060</v>
      </c>
      <c r="K625" s="177">
        <v>44682.0</v>
      </c>
      <c r="L625" s="46" t="b">
        <v>1</v>
      </c>
    </row>
    <row r="626" hidden="1">
      <c r="A626" s="4" t="s">
        <v>414</v>
      </c>
      <c r="B626" s="170" t="s">
        <v>2002</v>
      </c>
      <c r="C626" s="171">
        <v>3082.93</v>
      </c>
      <c r="D626" s="172">
        <v>44712.0</v>
      </c>
      <c r="E626" s="94"/>
      <c r="F626" s="170">
        <v>2022.0</v>
      </c>
      <c r="G626" s="170" t="s">
        <v>1160</v>
      </c>
      <c r="H626" s="170" t="s">
        <v>1999</v>
      </c>
      <c r="I626" s="170" t="s">
        <v>1979</v>
      </c>
      <c r="J626" s="94"/>
      <c r="K626" s="173">
        <v>44682.0</v>
      </c>
      <c r="L626" s="45" t="b">
        <v>1</v>
      </c>
    </row>
    <row r="627" hidden="1">
      <c r="A627" s="16" t="s">
        <v>264</v>
      </c>
      <c r="B627" s="99" t="s">
        <v>2002</v>
      </c>
      <c r="C627" s="174">
        <v>633.77</v>
      </c>
      <c r="D627" s="175">
        <v>44712.0</v>
      </c>
      <c r="E627" s="97"/>
      <c r="F627" s="99">
        <v>2022.0</v>
      </c>
      <c r="G627" s="99" t="s">
        <v>1160</v>
      </c>
      <c r="H627" s="99" t="s">
        <v>1999</v>
      </c>
      <c r="I627" s="99" t="s">
        <v>1979</v>
      </c>
      <c r="J627" s="97"/>
      <c r="K627" s="177">
        <v>44682.0</v>
      </c>
      <c r="L627" s="46" t="b">
        <v>1</v>
      </c>
    </row>
    <row r="628" hidden="1">
      <c r="A628" s="4" t="s">
        <v>99</v>
      </c>
      <c r="B628" s="170" t="s">
        <v>2002</v>
      </c>
      <c r="C628" s="171">
        <v>29.92</v>
      </c>
      <c r="D628" s="172">
        <v>44712.0</v>
      </c>
      <c r="E628" s="94"/>
      <c r="F628" s="170">
        <v>2022.05</v>
      </c>
      <c r="G628" s="170" t="s">
        <v>52</v>
      </c>
      <c r="H628" s="170" t="s">
        <v>1999</v>
      </c>
      <c r="I628" s="170" t="s">
        <v>1979</v>
      </c>
      <c r="J628" s="94"/>
      <c r="K628" s="173">
        <v>44682.0</v>
      </c>
      <c r="L628" s="45" t="b">
        <v>1</v>
      </c>
    </row>
    <row r="629" hidden="1">
      <c r="A629" s="16" t="s">
        <v>350</v>
      </c>
      <c r="B629" s="99" t="s">
        <v>2002</v>
      </c>
      <c r="C629" s="174">
        <v>49.26</v>
      </c>
      <c r="D629" s="175">
        <v>44712.0</v>
      </c>
      <c r="E629" s="97"/>
      <c r="F629" s="99">
        <v>2022.0</v>
      </c>
      <c r="G629" s="99" t="s">
        <v>1160</v>
      </c>
      <c r="H629" s="99" t="s">
        <v>1999</v>
      </c>
      <c r="I629" s="99" t="s">
        <v>1979</v>
      </c>
      <c r="J629" s="97"/>
      <c r="K629" s="177">
        <v>44682.0</v>
      </c>
      <c r="L629" s="46" t="b">
        <v>1</v>
      </c>
    </row>
    <row r="630" hidden="1">
      <c r="A630" s="4" t="s">
        <v>385</v>
      </c>
      <c r="B630" s="170" t="s">
        <v>2002</v>
      </c>
      <c r="C630" s="171">
        <v>593.23</v>
      </c>
      <c r="D630" s="172">
        <v>44712.0</v>
      </c>
      <c r="E630" s="94"/>
      <c r="F630" s="170">
        <v>2022.0</v>
      </c>
      <c r="G630" s="170" t="s">
        <v>1160</v>
      </c>
      <c r="H630" s="170" t="s">
        <v>1999</v>
      </c>
      <c r="I630" s="170" t="s">
        <v>1979</v>
      </c>
      <c r="J630" s="94"/>
      <c r="K630" s="173">
        <v>44682.0</v>
      </c>
      <c r="L630" s="45" t="b">
        <v>1</v>
      </c>
    </row>
    <row r="631" hidden="1">
      <c r="A631" s="16" t="s">
        <v>86</v>
      </c>
      <c r="B631" s="99" t="s">
        <v>2002</v>
      </c>
      <c r="C631" s="174">
        <v>0.0</v>
      </c>
      <c r="D631" s="175">
        <v>44712.0</v>
      </c>
      <c r="E631" s="97"/>
      <c r="F631" s="99">
        <v>2022.05</v>
      </c>
      <c r="G631" s="99" t="s">
        <v>52</v>
      </c>
      <c r="H631" s="99" t="s">
        <v>1999</v>
      </c>
      <c r="I631" s="99" t="s">
        <v>1979</v>
      </c>
      <c r="J631" s="97"/>
      <c r="K631" s="177">
        <v>44682.0</v>
      </c>
      <c r="L631" s="46" t="b">
        <v>1</v>
      </c>
    </row>
    <row r="632" hidden="1">
      <c r="A632" s="4" t="s">
        <v>347</v>
      </c>
      <c r="B632" s="170" t="s">
        <v>2002</v>
      </c>
      <c r="C632" s="171">
        <v>2.31</v>
      </c>
      <c r="D632" s="172">
        <v>44712.0</v>
      </c>
      <c r="E632" s="94"/>
      <c r="F632" s="170">
        <v>2022.0</v>
      </c>
      <c r="G632" s="170" t="s">
        <v>1160</v>
      </c>
      <c r="H632" s="170" t="s">
        <v>1999</v>
      </c>
      <c r="I632" s="170" t="s">
        <v>1979</v>
      </c>
      <c r="J632" s="94"/>
      <c r="K632" s="173">
        <v>44682.0</v>
      </c>
      <c r="L632" s="45" t="b">
        <v>1</v>
      </c>
    </row>
    <row r="633" hidden="1">
      <c r="A633" s="16" t="s">
        <v>1266</v>
      </c>
      <c r="B633" s="99" t="s">
        <v>2002</v>
      </c>
      <c r="C633" s="174">
        <v>400.17</v>
      </c>
      <c r="D633" s="175">
        <v>44712.0</v>
      </c>
      <c r="E633" s="97"/>
      <c r="F633" s="99">
        <v>2022.0</v>
      </c>
      <c r="G633" s="99" t="s">
        <v>1152</v>
      </c>
      <c r="H633" s="99" t="s">
        <v>1999</v>
      </c>
      <c r="I633" s="99" t="s">
        <v>1979</v>
      </c>
      <c r="J633" s="97"/>
      <c r="K633" s="177">
        <v>44682.0</v>
      </c>
      <c r="L633" s="46" t="b">
        <v>1</v>
      </c>
    </row>
    <row r="634" hidden="1">
      <c r="A634" s="4" t="s">
        <v>90</v>
      </c>
      <c r="B634" s="170" t="s">
        <v>2002</v>
      </c>
      <c r="C634" s="171">
        <v>3.23</v>
      </c>
      <c r="D634" s="172">
        <v>44712.0</v>
      </c>
      <c r="E634" s="94"/>
      <c r="F634" s="170">
        <v>2022.05</v>
      </c>
      <c r="G634" s="170" t="s">
        <v>52</v>
      </c>
      <c r="H634" s="170" t="s">
        <v>1999</v>
      </c>
      <c r="I634" s="170" t="s">
        <v>1979</v>
      </c>
      <c r="J634" s="94"/>
      <c r="K634" s="173">
        <v>44682.0</v>
      </c>
      <c r="L634" s="45" t="b">
        <v>1</v>
      </c>
    </row>
    <row r="635" hidden="1">
      <c r="A635" s="16" t="s">
        <v>352</v>
      </c>
      <c r="B635" s="99" t="s">
        <v>2002</v>
      </c>
      <c r="C635" s="174">
        <v>8.85</v>
      </c>
      <c r="D635" s="175">
        <v>44712.0</v>
      </c>
      <c r="E635" s="97"/>
      <c r="F635" s="99">
        <v>2022.0</v>
      </c>
      <c r="G635" s="99" t="s">
        <v>1160</v>
      </c>
      <c r="H635" s="99" t="s">
        <v>1999</v>
      </c>
      <c r="I635" s="99" t="s">
        <v>1979</v>
      </c>
      <c r="J635" s="97"/>
      <c r="K635" s="177">
        <v>44682.0</v>
      </c>
      <c r="L635" s="46" t="b">
        <v>1</v>
      </c>
    </row>
    <row r="636" hidden="1">
      <c r="A636" s="4" t="s">
        <v>92</v>
      </c>
      <c r="B636" s="170" t="s">
        <v>2002</v>
      </c>
      <c r="C636" s="171">
        <v>2.54</v>
      </c>
      <c r="D636" s="172">
        <v>44712.0</v>
      </c>
      <c r="E636" s="94"/>
      <c r="F636" s="170">
        <v>2022.05</v>
      </c>
      <c r="G636" s="170" t="s">
        <v>52</v>
      </c>
      <c r="H636" s="170" t="s">
        <v>1999</v>
      </c>
      <c r="I636" s="170" t="s">
        <v>1979</v>
      </c>
      <c r="J636" s="94"/>
      <c r="K636" s="173">
        <v>44682.0</v>
      </c>
      <c r="L636" s="45" t="b">
        <v>1</v>
      </c>
    </row>
    <row r="637" hidden="1">
      <c r="A637" s="16" t="s">
        <v>1290</v>
      </c>
      <c r="B637" s="99" t="s">
        <v>2002</v>
      </c>
      <c r="C637" s="174">
        <v>8.73</v>
      </c>
      <c r="D637" s="175">
        <v>44712.0</v>
      </c>
      <c r="E637" s="97"/>
      <c r="F637" s="99">
        <v>2022.0</v>
      </c>
      <c r="G637" s="99" t="s">
        <v>1152</v>
      </c>
      <c r="H637" s="99" t="s">
        <v>1999</v>
      </c>
      <c r="I637" s="99" t="s">
        <v>1979</v>
      </c>
      <c r="J637" s="97"/>
      <c r="K637" s="177">
        <v>44682.0</v>
      </c>
      <c r="L637" s="46" t="b">
        <v>1</v>
      </c>
    </row>
    <row r="638" hidden="1">
      <c r="A638" s="4" t="s">
        <v>123</v>
      </c>
      <c r="B638" s="170" t="s">
        <v>2002</v>
      </c>
      <c r="C638" s="171">
        <v>27.99</v>
      </c>
      <c r="D638" s="172">
        <v>44712.0</v>
      </c>
      <c r="E638" s="94"/>
      <c r="F638" s="170">
        <v>2022.05</v>
      </c>
      <c r="G638" s="170" t="s">
        <v>52</v>
      </c>
      <c r="H638" s="170" t="s">
        <v>1999</v>
      </c>
      <c r="I638" s="170" t="s">
        <v>1979</v>
      </c>
      <c r="J638" s="94"/>
      <c r="K638" s="173">
        <v>44682.0</v>
      </c>
      <c r="L638" s="45" t="b">
        <v>1</v>
      </c>
    </row>
    <row r="639" hidden="1">
      <c r="A639" s="16" t="s">
        <v>373</v>
      </c>
      <c r="B639" s="99" t="s">
        <v>2002</v>
      </c>
      <c r="C639" s="174">
        <v>46.61</v>
      </c>
      <c r="D639" s="175">
        <v>44712.0</v>
      </c>
      <c r="E639" s="97"/>
      <c r="F639" s="99">
        <v>2022.0</v>
      </c>
      <c r="G639" s="99" t="s">
        <v>1160</v>
      </c>
      <c r="H639" s="99" t="s">
        <v>1999</v>
      </c>
      <c r="I639" s="99" t="s">
        <v>1979</v>
      </c>
      <c r="J639" s="97"/>
      <c r="K639" s="177">
        <v>44682.0</v>
      </c>
      <c r="L639" s="46" t="b">
        <v>1</v>
      </c>
    </row>
    <row r="640" hidden="1">
      <c r="A640" s="4" t="s">
        <v>279</v>
      </c>
      <c r="B640" s="170" t="s">
        <v>1976</v>
      </c>
      <c r="C640" s="171">
        <v>500.0</v>
      </c>
      <c r="D640" s="172">
        <v>44703.0</v>
      </c>
      <c r="E640" s="94"/>
      <c r="F640" s="170">
        <v>2022.0</v>
      </c>
      <c r="G640" s="170" t="s">
        <v>1160</v>
      </c>
      <c r="H640" s="170" t="s">
        <v>1999</v>
      </c>
      <c r="I640" s="170" t="s">
        <v>1977</v>
      </c>
      <c r="J640" s="94"/>
      <c r="K640" s="173">
        <v>44682.0</v>
      </c>
      <c r="L640" s="45" t="b">
        <v>1</v>
      </c>
    </row>
    <row r="641" hidden="1">
      <c r="A641" s="16" t="s">
        <v>118</v>
      </c>
      <c r="B641" s="99" t="s">
        <v>1976</v>
      </c>
      <c r="C641" s="174">
        <v>750.0</v>
      </c>
      <c r="D641" s="175">
        <v>44703.0</v>
      </c>
      <c r="E641" s="97"/>
      <c r="F641" s="99">
        <v>2022.05</v>
      </c>
      <c r="G641" s="99" t="s">
        <v>52</v>
      </c>
      <c r="H641" s="99" t="s">
        <v>1999</v>
      </c>
      <c r="I641" s="99" t="s">
        <v>1977</v>
      </c>
      <c r="J641" s="97"/>
      <c r="K641" s="177">
        <v>44682.0</v>
      </c>
      <c r="L641" s="46" t="b">
        <v>1</v>
      </c>
    </row>
    <row r="642" hidden="1">
      <c r="A642" s="4" t="s">
        <v>1271</v>
      </c>
      <c r="B642" s="170" t="s">
        <v>2061</v>
      </c>
      <c r="C642" s="171">
        <v>73.42</v>
      </c>
      <c r="D642" s="172">
        <v>44695.0</v>
      </c>
      <c r="E642" s="94"/>
      <c r="F642" s="170">
        <v>2022.0</v>
      </c>
      <c r="G642" s="170" t="s">
        <v>1152</v>
      </c>
      <c r="H642" s="170" t="s">
        <v>1999</v>
      </c>
      <c r="I642" s="170" t="s">
        <v>2034</v>
      </c>
      <c r="J642" s="94"/>
      <c r="K642" s="173">
        <v>44682.0</v>
      </c>
      <c r="L642" s="45" t="b">
        <v>1</v>
      </c>
    </row>
    <row r="643" hidden="1">
      <c r="A643" s="16" t="s">
        <v>92</v>
      </c>
      <c r="B643" s="99" t="s">
        <v>1988</v>
      </c>
      <c r="C643" s="174">
        <v>50.15</v>
      </c>
      <c r="D643" s="175">
        <v>44706.0</v>
      </c>
      <c r="E643" s="97"/>
      <c r="F643" s="99">
        <v>2022.05</v>
      </c>
      <c r="G643" s="99" t="s">
        <v>52</v>
      </c>
      <c r="H643" s="99" t="s">
        <v>1999</v>
      </c>
      <c r="I643" s="99" t="s">
        <v>1977</v>
      </c>
      <c r="J643" s="97"/>
      <c r="K643" s="177">
        <v>44682.0</v>
      </c>
      <c r="L643" s="46" t="b">
        <v>1</v>
      </c>
    </row>
    <row r="644" hidden="1">
      <c r="A644" s="4" t="s">
        <v>115</v>
      </c>
      <c r="B644" s="170" t="s">
        <v>1976</v>
      </c>
      <c r="C644" s="171">
        <v>750.0</v>
      </c>
      <c r="D644" s="172">
        <v>44711.0</v>
      </c>
      <c r="E644" s="94"/>
      <c r="F644" s="170">
        <v>2022.05</v>
      </c>
      <c r="G644" s="170" t="s">
        <v>52</v>
      </c>
      <c r="H644" s="170" t="s">
        <v>1999</v>
      </c>
      <c r="I644" s="170" t="s">
        <v>1977</v>
      </c>
      <c r="J644" s="94"/>
      <c r="K644" s="173">
        <v>44682.0</v>
      </c>
      <c r="L644" s="45" t="b">
        <v>1</v>
      </c>
    </row>
    <row r="645" hidden="1">
      <c r="A645" s="16" t="s">
        <v>115</v>
      </c>
      <c r="B645" s="99" t="s">
        <v>1976</v>
      </c>
      <c r="C645" s="174">
        <v>42.32</v>
      </c>
      <c r="D645" s="175">
        <v>44714.0</v>
      </c>
      <c r="E645" s="97"/>
      <c r="F645" s="99">
        <v>2022.06</v>
      </c>
      <c r="G645" s="99" t="s">
        <v>52</v>
      </c>
      <c r="H645" s="99" t="s">
        <v>1999</v>
      </c>
      <c r="I645" s="99" t="s">
        <v>1977</v>
      </c>
      <c r="J645" s="97"/>
      <c r="K645" s="177">
        <v>44682.0</v>
      </c>
      <c r="L645" s="46" t="b">
        <v>1</v>
      </c>
    </row>
    <row r="646" hidden="1">
      <c r="A646" s="4" t="s">
        <v>1271</v>
      </c>
      <c r="B646" s="170" t="s">
        <v>2062</v>
      </c>
      <c r="C646" s="171">
        <v>38.81</v>
      </c>
      <c r="D646" s="172">
        <v>44705.0</v>
      </c>
      <c r="E646" s="94"/>
      <c r="F646" s="170">
        <v>2022.0</v>
      </c>
      <c r="G646" s="170" t="s">
        <v>1152</v>
      </c>
      <c r="H646" s="170" t="s">
        <v>1999</v>
      </c>
      <c r="I646" s="170" t="s">
        <v>1995</v>
      </c>
      <c r="J646" s="94"/>
      <c r="K646" s="173">
        <v>44682.0</v>
      </c>
      <c r="L646" s="45" t="b">
        <v>1</v>
      </c>
    </row>
    <row r="647" hidden="1">
      <c r="A647" s="16" t="s">
        <v>118</v>
      </c>
      <c r="B647" s="99" t="s">
        <v>1976</v>
      </c>
      <c r="C647" s="174">
        <v>334.65</v>
      </c>
      <c r="D647" s="175">
        <v>44715.0</v>
      </c>
      <c r="E647" s="97"/>
      <c r="F647" s="99">
        <v>2022.06</v>
      </c>
      <c r="G647" s="99" t="s">
        <v>52</v>
      </c>
      <c r="H647" s="99" t="s">
        <v>1999</v>
      </c>
      <c r="I647" s="99" t="s">
        <v>1977</v>
      </c>
      <c r="J647" s="97"/>
      <c r="K647" s="177">
        <v>44682.0</v>
      </c>
      <c r="L647" s="46" t="b">
        <v>1</v>
      </c>
    </row>
    <row r="648" hidden="1">
      <c r="A648" s="4" t="s">
        <v>279</v>
      </c>
      <c r="B648" s="170" t="s">
        <v>1976</v>
      </c>
      <c r="C648" s="171">
        <v>260.35</v>
      </c>
      <c r="D648" s="172">
        <v>44715.0</v>
      </c>
      <c r="E648" s="94"/>
      <c r="F648" s="170">
        <v>2022.0</v>
      </c>
      <c r="G648" s="170" t="s">
        <v>1160</v>
      </c>
      <c r="H648" s="170" t="s">
        <v>1999</v>
      </c>
      <c r="I648" s="170" t="s">
        <v>1977</v>
      </c>
      <c r="J648" s="94"/>
      <c r="K648" s="173">
        <v>44682.0</v>
      </c>
      <c r="L648" s="45" t="b">
        <v>1</v>
      </c>
    </row>
    <row r="649" hidden="1">
      <c r="A649" s="16" t="s">
        <v>102</v>
      </c>
      <c r="B649" s="99" t="s">
        <v>1987</v>
      </c>
      <c r="C649" s="174">
        <v>150.0</v>
      </c>
      <c r="D649" s="175">
        <v>44742.0</v>
      </c>
      <c r="E649" s="99">
        <v>1022.0</v>
      </c>
      <c r="F649" s="99">
        <v>2022.06</v>
      </c>
      <c r="G649" s="99" t="s">
        <v>52</v>
      </c>
      <c r="H649" s="99" t="s">
        <v>1264</v>
      </c>
      <c r="I649" s="99" t="s">
        <v>1979</v>
      </c>
      <c r="J649" s="97"/>
      <c r="K649" s="177">
        <v>44713.0</v>
      </c>
      <c r="L649" s="46" t="b">
        <v>1</v>
      </c>
    </row>
    <row r="650" hidden="1">
      <c r="A650" s="4" t="s">
        <v>42</v>
      </c>
      <c r="B650" s="170" t="s">
        <v>1984</v>
      </c>
      <c r="C650" s="171">
        <v>350.0</v>
      </c>
      <c r="D650" s="172">
        <v>44742.0</v>
      </c>
      <c r="E650" s="170">
        <v>6.0</v>
      </c>
      <c r="F650" s="170">
        <v>2022.06</v>
      </c>
      <c r="G650" s="170" t="s">
        <v>52</v>
      </c>
      <c r="H650" s="170" t="s">
        <v>1264</v>
      </c>
      <c r="I650" s="170" t="s">
        <v>1979</v>
      </c>
      <c r="J650" s="94"/>
      <c r="K650" s="173">
        <v>44713.0</v>
      </c>
      <c r="L650" s="45" t="b">
        <v>1</v>
      </c>
    </row>
    <row r="651" hidden="1">
      <c r="A651" s="16" t="s">
        <v>92</v>
      </c>
      <c r="B651" s="99" t="s">
        <v>1984</v>
      </c>
      <c r="C651" s="174">
        <v>212.5</v>
      </c>
      <c r="D651" s="175">
        <v>44742.0</v>
      </c>
      <c r="E651" s="99">
        <v>6.0</v>
      </c>
      <c r="F651" s="99">
        <v>2022.06</v>
      </c>
      <c r="G651" s="99" t="s">
        <v>52</v>
      </c>
      <c r="H651" s="99" t="s">
        <v>1264</v>
      </c>
      <c r="I651" s="99" t="s">
        <v>1979</v>
      </c>
      <c r="J651" s="97"/>
      <c r="K651" s="177">
        <v>44713.0</v>
      </c>
      <c r="L651" s="46" t="b">
        <v>1</v>
      </c>
    </row>
    <row r="652" hidden="1">
      <c r="A652" s="4" t="s">
        <v>54</v>
      </c>
      <c r="B652" s="170" t="s">
        <v>1984</v>
      </c>
      <c r="C652" s="171">
        <v>175.0</v>
      </c>
      <c r="D652" s="172">
        <v>44742.0</v>
      </c>
      <c r="E652" s="170">
        <v>6.0</v>
      </c>
      <c r="F652" s="170">
        <v>2022.06</v>
      </c>
      <c r="G652" s="170" t="s">
        <v>52</v>
      </c>
      <c r="H652" s="170" t="s">
        <v>1264</v>
      </c>
      <c r="I652" s="170" t="s">
        <v>1979</v>
      </c>
      <c r="J652" s="94"/>
      <c r="K652" s="173">
        <v>44713.0</v>
      </c>
      <c r="L652" s="45" t="b">
        <v>1</v>
      </c>
    </row>
    <row r="653" hidden="1">
      <c r="A653" s="16" t="s">
        <v>82</v>
      </c>
      <c r="B653" s="99" t="s">
        <v>1986</v>
      </c>
      <c r="C653" s="174">
        <v>225.0</v>
      </c>
      <c r="D653" s="175">
        <v>44742.0</v>
      </c>
      <c r="E653" s="99">
        <v>8.0</v>
      </c>
      <c r="F653" s="99">
        <v>2022.06</v>
      </c>
      <c r="G653" s="99" t="s">
        <v>52</v>
      </c>
      <c r="H653" s="99" t="s">
        <v>1264</v>
      </c>
      <c r="I653" s="99" t="s">
        <v>1979</v>
      </c>
      <c r="J653" s="97"/>
      <c r="K653" s="177">
        <v>44713.0</v>
      </c>
      <c r="L653" s="46" t="b">
        <v>1</v>
      </c>
    </row>
    <row r="654" hidden="1">
      <c r="A654" s="4" t="s">
        <v>279</v>
      </c>
      <c r="B654" s="170" t="s">
        <v>1986</v>
      </c>
      <c r="C654" s="171">
        <v>125.0</v>
      </c>
      <c r="D654" s="172">
        <v>44742.0</v>
      </c>
      <c r="E654" s="170">
        <v>8.0</v>
      </c>
      <c r="F654" s="170">
        <v>2022.0</v>
      </c>
      <c r="G654" s="170" t="s">
        <v>1160</v>
      </c>
      <c r="H654" s="170" t="s">
        <v>1264</v>
      </c>
      <c r="I654" s="170" t="s">
        <v>1979</v>
      </c>
      <c r="J654" s="94"/>
      <c r="K654" s="173">
        <v>44713.0</v>
      </c>
      <c r="L654" s="45" t="b">
        <v>1</v>
      </c>
    </row>
    <row r="655" hidden="1">
      <c r="A655" s="16" t="s">
        <v>68</v>
      </c>
      <c r="B655" s="99" t="s">
        <v>1986</v>
      </c>
      <c r="C655" s="174">
        <v>237.5</v>
      </c>
      <c r="D655" s="175">
        <v>44742.0</v>
      </c>
      <c r="E655" s="99">
        <v>8.0</v>
      </c>
      <c r="F655" s="99">
        <v>2022.06</v>
      </c>
      <c r="G655" s="99" t="s">
        <v>52</v>
      </c>
      <c r="H655" s="99" t="s">
        <v>1264</v>
      </c>
      <c r="I655" s="99" t="s">
        <v>1979</v>
      </c>
      <c r="J655" s="97"/>
      <c r="K655" s="177">
        <v>44713.0</v>
      </c>
      <c r="L655" s="46" t="b">
        <v>1</v>
      </c>
    </row>
    <row r="656" hidden="1">
      <c r="A656" s="4" t="s">
        <v>427</v>
      </c>
      <c r="B656" s="170" t="s">
        <v>1986</v>
      </c>
      <c r="C656" s="171">
        <v>175.0</v>
      </c>
      <c r="D656" s="172">
        <v>44742.0</v>
      </c>
      <c r="E656" s="170">
        <v>8.0</v>
      </c>
      <c r="F656" s="170">
        <v>2022.0</v>
      </c>
      <c r="G656" s="170" t="s">
        <v>1160</v>
      </c>
      <c r="H656" s="170" t="s">
        <v>1264</v>
      </c>
      <c r="I656" s="170" t="s">
        <v>1979</v>
      </c>
      <c r="J656" s="94"/>
      <c r="K656" s="173">
        <v>44713.0</v>
      </c>
      <c r="L656" s="45" t="b">
        <v>1</v>
      </c>
    </row>
    <row r="657" hidden="1">
      <c r="A657" s="16" t="s">
        <v>66</v>
      </c>
      <c r="B657" s="99" t="s">
        <v>1978</v>
      </c>
      <c r="C657" s="174">
        <v>312.5</v>
      </c>
      <c r="D657" s="175">
        <v>44742.0</v>
      </c>
      <c r="E657" s="189">
        <v>44713.0</v>
      </c>
      <c r="F657" s="99">
        <v>2022.06</v>
      </c>
      <c r="G657" s="99" t="s">
        <v>52</v>
      </c>
      <c r="H657" s="99" t="s">
        <v>1264</v>
      </c>
      <c r="I657" s="99" t="s">
        <v>1979</v>
      </c>
      <c r="J657" s="97"/>
      <c r="K657" s="177">
        <v>44713.0</v>
      </c>
      <c r="L657" s="46" t="b">
        <v>1</v>
      </c>
    </row>
    <row r="658" hidden="1">
      <c r="A658" s="4" t="s">
        <v>97</v>
      </c>
      <c r="B658" s="170" t="s">
        <v>1978</v>
      </c>
      <c r="C658" s="171">
        <v>125.0</v>
      </c>
      <c r="D658" s="172">
        <v>44742.0</v>
      </c>
      <c r="E658" s="188">
        <v>44713.0</v>
      </c>
      <c r="F658" s="170">
        <v>2022.06</v>
      </c>
      <c r="G658" s="170" t="s">
        <v>52</v>
      </c>
      <c r="H658" s="170" t="s">
        <v>1264</v>
      </c>
      <c r="I658" s="170" t="s">
        <v>1979</v>
      </c>
      <c r="J658" s="94"/>
      <c r="K658" s="173">
        <v>44713.0</v>
      </c>
      <c r="L658" s="45" t="b">
        <v>1</v>
      </c>
    </row>
    <row r="659" hidden="1">
      <c r="A659" s="16" t="s">
        <v>147</v>
      </c>
      <c r="B659" s="99" t="s">
        <v>1978</v>
      </c>
      <c r="C659" s="174">
        <v>200.0</v>
      </c>
      <c r="D659" s="175">
        <v>44742.0</v>
      </c>
      <c r="E659" s="189">
        <v>44713.0</v>
      </c>
      <c r="F659" s="99">
        <v>2022.06</v>
      </c>
      <c r="G659" s="99" t="s">
        <v>52</v>
      </c>
      <c r="H659" s="99" t="s">
        <v>1264</v>
      </c>
      <c r="I659" s="99" t="s">
        <v>1979</v>
      </c>
      <c r="J659" s="97"/>
      <c r="K659" s="177">
        <v>44713.0</v>
      </c>
      <c r="L659" s="46" t="b">
        <v>1</v>
      </c>
    </row>
    <row r="660" hidden="1">
      <c r="A660" s="4" t="s">
        <v>88</v>
      </c>
      <c r="B660" s="170" t="s">
        <v>1978</v>
      </c>
      <c r="C660" s="171">
        <v>212.5</v>
      </c>
      <c r="D660" s="172">
        <v>44742.0</v>
      </c>
      <c r="E660" s="188">
        <v>44713.0</v>
      </c>
      <c r="F660" s="170">
        <v>2022.06</v>
      </c>
      <c r="G660" s="170" t="s">
        <v>52</v>
      </c>
      <c r="H660" s="170" t="s">
        <v>1264</v>
      </c>
      <c r="I660" s="170" t="s">
        <v>1979</v>
      </c>
      <c r="J660" s="94"/>
      <c r="K660" s="173">
        <v>44713.0</v>
      </c>
      <c r="L660" s="45" t="b">
        <v>1</v>
      </c>
    </row>
    <row r="661" hidden="1">
      <c r="A661" s="16" t="s">
        <v>73</v>
      </c>
      <c r="B661" s="99" t="s">
        <v>1978</v>
      </c>
      <c r="C661" s="174">
        <v>250.0</v>
      </c>
      <c r="D661" s="175">
        <v>44742.0</v>
      </c>
      <c r="E661" s="189">
        <v>44713.0</v>
      </c>
      <c r="F661" s="99">
        <v>2022.06</v>
      </c>
      <c r="G661" s="99" t="s">
        <v>52</v>
      </c>
      <c r="H661" s="99" t="s">
        <v>1264</v>
      </c>
      <c r="I661" s="99" t="s">
        <v>1979</v>
      </c>
      <c r="J661" s="97"/>
      <c r="K661" s="177">
        <v>44713.0</v>
      </c>
      <c r="L661" s="46" t="b">
        <v>1</v>
      </c>
    </row>
    <row r="662" hidden="1">
      <c r="A662" s="4" t="s">
        <v>223</v>
      </c>
      <c r="B662" s="170" t="s">
        <v>1978</v>
      </c>
      <c r="C662" s="171">
        <v>500.0</v>
      </c>
      <c r="D662" s="172">
        <v>44742.0</v>
      </c>
      <c r="E662" s="188">
        <v>44713.0</v>
      </c>
      <c r="F662" s="170">
        <v>2022.06</v>
      </c>
      <c r="G662" s="170" t="s">
        <v>52</v>
      </c>
      <c r="H662" s="170" t="s">
        <v>1264</v>
      </c>
      <c r="I662" s="170" t="s">
        <v>1979</v>
      </c>
      <c r="J662" s="94"/>
      <c r="K662" s="173">
        <v>44713.0</v>
      </c>
      <c r="L662" s="45" t="b">
        <v>1</v>
      </c>
    </row>
    <row r="663" hidden="1">
      <c r="A663" s="16" t="s">
        <v>50</v>
      </c>
      <c r="B663" s="99" t="s">
        <v>1978</v>
      </c>
      <c r="C663" s="174">
        <v>137.5</v>
      </c>
      <c r="D663" s="175">
        <v>44742.0</v>
      </c>
      <c r="E663" s="189">
        <v>44713.0</v>
      </c>
      <c r="F663" s="99">
        <v>2022.06</v>
      </c>
      <c r="G663" s="99" t="s">
        <v>52</v>
      </c>
      <c r="H663" s="99" t="s">
        <v>1264</v>
      </c>
      <c r="I663" s="99" t="s">
        <v>1979</v>
      </c>
      <c r="J663" s="97"/>
      <c r="K663" s="177">
        <v>44713.0</v>
      </c>
      <c r="L663" s="46" t="b">
        <v>1</v>
      </c>
    </row>
    <row r="664" hidden="1">
      <c r="A664" s="4" t="s">
        <v>151</v>
      </c>
      <c r="B664" s="170" t="s">
        <v>1978</v>
      </c>
      <c r="C664" s="171">
        <v>250.0</v>
      </c>
      <c r="D664" s="172">
        <v>44742.0</v>
      </c>
      <c r="E664" s="188">
        <v>44713.0</v>
      </c>
      <c r="F664" s="170">
        <v>2022.06</v>
      </c>
      <c r="G664" s="170" t="s">
        <v>52</v>
      </c>
      <c r="H664" s="170" t="s">
        <v>1264</v>
      </c>
      <c r="I664" s="170" t="s">
        <v>1979</v>
      </c>
      <c r="J664" s="94"/>
      <c r="K664" s="173">
        <v>44713.0</v>
      </c>
      <c r="L664" s="45" t="b">
        <v>1</v>
      </c>
    </row>
    <row r="665" hidden="1">
      <c r="A665" s="16" t="s">
        <v>147</v>
      </c>
      <c r="B665" s="99" t="s">
        <v>1980</v>
      </c>
      <c r="C665" s="174">
        <v>75.0</v>
      </c>
      <c r="D665" s="175">
        <v>44742.0</v>
      </c>
      <c r="E665" s="99">
        <v>112.0</v>
      </c>
      <c r="F665" s="99">
        <v>2022.06</v>
      </c>
      <c r="G665" s="99" t="s">
        <v>52</v>
      </c>
      <c r="H665" s="99" t="s">
        <v>1264</v>
      </c>
      <c r="I665" s="99" t="s">
        <v>1979</v>
      </c>
      <c r="J665" s="97"/>
      <c r="K665" s="177">
        <v>44713.0</v>
      </c>
      <c r="L665" s="46" t="b">
        <v>1</v>
      </c>
    </row>
    <row r="666" hidden="1">
      <c r="A666" s="4" t="s">
        <v>92</v>
      </c>
      <c r="B666" s="170" t="s">
        <v>1980</v>
      </c>
      <c r="C666" s="93">
        <f>350+225</f>
        <v>575</v>
      </c>
      <c r="D666" s="172">
        <v>44742.0</v>
      </c>
      <c r="E666" s="170">
        <v>112.0</v>
      </c>
      <c r="F666" s="170">
        <v>2022.06</v>
      </c>
      <c r="G666" s="170" t="s">
        <v>52</v>
      </c>
      <c r="H666" s="170" t="s">
        <v>1264</v>
      </c>
      <c r="I666" s="170" t="s">
        <v>1979</v>
      </c>
      <c r="J666" s="94"/>
      <c r="K666" s="173">
        <v>44713.0</v>
      </c>
      <c r="L666" s="45" t="b">
        <v>1</v>
      </c>
    </row>
    <row r="667" hidden="1">
      <c r="A667" s="16" t="s">
        <v>88</v>
      </c>
      <c r="B667" s="99" t="s">
        <v>1980</v>
      </c>
      <c r="C667" s="174">
        <v>45.0</v>
      </c>
      <c r="D667" s="175">
        <v>44742.0</v>
      </c>
      <c r="E667" s="99">
        <v>112.0</v>
      </c>
      <c r="F667" s="99">
        <v>2022.06</v>
      </c>
      <c r="G667" s="99" t="s">
        <v>52</v>
      </c>
      <c r="H667" s="99" t="s">
        <v>1264</v>
      </c>
      <c r="I667" s="99" t="s">
        <v>1979</v>
      </c>
      <c r="J667" s="97"/>
      <c r="K667" s="177">
        <v>44713.0</v>
      </c>
      <c r="L667" s="46" t="b">
        <v>1</v>
      </c>
    </row>
    <row r="668" hidden="1">
      <c r="A668" s="4" t="s">
        <v>151</v>
      </c>
      <c r="B668" s="170" t="s">
        <v>1980</v>
      </c>
      <c r="C668" s="171">
        <v>60.0</v>
      </c>
      <c r="D668" s="172">
        <v>44742.0</v>
      </c>
      <c r="E668" s="170">
        <v>112.0</v>
      </c>
      <c r="F668" s="170">
        <v>2022.06</v>
      </c>
      <c r="G668" s="170" t="s">
        <v>52</v>
      </c>
      <c r="H668" s="170" t="s">
        <v>1264</v>
      </c>
      <c r="I668" s="170" t="s">
        <v>1979</v>
      </c>
      <c r="J668" s="94"/>
      <c r="K668" s="173">
        <v>44713.0</v>
      </c>
      <c r="L668" s="45" t="b">
        <v>1</v>
      </c>
    </row>
    <row r="669" hidden="1">
      <c r="A669" s="36" t="s">
        <v>2063</v>
      </c>
      <c r="B669" s="99" t="s">
        <v>1980</v>
      </c>
      <c r="C669" s="174">
        <v>420.0</v>
      </c>
      <c r="D669" s="175">
        <v>44742.0</v>
      </c>
      <c r="E669" s="99">
        <v>112.0</v>
      </c>
      <c r="F669" s="99">
        <v>2022.06</v>
      </c>
      <c r="G669" s="99" t="s">
        <v>52</v>
      </c>
      <c r="H669" s="99" t="s">
        <v>1264</v>
      </c>
      <c r="I669" s="99" t="s">
        <v>1979</v>
      </c>
      <c r="J669" s="97"/>
      <c r="K669" s="177">
        <v>44713.0</v>
      </c>
      <c r="L669" s="46" t="b">
        <v>1</v>
      </c>
    </row>
    <row r="670" hidden="1">
      <c r="A670" s="4" t="s">
        <v>86</v>
      </c>
      <c r="B670" s="170" t="s">
        <v>1980</v>
      </c>
      <c r="C670" s="171">
        <v>70.0</v>
      </c>
      <c r="D670" s="172">
        <v>44742.0</v>
      </c>
      <c r="E670" s="170">
        <v>112.0</v>
      </c>
      <c r="F670" s="170">
        <v>2022.06</v>
      </c>
      <c r="G670" s="170" t="s">
        <v>52</v>
      </c>
      <c r="H670" s="170" t="s">
        <v>1264</v>
      </c>
      <c r="I670" s="170" t="s">
        <v>1979</v>
      </c>
      <c r="J670" s="94"/>
      <c r="K670" s="173">
        <v>44713.0</v>
      </c>
      <c r="L670" s="45" t="b">
        <v>1</v>
      </c>
    </row>
    <row r="671" hidden="1">
      <c r="A671" s="16" t="s">
        <v>97</v>
      </c>
      <c r="B671" s="99" t="s">
        <v>1980</v>
      </c>
      <c r="C671" s="174">
        <v>30.0</v>
      </c>
      <c r="D671" s="175">
        <v>44742.0</v>
      </c>
      <c r="E671" s="99">
        <v>112.0</v>
      </c>
      <c r="F671" s="99">
        <v>2022.06</v>
      </c>
      <c r="G671" s="99" t="s">
        <v>52</v>
      </c>
      <c r="H671" s="99" t="s">
        <v>1264</v>
      </c>
      <c r="I671" s="99" t="s">
        <v>1979</v>
      </c>
      <c r="J671" s="97"/>
      <c r="K671" s="177">
        <v>44713.0</v>
      </c>
      <c r="L671" s="46" t="b">
        <v>1</v>
      </c>
    </row>
    <row r="672" hidden="1">
      <c r="A672" s="4" t="s">
        <v>82</v>
      </c>
      <c r="B672" s="170" t="s">
        <v>1980</v>
      </c>
      <c r="C672" s="171">
        <v>75.0</v>
      </c>
      <c r="D672" s="172">
        <v>44742.0</v>
      </c>
      <c r="E672" s="170">
        <v>112.0</v>
      </c>
      <c r="F672" s="170">
        <v>2022.06</v>
      </c>
      <c r="G672" s="170" t="s">
        <v>52</v>
      </c>
      <c r="H672" s="170" t="s">
        <v>1264</v>
      </c>
      <c r="I672" s="170" t="s">
        <v>1979</v>
      </c>
      <c r="J672" s="94"/>
      <c r="K672" s="173">
        <v>44713.0</v>
      </c>
      <c r="L672" s="45" t="b">
        <v>1</v>
      </c>
    </row>
    <row r="673" hidden="1">
      <c r="A673" s="16" t="s">
        <v>99</v>
      </c>
      <c r="B673" s="99" t="s">
        <v>1980</v>
      </c>
      <c r="C673" s="96">
        <f>287.5+120</f>
        <v>407.5</v>
      </c>
      <c r="D673" s="175">
        <v>44742.0</v>
      </c>
      <c r="E673" s="99">
        <v>112.0</v>
      </c>
      <c r="F673" s="99">
        <v>2022.06</v>
      </c>
      <c r="G673" s="99" t="s">
        <v>52</v>
      </c>
      <c r="H673" s="99" t="s">
        <v>1264</v>
      </c>
      <c r="I673" s="99" t="s">
        <v>1979</v>
      </c>
      <c r="J673" s="97"/>
      <c r="K673" s="177">
        <v>44713.0</v>
      </c>
      <c r="L673" s="46" t="b">
        <v>1</v>
      </c>
    </row>
    <row r="674" hidden="1">
      <c r="A674" s="4" t="s">
        <v>68</v>
      </c>
      <c r="B674" s="170" t="s">
        <v>1980</v>
      </c>
      <c r="C674" s="171">
        <v>60.0</v>
      </c>
      <c r="D674" s="172">
        <v>44742.0</v>
      </c>
      <c r="E674" s="170">
        <v>112.0</v>
      </c>
      <c r="F674" s="170">
        <v>2022.06</v>
      </c>
      <c r="G674" s="170" t="s">
        <v>52</v>
      </c>
      <c r="H674" s="170" t="s">
        <v>1264</v>
      </c>
      <c r="I674" s="170" t="s">
        <v>1979</v>
      </c>
      <c r="J674" s="94"/>
      <c r="K674" s="173">
        <v>44713.0</v>
      </c>
      <c r="L674" s="45" t="b">
        <v>1</v>
      </c>
    </row>
    <row r="675" hidden="1">
      <c r="A675" s="16" t="s">
        <v>42</v>
      </c>
      <c r="B675" s="99" t="s">
        <v>1980</v>
      </c>
      <c r="C675" s="96">
        <f>62.5+135</f>
        <v>197.5</v>
      </c>
      <c r="D675" s="175">
        <v>44742.0</v>
      </c>
      <c r="E675" s="99">
        <v>112.0</v>
      </c>
      <c r="F675" s="99">
        <v>2022.06</v>
      </c>
      <c r="G675" s="99" t="s">
        <v>52</v>
      </c>
      <c r="H675" s="99" t="s">
        <v>1264</v>
      </c>
      <c r="I675" s="99" t="s">
        <v>1979</v>
      </c>
      <c r="J675" s="97"/>
      <c r="K675" s="177">
        <v>44713.0</v>
      </c>
      <c r="L675" s="46" t="b">
        <v>1</v>
      </c>
    </row>
    <row r="676" hidden="1">
      <c r="A676" s="4" t="s">
        <v>58</v>
      </c>
      <c r="B676" s="170" t="s">
        <v>1980</v>
      </c>
      <c r="C676" s="171">
        <v>400.0</v>
      </c>
      <c r="D676" s="172">
        <v>44742.0</v>
      </c>
      <c r="E676" s="170">
        <v>112.0</v>
      </c>
      <c r="F676" s="170">
        <v>2022.06</v>
      </c>
      <c r="G676" s="170" t="s">
        <v>52</v>
      </c>
      <c r="H676" s="170" t="s">
        <v>1264</v>
      </c>
      <c r="I676" s="170" t="s">
        <v>1979</v>
      </c>
      <c r="J676" s="94"/>
      <c r="K676" s="173">
        <v>44713.0</v>
      </c>
      <c r="L676" s="45" t="b">
        <v>1</v>
      </c>
    </row>
    <row r="677" hidden="1">
      <c r="A677" s="16" t="s">
        <v>123</v>
      </c>
      <c r="B677" s="99" t="s">
        <v>1980</v>
      </c>
      <c r="C677" s="174">
        <v>300.0</v>
      </c>
      <c r="D677" s="175">
        <v>44742.0</v>
      </c>
      <c r="E677" s="99">
        <v>112.0</v>
      </c>
      <c r="F677" s="99">
        <v>2022.06</v>
      </c>
      <c r="G677" s="99" t="s">
        <v>52</v>
      </c>
      <c r="H677" s="99" t="s">
        <v>1264</v>
      </c>
      <c r="I677" s="99" t="s">
        <v>1979</v>
      </c>
      <c r="J677" s="97"/>
      <c r="K677" s="177">
        <v>44713.0</v>
      </c>
      <c r="L677" s="46" t="b">
        <v>1</v>
      </c>
    </row>
    <row r="678" hidden="1">
      <c r="A678" s="4" t="s">
        <v>73</v>
      </c>
      <c r="B678" s="170" t="s">
        <v>1980</v>
      </c>
      <c r="C678" s="171">
        <v>60.0</v>
      </c>
      <c r="D678" s="172">
        <v>44742.0</v>
      </c>
      <c r="E678" s="170">
        <v>112.0</v>
      </c>
      <c r="F678" s="170">
        <v>2022.06</v>
      </c>
      <c r="G678" s="170" t="s">
        <v>52</v>
      </c>
      <c r="H678" s="170" t="s">
        <v>1264</v>
      </c>
      <c r="I678" s="170" t="s">
        <v>1979</v>
      </c>
      <c r="J678" s="94"/>
      <c r="K678" s="173">
        <v>44713.0</v>
      </c>
      <c r="L678" s="45" t="b">
        <v>1</v>
      </c>
    </row>
    <row r="679" hidden="1">
      <c r="A679" s="16" t="s">
        <v>50</v>
      </c>
      <c r="B679" s="99" t="s">
        <v>1980</v>
      </c>
      <c r="C679" s="174">
        <v>30.0</v>
      </c>
      <c r="D679" s="175">
        <v>44742.0</v>
      </c>
      <c r="E679" s="99">
        <v>112.0</v>
      </c>
      <c r="F679" s="99">
        <v>2022.06</v>
      </c>
      <c r="G679" s="99" t="s">
        <v>52</v>
      </c>
      <c r="H679" s="99" t="s">
        <v>1264</v>
      </c>
      <c r="I679" s="99" t="s">
        <v>1979</v>
      </c>
      <c r="J679" s="97"/>
      <c r="K679" s="177">
        <v>44713.0</v>
      </c>
      <c r="L679" s="46" t="b">
        <v>1</v>
      </c>
    </row>
    <row r="680" hidden="1">
      <c r="A680" s="4" t="s">
        <v>62</v>
      </c>
      <c r="B680" s="170" t="s">
        <v>1980</v>
      </c>
      <c r="C680" s="93">
        <f>150+150</f>
        <v>300</v>
      </c>
      <c r="D680" s="172">
        <v>44742.0</v>
      </c>
      <c r="E680" s="170">
        <v>112.0</v>
      </c>
      <c r="F680" s="170">
        <v>2022.06</v>
      </c>
      <c r="G680" s="170" t="s">
        <v>52</v>
      </c>
      <c r="H680" s="170" t="s">
        <v>1264</v>
      </c>
      <c r="I680" s="170" t="s">
        <v>1979</v>
      </c>
      <c r="J680" s="94"/>
      <c r="K680" s="173">
        <v>44713.0</v>
      </c>
      <c r="L680" s="45" t="b">
        <v>1</v>
      </c>
    </row>
    <row r="681" hidden="1">
      <c r="A681" s="16" t="s">
        <v>223</v>
      </c>
      <c r="B681" s="99" t="s">
        <v>1980</v>
      </c>
      <c r="C681" s="174">
        <v>75.0</v>
      </c>
      <c r="D681" s="175">
        <v>44742.0</v>
      </c>
      <c r="E681" s="99">
        <v>112.0</v>
      </c>
      <c r="F681" s="99">
        <v>2022.06</v>
      </c>
      <c r="G681" s="99" t="s">
        <v>52</v>
      </c>
      <c r="H681" s="99" t="s">
        <v>1264</v>
      </c>
      <c r="I681" s="99" t="s">
        <v>1979</v>
      </c>
      <c r="J681" s="97"/>
      <c r="K681" s="177">
        <v>44713.0</v>
      </c>
      <c r="L681" s="46" t="b">
        <v>1</v>
      </c>
    </row>
    <row r="682" hidden="1">
      <c r="A682" s="4" t="s">
        <v>225</v>
      </c>
      <c r="B682" s="170" t="s">
        <v>1980</v>
      </c>
      <c r="C682" s="171">
        <f>1500+360</f>
        <v>1860</v>
      </c>
      <c r="D682" s="172">
        <v>44742.0</v>
      </c>
      <c r="E682" s="170">
        <v>112.0</v>
      </c>
      <c r="F682" s="170">
        <v>2022.06</v>
      </c>
      <c r="G682" s="170" t="s">
        <v>52</v>
      </c>
      <c r="H682" s="170" t="s">
        <v>1264</v>
      </c>
      <c r="I682" s="170" t="s">
        <v>1979</v>
      </c>
      <c r="J682" s="94"/>
      <c r="K682" s="173">
        <v>44713.0</v>
      </c>
      <c r="L682" s="45" t="b">
        <v>1</v>
      </c>
    </row>
    <row r="683" hidden="1">
      <c r="A683" s="16" t="s">
        <v>66</v>
      </c>
      <c r="B683" s="99" t="s">
        <v>1980</v>
      </c>
      <c r="C683" s="174">
        <v>60.0</v>
      </c>
      <c r="D683" s="175">
        <v>44742.0</v>
      </c>
      <c r="E683" s="99">
        <v>112.0</v>
      </c>
      <c r="F683" s="99">
        <v>2022.06</v>
      </c>
      <c r="G683" s="99" t="s">
        <v>52</v>
      </c>
      <c r="H683" s="99" t="s">
        <v>1264</v>
      </c>
      <c r="I683" s="99" t="s">
        <v>1979</v>
      </c>
      <c r="J683" s="97"/>
      <c r="K683" s="177">
        <v>44713.0</v>
      </c>
      <c r="L683" s="46" t="b">
        <v>1</v>
      </c>
    </row>
    <row r="684" hidden="1">
      <c r="A684" s="4" t="s">
        <v>279</v>
      </c>
      <c r="B684" s="170" t="s">
        <v>1980</v>
      </c>
      <c r="C684" s="171">
        <v>30.0</v>
      </c>
      <c r="D684" s="172">
        <v>44742.0</v>
      </c>
      <c r="E684" s="170">
        <v>112.0</v>
      </c>
      <c r="F684" s="170">
        <v>2022.0</v>
      </c>
      <c r="G684" s="170" t="s">
        <v>1160</v>
      </c>
      <c r="H684" s="170" t="s">
        <v>1264</v>
      </c>
      <c r="I684" s="170" t="s">
        <v>1979</v>
      </c>
      <c r="J684" s="94"/>
      <c r="K684" s="173">
        <v>44713.0</v>
      </c>
      <c r="L684" s="45" t="b">
        <v>1</v>
      </c>
    </row>
    <row r="685" hidden="1">
      <c r="A685" s="16" t="s">
        <v>354</v>
      </c>
      <c r="B685" s="99" t="s">
        <v>1980</v>
      </c>
      <c r="C685" s="96">
        <f>150+500</f>
        <v>650</v>
      </c>
      <c r="D685" s="175">
        <v>44742.0</v>
      </c>
      <c r="E685" s="99">
        <v>112.0</v>
      </c>
      <c r="F685" s="99">
        <v>2022.06</v>
      </c>
      <c r="G685" s="99" t="s">
        <v>52</v>
      </c>
      <c r="H685" s="99" t="s">
        <v>1264</v>
      </c>
      <c r="I685" s="99" t="s">
        <v>1979</v>
      </c>
      <c r="J685" s="97"/>
      <c r="K685" s="177">
        <v>44713.0</v>
      </c>
      <c r="L685" s="46" t="b">
        <v>1</v>
      </c>
    </row>
    <row r="686" hidden="1">
      <c r="A686" s="4" t="s">
        <v>427</v>
      </c>
      <c r="B686" s="170" t="s">
        <v>1980</v>
      </c>
      <c r="C686" s="171">
        <v>45.0</v>
      </c>
      <c r="D686" s="172">
        <v>44742.0</v>
      </c>
      <c r="E686" s="170">
        <v>112.0</v>
      </c>
      <c r="F686" s="170">
        <v>2022.0</v>
      </c>
      <c r="G686" s="170" t="s">
        <v>1160</v>
      </c>
      <c r="H686" s="170" t="s">
        <v>1264</v>
      </c>
      <c r="I686" s="170" t="s">
        <v>1979</v>
      </c>
      <c r="J686" s="94"/>
      <c r="K686" s="173">
        <v>44713.0</v>
      </c>
      <c r="L686" s="45" t="b">
        <v>1</v>
      </c>
    </row>
    <row r="687" hidden="1">
      <c r="A687" s="16" t="s">
        <v>451</v>
      </c>
      <c r="B687" s="99" t="s">
        <v>1980</v>
      </c>
      <c r="C687" s="96">
        <f>150+575</f>
        <v>725</v>
      </c>
      <c r="D687" s="175">
        <v>44742.0</v>
      </c>
      <c r="E687" s="99">
        <v>112.0</v>
      </c>
      <c r="F687" s="99">
        <v>2022.0</v>
      </c>
      <c r="G687" s="99" t="s">
        <v>1160</v>
      </c>
      <c r="H687" s="99" t="s">
        <v>1264</v>
      </c>
      <c r="I687" s="99" t="s">
        <v>1979</v>
      </c>
      <c r="J687" s="97"/>
      <c r="K687" s="177">
        <v>44713.0</v>
      </c>
      <c r="L687" s="46" t="b">
        <v>1</v>
      </c>
    </row>
    <row r="688" hidden="1">
      <c r="A688" s="4" t="s">
        <v>115</v>
      </c>
      <c r="B688" s="170" t="s">
        <v>1982</v>
      </c>
      <c r="C688" s="171">
        <v>662.5</v>
      </c>
      <c r="D688" s="172">
        <v>44742.0</v>
      </c>
      <c r="E688" s="170" t="s">
        <v>2064</v>
      </c>
      <c r="F688" s="170">
        <v>2022.06</v>
      </c>
      <c r="G688" s="170" t="s">
        <v>52</v>
      </c>
      <c r="H688" s="170" t="s">
        <v>1264</v>
      </c>
      <c r="I688" s="170" t="s">
        <v>1979</v>
      </c>
      <c r="J688" s="94"/>
      <c r="K688" s="173">
        <v>44713.0</v>
      </c>
      <c r="L688" s="45" t="b">
        <v>1</v>
      </c>
    </row>
    <row r="689" hidden="1">
      <c r="A689" s="16" t="s">
        <v>118</v>
      </c>
      <c r="B689" s="99" t="s">
        <v>1982</v>
      </c>
      <c r="C689" s="174">
        <v>662.5</v>
      </c>
      <c r="D689" s="175">
        <v>44742.0</v>
      </c>
      <c r="E689" s="99" t="s">
        <v>2064</v>
      </c>
      <c r="F689" s="99">
        <v>2022.06</v>
      </c>
      <c r="G689" s="99" t="s">
        <v>52</v>
      </c>
      <c r="H689" s="99" t="s">
        <v>1264</v>
      </c>
      <c r="I689" s="99" t="s">
        <v>1979</v>
      </c>
      <c r="J689" s="97"/>
      <c r="K689" s="177">
        <v>44713.0</v>
      </c>
      <c r="L689" s="46" t="b">
        <v>1</v>
      </c>
    </row>
    <row r="690" hidden="1">
      <c r="A690" s="4" t="s">
        <v>92</v>
      </c>
      <c r="B690" s="170" t="s">
        <v>1982</v>
      </c>
      <c r="C690" s="171">
        <v>350.0</v>
      </c>
      <c r="D690" s="172">
        <v>44742.0</v>
      </c>
      <c r="E690" s="170" t="s">
        <v>2064</v>
      </c>
      <c r="F690" s="170">
        <v>2022.06</v>
      </c>
      <c r="G690" s="170" t="s">
        <v>52</v>
      </c>
      <c r="H690" s="170" t="s">
        <v>1264</v>
      </c>
      <c r="I690" s="170" t="s">
        <v>1979</v>
      </c>
      <c r="J690" s="94"/>
      <c r="K690" s="173">
        <v>44713.0</v>
      </c>
      <c r="L690" s="45" t="b">
        <v>1</v>
      </c>
    </row>
    <row r="691" hidden="1">
      <c r="A691" s="16" t="s">
        <v>84</v>
      </c>
      <c r="B691" s="99" t="s">
        <v>1982</v>
      </c>
      <c r="C691" s="174">
        <v>475.0</v>
      </c>
      <c r="D691" s="175">
        <v>44742.0</v>
      </c>
      <c r="E691" s="99" t="s">
        <v>2064</v>
      </c>
      <c r="F691" s="99">
        <v>2022.06</v>
      </c>
      <c r="G691" s="99" t="s">
        <v>52</v>
      </c>
      <c r="H691" s="99" t="s">
        <v>1264</v>
      </c>
      <c r="I691" s="99" t="s">
        <v>1979</v>
      </c>
      <c r="J691" s="97"/>
      <c r="K691" s="177">
        <v>44713.0</v>
      </c>
      <c r="L691" s="46" t="b">
        <v>1</v>
      </c>
    </row>
    <row r="692" hidden="1">
      <c r="A692" s="4" t="s">
        <v>123</v>
      </c>
      <c r="B692" s="170" t="s">
        <v>1982</v>
      </c>
      <c r="C692" s="171">
        <v>1067.5</v>
      </c>
      <c r="D692" s="172">
        <v>44742.0</v>
      </c>
      <c r="E692" s="170" t="s">
        <v>2064</v>
      </c>
      <c r="F692" s="170">
        <v>2022.06</v>
      </c>
      <c r="G692" s="170" t="s">
        <v>52</v>
      </c>
      <c r="H692" s="170" t="s">
        <v>1264</v>
      </c>
      <c r="I692" s="170" t="s">
        <v>1979</v>
      </c>
      <c r="J692" s="94"/>
      <c r="K692" s="173">
        <v>44713.0</v>
      </c>
      <c r="L692" s="45" t="b">
        <v>1</v>
      </c>
    </row>
    <row r="693" hidden="1">
      <c r="A693" s="16" t="s">
        <v>62</v>
      </c>
      <c r="B693" s="99" t="s">
        <v>1982</v>
      </c>
      <c r="C693" s="174">
        <v>450.0</v>
      </c>
      <c r="D693" s="175">
        <v>44742.0</v>
      </c>
      <c r="E693" s="99" t="s">
        <v>2064</v>
      </c>
      <c r="F693" s="99">
        <v>2022.06</v>
      </c>
      <c r="G693" s="99" t="s">
        <v>52</v>
      </c>
      <c r="H693" s="99" t="s">
        <v>1264</v>
      </c>
      <c r="I693" s="99" t="s">
        <v>1979</v>
      </c>
      <c r="J693" s="97"/>
      <c r="K693" s="177">
        <v>44713.0</v>
      </c>
      <c r="L693" s="46" t="b">
        <v>1</v>
      </c>
    </row>
    <row r="694" hidden="1">
      <c r="A694" s="4" t="s">
        <v>54</v>
      </c>
      <c r="B694" s="170" t="s">
        <v>1985</v>
      </c>
      <c r="C694" s="171">
        <v>162.5</v>
      </c>
      <c r="D694" s="172">
        <v>44742.0</v>
      </c>
      <c r="E694" s="170">
        <v>23.0</v>
      </c>
      <c r="F694" s="170">
        <v>2022.06</v>
      </c>
      <c r="G694" s="170" t="s">
        <v>52</v>
      </c>
      <c r="H694" s="170" t="s">
        <v>1264</v>
      </c>
      <c r="I694" s="170" t="s">
        <v>1979</v>
      </c>
      <c r="J694" s="94"/>
      <c r="K694" s="173">
        <v>44713.0</v>
      </c>
      <c r="L694" s="45" t="b">
        <v>1</v>
      </c>
    </row>
    <row r="695" hidden="1">
      <c r="A695" s="16" t="s">
        <v>58</v>
      </c>
      <c r="B695" s="99" t="s">
        <v>1985</v>
      </c>
      <c r="C695" s="174">
        <v>275.0</v>
      </c>
      <c r="D695" s="175">
        <v>44742.0</v>
      </c>
      <c r="E695" s="99">
        <v>23.0</v>
      </c>
      <c r="F695" s="99">
        <v>2022.06</v>
      </c>
      <c r="G695" s="99" t="s">
        <v>52</v>
      </c>
      <c r="H695" s="99" t="s">
        <v>1264</v>
      </c>
      <c r="I695" s="99" t="s">
        <v>1979</v>
      </c>
      <c r="J695" s="97"/>
      <c r="K695" s="177">
        <v>44713.0</v>
      </c>
      <c r="L695" s="46" t="b">
        <v>1</v>
      </c>
    </row>
    <row r="696" hidden="1">
      <c r="A696" s="4" t="s">
        <v>120</v>
      </c>
      <c r="B696" s="170" t="s">
        <v>1985</v>
      </c>
      <c r="C696" s="171">
        <v>550.0</v>
      </c>
      <c r="D696" s="172">
        <v>44742.0</v>
      </c>
      <c r="E696" s="170">
        <v>23.0</v>
      </c>
      <c r="F696" s="170">
        <v>2022.06</v>
      </c>
      <c r="G696" s="170" t="s">
        <v>52</v>
      </c>
      <c r="H696" s="170" t="s">
        <v>1264</v>
      </c>
      <c r="I696" s="170" t="s">
        <v>1979</v>
      </c>
      <c r="J696" s="94"/>
      <c r="K696" s="173">
        <v>44713.0</v>
      </c>
      <c r="L696" s="45" t="b">
        <v>1</v>
      </c>
    </row>
    <row r="697" hidden="1">
      <c r="A697" s="16" t="s">
        <v>156</v>
      </c>
      <c r="B697" s="99" t="s">
        <v>1985</v>
      </c>
      <c r="C697" s="174">
        <v>175.0</v>
      </c>
      <c r="D697" s="175">
        <v>44742.0</v>
      </c>
      <c r="E697" s="99">
        <v>23.0</v>
      </c>
      <c r="F697" s="99">
        <v>2022.06</v>
      </c>
      <c r="G697" s="99" t="s">
        <v>52</v>
      </c>
      <c r="H697" s="99" t="s">
        <v>1264</v>
      </c>
      <c r="I697" s="99" t="s">
        <v>1979</v>
      </c>
      <c r="J697" s="97"/>
      <c r="K697" s="177">
        <v>44713.0</v>
      </c>
      <c r="L697" s="46" t="b">
        <v>1</v>
      </c>
    </row>
    <row r="698" hidden="1">
      <c r="A698" s="4" t="s">
        <v>420</v>
      </c>
      <c r="B698" s="170" t="s">
        <v>1985</v>
      </c>
      <c r="C698" s="171">
        <v>300.0</v>
      </c>
      <c r="D698" s="172">
        <v>44742.0</v>
      </c>
      <c r="E698" s="170">
        <v>23.0</v>
      </c>
      <c r="F698" s="170">
        <v>2022.0</v>
      </c>
      <c r="G698" s="170" t="s">
        <v>1160</v>
      </c>
      <c r="H698" s="170" t="s">
        <v>1264</v>
      </c>
      <c r="I698" s="170" t="s">
        <v>1979</v>
      </c>
      <c r="J698" s="94"/>
      <c r="K698" s="173">
        <v>44713.0</v>
      </c>
      <c r="L698" s="45" t="b">
        <v>1</v>
      </c>
    </row>
    <row r="699" hidden="1">
      <c r="A699" s="16" t="s">
        <v>82</v>
      </c>
      <c r="B699" s="99" t="s">
        <v>1985</v>
      </c>
      <c r="C699" s="174">
        <v>500.0</v>
      </c>
      <c r="D699" s="175">
        <v>44742.0</v>
      </c>
      <c r="E699" s="99">
        <v>23.0</v>
      </c>
      <c r="F699" s="99">
        <v>2022.06</v>
      </c>
      <c r="G699" s="99" t="s">
        <v>52</v>
      </c>
      <c r="H699" s="99" t="s">
        <v>1264</v>
      </c>
      <c r="I699" s="99" t="s">
        <v>1979</v>
      </c>
      <c r="J699" s="97"/>
      <c r="K699" s="177">
        <v>44713.0</v>
      </c>
      <c r="L699" s="46" t="b">
        <v>1</v>
      </c>
    </row>
    <row r="700" hidden="1">
      <c r="A700" s="4" t="s">
        <v>90</v>
      </c>
      <c r="B700" s="170" t="s">
        <v>1985</v>
      </c>
      <c r="C700" s="171">
        <v>30.0</v>
      </c>
      <c r="D700" s="172">
        <v>44742.0</v>
      </c>
      <c r="E700" s="170">
        <v>23.0</v>
      </c>
      <c r="F700" s="170">
        <v>2022.06</v>
      </c>
      <c r="G700" s="170" t="s">
        <v>52</v>
      </c>
      <c r="H700" s="170" t="s">
        <v>1264</v>
      </c>
      <c r="I700" s="170" t="s">
        <v>1979</v>
      </c>
      <c r="J700" s="94"/>
      <c r="K700" s="173">
        <v>44713.0</v>
      </c>
      <c r="L700" s="45" t="b">
        <v>1</v>
      </c>
    </row>
    <row r="701" hidden="1">
      <c r="A701" s="16" t="s">
        <v>1266</v>
      </c>
      <c r="B701" s="99" t="s">
        <v>1985</v>
      </c>
      <c r="C701" s="174">
        <v>90.0</v>
      </c>
      <c r="D701" s="175">
        <v>44742.0</v>
      </c>
      <c r="E701" s="99">
        <v>23.0</v>
      </c>
      <c r="F701" s="99">
        <v>2022.0</v>
      </c>
      <c r="G701" s="99" t="s">
        <v>1152</v>
      </c>
      <c r="H701" s="99" t="s">
        <v>1264</v>
      </c>
      <c r="I701" s="99" t="s">
        <v>1267</v>
      </c>
      <c r="J701" s="99" t="s">
        <v>2065</v>
      </c>
      <c r="K701" s="177">
        <v>44713.0</v>
      </c>
      <c r="L701" s="46" t="b">
        <v>1</v>
      </c>
    </row>
    <row r="702" hidden="1">
      <c r="A702" s="4" t="s">
        <v>75</v>
      </c>
      <c r="B702" s="170" t="s">
        <v>1983</v>
      </c>
      <c r="C702" s="171">
        <v>187.5</v>
      </c>
      <c r="D702" s="172">
        <v>44742.0</v>
      </c>
      <c r="E702" s="170">
        <v>63.0</v>
      </c>
      <c r="F702" s="170">
        <v>2022.06</v>
      </c>
      <c r="G702" s="170" t="s">
        <v>52</v>
      </c>
      <c r="H702" s="170" t="s">
        <v>1264</v>
      </c>
      <c r="I702" s="170" t="s">
        <v>1979</v>
      </c>
      <c r="J702" s="94"/>
      <c r="K702" s="173">
        <v>44713.0</v>
      </c>
      <c r="L702" s="45" t="b">
        <v>1</v>
      </c>
    </row>
    <row r="703" hidden="1">
      <c r="A703" s="16" t="s">
        <v>465</v>
      </c>
      <c r="B703" s="99" t="s">
        <v>2036</v>
      </c>
      <c r="C703" s="174">
        <v>150.0</v>
      </c>
      <c r="D703" s="175">
        <v>44742.0</v>
      </c>
      <c r="E703" s="189">
        <v>44713.0</v>
      </c>
      <c r="F703" s="99">
        <v>2022.0</v>
      </c>
      <c r="G703" s="99" t="s">
        <v>1992</v>
      </c>
      <c r="H703" s="99" t="s">
        <v>1264</v>
      </c>
      <c r="I703" s="99" t="s">
        <v>1979</v>
      </c>
      <c r="J703" s="97"/>
      <c r="K703" s="177">
        <v>44713.0</v>
      </c>
      <c r="L703" s="46" t="b">
        <v>1</v>
      </c>
    </row>
    <row r="704" hidden="1">
      <c r="A704" s="4" t="s">
        <v>470</v>
      </c>
      <c r="B704" s="170" t="s">
        <v>2036</v>
      </c>
      <c r="C704" s="171">
        <v>250.0</v>
      </c>
      <c r="D704" s="172">
        <v>44742.0</v>
      </c>
      <c r="E704" s="188">
        <v>44714.0</v>
      </c>
      <c r="F704" s="170">
        <v>2022.0</v>
      </c>
      <c r="G704" s="170" t="s">
        <v>1160</v>
      </c>
      <c r="H704" s="170" t="s">
        <v>1264</v>
      </c>
      <c r="I704" s="170" t="s">
        <v>1979</v>
      </c>
      <c r="J704" s="94"/>
      <c r="K704" s="173">
        <v>44713.0</v>
      </c>
      <c r="L704" s="45" t="b">
        <v>1</v>
      </c>
    </row>
    <row r="705" hidden="1">
      <c r="A705" s="16" t="s">
        <v>99</v>
      </c>
      <c r="B705" s="99" t="s">
        <v>2036</v>
      </c>
      <c r="C705" s="174">
        <v>200.0</v>
      </c>
      <c r="D705" s="175">
        <v>44742.0</v>
      </c>
      <c r="E705" s="189">
        <v>44715.0</v>
      </c>
      <c r="F705" s="99">
        <v>2022.06</v>
      </c>
      <c r="G705" s="99" t="s">
        <v>52</v>
      </c>
      <c r="H705" s="99" t="s">
        <v>1264</v>
      </c>
      <c r="I705" s="99" t="s">
        <v>1979</v>
      </c>
      <c r="J705" s="97"/>
      <c r="K705" s="177">
        <v>44713.0</v>
      </c>
      <c r="L705" s="46" t="b">
        <v>1</v>
      </c>
    </row>
    <row r="706" hidden="1">
      <c r="A706" s="4" t="s">
        <v>42</v>
      </c>
      <c r="B706" s="170" t="s">
        <v>2036</v>
      </c>
      <c r="C706" s="171">
        <v>150.0</v>
      </c>
      <c r="D706" s="172">
        <v>44742.0</v>
      </c>
      <c r="E706" s="188">
        <v>44716.0</v>
      </c>
      <c r="F706" s="170">
        <v>2022.06</v>
      </c>
      <c r="G706" s="170" t="s">
        <v>52</v>
      </c>
      <c r="H706" s="170" t="s">
        <v>1264</v>
      </c>
      <c r="I706" s="170" t="s">
        <v>1979</v>
      </c>
      <c r="J706" s="94"/>
      <c r="K706" s="173">
        <v>44713.0</v>
      </c>
      <c r="L706" s="45" t="b">
        <v>1</v>
      </c>
    </row>
    <row r="707" hidden="1">
      <c r="A707" s="16" t="s">
        <v>1271</v>
      </c>
      <c r="B707" s="99" t="s">
        <v>1998</v>
      </c>
      <c r="C707" s="174">
        <v>66.14</v>
      </c>
      <c r="D707" s="175">
        <v>44766.0</v>
      </c>
      <c r="E707" s="97"/>
      <c r="F707" s="99">
        <v>2022.0</v>
      </c>
      <c r="G707" s="99" t="s">
        <v>1152</v>
      </c>
      <c r="H707" s="99" t="s">
        <v>1264</v>
      </c>
      <c r="I707" s="99" t="s">
        <v>1995</v>
      </c>
      <c r="J707" s="99" t="s">
        <v>2066</v>
      </c>
      <c r="K707" s="177">
        <v>44713.0</v>
      </c>
      <c r="L707" s="46" t="b">
        <v>1</v>
      </c>
    </row>
    <row r="708" hidden="1">
      <c r="A708" s="4" t="s">
        <v>1271</v>
      </c>
      <c r="B708" s="170" t="s">
        <v>1998</v>
      </c>
      <c r="C708" s="171">
        <v>63.73</v>
      </c>
      <c r="D708" s="172">
        <v>44766.0</v>
      </c>
      <c r="E708" s="94"/>
      <c r="F708" s="170">
        <v>2022.0</v>
      </c>
      <c r="G708" s="170" t="s">
        <v>1152</v>
      </c>
      <c r="H708" s="170" t="s">
        <v>1264</v>
      </c>
      <c r="I708" s="170" t="s">
        <v>1995</v>
      </c>
      <c r="J708" s="170" t="s">
        <v>2067</v>
      </c>
      <c r="K708" s="173">
        <v>44713.0</v>
      </c>
      <c r="L708" s="45" t="b">
        <v>1</v>
      </c>
    </row>
    <row r="709" hidden="1">
      <c r="A709" s="16" t="s">
        <v>1271</v>
      </c>
      <c r="B709" s="99" t="s">
        <v>1994</v>
      </c>
      <c r="C709" s="174">
        <v>14.26</v>
      </c>
      <c r="D709" s="175">
        <v>44766.0</v>
      </c>
      <c r="E709" s="97"/>
      <c r="F709" s="99">
        <v>2022.0</v>
      </c>
      <c r="G709" s="99" t="s">
        <v>1152</v>
      </c>
      <c r="H709" s="99" t="s">
        <v>1264</v>
      </c>
      <c r="I709" s="99" t="s">
        <v>1995</v>
      </c>
      <c r="J709" s="97"/>
      <c r="K709" s="177">
        <v>44713.0</v>
      </c>
      <c r="L709" s="46" t="b">
        <v>1</v>
      </c>
    </row>
    <row r="710" hidden="1">
      <c r="A710" s="4" t="s">
        <v>1271</v>
      </c>
      <c r="B710" s="170" t="s">
        <v>2017</v>
      </c>
      <c r="C710" s="171">
        <v>52.71</v>
      </c>
      <c r="D710" s="172">
        <v>44766.0</v>
      </c>
      <c r="E710" s="94"/>
      <c r="F710" s="170">
        <v>2022.0</v>
      </c>
      <c r="G710" s="170" t="s">
        <v>1152</v>
      </c>
      <c r="H710" s="170" t="s">
        <v>1264</v>
      </c>
      <c r="I710" s="170" t="s">
        <v>1995</v>
      </c>
      <c r="J710" s="170">
        <v>0.5</v>
      </c>
      <c r="K710" s="173">
        <v>44713.0</v>
      </c>
      <c r="L710" s="45" t="b">
        <v>1</v>
      </c>
    </row>
    <row r="711" hidden="1">
      <c r="A711" s="16" t="s">
        <v>1271</v>
      </c>
      <c r="B711" s="99" t="s">
        <v>1229</v>
      </c>
      <c r="C711" s="174">
        <v>136.5</v>
      </c>
      <c r="D711" s="175">
        <v>44766.0</v>
      </c>
      <c r="E711" s="97"/>
      <c r="F711" s="99">
        <v>2022.0</v>
      </c>
      <c r="G711" s="99" t="s">
        <v>1152</v>
      </c>
      <c r="H711" s="99" t="s">
        <v>1264</v>
      </c>
      <c r="I711" s="99" t="s">
        <v>1995</v>
      </c>
      <c r="J711" s="99" t="s">
        <v>2068</v>
      </c>
      <c r="K711" s="177">
        <v>44713.0</v>
      </c>
      <c r="L711" s="46" t="b">
        <v>1</v>
      </c>
    </row>
    <row r="712" hidden="1">
      <c r="A712" s="4" t="s">
        <v>414</v>
      </c>
      <c r="B712" s="170" t="s">
        <v>2002</v>
      </c>
      <c r="C712" s="171">
        <v>1287.19</v>
      </c>
      <c r="D712" s="172">
        <v>44742.0</v>
      </c>
      <c r="E712" s="94"/>
      <c r="F712" s="170">
        <v>2022.0</v>
      </c>
      <c r="G712" s="170" t="s">
        <v>1160</v>
      </c>
      <c r="H712" s="170" t="s">
        <v>1999</v>
      </c>
      <c r="I712" s="170" t="s">
        <v>1979</v>
      </c>
      <c r="J712" s="94"/>
      <c r="K712" s="173">
        <v>44713.0</v>
      </c>
      <c r="L712" s="45" t="b">
        <v>1</v>
      </c>
    </row>
    <row r="713" hidden="1">
      <c r="A713" s="16" t="s">
        <v>264</v>
      </c>
      <c r="B713" s="99" t="s">
        <v>2002</v>
      </c>
      <c r="C713" s="174">
        <v>58.16</v>
      </c>
      <c r="D713" s="175">
        <v>44742.0</v>
      </c>
      <c r="E713" s="97"/>
      <c r="F713" s="99">
        <v>2022.0</v>
      </c>
      <c r="G713" s="99" t="s">
        <v>1160</v>
      </c>
      <c r="H713" s="99" t="s">
        <v>1999</v>
      </c>
      <c r="I713" s="99" t="s">
        <v>1979</v>
      </c>
      <c r="J713" s="97"/>
      <c r="K713" s="177">
        <v>44713.0</v>
      </c>
      <c r="L713" s="46" t="b">
        <v>1</v>
      </c>
    </row>
    <row r="714" hidden="1">
      <c r="A714" s="4" t="s">
        <v>99</v>
      </c>
      <c r="B714" s="170" t="s">
        <v>2002</v>
      </c>
      <c r="C714" s="171">
        <v>60.59</v>
      </c>
      <c r="D714" s="172">
        <v>44742.0</v>
      </c>
      <c r="E714" s="94"/>
      <c r="F714" s="170">
        <v>2022.06</v>
      </c>
      <c r="G714" s="170" t="s">
        <v>52</v>
      </c>
      <c r="H714" s="170" t="s">
        <v>1999</v>
      </c>
      <c r="I714" s="170" t="s">
        <v>1979</v>
      </c>
      <c r="J714" s="94"/>
      <c r="K714" s="173">
        <v>44713.0</v>
      </c>
      <c r="L714" s="45" t="b">
        <v>1</v>
      </c>
    </row>
    <row r="715" hidden="1">
      <c r="A715" s="16" t="s">
        <v>1266</v>
      </c>
      <c r="B715" s="99" t="s">
        <v>2002</v>
      </c>
      <c r="C715" s="174">
        <v>284.35</v>
      </c>
      <c r="D715" s="175">
        <v>44742.0</v>
      </c>
      <c r="E715" s="97"/>
      <c r="F715" s="99">
        <v>2022.0</v>
      </c>
      <c r="G715" s="99" t="s">
        <v>1152</v>
      </c>
      <c r="H715" s="99" t="s">
        <v>1999</v>
      </c>
      <c r="I715" s="99" t="s">
        <v>1979</v>
      </c>
      <c r="J715" s="97"/>
      <c r="K715" s="177">
        <v>44713.0</v>
      </c>
      <c r="L715" s="46" t="b">
        <v>1</v>
      </c>
    </row>
    <row r="716" hidden="1">
      <c r="A716" s="4" t="s">
        <v>1263</v>
      </c>
      <c r="B716" s="170" t="s">
        <v>2002</v>
      </c>
      <c r="C716" s="171">
        <v>44.56</v>
      </c>
      <c r="D716" s="172">
        <v>44742.0</v>
      </c>
      <c r="E716" s="94"/>
      <c r="F716" s="170">
        <v>2022.0</v>
      </c>
      <c r="G716" s="170" t="s">
        <v>1152</v>
      </c>
      <c r="H716" s="170" t="s">
        <v>1999</v>
      </c>
      <c r="I716" s="170" t="s">
        <v>1979</v>
      </c>
      <c r="J716" s="94"/>
      <c r="K716" s="173">
        <v>44713.0</v>
      </c>
      <c r="L716" s="45" t="b">
        <v>1</v>
      </c>
    </row>
    <row r="717" hidden="1">
      <c r="A717" s="16" t="s">
        <v>58</v>
      </c>
      <c r="B717" s="99" t="s">
        <v>2002</v>
      </c>
      <c r="C717" s="174">
        <v>1.57</v>
      </c>
      <c r="D717" s="175">
        <v>44742.0</v>
      </c>
      <c r="E717" s="97"/>
      <c r="F717" s="99">
        <v>2022.06</v>
      </c>
      <c r="G717" s="99" t="s">
        <v>52</v>
      </c>
      <c r="H717" s="99" t="s">
        <v>1999</v>
      </c>
      <c r="I717" s="99" t="s">
        <v>1979</v>
      </c>
      <c r="J717" s="97"/>
      <c r="K717" s="177">
        <v>44713.0</v>
      </c>
      <c r="L717" s="46" t="b">
        <v>1</v>
      </c>
    </row>
    <row r="718" hidden="1">
      <c r="A718" s="4" t="s">
        <v>120</v>
      </c>
      <c r="B718" s="170" t="s">
        <v>2002</v>
      </c>
      <c r="C718" s="171">
        <v>34.89</v>
      </c>
      <c r="D718" s="172">
        <v>44742.0</v>
      </c>
      <c r="E718" s="94"/>
      <c r="F718" s="170">
        <v>2022.06</v>
      </c>
      <c r="G718" s="170" t="s">
        <v>52</v>
      </c>
      <c r="H718" s="170" t="s">
        <v>1999</v>
      </c>
      <c r="I718" s="170" t="s">
        <v>1979</v>
      </c>
      <c r="J718" s="94"/>
      <c r="K718" s="173">
        <v>44713.0</v>
      </c>
      <c r="L718" s="45" t="b">
        <v>1</v>
      </c>
    </row>
    <row r="719" hidden="1">
      <c r="A719" s="16" t="s">
        <v>499</v>
      </c>
      <c r="B719" s="99" t="s">
        <v>2002</v>
      </c>
      <c r="C719" s="174">
        <v>79.59</v>
      </c>
      <c r="D719" s="175">
        <v>44742.0</v>
      </c>
      <c r="E719" s="97"/>
      <c r="F719" s="99">
        <v>2022.06</v>
      </c>
      <c r="G719" s="99" t="s">
        <v>52</v>
      </c>
      <c r="H719" s="99" t="s">
        <v>1999</v>
      </c>
      <c r="I719" s="99" t="s">
        <v>1979</v>
      </c>
      <c r="J719" s="97"/>
      <c r="K719" s="177">
        <v>44713.0</v>
      </c>
      <c r="L719" s="46" t="b">
        <v>1</v>
      </c>
    </row>
    <row r="720" hidden="1">
      <c r="A720" s="4" t="s">
        <v>354</v>
      </c>
      <c r="B720" s="170" t="s">
        <v>2002</v>
      </c>
      <c r="C720" s="171">
        <v>15.89</v>
      </c>
      <c r="D720" s="172">
        <v>44742.0</v>
      </c>
      <c r="E720" s="94"/>
      <c r="F720" s="170">
        <v>2022.06</v>
      </c>
      <c r="G720" s="170" t="s">
        <v>52</v>
      </c>
      <c r="H720" s="170" t="s">
        <v>1999</v>
      </c>
      <c r="I720" s="170" t="s">
        <v>1979</v>
      </c>
      <c r="J720" s="94"/>
      <c r="K720" s="173">
        <v>44713.0</v>
      </c>
      <c r="L720" s="45" t="b">
        <v>1</v>
      </c>
    </row>
    <row r="721" hidden="1">
      <c r="A721" s="16" t="s">
        <v>476</v>
      </c>
      <c r="B721" s="99" t="s">
        <v>2002</v>
      </c>
      <c r="C721" s="174">
        <v>642.82</v>
      </c>
      <c r="D721" s="175">
        <v>44742.0</v>
      </c>
      <c r="E721" s="97"/>
      <c r="F721" s="99">
        <v>2022.0</v>
      </c>
      <c r="G721" s="99" t="s">
        <v>1160</v>
      </c>
      <c r="H721" s="99" t="s">
        <v>1999</v>
      </c>
      <c r="I721" s="99" t="s">
        <v>1979</v>
      </c>
      <c r="J721" s="97"/>
      <c r="K721" s="177">
        <v>44713.0</v>
      </c>
      <c r="L721" s="46" t="b">
        <v>1</v>
      </c>
    </row>
    <row r="722" hidden="1">
      <c r="A722" s="4" t="s">
        <v>92</v>
      </c>
      <c r="B722" s="170" t="s">
        <v>2002</v>
      </c>
      <c r="C722" s="171">
        <v>0.02</v>
      </c>
      <c r="D722" s="172">
        <v>44742.0</v>
      </c>
      <c r="E722" s="94"/>
      <c r="F722" s="170">
        <v>2022.06</v>
      </c>
      <c r="G722" s="170" t="s">
        <v>52</v>
      </c>
      <c r="H722" s="170" t="s">
        <v>1999</v>
      </c>
      <c r="I722" s="170" t="s">
        <v>1979</v>
      </c>
      <c r="J722" s="94"/>
      <c r="K722" s="173">
        <v>44713.0</v>
      </c>
      <c r="L722" s="45" t="b">
        <v>1</v>
      </c>
    </row>
    <row r="723" hidden="1">
      <c r="A723" s="16" t="s">
        <v>156</v>
      </c>
      <c r="B723" s="99" t="s">
        <v>2002</v>
      </c>
      <c r="C723" s="174">
        <v>15.81</v>
      </c>
      <c r="D723" s="175">
        <v>44742.0</v>
      </c>
      <c r="E723" s="97"/>
      <c r="F723" s="99">
        <v>2022.06</v>
      </c>
      <c r="G723" s="99" t="s">
        <v>52</v>
      </c>
      <c r="H723" s="99" t="s">
        <v>1999</v>
      </c>
      <c r="I723" s="99" t="s">
        <v>1979</v>
      </c>
      <c r="J723" s="97"/>
      <c r="K723" s="177">
        <v>44713.0</v>
      </c>
      <c r="L723" s="46" t="b">
        <v>1</v>
      </c>
    </row>
    <row r="724" hidden="1">
      <c r="A724" s="4" t="s">
        <v>420</v>
      </c>
      <c r="B724" s="170" t="s">
        <v>2002</v>
      </c>
      <c r="C724" s="171">
        <v>53.29</v>
      </c>
      <c r="D724" s="172">
        <v>44742.0</v>
      </c>
      <c r="E724" s="94"/>
      <c r="F724" s="170">
        <v>2022.0</v>
      </c>
      <c r="G724" s="170" t="s">
        <v>1160</v>
      </c>
      <c r="H724" s="170" t="s">
        <v>1999</v>
      </c>
      <c r="I724" s="170" t="s">
        <v>1979</v>
      </c>
      <c r="J724" s="94"/>
      <c r="K724" s="173">
        <v>44713.0</v>
      </c>
      <c r="L724" s="45" t="b">
        <v>1</v>
      </c>
    </row>
    <row r="725" hidden="1">
      <c r="A725" s="16" t="s">
        <v>115</v>
      </c>
      <c r="B725" s="99" t="s">
        <v>2002</v>
      </c>
      <c r="C725" s="174">
        <v>5.46</v>
      </c>
      <c r="D725" s="175">
        <v>44742.0</v>
      </c>
      <c r="E725" s="97"/>
      <c r="F725" s="99">
        <v>2022.06</v>
      </c>
      <c r="G725" s="99" t="s">
        <v>52</v>
      </c>
      <c r="H725" s="99" t="s">
        <v>1999</v>
      </c>
      <c r="I725" s="99" t="s">
        <v>1979</v>
      </c>
      <c r="J725" s="97"/>
      <c r="K725" s="177">
        <v>44713.0</v>
      </c>
      <c r="L725" s="46" t="b">
        <v>1</v>
      </c>
    </row>
    <row r="726" hidden="1">
      <c r="A726" s="4" t="s">
        <v>373</v>
      </c>
      <c r="B726" s="170" t="s">
        <v>2002</v>
      </c>
      <c r="C726" s="171">
        <v>132.53</v>
      </c>
      <c r="D726" s="172">
        <v>44742.0</v>
      </c>
      <c r="E726" s="94"/>
      <c r="F726" s="170">
        <v>2022.0</v>
      </c>
      <c r="G726" s="170" t="s">
        <v>1160</v>
      </c>
      <c r="H726" s="170" t="s">
        <v>1999</v>
      </c>
      <c r="I726" s="170" t="s">
        <v>1979</v>
      </c>
      <c r="J726" s="94"/>
      <c r="K726" s="173">
        <v>44713.0</v>
      </c>
      <c r="L726" s="45" t="b">
        <v>1</v>
      </c>
    </row>
    <row r="727" hidden="1">
      <c r="A727" s="16" t="s">
        <v>118</v>
      </c>
      <c r="B727" s="99" t="s">
        <v>1976</v>
      </c>
      <c r="C727" s="174">
        <v>750.0</v>
      </c>
      <c r="D727" s="175">
        <v>44733.0</v>
      </c>
      <c r="E727" s="97"/>
      <c r="F727" s="99">
        <v>2022.06</v>
      </c>
      <c r="G727" s="99" t="s">
        <v>52</v>
      </c>
      <c r="H727" s="99" t="s">
        <v>1999</v>
      </c>
      <c r="I727" s="99" t="s">
        <v>1977</v>
      </c>
      <c r="J727" s="97"/>
      <c r="K727" s="177">
        <v>44713.0</v>
      </c>
      <c r="L727" s="46" t="b">
        <v>1</v>
      </c>
    </row>
    <row r="728" hidden="1">
      <c r="A728" s="4" t="s">
        <v>279</v>
      </c>
      <c r="B728" s="170" t="s">
        <v>1976</v>
      </c>
      <c r="C728" s="171">
        <v>750.0</v>
      </c>
      <c r="D728" s="172">
        <v>44736.0</v>
      </c>
      <c r="E728" s="94"/>
      <c r="F728" s="170">
        <v>2022.0</v>
      </c>
      <c r="G728" s="170" t="s">
        <v>1160</v>
      </c>
      <c r="H728" s="170" t="s">
        <v>1999</v>
      </c>
      <c r="I728" s="170" t="s">
        <v>1977</v>
      </c>
      <c r="J728" s="94"/>
      <c r="K728" s="173">
        <v>44713.0</v>
      </c>
      <c r="L728" s="45" t="b">
        <v>1</v>
      </c>
    </row>
    <row r="729" hidden="1">
      <c r="A729" s="16" t="s">
        <v>115</v>
      </c>
      <c r="B729" s="99" t="s">
        <v>1976</v>
      </c>
      <c r="C729" s="174">
        <v>750.0</v>
      </c>
      <c r="D729" s="175">
        <v>44741.0</v>
      </c>
      <c r="E729" s="97"/>
      <c r="F729" s="99">
        <v>2022.06</v>
      </c>
      <c r="G729" s="99" t="s">
        <v>52</v>
      </c>
      <c r="H729" s="99" t="s">
        <v>1999</v>
      </c>
      <c r="I729" s="99" t="s">
        <v>1977</v>
      </c>
      <c r="J729" s="97"/>
      <c r="K729" s="177">
        <v>44713.0</v>
      </c>
      <c r="L729" s="46" t="b">
        <v>1</v>
      </c>
    </row>
    <row r="730" hidden="1">
      <c r="A730" s="4" t="s">
        <v>115</v>
      </c>
      <c r="B730" s="170" t="s">
        <v>1976</v>
      </c>
      <c r="C730" s="171">
        <v>76.13</v>
      </c>
      <c r="D730" s="172">
        <v>44743.0</v>
      </c>
      <c r="E730" s="94"/>
      <c r="F730" s="170">
        <v>2022.07</v>
      </c>
      <c r="G730" s="170" t="s">
        <v>52</v>
      </c>
      <c r="H730" s="170" t="s">
        <v>1999</v>
      </c>
      <c r="I730" s="170" t="s">
        <v>1977</v>
      </c>
      <c r="J730" s="94"/>
      <c r="K730" s="173">
        <v>44713.0</v>
      </c>
      <c r="L730" s="45" t="b">
        <v>1</v>
      </c>
    </row>
    <row r="731" hidden="1">
      <c r="A731" s="16" t="s">
        <v>279</v>
      </c>
      <c r="B731" s="99" t="s">
        <v>1976</v>
      </c>
      <c r="C731" s="174">
        <v>231.36</v>
      </c>
      <c r="D731" s="175">
        <v>44743.0</v>
      </c>
      <c r="E731" s="97"/>
      <c r="F731" s="99">
        <v>2022.0</v>
      </c>
      <c r="G731" s="99" t="s">
        <v>1160</v>
      </c>
      <c r="H731" s="99" t="s">
        <v>1999</v>
      </c>
      <c r="I731" s="99" t="s">
        <v>1977</v>
      </c>
      <c r="J731" s="97"/>
      <c r="K731" s="177">
        <v>44713.0</v>
      </c>
      <c r="L731" s="46" t="b">
        <v>1</v>
      </c>
    </row>
    <row r="732" hidden="1">
      <c r="A732" s="4" t="s">
        <v>118</v>
      </c>
      <c r="B732" s="170" t="s">
        <v>1976</v>
      </c>
      <c r="C732" s="171">
        <v>304.36</v>
      </c>
      <c r="D732" s="172">
        <v>44743.0</v>
      </c>
      <c r="E732" s="94"/>
      <c r="F732" s="170">
        <v>2022.07</v>
      </c>
      <c r="G732" s="170" t="s">
        <v>52</v>
      </c>
      <c r="H732" s="170" t="s">
        <v>1999</v>
      </c>
      <c r="I732" s="170" t="s">
        <v>1977</v>
      </c>
      <c r="J732" s="94"/>
      <c r="K732" s="173">
        <v>44713.0</v>
      </c>
      <c r="L732" s="45" t="b">
        <v>1</v>
      </c>
    </row>
    <row r="733" hidden="1">
      <c r="A733" s="16" t="s">
        <v>92</v>
      </c>
      <c r="B733" s="99" t="s">
        <v>1988</v>
      </c>
      <c r="C733" s="174">
        <v>20.54</v>
      </c>
      <c r="D733" s="175">
        <v>44743.0</v>
      </c>
      <c r="E733" s="97"/>
      <c r="F733" s="99">
        <v>2022.07</v>
      </c>
      <c r="G733" s="99" t="s">
        <v>52</v>
      </c>
      <c r="H733" s="99" t="s">
        <v>1999</v>
      </c>
      <c r="I733" s="99" t="s">
        <v>1977</v>
      </c>
      <c r="J733" s="97"/>
      <c r="K733" s="177">
        <v>44713.0</v>
      </c>
      <c r="L733" s="46" t="b">
        <v>1</v>
      </c>
    </row>
    <row r="734" hidden="1">
      <c r="A734" s="4" t="s">
        <v>82</v>
      </c>
      <c r="B734" s="170" t="s">
        <v>1986</v>
      </c>
      <c r="C734" s="171">
        <v>225.0</v>
      </c>
      <c r="D734" s="172">
        <v>44773.0</v>
      </c>
      <c r="E734" s="170">
        <v>9.0</v>
      </c>
      <c r="F734" s="170">
        <v>2022.07</v>
      </c>
      <c r="G734" s="170" t="s">
        <v>52</v>
      </c>
      <c r="H734" s="170" t="s">
        <v>1264</v>
      </c>
      <c r="I734" s="170" t="s">
        <v>1979</v>
      </c>
      <c r="J734" s="94"/>
      <c r="K734" s="173">
        <v>44743.0</v>
      </c>
      <c r="L734" s="45" t="b">
        <v>1</v>
      </c>
    </row>
    <row r="735" hidden="1">
      <c r="A735" s="16" t="s">
        <v>279</v>
      </c>
      <c r="B735" s="99" t="s">
        <v>1986</v>
      </c>
      <c r="C735" s="174">
        <v>125.0</v>
      </c>
      <c r="D735" s="175">
        <v>44773.0</v>
      </c>
      <c r="E735" s="99">
        <v>9.0</v>
      </c>
      <c r="F735" s="99">
        <v>2022.0</v>
      </c>
      <c r="G735" s="99" t="s">
        <v>1160</v>
      </c>
      <c r="H735" s="99" t="s">
        <v>1264</v>
      </c>
      <c r="I735" s="99" t="s">
        <v>1979</v>
      </c>
      <c r="J735" s="97"/>
      <c r="K735" s="177">
        <v>44743.0</v>
      </c>
      <c r="L735" s="46" t="b">
        <v>1</v>
      </c>
    </row>
    <row r="736" hidden="1">
      <c r="A736" s="4" t="s">
        <v>68</v>
      </c>
      <c r="B736" s="170" t="s">
        <v>1986</v>
      </c>
      <c r="C736" s="171">
        <v>237.5</v>
      </c>
      <c r="D736" s="172">
        <v>44773.0</v>
      </c>
      <c r="E736" s="170">
        <v>9.0</v>
      </c>
      <c r="F736" s="170">
        <v>2022.07</v>
      </c>
      <c r="G736" s="170" t="s">
        <v>52</v>
      </c>
      <c r="H736" s="170" t="s">
        <v>1264</v>
      </c>
      <c r="I736" s="170" t="s">
        <v>1979</v>
      </c>
      <c r="J736" s="94"/>
      <c r="K736" s="173">
        <v>44743.0</v>
      </c>
      <c r="L736" s="45" t="b">
        <v>1</v>
      </c>
    </row>
    <row r="737" hidden="1">
      <c r="A737" s="16" t="s">
        <v>427</v>
      </c>
      <c r="B737" s="99" t="s">
        <v>1986</v>
      </c>
      <c r="C737" s="174">
        <v>175.0</v>
      </c>
      <c r="D737" s="175">
        <v>44773.0</v>
      </c>
      <c r="E737" s="99">
        <v>9.0</v>
      </c>
      <c r="F737" s="99">
        <v>2022.0</v>
      </c>
      <c r="G737" s="99" t="s">
        <v>1160</v>
      </c>
      <c r="H737" s="99" t="s">
        <v>1264</v>
      </c>
      <c r="I737" s="99" t="s">
        <v>1979</v>
      </c>
      <c r="J737" s="97"/>
      <c r="K737" s="177">
        <v>44743.0</v>
      </c>
      <c r="L737" s="46" t="b">
        <v>1</v>
      </c>
    </row>
    <row r="738" hidden="1">
      <c r="A738" s="4" t="s">
        <v>1266</v>
      </c>
      <c r="B738" s="170" t="s">
        <v>1986</v>
      </c>
      <c r="C738" s="171">
        <v>16.5</v>
      </c>
      <c r="D738" s="172">
        <v>44773.0</v>
      </c>
      <c r="E738" s="170">
        <v>9.0</v>
      </c>
      <c r="F738" s="170">
        <v>2022.0</v>
      </c>
      <c r="G738" s="170" t="s">
        <v>1152</v>
      </c>
      <c r="H738" s="170" t="s">
        <v>1264</v>
      </c>
      <c r="I738" s="170" t="s">
        <v>1267</v>
      </c>
      <c r="J738" s="192" t="s">
        <v>2069</v>
      </c>
      <c r="K738" s="173">
        <v>44743.0</v>
      </c>
      <c r="L738" s="45" t="b">
        <v>1</v>
      </c>
    </row>
    <row r="739" hidden="1">
      <c r="A739" s="16" t="s">
        <v>66</v>
      </c>
      <c r="B739" s="99" t="s">
        <v>1978</v>
      </c>
      <c r="C739" s="174">
        <v>312.5</v>
      </c>
      <c r="D739" s="175">
        <v>44773.0</v>
      </c>
      <c r="E739" s="189">
        <v>44743.0</v>
      </c>
      <c r="F739" s="99">
        <v>2022.07</v>
      </c>
      <c r="G739" s="99" t="s">
        <v>52</v>
      </c>
      <c r="H739" s="99" t="s">
        <v>1264</v>
      </c>
      <c r="I739" s="99" t="s">
        <v>1979</v>
      </c>
      <c r="J739" s="97"/>
      <c r="K739" s="177">
        <v>44743.0</v>
      </c>
      <c r="L739" s="46" t="b">
        <v>1</v>
      </c>
    </row>
    <row r="740" hidden="1">
      <c r="A740" s="4" t="s">
        <v>97</v>
      </c>
      <c r="B740" s="170" t="s">
        <v>1978</v>
      </c>
      <c r="C740" s="171">
        <v>125.0</v>
      </c>
      <c r="D740" s="172">
        <v>44773.0</v>
      </c>
      <c r="E740" s="188">
        <v>44743.0</v>
      </c>
      <c r="F740" s="170">
        <v>2022.07</v>
      </c>
      <c r="G740" s="170" t="s">
        <v>52</v>
      </c>
      <c r="H740" s="170" t="s">
        <v>1264</v>
      </c>
      <c r="I740" s="170" t="s">
        <v>1979</v>
      </c>
      <c r="J740" s="94"/>
      <c r="K740" s="173">
        <v>44743.0</v>
      </c>
      <c r="L740" s="45" t="b">
        <v>1</v>
      </c>
    </row>
    <row r="741" hidden="1">
      <c r="A741" s="16" t="s">
        <v>147</v>
      </c>
      <c r="B741" s="99" t="s">
        <v>1978</v>
      </c>
      <c r="C741" s="174">
        <v>200.0</v>
      </c>
      <c r="D741" s="175">
        <v>44773.0</v>
      </c>
      <c r="E741" s="189">
        <v>44743.0</v>
      </c>
      <c r="F741" s="99">
        <v>2022.07</v>
      </c>
      <c r="G741" s="99" t="s">
        <v>52</v>
      </c>
      <c r="H741" s="99" t="s">
        <v>1264</v>
      </c>
      <c r="I741" s="99" t="s">
        <v>1979</v>
      </c>
      <c r="J741" s="97"/>
      <c r="K741" s="177">
        <v>44743.0</v>
      </c>
      <c r="L741" s="46" t="b">
        <v>1</v>
      </c>
    </row>
    <row r="742" hidden="1">
      <c r="A742" s="4" t="s">
        <v>88</v>
      </c>
      <c r="B742" s="170" t="s">
        <v>1978</v>
      </c>
      <c r="C742" s="171">
        <v>212.5</v>
      </c>
      <c r="D742" s="172">
        <v>44773.0</v>
      </c>
      <c r="E742" s="188">
        <v>44743.0</v>
      </c>
      <c r="F742" s="170">
        <v>2022.07</v>
      </c>
      <c r="G742" s="170" t="s">
        <v>52</v>
      </c>
      <c r="H742" s="170" t="s">
        <v>1264</v>
      </c>
      <c r="I742" s="170" t="s">
        <v>1979</v>
      </c>
      <c r="J742" s="94"/>
      <c r="K742" s="173">
        <v>44743.0</v>
      </c>
      <c r="L742" s="45" t="b">
        <v>1</v>
      </c>
    </row>
    <row r="743" hidden="1">
      <c r="A743" s="16" t="s">
        <v>73</v>
      </c>
      <c r="B743" s="99" t="s">
        <v>1978</v>
      </c>
      <c r="C743" s="174">
        <v>262.5</v>
      </c>
      <c r="D743" s="175">
        <v>44773.0</v>
      </c>
      <c r="E743" s="189">
        <v>44743.0</v>
      </c>
      <c r="F743" s="99">
        <v>2022.07</v>
      </c>
      <c r="G743" s="99" t="s">
        <v>52</v>
      </c>
      <c r="H743" s="99" t="s">
        <v>1264</v>
      </c>
      <c r="I743" s="99" t="s">
        <v>1979</v>
      </c>
      <c r="J743" s="97"/>
      <c r="K743" s="177">
        <v>44743.0</v>
      </c>
      <c r="L743" s="46" t="b">
        <v>1</v>
      </c>
    </row>
    <row r="744" hidden="1">
      <c r="A744" s="4" t="s">
        <v>223</v>
      </c>
      <c r="B744" s="170" t="s">
        <v>1978</v>
      </c>
      <c r="C744" s="171">
        <v>500.0</v>
      </c>
      <c r="D744" s="172">
        <v>44773.0</v>
      </c>
      <c r="E744" s="188">
        <v>44743.0</v>
      </c>
      <c r="F744" s="170">
        <v>2022.07</v>
      </c>
      <c r="G744" s="170" t="s">
        <v>52</v>
      </c>
      <c r="H744" s="170" t="s">
        <v>1264</v>
      </c>
      <c r="I744" s="170" t="s">
        <v>1979</v>
      </c>
      <c r="J744" s="94"/>
      <c r="K744" s="173">
        <v>44743.0</v>
      </c>
      <c r="L744" s="45" t="b">
        <v>1</v>
      </c>
    </row>
    <row r="745" hidden="1">
      <c r="A745" s="16" t="s">
        <v>50</v>
      </c>
      <c r="B745" s="99" t="s">
        <v>1978</v>
      </c>
      <c r="C745" s="174">
        <v>137.5</v>
      </c>
      <c r="D745" s="175">
        <v>44773.0</v>
      </c>
      <c r="E745" s="189">
        <v>44743.0</v>
      </c>
      <c r="F745" s="99">
        <v>2022.07</v>
      </c>
      <c r="G745" s="99" t="s">
        <v>52</v>
      </c>
      <c r="H745" s="99" t="s">
        <v>1264</v>
      </c>
      <c r="I745" s="99" t="s">
        <v>1979</v>
      </c>
      <c r="J745" s="97"/>
      <c r="K745" s="177">
        <v>44743.0</v>
      </c>
      <c r="L745" s="46" t="b">
        <v>1</v>
      </c>
    </row>
    <row r="746" hidden="1">
      <c r="A746" s="4" t="s">
        <v>54</v>
      </c>
      <c r="B746" s="170" t="s">
        <v>1985</v>
      </c>
      <c r="C746" s="171">
        <v>162.5</v>
      </c>
      <c r="D746" s="172">
        <v>44773.0</v>
      </c>
      <c r="E746" s="170">
        <v>24.0</v>
      </c>
      <c r="F746" s="170">
        <v>2022.07</v>
      </c>
      <c r="G746" s="170" t="s">
        <v>52</v>
      </c>
      <c r="H746" s="170" t="s">
        <v>1264</v>
      </c>
      <c r="I746" s="170" t="s">
        <v>1979</v>
      </c>
      <c r="J746" s="94"/>
      <c r="K746" s="173">
        <v>44743.0</v>
      </c>
      <c r="L746" s="45" t="b">
        <v>1</v>
      </c>
    </row>
    <row r="747" hidden="1">
      <c r="A747" s="16" t="s">
        <v>58</v>
      </c>
      <c r="B747" s="99" t="s">
        <v>1985</v>
      </c>
      <c r="C747" s="174">
        <v>450.0</v>
      </c>
      <c r="D747" s="175">
        <v>44773.0</v>
      </c>
      <c r="E747" s="99">
        <v>24.0</v>
      </c>
      <c r="F747" s="99">
        <v>2022.07</v>
      </c>
      <c r="G747" s="99" t="s">
        <v>52</v>
      </c>
      <c r="H747" s="99" t="s">
        <v>1264</v>
      </c>
      <c r="I747" s="99" t="s">
        <v>1979</v>
      </c>
      <c r="J747" s="97"/>
      <c r="K747" s="177">
        <v>44743.0</v>
      </c>
      <c r="L747" s="46" t="b">
        <v>1</v>
      </c>
    </row>
    <row r="748" hidden="1">
      <c r="A748" s="4" t="s">
        <v>470</v>
      </c>
      <c r="B748" s="170" t="s">
        <v>1985</v>
      </c>
      <c r="C748" s="171">
        <v>387.5</v>
      </c>
      <c r="D748" s="172">
        <v>44773.0</v>
      </c>
      <c r="E748" s="170">
        <v>24.0</v>
      </c>
      <c r="F748" s="170">
        <v>2022.0</v>
      </c>
      <c r="G748" s="170" t="s">
        <v>1160</v>
      </c>
      <c r="H748" s="170" t="s">
        <v>1264</v>
      </c>
      <c r="I748" s="170" t="s">
        <v>1979</v>
      </c>
      <c r="J748" s="94"/>
      <c r="K748" s="173">
        <v>44743.0</v>
      </c>
      <c r="L748" s="45" t="b">
        <v>1</v>
      </c>
    </row>
    <row r="749" hidden="1">
      <c r="A749" s="16" t="s">
        <v>90</v>
      </c>
      <c r="B749" s="99" t="s">
        <v>1985</v>
      </c>
      <c r="C749" s="174">
        <v>350.0</v>
      </c>
      <c r="D749" s="175">
        <v>44773.0</v>
      </c>
      <c r="E749" s="99">
        <v>24.0</v>
      </c>
      <c r="F749" s="99">
        <v>2022.07</v>
      </c>
      <c r="G749" s="99" t="s">
        <v>52</v>
      </c>
      <c r="H749" s="99" t="s">
        <v>1264</v>
      </c>
      <c r="I749" s="99" t="s">
        <v>1979</v>
      </c>
      <c r="J749" s="97"/>
      <c r="K749" s="177">
        <v>44743.0</v>
      </c>
      <c r="L749" s="46" t="b">
        <v>1</v>
      </c>
    </row>
    <row r="750" hidden="1">
      <c r="A750" s="4" t="s">
        <v>2070</v>
      </c>
      <c r="B750" s="170" t="s">
        <v>1985</v>
      </c>
      <c r="C750" s="171">
        <v>1250.0</v>
      </c>
      <c r="D750" s="172">
        <v>44773.0</v>
      </c>
      <c r="E750" s="170">
        <v>24.0</v>
      </c>
      <c r="F750" s="170">
        <v>2022.0</v>
      </c>
      <c r="G750" s="170" t="s">
        <v>1992</v>
      </c>
      <c r="H750" s="170" t="s">
        <v>1264</v>
      </c>
      <c r="I750" s="170" t="s">
        <v>1979</v>
      </c>
      <c r="J750" s="94"/>
      <c r="K750" s="173">
        <v>44743.0</v>
      </c>
      <c r="L750" s="45" t="b">
        <v>1</v>
      </c>
    </row>
    <row r="751" hidden="1">
      <c r="A751" s="16" t="s">
        <v>499</v>
      </c>
      <c r="B751" s="99" t="s">
        <v>1985</v>
      </c>
      <c r="C751" s="174">
        <v>125.0</v>
      </c>
      <c r="D751" s="175">
        <v>44773.0</v>
      </c>
      <c r="E751" s="99">
        <v>24.0</v>
      </c>
      <c r="F751" s="99">
        <v>2022.07</v>
      </c>
      <c r="G751" s="99" t="s">
        <v>52</v>
      </c>
      <c r="H751" s="99" t="s">
        <v>1264</v>
      </c>
      <c r="I751" s="99" t="s">
        <v>1979</v>
      </c>
      <c r="J751" s="97"/>
      <c r="K751" s="177">
        <v>44743.0</v>
      </c>
      <c r="L751" s="46" t="b">
        <v>1</v>
      </c>
    </row>
    <row r="752" hidden="1">
      <c r="A752" s="4" t="s">
        <v>1266</v>
      </c>
      <c r="B752" s="170" t="s">
        <v>1985</v>
      </c>
      <c r="C752" s="171">
        <v>90.0</v>
      </c>
      <c r="D752" s="172">
        <v>44773.0</v>
      </c>
      <c r="E752" s="170">
        <v>24.0</v>
      </c>
      <c r="F752" s="170">
        <v>2022.0</v>
      </c>
      <c r="G752" s="170" t="s">
        <v>1152</v>
      </c>
      <c r="H752" s="170" t="s">
        <v>1264</v>
      </c>
      <c r="I752" s="170" t="s">
        <v>1267</v>
      </c>
      <c r="J752" s="170" t="s">
        <v>2071</v>
      </c>
      <c r="K752" s="173">
        <v>44743.0</v>
      </c>
      <c r="L752" s="45" t="b">
        <v>1</v>
      </c>
    </row>
    <row r="753" hidden="1">
      <c r="A753" s="16" t="s">
        <v>42</v>
      </c>
      <c r="B753" s="99" t="s">
        <v>1984</v>
      </c>
      <c r="C753" s="174">
        <v>350.0</v>
      </c>
      <c r="D753" s="175">
        <v>44773.0</v>
      </c>
      <c r="E753" s="99">
        <v>7.0</v>
      </c>
      <c r="F753" s="99">
        <v>2022.07</v>
      </c>
      <c r="G753" s="99" t="s">
        <v>52</v>
      </c>
      <c r="H753" s="99" t="s">
        <v>1264</v>
      </c>
      <c r="I753" s="99" t="s">
        <v>1979</v>
      </c>
      <c r="J753" s="97"/>
      <c r="K753" s="177">
        <v>44743.0</v>
      </c>
      <c r="L753" s="46" t="b">
        <v>1</v>
      </c>
    </row>
    <row r="754" hidden="1">
      <c r="A754" s="4" t="s">
        <v>92</v>
      </c>
      <c r="B754" s="170" t="s">
        <v>1984</v>
      </c>
      <c r="C754" s="171">
        <v>212.5</v>
      </c>
      <c r="D754" s="172">
        <v>44773.0</v>
      </c>
      <c r="E754" s="170">
        <v>7.0</v>
      </c>
      <c r="F754" s="170">
        <v>2022.07</v>
      </c>
      <c r="G754" s="170" t="s">
        <v>52</v>
      </c>
      <c r="H754" s="170" t="s">
        <v>1264</v>
      </c>
      <c r="I754" s="170" t="s">
        <v>1979</v>
      </c>
      <c r="J754" s="94"/>
      <c r="K754" s="173">
        <v>44743.0</v>
      </c>
      <c r="L754" s="45" t="b">
        <v>1</v>
      </c>
    </row>
    <row r="755" hidden="1">
      <c r="A755" s="16" t="s">
        <v>54</v>
      </c>
      <c r="B755" s="99" t="s">
        <v>1984</v>
      </c>
      <c r="C755" s="174">
        <v>175.0</v>
      </c>
      <c r="D755" s="175">
        <v>44773.0</v>
      </c>
      <c r="E755" s="99">
        <v>7.0</v>
      </c>
      <c r="F755" s="99">
        <v>2022.07</v>
      </c>
      <c r="G755" s="99" t="s">
        <v>52</v>
      </c>
      <c r="H755" s="99" t="s">
        <v>1264</v>
      </c>
      <c r="I755" s="99" t="s">
        <v>1979</v>
      </c>
      <c r="J755" s="97"/>
      <c r="K755" s="177">
        <v>44743.0</v>
      </c>
      <c r="L755" s="46" t="b">
        <v>1</v>
      </c>
    </row>
    <row r="756" hidden="1">
      <c r="A756" s="4" t="s">
        <v>147</v>
      </c>
      <c r="B756" s="170" t="s">
        <v>1980</v>
      </c>
      <c r="C756" s="171">
        <v>75.0</v>
      </c>
      <c r="D756" s="172">
        <v>44773.0</v>
      </c>
      <c r="E756" s="170">
        <v>113.0</v>
      </c>
      <c r="F756" s="170">
        <v>2022.07</v>
      </c>
      <c r="G756" s="170" t="s">
        <v>52</v>
      </c>
      <c r="H756" s="170" t="s">
        <v>1264</v>
      </c>
      <c r="I756" s="170" t="s">
        <v>1979</v>
      </c>
      <c r="J756" s="94"/>
      <c r="K756" s="173">
        <v>44743.0</v>
      </c>
      <c r="L756" s="45" t="b">
        <v>1</v>
      </c>
    </row>
    <row r="757" hidden="1">
      <c r="A757" s="16" t="s">
        <v>92</v>
      </c>
      <c r="B757" s="99" t="s">
        <v>1980</v>
      </c>
      <c r="C757" s="96">
        <f>350+225</f>
        <v>575</v>
      </c>
      <c r="D757" s="175">
        <v>44773.0</v>
      </c>
      <c r="E757" s="99">
        <v>113.0</v>
      </c>
      <c r="F757" s="99">
        <v>2022.07</v>
      </c>
      <c r="G757" s="99" t="s">
        <v>52</v>
      </c>
      <c r="H757" s="99" t="s">
        <v>1264</v>
      </c>
      <c r="I757" s="99" t="s">
        <v>1979</v>
      </c>
      <c r="J757" s="97"/>
      <c r="K757" s="177">
        <v>44743.0</v>
      </c>
      <c r="L757" s="46" t="b">
        <v>1</v>
      </c>
    </row>
    <row r="758" hidden="1">
      <c r="A758" s="4" t="s">
        <v>88</v>
      </c>
      <c r="B758" s="170" t="s">
        <v>1980</v>
      </c>
      <c r="C758" s="171">
        <v>45.0</v>
      </c>
      <c r="D758" s="172">
        <v>44773.0</v>
      </c>
      <c r="E758" s="170">
        <v>113.0</v>
      </c>
      <c r="F758" s="170">
        <v>2022.07</v>
      </c>
      <c r="G758" s="170" t="s">
        <v>52</v>
      </c>
      <c r="H758" s="170" t="s">
        <v>1264</v>
      </c>
      <c r="I758" s="170" t="s">
        <v>1979</v>
      </c>
      <c r="J758" s="94"/>
      <c r="K758" s="173">
        <v>44743.0</v>
      </c>
      <c r="L758" s="45" t="b">
        <v>1</v>
      </c>
    </row>
    <row r="759" hidden="1">
      <c r="A759" s="36" t="s">
        <v>2072</v>
      </c>
      <c r="B759" s="99" t="s">
        <v>1980</v>
      </c>
      <c r="C759" s="174">
        <v>448.0</v>
      </c>
      <c r="D759" s="175">
        <v>44773.0</v>
      </c>
      <c r="E759" s="99">
        <v>113.0</v>
      </c>
      <c r="F759" s="99">
        <v>2022.07</v>
      </c>
      <c r="G759" s="99" t="s">
        <v>52</v>
      </c>
      <c r="H759" s="99" t="s">
        <v>1264</v>
      </c>
      <c r="I759" s="99" t="s">
        <v>1979</v>
      </c>
      <c r="J759" s="97"/>
      <c r="K759" s="177">
        <v>44743.0</v>
      </c>
      <c r="L759" s="46" t="b">
        <v>1</v>
      </c>
    </row>
    <row r="760" hidden="1">
      <c r="A760" s="4" t="s">
        <v>86</v>
      </c>
      <c r="B760" s="170" t="s">
        <v>1980</v>
      </c>
      <c r="C760" s="171">
        <v>192.5</v>
      </c>
      <c r="D760" s="172">
        <v>44773.0</v>
      </c>
      <c r="E760" s="170">
        <v>113.0</v>
      </c>
      <c r="F760" s="170">
        <v>2022.07</v>
      </c>
      <c r="G760" s="170" t="s">
        <v>52</v>
      </c>
      <c r="H760" s="170" t="s">
        <v>1264</v>
      </c>
      <c r="I760" s="170" t="s">
        <v>1979</v>
      </c>
      <c r="J760" s="94"/>
      <c r="K760" s="173">
        <v>44743.0</v>
      </c>
      <c r="L760" s="45" t="b">
        <v>1</v>
      </c>
    </row>
    <row r="761" hidden="1">
      <c r="A761" s="16" t="s">
        <v>1298</v>
      </c>
      <c r="B761" s="99" t="s">
        <v>1980</v>
      </c>
      <c r="C761" s="174">
        <v>192.5</v>
      </c>
      <c r="D761" s="175">
        <v>44773.0</v>
      </c>
      <c r="E761" s="99">
        <v>113.0</v>
      </c>
      <c r="F761" s="99">
        <v>2022.07</v>
      </c>
      <c r="G761" s="99" t="s">
        <v>52</v>
      </c>
      <c r="H761" s="99" t="s">
        <v>1264</v>
      </c>
      <c r="I761" s="99" t="s">
        <v>1979</v>
      </c>
      <c r="J761" s="97"/>
      <c r="K761" s="177">
        <v>44743.0</v>
      </c>
      <c r="L761" s="46" t="b">
        <v>1</v>
      </c>
    </row>
    <row r="762" hidden="1">
      <c r="A762" s="4" t="s">
        <v>97</v>
      </c>
      <c r="B762" s="170" t="s">
        <v>1980</v>
      </c>
      <c r="C762" s="171">
        <v>30.0</v>
      </c>
      <c r="D762" s="172">
        <v>44773.0</v>
      </c>
      <c r="E762" s="170">
        <v>113.0</v>
      </c>
      <c r="F762" s="170">
        <v>2022.07</v>
      </c>
      <c r="G762" s="170" t="s">
        <v>52</v>
      </c>
      <c r="H762" s="170" t="s">
        <v>1264</v>
      </c>
      <c r="I762" s="170" t="s">
        <v>1979</v>
      </c>
      <c r="J762" s="94"/>
      <c r="K762" s="173">
        <v>44743.0</v>
      </c>
      <c r="L762" s="45" t="b">
        <v>1</v>
      </c>
    </row>
    <row r="763" hidden="1">
      <c r="A763" s="16" t="s">
        <v>82</v>
      </c>
      <c r="B763" s="99" t="s">
        <v>1980</v>
      </c>
      <c r="C763" s="174">
        <v>75.0</v>
      </c>
      <c r="D763" s="175">
        <v>44773.0</v>
      </c>
      <c r="E763" s="99">
        <v>113.0</v>
      </c>
      <c r="F763" s="99">
        <v>2022.07</v>
      </c>
      <c r="G763" s="99" t="s">
        <v>52</v>
      </c>
      <c r="H763" s="99" t="s">
        <v>1264</v>
      </c>
      <c r="I763" s="99" t="s">
        <v>1979</v>
      </c>
      <c r="J763" s="97"/>
      <c r="K763" s="177">
        <v>44743.0</v>
      </c>
      <c r="L763" s="46" t="b">
        <v>1</v>
      </c>
    </row>
    <row r="764" hidden="1">
      <c r="A764" s="4" t="s">
        <v>99</v>
      </c>
      <c r="B764" s="170" t="s">
        <v>1980</v>
      </c>
      <c r="C764" s="93">
        <f>150+120</f>
        <v>270</v>
      </c>
      <c r="D764" s="172">
        <v>44773.0</v>
      </c>
      <c r="E764" s="170">
        <v>113.0</v>
      </c>
      <c r="F764" s="170">
        <v>2022.07</v>
      </c>
      <c r="G764" s="170" t="s">
        <v>52</v>
      </c>
      <c r="H764" s="170" t="s">
        <v>1264</v>
      </c>
      <c r="I764" s="170" t="s">
        <v>1979</v>
      </c>
      <c r="J764" s="94"/>
      <c r="K764" s="173">
        <v>44743.0</v>
      </c>
      <c r="L764" s="45" t="b">
        <v>1</v>
      </c>
    </row>
    <row r="765" hidden="1">
      <c r="A765" s="16" t="s">
        <v>68</v>
      </c>
      <c r="B765" s="99" t="s">
        <v>1980</v>
      </c>
      <c r="C765" s="174">
        <v>60.0</v>
      </c>
      <c r="D765" s="175">
        <v>44773.0</v>
      </c>
      <c r="E765" s="99">
        <v>113.0</v>
      </c>
      <c r="F765" s="99">
        <v>2022.07</v>
      </c>
      <c r="G765" s="99" t="s">
        <v>52</v>
      </c>
      <c r="H765" s="99" t="s">
        <v>1264</v>
      </c>
      <c r="I765" s="99" t="s">
        <v>1979</v>
      </c>
      <c r="J765" s="97"/>
      <c r="K765" s="177">
        <v>44743.0</v>
      </c>
      <c r="L765" s="46" t="b">
        <v>1</v>
      </c>
    </row>
    <row r="766" hidden="1">
      <c r="A766" s="4" t="s">
        <v>42</v>
      </c>
      <c r="B766" s="170" t="s">
        <v>1980</v>
      </c>
      <c r="C766" s="171">
        <v>135.0</v>
      </c>
      <c r="D766" s="172">
        <v>44773.0</v>
      </c>
      <c r="E766" s="170">
        <v>113.0</v>
      </c>
      <c r="F766" s="170">
        <v>2022.07</v>
      </c>
      <c r="G766" s="170" t="s">
        <v>52</v>
      </c>
      <c r="H766" s="170" t="s">
        <v>1264</v>
      </c>
      <c r="I766" s="170" t="s">
        <v>1979</v>
      </c>
      <c r="J766" s="94"/>
      <c r="K766" s="173">
        <v>44743.0</v>
      </c>
      <c r="L766" s="45" t="b">
        <v>1</v>
      </c>
    </row>
    <row r="767" hidden="1">
      <c r="A767" s="16" t="s">
        <v>58</v>
      </c>
      <c r="B767" s="99" t="s">
        <v>1980</v>
      </c>
      <c r="C767" s="174">
        <v>350.0</v>
      </c>
      <c r="D767" s="175">
        <v>44773.0</v>
      </c>
      <c r="E767" s="99">
        <v>113.0</v>
      </c>
      <c r="F767" s="99">
        <v>2022.07</v>
      </c>
      <c r="G767" s="99" t="s">
        <v>52</v>
      </c>
      <c r="H767" s="99" t="s">
        <v>1264</v>
      </c>
      <c r="I767" s="99" t="s">
        <v>1979</v>
      </c>
      <c r="J767" s="97"/>
      <c r="K767" s="177">
        <v>44743.0</v>
      </c>
      <c r="L767" s="46" t="b">
        <v>1</v>
      </c>
    </row>
    <row r="768" hidden="1">
      <c r="A768" s="4" t="s">
        <v>123</v>
      </c>
      <c r="B768" s="170" t="s">
        <v>1980</v>
      </c>
      <c r="C768" s="171">
        <v>300.0</v>
      </c>
      <c r="D768" s="172">
        <v>44773.0</v>
      </c>
      <c r="E768" s="170">
        <v>113.0</v>
      </c>
      <c r="F768" s="170">
        <v>2022.07</v>
      </c>
      <c r="G768" s="170" t="s">
        <v>52</v>
      </c>
      <c r="H768" s="170" t="s">
        <v>1264</v>
      </c>
      <c r="I768" s="170" t="s">
        <v>1979</v>
      </c>
      <c r="J768" s="94"/>
      <c r="K768" s="173">
        <v>44743.0</v>
      </c>
      <c r="L768" s="45" t="b">
        <v>1</v>
      </c>
    </row>
    <row r="769" hidden="1">
      <c r="A769" s="16" t="s">
        <v>73</v>
      </c>
      <c r="B769" s="99" t="s">
        <v>1980</v>
      </c>
      <c r="C769" s="174">
        <v>60.0</v>
      </c>
      <c r="D769" s="175">
        <v>44773.0</v>
      </c>
      <c r="E769" s="99">
        <v>113.0</v>
      </c>
      <c r="F769" s="99">
        <v>2022.07</v>
      </c>
      <c r="G769" s="99" t="s">
        <v>52</v>
      </c>
      <c r="H769" s="99" t="s">
        <v>1264</v>
      </c>
      <c r="I769" s="99" t="s">
        <v>1979</v>
      </c>
      <c r="J769" s="97"/>
      <c r="K769" s="177">
        <v>44743.0</v>
      </c>
      <c r="L769" s="46" t="b">
        <v>1</v>
      </c>
    </row>
    <row r="770" hidden="1">
      <c r="A770" s="4" t="s">
        <v>50</v>
      </c>
      <c r="B770" s="170" t="s">
        <v>1980</v>
      </c>
      <c r="C770" s="171">
        <v>30.0</v>
      </c>
      <c r="D770" s="172">
        <v>44773.0</v>
      </c>
      <c r="E770" s="170">
        <v>113.0</v>
      </c>
      <c r="F770" s="170">
        <v>2022.07</v>
      </c>
      <c r="G770" s="170" t="s">
        <v>52</v>
      </c>
      <c r="H770" s="170" t="s">
        <v>1264</v>
      </c>
      <c r="I770" s="170" t="s">
        <v>1979</v>
      </c>
      <c r="J770" s="94"/>
      <c r="K770" s="173">
        <v>44743.0</v>
      </c>
      <c r="L770" s="45" t="b">
        <v>1</v>
      </c>
    </row>
    <row r="771" hidden="1">
      <c r="A771" s="16" t="s">
        <v>62</v>
      </c>
      <c r="B771" s="99" t="s">
        <v>1980</v>
      </c>
      <c r="C771" s="96">
        <f>150+150</f>
        <v>300</v>
      </c>
      <c r="D771" s="175">
        <v>44773.0</v>
      </c>
      <c r="E771" s="99">
        <v>113.0</v>
      </c>
      <c r="F771" s="99">
        <v>2022.07</v>
      </c>
      <c r="G771" s="99" t="s">
        <v>52</v>
      </c>
      <c r="H771" s="99" t="s">
        <v>1264</v>
      </c>
      <c r="I771" s="99" t="s">
        <v>1979</v>
      </c>
      <c r="J771" s="97"/>
      <c r="K771" s="177">
        <v>44743.0</v>
      </c>
      <c r="L771" s="46" t="b">
        <v>1</v>
      </c>
    </row>
    <row r="772" hidden="1">
      <c r="A772" s="4" t="s">
        <v>223</v>
      </c>
      <c r="B772" s="170" t="s">
        <v>1980</v>
      </c>
      <c r="C772" s="171">
        <v>75.0</v>
      </c>
      <c r="D772" s="172">
        <v>44773.0</v>
      </c>
      <c r="E772" s="170">
        <v>113.0</v>
      </c>
      <c r="F772" s="170">
        <v>2022.07</v>
      </c>
      <c r="G772" s="170" t="s">
        <v>52</v>
      </c>
      <c r="H772" s="170" t="s">
        <v>1264</v>
      </c>
      <c r="I772" s="170" t="s">
        <v>1979</v>
      </c>
      <c r="J772" s="94"/>
      <c r="K772" s="173">
        <v>44743.0</v>
      </c>
      <c r="L772" s="45" t="b">
        <v>1</v>
      </c>
    </row>
    <row r="773" hidden="1">
      <c r="A773" s="16" t="s">
        <v>225</v>
      </c>
      <c r="B773" s="99" t="s">
        <v>1980</v>
      </c>
      <c r="C773" s="96">
        <f>1500+360</f>
        <v>1860</v>
      </c>
      <c r="D773" s="175">
        <v>44773.0</v>
      </c>
      <c r="E773" s="99">
        <v>113.0</v>
      </c>
      <c r="F773" s="99">
        <v>2022.07</v>
      </c>
      <c r="G773" s="99" t="s">
        <v>52</v>
      </c>
      <c r="H773" s="99" t="s">
        <v>1264</v>
      </c>
      <c r="I773" s="99" t="s">
        <v>1979</v>
      </c>
      <c r="J773" s="97"/>
      <c r="K773" s="177">
        <v>44743.0</v>
      </c>
      <c r="L773" s="46" t="b">
        <v>1</v>
      </c>
    </row>
    <row r="774" hidden="1">
      <c r="A774" s="4" t="s">
        <v>66</v>
      </c>
      <c r="B774" s="170" t="s">
        <v>1980</v>
      </c>
      <c r="C774" s="171">
        <v>60.0</v>
      </c>
      <c r="D774" s="172">
        <v>44773.0</v>
      </c>
      <c r="E774" s="170">
        <v>113.0</v>
      </c>
      <c r="F774" s="170">
        <v>2022.07</v>
      </c>
      <c r="G774" s="170" t="s">
        <v>52</v>
      </c>
      <c r="H774" s="170" t="s">
        <v>1264</v>
      </c>
      <c r="I774" s="170" t="s">
        <v>1979</v>
      </c>
      <c r="J774" s="94"/>
      <c r="K774" s="173">
        <v>44743.0</v>
      </c>
      <c r="L774" s="45" t="b">
        <v>1</v>
      </c>
    </row>
    <row r="775" hidden="1">
      <c r="A775" s="16" t="s">
        <v>279</v>
      </c>
      <c r="B775" s="99" t="s">
        <v>1980</v>
      </c>
      <c r="C775" s="174">
        <v>30.0</v>
      </c>
      <c r="D775" s="175">
        <v>44773.0</v>
      </c>
      <c r="E775" s="99">
        <v>113.0</v>
      </c>
      <c r="F775" s="99">
        <v>2022.0</v>
      </c>
      <c r="G775" s="99" t="s">
        <v>1160</v>
      </c>
      <c r="H775" s="99" t="s">
        <v>1264</v>
      </c>
      <c r="I775" s="99" t="s">
        <v>1979</v>
      </c>
      <c r="J775" s="97"/>
      <c r="K775" s="177">
        <v>44743.0</v>
      </c>
      <c r="L775" s="46" t="b">
        <v>1</v>
      </c>
    </row>
    <row r="776" hidden="1">
      <c r="A776" s="4" t="s">
        <v>354</v>
      </c>
      <c r="B776" s="170" t="s">
        <v>1980</v>
      </c>
      <c r="C776" s="93">
        <f>150+500</f>
        <v>650</v>
      </c>
      <c r="D776" s="172">
        <v>44773.0</v>
      </c>
      <c r="E776" s="170">
        <v>113.0</v>
      </c>
      <c r="F776" s="170">
        <v>2022.07</v>
      </c>
      <c r="G776" s="170" t="s">
        <v>52</v>
      </c>
      <c r="H776" s="170" t="s">
        <v>1264</v>
      </c>
      <c r="I776" s="170" t="s">
        <v>1979</v>
      </c>
      <c r="J776" s="94"/>
      <c r="K776" s="173">
        <v>44743.0</v>
      </c>
      <c r="L776" s="45" t="b">
        <v>1</v>
      </c>
    </row>
    <row r="777" hidden="1">
      <c r="A777" s="16" t="s">
        <v>427</v>
      </c>
      <c r="B777" s="99" t="s">
        <v>1980</v>
      </c>
      <c r="C777" s="174">
        <v>45.0</v>
      </c>
      <c r="D777" s="175">
        <v>44773.0</v>
      </c>
      <c r="E777" s="99">
        <v>113.0</v>
      </c>
      <c r="F777" s="99">
        <v>2022.0</v>
      </c>
      <c r="G777" s="99" t="s">
        <v>1160</v>
      </c>
      <c r="H777" s="99" t="s">
        <v>1264</v>
      </c>
      <c r="I777" s="99" t="s">
        <v>1979</v>
      </c>
      <c r="J777" s="97"/>
      <c r="K777" s="177">
        <v>44743.0</v>
      </c>
      <c r="L777" s="46" t="b">
        <v>1</v>
      </c>
    </row>
    <row r="778" hidden="1">
      <c r="A778" s="4" t="s">
        <v>481</v>
      </c>
      <c r="B778" s="170" t="s">
        <v>1980</v>
      </c>
      <c r="C778" s="93">
        <f>45+512.5</f>
        <v>557.5</v>
      </c>
      <c r="D778" s="172">
        <v>44773.0</v>
      </c>
      <c r="E778" s="170">
        <v>113.0</v>
      </c>
      <c r="F778" s="170">
        <v>2022.0</v>
      </c>
      <c r="G778" s="170" t="s">
        <v>1160</v>
      </c>
      <c r="H778" s="170" t="s">
        <v>1264</v>
      </c>
      <c r="I778" s="170" t="s">
        <v>1979</v>
      </c>
      <c r="J778" s="94"/>
      <c r="K778" s="173">
        <v>44743.0</v>
      </c>
      <c r="L778" s="45" t="b">
        <v>1</v>
      </c>
    </row>
    <row r="779" hidden="1">
      <c r="A779" s="16" t="s">
        <v>501</v>
      </c>
      <c r="B779" s="99" t="s">
        <v>1980</v>
      </c>
      <c r="C779" s="96">
        <f>450+300</f>
        <v>750</v>
      </c>
      <c r="D779" s="175">
        <v>44773.0</v>
      </c>
      <c r="E779" s="99">
        <v>113.0</v>
      </c>
      <c r="F779" s="99">
        <v>2022.0</v>
      </c>
      <c r="G779" s="99" t="s">
        <v>1160</v>
      </c>
      <c r="H779" s="99" t="s">
        <v>1264</v>
      </c>
      <c r="I779" s="99" t="s">
        <v>1979</v>
      </c>
      <c r="J779" s="97"/>
      <c r="K779" s="177">
        <v>44743.0</v>
      </c>
      <c r="L779" s="46" t="b">
        <v>1</v>
      </c>
    </row>
    <row r="780" hidden="1">
      <c r="A780" s="4" t="s">
        <v>499</v>
      </c>
      <c r="B780" s="170" t="s">
        <v>1980</v>
      </c>
      <c r="C780" s="171">
        <v>300.0</v>
      </c>
      <c r="D780" s="172">
        <v>44773.0</v>
      </c>
      <c r="E780" s="170">
        <v>113.0</v>
      </c>
      <c r="F780" s="170">
        <v>2022.07</v>
      </c>
      <c r="G780" s="170" t="s">
        <v>52</v>
      </c>
      <c r="H780" s="170" t="s">
        <v>1264</v>
      </c>
      <c r="I780" s="170" t="s">
        <v>1979</v>
      </c>
      <c r="J780" s="94"/>
      <c r="K780" s="173">
        <v>44743.0</v>
      </c>
      <c r="L780" s="45" t="b">
        <v>1</v>
      </c>
    </row>
    <row r="781" hidden="1">
      <c r="A781" s="16" t="s">
        <v>102</v>
      </c>
      <c r="B781" s="99" t="s">
        <v>1987</v>
      </c>
      <c r="C781" s="174">
        <v>150.0</v>
      </c>
      <c r="D781" s="175">
        <v>44773.0</v>
      </c>
      <c r="E781" s="99">
        <v>1023.0</v>
      </c>
      <c r="F781" s="99">
        <v>2022.07</v>
      </c>
      <c r="G781" s="99" t="s">
        <v>52</v>
      </c>
      <c r="H781" s="99" t="s">
        <v>1264</v>
      </c>
      <c r="I781" s="99" t="s">
        <v>1979</v>
      </c>
      <c r="J781" s="97"/>
      <c r="K781" s="177">
        <v>44743.0</v>
      </c>
      <c r="L781" s="46" t="b">
        <v>1</v>
      </c>
    </row>
    <row r="782" hidden="1">
      <c r="A782" s="4" t="s">
        <v>465</v>
      </c>
      <c r="B782" s="170" t="s">
        <v>2036</v>
      </c>
      <c r="C782" s="171">
        <v>150.0</v>
      </c>
      <c r="D782" s="172">
        <v>44773.0</v>
      </c>
      <c r="E782" s="188">
        <v>44743.0</v>
      </c>
      <c r="F782" s="170">
        <v>2022.0</v>
      </c>
      <c r="G782" s="170" t="s">
        <v>1992</v>
      </c>
      <c r="H782" s="170" t="s">
        <v>1264</v>
      </c>
      <c r="I782" s="170" t="s">
        <v>1979</v>
      </c>
      <c r="J782" s="94"/>
      <c r="K782" s="173">
        <v>44743.0</v>
      </c>
      <c r="L782" s="45" t="b">
        <v>1</v>
      </c>
    </row>
    <row r="783" hidden="1">
      <c r="A783" s="16" t="s">
        <v>501</v>
      </c>
      <c r="B783" s="99" t="s">
        <v>2036</v>
      </c>
      <c r="C783" s="174">
        <v>200.0</v>
      </c>
      <c r="D783" s="175">
        <v>44773.0</v>
      </c>
      <c r="E783" s="189">
        <v>44743.0</v>
      </c>
      <c r="F783" s="99">
        <v>2022.0</v>
      </c>
      <c r="G783" s="99" t="s">
        <v>1160</v>
      </c>
      <c r="H783" s="99" t="s">
        <v>1264</v>
      </c>
      <c r="I783" s="99" t="s">
        <v>1979</v>
      </c>
      <c r="J783" s="97"/>
      <c r="K783" s="177">
        <v>44743.0</v>
      </c>
      <c r="L783" s="46" t="b">
        <v>1</v>
      </c>
    </row>
    <row r="784" hidden="1">
      <c r="A784" s="4" t="s">
        <v>99</v>
      </c>
      <c r="B784" s="170" t="s">
        <v>2036</v>
      </c>
      <c r="C784" s="171">
        <v>337.5</v>
      </c>
      <c r="D784" s="172">
        <v>44773.0</v>
      </c>
      <c r="E784" s="188">
        <v>44743.0</v>
      </c>
      <c r="F784" s="170">
        <v>2022.07</v>
      </c>
      <c r="G784" s="170" t="s">
        <v>52</v>
      </c>
      <c r="H784" s="170" t="s">
        <v>1264</v>
      </c>
      <c r="I784" s="170" t="s">
        <v>1979</v>
      </c>
      <c r="J784" s="94"/>
      <c r="K784" s="173">
        <v>44743.0</v>
      </c>
      <c r="L784" s="45" t="b">
        <v>1</v>
      </c>
    </row>
    <row r="785" hidden="1">
      <c r="A785" s="16" t="s">
        <v>42</v>
      </c>
      <c r="B785" s="99" t="s">
        <v>2036</v>
      </c>
      <c r="C785" s="174">
        <v>212.5</v>
      </c>
      <c r="D785" s="175">
        <v>44773.0</v>
      </c>
      <c r="E785" s="189">
        <v>44743.0</v>
      </c>
      <c r="F785" s="99">
        <v>2022.07</v>
      </c>
      <c r="G785" s="99" t="s">
        <v>52</v>
      </c>
      <c r="H785" s="99" t="s">
        <v>1264</v>
      </c>
      <c r="I785" s="99" t="s">
        <v>1979</v>
      </c>
      <c r="J785" s="97"/>
      <c r="K785" s="177">
        <v>44743.0</v>
      </c>
      <c r="L785" s="46" t="b">
        <v>1</v>
      </c>
    </row>
    <row r="786" hidden="1">
      <c r="A786" s="4" t="s">
        <v>115</v>
      </c>
      <c r="B786" s="170" t="s">
        <v>1982</v>
      </c>
      <c r="C786" s="171">
        <v>662.5</v>
      </c>
      <c r="D786" s="172">
        <v>44773.0</v>
      </c>
      <c r="E786" s="170" t="s">
        <v>2073</v>
      </c>
      <c r="F786" s="170">
        <v>2022.07</v>
      </c>
      <c r="G786" s="170" t="s">
        <v>52</v>
      </c>
      <c r="H786" s="170" t="s">
        <v>1264</v>
      </c>
      <c r="I786" s="170" t="s">
        <v>1979</v>
      </c>
      <c r="J786" s="94"/>
      <c r="K786" s="173">
        <v>44743.0</v>
      </c>
      <c r="L786" s="45" t="b">
        <v>1</v>
      </c>
    </row>
    <row r="787" hidden="1">
      <c r="A787" s="16" t="s">
        <v>118</v>
      </c>
      <c r="B787" s="99" t="s">
        <v>1982</v>
      </c>
      <c r="C787" s="174">
        <v>662.5</v>
      </c>
      <c r="D787" s="175">
        <v>44773.0</v>
      </c>
      <c r="E787" s="99" t="s">
        <v>2073</v>
      </c>
      <c r="F787" s="99">
        <v>2022.07</v>
      </c>
      <c r="G787" s="99" t="s">
        <v>52</v>
      </c>
      <c r="H787" s="99" t="s">
        <v>1264</v>
      </c>
      <c r="I787" s="99" t="s">
        <v>1979</v>
      </c>
      <c r="J787" s="97"/>
      <c r="K787" s="177">
        <v>44743.0</v>
      </c>
      <c r="L787" s="46" t="b">
        <v>1</v>
      </c>
    </row>
    <row r="788" hidden="1">
      <c r="A788" s="4" t="s">
        <v>92</v>
      </c>
      <c r="B788" s="170" t="s">
        <v>1982</v>
      </c>
      <c r="C788" s="171">
        <v>350.0</v>
      </c>
      <c r="D788" s="172">
        <v>44773.0</v>
      </c>
      <c r="E788" s="170" t="s">
        <v>2073</v>
      </c>
      <c r="F788" s="170">
        <v>2022.07</v>
      </c>
      <c r="G788" s="170" t="s">
        <v>52</v>
      </c>
      <c r="H788" s="170" t="s">
        <v>1264</v>
      </c>
      <c r="I788" s="170" t="s">
        <v>1979</v>
      </c>
      <c r="J788" s="94"/>
      <c r="K788" s="173">
        <v>44743.0</v>
      </c>
      <c r="L788" s="45" t="b">
        <v>1</v>
      </c>
    </row>
    <row r="789" hidden="1">
      <c r="A789" s="16" t="s">
        <v>84</v>
      </c>
      <c r="B789" s="99" t="s">
        <v>1982</v>
      </c>
      <c r="C789" s="174">
        <v>475.0</v>
      </c>
      <c r="D789" s="175">
        <v>44773.0</v>
      </c>
      <c r="E789" s="99" t="s">
        <v>2073</v>
      </c>
      <c r="F789" s="99">
        <v>2022.07</v>
      </c>
      <c r="G789" s="99" t="s">
        <v>52</v>
      </c>
      <c r="H789" s="99" t="s">
        <v>1264</v>
      </c>
      <c r="I789" s="99" t="s">
        <v>1979</v>
      </c>
      <c r="J789" s="97"/>
      <c r="K789" s="177">
        <v>44743.0</v>
      </c>
      <c r="L789" s="46" t="b">
        <v>1</v>
      </c>
    </row>
    <row r="790" hidden="1">
      <c r="A790" s="4" t="s">
        <v>123</v>
      </c>
      <c r="B790" s="170" t="s">
        <v>1982</v>
      </c>
      <c r="C790" s="171">
        <v>1087.5</v>
      </c>
      <c r="D790" s="172">
        <v>44773.0</v>
      </c>
      <c r="E790" s="170" t="s">
        <v>2073</v>
      </c>
      <c r="F790" s="170">
        <v>2022.07</v>
      </c>
      <c r="G790" s="170" t="s">
        <v>52</v>
      </c>
      <c r="H790" s="170" t="s">
        <v>1264</v>
      </c>
      <c r="I790" s="170" t="s">
        <v>1979</v>
      </c>
      <c r="J790" s="94"/>
      <c r="K790" s="173">
        <v>44743.0</v>
      </c>
      <c r="L790" s="45" t="b">
        <v>1</v>
      </c>
    </row>
    <row r="791" hidden="1">
      <c r="A791" s="16" t="s">
        <v>62</v>
      </c>
      <c r="B791" s="99" t="s">
        <v>1982</v>
      </c>
      <c r="C791" s="174">
        <v>450.0</v>
      </c>
      <c r="D791" s="175">
        <v>44773.0</v>
      </c>
      <c r="E791" s="99" t="s">
        <v>2073</v>
      </c>
      <c r="F791" s="99">
        <v>2022.07</v>
      </c>
      <c r="G791" s="99" t="s">
        <v>52</v>
      </c>
      <c r="H791" s="99" t="s">
        <v>1264</v>
      </c>
      <c r="I791" s="99" t="s">
        <v>1979</v>
      </c>
      <c r="J791" s="97"/>
      <c r="K791" s="177">
        <v>44743.0</v>
      </c>
      <c r="L791" s="46" t="b">
        <v>1</v>
      </c>
    </row>
    <row r="792" hidden="1">
      <c r="A792" s="4" t="s">
        <v>75</v>
      </c>
      <c r="B792" s="170" t="s">
        <v>1983</v>
      </c>
      <c r="C792" s="171">
        <v>187.5</v>
      </c>
      <c r="D792" s="172">
        <v>44773.0</v>
      </c>
      <c r="E792" s="170">
        <v>64.0</v>
      </c>
      <c r="F792" s="170">
        <v>2022.07</v>
      </c>
      <c r="G792" s="170" t="s">
        <v>52</v>
      </c>
      <c r="H792" s="170" t="s">
        <v>1264</v>
      </c>
      <c r="I792" s="170" t="s">
        <v>1979</v>
      </c>
      <c r="J792" s="94"/>
      <c r="K792" s="173">
        <v>44743.0</v>
      </c>
      <c r="L792" s="45" t="b">
        <v>1</v>
      </c>
    </row>
    <row r="793" hidden="1">
      <c r="A793" s="16" t="s">
        <v>1271</v>
      </c>
      <c r="B793" s="99" t="s">
        <v>1994</v>
      </c>
      <c r="C793" s="174">
        <v>14.54</v>
      </c>
      <c r="D793" s="175">
        <v>44785.0</v>
      </c>
      <c r="E793" s="97"/>
      <c r="F793" s="99">
        <v>2022.0</v>
      </c>
      <c r="G793" s="99" t="s">
        <v>1152</v>
      </c>
      <c r="H793" s="99" t="s">
        <v>1264</v>
      </c>
      <c r="I793" s="99" t="s">
        <v>1995</v>
      </c>
      <c r="J793" s="97"/>
      <c r="K793" s="177">
        <v>44743.0</v>
      </c>
      <c r="L793" s="46" t="b">
        <v>1</v>
      </c>
    </row>
    <row r="794" hidden="1">
      <c r="A794" s="4" t="s">
        <v>1271</v>
      </c>
      <c r="B794" s="170" t="s">
        <v>2017</v>
      </c>
      <c r="C794" s="171">
        <v>52.22</v>
      </c>
      <c r="D794" s="172">
        <v>44785.0</v>
      </c>
      <c r="E794" s="94"/>
      <c r="F794" s="170">
        <v>2022.0</v>
      </c>
      <c r="G794" s="170" t="s">
        <v>1152</v>
      </c>
      <c r="H794" s="170" t="s">
        <v>1264</v>
      </c>
      <c r="I794" s="170" t="s">
        <v>1995</v>
      </c>
      <c r="J794" s="170" t="s">
        <v>2074</v>
      </c>
      <c r="K794" s="173">
        <v>44743.0</v>
      </c>
      <c r="L794" s="45" t="b">
        <v>1</v>
      </c>
    </row>
    <row r="795" hidden="1">
      <c r="A795" s="16" t="s">
        <v>1271</v>
      </c>
      <c r="B795" s="99" t="s">
        <v>1997</v>
      </c>
      <c r="C795" s="174">
        <v>5.98</v>
      </c>
      <c r="D795" s="175">
        <v>44785.0</v>
      </c>
      <c r="E795" s="97"/>
      <c r="F795" s="99">
        <v>2022.0</v>
      </c>
      <c r="G795" s="99" t="s">
        <v>1152</v>
      </c>
      <c r="H795" s="99" t="s">
        <v>1264</v>
      </c>
      <c r="I795" s="99" t="s">
        <v>1995</v>
      </c>
      <c r="J795" s="99" t="s">
        <v>2075</v>
      </c>
      <c r="K795" s="177">
        <v>44743.0</v>
      </c>
      <c r="L795" s="46" t="b">
        <v>1</v>
      </c>
    </row>
    <row r="796" hidden="1">
      <c r="A796" s="4" t="s">
        <v>1271</v>
      </c>
      <c r="B796" s="170" t="s">
        <v>1229</v>
      </c>
      <c r="C796" s="171">
        <v>31.5</v>
      </c>
      <c r="D796" s="193"/>
      <c r="E796" s="94"/>
      <c r="F796" s="170">
        <v>1899.0</v>
      </c>
      <c r="G796" s="170" t="s">
        <v>1152</v>
      </c>
      <c r="H796" s="170" t="s">
        <v>1264</v>
      </c>
      <c r="I796" s="170" t="s">
        <v>1995</v>
      </c>
      <c r="J796" s="170" t="s">
        <v>2076</v>
      </c>
      <c r="K796" s="173">
        <v>44743.0</v>
      </c>
      <c r="L796" s="45" t="b">
        <v>1</v>
      </c>
    </row>
    <row r="797" hidden="1">
      <c r="A797" s="16" t="s">
        <v>414</v>
      </c>
      <c r="B797" s="99" t="s">
        <v>2002</v>
      </c>
      <c r="C797" s="174">
        <v>646.52</v>
      </c>
      <c r="D797" s="175">
        <v>44773.0</v>
      </c>
      <c r="E797" s="97"/>
      <c r="F797" s="99">
        <v>2022.0</v>
      </c>
      <c r="G797" s="99" t="s">
        <v>1160</v>
      </c>
      <c r="H797" s="99" t="s">
        <v>1999</v>
      </c>
      <c r="I797" s="99" t="s">
        <v>1979</v>
      </c>
      <c r="J797" s="97"/>
      <c r="K797" s="177">
        <v>44743.0</v>
      </c>
      <c r="L797" s="46" t="b">
        <v>1</v>
      </c>
    </row>
    <row r="798" hidden="1">
      <c r="A798" s="4" t="s">
        <v>526</v>
      </c>
      <c r="B798" s="170" t="s">
        <v>2002</v>
      </c>
      <c r="C798" s="171">
        <v>257.09</v>
      </c>
      <c r="D798" s="172">
        <v>44773.0</v>
      </c>
      <c r="E798" s="94"/>
      <c r="F798" s="170">
        <v>2022.0</v>
      </c>
      <c r="G798" s="170" t="s">
        <v>1160</v>
      </c>
      <c r="H798" s="170" t="s">
        <v>1999</v>
      </c>
      <c r="I798" s="170" t="s">
        <v>1979</v>
      </c>
      <c r="J798" s="94"/>
      <c r="K798" s="173">
        <v>44743.0</v>
      </c>
      <c r="L798" s="45" t="b">
        <v>1</v>
      </c>
    </row>
    <row r="799" hidden="1">
      <c r="A799" s="16" t="s">
        <v>54</v>
      </c>
      <c r="B799" s="99" t="s">
        <v>2002</v>
      </c>
      <c r="C799" s="174">
        <v>6.39</v>
      </c>
      <c r="D799" s="175">
        <v>44773.0</v>
      </c>
      <c r="E799" s="97"/>
      <c r="F799" s="99">
        <v>2022.07</v>
      </c>
      <c r="G799" s="99" t="s">
        <v>52</v>
      </c>
      <c r="H799" s="99" t="s">
        <v>1999</v>
      </c>
      <c r="I799" s="99" t="s">
        <v>1979</v>
      </c>
      <c r="J799" s="97"/>
      <c r="K799" s="177">
        <v>44743.0</v>
      </c>
      <c r="L799" s="46" t="b">
        <v>1</v>
      </c>
    </row>
    <row r="800" hidden="1">
      <c r="A800" s="4" t="s">
        <v>501</v>
      </c>
      <c r="B800" s="170" t="s">
        <v>2002</v>
      </c>
      <c r="C800" s="171">
        <v>316.15</v>
      </c>
      <c r="D800" s="172">
        <v>44773.0</v>
      </c>
      <c r="E800" s="94"/>
      <c r="F800" s="170">
        <v>2022.0</v>
      </c>
      <c r="G800" s="170" t="s">
        <v>1160</v>
      </c>
      <c r="H800" s="170" t="s">
        <v>1999</v>
      </c>
      <c r="I800" s="170" t="s">
        <v>1979</v>
      </c>
      <c r="J800" s="94"/>
      <c r="K800" s="173">
        <v>44743.0</v>
      </c>
      <c r="L800" s="45" t="b">
        <v>1</v>
      </c>
    </row>
    <row r="801" hidden="1">
      <c r="A801" s="16" t="s">
        <v>147</v>
      </c>
      <c r="B801" s="99" t="s">
        <v>2002</v>
      </c>
      <c r="C801" s="174">
        <v>6.67</v>
      </c>
      <c r="D801" s="175">
        <v>44773.0</v>
      </c>
      <c r="E801" s="97"/>
      <c r="F801" s="99">
        <v>2022.07</v>
      </c>
      <c r="G801" s="99" t="s">
        <v>52</v>
      </c>
      <c r="H801" s="99" t="s">
        <v>1999</v>
      </c>
      <c r="I801" s="99" t="s">
        <v>1979</v>
      </c>
      <c r="J801" s="97"/>
      <c r="K801" s="177">
        <v>44743.0</v>
      </c>
      <c r="L801" s="46" t="b">
        <v>1</v>
      </c>
    </row>
    <row r="802" hidden="1">
      <c r="A802" s="4" t="s">
        <v>58</v>
      </c>
      <c r="B802" s="170" t="s">
        <v>2002</v>
      </c>
      <c r="C802" s="171">
        <v>1.64</v>
      </c>
      <c r="D802" s="172">
        <v>44773.0</v>
      </c>
      <c r="E802" s="94"/>
      <c r="F802" s="170">
        <v>2022.07</v>
      </c>
      <c r="G802" s="170" t="s">
        <v>52</v>
      </c>
      <c r="H802" s="170" t="s">
        <v>1999</v>
      </c>
      <c r="I802" s="170" t="s">
        <v>1979</v>
      </c>
      <c r="J802" s="94"/>
      <c r="K802" s="173">
        <v>44743.0</v>
      </c>
      <c r="L802" s="45" t="b">
        <v>1</v>
      </c>
    </row>
    <row r="803" hidden="1">
      <c r="A803" s="16" t="s">
        <v>82</v>
      </c>
      <c r="B803" s="99" t="s">
        <v>2002</v>
      </c>
      <c r="C803" s="174">
        <v>14.1</v>
      </c>
      <c r="D803" s="175">
        <v>44773.0</v>
      </c>
      <c r="E803" s="97"/>
      <c r="F803" s="99">
        <v>2022.07</v>
      </c>
      <c r="G803" s="99" t="s">
        <v>52</v>
      </c>
      <c r="H803" s="99" t="s">
        <v>1999</v>
      </c>
      <c r="I803" s="99" t="s">
        <v>1979</v>
      </c>
      <c r="J803" s="97"/>
      <c r="K803" s="177">
        <v>44743.0</v>
      </c>
      <c r="L803" s="46" t="b">
        <v>1</v>
      </c>
    </row>
    <row r="804" hidden="1">
      <c r="A804" s="4" t="s">
        <v>481</v>
      </c>
      <c r="B804" s="170" t="s">
        <v>2002</v>
      </c>
      <c r="C804" s="171">
        <v>56.49</v>
      </c>
      <c r="D804" s="172">
        <v>44773.0</v>
      </c>
      <c r="E804" s="94"/>
      <c r="F804" s="170">
        <v>2022.0</v>
      </c>
      <c r="G804" s="170" t="s">
        <v>1160</v>
      </c>
      <c r="H804" s="170" t="s">
        <v>1999</v>
      </c>
      <c r="I804" s="170" t="s">
        <v>1979</v>
      </c>
      <c r="J804" s="94"/>
      <c r="K804" s="173">
        <v>44743.0</v>
      </c>
      <c r="L804" s="45" t="b">
        <v>1</v>
      </c>
    </row>
    <row r="805" hidden="1">
      <c r="A805" s="16" t="s">
        <v>530</v>
      </c>
      <c r="B805" s="99" t="s">
        <v>2002</v>
      </c>
      <c r="C805" s="174">
        <v>287.91</v>
      </c>
      <c r="D805" s="175">
        <v>44773.0</v>
      </c>
      <c r="E805" s="97"/>
      <c r="F805" s="99">
        <v>2022.0</v>
      </c>
      <c r="G805" s="99" t="s">
        <v>1152</v>
      </c>
      <c r="H805" s="99" t="s">
        <v>1999</v>
      </c>
      <c r="I805" s="99" t="s">
        <v>1979</v>
      </c>
      <c r="J805" s="97"/>
      <c r="K805" s="177">
        <v>44743.0</v>
      </c>
      <c r="L805" s="46" t="b">
        <v>1</v>
      </c>
    </row>
    <row r="806" hidden="1">
      <c r="A806" s="4" t="s">
        <v>476</v>
      </c>
      <c r="B806" s="170" t="s">
        <v>2002</v>
      </c>
      <c r="C806" s="171">
        <v>94.22</v>
      </c>
      <c r="D806" s="172">
        <v>44773.0</v>
      </c>
      <c r="E806" s="94"/>
      <c r="F806" s="170">
        <v>2022.0</v>
      </c>
      <c r="G806" s="170" t="s">
        <v>1160</v>
      </c>
      <c r="H806" s="170" t="s">
        <v>1999</v>
      </c>
      <c r="I806" s="170" t="s">
        <v>1979</v>
      </c>
      <c r="J806" s="94"/>
      <c r="K806" s="173">
        <v>44743.0</v>
      </c>
      <c r="L806" s="45" t="b">
        <v>1</v>
      </c>
    </row>
    <row r="807" hidden="1">
      <c r="A807" s="16" t="s">
        <v>1266</v>
      </c>
      <c r="B807" s="99" t="s">
        <v>2002</v>
      </c>
      <c r="C807" s="174">
        <v>293.92</v>
      </c>
      <c r="D807" s="175">
        <v>44773.0</v>
      </c>
      <c r="E807" s="97"/>
      <c r="F807" s="99">
        <v>2022.0</v>
      </c>
      <c r="G807" s="99" t="s">
        <v>1152</v>
      </c>
      <c r="H807" s="99" t="s">
        <v>1999</v>
      </c>
      <c r="I807" s="99" t="s">
        <v>1979</v>
      </c>
      <c r="J807" s="97"/>
      <c r="K807" s="177">
        <v>44743.0</v>
      </c>
      <c r="L807" s="46" t="b">
        <v>1</v>
      </c>
    </row>
    <row r="808" hidden="1">
      <c r="A808" s="4" t="s">
        <v>90</v>
      </c>
      <c r="B808" s="170" t="s">
        <v>2002</v>
      </c>
      <c r="C808" s="171">
        <v>171.2</v>
      </c>
      <c r="D808" s="172">
        <v>44773.0</v>
      </c>
      <c r="E808" s="94"/>
      <c r="F808" s="170">
        <v>2022.07</v>
      </c>
      <c r="G808" s="170" t="s">
        <v>52</v>
      </c>
      <c r="H808" s="170" t="s">
        <v>1999</v>
      </c>
      <c r="I808" s="170" t="s">
        <v>1979</v>
      </c>
      <c r="J808" s="94"/>
      <c r="K808" s="173">
        <v>44743.0</v>
      </c>
      <c r="L808" s="45" t="b">
        <v>1</v>
      </c>
    </row>
    <row r="809" hidden="1">
      <c r="A809" s="16" t="s">
        <v>92</v>
      </c>
      <c r="B809" s="99" t="s">
        <v>2002</v>
      </c>
      <c r="C809" s="174">
        <v>90.28</v>
      </c>
      <c r="D809" s="175">
        <v>44773.0</v>
      </c>
      <c r="E809" s="97"/>
      <c r="F809" s="99">
        <v>2022.07</v>
      </c>
      <c r="G809" s="99" t="s">
        <v>52</v>
      </c>
      <c r="H809" s="99" t="s">
        <v>1999</v>
      </c>
      <c r="I809" s="99" t="s">
        <v>1979</v>
      </c>
      <c r="J809" s="97"/>
      <c r="K809" s="177">
        <v>44743.0</v>
      </c>
      <c r="L809" s="46" t="b">
        <v>1</v>
      </c>
    </row>
    <row r="810" hidden="1">
      <c r="A810" s="4" t="s">
        <v>156</v>
      </c>
      <c r="B810" s="170" t="s">
        <v>2002</v>
      </c>
      <c r="C810" s="171">
        <v>5.08</v>
      </c>
      <c r="D810" s="172">
        <v>44773.0</v>
      </c>
      <c r="E810" s="94"/>
      <c r="F810" s="170">
        <v>2022.07</v>
      </c>
      <c r="G810" s="170" t="s">
        <v>52</v>
      </c>
      <c r="H810" s="170" t="s">
        <v>1999</v>
      </c>
      <c r="I810" s="170" t="s">
        <v>1979</v>
      </c>
      <c r="J810" s="94"/>
      <c r="K810" s="173">
        <v>44743.0</v>
      </c>
      <c r="L810" s="45" t="b">
        <v>1</v>
      </c>
    </row>
    <row r="811" hidden="1">
      <c r="A811" s="16" t="s">
        <v>420</v>
      </c>
      <c r="B811" s="99" t="s">
        <v>2002</v>
      </c>
      <c r="C811" s="174">
        <v>12.89</v>
      </c>
      <c r="D811" s="175">
        <v>44773.0</v>
      </c>
      <c r="E811" s="97"/>
      <c r="F811" s="99">
        <v>2022.0</v>
      </c>
      <c r="G811" s="99" t="s">
        <v>1160</v>
      </c>
      <c r="H811" s="99" t="s">
        <v>1999</v>
      </c>
      <c r="I811" s="99" t="s">
        <v>1979</v>
      </c>
      <c r="J811" s="97"/>
      <c r="K811" s="177">
        <v>44743.0</v>
      </c>
      <c r="L811" s="46" t="b">
        <v>1</v>
      </c>
    </row>
    <row r="812" hidden="1">
      <c r="A812" s="4" t="s">
        <v>373</v>
      </c>
      <c r="B812" s="170" t="s">
        <v>2002</v>
      </c>
      <c r="C812" s="171">
        <v>11.24</v>
      </c>
      <c r="D812" s="172">
        <v>44773.0</v>
      </c>
      <c r="E812" s="94"/>
      <c r="F812" s="170">
        <v>2022.0</v>
      </c>
      <c r="G812" s="170" t="s">
        <v>1160</v>
      </c>
      <c r="H812" s="170" t="s">
        <v>1999</v>
      </c>
      <c r="I812" s="170" t="s">
        <v>1979</v>
      </c>
      <c r="J812" s="94"/>
      <c r="K812" s="173">
        <v>44743.0</v>
      </c>
      <c r="L812" s="45" t="b">
        <v>1</v>
      </c>
    </row>
    <row r="813" hidden="1">
      <c r="A813" s="16" t="s">
        <v>115</v>
      </c>
      <c r="B813" s="99" t="s">
        <v>1976</v>
      </c>
      <c r="C813" s="174">
        <v>750.0</v>
      </c>
      <c r="D813" s="175">
        <v>44762.0</v>
      </c>
      <c r="E813" s="97"/>
      <c r="F813" s="99">
        <v>2022.07</v>
      </c>
      <c r="G813" s="99" t="s">
        <v>52</v>
      </c>
      <c r="H813" s="99" t="s">
        <v>1999</v>
      </c>
      <c r="I813" s="99" t="s">
        <v>1977</v>
      </c>
      <c r="J813" s="97"/>
      <c r="K813" s="177">
        <v>44743.0</v>
      </c>
      <c r="L813" s="46" t="b">
        <v>1</v>
      </c>
    </row>
    <row r="814" hidden="1">
      <c r="A814" s="4" t="s">
        <v>279</v>
      </c>
      <c r="B814" s="170" t="s">
        <v>1976</v>
      </c>
      <c r="C814" s="171">
        <v>750.0</v>
      </c>
      <c r="D814" s="172">
        <v>44767.0</v>
      </c>
      <c r="E814" s="94"/>
      <c r="F814" s="170">
        <v>2022.0</v>
      </c>
      <c r="G814" s="170" t="s">
        <v>1160</v>
      </c>
      <c r="H814" s="170" t="s">
        <v>1999</v>
      </c>
      <c r="I814" s="170" t="s">
        <v>1977</v>
      </c>
      <c r="J814" s="94"/>
      <c r="K814" s="173">
        <v>44743.0</v>
      </c>
      <c r="L814" s="45" t="b">
        <v>1</v>
      </c>
    </row>
    <row r="815" hidden="1">
      <c r="A815" s="16" t="s">
        <v>92</v>
      </c>
      <c r="B815" s="99" t="s">
        <v>1988</v>
      </c>
      <c r="C815" s="174">
        <v>69.32</v>
      </c>
      <c r="D815" s="175">
        <v>44767.0</v>
      </c>
      <c r="E815" s="97"/>
      <c r="F815" s="99">
        <v>2022.07</v>
      </c>
      <c r="G815" s="99" t="s">
        <v>52</v>
      </c>
      <c r="H815" s="99" t="s">
        <v>1999</v>
      </c>
      <c r="I815" s="99" t="s">
        <v>1977</v>
      </c>
      <c r="J815" s="97"/>
      <c r="K815" s="177">
        <v>44743.0</v>
      </c>
      <c r="L815" s="46" t="b">
        <v>1</v>
      </c>
    </row>
    <row r="816" hidden="1">
      <c r="A816" s="4" t="s">
        <v>1271</v>
      </c>
      <c r="B816" s="170" t="s">
        <v>2000</v>
      </c>
      <c r="C816" s="171">
        <v>469.72</v>
      </c>
      <c r="D816" s="172">
        <v>44773.0</v>
      </c>
      <c r="E816" s="94"/>
      <c r="F816" s="170">
        <v>2022.0</v>
      </c>
      <c r="G816" s="170" t="s">
        <v>1152</v>
      </c>
      <c r="H816" s="170" t="s">
        <v>1999</v>
      </c>
      <c r="I816" s="170" t="s">
        <v>1995</v>
      </c>
      <c r="J816" s="94"/>
      <c r="K816" s="173">
        <v>44743.0</v>
      </c>
      <c r="L816" s="45" t="b">
        <v>1</v>
      </c>
    </row>
    <row r="817" hidden="1">
      <c r="A817" s="16" t="s">
        <v>115</v>
      </c>
      <c r="B817" s="99" t="s">
        <v>1976</v>
      </c>
      <c r="C817" s="174">
        <v>441.85</v>
      </c>
      <c r="D817" s="175">
        <v>44774.0</v>
      </c>
      <c r="E817" s="97"/>
      <c r="F817" s="99">
        <v>2022.08</v>
      </c>
      <c r="G817" s="99" t="s">
        <v>52</v>
      </c>
      <c r="H817" s="99" t="s">
        <v>1999</v>
      </c>
      <c r="I817" s="99" t="s">
        <v>1977</v>
      </c>
      <c r="J817" s="97"/>
      <c r="K817" s="177">
        <v>44743.0</v>
      </c>
      <c r="L817" s="46" t="b">
        <v>1</v>
      </c>
    </row>
    <row r="818" hidden="1">
      <c r="A818" s="4" t="s">
        <v>279</v>
      </c>
      <c r="B818" s="170" t="s">
        <v>1976</v>
      </c>
      <c r="C818" s="171">
        <v>104.3</v>
      </c>
      <c r="D818" s="172">
        <v>44774.0</v>
      </c>
      <c r="E818" s="94"/>
      <c r="F818" s="170">
        <v>2022.0</v>
      </c>
      <c r="G818" s="170" t="s">
        <v>1160</v>
      </c>
      <c r="H818" s="170" t="s">
        <v>1999</v>
      </c>
      <c r="I818" s="170" t="s">
        <v>1977</v>
      </c>
      <c r="J818" s="94"/>
      <c r="K818" s="173">
        <v>44743.0</v>
      </c>
      <c r="L818" s="45" t="b">
        <v>1</v>
      </c>
    </row>
    <row r="819" hidden="1">
      <c r="A819" s="16" t="s">
        <v>118</v>
      </c>
      <c r="B819" s="99" t="s">
        <v>1976</v>
      </c>
      <c r="C819" s="174">
        <v>608.52</v>
      </c>
      <c r="D819" s="175">
        <v>44774.0</v>
      </c>
      <c r="E819" s="97"/>
      <c r="F819" s="99">
        <v>2022.08</v>
      </c>
      <c r="G819" s="99" t="s">
        <v>52</v>
      </c>
      <c r="H819" s="99" t="s">
        <v>1999</v>
      </c>
      <c r="I819" s="99" t="s">
        <v>1977</v>
      </c>
      <c r="J819" s="97"/>
      <c r="K819" s="177">
        <v>44743.0</v>
      </c>
      <c r="L819" s="46" t="b">
        <v>1</v>
      </c>
    </row>
    <row r="820" hidden="1">
      <c r="A820" s="4" t="s">
        <v>92</v>
      </c>
      <c r="B820" s="170" t="s">
        <v>1988</v>
      </c>
      <c r="C820" s="171">
        <v>70.0</v>
      </c>
      <c r="D820" s="172">
        <v>44775.0</v>
      </c>
      <c r="E820" s="94"/>
      <c r="F820" s="170">
        <v>2022.08</v>
      </c>
      <c r="G820" s="170" t="s">
        <v>52</v>
      </c>
      <c r="H820" s="170" t="s">
        <v>1999</v>
      </c>
      <c r="I820" s="170" t="s">
        <v>1977</v>
      </c>
      <c r="J820" s="94"/>
      <c r="K820" s="173">
        <v>44743.0</v>
      </c>
      <c r="L820" s="45" t="b">
        <v>1</v>
      </c>
    </row>
    <row r="821" hidden="1">
      <c r="A821" s="16" t="s">
        <v>68</v>
      </c>
      <c r="B821" s="99" t="s">
        <v>1986</v>
      </c>
      <c r="C821" s="174">
        <v>237.5</v>
      </c>
      <c r="D821" s="175">
        <v>44804.0</v>
      </c>
      <c r="E821" s="99">
        <v>10.0</v>
      </c>
      <c r="F821" s="99">
        <v>2022.08</v>
      </c>
      <c r="G821" s="99" t="s">
        <v>52</v>
      </c>
      <c r="H821" s="99" t="s">
        <v>1264</v>
      </c>
      <c r="I821" s="99" t="s">
        <v>1979</v>
      </c>
      <c r="J821" s="97"/>
      <c r="K821" s="177">
        <v>44774.0</v>
      </c>
      <c r="L821" s="46" t="b">
        <v>1</v>
      </c>
    </row>
    <row r="822" hidden="1">
      <c r="A822" s="4" t="s">
        <v>82</v>
      </c>
      <c r="B822" s="170" t="s">
        <v>1986</v>
      </c>
      <c r="C822" s="171">
        <v>225.0</v>
      </c>
      <c r="D822" s="172">
        <v>44804.0</v>
      </c>
      <c r="E822" s="170">
        <v>10.0</v>
      </c>
      <c r="F822" s="170">
        <v>2022.08</v>
      </c>
      <c r="G822" s="170" t="s">
        <v>52</v>
      </c>
      <c r="H822" s="170" t="s">
        <v>1264</v>
      </c>
      <c r="I822" s="170" t="s">
        <v>1979</v>
      </c>
      <c r="J822" s="94"/>
      <c r="K822" s="173">
        <v>44774.0</v>
      </c>
      <c r="L822" s="45" t="b">
        <v>1</v>
      </c>
    </row>
    <row r="823" hidden="1">
      <c r="A823" s="16" t="s">
        <v>279</v>
      </c>
      <c r="B823" s="99" t="s">
        <v>1986</v>
      </c>
      <c r="C823" s="174">
        <v>125.0</v>
      </c>
      <c r="D823" s="175">
        <v>44804.0</v>
      </c>
      <c r="E823" s="99">
        <v>10.0</v>
      </c>
      <c r="F823" s="99">
        <v>2022.0</v>
      </c>
      <c r="G823" s="99" t="s">
        <v>1160</v>
      </c>
      <c r="H823" s="99" t="s">
        <v>1264</v>
      </c>
      <c r="I823" s="99" t="s">
        <v>1979</v>
      </c>
      <c r="J823" s="97"/>
      <c r="K823" s="177">
        <v>44774.0</v>
      </c>
      <c r="L823" s="46" t="b">
        <v>1</v>
      </c>
    </row>
    <row r="824" hidden="1">
      <c r="A824" s="4" t="s">
        <v>427</v>
      </c>
      <c r="B824" s="170" t="s">
        <v>1986</v>
      </c>
      <c r="C824" s="171">
        <v>175.0</v>
      </c>
      <c r="D824" s="172">
        <v>44804.0</v>
      </c>
      <c r="E824" s="170">
        <v>10.0</v>
      </c>
      <c r="F824" s="170">
        <v>2022.0</v>
      </c>
      <c r="G824" s="170" t="s">
        <v>1160</v>
      </c>
      <c r="H824" s="170" t="s">
        <v>1264</v>
      </c>
      <c r="I824" s="170" t="s">
        <v>1979</v>
      </c>
      <c r="J824" s="94"/>
      <c r="K824" s="173">
        <v>44774.0</v>
      </c>
      <c r="L824" s="45" t="b">
        <v>1</v>
      </c>
    </row>
    <row r="825" hidden="1">
      <c r="A825" s="16" t="s">
        <v>552</v>
      </c>
      <c r="B825" s="99" t="s">
        <v>1986</v>
      </c>
      <c r="C825" s="174">
        <v>175.0</v>
      </c>
      <c r="D825" s="175">
        <v>44804.0</v>
      </c>
      <c r="E825" s="99">
        <v>10.0</v>
      </c>
      <c r="F825" s="99">
        <v>2022.0</v>
      </c>
      <c r="G825" s="99" t="s">
        <v>1160</v>
      </c>
      <c r="H825" s="99" t="s">
        <v>1264</v>
      </c>
      <c r="I825" s="99" t="s">
        <v>1979</v>
      </c>
      <c r="J825" s="97"/>
      <c r="K825" s="177">
        <v>44774.0</v>
      </c>
      <c r="L825" s="46" t="b">
        <v>1</v>
      </c>
    </row>
    <row r="826" hidden="1">
      <c r="A826" s="4" t="s">
        <v>1269</v>
      </c>
      <c r="B826" s="170" t="s">
        <v>2077</v>
      </c>
      <c r="C826" s="171">
        <v>100.0</v>
      </c>
      <c r="D826" s="186">
        <v>44804.0</v>
      </c>
      <c r="E826" s="170">
        <v>1.0</v>
      </c>
      <c r="F826" s="170">
        <v>2022.0</v>
      </c>
      <c r="G826" s="170" t="s">
        <v>1152</v>
      </c>
      <c r="H826" s="170" t="s">
        <v>1264</v>
      </c>
      <c r="I826" s="170" t="s">
        <v>1270</v>
      </c>
      <c r="J826" s="170" t="s">
        <v>2078</v>
      </c>
      <c r="K826" s="173">
        <v>44774.0</v>
      </c>
      <c r="L826" s="45" t="b">
        <v>1</v>
      </c>
    </row>
    <row r="827" hidden="1">
      <c r="A827" s="16" t="s">
        <v>147</v>
      </c>
      <c r="B827" s="99" t="s">
        <v>1978</v>
      </c>
      <c r="C827" s="174">
        <v>200.0</v>
      </c>
      <c r="D827" s="187">
        <v>44804.0</v>
      </c>
      <c r="E827" s="97"/>
      <c r="F827" s="99">
        <v>2022.08</v>
      </c>
      <c r="G827" s="99" t="s">
        <v>52</v>
      </c>
      <c r="H827" s="99" t="s">
        <v>1264</v>
      </c>
      <c r="I827" s="99" t="s">
        <v>1979</v>
      </c>
      <c r="J827" s="97"/>
      <c r="K827" s="177">
        <v>44774.0</v>
      </c>
      <c r="L827" s="46" t="b">
        <v>1</v>
      </c>
    </row>
    <row r="828" hidden="1">
      <c r="A828" s="4" t="s">
        <v>1269</v>
      </c>
      <c r="B828" s="170" t="s">
        <v>1978</v>
      </c>
      <c r="C828" s="171">
        <v>150.0</v>
      </c>
      <c r="D828" s="186">
        <v>44804.0</v>
      </c>
      <c r="E828" s="94"/>
      <c r="F828" s="170">
        <v>2022.0</v>
      </c>
      <c r="G828" s="170" t="s">
        <v>1152</v>
      </c>
      <c r="H828" s="170" t="s">
        <v>1264</v>
      </c>
      <c r="I828" s="170" t="s">
        <v>1270</v>
      </c>
      <c r="J828" s="170" t="s">
        <v>2079</v>
      </c>
      <c r="K828" s="173">
        <v>44774.0</v>
      </c>
      <c r="L828" s="45" t="b">
        <v>1</v>
      </c>
    </row>
    <row r="829" hidden="1">
      <c r="A829" s="16" t="s">
        <v>66</v>
      </c>
      <c r="B829" s="99" t="s">
        <v>1978</v>
      </c>
      <c r="C829" s="174">
        <v>312.5</v>
      </c>
      <c r="D829" s="187">
        <v>44804.0</v>
      </c>
      <c r="E829" s="97"/>
      <c r="F829" s="99">
        <v>2022.08</v>
      </c>
      <c r="G829" s="99" t="s">
        <v>52</v>
      </c>
      <c r="H829" s="99" t="s">
        <v>1264</v>
      </c>
      <c r="I829" s="99" t="s">
        <v>1979</v>
      </c>
      <c r="J829" s="97"/>
      <c r="K829" s="177">
        <v>44774.0</v>
      </c>
      <c r="L829" s="46" t="b">
        <v>1</v>
      </c>
    </row>
    <row r="830" hidden="1">
      <c r="A830" s="4" t="s">
        <v>97</v>
      </c>
      <c r="B830" s="170" t="s">
        <v>1978</v>
      </c>
      <c r="C830" s="171">
        <v>125.0</v>
      </c>
      <c r="D830" s="186">
        <v>44804.0</v>
      </c>
      <c r="E830" s="94"/>
      <c r="F830" s="170">
        <v>2022.08</v>
      </c>
      <c r="G830" s="170" t="s">
        <v>52</v>
      </c>
      <c r="H830" s="170" t="s">
        <v>1264</v>
      </c>
      <c r="I830" s="170" t="s">
        <v>1979</v>
      </c>
      <c r="J830" s="94"/>
      <c r="K830" s="173">
        <v>44774.0</v>
      </c>
      <c r="L830" s="45" t="b">
        <v>1</v>
      </c>
    </row>
    <row r="831" hidden="1">
      <c r="A831" s="16" t="s">
        <v>50</v>
      </c>
      <c r="B831" s="99" t="s">
        <v>1978</v>
      </c>
      <c r="C831" s="174">
        <v>137.5</v>
      </c>
      <c r="D831" s="187">
        <v>44804.0</v>
      </c>
      <c r="E831" s="97"/>
      <c r="F831" s="99">
        <v>2022.08</v>
      </c>
      <c r="G831" s="99" t="s">
        <v>52</v>
      </c>
      <c r="H831" s="99" t="s">
        <v>1264</v>
      </c>
      <c r="I831" s="99" t="s">
        <v>1979</v>
      </c>
      <c r="J831" s="97"/>
      <c r="K831" s="177">
        <v>44774.0</v>
      </c>
      <c r="L831" s="46" t="b">
        <v>1</v>
      </c>
    </row>
    <row r="832" hidden="1">
      <c r="A832" s="4" t="s">
        <v>223</v>
      </c>
      <c r="B832" s="170" t="s">
        <v>1978</v>
      </c>
      <c r="C832" s="171">
        <v>500.0</v>
      </c>
      <c r="D832" s="186">
        <v>44804.0</v>
      </c>
      <c r="E832" s="94"/>
      <c r="F832" s="170">
        <v>2022.08</v>
      </c>
      <c r="G832" s="170" t="s">
        <v>52</v>
      </c>
      <c r="H832" s="170" t="s">
        <v>1264</v>
      </c>
      <c r="I832" s="170" t="s">
        <v>1979</v>
      </c>
      <c r="J832" s="94"/>
      <c r="K832" s="173">
        <v>44774.0</v>
      </c>
      <c r="L832" s="45" t="b">
        <v>1</v>
      </c>
    </row>
    <row r="833" hidden="1">
      <c r="A833" s="16" t="s">
        <v>88</v>
      </c>
      <c r="B833" s="99" t="s">
        <v>1978</v>
      </c>
      <c r="C833" s="174">
        <v>212.5</v>
      </c>
      <c r="D833" s="187">
        <v>44804.0</v>
      </c>
      <c r="E833" s="97"/>
      <c r="F833" s="99">
        <v>2022.08</v>
      </c>
      <c r="G833" s="99" t="s">
        <v>52</v>
      </c>
      <c r="H833" s="99" t="s">
        <v>1264</v>
      </c>
      <c r="I833" s="99" t="s">
        <v>1979</v>
      </c>
      <c r="J833" s="97"/>
      <c r="K833" s="177">
        <v>44774.0</v>
      </c>
      <c r="L833" s="46" t="b">
        <v>1</v>
      </c>
    </row>
    <row r="834" hidden="1">
      <c r="A834" s="4" t="s">
        <v>73</v>
      </c>
      <c r="B834" s="170" t="s">
        <v>1978</v>
      </c>
      <c r="C834" s="171">
        <v>262.5</v>
      </c>
      <c r="D834" s="186">
        <v>44804.0</v>
      </c>
      <c r="E834" s="94"/>
      <c r="F834" s="170">
        <v>2022.08</v>
      </c>
      <c r="G834" s="170" t="s">
        <v>52</v>
      </c>
      <c r="H834" s="170" t="s">
        <v>1264</v>
      </c>
      <c r="I834" s="170" t="s">
        <v>1979</v>
      </c>
      <c r="J834" s="94"/>
      <c r="K834" s="173">
        <v>44774.0</v>
      </c>
      <c r="L834" s="45" t="b">
        <v>1</v>
      </c>
    </row>
    <row r="835" hidden="1">
      <c r="A835" s="16" t="s">
        <v>42</v>
      </c>
      <c r="B835" s="99" t="s">
        <v>1984</v>
      </c>
      <c r="C835" s="174">
        <v>350.0</v>
      </c>
      <c r="D835" s="187">
        <v>44804.0</v>
      </c>
      <c r="E835" s="99">
        <v>8.0</v>
      </c>
      <c r="F835" s="99">
        <v>2022.08</v>
      </c>
      <c r="G835" s="99" t="s">
        <v>52</v>
      </c>
      <c r="H835" s="99" t="s">
        <v>1264</v>
      </c>
      <c r="I835" s="99" t="s">
        <v>1979</v>
      </c>
      <c r="J835" s="97"/>
      <c r="K835" s="177">
        <v>44774.0</v>
      </c>
      <c r="L835" s="46" t="b">
        <v>1</v>
      </c>
    </row>
    <row r="836" hidden="1">
      <c r="A836" s="4" t="s">
        <v>92</v>
      </c>
      <c r="B836" s="170" t="s">
        <v>1984</v>
      </c>
      <c r="C836" s="171">
        <v>212.5</v>
      </c>
      <c r="D836" s="186">
        <v>44804.0</v>
      </c>
      <c r="E836" s="170">
        <v>8.0</v>
      </c>
      <c r="F836" s="170">
        <v>2022.08</v>
      </c>
      <c r="G836" s="170" t="s">
        <v>52</v>
      </c>
      <c r="H836" s="170" t="s">
        <v>1264</v>
      </c>
      <c r="I836" s="170" t="s">
        <v>1979</v>
      </c>
      <c r="J836" s="94"/>
      <c r="K836" s="173">
        <v>44774.0</v>
      </c>
      <c r="L836" s="45" t="b">
        <v>1</v>
      </c>
    </row>
    <row r="837" hidden="1">
      <c r="A837" s="16" t="s">
        <v>54</v>
      </c>
      <c r="B837" s="99" t="s">
        <v>1985</v>
      </c>
      <c r="C837" s="96">
        <f>212.5+15</f>
        <v>227.5</v>
      </c>
      <c r="D837" s="187">
        <v>44804.0</v>
      </c>
      <c r="E837" s="99">
        <v>25.0</v>
      </c>
      <c r="F837" s="99">
        <v>2022.08</v>
      </c>
      <c r="G837" s="99" t="s">
        <v>52</v>
      </c>
      <c r="H837" s="99" t="s">
        <v>1264</v>
      </c>
      <c r="I837" s="99" t="s">
        <v>1979</v>
      </c>
      <c r="J837" s="97"/>
      <c r="K837" s="177">
        <v>44774.0</v>
      </c>
      <c r="L837" s="46" t="b">
        <v>1</v>
      </c>
    </row>
    <row r="838" hidden="1">
      <c r="A838" s="4" t="s">
        <v>58</v>
      </c>
      <c r="B838" s="170" t="s">
        <v>1985</v>
      </c>
      <c r="C838" s="93">
        <f>300+15</f>
        <v>315</v>
      </c>
      <c r="D838" s="186">
        <v>44804.0</v>
      </c>
      <c r="E838" s="170">
        <v>25.0</v>
      </c>
      <c r="F838" s="170">
        <v>2022.08</v>
      </c>
      <c r="G838" s="170" t="s">
        <v>52</v>
      </c>
      <c r="H838" s="170" t="s">
        <v>1264</v>
      </c>
      <c r="I838" s="170" t="s">
        <v>1979</v>
      </c>
      <c r="J838" s="94"/>
      <c r="K838" s="173">
        <v>44774.0</v>
      </c>
      <c r="L838" s="45" t="b">
        <v>1</v>
      </c>
    </row>
    <row r="839" hidden="1">
      <c r="A839" s="16" t="s">
        <v>82</v>
      </c>
      <c r="B839" s="99" t="s">
        <v>1985</v>
      </c>
      <c r="C839" s="96">
        <f>125+15</f>
        <v>140</v>
      </c>
      <c r="D839" s="187">
        <v>44804.0</v>
      </c>
      <c r="E839" s="99">
        <v>25.0</v>
      </c>
      <c r="F839" s="99">
        <v>2022.08</v>
      </c>
      <c r="G839" s="99" t="s">
        <v>52</v>
      </c>
      <c r="H839" s="99" t="s">
        <v>1264</v>
      </c>
      <c r="I839" s="99" t="s">
        <v>1979</v>
      </c>
      <c r="J839" s="97"/>
      <c r="K839" s="177">
        <v>44774.0</v>
      </c>
      <c r="L839" s="46" t="b">
        <v>1</v>
      </c>
    </row>
    <row r="840" hidden="1">
      <c r="A840" s="4" t="s">
        <v>90</v>
      </c>
      <c r="B840" s="170" t="s">
        <v>1985</v>
      </c>
      <c r="C840" s="93">
        <f>350+15</f>
        <v>365</v>
      </c>
      <c r="D840" s="186">
        <v>44804.0</v>
      </c>
      <c r="E840" s="170">
        <v>25.0</v>
      </c>
      <c r="F840" s="170">
        <v>2022.08</v>
      </c>
      <c r="G840" s="170" t="s">
        <v>52</v>
      </c>
      <c r="H840" s="170" t="s">
        <v>1264</v>
      </c>
      <c r="I840" s="170" t="s">
        <v>1979</v>
      </c>
      <c r="J840" s="94"/>
      <c r="K840" s="173">
        <v>44774.0</v>
      </c>
      <c r="L840" s="45" t="b">
        <v>1</v>
      </c>
    </row>
    <row r="841" hidden="1">
      <c r="A841" s="16" t="s">
        <v>1269</v>
      </c>
      <c r="B841" s="99" t="s">
        <v>1985</v>
      </c>
      <c r="C841" s="96">
        <f>45+22.5</f>
        <v>67.5</v>
      </c>
      <c r="D841" s="187">
        <v>44804.0</v>
      </c>
      <c r="E841" s="99">
        <v>25.0</v>
      </c>
      <c r="F841" s="99">
        <v>2022.0</v>
      </c>
      <c r="G841" s="99" t="s">
        <v>1152</v>
      </c>
      <c r="H841" s="99" t="s">
        <v>1264</v>
      </c>
      <c r="I841" s="99" t="s">
        <v>1270</v>
      </c>
      <c r="J841" s="99" t="s">
        <v>2080</v>
      </c>
      <c r="K841" s="177">
        <v>44774.0</v>
      </c>
      <c r="L841" s="46" t="b">
        <v>1</v>
      </c>
    </row>
    <row r="842" hidden="1">
      <c r="A842" s="4" t="s">
        <v>120</v>
      </c>
      <c r="B842" s="170" t="s">
        <v>1985</v>
      </c>
      <c r="C842" s="171">
        <v>30.0</v>
      </c>
      <c r="D842" s="186">
        <v>44804.0</v>
      </c>
      <c r="E842" s="170">
        <v>25.0</v>
      </c>
      <c r="F842" s="170">
        <v>2022.08</v>
      </c>
      <c r="G842" s="170" t="s">
        <v>52</v>
      </c>
      <c r="H842" s="170" t="s">
        <v>1264</v>
      </c>
      <c r="I842" s="170" t="s">
        <v>1979</v>
      </c>
      <c r="J842" s="94"/>
      <c r="K842" s="173">
        <v>44774.0</v>
      </c>
      <c r="L842" s="45" t="b">
        <v>1</v>
      </c>
    </row>
    <row r="843" hidden="1">
      <c r="A843" s="16" t="s">
        <v>515</v>
      </c>
      <c r="B843" s="99" t="s">
        <v>1985</v>
      </c>
      <c r="C843" s="174">
        <v>30.0</v>
      </c>
      <c r="D843" s="187">
        <v>44804.0</v>
      </c>
      <c r="E843" s="99">
        <v>25.0</v>
      </c>
      <c r="F843" s="99">
        <v>2022.0</v>
      </c>
      <c r="G843" s="99" t="s">
        <v>1160</v>
      </c>
      <c r="H843" s="99" t="s">
        <v>1264</v>
      </c>
      <c r="I843" s="99" t="s">
        <v>1979</v>
      </c>
      <c r="J843" s="97"/>
      <c r="K843" s="177">
        <v>44774.0</v>
      </c>
      <c r="L843" s="46" t="b">
        <v>1</v>
      </c>
    </row>
    <row r="844" hidden="1">
      <c r="A844" s="4" t="s">
        <v>115</v>
      </c>
      <c r="B844" s="170" t="s">
        <v>1982</v>
      </c>
      <c r="C844" s="171">
        <v>662.5</v>
      </c>
      <c r="D844" s="186">
        <v>44804.0</v>
      </c>
      <c r="E844" s="170" t="s">
        <v>2081</v>
      </c>
      <c r="F844" s="170">
        <v>2022.08</v>
      </c>
      <c r="G844" s="170" t="s">
        <v>52</v>
      </c>
      <c r="H844" s="170" t="s">
        <v>1264</v>
      </c>
      <c r="I844" s="170" t="s">
        <v>1979</v>
      </c>
      <c r="J844" s="94"/>
      <c r="K844" s="173">
        <v>44774.0</v>
      </c>
      <c r="L844" s="45" t="b">
        <v>1</v>
      </c>
    </row>
    <row r="845" hidden="1">
      <c r="A845" s="16" t="s">
        <v>118</v>
      </c>
      <c r="B845" s="99" t="s">
        <v>1982</v>
      </c>
      <c r="C845" s="174">
        <v>662.5</v>
      </c>
      <c r="D845" s="187">
        <v>44804.0</v>
      </c>
      <c r="E845" s="99" t="s">
        <v>2081</v>
      </c>
      <c r="F845" s="99">
        <v>2022.08</v>
      </c>
      <c r="G845" s="99" t="s">
        <v>52</v>
      </c>
      <c r="H845" s="99" t="s">
        <v>1264</v>
      </c>
      <c r="I845" s="99" t="s">
        <v>1979</v>
      </c>
      <c r="J845" s="97"/>
      <c r="K845" s="177">
        <v>44774.0</v>
      </c>
      <c r="L845" s="46" t="b">
        <v>1</v>
      </c>
    </row>
    <row r="846" hidden="1">
      <c r="A846" s="4" t="s">
        <v>92</v>
      </c>
      <c r="B846" s="170" t="s">
        <v>1982</v>
      </c>
      <c r="C846" s="171">
        <v>450.0</v>
      </c>
      <c r="D846" s="186">
        <v>44804.0</v>
      </c>
      <c r="E846" s="170" t="s">
        <v>2081</v>
      </c>
      <c r="F846" s="170">
        <v>2022.08</v>
      </c>
      <c r="G846" s="170" t="s">
        <v>52</v>
      </c>
      <c r="H846" s="170" t="s">
        <v>1264</v>
      </c>
      <c r="I846" s="170" t="s">
        <v>1979</v>
      </c>
      <c r="J846" s="94"/>
      <c r="K846" s="173">
        <v>44774.0</v>
      </c>
      <c r="L846" s="45" t="b">
        <v>1</v>
      </c>
    </row>
    <row r="847" hidden="1">
      <c r="A847" s="16" t="s">
        <v>84</v>
      </c>
      <c r="B847" s="99" t="s">
        <v>1982</v>
      </c>
      <c r="C847" s="174">
        <v>475.0</v>
      </c>
      <c r="D847" s="187">
        <v>44804.0</v>
      </c>
      <c r="E847" s="99" t="s">
        <v>2081</v>
      </c>
      <c r="F847" s="99">
        <v>2022.08</v>
      </c>
      <c r="G847" s="99" t="s">
        <v>52</v>
      </c>
      <c r="H847" s="99" t="s">
        <v>1264</v>
      </c>
      <c r="I847" s="99" t="s">
        <v>1979</v>
      </c>
      <c r="J847" s="97"/>
      <c r="K847" s="177">
        <v>44774.0</v>
      </c>
      <c r="L847" s="46" t="b">
        <v>1</v>
      </c>
    </row>
    <row r="848" hidden="1">
      <c r="A848" s="4" t="s">
        <v>123</v>
      </c>
      <c r="B848" s="170" t="s">
        <v>1982</v>
      </c>
      <c r="C848" s="171">
        <v>1087.5</v>
      </c>
      <c r="D848" s="186">
        <v>44804.0</v>
      </c>
      <c r="E848" s="170" t="s">
        <v>2081</v>
      </c>
      <c r="F848" s="170">
        <v>2022.08</v>
      </c>
      <c r="G848" s="170" t="s">
        <v>52</v>
      </c>
      <c r="H848" s="170" t="s">
        <v>1264</v>
      </c>
      <c r="I848" s="170" t="s">
        <v>1979</v>
      </c>
      <c r="J848" s="94"/>
      <c r="K848" s="173">
        <v>44774.0</v>
      </c>
      <c r="L848" s="45" t="b">
        <v>1</v>
      </c>
    </row>
    <row r="849" hidden="1">
      <c r="A849" s="16" t="s">
        <v>62</v>
      </c>
      <c r="B849" s="99" t="s">
        <v>1982</v>
      </c>
      <c r="C849" s="174">
        <v>450.0</v>
      </c>
      <c r="D849" s="187">
        <v>44804.0</v>
      </c>
      <c r="E849" s="99" t="s">
        <v>2081</v>
      </c>
      <c r="F849" s="99">
        <v>2022.08</v>
      </c>
      <c r="G849" s="99" t="s">
        <v>52</v>
      </c>
      <c r="H849" s="99" t="s">
        <v>1264</v>
      </c>
      <c r="I849" s="99" t="s">
        <v>1979</v>
      </c>
      <c r="J849" s="97"/>
      <c r="K849" s="177">
        <v>44774.0</v>
      </c>
      <c r="L849" s="46" t="b">
        <v>1</v>
      </c>
    </row>
    <row r="850" hidden="1">
      <c r="A850" s="4" t="s">
        <v>147</v>
      </c>
      <c r="B850" s="170" t="s">
        <v>1980</v>
      </c>
      <c r="C850" s="171">
        <v>75.0</v>
      </c>
      <c r="D850" s="186">
        <v>44804.0</v>
      </c>
      <c r="E850" s="170">
        <v>114.0</v>
      </c>
      <c r="F850" s="170">
        <v>2022.08</v>
      </c>
      <c r="G850" s="170" t="s">
        <v>52</v>
      </c>
      <c r="H850" s="170" t="s">
        <v>1264</v>
      </c>
      <c r="I850" s="170" t="s">
        <v>1979</v>
      </c>
      <c r="J850" s="94"/>
      <c r="K850" s="173">
        <v>44774.0</v>
      </c>
      <c r="L850" s="45" t="b">
        <v>1</v>
      </c>
    </row>
    <row r="851" hidden="1">
      <c r="A851" s="16" t="s">
        <v>92</v>
      </c>
      <c r="B851" s="99" t="s">
        <v>1980</v>
      </c>
      <c r="C851" s="96">
        <f>350+225</f>
        <v>575</v>
      </c>
      <c r="D851" s="187">
        <v>44804.0</v>
      </c>
      <c r="E851" s="99">
        <v>114.0</v>
      </c>
      <c r="F851" s="99">
        <v>2022.08</v>
      </c>
      <c r="G851" s="99" t="s">
        <v>52</v>
      </c>
      <c r="H851" s="99" t="s">
        <v>1264</v>
      </c>
      <c r="I851" s="99" t="s">
        <v>1979</v>
      </c>
      <c r="J851" s="97"/>
      <c r="K851" s="177">
        <v>44774.0</v>
      </c>
      <c r="L851" s="46" t="b">
        <v>1</v>
      </c>
    </row>
    <row r="852" hidden="1">
      <c r="A852" s="4" t="s">
        <v>88</v>
      </c>
      <c r="B852" s="170" t="s">
        <v>1980</v>
      </c>
      <c r="C852" s="171">
        <v>45.0</v>
      </c>
      <c r="D852" s="186">
        <v>44804.0</v>
      </c>
      <c r="E852" s="170">
        <v>114.0</v>
      </c>
      <c r="F852" s="170">
        <v>2022.08</v>
      </c>
      <c r="G852" s="170" t="s">
        <v>52</v>
      </c>
      <c r="H852" s="170" t="s">
        <v>1264</v>
      </c>
      <c r="I852" s="170" t="s">
        <v>1979</v>
      </c>
      <c r="J852" s="94"/>
      <c r="K852" s="173">
        <v>44774.0</v>
      </c>
      <c r="L852" s="45" t="b">
        <v>1</v>
      </c>
    </row>
    <row r="853" hidden="1">
      <c r="A853" s="16" t="s">
        <v>97</v>
      </c>
      <c r="B853" s="99" t="s">
        <v>1980</v>
      </c>
      <c r="C853" s="174">
        <v>30.0</v>
      </c>
      <c r="D853" s="187">
        <v>44804.0</v>
      </c>
      <c r="E853" s="99">
        <v>114.0</v>
      </c>
      <c r="F853" s="99">
        <v>2022.08</v>
      </c>
      <c r="G853" s="99" t="s">
        <v>52</v>
      </c>
      <c r="H853" s="99" t="s">
        <v>1264</v>
      </c>
      <c r="I853" s="99" t="s">
        <v>1979</v>
      </c>
      <c r="J853" s="97"/>
      <c r="K853" s="177">
        <v>44774.0</v>
      </c>
      <c r="L853" s="46" t="b">
        <v>1</v>
      </c>
    </row>
    <row r="854" hidden="1">
      <c r="A854" s="4" t="s">
        <v>82</v>
      </c>
      <c r="B854" s="170" t="s">
        <v>1980</v>
      </c>
      <c r="C854" s="171">
        <v>75.0</v>
      </c>
      <c r="D854" s="186">
        <v>44804.0</v>
      </c>
      <c r="E854" s="170">
        <v>114.0</v>
      </c>
      <c r="F854" s="170">
        <v>2022.08</v>
      </c>
      <c r="G854" s="170" t="s">
        <v>52</v>
      </c>
      <c r="H854" s="170" t="s">
        <v>1264</v>
      </c>
      <c r="I854" s="170" t="s">
        <v>1979</v>
      </c>
      <c r="J854" s="94"/>
      <c r="K854" s="173">
        <v>44774.0</v>
      </c>
      <c r="L854" s="45" t="b">
        <v>1</v>
      </c>
    </row>
    <row r="855" hidden="1">
      <c r="A855" s="16" t="s">
        <v>99</v>
      </c>
      <c r="B855" s="99" t="s">
        <v>1980</v>
      </c>
      <c r="C855" s="174">
        <v>120.0</v>
      </c>
      <c r="D855" s="187">
        <v>44804.0</v>
      </c>
      <c r="E855" s="99">
        <v>114.0</v>
      </c>
      <c r="F855" s="99">
        <v>2022.08</v>
      </c>
      <c r="G855" s="99" t="s">
        <v>52</v>
      </c>
      <c r="H855" s="99" t="s">
        <v>1264</v>
      </c>
      <c r="I855" s="99" t="s">
        <v>1979</v>
      </c>
      <c r="J855" s="97"/>
      <c r="K855" s="177">
        <v>44774.0</v>
      </c>
      <c r="L855" s="46" t="b">
        <v>1</v>
      </c>
    </row>
    <row r="856" hidden="1">
      <c r="A856" s="4" t="s">
        <v>68</v>
      </c>
      <c r="B856" s="170" t="s">
        <v>1980</v>
      </c>
      <c r="C856" s="171">
        <v>60.0</v>
      </c>
      <c r="D856" s="186">
        <v>44804.0</v>
      </c>
      <c r="E856" s="170">
        <v>114.0</v>
      </c>
      <c r="F856" s="170">
        <v>2022.08</v>
      </c>
      <c r="G856" s="170" t="s">
        <v>52</v>
      </c>
      <c r="H856" s="170" t="s">
        <v>1264</v>
      </c>
      <c r="I856" s="170" t="s">
        <v>1979</v>
      </c>
      <c r="J856" s="94"/>
      <c r="K856" s="173">
        <v>44774.0</v>
      </c>
      <c r="L856" s="45" t="b">
        <v>1</v>
      </c>
    </row>
    <row r="857" hidden="1">
      <c r="A857" s="16" t="s">
        <v>42</v>
      </c>
      <c r="B857" s="99" t="s">
        <v>1980</v>
      </c>
      <c r="C857" s="174">
        <v>135.0</v>
      </c>
      <c r="D857" s="187">
        <v>44804.0</v>
      </c>
      <c r="E857" s="99">
        <v>114.0</v>
      </c>
      <c r="F857" s="99">
        <v>2022.08</v>
      </c>
      <c r="G857" s="99" t="s">
        <v>52</v>
      </c>
      <c r="H857" s="99" t="s">
        <v>1264</v>
      </c>
      <c r="I857" s="99" t="s">
        <v>1979</v>
      </c>
      <c r="J857" s="97"/>
      <c r="K857" s="177">
        <v>44774.0</v>
      </c>
      <c r="L857" s="46" t="b">
        <v>1</v>
      </c>
    </row>
    <row r="858" hidden="1">
      <c r="A858" s="4" t="s">
        <v>58</v>
      </c>
      <c r="B858" s="170" t="s">
        <v>1980</v>
      </c>
      <c r="C858" s="171">
        <v>400.0</v>
      </c>
      <c r="D858" s="186">
        <v>44804.0</v>
      </c>
      <c r="E858" s="170">
        <v>114.0</v>
      </c>
      <c r="F858" s="170">
        <v>2022.08</v>
      </c>
      <c r="G858" s="170" t="s">
        <v>52</v>
      </c>
      <c r="H858" s="170" t="s">
        <v>1264</v>
      </c>
      <c r="I858" s="170" t="s">
        <v>1979</v>
      </c>
      <c r="J858" s="94"/>
      <c r="K858" s="173">
        <v>44774.0</v>
      </c>
      <c r="L858" s="45" t="b">
        <v>1</v>
      </c>
    </row>
    <row r="859" hidden="1">
      <c r="A859" s="16" t="s">
        <v>123</v>
      </c>
      <c r="B859" s="99" t="s">
        <v>1980</v>
      </c>
      <c r="C859" s="174">
        <v>300.0</v>
      </c>
      <c r="D859" s="187">
        <v>44804.0</v>
      </c>
      <c r="E859" s="99">
        <v>114.0</v>
      </c>
      <c r="F859" s="99">
        <v>2022.08</v>
      </c>
      <c r="G859" s="99" t="s">
        <v>52</v>
      </c>
      <c r="H859" s="99" t="s">
        <v>1264</v>
      </c>
      <c r="I859" s="99" t="s">
        <v>1979</v>
      </c>
      <c r="J859" s="97"/>
      <c r="K859" s="177">
        <v>44774.0</v>
      </c>
      <c r="L859" s="46" t="b">
        <v>1</v>
      </c>
    </row>
    <row r="860" hidden="1">
      <c r="A860" s="4" t="s">
        <v>73</v>
      </c>
      <c r="B860" s="170" t="s">
        <v>1980</v>
      </c>
      <c r="C860" s="171">
        <v>60.0</v>
      </c>
      <c r="D860" s="186">
        <v>44804.0</v>
      </c>
      <c r="E860" s="170">
        <v>114.0</v>
      </c>
      <c r="F860" s="170">
        <v>2022.08</v>
      </c>
      <c r="G860" s="170" t="s">
        <v>52</v>
      </c>
      <c r="H860" s="170" t="s">
        <v>1264</v>
      </c>
      <c r="I860" s="170" t="s">
        <v>1979</v>
      </c>
      <c r="J860" s="94"/>
      <c r="K860" s="173">
        <v>44774.0</v>
      </c>
      <c r="L860" s="45" t="b">
        <v>1</v>
      </c>
    </row>
    <row r="861" hidden="1">
      <c r="A861" s="16" t="s">
        <v>50</v>
      </c>
      <c r="B861" s="99" t="s">
        <v>1980</v>
      </c>
      <c r="C861" s="174">
        <v>30.0</v>
      </c>
      <c r="D861" s="187">
        <v>44804.0</v>
      </c>
      <c r="E861" s="99">
        <v>114.0</v>
      </c>
      <c r="F861" s="99">
        <v>2022.08</v>
      </c>
      <c r="G861" s="99" t="s">
        <v>52</v>
      </c>
      <c r="H861" s="99" t="s">
        <v>1264</v>
      </c>
      <c r="I861" s="99" t="s">
        <v>1979</v>
      </c>
      <c r="J861" s="97"/>
      <c r="K861" s="177">
        <v>44774.0</v>
      </c>
      <c r="L861" s="46" t="b">
        <v>1</v>
      </c>
    </row>
    <row r="862" hidden="1">
      <c r="A862" s="4" t="s">
        <v>62</v>
      </c>
      <c r="B862" s="170" t="s">
        <v>1980</v>
      </c>
      <c r="C862" s="93">
        <f>150+150</f>
        <v>300</v>
      </c>
      <c r="D862" s="186">
        <v>44804.0</v>
      </c>
      <c r="E862" s="170">
        <v>114.0</v>
      </c>
      <c r="F862" s="170">
        <v>2022.08</v>
      </c>
      <c r="G862" s="170" t="s">
        <v>52</v>
      </c>
      <c r="H862" s="170" t="s">
        <v>1264</v>
      </c>
      <c r="I862" s="170" t="s">
        <v>1979</v>
      </c>
      <c r="J862" s="94"/>
      <c r="K862" s="173">
        <v>44774.0</v>
      </c>
      <c r="L862" s="45" t="b">
        <v>1</v>
      </c>
    </row>
    <row r="863" hidden="1">
      <c r="A863" s="16" t="s">
        <v>225</v>
      </c>
      <c r="B863" s="99" t="s">
        <v>1980</v>
      </c>
      <c r="C863" s="174">
        <f>1500+360</f>
        <v>1860</v>
      </c>
      <c r="D863" s="187">
        <v>44804.0</v>
      </c>
      <c r="E863" s="99">
        <v>114.0</v>
      </c>
      <c r="F863" s="99">
        <v>2022.08</v>
      </c>
      <c r="G863" s="99" t="s">
        <v>52</v>
      </c>
      <c r="H863" s="99" t="s">
        <v>1264</v>
      </c>
      <c r="I863" s="99" t="s">
        <v>1979</v>
      </c>
      <c r="J863" s="97"/>
      <c r="K863" s="177">
        <v>44774.0</v>
      </c>
      <c r="L863" s="46" t="b">
        <v>1</v>
      </c>
    </row>
    <row r="864" hidden="1">
      <c r="A864" s="4" t="s">
        <v>279</v>
      </c>
      <c r="B864" s="170" t="s">
        <v>1980</v>
      </c>
      <c r="C864" s="171">
        <v>30.0</v>
      </c>
      <c r="D864" s="186">
        <v>44804.0</v>
      </c>
      <c r="E864" s="170">
        <v>114.0</v>
      </c>
      <c r="F864" s="170">
        <v>2022.0</v>
      </c>
      <c r="G864" s="170" t="s">
        <v>1160</v>
      </c>
      <c r="H864" s="170" t="s">
        <v>1264</v>
      </c>
      <c r="I864" s="170" t="s">
        <v>1979</v>
      </c>
      <c r="J864" s="94"/>
      <c r="K864" s="173">
        <v>44774.0</v>
      </c>
      <c r="L864" s="45" t="b">
        <v>1</v>
      </c>
    </row>
    <row r="865" hidden="1">
      <c r="A865" s="16" t="s">
        <v>354</v>
      </c>
      <c r="B865" s="99" t="s">
        <v>1980</v>
      </c>
      <c r="C865" s="96">
        <f>150+500</f>
        <v>650</v>
      </c>
      <c r="D865" s="187">
        <v>44804.0</v>
      </c>
      <c r="E865" s="99">
        <v>114.0</v>
      </c>
      <c r="F865" s="99">
        <v>2022.08</v>
      </c>
      <c r="G865" s="99" t="s">
        <v>52</v>
      </c>
      <c r="H865" s="99" t="s">
        <v>1264</v>
      </c>
      <c r="I865" s="99" t="s">
        <v>1979</v>
      </c>
      <c r="J865" s="97"/>
      <c r="K865" s="177">
        <v>44774.0</v>
      </c>
      <c r="L865" s="46" t="b">
        <v>1</v>
      </c>
    </row>
    <row r="866" hidden="1">
      <c r="A866" s="4" t="s">
        <v>427</v>
      </c>
      <c r="B866" s="170" t="s">
        <v>1980</v>
      </c>
      <c r="C866" s="171">
        <v>45.0</v>
      </c>
      <c r="D866" s="186">
        <v>44804.0</v>
      </c>
      <c r="E866" s="170">
        <v>114.0</v>
      </c>
      <c r="F866" s="170">
        <v>2022.0</v>
      </c>
      <c r="G866" s="170" t="s">
        <v>1160</v>
      </c>
      <c r="H866" s="170" t="s">
        <v>1264</v>
      </c>
      <c r="I866" s="170" t="s">
        <v>1979</v>
      </c>
      <c r="J866" s="94"/>
      <c r="K866" s="173">
        <v>44774.0</v>
      </c>
      <c r="L866" s="45" t="b">
        <v>1</v>
      </c>
    </row>
    <row r="867" hidden="1">
      <c r="A867" s="16" t="s">
        <v>499</v>
      </c>
      <c r="B867" s="99" t="s">
        <v>1980</v>
      </c>
      <c r="C867" s="174">
        <v>150.0</v>
      </c>
      <c r="D867" s="187">
        <v>44804.0</v>
      </c>
      <c r="E867" s="99">
        <v>114.0</v>
      </c>
      <c r="F867" s="99">
        <v>2022.08</v>
      </c>
      <c r="G867" s="99" t="s">
        <v>52</v>
      </c>
      <c r="H867" s="99" t="s">
        <v>1264</v>
      </c>
      <c r="I867" s="99" t="s">
        <v>1979</v>
      </c>
      <c r="J867" s="97"/>
      <c r="K867" s="177">
        <v>44774.0</v>
      </c>
      <c r="L867" s="46" t="b">
        <v>1</v>
      </c>
    </row>
    <row r="868" hidden="1">
      <c r="A868" s="4" t="s">
        <v>532</v>
      </c>
      <c r="B868" s="170" t="s">
        <v>1980</v>
      </c>
      <c r="C868" s="171">
        <v>450.0</v>
      </c>
      <c r="D868" s="186">
        <v>44804.0</v>
      </c>
      <c r="E868" s="170">
        <v>114.0</v>
      </c>
      <c r="F868" s="170">
        <v>2022.08</v>
      </c>
      <c r="G868" s="170" t="s">
        <v>52</v>
      </c>
      <c r="H868" s="170" t="s">
        <v>1264</v>
      </c>
      <c r="I868" s="170" t="s">
        <v>1979</v>
      </c>
      <c r="J868" s="94"/>
      <c r="K868" s="173">
        <v>44774.0</v>
      </c>
      <c r="L868" s="45" t="b">
        <v>1</v>
      </c>
    </row>
    <row r="869" hidden="1">
      <c r="A869" s="16" t="s">
        <v>501</v>
      </c>
      <c r="B869" s="99" t="s">
        <v>1980</v>
      </c>
      <c r="C869" s="174">
        <v>250.0</v>
      </c>
      <c r="D869" s="187">
        <v>44804.0</v>
      </c>
      <c r="E869" s="99">
        <v>114.0</v>
      </c>
      <c r="F869" s="99">
        <v>2022.0</v>
      </c>
      <c r="G869" s="99" t="s">
        <v>1160</v>
      </c>
      <c r="H869" s="99" t="s">
        <v>1264</v>
      </c>
      <c r="I869" s="99" t="s">
        <v>1979</v>
      </c>
      <c r="J869" s="97"/>
      <c r="K869" s="177">
        <v>44774.0</v>
      </c>
      <c r="L869" s="46" t="b">
        <v>1</v>
      </c>
    </row>
    <row r="870" hidden="1">
      <c r="A870" s="4" t="s">
        <v>481</v>
      </c>
      <c r="B870" s="170" t="s">
        <v>1980</v>
      </c>
      <c r="C870" s="93">
        <f>45+212.5</f>
        <v>257.5</v>
      </c>
      <c r="D870" s="186">
        <v>44804.0</v>
      </c>
      <c r="E870" s="170">
        <v>114.0</v>
      </c>
      <c r="F870" s="170">
        <v>2022.0</v>
      </c>
      <c r="G870" s="170" t="s">
        <v>1160</v>
      </c>
      <c r="H870" s="170" t="s">
        <v>1264</v>
      </c>
      <c r="I870" s="170" t="s">
        <v>1979</v>
      </c>
      <c r="J870" s="94"/>
      <c r="K870" s="173">
        <v>44774.0</v>
      </c>
      <c r="L870" s="45" t="b">
        <v>1</v>
      </c>
    </row>
    <row r="871" hidden="1">
      <c r="A871" s="16" t="s">
        <v>223</v>
      </c>
      <c r="B871" s="99" t="s">
        <v>1980</v>
      </c>
      <c r="C871" s="174">
        <v>75.0</v>
      </c>
      <c r="D871" s="187">
        <v>44804.0</v>
      </c>
      <c r="E871" s="99">
        <v>114.0</v>
      </c>
      <c r="F871" s="99">
        <v>2022.08</v>
      </c>
      <c r="G871" s="99" t="s">
        <v>52</v>
      </c>
      <c r="H871" s="99" t="s">
        <v>1264</v>
      </c>
      <c r="I871" s="99" t="s">
        <v>1979</v>
      </c>
      <c r="J871" s="97"/>
      <c r="K871" s="177">
        <v>44774.0</v>
      </c>
      <c r="L871" s="46" t="b">
        <v>1</v>
      </c>
    </row>
    <row r="872" hidden="1">
      <c r="A872" s="4" t="s">
        <v>66</v>
      </c>
      <c r="B872" s="170" t="s">
        <v>1980</v>
      </c>
      <c r="C872" s="171">
        <v>60.0</v>
      </c>
      <c r="D872" s="186">
        <v>44804.0</v>
      </c>
      <c r="E872" s="170">
        <v>114.0</v>
      </c>
      <c r="F872" s="170">
        <v>2022.08</v>
      </c>
      <c r="G872" s="170" t="s">
        <v>52</v>
      </c>
      <c r="H872" s="170" t="s">
        <v>1264</v>
      </c>
      <c r="I872" s="170" t="s">
        <v>1979</v>
      </c>
      <c r="J872" s="94"/>
      <c r="K872" s="173">
        <v>44774.0</v>
      </c>
      <c r="L872" s="45" t="b">
        <v>1</v>
      </c>
    </row>
    <row r="873" hidden="1">
      <c r="A873" s="16" t="s">
        <v>99</v>
      </c>
      <c r="B873" s="99" t="s">
        <v>2036</v>
      </c>
      <c r="C873" s="96">
        <f>337.5+150</f>
        <v>487.5</v>
      </c>
      <c r="D873" s="187">
        <v>44804.0</v>
      </c>
      <c r="E873" s="189">
        <v>44774.0</v>
      </c>
      <c r="F873" s="99">
        <v>2022.08</v>
      </c>
      <c r="G873" s="99" t="s">
        <v>52</v>
      </c>
      <c r="H873" s="99" t="s">
        <v>1264</v>
      </c>
      <c r="I873" s="99" t="s">
        <v>1979</v>
      </c>
      <c r="J873" s="97"/>
      <c r="K873" s="177">
        <v>44774.0</v>
      </c>
      <c r="L873" s="46" t="b">
        <v>1</v>
      </c>
    </row>
    <row r="874" hidden="1">
      <c r="A874" s="4" t="s">
        <v>42</v>
      </c>
      <c r="B874" s="170" t="s">
        <v>2036</v>
      </c>
      <c r="C874" s="171">
        <v>212.5</v>
      </c>
      <c r="D874" s="186">
        <v>44804.0</v>
      </c>
      <c r="E874" s="188">
        <v>44774.0</v>
      </c>
      <c r="F874" s="170">
        <v>2022.08</v>
      </c>
      <c r="G874" s="170" t="s">
        <v>52</v>
      </c>
      <c r="H874" s="170" t="s">
        <v>1264</v>
      </c>
      <c r="I874" s="170" t="s">
        <v>1979</v>
      </c>
      <c r="J874" s="94"/>
      <c r="K874" s="173">
        <v>44774.0</v>
      </c>
      <c r="L874" s="45" t="b">
        <v>1</v>
      </c>
    </row>
    <row r="875" hidden="1">
      <c r="A875" s="16" t="s">
        <v>499</v>
      </c>
      <c r="B875" s="99" t="s">
        <v>2036</v>
      </c>
      <c r="C875" s="174">
        <v>150.0</v>
      </c>
      <c r="D875" s="187">
        <v>44804.0</v>
      </c>
      <c r="E875" s="189">
        <v>44774.0</v>
      </c>
      <c r="F875" s="99">
        <v>2022.08</v>
      </c>
      <c r="G875" s="99" t="s">
        <v>52</v>
      </c>
      <c r="H875" s="99" t="s">
        <v>1264</v>
      </c>
      <c r="I875" s="99" t="s">
        <v>1979</v>
      </c>
      <c r="J875" s="97"/>
      <c r="K875" s="177">
        <v>44774.0</v>
      </c>
      <c r="L875" s="46" t="b">
        <v>1</v>
      </c>
    </row>
    <row r="876" hidden="1">
      <c r="A876" s="4" t="s">
        <v>549</v>
      </c>
      <c r="B876" s="170" t="s">
        <v>2036</v>
      </c>
      <c r="C876" s="171">
        <v>175.0</v>
      </c>
      <c r="D876" s="186">
        <v>44804.0</v>
      </c>
      <c r="E876" s="188">
        <v>44774.0</v>
      </c>
      <c r="F876" s="170">
        <v>2022.08</v>
      </c>
      <c r="G876" s="170" t="s">
        <v>52</v>
      </c>
      <c r="H876" s="170" t="s">
        <v>1264</v>
      </c>
      <c r="I876" s="170" t="s">
        <v>1979</v>
      </c>
      <c r="J876" s="94"/>
      <c r="K876" s="173">
        <v>44774.0</v>
      </c>
      <c r="L876" s="45" t="b">
        <v>1</v>
      </c>
    </row>
    <row r="877" hidden="1">
      <c r="A877" s="16" t="s">
        <v>523</v>
      </c>
      <c r="B877" s="99" t="s">
        <v>2036</v>
      </c>
      <c r="C877" s="174">
        <v>150.0</v>
      </c>
      <c r="D877" s="187">
        <v>44804.0</v>
      </c>
      <c r="E877" s="189">
        <v>44774.0</v>
      </c>
      <c r="F877" s="99">
        <v>2022.08</v>
      </c>
      <c r="G877" s="99" t="s">
        <v>52</v>
      </c>
      <c r="H877" s="99" t="s">
        <v>1264</v>
      </c>
      <c r="I877" s="99" t="s">
        <v>1979</v>
      </c>
      <c r="J877" s="97"/>
      <c r="K877" s="177">
        <v>44774.0</v>
      </c>
      <c r="L877" s="46" t="b">
        <v>1</v>
      </c>
    </row>
    <row r="878" hidden="1">
      <c r="A878" s="4" t="s">
        <v>1271</v>
      </c>
      <c r="B878" s="170" t="s">
        <v>1998</v>
      </c>
      <c r="C878" s="171">
        <v>131.42</v>
      </c>
      <c r="D878" s="170" t="s">
        <v>2082</v>
      </c>
      <c r="E878" s="94"/>
      <c r="F878" s="170" t="s">
        <v>200</v>
      </c>
      <c r="G878" s="170" t="s">
        <v>1152</v>
      </c>
      <c r="H878" s="170" t="s">
        <v>1264</v>
      </c>
      <c r="I878" s="170" t="s">
        <v>1995</v>
      </c>
      <c r="J878" s="94"/>
      <c r="K878" s="173">
        <v>44774.0</v>
      </c>
      <c r="L878" s="45" t="b">
        <v>1</v>
      </c>
    </row>
    <row r="879" hidden="1">
      <c r="A879" s="16" t="s">
        <v>1269</v>
      </c>
      <c r="B879" s="99" t="s">
        <v>2083</v>
      </c>
      <c r="C879" s="174">
        <v>65.21</v>
      </c>
      <c r="D879" s="99" t="s">
        <v>2082</v>
      </c>
      <c r="E879" s="97"/>
      <c r="F879" s="99" t="s">
        <v>200</v>
      </c>
      <c r="G879" s="99" t="s">
        <v>1152</v>
      </c>
      <c r="H879" s="99" t="s">
        <v>1264</v>
      </c>
      <c r="I879" s="99" t="s">
        <v>1270</v>
      </c>
      <c r="J879" s="97"/>
      <c r="K879" s="177">
        <v>44774.0</v>
      </c>
      <c r="L879" s="46" t="b">
        <v>1</v>
      </c>
    </row>
    <row r="880" hidden="1">
      <c r="A880" s="4" t="s">
        <v>75</v>
      </c>
      <c r="B880" s="170" t="s">
        <v>1983</v>
      </c>
      <c r="C880" s="171">
        <v>187.5</v>
      </c>
      <c r="D880" s="186">
        <v>44804.0</v>
      </c>
      <c r="E880" s="170">
        <v>65.0</v>
      </c>
      <c r="F880" s="170">
        <v>2022.08</v>
      </c>
      <c r="G880" s="170" t="s">
        <v>52</v>
      </c>
      <c r="H880" s="170" t="s">
        <v>1264</v>
      </c>
      <c r="I880" s="170" t="s">
        <v>1979</v>
      </c>
      <c r="J880" s="94"/>
      <c r="K880" s="173">
        <v>44774.0</v>
      </c>
      <c r="L880" s="45" t="b">
        <v>1</v>
      </c>
    </row>
    <row r="881" hidden="1">
      <c r="A881" s="16" t="s">
        <v>102</v>
      </c>
      <c r="B881" s="99" t="s">
        <v>1987</v>
      </c>
      <c r="C881" s="174">
        <v>150.0</v>
      </c>
      <c r="D881" s="187">
        <v>44804.0</v>
      </c>
      <c r="E881" s="99">
        <v>1024.0</v>
      </c>
      <c r="F881" s="99">
        <v>2022.08</v>
      </c>
      <c r="G881" s="99" t="s">
        <v>52</v>
      </c>
      <c r="H881" s="99" t="s">
        <v>1264</v>
      </c>
      <c r="I881" s="99" t="s">
        <v>1979</v>
      </c>
      <c r="J881" s="97"/>
      <c r="K881" s="177">
        <v>44774.0</v>
      </c>
      <c r="L881" s="46" t="b">
        <v>1</v>
      </c>
    </row>
    <row r="882" hidden="1">
      <c r="A882" s="4" t="s">
        <v>414</v>
      </c>
      <c r="B882" s="170" t="s">
        <v>2002</v>
      </c>
      <c r="C882" s="171">
        <v>214.13</v>
      </c>
      <c r="D882" s="186">
        <v>44804.0</v>
      </c>
      <c r="E882" s="94"/>
      <c r="F882" s="170">
        <v>2022.0</v>
      </c>
      <c r="G882" s="170" t="s">
        <v>1160</v>
      </c>
      <c r="H882" s="170" t="s">
        <v>1999</v>
      </c>
      <c r="I882" s="170" t="s">
        <v>1979</v>
      </c>
      <c r="J882" s="94"/>
      <c r="K882" s="173">
        <v>44774.0</v>
      </c>
      <c r="L882" s="45" t="b">
        <v>1</v>
      </c>
    </row>
    <row r="883" hidden="1">
      <c r="A883" s="16" t="s">
        <v>99</v>
      </c>
      <c r="B883" s="99" t="s">
        <v>2002</v>
      </c>
      <c r="C883" s="174">
        <v>42.47</v>
      </c>
      <c r="D883" s="187">
        <v>44804.0</v>
      </c>
      <c r="E883" s="97"/>
      <c r="F883" s="99">
        <v>2022.08</v>
      </c>
      <c r="G883" s="99" t="s">
        <v>52</v>
      </c>
      <c r="H883" s="99" t="s">
        <v>1999</v>
      </c>
      <c r="I883" s="99" t="s">
        <v>1979</v>
      </c>
      <c r="J883" s="97"/>
      <c r="K883" s="177">
        <v>44774.0</v>
      </c>
      <c r="L883" s="46" t="b">
        <v>1</v>
      </c>
    </row>
    <row r="884" hidden="1">
      <c r="A884" s="4" t="s">
        <v>120</v>
      </c>
      <c r="B884" s="170" t="s">
        <v>2002</v>
      </c>
      <c r="C884" s="171">
        <v>2.53</v>
      </c>
      <c r="D884" s="186">
        <v>44804.0</v>
      </c>
      <c r="E884" s="94"/>
      <c r="F884" s="170">
        <v>2022.08</v>
      </c>
      <c r="G884" s="170" t="s">
        <v>52</v>
      </c>
      <c r="H884" s="170" t="s">
        <v>1999</v>
      </c>
      <c r="I884" s="170" t="s">
        <v>1979</v>
      </c>
      <c r="J884" s="94"/>
      <c r="K884" s="173">
        <v>44774.0</v>
      </c>
      <c r="L884" s="45" t="b">
        <v>1</v>
      </c>
    </row>
    <row r="885" hidden="1">
      <c r="A885" s="16" t="s">
        <v>570</v>
      </c>
      <c r="B885" s="99" t="s">
        <v>2002</v>
      </c>
      <c r="C885" s="174">
        <v>554.05</v>
      </c>
      <c r="D885" s="187">
        <v>44804.0</v>
      </c>
      <c r="E885" s="97"/>
      <c r="F885" s="99">
        <v>2022.0</v>
      </c>
      <c r="G885" s="99" t="s">
        <v>1160</v>
      </c>
      <c r="H885" s="99" t="s">
        <v>1999</v>
      </c>
      <c r="I885" s="99" t="s">
        <v>1979</v>
      </c>
      <c r="J885" s="97"/>
      <c r="K885" s="177">
        <v>44774.0</v>
      </c>
      <c r="L885" s="46" t="b">
        <v>1</v>
      </c>
    </row>
    <row r="886" hidden="1">
      <c r="A886" s="4" t="s">
        <v>565</v>
      </c>
      <c r="B886" s="170" t="s">
        <v>2002</v>
      </c>
      <c r="C886" s="171">
        <v>668.9</v>
      </c>
      <c r="D886" s="186">
        <v>44804.0</v>
      </c>
      <c r="E886" s="94"/>
      <c r="F886" s="170">
        <v>2022.0</v>
      </c>
      <c r="G886" s="170" t="s">
        <v>1160</v>
      </c>
      <c r="H886" s="170" t="s">
        <v>1999</v>
      </c>
      <c r="I886" s="170" t="s">
        <v>1979</v>
      </c>
      <c r="J886" s="94"/>
      <c r="K886" s="173">
        <v>44774.0</v>
      </c>
      <c r="L886" s="45" t="b">
        <v>1</v>
      </c>
    </row>
    <row r="887" hidden="1">
      <c r="A887" s="16" t="s">
        <v>82</v>
      </c>
      <c r="B887" s="99" t="s">
        <v>2002</v>
      </c>
      <c r="C887" s="174">
        <v>100.89</v>
      </c>
      <c r="D887" s="187">
        <v>44804.0</v>
      </c>
      <c r="E887" s="97"/>
      <c r="F887" s="99">
        <v>2022.08</v>
      </c>
      <c r="G887" s="99" t="s">
        <v>52</v>
      </c>
      <c r="H887" s="99" t="s">
        <v>1999</v>
      </c>
      <c r="I887" s="99" t="s">
        <v>1979</v>
      </c>
      <c r="J887" s="97"/>
      <c r="K887" s="177">
        <v>44774.0</v>
      </c>
      <c r="L887" s="46" t="b">
        <v>1</v>
      </c>
    </row>
    <row r="888" hidden="1">
      <c r="A888" s="4" t="s">
        <v>148</v>
      </c>
      <c r="B888" s="170" t="s">
        <v>2002</v>
      </c>
      <c r="C888" s="171">
        <v>7.91</v>
      </c>
      <c r="D888" s="186">
        <v>44804.0</v>
      </c>
      <c r="E888" s="94"/>
      <c r="F888" s="170">
        <v>2022.0</v>
      </c>
      <c r="G888" s="170" t="s">
        <v>1160</v>
      </c>
      <c r="H888" s="170" t="s">
        <v>1999</v>
      </c>
      <c r="I888" s="170" t="s">
        <v>1979</v>
      </c>
      <c r="J888" s="94"/>
      <c r="K888" s="173">
        <v>44774.0</v>
      </c>
      <c r="L888" s="45" t="b">
        <v>1</v>
      </c>
    </row>
    <row r="889" hidden="1">
      <c r="A889" s="16" t="s">
        <v>354</v>
      </c>
      <c r="B889" s="99" t="s">
        <v>2002</v>
      </c>
      <c r="C889" s="174">
        <v>47.79</v>
      </c>
      <c r="D889" s="187">
        <v>44804.0</v>
      </c>
      <c r="E889" s="97"/>
      <c r="F889" s="99">
        <v>2022.08</v>
      </c>
      <c r="G889" s="99" t="s">
        <v>52</v>
      </c>
      <c r="H889" s="99" t="s">
        <v>1999</v>
      </c>
      <c r="I889" s="99" t="s">
        <v>1979</v>
      </c>
      <c r="J889" s="97"/>
      <c r="K889" s="177">
        <v>44774.0</v>
      </c>
      <c r="L889" s="46" t="b">
        <v>1</v>
      </c>
    </row>
    <row r="890" hidden="1">
      <c r="A890" s="4" t="s">
        <v>476</v>
      </c>
      <c r="B890" s="170" t="s">
        <v>2002</v>
      </c>
      <c r="C890" s="171">
        <v>32.29</v>
      </c>
      <c r="D890" s="186">
        <v>44804.0</v>
      </c>
      <c r="E890" s="94"/>
      <c r="F890" s="170">
        <v>2022.0</v>
      </c>
      <c r="G890" s="170" t="s">
        <v>1160</v>
      </c>
      <c r="H890" s="170" t="s">
        <v>1999</v>
      </c>
      <c r="I890" s="170" t="s">
        <v>1979</v>
      </c>
      <c r="J890" s="94"/>
      <c r="K890" s="173">
        <v>44774.0</v>
      </c>
      <c r="L890" s="45" t="b">
        <v>1</v>
      </c>
    </row>
    <row r="891" hidden="1">
      <c r="A891" s="16" t="s">
        <v>1266</v>
      </c>
      <c r="B891" s="99" t="s">
        <v>2002</v>
      </c>
      <c r="C891" s="174">
        <v>320.99</v>
      </c>
      <c r="D891" s="187">
        <v>44804.0</v>
      </c>
      <c r="E891" s="97"/>
      <c r="F891" s="99">
        <v>2022.0</v>
      </c>
      <c r="G891" s="99" t="s">
        <v>1152</v>
      </c>
      <c r="H891" s="99" t="s">
        <v>1999</v>
      </c>
      <c r="I891" s="99" t="s">
        <v>1979</v>
      </c>
      <c r="J891" s="97"/>
      <c r="K891" s="177">
        <v>44774.0</v>
      </c>
      <c r="L891" s="46" t="b">
        <v>1</v>
      </c>
    </row>
    <row r="892" hidden="1">
      <c r="A892" s="4" t="s">
        <v>90</v>
      </c>
      <c r="B892" s="170" t="s">
        <v>2002</v>
      </c>
      <c r="C892" s="171">
        <v>422.46</v>
      </c>
      <c r="D892" s="186">
        <v>44804.0</v>
      </c>
      <c r="E892" s="94"/>
      <c r="F892" s="170">
        <v>2022.08</v>
      </c>
      <c r="G892" s="170" t="s">
        <v>52</v>
      </c>
      <c r="H892" s="170" t="s">
        <v>1999</v>
      </c>
      <c r="I892" s="170" t="s">
        <v>1979</v>
      </c>
      <c r="J892" s="94"/>
      <c r="K892" s="173">
        <v>44774.0</v>
      </c>
      <c r="L892" s="45" t="b">
        <v>1</v>
      </c>
    </row>
    <row r="893" hidden="1">
      <c r="A893" s="16" t="s">
        <v>92</v>
      </c>
      <c r="B893" s="99" t="s">
        <v>2002</v>
      </c>
      <c r="C893" s="174">
        <v>14.63</v>
      </c>
      <c r="D893" s="187">
        <v>44804.0</v>
      </c>
      <c r="E893" s="97"/>
      <c r="F893" s="99">
        <v>2022.08</v>
      </c>
      <c r="G893" s="99" t="s">
        <v>52</v>
      </c>
      <c r="H893" s="99" t="s">
        <v>1999</v>
      </c>
      <c r="I893" s="99" t="s">
        <v>1979</v>
      </c>
      <c r="J893" s="97"/>
      <c r="K893" s="177">
        <v>44774.0</v>
      </c>
      <c r="L893" s="46" t="b">
        <v>1</v>
      </c>
    </row>
    <row r="894" hidden="1">
      <c r="A894" s="4" t="s">
        <v>118</v>
      </c>
      <c r="B894" s="170" t="s">
        <v>2002</v>
      </c>
      <c r="C894" s="171">
        <v>2.55</v>
      </c>
      <c r="D894" s="186">
        <v>44804.0</v>
      </c>
      <c r="E894" s="94"/>
      <c r="F894" s="170">
        <v>2022.08</v>
      </c>
      <c r="G894" s="170" t="s">
        <v>52</v>
      </c>
      <c r="H894" s="170" t="s">
        <v>1999</v>
      </c>
      <c r="I894" s="170" t="s">
        <v>1979</v>
      </c>
      <c r="J894" s="94"/>
      <c r="K894" s="173">
        <v>44774.0</v>
      </c>
      <c r="L894" s="45" t="b">
        <v>1</v>
      </c>
    </row>
    <row r="895" hidden="1">
      <c r="A895" s="16" t="s">
        <v>560</v>
      </c>
      <c r="B895" s="99" t="s">
        <v>2002</v>
      </c>
      <c r="C895" s="174">
        <v>363.14</v>
      </c>
      <c r="D895" s="187">
        <v>44804.0</v>
      </c>
      <c r="E895" s="97"/>
      <c r="F895" s="99">
        <v>2022.0</v>
      </c>
      <c r="G895" s="99" t="s">
        <v>1160</v>
      </c>
      <c r="H895" s="99" t="s">
        <v>1999</v>
      </c>
      <c r="I895" s="99" t="s">
        <v>1979</v>
      </c>
      <c r="J895" s="97"/>
      <c r="K895" s="177">
        <v>44774.0</v>
      </c>
      <c r="L895" s="46" t="b">
        <v>1</v>
      </c>
    </row>
    <row r="896" hidden="1">
      <c r="A896" s="4" t="s">
        <v>66</v>
      </c>
      <c r="B896" s="170" t="s">
        <v>2002</v>
      </c>
      <c r="C896" s="171">
        <v>83.74</v>
      </c>
      <c r="D896" s="186">
        <v>44804.0</v>
      </c>
      <c r="E896" s="94"/>
      <c r="F896" s="170">
        <v>2022.08</v>
      </c>
      <c r="G896" s="170" t="s">
        <v>52</v>
      </c>
      <c r="H896" s="170" t="s">
        <v>1999</v>
      </c>
      <c r="I896" s="170" t="s">
        <v>1979</v>
      </c>
      <c r="J896" s="94"/>
      <c r="K896" s="173">
        <v>44774.0</v>
      </c>
      <c r="L896" s="45" t="b">
        <v>1</v>
      </c>
    </row>
    <row r="897" hidden="1">
      <c r="A897" s="16" t="s">
        <v>115</v>
      </c>
      <c r="B897" s="99" t="s">
        <v>1976</v>
      </c>
      <c r="C897" s="174">
        <v>750.0</v>
      </c>
      <c r="D897" s="175">
        <v>44794.0</v>
      </c>
      <c r="E897" s="97"/>
      <c r="F897" s="99">
        <v>2022.08</v>
      </c>
      <c r="G897" s="99" t="s">
        <v>52</v>
      </c>
      <c r="H897" s="99" t="s">
        <v>1999</v>
      </c>
      <c r="I897" s="99" t="s">
        <v>1977</v>
      </c>
      <c r="J897" s="97"/>
      <c r="K897" s="177">
        <v>44774.0</v>
      </c>
      <c r="L897" s="46" t="b">
        <v>1</v>
      </c>
    </row>
    <row r="898" hidden="1">
      <c r="A898" s="4" t="s">
        <v>92</v>
      </c>
      <c r="B898" s="170" t="s">
        <v>1988</v>
      </c>
      <c r="C898" s="171">
        <v>19.6</v>
      </c>
      <c r="D898" s="172">
        <v>44798.0</v>
      </c>
      <c r="E898" s="94"/>
      <c r="F898" s="170">
        <v>2022.08</v>
      </c>
      <c r="G898" s="170" t="s">
        <v>52</v>
      </c>
      <c r="H898" s="170" t="s">
        <v>1999</v>
      </c>
      <c r="I898" s="170" t="s">
        <v>1977</v>
      </c>
      <c r="J898" s="94"/>
      <c r="K898" s="173">
        <v>44774.0</v>
      </c>
      <c r="L898" s="45" t="b">
        <v>1</v>
      </c>
    </row>
    <row r="899" hidden="1">
      <c r="A899" s="16" t="s">
        <v>118</v>
      </c>
      <c r="B899" s="99" t="s">
        <v>1976</v>
      </c>
      <c r="C899" s="174">
        <v>750.0</v>
      </c>
      <c r="D899" s="175">
        <v>44802.0</v>
      </c>
      <c r="E899" s="97"/>
      <c r="F899" s="99">
        <v>2022.08</v>
      </c>
      <c r="G899" s="99" t="s">
        <v>52</v>
      </c>
      <c r="H899" s="99" t="s">
        <v>1999</v>
      </c>
      <c r="I899" s="99" t="s">
        <v>1977</v>
      </c>
      <c r="J899" s="97"/>
      <c r="K899" s="177">
        <v>44774.0</v>
      </c>
      <c r="L899" s="46" t="b">
        <v>1</v>
      </c>
    </row>
    <row r="900" hidden="1">
      <c r="A900" s="4" t="s">
        <v>92</v>
      </c>
      <c r="B900" s="170" t="s">
        <v>1988</v>
      </c>
      <c r="C900" s="171">
        <v>47.1</v>
      </c>
      <c r="D900" s="172">
        <v>44804.0</v>
      </c>
      <c r="E900" s="94"/>
      <c r="F900" s="170">
        <v>2022.08</v>
      </c>
      <c r="G900" s="170" t="s">
        <v>52</v>
      </c>
      <c r="H900" s="170" t="s">
        <v>1999</v>
      </c>
      <c r="I900" s="170" t="s">
        <v>1977</v>
      </c>
      <c r="J900" s="94"/>
      <c r="K900" s="173">
        <v>44774.0</v>
      </c>
      <c r="L900" s="45" t="b">
        <v>1</v>
      </c>
    </row>
    <row r="901" hidden="1">
      <c r="A901" s="16" t="s">
        <v>115</v>
      </c>
      <c r="B901" s="99" t="s">
        <v>1976</v>
      </c>
      <c r="C901" s="174">
        <v>334.07</v>
      </c>
      <c r="D901" s="175">
        <v>44805.0</v>
      </c>
      <c r="E901" s="97"/>
      <c r="F901" s="99">
        <v>2022.09</v>
      </c>
      <c r="G901" s="99" t="s">
        <v>52</v>
      </c>
      <c r="H901" s="99" t="s">
        <v>1999</v>
      </c>
      <c r="I901" s="99" t="s">
        <v>1977</v>
      </c>
      <c r="J901" s="97"/>
      <c r="K901" s="177">
        <v>44774.0</v>
      </c>
      <c r="L901" s="46" t="b">
        <v>1</v>
      </c>
    </row>
    <row r="902" hidden="1">
      <c r="A902" s="4" t="s">
        <v>118</v>
      </c>
      <c r="B902" s="170" t="s">
        <v>1976</v>
      </c>
      <c r="C902" s="171">
        <v>186.26</v>
      </c>
      <c r="D902" s="172">
        <v>44805.0</v>
      </c>
      <c r="E902" s="94"/>
      <c r="F902" s="170">
        <v>2022.09</v>
      </c>
      <c r="G902" s="170" t="s">
        <v>52</v>
      </c>
      <c r="H902" s="170" t="s">
        <v>1999</v>
      </c>
      <c r="I902" s="170" t="s">
        <v>1977</v>
      </c>
      <c r="J902" s="94"/>
      <c r="K902" s="173">
        <v>44774.0</v>
      </c>
      <c r="L902" s="45" t="b">
        <v>1</v>
      </c>
    </row>
    <row r="903" hidden="1">
      <c r="A903" s="16" t="s">
        <v>279</v>
      </c>
      <c r="B903" s="99" t="s">
        <v>1976</v>
      </c>
      <c r="C903" s="174">
        <v>55.4</v>
      </c>
      <c r="D903" s="175">
        <v>44805.0</v>
      </c>
      <c r="E903" s="97"/>
      <c r="F903" s="99">
        <v>2022.0</v>
      </c>
      <c r="G903" s="99" t="s">
        <v>1160</v>
      </c>
      <c r="H903" s="99" t="s">
        <v>1999</v>
      </c>
      <c r="I903" s="99" t="s">
        <v>1977</v>
      </c>
      <c r="J903" s="97"/>
      <c r="K903" s="177">
        <v>44774.0</v>
      </c>
      <c r="L903" s="46" t="b">
        <v>1</v>
      </c>
    </row>
    <row r="904" hidden="1">
      <c r="A904" s="4" t="s">
        <v>102</v>
      </c>
      <c r="B904" s="170" t="s">
        <v>1987</v>
      </c>
      <c r="C904" s="171">
        <v>150.0</v>
      </c>
      <c r="D904" s="186">
        <v>44834.0</v>
      </c>
      <c r="E904" s="170">
        <v>1025.0</v>
      </c>
      <c r="F904" s="170">
        <v>2022.09</v>
      </c>
      <c r="G904" s="170" t="s">
        <v>52</v>
      </c>
      <c r="H904" s="170" t="s">
        <v>1264</v>
      </c>
      <c r="I904" s="170" t="s">
        <v>1979</v>
      </c>
      <c r="J904" s="94"/>
      <c r="K904" s="173">
        <v>44805.0</v>
      </c>
      <c r="L904" s="45" t="b">
        <v>1</v>
      </c>
    </row>
    <row r="905" hidden="1">
      <c r="A905" s="16" t="s">
        <v>427</v>
      </c>
      <c r="B905" s="99" t="s">
        <v>1986</v>
      </c>
      <c r="C905" s="174">
        <v>175.0</v>
      </c>
      <c r="D905" s="175">
        <v>44834.0</v>
      </c>
      <c r="E905" s="99">
        <v>11.0</v>
      </c>
      <c r="F905" s="99">
        <v>2022.0</v>
      </c>
      <c r="G905" s="99" t="s">
        <v>1160</v>
      </c>
      <c r="H905" s="99" t="s">
        <v>1264</v>
      </c>
      <c r="I905" s="99" t="s">
        <v>1979</v>
      </c>
      <c r="J905" s="97"/>
      <c r="K905" s="177">
        <v>44805.0</v>
      </c>
      <c r="L905" s="46" t="b">
        <v>1</v>
      </c>
    </row>
    <row r="906" hidden="1">
      <c r="A906" s="4" t="s">
        <v>354</v>
      </c>
      <c r="B906" s="170" t="s">
        <v>1986</v>
      </c>
      <c r="C906" s="171">
        <v>50.0</v>
      </c>
      <c r="D906" s="172">
        <v>44834.0</v>
      </c>
      <c r="E906" s="170">
        <v>11.0</v>
      </c>
      <c r="F906" s="170">
        <v>2022.09</v>
      </c>
      <c r="G906" s="170" t="s">
        <v>52</v>
      </c>
      <c r="H906" s="170" t="s">
        <v>1264</v>
      </c>
      <c r="I906" s="170" t="s">
        <v>1979</v>
      </c>
      <c r="J906" s="94"/>
      <c r="K906" s="173">
        <v>44805.0</v>
      </c>
      <c r="L906" s="45" t="b">
        <v>1</v>
      </c>
    </row>
    <row r="907" hidden="1">
      <c r="A907" s="16" t="s">
        <v>68</v>
      </c>
      <c r="B907" s="99" t="s">
        <v>1986</v>
      </c>
      <c r="C907" s="174">
        <v>237.5</v>
      </c>
      <c r="D907" s="175">
        <v>44834.0</v>
      </c>
      <c r="E907" s="99">
        <v>11.0</v>
      </c>
      <c r="F907" s="99">
        <v>2022.09</v>
      </c>
      <c r="G907" s="99" t="s">
        <v>52</v>
      </c>
      <c r="H907" s="99" t="s">
        <v>1264</v>
      </c>
      <c r="I907" s="99" t="s">
        <v>1979</v>
      </c>
      <c r="J907" s="97"/>
      <c r="K907" s="177">
        <v>44805.0</v>
      </c>
      <c r="L907" s="46" t="b">
        <v>1</v>
      </c>
    </row>
    <row r="908" hidden="1">
      <c r="A908" s="4" t="s">
        <v>82</v>
      </c>
      <c r="B908" s="170" t="s">
        <v>1986</v>
      </c>
      <c r="C908" s="171">
        <f>225</f>
        <v>225</v>
      </c>
      <c r="D908" s="172">
        <v>44834.0</v>
      </c>
      <c r="E908" s="170">
        <v>11.0</v>
      </c>
      <c r="F908" s="170">
        <v>2022.09</v>
      </c>
      <c r="G908" s="170" t="s">
        <v>52</v>
      </c>
      <c r="H908" s="170" t="s">
        <v>1264</v>
      </c>
      <c r="I908" s="170" t="s">
        <v>1979</v>
      </c>
      <c r="J908" s="94"/>
      <c r="K908" s="173">
        <v>44805.0</v>
      </c>
      <c r="L908" s="45" t="b">
        <v>1</v>
      </c>
    </row>
    <row r="909" hidden="1">
      <c r="A909" s="16" t="s">
        <v>92</v>
      </c>
      <c r="B909" s="99" t="s">
        <v>1986</v>
      </c>
      <c r="C909" s="174">
        <v>300.0</v>
      </c>
      <c r="D909" s="175">
        <v>44834.0</v>
      </c>
      <c r="E909" s="99">
        <v>11.0</v>
      </c>
      <c r="F909" s="99">
        <v>2022.09</v>
      </c>
      <c r="G909" s="99" t="s">
        <v>52</v>
      </c>
      <c r="H909" s="99" t="s">
        <v>1264</v>
      </c>
      <c r="I909" s="99" t="s">
        <v>1979</v>
      </c>
      <c r="J909" s="97"/>
      <c r="K909" s="177">
        <v>44805.0</v>
      </c>
      <c r="L909" s="46" t="b">
        <v>1</v>
      </c>
    </row>
    <row r="910" hidden="1">
      <c r="A910" s="4" t="s">
        <v>54</v>
      </c>
      <c r="B910" s="170" t="s">
        <v>1985</v>
      </c>
      <c r="C910" s="171">
        <f>162.5+15</f>
        <v>177.5</v>
      </c>
      <c r="D910" s="172">
        <v>44834.0</v>
      </c>
      <c r="E910" s="170">
        <v>26.0</v>
      </c>
      <c r="F910" s="170">
        <v>2022.09</v>
      </c>
      <c r="G910" s="170" t="s">
        <v>52</v>
      </c>
      <c r="H910" s="170" t="s">
        <v>1264</v>
      </c>
      <c r="I910" s="170" t="s">
        <v>1979</v>
      </c>
      <c r="J910" s="94"/>
      <c r="K910" s="173">
        <v>44805.0</v>
      </c>
      <c r="L910" s="45" t="b">
        <v>1</v>
      </c>
    </row>
    <row r="911" hidden="1">
      <c r="A911" s="16" t="s">
        <v>334</v>
      </c>
      <c r="B911" s="99" t="s">
        <v>1985</v>
      </c>
      <c r="C911" s="174">
        <f>300+15</f>
        <v>315</v>
      </c>
      <c r="D911" s="175">
        <v>44834.0</v>
      </c>
      <c r="E911" s="99">
        <v>26.0</v>
      </c>
      <c r="F911" s="99">
        <v>2022.0</v>
      </c>
      <c r="G911" s="99" t="s">
        <v>1160</v>
      </c>
      <c r="H911" s="99" t="s">
        <v>1264</v>
      </c>
      <c r="I911" s="99" t="s">
        <v>1979</v>
      </c>
      <c r="J911" s="97"/>
      <c r="K911" s="177">
        <v>44805.0</v>
      </c>
      <c r="L911" s="46" t="b">
        <v>1</v>
      </c>
    </row>
    <row r="912" hidden="1">
      <c r="A912" s="4" t="s">
        <v>457</v>
      </c>
      <c r="B912" s="170" t="s">
        <v>1985</v>
      </c>
      <c r="C912" s="171">
        <v>575.0</v>
      </c>
      <c r="D912" s="172">
        <v>44834.0</v>
      </c>
      <c r="E912" s="170">
        <v>26.0</v>
      </c>
      <c r="F912" s="170">
        <v>2022.0</v>
      </c>
      <c r="G912" s="170" t="s">
        <v>1160</v>
      </c>
      <c r="H912" s="170" t="s">
        <v>1264</v>
      </c>
      <c r="I912" s="170" t="s">
        <v>1979</v>
      </c>
      <c r="J912" s="94"/>
      <c r="K912" s="173">
        <v>44805.0</v>
      </c>
      <c r="L912" s="45" t="b">
        <v>1</v>
      </c>
    </row>
    <row r="913" hidden="1">
      <c r="A913" s="16" t="s">
        <v>90</v>
      </c>
      <c r="B913" s="99" t="s">
        <v>1985</v>
      </c>
      <c r="C913" s="174">
        <f>425+30</f>
        <v>455</v>
      </c>
      <c r="D913" s="175">
        <v>44834.0</v>
      </c>
      <c r="E913" s="99">
        <v>26.0</v>
      </c>
      <c r="F913" s="99">
        <v>2022.09</v>
      </c>
      <c r="G913" s="99" t="s">
        <v>52</v>
      </c>
      <c r="H913" s="99" t="s">
        <v>1264</v>
      </c>
      <c r="I913" s="99" t="s">
        <v>1979</v>
      </c>
      <c r="J913" s="97"/>
      <c r="K913" s="177">
        <v>44805.0</v>
      </c>
      <c r="L913" s="46" t="b">
        <v>1</v>
      </c>
    </row>
    <row r="914" hidden="1">
      <c r="A914" s="4" t="s">
        <v>82</v>
      </c>
      <c r="B914" s="170" t="s">
        <v>1985</v>
      </c>
      <c r="C914" s="171">
        <f>212.5+15</f>
        <v>227.5</v>
      </c>
      <c r="D914" s="172">
        <v>44834.0</v>
      </c>
      <c r="E914" s="170">
        <v>26.0</v>
      </c>
      <c r="F914" s="170">
        <v>2022.09</v>
      </c>
      <c r="G914" s="170" t="s">
        <v>52</v>
      </c>
      <c r="H914" s="170" t="s">
        <v>1264</v>
      </c>
      <c r="I914" s="170" t="s">
        <v>1979</v>
      </c>
      <c r="J914" s="94"/>
      <c r="K914" s="173">
        <v>44805.0</v>
      </c>
      <c r="L914" s="45" t="b">
        <v>1</v>
      </c>
    </row>
    <row r="915" hidden="1">
      <c r="A915" s="16" t="s">
        <v>618</v>
      </c>
      <c r="B915" s="99" t="s">
        <v>1985</v>
      </c>
      <c r="C915" s="174">
        <v>200.0</v>
      </c>
      <c r="D915" s="175">
        <v>44834.0</v>
      </c>
      <c r="E915" s="99">
        <v>26.0</v>
      </c>
      <c r="F915" s="99">
        <v>2022.0</v>
      </c>
      <c r="G915" s="99" t="s">
        <v>1160</v>
      </c>
      <c r="H915" s="99" t="s">
        <v>1264</v>
      </c>
      <c r="I915" s="99" t="s">
        <v>1979</v>
      </c>
      <c r="J915" s="97"/>
      <c r="K915" s="177">
        <v>44805.0</v>
      </c>
      <c r="L915" s="46" t="b">
        <v>1</v>
      </c>
    </row>
    <row r="916" hidden="1">
      <c r="A916" s="4" t="s">
        <v>608</v>
      </c>
      <c r="B916" s="170" t="s">
        <v>1985</v>
      </c>
      <c r="C916" s="171">
        <v>350.0</v>
      </c>
      <c r="D916" s="172">
        <v>44834.0</v>
      </c>
      <c r="E916" s="170">
        <v>26.0</v>
      </c>
      <c r="F916" s="170">
        <v>2022.0</v>
      </c>
      <c r="G916" s="170" t="s">
        <v>1160</v>
      </c>
      <c r="H916" s="170" t="s">
        <v>1264</v>
      </c>
      <c r="I916" s="170" t="s">
        <v>1979</v>
      </c>
      <c r="J916" s="94"/>
      <c r="K916" s="173">
        <v>44805.0</v>
      </c>
      <c r="L916" s="45" t="b">
        <v>1</v>
      </c>
    </row>
    <row r="917" hidden="1">
      <c r="A917" s="16" t="s">
        <v>141</v>
      </c>
      <c r="B917" s="99" t="s">
        <v>1985</v>
      </c>
      <c r="C917" s="174">
        <v>200.0</v>
      </c>
      <c r="D917" s="175">
        <v>44834.0</v>
      </c>
      <c r="E917" s="99">
        <v>26.0</v>
      </c>
      <c r="F917" s="99">
        <v>2022.0</v>
      </c>
      <c r="G917" s="99" t="s">
        <v>1152</v>
      </c>
      <c r="H917" s="99" t="s">
        <v>1264</v>
      </c>
      <c r="I917" s="99" t="s">
        <v>1979</v>
      </c>
      <c r="J917" s="97"/>
      <c r="K917" s="177">
        <v>44805.0</v>
      </c>
      <c r="L917" s="46" t="b">
        <v>1</v>
      </c>
    </row>
    <row r="918" hidden="1">
      <c r="A918" s="4" t="s">
        <v>467</v>
      </c>
      <c r="B918" s="170" t="s">
        <v>1985</v>
      </c>
      <c r="C918" s="171">
        <v>30.0</v>
      </c>
      <c r="D918" s="172">
        <v>44834.0</v>
      </c>
      <c r="E918" s="170">
        <v>26.0</v>
      </c>
      <c r="F918" s="170">
        <v>2022.09</v>
      </c>
      <c r="G918" s="170" t="s">
        <v>52</v>
      </c>
      <c r="H918" s="170" t="s">
        <v>1264</v>
      </c>
      <c r="I918" s="170" t="s">
        <v>1979</v>
      </c>
      <c r="J918" s="170" t="s">
        <v>2084</v>
      </c>
      <c r="K918" s="173">
        <v>44805.0</v>
      </c>
      <c r="L918" s="45" t="b">
        <v>1</v>
      </c>
    </row>
    <row r="919" hidden="1">
      <c r="A919" s="16" t="s">
        <v>66</v>
      </c>
      <c r="B919" s="99" t="s">
        <v>1978</v>
      </c>
      <c r="C919" s="174">
        <v>312.5</v>
      </c>
      <c r="D919" s="175">
        <v>44834.0</v>
      </c>
      <c r="E919" s="99" t="s">
        <v>2085</v>
      </c>
      <c r="F919" s="99">
        <v>2022.09</v>
      </c>
      <c r="G919" s="99" t="s">
        <v>52</v>
      </c>
      <c r="H919" s="99" t="s">
        <v>1264</v>
      </c>
      <c r="I919" s="99" t="s">
        <v>1979</v>
      </c>
      <c r="J919" s="97"/>
      <c r="K919" s="177">
        <v>44805.0</v>
      </c>
      <c r="L919" s="46" t="b">
        <v>1</v>
      </c>
    </row>
    <row r="920" hidden="1">
      <c r="A920" s="4" t="s">
        <v>97</v>
      </c>
      <c r="B920" s="170" t="s">
        <v>1978</v>
      </c>
      <c r="C920" s="171">
        <v>125.0</v>
      </c>
      <c r="D920" s="172">
        <v>44834.0</v>
      </c>
      <c r="E920" s="170" t="s">
        <v>2085</v>
      </c>
      <c r="F920" s="170">
        <v>2022.09</v>
      </c>
      <c r="G920" s="170" t="s">
        <v>52</v>
      </c>
      <c r="H920" s="170" t="s">
        <v>1264</v>
      </c>
      <c r="I920" s="170" t="s">
        <v>1979</v>
      </c>
      <c r="J920" s="94"/>
      <c r="K920" s="173">
        <v>44805.0</v>
      </c>
      <c r="L920" s="45" t="b">
        <v>1</v>
      </c>
    </row>
    <row r="921" hidden="1">
      <c r="A921" s="16" t="s">
        <v>50</v>
      </c>
      <c r="B921" s="99" t="s">
        <v>1978</v>
      </c>
      <c r="C921" s="174">
        <v>137.5</v>
      </c>
      <c r="D921" s="175">
        <v>44834.0</v>
      </c>
      <c r="E921" s="99" t="s">
        <v>2085</v>
      </c>
      <c r="F921" s="99">
        <v>2022.09</v>
      </c>
      <c r="G921" s="99" t="s">
        <v>52</v>
      </c>
      <c r="H921" s="99" t="s">
        <v>1264</v>
      </c>
      <c r="I921" s="99" t="s">
        <v>1979</v>
      </c>
      <c r="J921" s="97"/>
      <c r="K921" s="177">
        <v>44805.0</v>
      </c>
      <c r="L921" s="46" t="b">
        <v>1</v>
      </c>
    </row>
    <row r="922" hidden="1">
      <c r="A922" s="4" t="s">
        <v>223</v>
      </c>
      <c r="B922" s="170" t="s">
        <v>1978</v>
      </c>
      <c r="C922" s="93">
        <f>300+200</f>
        <v>500</v>
      </c>
      <c r="D922" s="172">
        <v>44834.0</v>
      </c>
      <c r="E922" s="170" t="s">
        <v>2085</v>
      </c>
      <c r="F922" s="170">
        <v>2022.09</v>
      </c>
      <c r="G922" s="170" t="s">
        <v>52</v>
      </c>
      <c r="H922" s="170" t="s">
        <v>1264</v>
      </c>
      <c r="I922" s="170" t="s">
        <v>1979</v>
      </c>
      <c r="J922" s="94"/>
      <c r="K922" s="173">
        <v>44805.0</v>
      </c>
      <c r="L922" s="45" t="b">
        <v>1</v>
      </c>
    </row>
    <row r="923" hidden="1">
      <c r="A923" s="16" t="s">
        <v>88</v>
      </c>
      <c r="B923" s="99" t="s">
        <v>1978</v>
      </c>
      <c r="C923" s="174">
        <v>212.5</v>
      </c>
      <c r="D923" s="175">
        <v>44834.0</v>
      </c>
      <c r="E923" s="99" t="s">
        <v>2085</v>
      </c>
      <c r="F923" s="99">
        <v>2022.09</v>
      </c>
      <c r="G923" s="99" t="s">
        <v>52</v>
      </c>
      <c r="H923" s="99" t="s">
        <v>1264</v>
      </c>
      <c r="I923" s="99" t="s">
        <v>1979</v>
      </c>
      <c r="J923" s="97"/>
      <c r="K923" s="177">
        <v>44805.0</v>
      </c>
      <c r="L923" s="46" t="b">
        <v>1</v>
      </c>
    </row>
    <row r="924" hidden="1">
      <c r="A924" s="4" t="s">
        <v>73</v>
      </c>
      <c r="B924" s="170" t="s">
        <v>1978</v>
      </c>
      <c r="C924" s="171">
        <v>262.5</v>
      </c>
      <c r="D924" s="172">
        <v>44834.0</v>
      </c>
      <c r="E924" s="170" t="s">
        <v>2085</v>
      </c>
      <c r="F924" s="170">
        <v>2022.09</v>
      </c>
      <c r="G924" s="170" t="s">
        <v>52</v>
      </c>
      <c r="H924" s="170" t="s">
        <v>1264</v>
      </c>
      <c r="I924" s="170" t="s">
        <v>1979</v>
      </c>
      <c r="J924" s="94"/>
      <c r="K924" s="173">
        <v>44805.0</v>
      </c>
      <c r="L924" s="45" t="b">
        <v>1</v>
      </c>
    </row>
    <row r="925" hidden="1">
      <c r="A925" s="16" t="s">
        <v>58</v>
      </c>
      <c r="B925" s="99" t="s">
        <v>1978</v>
      </c>
      <c r="C925" s="174">
        <v>350.0</v>
      </c>
      <c r="D925" s="175">
        <v>44834.0</v>
      </c>
      <c r="E925" s="99" t="s">
        <v>2085</v>
      </c>
      <c r="F925" s="99">
        <v>2022.09</v>
      </c>
      <c r="G925" s="99" t="s">
        <v>52</v>
      </c>
      <c r="H925" s="99" t="s">
        <v>1264</v>
      </c>
      <c r="I925" s="99" t="s">
        <v>1979</v>
      </c>
      <c r="J925" s="97"/>
      <c r="K925" s="177">
        <v>44805.0</v>
      </c>
      <c r="L925" s="46" t="b">
        <v>1</v>
      </c>
    </row>
    <row r="926" hidden="1">
      <c r="A926" s="4" t="s">
        <v>451</v>
      </c>
      <c r="B926" s="170" t="s">
        <v>1978</v>
      </c>
      <c r="C926" s="171">
        <v>237.5</v>
      </c>
      <c r="D926" s="172">
        <v>44834.0</v>
      </c>
      <c r="E926" s="170" t="s">
        <v>2085</v>
      </c>
      <c r="F926" s="170">
        <v>2022.0</v>
      </c>
      <c r="G926" s="170" t="s">
        <v>1160</v>
      </c>
      <c r="H926" s="170" t="s">
        <v>1264</v>
      </c>
      <c r="I926" s="170" t="s">
        <v>1979</v>
      </c>
      <c r="J926" s="94"/>
      <c r="K926" s="173">
        <v>44805.0</v>
      </c>
      <c r="L926" s="45" t="b">
        <v>1</v>
      </c>
    </row>
    <row r="927" hidden="1">
      <c r="A927" s="16" t="s">
        <v>92</v>
      </c>
      <c r="B927" s="99" t="s">
        <v>1980</v>
      </c>
      <c r="C927" s="96">
        <f>50+225</f>
        <v>275</v>
      </c>
      <c r="D927" s="175">
        <v>44834.0</v>
      </c>
      <c r="E927" s="99">
        <v>115.0</v>
      </c>
      <c r="F927" s="99">
        <v>2022.09</v>
      </c>
      <c r="G927" s="99" t="s">
        <v>52</v>
      </c>
      <c r="H927" s="99" t="s">
        <v>1264</v>
      </c>
      <c r="I927" s="99" t="s">
        <v>1979</v>
      </c>
      <c r="J927" s="97"/>
      <c r="K927" s="177">
        <v>44805.0</v>
      </c>
      <c r="L927" s="46" t="b">
        <v>1</v>
      </c>
    </row>
    <row r="928" hidden="1">
      <c r="A928" s="4" t="s">
        <v>88</v>
      </c>
      <c r="B928" s="170" t="s">
        <v>1980</v>
      </c>
      <c r="C928" s="171">
        <v>45.0</v>
      </c>
      <c r="D928" s="172">
        <v>44834.0</v>
      </c>
      <c r="E928" s="170">
        <v>115.0</v>
      </c>
      <c r="F928" s="170">
        <v>2022.09</v>
      </c>
      <c r="G928" s="170" t="s">
        <v>52</v>
      </c>
      <c r="H928" s="170" t="s">
        <v>1264</v>
      </c>
      <c r="I928" s="170" t="s">
        <v>1979</v>
      </c>
      <c r="J928" s="94"/>
      <c r="K928" s="173">
        <v>44805.0</v>
      </c>
      <c r="L928" s="45" t="b">
        <v>1</v>
      </c>
    </row>
    <row r="929" hidden="1">
      <c r="A929" s="16" t="s">
        <v>97</v>
      </c>
      <c r="B929" s="99" t="s">
        <v>1980</v>
      </c>
      <c r="C929" s="174">
        <v>30.0</v>
      </c>
      <c r="D929" s="175">
        <v>44834.0</v>
      </c>
      <c r="E929" s="99">
        <v>115.0</v>
      </c>
      <c r="F929" s="99">
        <v>2022.09</v>
      </c>
      <c r="G929" s="99" t="s">
        <v>52</v>
      </c>
      <c r="H929" s="99" t="s">
        <v>1264</v>
      </c>
      <c r="I929" s="99" t="s">
        <v>1979</v>
      </c>
      <c r="J929" s="97"/>
      <c r="K929" s="177">
        <v>44805.0</v>
      </c>
      <c r="L929" s="46" t="b">
        <v>1</v>
      </c>
    </row>
    <row r="930" hidden="1">
      <c r="A930" s="4" t="s">
        <v>82</v>
      </c>
      <c r="B930" s="170" t="s">
        <v>1980</v>
      </c>
      <c r="C930" s="171">
        <v>75.0</v>
      </c>
      <c r="D930" s="172">
        <v>44834.0</v>
      </c>
      <c r="E930" s="170">
        <v>115.0</v>
      </c>
      <c r="F930" s="170">
        <v>2022.09</v>
      </c>
      <c r="G930" s="170" t="s">
        <v>52</v>
      </c>
      <c r="H930" s="170" t="s">
        <v>1264</v>
      </c>
      <c r="I930" s="170" t="s">
        <v>1979</v>
      </c>
      <c r="J930" s="94"/>
      <c r="K930" s="173">
        <v>44805.0</v>
      </c>
      <c r="L930" s="45" t="b">
        <v>1</v>
      </c>
    </row>
    <row r="931" hidden="1">
      <c r="A931" s="16" t="s">
        <v>99</v>
      </c>
      <c r="B931" s="99" t="s">
        <v>1980</v>
      </c>
      <c r="C931" s="96">
        <f>120+150</f>
        <v>270</v>
      </c>
      <c r="D931" s="175">
        <v>44834.0</v>
      </c>
      <c r="E931" s="99">
        <v>115.0</v>
      </c>
      <c r="F931" s="99">
        <v>2022.09</v>
      </c>
      <c r="G931" s="99" t="s">
        <v>52</v>
      </c>
      <c r="H931" s="99" t="s">
        <v>1264</v>
      </c>
      <c r="I931" s="99" t="s">
        <v>1979</v>
      </c>
      <c r="J931" s="97"/>
      <c r="K931" s="177">
        <v>44805.0</v>
      </c>
      <c r="L931" s="46" t="b">
        <v>1</v>
      </c>
    </row>
    <row r="932" hidden="1">
      <c r="A932" s="4" t="s">
        <v>68</v>
      </c>
      <c r="B932" s="170" t="s">
        <v>1980</v>
      </c>
      <c r="C932" s="171">
        <v>60.0</v>
      </c>
      <c r="D932" s="172">
        <v>44834.0</v>
      </c>
      <c r="E932" s="170">
        <v>115.0</v>
      </c>
      <c r="F932" s="170">
        <v>2022.09</v>
      </c>
      <c r="G932" s="170" t="s">
        <v>52</v>
      </c>
      <c r="H932" s="170" t="s">
        <v>1264</v>
      </c>
      <c r="I932" s="170" t="s">
        <v>1979</v>
      </c>
      <c r="J932" s="94"/>
      <c r="K932" s="173">
        <v>44805.0</v>
      </c>
      <c r="L932" s="45" t="b">
        <v>1</v>
      </c>
    </row>
    <row r="933" hidden="1">
      <c r="A933" s="16" t="s">
        <v>42</v>
      </c>
      <c r="B933" s="99" t="s">
        <v>1980</v>
      </c>
      <c r="C933" s="174">
        <v>135.0</v>
      </c>
      <c r="D933" s="175">
        <v>44834.0</v>
      </c>
      <c r="E933" s="99">
        <v>115.0</v>
      </c>
      <c r="F933" s="99">
        <v>2022.09</v>
      </c>
      <c r="G933" s="99" t="s">
        <v>52</v>
      </c>
      <c r="H933" s="99" t="s">
        <v>1264</v>
      </c>
      <c r="I933" s="99" t="s">
        <v>1979</v>
      </c>
      <c r="J933" s="97"/>
      <c r="K933" s="177">
        <v>44805.0</v>
      </c>
      <c r="L933" s="46" t="b">
        <v>1</v>
      </c>
    </row>
    <row r="934" hidden="1">
      <c r="A934" s="4" t="s">
        <v>58</v>
      </c>
      <c r="B934" s="170" t="s">
        <v>1980</v>
      </c>
      <c r="C934" s="171">
        <v>50.0</v>
      </c>
      <c r="D934" s="172">
        <v>44834.0</v>
      </c>
      <c r="E934" s="170">
        <v>115.0</v>
      </c>
      <c r="F934" s="170">
        <v>2022.09</v>
      </c>
      <c r="G934" s="170" t="s">
        <v>52</v>
      </c>
      <c r="H934" s="170" t="s">
        <v>1264</v>
      </c>
      <c r="I934" s="170" t="s">
        <v>1979</v>
      </c>
      <c r="J934" s="94"/>
      <c r="K934" s="173">
        <v>44805.0</v>
      </c>
      <c r="L934" s="45" t="b">
        <v>1</v>
      </c>
    </row>
    <row r="935" hidden="1">
      <c r="A935" s="16" t="s">
        <v>123</v>
      </c>
      <c r="B935" s="99" t="s">
        <v>1980</v>
      </c>
      <c r="C935" s="174">
        <v>300.0</v>
      </c>
      <c r="D935" s="175">
        <v>44834.0</v>
      </c>
      <c r="E935" s="99">
        <v>115.0</v>
      </c>
      <c r="F935" s="99">
        <v>2022.09</v>
      </c>
      <c r="G935" s="99" t="s">
        <v>52</v>
      </c>
      <c r="H935" s="99" t="s">
        <v>1264</v>
      </c>
      <c r="I935" s="99" t="s">
        <v>1979</v>
      </c>
      <c r="J935" s="97"/>
      <c r="K935" s="177">
        <v>44805.0</v>
      </c>
      <c r="L935" s="46" t="b">
        <v>1</v>
      </c>
    </row>
    <row r="936" hidden="1">
      <c r="A936" s="4" t="s">
        <v>73</v>
      </c>
      <c r="B936" s="170" t="s">
        <v>1980</v>
      </c>
      <c r="C936" s="171">
        <v>60.0</v>
      </c>
      <c r="D936" s="172">
        <v>44834.0</v>
      </c>
      <c r="E936" s="170">
        <v>115.0</v>
      </c>
      <c r="F936" s="170">
        <v>2022.09</v>
      </c>
      <c r="G936" s="170" t="s">
        <v>52</v>
      </c>
      <c r="H936" s="170" t="s">
        <v>1264</v>
      </c>
      <c r="I936" s="170" t="s">
        <v>1979</v>
      </c>
      <c r="J936" s="94"/>
      <c r="K936" s="173">
        <v>44805.0</v>
      </c>
      <c r="L936" s="45" t="b">
        <v>1</v>
      </c>
    </row>
    <row r="937" hidden="1">
      <c r="A937" s="16" t="s">
        <v>50</v>
      </c>
      <c r="B937" s="99" t="s">
        <v>1980</v>
      </c>
      <c r="C937" s="174">
        <v>30.0</v>
      </c>
      <c r="D937" s="175">
        <v>44834.0</v>
      </c>
      <c r="E937" s="99">
        <v>115.0</v>
      </c>
      <c r="F937" s="99">
        <v>2022.09</v>
      </c>
      <c r="G937" s="99" t="s">
        <v>52</v>
      </c>
      <c r="H937" s="99" t="s">
        <v>1264</v>
      </c>
      <c r="I937" s="99" t="s">
        <v>1979</v>
      </c>
      <c r="J937" s="97"/>
      <c r="K937" s="177">
        <v>44805.0</v>
      </c>
      <c r="L937" s="46" t="b">
        <v>1</v>
      </c>
    </row>
    <row r="938" hidden="1">
      <c r="A938" s="4" t="s">
        <v>62</v>
      </c>
      <c r="B938" s="170" t="s">
        <v>1980</v>
      </c>
      <c r="C938" s="93">
        <f>150+150</f>
        <v>300</v>
      </c>
      <c r="D938" s="172">
        <v>44834.0</v>
      </c>
      <c r="E938" s="170">
        <v>115.0</v>
      </c>
      <c r="F938" s="170">
        <v>2022.09</v>
      </c>
      <c r="G938" s="170" t="s">
        <v>52</v>
      </c>
      <c r="H938" s="170" t="s">
        <v>1264</v>
      </c>
      <c r="I938" s="170" t="s">
        <v>1979</v>
      </c>
      <c r="J938" s="94"/>
      <c r="K938" s="173">
        <v>44805.0</v>
      </c>
      <c r="L938" s="45" t="b">
        <v>1</v>
      </c>
    </row>
    <row r="939" hidden="1">
      <c r="A939" s="16" t="s">
        <v>223</v>
      </c>
      <c r="B939" s="99" t="s">
        <v>1980</v>
      </c>
      <c r="C939" s="174">
        <v>75.0</v>
      </c>
      <c r="D939" s="175">
        <v>44834.0</v>
      </c>
      <c r="E939" s="99">
        <v>115.0</v>
      </c>
      <c r="F939" s="99">
        <v>2022.09</v>
      </c>
      <c r="G939" s="99" t="s">
        <v>52</v>
      </c>
      <c r="H939" s="99" t="s">
        <v>1264</v>
      </c>
      <c r="I939" s="99" t="s">
        <v>1979</v>
      </c>
      <c r="J939" s="97"/>
      <c r="K939" s="177">
        <v>44805.0</v>
      </c>
      <c r="L939" s="46" t="b">
        <v>1</v>
      </c>
    </row>
    <row r="940" hidden="1">
      <c r="A940" s="4" t="s">
        <v>225</v>
      </c>
      <c r="B940" s="170" t="s">
        <v>1980</v>
      </c>
      <c r="C940" s="93">
        <f>1500+360</f>
        <v>1860</v>
      </c>
      <c r="D940" s="172">
        <v>44834.0</v>
      </c>
      <c r="E940" s="170">
        <v>115.0</v>
      </c>
      <c r="F940" s="170">
        <v>2022.09</v>
      </c>
      <c r="G940" s="170" t="s">
        <v>52</v>
      </c>
      <c r="H940" s="170" t="s">
        <v>1264</v>
      </c>
      <c r="I940" s="170" t="s">
        <v>1979</v>
      </c>
      <c r="J940" s="94"/>
      <c r="K940" s="173">
        <v>44805.0</v>
      </c>
      <c r="L940" s="45" t="b">
        <v>1</v>
      </c>
    </row>
    <row r="941" hidden="1">
      <c r="A941" s="16" t="s">
        <v>66</v>
      </c>
      <c r="B941" s="99" t="s">
        <v>1980</v>
      </c>
      <c r="C941" s="174">
        <v>60.0</v>
      </c>
      <c r="D941" s="175">
        <v>44834.0</v>
      </c>
      <c r="E941" s="99">
        <v>115.0</v>
      </c>
      <c r="F941" s="99">
        <v>2022.09</v>
      </c>
      <c r="G941" s="99" t="s">
        <v>52</v>
      </c>
      <c r="H941" s="99" t="s">
        <v>1264</v>
      </c>
      <c r="I941" s="99" t="s">
        <v>1979</v>
      </c>
      <c r="J941" s="97"/>
      <c r="K941" s="177">
        <v>44805.0</v>
      </c>
      <c r="L941" s="46" t="b">
        <v>1</v>
      </c>
    </row>
    <row r="942" hidden="1">
      <c r="A942" s="4" t="s">
        <v>354</v>
      </c>
      <c r="B942" s="170" t="s">
        <v>1980</v>
      </c>
      <c r="C942" s="93">
        <f>150+500</f>
        <v>650</v>
      </c>
      <c r="D942" s="172">
        <v>44834.0</v>
      </c>
      <c r="E942" s="170">
        <v>115.0</v>
      </c>
      <c r="F942" s="170">
        <v>2022.09</v>
      </c>
      <c r="G942" s="170" t="s">
        <v>52</v>
      </c>
      <c r="H942" s="170" t="s">
        <v>1264</v>
      </c>
      <c r="I942" s="170" t="s">
        <v>1979</v>
      </c>
      <c r="J942" s="94"/>
      <c r="K942" s="173">
        <v>44805.0</v>
      </c>
      <c r="L942" s="45" t="b">
        <v>1</v>
      </c>
    </row>
    <row r="943" hidden="1">
      <c r="A943" s="16" t="s">
        <v>427</v>
      </c>
      <c r="B943" s="99" t="s">
        <v>1980</v>
      </c>
      <c r="C943" s="174">
        <v>45.0</v>
      </c>
      <c r="D943" s="175">
        <v>44834.0</v>
      </c>
      <c r="E943" s="99">
        <v>115.0</v>
      </c>
      <c r="F943" s="99">
        <v>2022.0</v>
      </c>
      <c r="G943" s="99" t="s">
        <v>1160</v>
      </c>
      <c r="H943" s="99" t="s">
        <v>1264</v>
      </c>
      <c r="I943" s="99" t="s">
        <v>1979</v>
      </c>
      <c r="J943" s="97"/>
      <c r="K943" s="177">
        <v>44805.0</v>
      </c>
      <c r="L943" s="46" t="b">
        <v>1</v>
      </c>
    </row>
    <row r="944" hidden="1">
      <c r="A944" s="4" t="s">
        <v>499</v>
      </c>
      <c r="B944" s="170" t="s">
        <v>1980</v>
      </c>
      <c r="C944" s="171">
        <v>150.0</v>
      </c>
      <c r="D944" s="172">
        <v>44834.0</v>
      </c>
      <c r="E944" s="170">
        <v>115.0</v>
      </c>
      <c r="F944" s="170">
        <v>2022.09</v>
      </c>
      <c r="G944" s="170" t="s">
        <v>52</v>
      </c>
      <c r="H944" s="170" t="s">
        <v>1264</v>
      </c>
      <c r="I944" s="170" t="s">
        <v>1979</v>
      </c>
      <c r="J944" s="94"/>
      <c r="K944" s="173">
        <v>44805.0</v>
      </c>
      <c r="L944" s="45" t="b">
        <v>1</v>
      </c>
    </row>
    <row r="945" hidden="1">
      <c r="A945" s="16" t="s">
        <v>611</v>
      </c>
      <c r="B945" s="99" t="s">
        <v>1980</v>
      </c>
      <c r="C945" s="96">
        <f>210</f>
        <v>210</v>
      </c>
      <c r="D945" s="175">
        <v>44834.0</v>
      </c>
      <c r="E945" s="99">
        <v>115.0</v>
      </c>
      <c r="F945" s="99">
        <v>2022.0</v>
      </c>
      <c r="G945" s="99" t="s">
        <v>1160</v>
      </c>
      <c r="H945" s="99" t="s">
        <v>1264</v>
      </c>
      <c r="I945" s="99" t="s">
        <v>1979</v>
      </c>
      <c r="J945" s="97"/>
      <c r="K945" s="177">
        <v>44805.0</v>
      </c>
      <c r="L945" s="46" t="b">
        <v>1</v>
      </c>
    </row>
    <row r="946" hidden="1">
      <c r="A946" s="4" t="s">
        <v>451</v>
      </c>
      <c r="B946" s="170" t="s">
        <v>1980</v>
      </c>
      <c r="C946" s="171">
        <v>60.0</v>
      </c>
      <c r="D946" s="172">
        <v>44834.0</v>
      </c>
      <c r="E946" s="170">
        <v>115.0</v>
      </c>
      <c r="F946" s="170">
        <v>2022.0</v>
      </c>
      <c r="G946" s="170" t="s">
        <v>1160</v>
      </c>
      <c r="H946" s="170" t="s">
        <v>1264</v>
      </c>
      <c r="I946" s="170" t="s">
        <v>1979</v>
      </c>
      <c r="J946" s="94"/>
      <c r="K946" s="173">
        <v>44805.0</v>
      </c>
      <c r="L946" s="45" t="b">
        <v>1</v>
      </c>
    </row>
    <row r="947" hidden="1">
      <c r="A947" s="16" t="s">
        <v>549</v>
      </c>
      <c r="B947" s="99" t="s">
        <v>1980</v>
      </c>
      <c r="C947" s="174">
        <v>45.0</v>
      </c>
      <c r="D947" s="175">
        <v>44834.0</v>
      </c>
      <c r="E947" s="99">
        <v>115.0</v>
      </c>
      <c r="F947" s="99">
        <v>2022.09</v>
      </c>
      <c r="G947" s="99" t="s">
        <v>52</v>
      </c>
      <c r="H947" s="99" t="s">
        <v>1264</v>
      </c>
      <c r="I947" s="99" t="s">
        <v>1979</v>
      </c>
      <c r="J947" s="97"/>
      <c r="K947" s="177">
        <v>44805.0</v>
      </c>
      <c r="L947" s="46" t="b">
        <v>1</v>
      </c>
    </row>
    <row r="948" hidden="1">
      <c r="A948" s="4" t="s">
        <v>42</v>
      </c>
      <c r="B948" s="170" t="s">
        <v>1984</v>
      </c>
      <c r="C948" s="171">
        <v>350.0</v>
      </c>
      <c r="D948" s="172">
        <v>44834.0</v>
      </c>
      <c r="E948" s="170">
        <v>9.0</v>
      </c>
      <c r="F948" s="170">
        <v>2022.09</v>
      </c>
      <c r="G948" s="170" t="s">
        <v>52</v>
      </c>
      <c r="H948" s="170" t="s">
        <v>1264</v>
      </c>
      <c r="I948" s="170" t="s">
        <v>1979</v>
      </c>
      <c r="J948" s="94"/>
      <c r="K948" s="173">
        <v>44805.0</v>
      </c>
      <c r="L948" s="45" t="b">
        <v>1</v>
      </c>
    </row>
    <row r="949" hidden="1">
      <c r="A949" s="16" t="s">
        <v>92</v>
      </c>
      <c r="B949" s="99" t="s">
        <v>1984</v>
      </c>
      <c r="C949" s="174">
        <v>212.5</v>
      </c>
      <c r="D949" s="175">
        <v>44834.0</v>
      </c>
      <c r="E949" s="99">
        <v>9.0</v>
      </c>
      <c r="F949" s="99">
        <v>2022.09</v>
      </c>
      <c r="G949" s="99" t="s">
        <v>52</v>
      </c>
      <c r="H949" s="99" t="s">
        <v>1264</v>
      </c>
      <c r="I949" s="99" t="s">
        <v>1979</v>
      </c>
      <c r="J949" s="97"/>
      <c r="K949" s="177">
        <v>44805.0</v>
      </c>
      <c r="L949" s="46" t="b">
        <v>1</v>
      </c>
    </row>
    <row r="950" hidden="1">
      <c r="A950" s="4" t="s">
        <v>54</v>
      </c>
      <c r="B950" s="170" t="s">
        <v>1984</v>
      </c>
      <c r="C950" s="93">
        <f>175+175</f>
        <v>350</v>
      </c>
      <c r="D950" s="172">
        <v>44834.0</v>
      </c>
      <c r="E950" s="170">
        <v>9.0</v>
      </c>
      <c r="F950" s="170">
        <v>2022.09</v>
      </c>
      <c r="G950" s="170" t="s">
        <v>52</v>
      </c>
      <c r="H950" s="170" t="s">
        <v>1264</v>
      </c>
      <c r="I950" s="170" t="s">
        <v>1979</v>
      </c>
      <c r="J950" s="94"/>
      <c r="K950" s="173">
        <v>44805.0</v>
      </c>
      <c r="L950" s="45" t="b">
        <v>1</v>
      </c>
    </row>
    <row r="951" hidden="1">
      <c r="A951" s="16" t="s">
        <v>115</v>
      </c>
      <c r="B951" s="99" t="s">
        <v>1982</v>
      </c>
      <c r="C951" s="174">
        <v>662.5</v>
      </c>
      <c r="D951" s="175">
        <v>44834.0</v>
      </c>
      <c r="E951" s="99" t="s">
        <v>2086</v>
      </c>
      <c r="F951" s="99">
        <v>2022.09</v>
      </c>
      <c r="G951" s="99" t="s">
        <v>52</v>
      </c>
      <c r="H951" s="99" t="s">
        <v>1264</v>
      </c>
      <c r="I951" s="99" t="s">
        <v>1979</v>
      </c>
      <c r="J951" s="97"/>
      <c r="K951" s="177">
        <v>44805.0</v>
      </c>
      <c r="L951" s="46" t="b">
        <v>1</v>
      </c>
    </row>
    <row r="952" hidden="1">
      <c r="A952" s="4" t="s">
        <v>118</v>
      </c>
      <c r="B952" s="170" t="s">
        <v>1982</v>
      </c>
      <c r="C952" s="171">
        <v>662.5</v>
      </c>
      <c r="D952" s="172">
        <v>44834.0</v>
      </c>
      <c r="E952" s="170" t="s">
        <v>2086</v>
      </c>
      <c r="F952" s="170">
        <v>2022.09</v>
      </c>
      <c r="G952" s="170" t="s">
        <v>52</v>
      </c>
      <c r="H952" s="170" t="s">
        <v>1264</v>
      </c>
      <c r="I952" s="170" t="s">
        <v>1979</v>
      </c>
      <c r="J952" s="94"/>
      <c r="K952" s="173">
        <v>44805.0</v>
      </c>
      <c r="L952" s="45" t="b">
        <v>1</v>
      </c>
    </row>
    <row r="953" hidden="1">
      <c r="A953" s="16" t="s">
        <v>92</v>
      </c>
      <c r="B953" s="99" t="s">
        <v>1982</v>
      </c>
      <c r="C953" s="174">
        <v>450.0</v>
      </c>
      <c r="D953" s="175">
        <v>44834.0</v>
      </c>
      <c r="E953" s="99" t="s">
        <v>2086</v>
      </c>
      <c r="F953" s="99">
        <v>2022.09</v>
      </c>
      <c r="G953" s="99" t="s">
        <v>52</v>
      </c>
      <c r="H953" s="99" t="s">
        <v>1264</v>
      </c>
      <c r="I953" s="99" t="s">
        <v>1979</v>
      </c>
      <c r="J953" s="97"/>
      <c r="K953" s="177">
        <v>44805.0</v>
      </c>
      <c r="L953" s="46" t="b">
        <v>1</v>
      </c>
    </row>
    <row r="954" hidden="1">
      <c r="A954" s="4" t="s">
        <v>84</v>
      </c>
      <c r="B954" s="170" t="s">
        <v>1982</v>
      </c>
      <c r="C954" s="171">
        <v>475.0</v>
      </c>
      <c r="D954" s="172">
        <v>44834.0</v>
      </c>
      <c r="E954" s="170" t="s">
        <v>2086</v>
      </c>
      <c r="F954" s="170">
        <v>2022.09</v>
      </c>
      <c r="G954" s="170" t="s">
        <v>52</v>
      </c>
      <c r="H954" s="170" t="s">
        <v>1264</v>
      </c>
      <c r="I954" s="170" t="s">
        <v>1979</v>
      </c>
      <c r="J954" s="94"/>
      <c r="K954" s="173">
        <v>44805.0</v>
      </c>
      <c r="L954" s="45" t="b">
        <v>1</v>
      </c>
    </row>
    <row r="955" hidden="1">
      <c r="A955" s="16" t="s">
        <v>123</v>
      </c>
      <c r="B955" s="99" t="s">
        <v>1982</v>
      </c>
      <c r="C955" s="174">
        <v>1067.5</v>
      </c>
      <c r="D955" s="175">
        <v>44834.0</v>
      </c>
      <c r="E955" s="99" t="s">
        <v>2086</v>
      </c>
      <c r="F955" s="99">
        <v>2022.09</v>
      </c>
      <c r="G955" s="99" t="s">
        <v>52</v>
      </c>
      <c r="H955" s="99" t="s">
        <v>1264</v>
      </c>
      <c r="I955" s="99" t="s">
        <v>1979</v>
      </c>
      <c r="J955" s="97"/>
      <c r="K955" s="177">
        <v>44805.0</v>
      </c>
      <c r="L955" s="46" t="b">
        <v>1</v>
      </c>
    </row>
    <row r="956" hidden="1">
      <c r="A956" s="4" t="s">
        <v>62</v>
      </c>
      <c r="B956" s="170" t="s">
        <v>1982</v>
      </c>
      <c r="C956" s="171">
        <v>450.0</v>
      </c>
      <c r="D956" s="172">
        <v>44834.0</v>
      </c>
      <c r="E956" s="170" t="s">
        <v>2086</v>
      </c>
      <c r="F956" s="170">
        <v>2022.09</v>
      </c>
      <c r="G956" s="170" t="s">
        <v>52</v>
      </c>
      <c r="H956" s="170" t="s">
        <v>1264</v>
      </c>
      <c r="I956" s="170" t="s">
        <v>1979</v>
      </c>
      <c r="J956" s="94"/>
      <c r="K956" s="173">
        <v>44805.0</v>
      </c>
      <c r="L956" s="45" t="b">
        <v>1</v>
      </c>
    </row>
    <row r="957" hidden="1">
      <c r="A957" s="16" t="s">
        <v>99</v>
      </c>
      <c r="B957" s="99" t="s">
        <v>2036</v>
      </c>
      <c r="C957" s="174">
        <v>337.5</v>
      </c>
      <c r="D957" s="175">
        <v>44834.0</v>
      </c>
      <c r="E957" s="99" t="s">
        <v>2085</v>
      </c>
      <c r="F957" s="99">
        <v>2022.09</v>
      </c>
      <c r="G957" s="99" t="s">
        <v>52</v>
      </c>
      <c r="H957" s="99" t="s">
        <v>1264</v>
      </c>
      <c r="I957" s="99" t="s">
        <v>1979</v>
      </c>
      <c r="J957" s="97"/>
      <c r="K957" s="177">
        <v>44805.0</v>
      </c>
      <c r="L957" s="46" t="b">
        <v>1</v>
      </c>
    </row>
    <row r="958" hidden="1">
      <c r="A958" s="4" t="s">
        <v>618</v>
      </c>
      <c r="B958" s="170" t="s">
        <v>2036</v>
      </c>
      <c r="C958" s="171">
        <v>550.0</v>
      </c>
      <c r="D958" s="172">
        <v>44834.0</v>
      </c>
      <c r="E958" s="170" t="s">
        <v>2085</v>
      </c>
      <c r="F958" s="170">
        <v>2022.0</v>
      </c>
      <c r="G958" s="170" t="s">
        <v>1160</v>
      </c>
      <c r="H958" s="170" t="s">
        <v>1264</v>
      </c>
      <c r="I958" s="170" t="s">
        <v>1979</v>
      </c>
      <c r="J958" s="94"/>
      <c r="K958" s="173">
        <v>44805.0</v>
      </c>
      <c r="L958" s="45" t="b">
        <v>1</v>
      </c>
    </row>
    <row r="959" hidden="1">
      <c r="A959" s="16" t="s">
        <v>42</v>
      </c>
      <c r="B959" s="99" t="s">
        <v>2036</v>
      </c>
      <c r="C959" s="174">
        <v>212.5</v>
      </c>
      <c r="D959" s="175">
        <v>44834.0</v>
      </c>
      <c r="E959" s="99" t="s">
        <v>2085</v>
      </c>
      <c r="F959" s="99">
        <v>2022.09</v>
      </c>
      <c r="G959" s="99" t="s">
        <v>52</v>
      </c>
      <c r="H959" s="99" t="s">
        <v>1264</v>
      </c>
      <c r="I959" s="99" t="s">
        <v>1979</v>
      </c>
      <c r="J959" s="97"/>
      <c r="K959" s="177">
        <v>44805.0</v>
      </c>
      <c r="L959" s="46" t="b">
        <v>1</v>
      </c>
    </row>
    <row r="960" hidden="1">
      <c r="A960" s="4" t="s">
        <v>499</v>
      </c>
      <c r="B960" s="170" t="s">
        <v>2036</v>
      </c>
      <c r="C960" s="171">
        <v>150.0</v>
      </c>
      <c r="D960" s="172">
        <v>44834.0</v>
      </c>
      <c r="E960" s="170" t="s">
        <v>2085</v>
      </c>
      <c r="F960" s="170">
        <v>2022.09</v>
      </c>
      <c r="G960" s="170" t="s">
        <v>52</v>
      </c>
      <c r="H960" s="170" t="s">
        <v>1264</v>
      </c>
      <c r="I960" s="170" t="s">
        <v>1979</v>
      </c>
      <c r="J960" s="94"/>
      <c r="K960" s="173">
        <v>44805.0</v>
      </c>
      <c r="L960" s="45" t="b">
        <v>1</v>
      </c>
    </row>
    <row r="961" hidden="1">
      <c r="A961" s="16" t="s">
        <v>549</v>
      </c>
      <c r="B961" s="99" t="s">
        <v>2036</v>
      </c>
      <c r="C961" s="174">
        <v>175.0</v>
      </c>
      <c r="D961" s="175">
        <v>44834.0</v>
      </c>
      <c r="E961" s="99" t="s">
        <v>2085</v>
      </c>
      <c r="F961" s="99">
        <v>2022.09</v>
      </c>
      <c r="G961" s="99" t="s">
        <v>52</v>
      </c>
      <c r="H961" s="99" t="s">
        <v>1264</v>
      </c>
      <c r="I961" s="99" t="s">
        <v>1979</v>
      </c>
      <c r="J961" s="97"/>
      <c r="K961" s="177">
        <v>44805.0</v>
      </c>
      <c r="L961" s="46" t="b">
        <v>1</v>
      </c>
    </row>
    <row r="962" hidden="1">
      <c r="A962" s="4" t="s">
        <v>523</v>
      </c>
      <c r="B962" s="170" t="s">
        <v>2036</v>
      </c>
      <c r="C962" s="171">
        <v>150.0</v>
      </c>
      <c r="D962" s="172">
        <v>44834.0</v>
      </c>
      <c r="E962" s="170" t="s">
        <v>2085</v>
      </c>
      <c r="F962" s="170">
        <v>2022.09</v>
      </c>
      <c r="G962" s="170" t="s">
        <v>52</v>
      </c>
      <c r="H962" s="170" t="s">
        <v>1264</v>
      </c>
      <c r="I962" s="170" t="s">
        <v>1979</v>
      </c>
      <c r="J962" s="94"/>
      <c r="K962" s="173">
        <v>44805.0</v>
      </c>
      <c r="L962" s="45" t="b">
        <v>1</v>
      </c>
    </row>
    <row r="963" hidden="1">
      <c r="A963" s="16" t="s">
        <v>75</v>
      </c>
      <c r="B963" s="99" t="s">
        <v>1983</v>
      </c>
      <c r="C963" s="174">
        <v>187.5</v>
      </c>
      <c r="D963" s="175">
        <v>44834.0</v>
      </c>
      <c r="E963" s="99">
        <v>66.0</v>
      </c>
      <c r="F963" s="99">
        <v>2022.09</v>
      </c>
      <c r="G963" s="99" t="s">
        <v>52</v>
      </c>
      <c r="H963" s="99" t="s">
        <v>1264</v>
      </c>
      <c r="I963" s="99" t="s">
        <v>1979</v>
      </c>
      <c r="J963" s="97"/>
      <c r="K963" s="177">
        <v>44805.0</v>
      </c>
      <c r="L963" s="46" t="b">
        <v>1</v>
      </c>
    </row>
    <row r="964" hidden="1">
      <c r="A964" s="4" t="s">
        <v>1271</v>
      </c>
      <c r="B964" s="170" t="s">
        <v>1976</v>
      </c>
      <c r="C964" s="171">
        <v>3.13</v>
      </c>
      <c r="D964" s="172">
        <v>44848.0</v>
      </c>
      <c r="E964" s="94"/>
      <c r="F964" s="170">
        <v>2022.0</v>
      </c>
      <c r="G964" s="170" t="s">
        <v>1152</v>
      </c>
      <c r="H964" s="170" t="s">
        <v>1264</v>
      </c>
      <c r="I964" s="170" t="s">
        <v>1267</v>
      </c>
      <c r="J964" s="170" t="s">
        <v>2087</v>
      </c>
      <c r="K964" s="173">
        <v>44805.0</v>
      </c>
      <c r="L964" s="45" t="b">
        <v>1</v>
      </c>
    </row>
    <row r="965" hidden="1">
      <c r="A965" s="16" t="s">
        <v>1271</v>
      </c>
      <c r="B965" s="99" t="s">
        <v>1998</v>
      </c>
      <c r="C965" s="174">
        <v>133.75</v>
      </c>
      <c r="D965" s="175">
        <v>44848.0</v>
      </c>
      <c r="E965" s="97"/>
      <c r="F965" s="99">
        <v>2022.0</v>
      </c>
      <c r="G965" s="99" t="s">
        <v>1152</v>
      </c>
      <c r="H965" s="99" t="s">
        <v>1264</v>
      </c>
      <c r="I965" s="99" t="s">
        <v>1995</v>
      </c>
      <c r="J965" s="97"/>
      <c r="K965" s="177">
        <v>44805.0</v>
      </c>
      <c r="L965" s="46" t="b">
        <v>1</v>
      </c>
    </row>
    <row r="966" hidden="1">
      <c r="A966" s="4" t="s">
        <v>1271</v>
      </c>
      <c r="B966" s="170" t="s">
        <v>1994</v>
      </c>
      <c r="C966" s="171">
        <v>14.55</v>
      </c>
      <c r="D966" s="172">
        <v>44848.0</v>
      </c>
      <c r="E966" s="94"/>
      <c r="F966" s="170">
        <v>2022.0</v>
      </c>
      <c r="G966" s="170" t="s">
        <v>1152</v>
      </c>
      <c r="H966" s="170" t="s">
        <v>1264</v>
      </c>
      <c r="I966" s="170" t="s">
        <v>1995</v>
      </c>
      <c r="J966" s="94"/>
      <c r="K966" s="173">
        <v>44805.0</v>
      </c>
      <c r="L966" s="45" t="b">
        <v>1</v>
      </c>
    </row>
    <row r="967" hidden="1">
      <c r="A967" s="16" t="s">
        <v>1271</v>
      </c>
      <c r="B967" s="99" t="s">
        <v>1976</v>
      </c>
      <c r="C967" s="174">
        <v>19.66</v>
      </c>
      <c r="D967" s="175">
        <v>44849.0</v>
      </c>
      <c r="E967" s="97"/>
      <c r="F967" s="99">
        <v>2022.0</v>
      </c>
      <c r="G967" s="99" t="s">
        <v>1152</v>
      </c>
      <c r="H967" s="99" t="s">
        <v>1264</v>
      </c>
      <c r="I967" s="99" t="s">
        <v>1977</v>
      </c>
      <c r="J967" s="99" t="s">
        <v>2088</v>
      </c>
      <c r="K967" s="177">
        <v>44805.0</v>
      </c>
      <c r="L967" s="46" t="b">
        <v>1</v>
      </c>
    </row>
    <row r="968" hidden="1">
      <c r="A968" s="4" t="s">
        <v>1271</v>
      </c>
      <c r="B968" s="170" t="s">
        <v>1976</v>
      </c>
      <c r="C968" s="171">
        <v>3.13</v>
      </c>
      <c r="D968" s="172">
        <v>44850.0</v>
      </c>
      <c r="E968" s="94"/>
      <c r="F968" s="170">
        <v>2022.0</v>
      </c>
      <c r="G968" s="170" t="s">
        <v>1152</v>
      </c>
      <c r="H968" s="170" t="s">
        <v>1264</v>
      </c>
      <c r="I968" s="170" t="s">
        <v>1977</v>
      </c>
      <c r="J968" s="170" t="s">
        <v>2089</v>
      </c>
      <c r="K968" s="173">
        <v>44805.0</v>
      </c>
      <c r="L968" s="45" t="b">
        <v>1</v>
      </c>
    </row>
    <row r="969" hidden="1">
      <c r="A969" s="16" t="s">
        <v>1271</v>
      </c>
      <c r="B969" s="99" t="s">
        <v>1998</v>
      </c>
      <c r="C969" s="174">
        <v>139.64</v>
      </c>
      <c r="D969" s="175">
        <v>44851.0</v>
      </c>
      <c r="E969" s="97"/>
      <c r="F969" s="99">
        <v>2022.0</v>
      </c>
      <c r="G969" s="99" t="s">
        <v>1152</v>
      </c>
      <c r="H969" s="99" t="s">
        <v>1264</v>
      </c>
      <c r="I969" s="99" t="s">
        <v>1995</v>
      </c>
      <c r="J969" s="97"/>
      <c r="K969" s="177">
        <v>44805.0</v>
      </c>
      <c r="L969" s="46" t="b">
        <v>1</v>
      </c>
    </row>
    <row r="970" hidden="1">
      <c r="A970" s="4" t="s">
        <v>92</v>
      </c>
      <c r="B970" s="170" t="s">
        <v>1988</v>
      </c>
      <c r="C970" s="171">
        <v>53.96</v>
      </c>
      <c r="D970" s="172">
        <v>44820.0</v>
      </c>
      <c r="E970" s="94"/>
      <c r="F970" s="170">
        <v>2022.09</v>
      </c>
      <c r="G970" s="170" t="s">
        <v>52</v>
      </c>
      <c r="H970" s="170" t="s">
        <v>1999</v>
      </c>
      <c r="I970" s="170" t="s">
        <v>1977</v>
      </c>
      <c r="J970" s="94"/>
      <c r="K970" s="173">
        <v>44805.0</v>
      </c>
      <c r="L970" s="45" t="b">
        <v>1</v>
      </c>
    </row>
    <row r="971" hidden="1">
      <c r="A971" s="16" t="s">
        <v>118</v>
      </c>
      <c r="B971" s="99" t="s">
        <v>1976</v>
      </c>
      <c r="C971" s="174">
        <v>750.0</v>
      </c>
      <c r="D971" s="175">
        <v>44822.0</v>
      </c>
      <c r="E971" s="97"/>
      <c r="F971" s="99">
        <v>2022.09</v>
      </c>
      <c r="G971" s="99" t="s">
        <v>52</v>
      </c>
      <c r="H971" s="99" t="s">
        <v>1999</v>
      </c>
      <c r="I971" s="99" t="s">
        <v>1977</v>
      </c>
      <c r="J971" s="97"/>
      <c r="K971" s="177">
        <v>44805.0</v>
      </c>
      <c r="L971" s="46" t="b">
        <v>1</v>
      </c>
    </row>
    <row r="972" hidden="1">
      <c r="A972" s="4" t="s">
        <v>115</v>
      </c>
      <c r="B972" s="170" t="s">
        <v>1976</v>
      </c>
      <c r="C972" s="171">
        <v>750.0</v>
      </c>
      <c r="D972" s="172">
        <v>44828.0</v>
      </c>
      <c r="E972" s="94"/>
      <c r="F972" s="170">
        <v>2022.09</v>
      </c>
      <c r="G972" s="170" t="s">
        <v>52</v>
      </c>
      <c r="H972" s="170" t="s">
        <v>1999</v>
      </c>
      <c r="I972" s="170" t="s">
        <v>1977</v>
      </c>
      <c r="J972" s="94"/>
      <c r="K972" s="173">
        <v>44805.0</v>
      </c>
      <c r="L972" s="45" t="b">
        <v>1</v>
      </c>
    </row>
    <row r="973" hidden="1">
      <c r="A973" s="16" t="s">
        <v>118</v>
      </c>
      <c r="B973" s="99" t="s">
        <v>1988</v>
      </c>
      <c r="C973" s="174">
        <v>50.4</v>
      </c>
      <c r="D973" s="175">
        <v>44829.0</v>
      </c>
      <c r="E973" s="97"/>
      <c r="F973" s="99">
        <v>2022.09</v>
      </c>
      <c r="G973" s="99" t="s">
        <v>52</v>
      </c>
      <c r="H973" s="99" t="s">
        <v>1999</v>
      </c>
      <c r="I973" s="99" t="s">
        <v>1977</v>
      </c>
      <c r="J973" s="97"/>
      <c r="K973" s="177">
        <v>44805.0</v>
      </c>
      <c r="L973" s="46" t="b">
        <v>1</v>
      </c>
    </row>
    <row r="974" hidden="1">
      <c r="A974" s="4" t="s">
        <v>115</v>
      </c>
      <c r="B974" s="170" t="s">
        <v>1988</v>
      </c>
      <c r="C974" s="171">
        <v>48.12</v>
      </c>
      <c r="D974" s="172">
        <v>44834.0</v>
      </c>
      <c r="E974" s="94"/>
      <c r="F974" s="170">
        <v>2022.09</v>
      </c>
      <c r="G974" s="170" t="s">
        <v>52</v>
      </c>
      <c r="H974" s="170" t="s">
        <v>1999</v>
      </c>
      <c r="I974" s="170" t="s">
        <v>1977</v>
      </c>
      <c r="J974" s="94"/>
      <c r="K974" s="173">
        <v>44805.0</v>
      </c>
      <c r="L974" s="45" t="b">
        <v>1</v>
      </c>
    </row>
    <row r="975" hidden="1">
      <c r="A975" s="16" t="s">
        <v>115</v>
      </c>
      <c r="B975" s="99" t="s">
        <v>1976</v>
      </c>
      <c r="C975" s="174">
        <v>214.34</v>
      </c>
      <c r="D975" s="175">
        <v>44835.0</v>
      </c>
      <c r="E975" s="97"/>
      <c r="F975" s="99">
        <v>2022.1</v>
      </c>
      <c r="G975" s="99" t="s">
        <v>52</v>
      </c>
      <c r="H975" s="99" t="s">
        <v>1999</v>
      </c>
      <c r="I975" s="99" t="s">
        <v>1977</v>
      </c>
      <c r="J975" s="97"/>
      <c r="K975" s="177">
        <v>44805.0</v>
      </c>
      <c r="L975" s="46" t="b">
        <v>1</v>
      </c>
    </row>
    <row r="976" hidden="1">
      <c r="A976" s="4" t="s">
        <v>118</v>
      </c>
      <c r="B976" s="170" t="s">
        <v>1976</v>
      </c>
      <c r="C976" s="171">
        <v>564.54</v>
      </c>
      <c r="D976" s="172">
        <v>44835.0</v>
      </c>
      <c r="E976" s="94"/>
      <c r="F976" s="170">
        <v>2022.1</v>
      </c>
      <c r="G976" s="170" t="s">
        <v>52</v>
      </c>
      <c r="H976" s="170" t="s">
        <v>1999</v>
      </c>
      <c r="I976" s="170" t="s">
        <v>1977</v>
      </c>
      <c r="J976" s="94"/>
      <c r="K976" s="173">
        <v>44805.0</v>
      </c>
      <c r="L976" s="45" t="b">
        <v>1</v>
      </c>
    </row>
    <row r="977" hidden="1">
      <c r="A977" s="16" t="s">
        <v>1271</v>
      </c>
      <c r="B977" s="99" t="s">
        <v>2090</v>
      </c>
      <c r="C977" s="174">
        <v>57.21</v>
      </c>
      <c r="D977" s="175">
        <v>44836.0</v>
      </c>
      <c r="E977" s="97"/>
      <c r="F977" s="99">
        <v>2022.0</v>
      </c>
      <c r="G977" s="99" t="s">
        <v>1152</v>
      </c>
      <c r="H977" s="99" t="s">
        <v>1999</v>
      </c>
      <c r="I977" s="99" t="s">
        <v>1995</v>
      </c>
      <c r="J977" s="97"/>
      <c r="K977" s="177">
        <v>44805.0</v>
      </c>
      <c r="L977" s="46" t="b">
        <v>1</v>
      </c>
    </row>
    <row r="978" hidden="1">
      <c r="A978" s="4" t="s">
        <v>528</v>
      </c>
      <c r="B978" s="170" t="s">
        <v>2002</v>
      </c>
      <c r="C978" s="171">
        <v>368.15</v>
      </c>
      <c r="D978" s="172">
        <v>44834.0</v>
      </c>
      <c r="E978" s="94"/>
      <c r="F978" s="170">
        <v>2022.0</v>
      </c>
      <c r="G978" s="170" t="s">
        <v>1160</v>
      </c>
      <c r="H978" s="170" t="s">
        <v>1999</v>
      </c>
      <c r="I978" s="170" t="s">
        <v>1979</v>
      </c>
      <c r="J978" s="94"/>
      <c r="K978" s="173">
        <v>44805.0</v>
      </c>
      <c r="L978" s="45" t="b">
        <v>1</v>
      </c>
    </row>
    <row r="979" hidden="1">
      <c r="A979" s="16" t="s">
        <v>54</v>
      </c>
      <c r="B979" s="99" t="s">
        <v>2002</v>
      </c>
      <c r="C979" s="174">
        <v>5.98</v>
      </c>
      <c r="D979" s="175">
        <v>44834.0</v>
      </c>
      <c r="E979" s="97"/>
      <c r="F979" s="99">
        <v>2022.09</v>
      </c>
      <c r="G979" s="99" t="s">
        <v>52</v>
      </c>
      <c r="H979" s="99" t="s">
        <v>1999</v>
      </c>
      <c r="I979" s="99" t="s">
        <v>1979</v>
      </c>
      <c r="J979" s="97"/>
      <c r="K979" s="177">
        <v>44805.0</v>
      </c>
      <c r="L979" s="46" t="b">
        <v>1</v>
      </c>
    </row>
    <row r="980" hidden="1">
      <c r="A980" s="4" t="s">
        <v>632</v>
      </c>
      <c r="B980" s="170" t="s">
        <v>2002</v>
      </c>
      <c r="C980" s="171">
        <v>271.24</v>
      </c>
      <c r="D980" s="172">
        <v>44834.0</v>
      </c>
      <c r="E980" s="94"/>
      <c r="F980" s="170">
        <v>2022.0</v>
      </c>
      <c r="G980" s="170" t="s">
        <v>1160</v>
      </c>
      <c r="H980" s="170" t="s">
        <v>1999</v>
      </c>
      <c r="I980" s="170" t="s">
        <v>1979</v>
      </c>
      <c r="J980" s="94"/>
      <c r="K980" s="173">
        <v>44805.0</v>
      </c>
      <c r="L980" s="45" t="b">
        <v>1</v>
      </c>
    </row>
    <row r="981" hidden="1">
      <c r="A981" s="16" t="s">
        <v>584</v>
      </c>
      <c r="B981" s="99" t="s">
        <v>2002</v>
      </c>
      <c r="C981" s="174">
        <v>228.12</v>
      </c>
      <c r="D981" s="175">
        <v>44834.0</v>
      </c>
      <c r="E981" s="97"/>
      <c r="F981" s="99">
        <v>2022.0</v>
      </c>
      <c r="G981" s="99" t="s">
        <v>1160</v>
      </c>
      <c r="H981" s="99" t="s">
        <v>1999</v>
      </c>
      <c r="I981" s="99" t="s">
        <v>1979</v>
      </c>
      <c r="J981" s="97"/>
      <c r="K981" s="177">
        <v>44805.0</v>
      </c>
      <c r="L981" s="46" t="b">
        <v>1</v>
      </c>
    </row>
    <row r="982" hidden="1">
      <c r="A982" s="4" t="s">
        <v>570</v>
      </c>
      <c r="B982" s="170" t="s">
        <v>2002</v>
      </c>
      <c r="C982" s="171">
        <v>418.66</v>
      </c>
      <c r="D982" s="172">
        <v>44834.0</v>
      </c>
      <c r="E982" s="94"/>
      <c r="F982" s="170">
        <v>2022.0</v>
      </c>
      <c r="G982" s="170" t="s">
        <v>1160</v>
      </c>
      <c r="H982" s="170" t="s">
        <v>1999</v>
      </c>
      <c r="I982" s="170" t="s">
        <v>1979</v>
      </c>
      <c r="J982" s="94"/>
      <c r="K982" s="173">
        <v>44805.0</v>
      </c>
      <c r="L982" s="45" t="b">
        <v>1</v>
      </c>
    </row>
    <row r="983" hidden="1">
      <c r="A983" s="16" t="s">
        <v>565</v>
      </c>
      <c r="B983" s="99" t="s">
        <v>2002</v>
      </c>
      <c r="C983" s="174">
        <v>316.33</v>
      </c>
      <c r="D983" s="175">
        <v>44834.0</v>
      </c>
      <c r="E983" s="97"/>
      <c r="F983" s="99">
        <v>2022.0</v>
      </c>
      <c r="G983" s="99" t="s">
        <v>1160</v>
      </c>
      <c r="H983" s="99" t="s">
        <v>1999</v>
      </c>
      <c r="I983" s="99" t="s">
        <v>1979</v>
      </c>
      <c r="J983" s="97"/>
      <c r="K983" s="177">
        <v>44805.0</v>
      </c>
      <c r="L983" s="46" t="b">
        <v>1</v>
      </c>
    </row>
    <row r="984" hidden="1">
      <c r="A984" s="4" t="s">
        <v>82</v>
      </c>
      <c r="B984" s="170" t="s">
        <v>2002</v>
      </c>
      <c r="C984" s="171">
        <v>86.63</v>
      </c>
      <c r="D984" s="172">
        <v>44834.0</v>
      </c>
      <c r="E984" s="94"/>
      <c r="F984" s="170">
        <v>2022.09</v>
      </c>
      <c r="G984" s="170" t="s">
        <v>52</v>
      </c>
      <c r="H984" s="170" t="s">
        <v>1999</v>
      </c>
      <c r="I984" s="170" t="s">
        <v>1979</v>
      </c>
      <c r="J984" s="94"/>
      <c r="K984" s="173">
        <v>44805.0</v>
      </c>
      <c r="L984" s="45" t="b">
        <v>1</v>
      </c>
    </row>
    <row r="985" hidden="1">
      <c r="A985" s="16" t="s">
        <v>1242</v>
      </c>
      <c r="B985" s="99" t="s">
        <v>2002</v>
      </c>
      <c r="C985" s="174">
        <v>44.22</v>
      </c>
      <c r="D985" s="175">
        <v>44834.0</v>
      </c>
      <c r="E985" s="97"/>
      <c r="F985" s="99">
        <v>2022.0</v>
      </c>
      <c r="G985" s="99" t="s">
        <v>1152</v>
      </c>
      <c r="H985" s="99" t="s">
        <v>1999</v>
      </c>
      <c r="I985" s="99" t="s">
        <v>1979</v>
      </c>
      <c r="J985" s="97"/>
      <c r="K985" s="177">
        <v>44805.0</v>
      </c>
      <c r="L985" s="46" t="b">
        <v>1</v>
      </c>
    </row>
    <row r="986" hidden="1">
      <c r="A986" s="4" t="s">
        <v>354</v>
      </c>
      <c r="B986" s="170" t="s">
        <v>2002</v>
      </c>
      <c r="C986" s="171">
        <v>285.0</v>
      </c>
      <c r="D986" s="172">
        <v>44834.0</v>
      </c>
      <c r="E986" s="94"/>
      <c r="F986" s="170">
        <v>2022.09</v>
      </c>
      <c r="G986" s="170" t="s">
        <v>52</v>
      </c>
      <c r="H986" s="170" t="s">
        <v>1999</v>
      </c>
      <c r="I986" s="170" t="s">
        <v>1979</v>
      </c>
      <c r="J986" s="94"/>
      <c r="K986" s="173">
        <v>44805.0</v>
      </c>
      <c r="L986" s="45" t="b">
        <v>1</v>
      </c>
    </row>
    <row r="987" hidden="1">
      <c r="A987" s="16" t="s">
        <v>476</v>
      </c>
      <c r="B987" s="99" t="s">
        <v>2002</v>
      </c>
      <c r="C987" s="174">
        <v>137.6</v>
      </c>
      <c r="D987" s="175">
        <v>44834.0</v>
      </c>
      <c r="E987" s="97"/>
      <c r="F987" s="99">
        <v>2022.0</v>
      </c>
      <c r="G987" s="99" t="s">
        <v>1160</v>
      </c>
      <c r="H987" s="99" t="s">
        <v>1999</v>
      </c>
      <c r="I987" s="99" t="s">
        <v>1979</v>
      </c>
      <c r="J987" s="97"/>
      <c r="K987" s="177">
        <v>44805.0</v>
      </c>
      <c r="L987" s="46" t="b">
        <v>1</v>
      </c>
    </row>
    <row r="988" hidden="1">
      <c r="A988" s="4" t="s">
        <v>88</v>
      </c>
      <c r="B988" s="170" t="s">
        <v>2002</v>
      </c>
      <c r="C988" s="171">
        <v>42.14</v>
      </c>
      <c r="D988" s="172">
        <v>44834.0</v>
      </c>
      <c r="E988" s="94"/>
      <c r="F988" s="170">
        <v>2022.09</v>
      </c>
      <c r="G988" s="170" t="s">
        <v>52</v>
      </c>
      <c r="H988" s="170" t="s">
        <v>1999</v>
      </c>
      <c r="I988" s="170" t="s">
        <v>1979</v>
      </c>
      <c r="J988" s="94"/>
      <c r="K988" s="173">
        <v>44805.0</v>
      </c>
      <c r="L988" s="45" t="b">
        <v>1</v>
      </c>
    </row>
    <row r="989" hidden="1">
      <c r="A989" s="16" t="s">
        <v>1266</v>
      </c>
      <c r="B989" s="99" t="s">
        <v>2002</v>
      </c>
      <c r="C989" s="174">
        <v>288.39</v>
      </c>
      <c r="D989" s="175">
        <v>44834.0</v>
      </c>
      <c r="E989" s="97"/>
      <c r="F989" s="99">
        <v>2022.0</v>
      </c>
      <c r="G989" s="99" t="s">
        <v>1152</v>
      </c>
      <c r="H989" s="99" t="s">
        <v>1999</v>
      </c>
      <c r="I989" s="99" t="s">
        <v>1979</v>
      </c>
      <c r="J989" s="97"/>
      <c r="K989" s="177">
        <v>44805.0</v>
      </c>
      <c r="L989" s="46" t="b">
        <v>1</v>
      </c>
    </row>
    <row r="990" hidden="1">
      <c r="A990" s="4" t="s">
        <v>90</v>
      </c>
      <c r="B990" s="170" t="s">
        <v>2002</v>
      </c>
      <c r="C990" s="171">
        <v>340.66</v>
      </c>
      <c r="D990" s="172">
        <v>44834.0</v>
      </c>
      <c r="E990" s="94"/>
      <c r="F990" s="170">
        <v>2022.09</v>
      </c>
      <c r="G990" s="170" t="s">
        <v>52</v>
      </c>
      <c r="H990" s="170" t="s">
        <v>1999</v>
      </c>
      <c r="I990" s="170" t="s">
        <v>1979</v>
      </c>
      <c r="J990" s="94"/>
      <c r="K990" s="173">
        <v>44805.0</v>
      </c>
      <c r="L990" s="45" t="b">
        <v>1</v>
      </c>
    </row>
    <row r="991" hidden="1">
      <c r="A991" s="16" t="s">
        <v>123</v>
      </c>
      <c r="B991" s="99" t="s">
        <v>2002</v>
      </c>
      <c r="C991" s="174">
        <v>87.37</v>
      </c>
      <c r="D991" s="175">
        <v>44834.0</v>
      </c>
      <c r="E991" s="97"/>
      <c r="F991" s="99">
        <v>2022.09</v>
      </c>
      <c r="G991" s="99" t="s">
        <v>52</v>
      </c>
      <c r="H991" s="99" t="s">
        <v>1999</v>
      </c>
      <c r="I991" s="99" t="s">
        <v>1979</v>
      </c>
      <c r="J991" s="97"/>
      <c r="K991" s="177">
        <v>44805.0</v>
      </c>
      <c r="L991" s="46" t="b">
        <v>1</v>
      </c>
    </row>
    <row r="992" hidden="1">
      <c r="A992" s="4" t="s">
        <v>560</v>
      </c>
      <c r="B992" s="170" t="s">
        <v>2002</v>
      </c>
      <c r="C992" s="171">
        <v>3061.38</v>
      </c>
      <c r="D992" s="172">
        <v>44834.0</v>
      </c>
      <c r="E992" s="94"/>
      <c r="F992" s="170">
        <v>2022.0</v>
      </c>
      <c r="G992" s="170" t="s">
        <v>1160</v>
      </c>
      <c r="H992" s="170" t="s">
        <v>1999</v>
      </c>
      <c r="I992" s="170" t="s">
        <v>1979</v>
      </c>
      <c r="J992" s="94"/>
      <c r="K992" s="173">
        <v>44805.0</v>
      </c>
      <c r="L992" s="45" t="b">
        <v>1</v>
      </c>
    </row>
    <row r="993" hidden="1">
      <c r="A993" s="16" t="s">
        <v>54</v>
      </c>
      <c r="B993" s="99" t="s">
        <v>1985</v>
      </c>
      <c r="C993" s="174">
        <v>162.5</v>
      </c>
      <c r="D993" s="175">
        <v>44865.0</v>
      </c>
      <c r="E993" s="99">
        <v>27.0</v>
      </c>
      <c r="F993" s="99">
        <v>2022.1</v>
      </c>
      <c r="G993" s="99" t="s">
        <v>52</v>
      </c>
      <c r="H993" s="99" t="s">
        <v>1264</v>
      </c>
      <c r="I993" s="99" t="s">
        <v>1979</v>
      </c>
      <c r="J993" s="194"/>
      <c r="K993" s="177">
        <v>44835.0</v>
      </c>
      <c r="L993" s="46" t="b">
        <v>1</v>
      </c>
    </row>
    <row r="994" hidden="1">
      <c r="A994" s="4" t="s">
        <v>58</v>
      </c>
      <c r="B994" s="170" t="s">
        <v>1985</v>
      </c>
      <c r="C994" s="171">
        <f>250+15</f>
        <v>265</v>
      </c>
      <c r="D994" s="172">
        <v>44865.0</v>
      </c>
      <c r="E994" s="170">
        <v>28.0</v>
      </c>
      <c r="F994" s="170">
        <v>2022.1</v>
      </c>
      <c r="G994" s="170" t="s">
        <v>52</v>
      </c>
      <c r="H994" s="170" t="s">
        <v>1264</v>
      </c>
      <c r="I994" s="170" t="s">
        <v>1979</v>
      </c>
      <c r="J994" s="195"/>
      <c r="K994" s="173">
        <v>44835.0</v>
      </c>
      <c r="L994" s="45" t="b">
        <v>1</v>
      </c>
    </row>
    <row r="995" hidden="1">
      <c r="A995" s="16" t="s">
        <v>120</v>
      </c>
      <c r="B995" s="99" t="s">
        <v>1985</v>
      </c>
      <c r="C995" s="174">
        <v>575.0</v>
      </c>
      <c r="D995" s="175">
        <v>44865.0</v>
      </c>
      <c r="E995" s="99">
        <v>29.0</v>
      </c>
      <c r="F995" s="99">
        <v>2022.1</v>
      </c>
      <c r="G995" s="99" t="s">
        <v>52</v>
      </c>
      <c r="H995" s="99" t="s">
        <v>1264</v>
      </c>
      <c r="I995" s="99" t="s">
        <v>1979</v>
      </c>
      <c r="J995" s="194"/>
      <c r="K995" s="177">
        <v>44835.0</v>
      </c>
      <c r="L995" s="46" t="b">
        <v>1</v>
      </c>
    </row>
    <row r="996" hidden="1">
      <c r="A996" s="4" t="s">
        <v>90</v>
      </c>
      <c r="B996" s="170" t="s">
        <v>1985</v>
      </c>
      <c r="C996" s="171">
        <f>475+15</f>
        <v>490</v>
      </c>
      <c r="D996" s="172">
        <v>44865.0</v>
      </c>
      <c r="E996" s="170">
        <v>30.0</v>
      </c>
      <c r="F996" s="170">
        <v>2022.1</v>
      </c>
      <c r="G996" s="170" t="s">
        <v>52</v>
      </c>
      <c r="H996" s="170" t="s">
        <v>1264</v>
      </c>
      <c r="I996" s="170" t="s">
        <v>1979</v>
      </c>
      <c r="J996" s="195"/>
      <c r="K996" s="173">
        <v>44835.0</v>
      </c>
      <c r="L996" s="45" t="b">
        <v>1</v>
      </c>
    </row>
    <row r="997" hidden="1">
      <c r="A997" s="16" t="s">
        <v>82</v>
      </c>
      <c r="B997" s="99" t="s">
        <v>1985</v>
      </c>
      <c r="C997" s="174">
        <f>212.5+15</f>
        <v>227.5</v>
      </c>
      <c r="D997" s="175">
        <v>44865.0</v>
      </c>
      <c r="E997" s="99">
        <v>31.0</v>
      </c>
      <c r="F997" s="99">
        <v>2022.1</v>
      </c>
      <c r="G997" s="99" t="s">
        <v>52</v>
      </c>
      <c r="H997" s="99" t="s">
        <v>1264</v>
      </c>
      <c r="I997" s="99" t="s">
        <v>1979</v>
      </c>
      <c r="J997" s="194"/>
      <c r="K997" s="177">
        <v>44835.0</v>
      </c>
      <c r="L997" s="46" t="b">
        <v>1</v>
      </c>
    </row>
    <row r="998" hidden="1">
      <c r="A998" s="4" t="s">
        <v>618</v>
      </c>
      <c r="B998" s="170" t="s">
        <v>1985</v>
      </c>
      <c r="C998" s="171">
        <v>125.0</v>
      </c>
      <c r="D998" s="172">
        <v>44865.0</v>
      </c>
      <c r="E998" s="170">
        <v>32.0</v>
      </c>
      <c r="F998" s="170">
        <v>2022.0</v>
      </c>
      <c r="G998" s="170" t="s">
        <v>1160</v>
      </c>
      <c r="H998" s="170" t="s">
        <v>1264</v>
      </c>
      <c r="I998" s="170" t="s">
        <v>1979</v>
      </c>
      <c r="J998" s="195"/>
      <c r="K998" s="173">
        <v>44835.0</v>
      </c>
      <c r="L998" s="45" t="b">
        <v>1</v>
      </c>
    </row>
    <row r="999" hidden="1">
      <c r="A999" s="16" t="s">
        <v>632</v>
      </c>
      <c r="B999" s="99" t="s">
        <v>1985</v>
      </c>
      <c r="C999" s="174">
        <v>500.0</v>
      </c>
      <c r="D999" s="175">
        <v>44865.0</v>
      </c>
      <c r="E999" s="99">
        <v>33.0</v>
      </c>
      <c r="F999" s="99">
        <v>2022.0</v>
      </c>
      <c r="G999" s="99" t="s">
        <v>1160</v>
      </c>
      <c r="H999" s="99" t="s">
        <v>1264</v>
      </c>
      <c r="I999" s="99" t="s">
        <v>1979</v>
      </c>
      <c r="J999" s="81" t="s">
        <v>2091</v>
      </c>
      <c r="K999" s="177">
        <v>44835.0</v>
      </c>
      <c r="L999" s="46" t="b">
        <v>1</v>
      </c>
    </row>
    <row r="1000" hidden="1">
      <c r="A1000" s="4" t="s">
        <v>66</v>
      </c>
      <c r="B1000" s="170" t="s">
        <v>1978</v>
      </c>
      <c r="C1000" s="171">
        <v>312.5</v>
      </c>
      <c r="D1000" s="172">
        <v>44865.0</v>
      </c>
      <c r="E1000" s="196">
        <v>44835.0</v>
      </c>
      <c r="F1000" s="170">
        <v>2022.1</v>
      </c>
      <c r="G1000" s="170" t="s">
        <v>52</v>
      </c>
      <c r="H1000" s="170" t="s">
        <v>1264</v>
      </c>
      <c r="I1000" s="170" t="s">
        <v>1979</v>
      </c>
      <c r="J1000" s="195"/>
      <c r="K1000" s="173">
        <v>44835.0</v>
      </c>
      <c r="L1000" s="45" t="b">
        <v>1</v>
      </c>
    </row>
    <row r="1001" hidden="1">
      <c r="A1001" s="16" t="s">
        <v>97</v>
      </c>
      <c r="B1001" s="99" t="s">
        <v>1978</v>
      </c>
      <c r="C1001" s="174">
        <v>125.0</v>
      </c>
      <c r="D1001" s="175">
        <v>44865.0</v>
      </c>
      <c r="E1001" s="197">
        <v>44835.0</v>
      </c>
      <c r="F1001" s="99">
        <v>2022.1</v>
      </c>
      <c r="G1001" s="99" t="s">
        <v>52</v>
      </c>
      <c r="H1001" s="99" t="s">
        <v>1264</v>
      </c>
      <c r="I1001" s="99" t="s">
        <v>1979</v>
      </c>
      <c r="J1001" s="194"/>
      <c r="K1001" s="177">
        <v>44835.0</v>
      </c>
      <c r="L1001" s="46" t="b">
        <v>1</v>
      </c>
    </row>
    <row r="1002" hidden="1">
      <c r="A1002" s="4" t="s">
        <v>50</v>
      </c>
      <c r="B1002" s="170" t="s">
        <v>1978</v>
      </c>
      <c r="C1002" s="171">
        <v>137.5</v>
      </c>
      <c r="D1002" s="172">
        <v>44865.0</v>
      </c>
      <c r="E1002" s="196">
        <v>44835.0</v>
      </c>
      <c r="F1002" s="170">
        <v>2022.1</v>
      </c>
      <c r="G1002" s="170" t="s">
        <v>52</v>
      </c>
      <c r="H1002" s="170" t="s">
        <v>1264</v>
      </c>
      <c r="I1002" s="170" t="s">
        <v>1979</v>
      </c>
      <c r="J1002" s="195"/>
      <c r="K1002" s="173">
        <v>44835.0</v>
      </c>
      <c r="L1002" s="45" t="b">
        <v>1</v>
      </c>
    </row>
    <row r="1003" hidden="1">
      <c r="A1003" s="16" t="s">
        <v>223</v>
      </c>
      <c r="B1003" s="99" t="s">
        <v>1978</v>
      </c>
      <c r="C1003" s="174">
        <v>500.0</v>
      </c>
      <c r="D1003" s="175">
        <v>44865.0</v>
      </c>
      <c r="E1003" s="197">
        <v>44835.0</v>
      </c>
      <c r="F1003" s="99">
        <v>2022.1</v>
      </c>
      <c r="G1003" s="99" t="s">
        <v>52</v>
      </c>
      <c r="H1003" s="99" t="s">
        <v>1264</v>
      </c>
      <c r="I1003" s="99" t="s">
        <v>1979</v>
      </c>
      <c r="J1003" s="194"/>
      <c r="K1003" s="177">
        <v>44835.0</v>
      </c>
      <c r="L1003" s="46" t="b">
        <v>1</v>
      </c>
    </row>
    <row r="1004" hidden="1">
      <c r="A1004" s="4" t="s">
        <v>88</v>
      </c>
      <c r="B1004" s="170" t="s">
        <v>1978</v>
      </c>
      <c r="C1004" s="171">
        <v>212.5</v>
      </c>
      <c r="D1004" s="172">
        <v>44865.0</v>
      </c>
      <c r="E1004" s="196">
        <v>44835.0</v>
      </c>
      <c r="F1004" s="170">
        <v>2022.1</v>
      </c>
      <c r="G1004" s="170" t="s">
        <v>52</v>
      </c>
      <c r="H1004" s="170" t="s">
        <v>1264</v>
      </c>
      <c r="I1004" s="170" t="s">
        <v>1979</v>
      </c>
      <c r="J1004" s="195"/>
      <c r="K1004" s="173">
        <v>44835.0</v>
      </c>
      <c r="L1004" s="45" t="b">
        <v>1</v>
      </c>
    </row>
    <row r="1005" hidden="1">
      <c r="A1005" s="16" t="s">
        <v>73</v>
      </c>
      <c r="B1005" s="99" t="s">
        <v>1978</v>
      </c>
      <c r="C1005" s="174">
        <v>262.5</v>
      </c>
      <c r="D1005" s="175">
        <v>44865.0</v>
      </c>
      <c r="E1005" s="197">
        <v>44835.0</v>
      </c>
      <c r="F1005" s="99">
        <v>2022.1</v>
      </c>
      <c r="G1005" s="99" t="s">
        <v>52</v>
      </c>
      <c r="H1005" s="99" t="s">
        <v>1264</v>
      </c>
      <c r="I1005" s="99" t="s">
        <v>1979</v>
      </c>
      <c r="J1005" s="194"/>
      <c r="K1005" s="177">
        <v>44835.0</v>
      </c>
      <c r="L1005" s="46" t="b">
        <v>1</v>
      </c>
    </row>
    <row r="1006" hidden="1">
      <c r="A1006" s="4" t="s">
        <v>451</v>
      </c>
      <c r="B1006" s="170" t="s">
        <v>1978</v>
      </c>
      <c r="C1006" s="171">
        <v>237.5</v>
      </c>
      <c r="D1006" s="172">
        <v>44865.0</v>
      </c>
      <c r="E1006" s="196">
        <v>44835.0</v>
      </c>
      <c r="F1006" s="170">
        <v>2022.0</v>
      </c>
      <c r="G1006" s="170" t="s">
        <v>1160</v>
      </c>
      <c r="H1006" s="170" t="s">
        <v>1264</v>
      </c>
      <c r="I1006" s="170" t="s">
        <v>1979</v>
      </c>
      <c r="J1006" s="195"/>
      <c r="K1006" s="173">
        <v>44835.0</v>
      </c>
      <c r="L1006" s="45" t="b">
        <v>1</v>
      </c>
    </row>
    <row r="1007" hidden="1">
      <c r="A1007" s="16" t="s">
        <v>42</v>
      </c>
      <c r="B1007" s="99" t="s">
        <v>1984</v>
      </c>
      <c r="C1007" s="174">
        <v>350.0</v>
      </c>
      <c r="D1007" s="175">
        <v>44865.0</v>
      </c>
      <c r="E1007" s="99">
        <v>10.0</v>
      </c>
      <c r="F1007" s="99">
        <v>2022.1</v>
      </c>
      <c r="G1007" s="99" t="s">
        <v>52</v>
      </c>
      <c r="H1007" s="99" t="s">
        <v>1264</v>
      </c>
      <c r="I1007" s="99" t="s">
        <v>1979</v>
      </c>
      <c r="J1007" s="194"/>
      <c r="K1007" s="177">
        <v>44835.0</v>
      </c>
      <c r="L1007" s="46" t="b">
        <v>1</v>
      </c>
    </row>
    <row r="1008" hidden="1">
      <c r="A1008" s="4" t="s">
        <v>92</v>
      </c>
      <c r="B1008" s="170" t="s">
        <v>1984</v>
      </c>
      <c r="C1008" s="171">
        <v>212.5</v>
      </c>
      <c r="D1008" s="172">
        <v>44865.0</v>
      </c>
      <c r="E1008" s="170">
        <v>10.0</v>
      </c>
      <c r="F1008" s="170">
        <v>2022.1</v>
      </c>
      <c r="G1008" s="170" t="s">
        <v>52</v>
      </c>
      <c r="H1008" s="170" t="s">
        <v>1264</v>
      </c>
      <c r="I1008" s="170" t="s">
        <v>1979</v>
      </c>
      <c r="J1008" s="195"/>
      <c r="K1008" s="173">
        <v>44835.0</v>
      </c>
      <c r="L1008" s="45" t="b">
        <v>1</v>
      </c>
    </row>
    <row r="1009" hidden="1">
      <c r="A1009" s="16" t="s">
        <v>552</v>
      </c>
      <c r="B1009" s="99" t="s">
        <v>1986</v>
      </c>
      <c r="C1009" s="174">
        <v>21.0</v>
      </c>
      <c r="D1009" s="175">
        <v>44865.0</v>
      </c>
      <c r="E1009" s="99">
        <v>12.0</v>
      </c>
      <c r="F1009" s="99">
        <v>2022.0</v>
      </c>
      <c r="G1009" s="99" t="s">
        <v>1160</v>
      </c>
      <c r="H1009" s="99" t="s">
        <v>1264</v>
      </c>
      <c r="I1009" s="99" t="s">
        <v>1979</v>
      </c>
      <c r="J1009" s="194"/>
      <c r="K1009" s="177">
        <v>44835.0</v>
      </c>
      <c r="L1009" s="46" t="b">
        <v>1</v>
      </c>
    </row>
    <row r="1010" hidden="1">
      <c r="A1010" s="4" t="s">
        <v>82</v>
      </c>
      <c r="B1010" s="170" t="s">
        <v>1986</v>
      </c>
      <c r="C1010" s="171">
        <v>225.0</v>
      </c>
      <c r="D1010" s="172">
        <v>44865.0</v>
      </c>
      <c r="E1010" s="170">
        <v>12.0</v>
      </c>
      <c r="F1010" s="170">
        <v>2022.1</v>
      </c>
      <c r="G1010" s="170" t="s">
        <v>52</v>
      </c>
      <c r="H1010" s="170" t="s">
        <v>1264</v>
      </c>
      <c r="I1010" s="170" t="s">
        <v>1979</v>
      </c>
      <c r="J1010" s="195"/>
      <c r="K1010" s="173">
        <v>44835.0</v>
      </c>
      <c r="L1010" s="45" t="b">
        <v>1</v>
      </c>
    </row>
    <row r="1011" hidden="1">
      <c r="A1011" s="16" t="s">
        <v>92</v>
      </c>
      <c r="B1011" s="99" t="s">
        <v>1986</v>
      </c>
      <c r="C1011" s="174">
        <v>300.0</v>
      </c>
      <c r="D1011" s="175">
        <v>44865.0</v>
      </c>
      <c r="E1011" s="99">
        <v>12.0</v>
      </c>
      <c r="F1011" s="99">
        <v>2022.1</v>
      </c>
      <c r="G1011" s="99" t="s">
        <v>52</v>
      </c>
      <c r="H1011" s="99" t="s">
        <v>1264</v>
      </c>
      <c r="I1011" s="99" t="s">
        <v>1979</v>
      </c>
      <c r="J1011" s="194"/>
      <c r="K1011" s="177">
        <v>44835.0</v>
      </c>
      <c r="L1011" s="46" t="b">
        <v>1</v>
      </c>
    </row>
    <row r="1012" hidden="1">
      <c r="A1012" s="4" t="s">
        <v>427</v>
      </c>
      <c r="B1012" s="170" t="s">
        <v>1986</v>
      </c>
      <c r="C1012" s="171">
        <v>175.0</v>
      </c>
      <c r="D1012" s="172">
        <v>44865.0</v>
      </c>
      <c r="E1012" s="170">
        <v>12.0</v>
      </c>
      <c r="F1012" s="170">
        <v>2022.0</v>
      </c>
      <c r="G1012" s="170" t="s">
        <v>1160</v>
      </c>
      <c r="H1012" s="170" t="s">
        <v>1264</v>
      </c>
      <c r="I1012" s="170" t="s">
        <v>1979</v>
      </c>
      <c r="J1012" s="195"/>
      <c r="K1012" s="173">
        <v>44835.0</v>
      </c>
      <c r="L1012" s="45" t="b">
        <v>1</v>
      </c>
    </row>
    <row r="1013" hidden="1">
      <c r="A1013" s="16" t="s">
        <v>92</v>
      </c>
      <c r="B1013" s="99" t="s">
        <v>1980</v>
      </c>
      <c r="C1013" s="174">
        <v>275.0</v>
      </c>
      <c r="D1013" s="175">
        <v>44865.0</v>
      </c>
      <c r="E1013" s="99">
        <v>116.0</v>
      </c>
      <c r="F1013" s="99">
        <v>2022.1</v>
      </c>
      <c r="G1013" s="99" t="s">
        <v>52</v>
      </c>
      <c r="H1013" s="99" t="s">
        <v>1264</v>
      </c>
      <c r="I1013" s="99" t="s">
        <v>1979</v>
      </c>
      <c r="J1013" s="194"/>
      <c r="K1013" s="177">
        <v>44835.0</v>
      </c>
      <c r="L1013" s="46" t="b">
        <v>1</v>
      </c>
    </row>
    <row r="1014" hidden="1">
      <c r="A1014" s="4" t="s">
        <v>88</v>
      </c>
      <c r="B1014" s="170" t="s">
        <v>1980</v>
      </c>
      <c r="C1014" s="171">
        <v>45.0</v>
      </c>
      <c r="D1014" s="172">
        <v>44865.0</v>
      </c>
      <c r="E1014" s="170">
        <v>116.0</v>
      </c>
      <c r="F1014" s="170">
        <v>2022.1</v>
      </c>
      <c r="G1014" s="170" t="s">
        <v>52</v>
      </c>
      <c r="H1014" s="170" t="s">
        <v>1264</v>
      </c>
      <c r="I1014" s="170" t="s">
        <v>1979</v>
      </c>
      <c r="J1014" s="195"/>
      <c r="K1014" s="173">
        <v>44835.0</v>
      </c>
      <c r="L1014" s="45" t="b">
        <v>1</v>
      </c>
    </row>
    <row r="1015" hidden="1">
      <c r="A1015" s="16" t="s">
        <v>97</v>
      </c>
      <c r="B1015" s="99" t="s">
        <v>1980</v>
      </c>
      <c r="C1015" s="174">
        <v>30.0</v>
      </c>
      <c r="D1015" s="175">
        <v>44865.0</v>
      </c>
      <c r="E1015" s="99">
        <v>116.0</v>
      </c>
      <c r="F1015" s="99">
        <v>2022.1</v>
      </c>
      <c r="G1015" s="99" t="s">
        <v>52</v>
      </c>
      <c r="H1015" s="99" t="s">
        <v>1264</v>
      </c>
      <c r="I1015" s="99" t="s">
        <v>1979</v>
      </c>
      <c r="J1015" s="194"/>
      <c r="K1015" s="177">
        <v>44835.0</v>
      </c>
      <c r="L1015" s="46" t="b">
        <v>1</v>
      </c>
    </row>
    <row r="1016" hidden="1">
      <c r="A1016" s="4" t="s">
        <v>82</v>
      </c>
      <c r="B1016" s="170" t="s">
        <v>1980</v>
      </c>
      <c r="C1016" s="171">
        <v>75.0</v>
      </c>
      <c r="D1016" s="172">
        <v>44865.0</v>
      </c>
      <c r="E1016" s="170">
        <v>116.0</v>
      </c>
      <c r="F1016" s="170">
        <v>2022.1</v>
      </c>
      <c r="G1016" s="170" t="s">
        <v>52</v>
      </c>
      <c r="H1016" s="170" t="s">
        <v>1264</v>
      </c>
      <c r="I1016" s="170" t="s">
        <v>1979</v>
      </c>
      <c r="J1016" s="195"/>
      <c r="K1016" s="173">
        <v>44835.0</v>
      </c>
      <c r="L1016" s="45" t="b">
        <v>1</v>
      </c>
    </row>
    <row r="1017" hidden="1">
      <c r="A1017" s="16" t="s">
        <v>99</v>
      </c>
      <c r="B1017" s="99" t="s">
        <v>1980</v>
      </c>
      <c r="C1017" s="174">
        <v>270.0</v>
      </c>
      <c r="D1017" s="175">
        <v>44865.0</v>
      </c>
      <c r="E1017" s="99">
        <v>116.0</v>
      </c>
      <c r="F1017" s="99">
        <v>2022.1</v>
      </c>
      <c r="G1017" s="99" t="s">
        <v>52</v>
      </c>
      <c r="H1017" s="99" t="s">
        <v>1264</v>
      </c>
      <c r="I1017" s="99" t="s">
        <v>1979</v>
      </c>
      <c r="J1017" s="194"/>
      <c r="K1017" s="177">
        <v>44835.0</v>
      </c>
      <c r="L1017" s="46" t="b">
        <v>1</v>
      </c>
    </row>
    <row r="1018" hidden="1">
      <c r="A1018" s="4" t="s">
        <v>42</v>
      </c>
      <c r="B1018" s="170" t="s">
        <v>1980</v>
      </c>
      <c r="C1018" s="171">
        <v>135.0</v>
      </c>
      <c r="D1018" s="172">
        <v>44865.0</v>
      </c>
      <c r="E1018" s="170">
        <v>116.0</v>
      </c>
      <c r="F1018" s="170">
        <v>2022.1</v>
      </c>
      <c r="G1018" s="170" t="s">
        <v>52</v>
      </c>
      <c r="H1018" s="170" t="s">
        <v>1264</v>
      </c>
      <c r="I1018" s="170" t="s">
        <v>1979</v>
      </c>
      <c r="J1018" s="195"/>
      <c r="K1018" s="173">
        <v>44835.0</v>
      </c>
      <c r="L1018" s="45" t="b">
        <v>1</v>
      </c>
    </row>
    <row r="1019" hidden="1">
      <c r="A1019" s="16" t="s">
        <v>58</v>
      </c>
      <c r="B1019" s="99" t="s">
        <v>1980</v>
      </c>
      <c r="C1019" s="174">
        <v>400.0</v>
      </c>
      <c r="D1019" s="175">
        <v>44865.0</v>
      </c>
      <c r="E1019" s="99">
        <v>116.0</v>
      </c>
      <c r="F1019" s="99">
        <v>2022.1</v>
      </c>
      <c r="G1019" s="99" t="s">
        <v>52</v>
      </c>
      <c r="H1019" s="99" t="s">
        <v>1264</v>
      </c>
      <c r="I1019" s="99" t="s">
        <v>1979</v>
      </c>
      <c r="J1019" s="194"/>
      <c r="K1019" s="177">
        <v>44835.0</v>
      </c>
      <c r="L1019" s="46" t="b">
        <v>1</v>
      </c>
    </row>
    <row r="1020" hidden="1">
      <c r="A1020" s="4" t="s">
        <v>123</v>
      </c>
      <c r="B1020" s="170" t="s">
        <v>1980</v>
      </c>
      <c r="C1020" s="171">
        <v>300.0</v>
      </c>
      <c r="D1020" s="172">
        <v>44865.0</v>
      </c>
      <c r="E1020" s="170">
        <v>116.0</v>
      </c>
      <c r="F1020" s="170">
        <v>2022.1</v>
      </c>
      <c r="G1020" s="170" t="s">
        <v>52</v>
      </c>
      <c r="H1020" s="170" t="s">
        <v>1264</v>
      </c>
      <c r="I1020" s="170" t="s">
        <v>1979</v>
      </c>
      <c r="J1020" s="195"/>
      <c r="K1020" s="173">
        <v>44835.0</v>
      </c>
      <c r="L1020" s="45" t="b">
        <v>1</v>
      </c>
    </row>
    <row r="1021" hidden="1">
      <c r="A1021" s="16" t="s">
        <v>73</v>
      </c>
      <c r="B1021" s="99" t="s">
        <v>1980</v>
      </c>
      <c r="C1021" s="174">
        <v>60.0</v>
      </c>
      <c r="D1021" s="175">
        <v>44865.0</v>
      </c>
      <c r="E1021" s="99">
        <v>116.0</v>
      </c>
      <c r="F1021" s="99">
        <v>2022.1</v>
      </c>
      <c r="G1021" s="99" t="s">
        <v>52</v>
      </c>
      <c r="H1021" s="99" t="s">
        <v>1264</v>
      </c>
      <c r="I1021" s="99" t="s">
        <v>1979</v>
      </c>
      <c r="J1021" s="194"/>
      <c r="K1021" s="177">
        <v>44835.0</v>
      </c>
      <c r="L1021" s="46" t="b">
        <v>1</v>
      </c>
    </row>
    <row r="1022" hidden="1">
      <c r="A1022" s="4" t="s">
        <v>50</v>
      </c>
      <c r="B1022" s="170" t="s">
        <v>1980</v>
      </c>
      <c r="C1022" s="171">
        <v>30.0</v>
      </c>
      <c r="D1022" s="172">
        <v>44865.0</v>
      </c>
      <c r="E1022" s="170">
        <v>116.0</v>
      </c>
      <c r="F1022" s="170">
        <v>2022.1</v>
      </c>
      <c r="G1022" s="170" t="s">
        <v>52</v>
      </c>
      <c r="H1022" s="170" t="s">
        <v>1264</v>
      </c>
      <c r="I1022" s="170" t="s">
        <v>1979</v>
      </c>
      <c r="J1022" s="195"/>
      <c r="K1022" s="173">
        <v>44835.0</v>
      </c>
      <c r="L1022" s="45" t="b">
        <v>1</v>
      </c>
    </row>
    <row r="1023" hidden="1">
      <c r="A1023" s="16" t="s">
        <v>62</v>
      </c>
      <c r="B1023" s="99" t="s">
        <v>1980</v>
      </c>
      <c r="C1023" s="174">
        <v>300.0</v>
      </c>
      <c r="D1023" s="175">
        <v>44865.0</v>
      </c>
      <c r="E1023" s="99">
        <v>116.0</v>
      </c>
      <c r="F1023" s="99">
        <v>2022.1</v>
      </c>
      <c r="G1023" s="99" t="s">
        <v>52</v>
      </c>
      <c r="H1023" s="99" t="s">
        <v>1264</v>
      </c>
      <c r="I1023" s="99" t="s">
        <v>1979</v>
      </c>
      <c r="J1023" s="194"/>
      <c r="K1023" s="177">
        <v>44835.0</v>
      </c>
      <c r="L1023" s="46" t="b">
        <v>1</v>
      </c>
    </row>
    <row r="1024" hidden="1">
      <c r="A1024" s="4" t="s">
        <v>223</v>
      </c>
      <c r="B1024" s="170" t="s">
        <v>1980</v>
      </c>
      <c r="C1024" s="171">
        <v>75.0</v>
      </c>
      <c r="D1024" s="172">
        <v>44865.0</v>
      </c>
      <c r="E1024" s="170">
        <v>116.0</v>
      </c>
      <c r="F1024" s="170">
        <v>2022.1</v>
      </c>
      <c r="G1024" s="170" t="s">
        <v>52</v>
      </c>
      <c r="H1024" s="170" t="s">
        <v>1264</v>
      </c>
      <c r="I1024" s="170" t="s">
        <v>1979</v>
      </c>
      <c r="J1024" s="195"/>
      <c r="K1024" s="173">
        <v>44835.0</v>
      </c>
      <c r="L1024" s="45" t="b">
        <v>1</v>
      </c>
    </row>
    <row r="1025" hidden="1">
      <c r="A1025" s="16" t="s">
        <v>225</v>
      </c>
      <c r="B1025" s="99" t="s">
        <v>1980</v>
      </c>
      <c r="C1025" s="174">
        <v>1860.0</v>
      </c>
      <c r="D1025" s="175">
        <v>44865.0</v>
      </c>
      <c r="E1025" s="99">
        <v>116.0</v>
      </c>
      <c r="F1025" s="99">
        <v>2022.1</v>
      </c>
      <c r="G1025" s="99" t="s">
        <v>52</v>
      </c>
      <c r="H1025" s="99" t="s">
        <v>1264</v>
      </c>
      <c r="I1025" s="99" t="s">
        <v>1979</v>
      </c>
      <c r="J1025" s="194"/>
      <c r="K1025" s="177">
        <v>44835.0</v>
      </c>
      <c r="L1025" s="46" t="b">
        <v>1</v>
      </c>
    </row>
    <row r="1026" hidden="1">
      <c r="A1026" s="4" t="s">
        <v>66</v>
      </c>
      <c r="B1026" s="170" t="s">
        <v>1980</v>
      </c>
      <c r="C1026" s="171">
        <v>60.0</v>
      </c>
      <c r="D1026" s="172">
        <v>44865.0</v>
      </c>
      <c r="E1026" s="170">
        <v>116.0</v>
      </c>
      <c r="F1026" s="170">
        <v>2022.1</v>
      </c>
      <c r="G1026" s="170" t="s">
        <v>52</v>
      </c>
      <c r="H1026" s="170" t="s">
        <v>1264</v>
      </c>
      <c r="I1026" s="170" t="s">
        <v>1979</v>
      </c>
      <c r="J1026" s="195"/>
      <c r="K1026" s="173">
        <v>44835.0</v>
      </c>
      <c r="L1026" s="45" t="b">
        <v>1</v>
      </c>
    </row>
    <row r="1027" hidden="1">
      <c r="A1027" s="16" t="s">
        <v>427</v>
      </c>
      <c r="B1027" s="99" t="s">
        <v>1980</v>
      </c>
      <c r="C1027" s="174">
        <v>45.0</v>
      </c>
      <c r="D1027" s="175">
        <v>44865.0</v>
      </c>
      <c r="E1027" s="99">
        <v>116.0</v>
      </c>
      <c r="F1027" s="99">
        <v>2022.0</v>
      </c>
      <c r="G1027" s="99" t="s">
        <v>1160</v>
      </c>
      <c r="H1027" s="99" t="s">
        <v>1264</v>
      </c>
      <c r="I1027" s="99" t="s">
        <v>1979</v>
      </c>
      <c r="J1027" s="194"/>
      <c r="K1027" s="177">
        <v>44835.0</v>
      </c>
      <c r="L1027" s="46" t="b">
        <v>1</v>
      </c>
    </row>
    <row r="1028" hidden="1">
      <c r="A1028" s="4" t="s">
        <v>499</v>
      </c>
      <c r="B1028" s="170" t="s">
        <v>1980</v>
      </c>
      <c r="C1028" s="171">
        <v>150.0</v>
      </c>
      <c r="D1028" s="172">
        <v>44865.0</v>
      </c>
      <c r="E1028" s="170">
        <v>116.0</v>
      </c>
      <c r="F1028" s="170">
        <v>2022.1</v>
      </c>
      <c r="G1028" s="170" t="s">
        <v>52</v>
      </c>
      <c r="H1028" s="170" t="s">
        <v>1264</v>
      </c>
      <c r="I1028" s="170" t="s">
        <v>1979</v>
      </c>
      <c r="J1028" s="195"/>
      <c r="K1028" s="173">
        <v>44835.0</v>
      </c>
      <c r="L1028" s="45" t="b">
        <v>1</v>
      </c>
    </row>
    <row r="1029" hidden="1">
      <c r="A1029" s="16" t="s">
        <v>611</v>
      </c>
      <c r="B1029" s="99" t="s">
        <v>1980</v>
      </c>
      <c r="C1029" s="174">
        <v>180.0</v>
      </c>
      <c r="D1029" s="175">
        <v>44865.0</v>
      </c>
      <c r="E1029" s="99">
        <v>116.0</v>
      </c>
      <c r="F1029" s="99">
        <v>2022.0</v>
      </c>
      <c r="G1029" s="99" t="s">
        <v>1160</v>
      </c>
      <c r="H1029" s="99" t="s">
        <v>1264</v>
      </c>
      <c r="I1029" s="99" t="s">
        <v>1979</v>
      </c>
      <c r="J1029" s="194"/>
      <c r="K1029" s="177">
        <v>44835.0</v>
      </c>
      <c r="L1029" s="46" t="b">
        <v>1</v>
      </c>
    </row>
    <row r="1030" hidden="1">
      <c r="A1030" s="4" t="s">
        <v>451</v>
      </c>
      <c r="B1030" s="170" t="s">
        <v>1980</v>
      </c>
      <c r="C1030" s="171">
        <v>60.0</v>
      </c>
      <c r="D1030" s="172">
        <v>44865.0</v>
      </c>
      <c r="E1030" s="170">
        <v>116.0</v>
      </c>
      <c r="F1030" s="170">
        <v>2022.0</v>
      </c>
      <c r="G1030" s="170" t="s">
        <v>1160</v>
      </c>
      <c r="H1030" s="170" t="s">
        <v>1264</v>
      </c>
      <c r="I1030" s="170" t="s">
        <v>1979</v>
      </c>
      <c r="J1030" s="195"/>
      <c r="K1030" s="173">
        <v>44835.0</v>
      </c>
      <c r="L1030" s="45" t="b">
        <v>1</v>
      </c>
    </row>
    <row r="1031" hidden="1">
      <c r="A1031" s="16" t="s">
        <v>549</v>
      </c>
      <c r="B1031" s="99" t="s">
        <v>1980</v>
      </c>
      <c r="C1031" s="174">
        <v>45.0</v>
      </c>
      <c r="D1031" s="175">
        <v>44865.0</v>
      </c>
      <c r="E1031" s="99">
        <v>116.0</v>
      </c>
      <c r="F1031" s="99">
        <v>2022.1</v>
      </c>
      <c r="G1031" s="99" t="s">
        <v>52</v>
      </c>
      <c r="H1031" s="99" t="s">
        <v>1264</v>
      </c>
      <c r="I1031" s="99" t="s">
        <v>1979</v>
      </c>
      <c r="J1031" s="194"/>
      <c r="K1031" s="177">
        <v>44835.0</v>
      </c>
      <c r="L1031" s="46" t="b">
        <v>1</v>
      </c>
    </row>
    <row r="1032" hidden="1">
      <c r="A1032" s="4" t="s">
        <v>481</v>
      </c>
      <c r="B1032" s="170" t="s">
        <v>1980</v>
      </c>
      <c r="C1032" s="171">
        <f>212.5+45</f>
        <v>257.5</v>
      </c>
      <c r="D1032" s="172">
        <v>44865.0</v>
      </c>
      <c r="E1032" s="170">
        <v>116.0</v>
      </c>
      <c r="F1032" s="170">
        <v>2022.0</v>
      </c>
      <c r="G1032" s="170" t="s">
        <v>1160</v>
      </c>
      <c r="H1032" s="170" t="s">
        <v>1264</v>
      </c>
      <c r="I1032" s="170" t="s">
        <v>1979</v>
      </c>
      <c r="J1032" s="195"/>
      <c r="K1032" s="173">
        <v>44835.0</v>
      </c>
      <c r="L1032" s="45" t="b">
        <v>1</v>
      </c>
    </row>
    <row r="1033" hidden="1">
      <c r="A1033" s="16" t="s">
        <v>102</v>
      </c>
      <c r="B1033" s="99" t="s">
        <v>1987</v>
      </c>
      <c r="C1033" s="174">
        <v>150.0</v>
      </c>
      <c r="D1033" s="175">
        <v>44865.0</v>
      </c>
      <c r="E1033" s="99">
        <v>1026.0</v>
      </c>
      <c r="F1033" s="99">
        <v>2022.1</v>
      </c>
      <c r="G1033" s="99" t="s">
        <v>52</v>
      </c>
      <c r="H1033" s="99" t="s">
        <v>1264</v>
      </c>
      <c r="I1033" s="99" t="s">
        <v>1979</v>
      </c>
      <c r="J1033" s="194"/>
      <c r="K1033" s="177">
        <v>44835.0</v>
      </c>
      <c r="L1033" s="46" t="b">
        <v>1</v>
      </c>
    </row>
    <row r="1034" hidden="1">
      <c r="A1034" s="4" t="s">
        <v>115</v>
      </c>
      <c r="B1034" s="170" t="s">
        <v>1982</v>
      </c>
      <c r="C1034" s="171">
        <v>662.5</v>
      </c>
      <c r="D1034" s="172">
        <v>44865.0</v>
      </c>
      <c r="E1034" s="170" t="s">
        <v>2092</v>
      </c>
      <c r="F1034" s="170">
        <v>2022.1</v>
      </c>
      <c r="G1034" s="170" t="s">
        <v>52</v>
      </c>
      <c r="H1034" s="170" t="s">
        <v>1264</v>
      </c>
      <c r="I1034" s="170" t="s">
        <v>1979</v>
      </c>
      <c r="J1034" s="195"/>
      <c r="K1034" s="173">
        <v>44835.0</v>
      </c>
      <c r="L1034" s="45" t="b">
        <v>1</v>
      </c>
    </row>
    <row r="1035" hidden="1">
      <c r="A1035" s="16" t="s">
        <v>118</v>
      </c>
      <c r="B1035" s="99" t="s">
        <v>1982</v>
      </c>
      <c r="C1035" s="174">
        <v>662.5</v>
      </c>
      <c r="D1035" s="175">
        <v>44865.0</v>
      </c>
      <c r="E1035" s="99" t="s">
        <v>2092</v>
      </c>
      <c r="F1035" s="99">
        <v>2022.1</v>
      </c>
      <c r="G1035" s="99" t="s">
        <v>52</v>
      </c>
      <c r="H1035" s="99" t="s">
        <v>1264</v>
      </c>
      <c r="I1035" s="99" t="s">
        <v>1979</v>
      </c>
      <c r="J1035" s="194"/>
      <c r="K1035" s="177">
        <v>44835.0</v>
      </c>
      <c r="L1035" s="46" t="b">
        <v>1</v>
      </c>
    </row>
    <row r="1036" hidden="1">
      <c r="A1036" s="4" t="s">
        <v>92</v>
      </c>
      <c r="B1036" s="170" t="s">
        <v>1982</v>
      </c>
      <c r="C1036" s="171">
        <v>350.0</v>
      </c>
      <c r="D1036" s="172">
        <v>44865.0</v>
      </c>
      <c r="E1036" s="170" t="s">
        <v>2092</v>
      </c>
      <c r="F1036" s="170">
        <v>2022.1</v>
      </c>
      <c r="G1036" s="170" t="s">
        <v>52</v>
      </c>
      <c r="H1036" s="170" t="s">
        <v>1264</v>
      </c>
      <c r="I1036" s="170" t="s">
        <v>1979</v>
      </c>
      <c r="J1036" s="195"/>
      <c r="K1036" s="173">
        <v>44835.0</v>
      </c>
      <c r="L1036" s="45" t="b">
        <v>1</v>
      </c>
    </row>
    <row r="1037" hidden="1">
      <c r="A1037" s="16" t="s">
        <v>84</v>
      </c>
      <c r="B1037" s="99" t="s">
        <v>1982</v>
      </c>
      <c r="C1037" s="174">
        <v>475.0</v>
      </c>
      <c r="D1037" s="175">
        <v>44865.0</v>
      </c>
      <c r="E1037" s="99" t="s">
        <v>2092</v>
      </c>
      <c r="F1037" s="99">
        <v>2022.1</v>
      </c>
      <c r="G1037" s="99" t="s">
        <v>52</v>
      </c>
      <c r="H1037" s="99" t="s">
        <v>1264</v>
      </c>
      <c r="I1037" s="99" t="s">
        <v>1979</v>
      </c>
      <c r="J1037" s="194"/>
      <c r="K1037" s="177">
        <v>44835.0</v>
      </c>
      <c r="L1037" s="46" t="b">
        <v>1</v>
      </c>
    </row>
    <row r="1038" hidden="1">
      <c r="A1038" s="4" t="s">
        <v>123</v>
      </c>
      <c r="B1038" s="170" t="s">
        <v>1982</v>
      </c>
      <c r="C1038" s="171">
        <v>1087.5</v>
      </c>
      <c r="D1038" s="172">
        <v>44865.0</v>
      </c>
      <c r="E1038" s="170" t="s">
        <v>2092</v>
      </c>
      <c r="F1038" s="170">
        <v>2022.1</v>
      </c>
      <c r="G1038" s="170" t="s">
        <v>52</v>
      </c>
      <c r="H1038" s="170" t="s">
        <v>1264</v>
      </c>
      <c r="I1038" s="170" t="s">
        <v>1979</v>
      </c>
      <c r="J1038" s="195"/>
      <c r="K1038" s="173">
        <v>44835.0</v>
      </c>
      <c r="L1038" s="45" t="b">
        <v>1</v>
      </c>
    </row>
    <row r="1039" hidden="1">
      <c r="A1039" s="16" t="s">
        <v>62</v>
      </c>
      <c r="B1039" s="99" t="s">
        <v>1982</v>
      </c>
      <c r="C1039" s="174">
        <v>450.0</v>
      </c>
      <c r="D1039" s="175">
        <v>44865.0</v>
      </c>
      <c r="E1039" s="99" t="s">
        <v>2092</v>
      </c>
      <c r="F1039" s="99">
        <v>2022.1</v>
      </c>
      <c r="G1039" s="99" t="s">
        <v>52</v>
      </c>
      <c r="H1039" s="99" t="s">
        <v>1264</v>
      </c>
      <c r="I1039" s="99" t="s">
        <v>1979</v>
      </c>
      <c r="J1039" s="194"/>
      <c r="K1039" s="177">
        <v>44835.0</v>
      </c>
      <c r="L1039" s="46" t="b">
        <v>1</v>
      </c>
    </row>
    <row r="1040" hidden="1">
      <c r="A1040" s="4" t="s">
        <v>99</v>
      </c>
      <c r="B1040" s="170" t="s">
        <v>2036</v>
      </c>
      <c r="C1040" s="171">
        <v>337.5</v>
      </c>
      <c r="D1040" s="172">
        <v>44865.0</v>
      </c>
      <c r="E1040" s="196">
        <v>44835.0</v>
      </c>
      <c r="F1040" s="170">
        <v>2022.1</v>
      </c>
      <c r="G1040" s="170" t="s">
        <v>52</v>
      </c>
      <c r="H1040" s="170" t="s">
        <v>1264</v>
      </c>
      <c r="I1040" s="170" t="s">
        <v>1979</v>
      </c>
      <c r="J1040" s="195"/>
      <c r="K1040" s="173">
        <v>44835.0</v>
      </c>
      <c r="L1040" s="45" t="b">
        <v>1</v>
      </c>
    </row>
    <row r="1041" hidden="1">
      <c r="A1041" s="16" t="s">
        <v>611</v>
      </c>
      <c r="B1041" s="99" t="s">
        <v>2036</v>
      </c>
      <c r="C1041" s="174">
        <v>450.0</v>
      </c>
      <c r="D1041" s="175">
        <v>44865.0</v>
      </c>
      <c r="E1041" s="197">
        <v>44835.0</v>
      </c>
      <c r="F1041" s="99">
        <v>2022.0</v>
      </c>
      <c r="G1041" s="99" t="s">
        <v>1160</v>
      </c>
      <c r="H1041" s="99" t="s">
        <v>1264</v>
      </c>
      <c r="I1041" s="99" t="s">
        <v>1979</v>
      </c>
      <c r="J1041" s="194"/>
      <c r="K1041" s="177">
        <v>44835.0</v>
      </c>
      <c r="L1041" s="46" t="b">
        <v>1</v>
      </c>
    </row>
    <row r="1042" hidden="1">
      <c r="A1042" s="4" t="s">
        <v>42</v>
      </c>
      <c r="B1042" s="170" t="s">
        <v>2036</v>
      </c>
      <c r="C1042" s="171">
        <v>212.5</v>
      </c>
      <c r="D1042" s="172">
        <v>44865.0</v>
      </c>
      <c r="E1042" s="196">
        <v>44835.0</v>
      </c>
      <c r="F1042" s="170">
        <v>2022.1</v>
      </c>
      <c r="G1042" s="170" t="s">
        <v>52</v>
      </c>
      <c r="H1042" s="170" t="s">
        <v>1264</v>
      </c>
      <c r="I1042" s="170" t="s">
        <v>1979</v>
      </c>
      <c r="J1042" s="195"/>
      <c r="K1042" s="173">
        <v>44835.0</v>
      </c>
      <c r="L1042" s="45" t="b">
        <v>1</v>
      </c>
    </row>
    <row r="1043" hidden="1">
      <c r="A1043" s="16" t="s">
        <v>499</v>
      </c>
      <c r="B1043" s="99" t="s">
        <v>2036</v>
      </c>
      <c r="C1043" s="174">
        <v>150.0</v>
      </c>
      <c r="D1043" s="175">
        <v>44865.0</v>
      </c>
      <c r="E1043" s="197">
        <v>44835.0</v>
      </c>
      <c r="F1043" s="99">
        <v>2022.1</v>
      </c>
      <c r="G1043" s="99" t="s">
        <v>52</v>
      </c>
      <c r="H1043" s="99" t="s">
        <v>1264</v>
      </c>
      <c r="I1043" s="99" t="s">
        <v>1979</v>
      </c>
      <c r="J1043" s="194"/>
      <c r="K1043" s="177">
        <v>44835.0</v>
      </c>
      <c r="L1043" s="46" t="b">
        <v>1</v>
      </c>
    </row>
    <row r="1044" hidden="1">
      <c r="A1044" s="4" t="s">
        <v>549</v>
      </c>
      <c r="B1044" s="170" t="s">
        <v>2036</v>
      </c>
      <c r="C1044" s="171">
        <v>175.0</v>
      </c>
      <c r="D1044" s="172">
        <v>44865.0</v>
      </c>
      <c r="E1044" s="196">
        <v>44835.0</v>
      </c>
      <c r="F1044" s="170">
        <v>2022.1</v>
      </c>
      <c r="G1044" s="170" t="s">
        <v>52</v>
      </c>
      <c r="H1044" s="170" t="s">
        <v>1264</v>
      </c>
      <c r="I1044" s="170" t="s">
        <v>1979</v>
      </c>
      <c r="J1044" s="195"/>
      <c r="K1044" s="173">
        <v>44835.0</v>
      </c>
      <c r="L1044" s="45" t="b">
        <v>1</v>
      </c>
    </row>
    <row r="1045" hidden="1">
      <c r="A1045" s="16" t="s">
        <v>523</v>
      </c>
      <c r="B1045" s="99" t="s">
        <v>2036</v>
      </c>
      <c r="C1045" s="174">
        <v>150.0</v>
      </c>
      <c r="D1045" s="175">
        <v>44865.0</v>
      </c>
      <c r="E1045" s="197">
        <v>44835.0</v>
      </c>
      <c r="F1045" s="99">
        <v>2022.1</v>
      </c>
      <c r="G1045" s="99" t="s">
        <v>52</v>
      </c>
      <c r="H1045" s="99" t="s">
        <v>1264</v>
      </c>
      <c r="I1045" s="99" t="s">
        <v>1979</v>
      </c>
      <c r="J1045" s="194"/>
      <c r="K1045" s="177">
        <v>44835.0</v>
      </c>
      <c r="L1045" s="46" t="b">
        <v>1</v>
      </c>
    </row>
    <row r="1046" hidden="1">
      <c r="A1046" s="4" t="s">
        <v>1271</v>
      </c>
      <c r="B1046" s="170" t="s">
        <v>1994</v>
      </c>
      <c r="C1046" s="171">
        <v>15.3</v>
      </c>
      <c r="D1046" s="172">
        <v>44877.0</v>
      </c>
      <c r="E1046" s="94"/>
      <c r="F1046" s="170">
        <v>2022.0</v>
      </c>
      <c r="G1046" s="170" t="s">
        <v>1152</v>
      </c>
      <c r="H1046" s="170" t="s">
        <v>1264</v>
      </c>
      <c r="I1046" s="170" t="s">
        <v>1995</v>
      </c>
      <c r="J1046" s="195"/>
      <c r="K1046" s="173">
        <v>44835.0</v>
      </c>
      <c r="L1046" s="45" t="b">
        <v>1</v>
      </c>
    </row>
    <row r="1047" hidden="1">
      <c r="A1047" s="16" t="s">
        <v>1271</v>
      </c>
      <c r="B1047" s="99" t="s">
        <v>1996</v>
      </c>
      <c r="C1047" s="174">
        <v>239.04</v>
      </c>
      <c r="D1047" s="175">
        <v>44878.0</v>
      </c>
      <c r="E1047" s="97"/>
      <c r="F1047" s="99">
        <v>2022.0</v>
      </c>
      <c r="G1047" s="99" t="s">
        <v>1152</v>
      </c>
      <c r="H1047" s="99" t="s">
        <v>1264</v>
      </c>
      <c r="I1047" s="99" t="s">
        <v>1995</v>
      </c>
      <c r="J1047" s="81" t="s">
        <v>2093</v>
      </c>
      <c r="K1047" s="177">
        <v>44835.0</v>
      </c>
      <c r="L1047" s="46" t="b">
        <v>1</v>
      </c>
    </row>
    <row r="1048" hidden="1">
      <c r="A1048" s="4" t="s">
        <v>1271</v>
      </c>
      <c r="B1048" s="170" t="s">
        <v>1976</v>
      </c>
      <c r="C1048" s="171">
        <v>65.53</v>
      </c>
      <c r="D1048" s="172">
        <v>44879.0</v>
      </c>
      <c r="E1048" s="94"/>
      <c r="F1048" s="170">
        <v>2022.0</v>
      </c>
      <c r="G1048" s="170" t="s">
        <v>1152</v>
      </c>
      <c r="H1048" s="170" t="s">
        <v>1264</v>
      </c>
      <c r="I1048" s="170" t="s">
        <v>1995</v>
      </c>
      <c r="J1048" s="198" t="s">
        <v>2094</v>
      </c>
      <c r="K1048" s="173">
        <v>44835.0</v>
      </c>
      <c r="L1048" s="45" t="b">
        <v>1</v>
      </c>
    </row>
    <row r="1049" hidden="1">
      <c r="A1049" s="16" t="s">
        <v>1271</v>
      </c>
      <c r="B1049" s="99" t="s">
        <v>1229</v>
      </c>
      <c r="C1049" s="174">
        <v>78.73</v>
      </c>
      <c r="D1049" s="175">
        <v>44880.0</v>
      </c>
      <c r="E1049" s="97"/>
      <c r="F1049" s="99">
        <v>2022.0</v>
      </c>
      <c r="G1049" s="99" t="s">
        <v>1152</v>
      </c>
      <c r="H1049" s="99" t="s">
        <v>1264</v>
      </c>
      <c r="I1049" s="99" t="s">
        <v>1990</v>
      </c>
      <c r="J1049" s="81" t="s">
        <v>2095</v>
      </c>
      <c r="K1049" s="177">
        <v>44835.0</v>
      </c>
      <c r="L1049" s="46" t="b">
        <v>1</v>
      </c>
    </row>
    <row r="1050" hidden="1">
      <c r="A1050" s="4" t="s">
        <v>189</v>
      </c>
      <c r="B1050" s="170" t="s">
        <v>2002</v>
      </c>
      <c r="C1050" s="171">
        <v>61.74</v>
      </c>
      <c r="D1050" s="172">
        <v>44865.0</v>
      </c>
      <c r="E1050" s="199"/>
      <c r="F1050" s="170">
        <v>2022.0</v>
      </c>
      <c r="G1050" s="170" t="s">
        <v>1160</v>
      </c>
      <c r="H1050" s="170" t="s">
        <v>1999</v>
      </c>
      <c r="I1050" s="170" t="s">
        <v>1979</v>
      </c>
      <c r="J1050" s="195"/>
      <c r="K1050" s="173">
        <v>44835.0</v>
      </c>
      <c r="L1050" s="45" t="b">
        <v>1</v>
      </c>
    </row>
    <row r="1051" hidden="1">
      <c r="A1051" s="16" t="s">
        <v>630</v>
      </c>
      <c r="B1051" s="99" t="s">
        <v>2002</v>
      </c>
      <c r="C1051" s="174">
        <v>53.49</v>
      </c>
      <c r="D1051" s="175">
        <v>44865.0</v>
      </c>
      <c r="E1051" s="200"/>
      <c r="F1051" s="99">
        <v>2022.1</v>
      </c>
      <c r="G1051" s="99" t="s">
        <v>52</v>
      </c>
      <c r="H1051" s="99" t="s">
        <v>1999</v>
      </c>
      <c r="I1051" s="99" t="s">
        <v>1979</v>
      </c>
      <c r="J1051" s="194"/>
      <c r="K1051" s="177">
        <v>44835.0</v>
      </c>
      <c r="L1051" s="46" t="b">
        <v>1</v>
      </c>
    </row>
    <row r="1052" hidden="1">
      <c r="A1052" s="4" t="s">
        <v>120</v>
      </c>
      <c r="B1052" s="170" t="s">
        <v>2002</v>
      </c>
      <c r="C1052" s="171">
        <v>19.74</v>
      </c>
      <c r="D1052" s="172">
        <v>44865.0</v>
      </c>
      <c r="E1052" s="199"/>
      <c r="F1052" s="170">
        <v>2022.1</v>
      </c>
      <c r="G1052" s="170" t="s">
        <v>52</v>
      </c>
      <c r="H1052" s="170" t="s">
        <v>1999</v>
      </c>
      <c r="I1052" s="170" t="s">
        <v>1979</v>
      </c>
      <c r="J1052" s="195"/>
      <c r="K1052" s="173">
        <v>44835.0</v>
      </c>
      <c r="L1052" s="45" t="b">
        <v>1</v>
      </c>
    </row>
    <row r="1053" hidden="1">
      <c r="A1053" s="16" t="s">
        <v>632</v>
      </c>
      <c r="B1053" s="99" t="s">
        <v>2002</v>
      </c>
      <c r="C1053" s="174">
        <v>1741.31</v>
      </c>
      <c r="D1053" s="175">
        <v>44865.0</v>
      </c>
      <c r="E1053" s="200"/>
      <c r="F1053" s="99">
        <v>2022.0</v>
      </c>
      <c r="G1053" s="99" t="s">
        <v>1160</v>
      </c>
      <c r="H1053" s="99" t="s">
        <v>1999</v>
      </c>
      <c r="I1053" s="99" t="s">
        <v>1979</v>
      </c>
      <c r="J1053" s="194"/>
      <c r="K1053" s="177">
        <v>44835.0</v>
      </c>
      <c r="L1053" s="46" t="b">
        <v>1</v>
      </c>
    </row>
    <row r="1054" hidden="1">
      <c r="A1054" s="4" t="s">
        <v>584</v>
      </c>
      <c r="B1054" s="170" t="s">
        <v>2002</v>
      </c>
      <c r="C1054" s="171">
        <v>37.85</v>
      </c>
      <c r="D1054" s="172">
        <v>44865.0</v>
      </c>
      <c r="E1054" s="199"/>
      <c r="F1054" s="170">
        <v>2022.0</v>
      </c>
      <c r="G1054" s="170" t="s">
        <v>1160</v>
      </c>
      <c r="H1054" s="170" t="s">
        <v>1999</v>
      </c>
      <c r="I1054" s="170" t="s">
        <v>1979</v>
      </c>
      <c r="J1054" s="195"/>
      <c r="K1054" s="173">
        <v>44835.0</v>
      </c>
      <c r="L1054" s="45" t="b">
        <v>1</v>
      </c>
    </row>
    <row r="1055" hidden="1">
      <c r="A1055" s="16" t="s">
        <v>82</v>
      </c>
      <c r="B1055" s="99" t="s">
        <v>2002</v>
      </c>
      <c r="C1055" s="174">
        <v>24.78</v>
      </c>
      <c r="D1055" s="175">
        <v>44865.0</v>
      </c>
      <c r="E1055" s="200"/>
      <c r="F1055" s="99">
        <v>2022.1</v>
      </c>
      <c r="G1055" s="99" t="s">
        <v>52</v>
      </c>
      <c r="H1055" s="99" t="s">
        <v>1999</v>
      </c>
      <c r="I1055" s="99" t="s">
        <v>1979</v>
      </c>
      <c r="J1055" s="194"/>
      <c r="K1055" s="177">
        <v>44835.0</v>
      </c>
      <c r="L1055" s="46" t="b">
        <v>1</v>
      </c>
    </row>
    <row r="1056" hidden="1">
      <c r="A1056" s="4" t="s">
        <v>606</v>
      </c>
      <c r="B1056" s="170" t="s">
        <v>2002</v>
      </c>
      <c r="C1056" s="171">
        <v>16.42</v>
      </c>
      <c r="D1056" s="172">
        <v>44865.0</v>
      </c>
      <c r="E1056" s="199"/>
      <c r="F1056" s="170">
        <v>2022.0</v>
      </c>
      <c r="G1056" s="170" t="s">
        <v>1160</v>
      </c>
      <c r="H1056" s="170" t="s">
        <v>1999</v>
      </c>
      <c r="I1056" s="170" t="s">
        <v>1979</v>
      </c>
      <c r="J1056" s="195"/>
      <c r="K1056" s="173">
        <v>44835.0</v>
      </c>
      <c r="L1056" s="45" t="b">
        <v>1</v>
      </c>
    </row>
    <row r="1057" hidden="1">
      <c r="A1057" s="16" t="s">
        <v>1266</v>
      </c>
      <c r="B1057" s="99" t="s">
        <v>2002</v>
      </c>
      <c r="C1057" s="174">
        <v>325.32</v>
      </c>
      <c r="D1057" s="175">
        <v>44865.0</v>
      </c>
      <c r="E1057" s="200"/>
      <c r="F1057" s="99">
        <v>2022.0</v>
      </c>
      <c r="G1057" s="99" t="s">
        <v>1152</v>
      </c>
      <c r="H1057" s="99" t="s">
        <v>1999</v>
      </c>
      <c r="I1057" s="99" t="s">
        <v>1979</v>
      </c>
      <c r="J1057" s="194"/>
      <c r="K1057" s="177">
        <v>44835.0</v>
      </c>
      <c r="L1057" s="46" t="b">
        <v>1</v>
      </c>
    </row>
    <row r="1058" hidden="1">
      <c r="A1058" s="4" t="s">
        <v>90</v>
      </c>
      <c r="B1058" s="170" t="s">
        <v>2002</v>
      </c>
      <c r="C1058" s="171">
        <v>23.46</v>
      </c>
      <c r="D1058" s="172">
        <v>44865.0</v>
      </c>
      <c r="E1058" s="199"/>
      <c r="F1058" s="170">
        <v>2022.1</v>
      </c>
      <c r="G1058" s="170" t="s">
        <v>52</v>
      </c>
      <c r="H1058" s="170" t="s">
        <v>1999</v>
      </c>
      <c r="I1058" s="170" t="s">
        <v>1979</v>
      </c>
      <c r="J1058" s="195"/>
      <c r="K1058" s="173">
        <v>44835.0</v>
      </c>
      <c r="L1058" s="45" t="b">
        <v>1</v>
      </c>
    </row>
    <row r="1059" hidden="1">
      <c r="A1059" s="16" t="s">
        <v>645</v>
      </c>
      <c r="B1059" s="99" t="s">
        <v>2002</v>
      </c>
      <c r="C1059" s="174">
        <v>2255.64</v>
      </c>
      <c r="D1059" s="175">
        <v>44865.0</v>
      </c>
      <c r="E1059" s="200"/>
      <c r="F1059" s="99">
        <v>2022.0</v>
      </c>
      <c r="G1059" s="99" t="s">
        <v>1160</v>
      </c>
      <c r="H1059" s="99" t="s">
        <v>1999</v>
      </c>
      <c r="I1059" s="99" t="s">
        <v>1979</v>
      </c>
      <c r="J1059" s="194"/>
      <c r="K1059" s="177">
        <v>44835.0</v>
      </c>
      <c r="L1059" s="46" t="b">
        <v>1</v>
      </c>
    </row>
    <row r="1060" hidden="1">
      <c r="A1060" s="4" t="s">
        <v>92</v>
      </c>
      <c r="B1060" s="170" t="s">
        <v>2002</v>
      </c>
      <c r="C1060" s="171">
        <v>64.62</v>
      </c>
      <c r="D1060" s="172">
        <v>44865.0</v>
      </c>
      <c r="E1060" s="199"/>
      <c r="F1060" s="170">
        <v>2022.1</v>
      </c>
      <c r="G1060" s="170" t="s">
        <v>52</v>
      </c>
      <c r="H1060" s="170" t="s">
        <v>1999</v>
      </c>
      <c r="I1060" s="170" t="s">
        <v>1979</v>
      </c>
      <c r="J1060" s="195"/>
      <c r="K1060" s="173">
        <v>44835.0</v>
      </c>
      <c r="L1060" s="45" t="b">
        <v>1</v>
      </c>
    </row>
    <row r="1061" hidden="1">
      <c r="A1061" s="16" t="s">
        <v>676</v>
      </c>
      <c r="B1061" s="99" t="s">
        <v>2002</v>
      </c>
      <c r="C1061" s="174">
        <v>186.88</v>
      </c>
      <c r="D1061" s="175">
        <v>44865.0</v>
      </c>
      <c r="E1061" s="200"/>
      <c r="F1061" s="99">
        <v>2022.0</v>
      </c>
      <c r="G1061" s="99" t="s">
        <v>1160</v>
      </c>
      <c r="H1061" s="99" t="s">
        <v>1999</v>
      </c>
      <c r="I1061" s="99" t="s">
        <v>1979</v>
      </c>
      <c r="J1061" s="194"/>
      <c r="K1061" s="177">
        <v>44835.0</v>
      </c>
      <c r="L1061" s="46" t="b">
        <v>1</v>
      </c>
    </row>
    <row r="1062" hidden="1">
      <c r="A1062" s="4" t="s">
        <v>587</v>
      </c>
      <c r="B1062" s="170" t="s">
        <v>2002</v>
      </c>
      <c r="C1062" s="171">
        <v>0.0</v>
      </c>
      <c r="D1062" s="172">
        <v>44865.0</v>
      </c>
      <c r="E1062" s="199"/>
      <c r="F1062" s="170">
        <v>2022.0</v>
      </c>
      <c r="G1062" s="170" t="s">
        <v>1160</v>
      </c>
      <c r="H1062" s="170" t="s">
        <v>1999</v>
      </c>
      <c r="I1062" s="170" t="s">
        <v>1979</v>
      </c>
      <c r="J1062" s="195"/>
      <c r="K1062" s="173">
        <v>44835.0</v>
      </c>
      <c r="L1062" s="45" t="b">
        <v>1</v>
      </c>
    </row>
    <row r="1063" hidden="1">
      <c r="A1063" s="16" t="s">
        <v>123</v>
      </c>
      <c r="B1063" s="99" t="s">
        <v>2002</v>
      </c>
      <c r="C1063" s="174">
        <v>39.13</v>
      </c>
      <c r="D1063" s="175">
        <v>44865.0</v>
      </c>
      <c r="E1063" s="200"/>
      <c r="F1063" s="99">
        <v>2022.1</v>
      </c>
      <c r="G1063" s="99" t="s">
        <v>52</v>
      </c>
      <c r="H1063" s="99" t="s">
        <v>1999</v>
      </c>
      <c r="I1063" s="99" t="s">
        <v>1979</v>
      </c>
      <c r="J1063" s="194"/>
      <c r="K1063" s="177">
        <v>44835.0</v>
      </c>
      <c r="L1063" s="46" t="b">
        <v>1</v>
      </c>
    </row>
    <row r="1064" hidden="1">
      <c r="A1064" s="4" t="s">
        <v>629</v>
      </c>
      <c r="B1064" s="170" t="s">
        <v>2002</v>
      </c>
      <c r="C1064" s="171">
        <v>122.3</v>
      </c>
      <c r="D1064" s="172">
        <v>44865.0</v>
      </c>
      <c r="E1064" s="199"/>
      <c r="F1064" s="170">
        <v>2022.1</v>
      </c>
      <c r="G1064" s="170" t="s">
        <v>52</v>
      </c>
      <c r="H1064" s="170" t="s">
        <v>1999</v>
      </c>
      <c r="I1064" s="170" t="s">
        <v>1979</v>
      </c>
      <c r="J1064" s="195"/>
      <c r="K1064" s="173">
        <v>44835.0</v>
      </c>
      <c r="L1064" s="45" t="b">
        <v>1</v>
      </c>
    </row>
    <row r="1065" hidden="1">
      <c r="A1065" s="16" t="s">
        <v>92</v>
      </c>
      <c r="B1065" s="99" t="s">
        <v>1988</v>
      </c>
      <c r="C1065" s="174">
        <v>46.04</v>
      </c>
      <c r="D1065" s="175">
        <v>44852.0</v>
      </c>
      <c r="E1065" s="97"/>
      <c r="F1065" s="99">
        <v>2022.1</v>
      </c>
      <c r="G1065" s="99" t="s">
        <v>52</v>
      </c>
      <c r="H1065" s="99" t="s">
        <v>1999</v>
      </c>
      <c r="I1065" s="99" t="s">
        <v>1977</v>
      </c>
      <c r="J1065" s="194"/>
      <c r="K1065" s="177">
        <v>44835.0</v>
      </c>
      <c r="L1065" s="46" t="b">
        <v>1</v>
      </c>
    </row>
    <row r="1066" hidden="1">
      <c r="A1066" s="4" t="s">
        <v>118</v>
      </c>
      <c r="B1066" s="170" t="s">
        <v>1976</v>
      </c>
      <c r="C1066" s="171">
        <v>750.0</v>
      </c>
      <c r="D1066" s="199">
        <v>44858.0</v>
      </c>
      <c r="E1066" s="94"/>
      <c r="F1066" s="170">
        <v>2022.1</v>
      </c>
      <c r="G1066" s="170" t="s">
        <v>52</v>
      </c>
      <c r="H1066" s="170" t="s">
        <v>1999</v>
      </c>
      <c r="I1066" s="170" t="s">
        <v>1977</v>
      </c>
      <c r="J1066" s="195"/>
      <c r="K1066" s="173">
        <v>44835.0</v>
      </c>
      <c r="L1066" s="45" t="b">
        <v>1</v>
      </c>
    </row>
    <row r="1067" hidden="1">
      <c r="A1067" s="16" t="s">
        <v>1271</v>
      </c>
      <c r="B1067" s="99" t="s">
        <v>2000</v>
      </c>
      <c r="C1067" s="174">
        <v>500.04</v>
      </c>
      <c r="D1067" s="175">
        <v>44866.0</v>
      </c>
      <c r="E1067" s="97"/>
      <c r="F1067" s="99">
        <v>2022.0</v>
      </c>
      <c r="G1067" s="99" t="s">
        <v>1152</v>
      </c>
      <c r="H1067" s="99" t="s">
        <v>1999</v>
      </c>
      <c r="I1067" s="99" t="s">
        <v>1995</v>
      </c>
      <c r="J1067" s="194"/>
      <c r="K1067" s="177">
        <v>44835.0</v>
      </c>
      <c r="L1067" s="46" t="b">
        <v>1</v>
      </c>
    </row>
    <row r="1068" hidden="1">
      <c r="A1068" s="4" t="s">
        <v>115</v>
      </c>
      <c r="B1068" s="170" t="s">
        <v>1976</v>
      </c>
      <c r="C1068" s="171">
        <v>750.0</v>
      </c>
      <c r="D1068" s="172">
        <v>44866.0</v>
      </c>
      <c r="E1068" s="94"/>
      <c r="F1068" s="170">
        <v>2022.11</v>
      </c>
      <c r="G1068" s="170" t="s">
        <v>52</v>
      </c>
      <c r="H1068" s="170" t="s">
        <v>1999</v>
      </c>
      <c r="I1068" s="170" t="s">
        <v>1977</v>
      </c>
      <c r="J1068" s="195"/>
      <c r="K1068" s="173">
        <v>44835.0</v>
      </c>
      <c r="L1068" s="45" t="b">
        <v>1</v>
      </c>
    </row>
    <row r="1069" hidden="1">
      <c r="A1069" s="16" t="s">
        <v>118</v>
      </c>
      <c r="B1069" s="99" t="s">
        <v>1976</v>
      </c>
      <c r="C1069" s="174">
        <v>549.82</v>
      </c>
      <c r="D1069" s="175">
        <v>44866.0</v>
      </c>
      <c r="E1069" s="97"/>
      <c r="F1069" s="99">
        <v>2022.11</v>
      </c>
      <c r="G1069" s="99" t="s">
        <v>52</v>
      </c>
      <c r="H1069" s="99" t="s">
        <v>1999</v>
      </c>
      <c r="I1069" s="99" t="s">
        <v>1977</v>
      </c>
      <c r="J1069" s="194"/>
      <c r="K1069" s="177">
        <v>44835.0</v>
      </c>
      <c r="L1069" s="46" t="b">
        <v>1</v>
      </c>
    </row>
    <row r="1070" hidden="1">
      <c r="A1070" s="4" t="s">
        <v>92</v>
      </c>
      <c r="B1070" s="170" t="s">
        <v>1988</v>
      </c>
      <c r="C1070" s="171">
        <v>70.0</v>
      </c>
      <c r="D1070" s="172">
        <v>44866.0</v>
      </c>
      <c r="E1070" s="94"/>
      <c r="F1070" s="170">
        <v>2022.11</v>
      </c>
      <c r="G1070" s="170" t="s">
        <v>52</v>
      </c>
      <c r="H1070" s="170" t="s">
        <v>1999</v>
      </c>
      <c r="I1070" s="170" t="s">
        <v>1977</v>
      </c>
      <c r="J1070" s="195"/>
      <c r="K1070" s="173">
        <v>44835.0</v>
      </c>
      <c r="L1070" s="45" t="b">
        <v>1</v>
      </c>
    </row>
    <row r="1071" hidden="1">
      <c r="A1071" s="16" t="s">
        <v>115</v>
      </c>
      <c r="B1071" s="99" t="s">
        <v>1976</v>
      </c>
      <c r="C1071" s="174">
        <v>219.87</v>
      </c>
      <c r="D1071" s="175">
        <v>44866.0</v>
      </c>
      <c r="E1071" s="97"/>
      <c r="F1071" s="99">
        <v>2022.11</v>
      </c>
      <c r="G1071" s="99" t="s">
        <v>52</v>
      </c>
      <c r="H1071" s="99" t="s">
        <v>1999</v>
      </c>
      <c r="I1071" s="99" t="s">
        <v>1977</v>
      </c>
      <c r="J1071" s="194"/>
      <c r="K1071" s="177">
        <v>44835.0</v>
      </c>
      <c r="L1071" s="46" t="b">
        <v>1</v>
      </c>
    </row>
    <row r="1072" hidden="1">
      <c r="A1072" s="4" t="s">
        <v>665</v>
      </c>
      <c r="B1072" s="170" t="s">
        <v>1986</v>
      </c>
      <c r="C1072" s="171">
        <v>44.0</v>
      </c>
      <c r="D1072" s="172">
        <v>44895.0</v>
      </c>
      <c r="E1072" s="170">
        <v>13.0</v>
      </c>
      <c r="F1072" s="201">
        <v>2022.0</v>
      </c>
      <c r="G1072" s="201" t="s">
        <v>1992</v>
      </c>
      <c r="H1072" s="170" t="s">
        <v>1264</v>
      </c>
      <c r="I1072" s="170" t="s">
        <v>1979</v>
      </c>
      <c r="J1072" s="195"/>
      <c r="K1072" s="173">
        <v>44866.0</v>
      </c>
      <c r="L1072" s="45" t="b">
        <v>1</v>
      </c>
    </row>
    <row r="1073" hidden="1">
      <c r="A1073" s="16" t="s">
        <v>82</v>
      </c>
      <c r="B1073" s="99" t="s">
        <v>1986</v>
      </c>
      <c r="C1073" s="174">
        <v>225.0</v>
      </c>
      <c r="D1073" s="175">
        <v>44895.0</v>
      </c>
      <c r="E1073" s="99">
        <v>13.0</v>
      </c>
      <c r="F1073" s="202">
        <v>2022.11</v>
      </c>
      <c r="G1073" s="202" t="s">
        <v>52</v>
      </c>
      <c r="H1073" s="99" t="s">
        <v>1264</v>
      </c>
      <c r="I1073" s="99" t="s">
        <v>1979</v>
      </c>
      <c r="J1073" s="194"/>
      <c r="K1073" s="177">
        <v>44866.0</v>
      </c>
      <c r="L1073" s="46" t="b">
        <v>1</v>
      </c>
    </row>
    <row r="1074" hidden="1">
      <c r="A1074" s="4" t="s">
        <v>92</v>
      </c>
      <c r="B1074" s="170" t="s">
        <v>1986</v>
      </c>
      <c r="C1074" s="171">
        <v>300.0</v>
      </c>
      <c r="D1074" s="172">
        <v>44895.0</v>
      </c>
      <c r="E1074" s="170">
        <v>13.0</v>
      </c>
      <c r="F1074" s="201">
        <v>2022.11</v>
      </c>
      <c r="G1074" s="201" t="s">
        <v>52</v>
      </c>
      <c r="H1074" s="170" t="s">
        <v>1264</v>
      </c>
      <c r="I1074" s="170" t="s">
        <v>1979</v>
      </c>
      <c r="J1074" s="195"/>
      <c r="K1074" s="173">
        <v>44866.0</v>
      </c>
      <c r="L1074" s="45" t="b">
        <v>1</v>
      </c>
    </row>
    <row r="1075" hidden="1">
      <c r="A1075" s="16" t="s">
        <v>695</v>
      </c>
      <c r="B1075" s="99" t="s">
        <v>1986</v>
      </c>
      <c r="C1075" s="174">
        <v>175.0</v>
      </c>
      <c r="D1075" s="175">
        <v>44895.0</v>
      </c>
      <c r="E1075" s="99">
        <v>13.0</v>
      </c>
      <c r="F1075" s="202">
        <v>2022.11</v>
      </c>
      <c r="G1075" s="202" t="s">
        <v>52</v>
      </c>
      <c r="H1075" s="99" t="s">
        <v>1264</v>
      </c>
      <c r="I1075" s="99" t="s">
        <v>1979</v>
      </c>
      <c r="J1075" s="194"/>
      <c r="K1075" s="177">
        <v>44866.0</v>
      </c>
      <c r="L1075" s="46" t="b">
        <v>1</v>
      </c>
    </row>
    <row r="1076" hidden="1">
      <c r="A1076" s="4" t="s">
        <v>66</v>
      </c>
      <c r="B1076" s="170" t="s">
        <v>1978</v>
      </c>
      <c r="C1076" s="171">
        <v>312.5</v>
      </c>
      <c r="D1076" s="172">
        <v>44895.0</v>
      </c>
      <c r="E1076" s="196">
        <v>44866.0</v>
      </c>
      <c r="F1076" s="201">
        <v>2022.11</v>
      </c>
      <c r="G1076" s="201" t="s">
        <v>52</v>
      </c>
      <c r="H1076" s="170" t="s">
        <v>1264</v>
      </c>
      <c r="I1076" s="170" t="s">
        <v>1979</v>
      </c>
      <c r="J1076" s="195"/>
      <c r="K1076" s="173">
        <v>44866.0</v>
      </c>
      <c r="L1076" s="45" t="b">
        <v>1</v>
      </c>
    </row>
    <row r="1077" hidden="1">
      <c r="A1077" s="16" t="s">
        <v>97</v>
      </c>
      <c r="B1077" s="99" t="s">
        <v>1978</v>
      </c>
      <c r="C1077" s="174">
        <v>125.0</v>
      </c>
      <c r="D1077" s="175">
        <v>44895.0</v>
      </c>
      <c r="E1077" s="197">
        <v>44866.0</v>
      </c>
      <c r="F1077" s="202">
        <v>2022.11</v>
      </c>
      <c r="G1077" s="202" t="s">
        <v>52</v>
      </c>
      <c r="H1077" s="99" t="s">
        <v>1264</v>
      </c>
      <c r="I1077" s="99" t="s">
        <v>1979</v>
      </c>
      <c r="J1077" s="194"/>
      <c r="K1077" s="177">
        <v>44866.0</v>
      </c>
      <c r="L1077" s="46" t="b">
        <v>1</v>
      </c>
    </row>
    <row r="1078" hidden="1">
      <c r="A1078" s="4" t="s">
        <v>88</v>
      </c>
      <c r="B1078" s="170" t="s">
        <v>1978</v>
      </c>
      <c r="C1078" s="171">
        <v>312.5</v>
      </c>
      <c r="D1078" s="172">
        <v>44895.0</v>
      </c>
      <c r="E1078" s="196">
        <v>44866.0</v>
      </c>
      <c r="F1078" s="201">
        <v>2022.11</v>
      </c>
      <c r="G1078" s="201" t="s">
        <v>52</v>
      </c>
      <c r="H1078" s="170" t="s">
        <v>1264</v>
      </c>
      <c r="I1078" s="170" t="s">
        <v>1979</v>
      </c>
      <c r="J1078" s="195"/>
      <c r="K1078" s="173">
        <v>44866.0</v>
      </c>
      <c r="L1078" s="45" t="b">
        <v>1</v>
      </c>
    </row>
    <row r="1079" hidden="1">
      <c r="A1079" s="16" t="s">
        <v>73</v>
      </c>
      <c r="B1079" s="99" t="s">
        <v>1978</v>
      </c>
      <c r="C1079" s="174">
        <v>262.5</v>
      </c>
      <c r="D1079" s="175">
        <v>44895.0</v>
      </c>
      <c r="E1079" s="197">
        <v>44866.0</v>
      </c>
      <c r="F1079" s="202">
        <v>2022.11</v>
      </c>
      <c r="G1079" s="202" t="s">
        <v>52</v>
      </c>
      <c r="H1079" s="99" t="s">
        <v>1264</v>
      </c>
      <c r="I1079" s="99" t="s">
        <v>1979</v>
      </c>
      <c r="J1079" s="194"/>
      <c r="K1079" s="177">
        <v>44866.0</v>
      </c>
      <c r="L1079" s="46" t="b">
        <v>1</v>
      </c>
    </row>
    <row r="1080" hidden="1">
      <c r="A1080" s="4" t="s">
        <v>223</v>
      </c>
      <c r="B1080" s="170" t="s">
        <v>1978</v>
      </c>
      <c r="C1080" s="171">
        <v>500.0</v>
      </c>
      <c r="D1080" s="172">
        <v>44895.0</v>
      </c>
      <c r="E1080" s="196">
        <v>44866.0</v>
      </c>
      <c r="F1080" s="201">
        <v>2022.11</v>
      </c>
      <c r="G1080" s="201" t="s">
        <v>52</v>
      </c>
      <c r="H1080" s="170" t="s">
        <v>1264</v>
      </c>
      <c r="I1080" s="170" t="s">
        <v>1979</v>
      </c>
      <c r="J1080" s="195"/>
      <c r="K1080" s="173">
        <v>44866.0</v>
      </c>
      <c r="L1080" s="45" t="b">
        <v>1</v>
      </c>
    </row>
    <row r="1081" hidden="1">
      <c r="A1081" s="16" t="s">
        <v>50</v>
      </c>
      <c r="B1081" s="99" t="s">
        <v>1978</v>
      </c>
      <c r="C1081" s="174">
        <v>137.5</v>
      </c>
      <c r="D1081" s="175">
        <v>44895.0</v>
      </c>
      <c r="E1081" s="197">
        <v>44866.0</v>
      </c>
      <c r="F1081" s="202">
        <v>2022.11</v>
      </c>
      <c r="G1081" s="202" t="s">
        <v>52</v>
      </c>
      <c r="H1081" s="99" t="s">
        <v>1264</v>
      </c>
      <c r="I1081" s="99" t="s">
        <v>1979</v>
      </c>
      <c r="J1081" s="194"/>
      <c r="K1081" s="177">
        <v>44866.0</v>
      </c>
      <c r="L1081" s="46" t="b">
        <v>1</v>
      </c>
    </row>
    <row r="1082" hidden="1">
      <c r="A1082" s="4" t="s">
        <v>451</v>
      </c>
      <c r="B1082" s="170" t="s">
        <v>1978</v>
      </c>
      <c r="C1082" s="171">
        <v>237.5</v>
      </c>
      <c r="D1082" s="172">
        <v>44895.0</v>
      </c>
      <c r="E1082" s="196">
        <v>44866.0</v>
      </c>
      <c r="F1082" s="201">
        <v>2022.0</v>
      </c>
      <c r="G1082" s="201" t="s">
        <v>1160</v>
      </c>
      <c r="H1082" s="170" t="s">
        <v>1264</v>
      </c>
      <c r="I1082" s="170" t="s">
        <v>1979</v>
      </c>
      <c r="J1082" s="195"/>
      <c r="K1082" s="173">
        <v>44866.0</v>
      </c>
      <c r="L1082" s="45" t="b">
        <v>1</v>
      </c>
    </row>
    <row r="1083" hidden="1">
      <c r="A1083" s="16" t="s">
        <v>1269</v>
      </c>
      <c r="B1083" s="99" t="s">
        <v>1978</v>
      </c>
      <c r="C1083" s="174">
        <v>150.0</v>
      </c>
      <c r="D1083" s="175">
        <v>44895.0</v>
      </c>
      <c r="E1083" s="197">
        <v>44866.0</v>
      </c>
      <c r="F1083" s="202">
        <v>2022.0</v>
      </c>
      <c r="G1083" s="202" t="s">
        <v>1152</v>
      </c>
      <c r="H1083" s="99" t="s">
        <v>1264</v>
      </c>
      <c r="I1083" s="99" t="s">
        <v>1270</v>
      </c>
      <c r="J1083" s="81" t="s">
        <v>2096</v>
      </c>
      <c r="K1083" s="177">
        <v>44866.0</v>
      </c>
      <c r="L1083" s="46" t="b">
        <v>1</v>
      </c>
    </row>
    <row r="1084" hidden="1">
      <c r="A1084" s="4" t="s">
        <v>102</v>
      </c>
      <c r="B1084" s="170" t="s">
        <v>1987</v>
      </c>
      <c r="C1084" s="171">
        <v>150.0</v>
      </c>
      <c r="D1084" s="172">
        <v>44895.0</v>
      </c>
      <c r="E1084" s="170">
        <v>1027.0</v>
      </c>
      <c r="F1084" s="201">
        <v>2022.11</v>
      </c>
      <c r="G1084" s="201" t="s">
        <v>52</v>
      </c>
      <c r="H1084" s="170" t="s">
        <v>1264</v>
      </c>
      <c r="I1084" s="170" t="s">
        <v>1979</v>
      </c>
      <c r="J1084" s="195"/>
      <c r="K1084" s="173">
        <v>44866.0</v>
      </c>
      <c r="L1084" s="45" t="b">
        <v>1</v>
      </c>
    </row>
    <row r="1085" hidden="1">
      <c r="A1085" s="16" t="s">
        <v>92</v>
      </c>
      <c r="B1085" s="99" t="s">
        <v>1984</v>
      </c>
      <c r="C1085" s="174">
        <v>212.5</v>
      </c>
      <c r="D1085" s="175">
        <v>44895.0</v>
      </c>
      <c r="E1085" s="99">
        <v>11.0</v>
      </c>
      <c r="F1085" s="202">
        <v>2022.11</v>
      </c>
      <c r="G1085" s="202" t="s">
        <v>52</v>
      </c>
      <c r="H1085" s="99" t="s">
        <v>1264</v>
      </c>
      <c r="I1085" s="99" t="s">
        <v>1979</v>
      </c>
      <c r="J1085" s="194"/>
      <c r="K1085" s="177">
        <v>44866.0</v>
      </c>
      <c r="L1085" s="46" t="b">
        <v>1</v>
      </c>
    </row>
    <row r="1086" hidden="1">
      <c r="A1086" s="4" t="s">
        <v>42</v>
      </c>
      <c r="B1086" s="170" t="s">
        <v>1984</v>
      </c>
      <c r="C1086" s="171">
        <v>175.0</v>
      </c>
      <c r="D1086" s="172">
        <v>44895.0</v>
      </c>
      <c r="E1086" s="170">
        <v>11.0</v>
      </c>
      <c r="F1086" s="201">
        <v>2022.11</v>
      </c>
      <c r="G1086" s="201" t="s">
        <v>52</v>
      </c>
      <c r="H1086" s="170" t="s">
        <v>1264</v>
      </c>
      <c r="I1086" s="170" t="s">
        <v>1979</v>
      </c>
      <c r="J1086" s="195"/>
      <c r="K1086" s="173">
        <v>44866.0</v>
      </c>
      <c r="L1086" s="45" t="b">
        <v>1</v>
      </c>
    </row>
    <row r="1087" hidden="1">
      <c r="A1087" s="16" t="s">
        <v>54</v>
      </c>
      <c r="B1087" s="99" t="s">
        <v>1984</v>
      </c>
      <c r="C1087" s="174">
        <v>50.0</v>
      </c>
      <c r="D1087" s="175">
        <v>44895.0</v>
      </c>
      <c r="E1087" s="99">
        <v>11.0</v>
      </c>
      <c r="F1087" s="202">
        <v>2022.11</v>
      </c>
      <c r="G1087" s="202" t="s">
        <v>52</v>
      </c>
      <c r="H1087" s="99" t="s">
        <v>1264</v>
      </c>
      <c r="I1087" s="99" t="s">
        <v>1979</v>
      </c>
      <c r="J1087" s="194"/>
      <c r="K1087" s="177">
        <v>44866.0</v>
      </c>
      <c r="L1087" s="46" t="b">
        <v>1</v>
      </c>
    </row>
    <row r="1088" hidden="1">
      <c r="A1088" s="4" t="s">
        <v>92</v>
      </c>
      <c r="B1088" s="170" t="s">
        <v>1980</v>
      </c>
      <c r="C1088" s="93">
        <f>150+225</f>
        <v>375</v>
      </c>
      <c r="D1088" s="172">
        <v>44895.0</v>
      </c>
      <c r="E1088" s="170">
        <v>117.0</v>
      </c>
      <c r="F1088" s="201">
        <v>2022.11</v>
      </c>
      <c r="G1088" s="201" t="s">
        <v>52</v>
      </c>
      <c r="H1088" s="170" t="s">
        <v>1264</v>
      </c>
      <c r="I1088" s="170" t="s">
        <v>1979</v>
      </c>
      <c r="J1088" s="195"/>
      <c r="K1088" s="173">
        <v>44866.0</v>
      </c>
      <c r="L1088" s="45" t="b">
        <v>1</v>
      </c>
    </row>
    <row r="1089" hidden="1">
      <c r="A1089" s="16" t="s">
        <v>88</v>
      </c>
      <c r="B1089" s="99" t="s">
        <v>1980</v>
      </c>
      <c r="C1089" s="174">
        <v>45.0</v>
      </c>
      <c r="D1089" s="175">
        <v>44895.0</v>
      </c>
      <c r="E1089" s="99">
        <v>117.0</v>
      </c>
      <c r="F1089" s="202">
        <v>2022.11</v>
      </c>
      <c r="G1089" s="202" t="s">
        <v>52</v>
      </c>
      <c r="H1089" s="99" t="s">
        <v>1264</v>
      </c>
      <c r="I1089" s="99" t="s">
        <v>1979</v>
      </c>
      <c r="J1089" s="194"/>
      <c r="K1089" s="177">
        <v>44866.0</v>
      </c>
      <c r="L1089" s="46" t="b">
        <v>1</v>
      </c>
    </row>
    <row r="1090" hidden="1">
      <c r="A1090" s="4" t="s">
        <v>97</v>
      </c>
      <c r="B1090" s="170" t="s">
        <v>1980</v>
      </c>
      <c r="C1090" s="171">
        <v>30.0</v>
      </c>
      <c r="D1090" s="172">
        <v>44895.0</v>
      </c>
      <c r="E1090" s="170">
        <v>117.0</v>
      </c>
      <c r="F1090" s="201">
        <v>2022.11</v>
      </c>
      <c r="G1090" s="201" t="s">
        <v>52</v>
      </c>
      <c r="H1090" s="170" t="s">
        <v>1264</v>
      </c>
      <c r="I1090" s="170" t="s">
        <v>1979</v>
      </c>
      <c r="J1090" s="195"/>
      <c r="K1090" s="173">
        <v>44866.0</v>
      </c>
      <c r="L1090" s="45" t="b">
        <v>1</v>
      </c>
    </row>
    <row r="1091" hidden="1">
      <c r="A1091" s="16" t="s">
        <v>82</v>
      </c>
      <c r="B1091" s="99" t="s">
        <v>1980</v>
      </c>
      <c r="C1091" s="174">
        <v>175.0</v>
      </c>
      <c r="D1091" s="175">
        <v>44895.0</v>
      </c>
      <c r="E1091" s="99">
        <v>117.0</v>
      </c>
      <c r="F1091" s="202">
        <v>2022.11</v>
      </c>
      <c r="G1091" s="202" t="s">
        <v>52</v>
      </c>
      <c r="H1091" s="99" t="s">
        <v>1264</v>
      </c>
      <c r="I1091" s="99" t="s">
        <v>1979</v>
      </c>
      <c r="J1091" s="194"/>
      <c r="K1091" s="177">
        <v>44866.0</v>
      </c>
      <c r="L1091" s="46" t="b">
        <v>1</v>
      </c>
    </row>
    <row r="1092" hidden="1">
      <c r="A1092" s="4" t="s">
        <v>99</v>
      </c>
      <c r="B1092" s="170" t="s">
        <v>1980</v>
      </c>
      <c r="C1092" s="171">
        <v>270.0</v>
      </c>
      <c r="D1092" s="172">
        <v>44895.0</v>
      </c>
      <c r="E1092" s="170">
        <v>117.0</v>
      </c>
      <c r="F1092" s="201">
        <v>2022.11</v>
      </c>
      <c r="G1092" s="201" t="s">
        <v>52</v>
      </c>
      <c r="H1092" s="170" t="s">
        <v>1264</v>
      </c>
      <c r="I1092" s="170" t="s">
        <v>1979</v>
      </c>
      <c r="J1092" s="195"/>
      <c r="K1092" s="173">
        <v>44866.0</v>
      </c>
      <c r="L1092" s="45" t="b">
        <v>1</v>
      </c>
    </row>
    <row r="1093" hidden="1">
      <c r="A1093" s="16" t="s">
        <v>42</v>
      </c>
      <c r="B1093" s="99" t="s">
        <v>1980</v>
      </c>
      <c r="C1093" s="174">
        <v>135.0</v>
      </c>
      <c r="D1093" s="175">
        <v>44895.0</v>
      </c>
      <c r="E1093" s="99">
        <v>117.0</v>
      </c>
      <c r="F1093" s="202">
        <v>2022.11</v>
      </c>
      <c r="G1093" s="202" t="s">
        <v>52</v>
      </c>
      <c r="H1093" s="99" t="s">
        <v>1264</v>
      </c>
      <c r="I1093" s="99" t="s">
        <v>1979</v>
      </c>
      <c r="J1093" s="194"/>
      <c r="K1093" s="177">
        <v>44866.0</v>
      </c>
      <c r="L1093" s="46" t="b">
        <v>1</v>
      </c>
    </row>
    <row r="1094" hidden="1">
      <c r="A1094" s="4" t="s">
        <v>58</v>
      </c>
      <c r="B1094" s="170" t="s">
        <v>1980</v>
      </c>
      <c r="C1094" s="171">
        <v>200.0</v>
      </c>
      <c r="D1094" s="172">
        <v>44895.0</v>
      </c>
      <c r="E1094" s="170">
        <v>117.0</v>
      </c>
      <c r="F1094" s="201">
        <v>2022.11</v>
      </c>
      <c r="G1094" s="201" t="s">
        <v>52</v>
      </c>
      <c r="H1094" s="170" t="s">
        <v>1264</v>
      </c>
      <c r="I1094" s="170" t="s">
        <v>1979</v>
      </c>
      <c r="J1094" s="195"/>
      <c r="K1094" s="173">
        <v>44866.0</v>
      </c>
      <c r="L1094" s="45" t="b">
        <v>1</v>
      </c>
    </row>
    <row r="1095" hidden="1">
      <c r="A1095" s="16" t="s">
        <v>123</v>
      </c>
      <c r="B1095" s="99" t="s">
        <v>1980</v>
      </c>
      <c r="C1095" s="174">
        <v>450.0</v>
      </c>
      <c r="D1095" s="175">
        <v>44895.0</v>
      </c>
      <c r="E1095" s="99">
        <v>117.0</v>
      </c>
      <c r="F1095" s="202">
        <v>2022.11</v>
      </c>
      <c r="G1095" s="202" t="s">
        <v>52</v>
      </c>
      <c r="H1095" s="99" t="s">
        <v>1264</v>
      </c>
      <c r="I1095" s="99" t="s">
        <v>1979</v>
      </c>
      <c r="J1095" s="194"/>
      <c r="K1095" s="177">
        <v>44866.0</v>
      </c>
      <c r="L1095" s="46" t="b">
        <v>1</v>
      </c>
    </row>
    <row r="1096" hidden="1">
      <c r="A1096" s="4" t="s">
        <v>73</v>
      </c>
      <c r="B1096" s="170" t="s">
        <v>1980</v>
      </c>
      <c r="C1096" s="171">
        <v>60.0</v>
      </c>
      <c r="D1096" s="172">
        <v>44895.0</v>
      </c>
      <c r="E1096" s="170">
        <v>117.0</v>
      </c>
      <c r="F1096" s="201">
        <v>2022.11</v>
      </c>
      <c r="G1096" s="201" t="s">
        <v>52</v>
      </c>
      <c r="H1096" s="170" t="s">
        <v>1264</v>
      </c>
      <c r="I1096" s="170" t="s">
        <v>1979</v>
      </c>
      <c r="J1096" s="195"/>
      <c r="K1096" s="173">
        <v>44866.0</v>
      </c>
      <c r="L1096" s="45" t="b">
        <v>1</v>
      </c>
    </row>
    <row r="1097" hidden="1">
      <c r="A1097" s="16" t="s">
        <v>50</v>
      </c>
      <c r="B1097" s="99" t="s">
        <v>1980</v>
      </c>
      <c r="C1097" s="174">
        <v>30.0</v>
      </c>
      <c r="D1097" s="175">
        <v>44895.0</v>
      </c>
      <c r="E1097" s="99">
        <v>117.0</v>
      </c>
      <c r="F1097" s="202">
        <v>2022.11</v>
      </c>
      <c r="G1097" s="202" t="s">
        <v>52</v>
      </c>
      <c r="H1097" s="99" t="s">
        <v>1264</v>
      </c>
      <c r="I1097" s="99" t="s">
        <v>1979</v>
      </c>
      <c r="J1097" s="194"/>
      <c r="K1097" s="177">
        <v>44866.0</v>
      </c>
      <c r="L1097" s="46" t="b">
        <v>1</v>
      </c>
    </row>
    <row r="1098" hidden="1">
      <c r="A1098" s="4" t="s">
        <v>62</v>
      </c>
      <c r="B1098" s="170" t="s">
        <v>1980</v>
      </c>
      <c r="C1098" s="171">
        <v>300.0</v>
      </c>
      <c r="D1098" s="172">
        <v>44895.0</v>
      </c>
      <c r="E1098" s="170">
        <v>117.0</v>
      </c>
      <c r="F1098" s="201">
        <v>2022.11</v>
      </c>
      <c r="G1098" s="201" t="s">
        <v>52</v>
      </c>
      <c r="H1098" s="170" t="s">
        <v>1264</v>
      </c>
      <c r="I1098" s="170" t="s">
        <v>1979</v>
      </c>
      <c r="J1098" s="195"/>
      <c r="K1098" s="173">
        <v>44866.0</v>
      </c>
      <c r="L1098" s="45" t="b">
        <v>1</v>
      </c>
    </row>
    <row r="1099" hidden="1">
      <c r="A1099" s="16" t="s">
        <v>223</v>
      </c>
      <c r="B1099" s="99" t="s">
        <v>1980</v>
      </c>
      <c r="C1099" s="174">
        <v>75.0</v>
      </c>
      <c r="D1099" s="175">
        <v>44895.0</v>
      </c>
      <c r="E1099" s="99">
        <v>117.0</v>
      </c>
      <c r="F1099" s="202">
        <v>2022.11</v>
      </c>
      <c r="G1099" s="202" t="s">
        <v>52</v>
      </c>
      <c r="H1099" s="99" t="s">
        <v>1264</v>
      </c>
      <c r="I1099" s="99" t="s">
        <v>1979</v>
      </c>
      <c r="J1099" s="194"/>
      <c r="K1099" s="177">
        <v>44866.0</v>
      </c>
      <c r="L1099" s="46" t="b">
        <v>1</v>
      </c>
    </row>
    <row r="1100" hidden="1">
      <c r="A1100" s="4" t="s">
        <v>225</v>
      </c>
      <c r="B1100" s="170" t="s">
        <v>1980</v>
      </c>
      <c r="C1100" s="171">
        <f>1500+360</f>
        <v>1860</v>
      </c>
      <c r="D1100" s="172">
        <v>44895.0</v>
      </c>
      <c r="E1100" s="170">
        <v>117.0</v>
      </c>
      <c r="F1100" s="201">
        <v>2022.11</v>
      </c>
      <c r="G1100" s="201" t="s">
        <v>52</v>
      </c>
      <c r="H1100" s="170" t="s">
        <v>1264</v>
      </c>
      <c r="I1100" s="170" t="s">
        <v>1979</v>
      </c>
      <c r="J1100" s="195"/>
      <c r="K1100" s="173">
        <v>44866.0</v>
      </c>
      <c r="L1100" s="45" t="b">
        <v>1</v>
      </c>
    </row>
    <row r="1101" hidden="1">
      <c r="A1101" s="16" t="s">
        <v>66</v>
      </c>
      <c r="B1101" s="99" t="s">
        <v>1980</v>
      </c>
      <c r="C1101" s="174">
        <v>60.0</v>
      </c>
      <c r="D1101" s="175">
        <v>44895.0</v>
      </c>
      <c r="E1101" s="99">
        <v>117.0</v>
      </c>
      <c r="F1101" s="202">
        <v>2022.11</v>
      </c>
      <c r="G1101" s="202" t="s">
        <v>52</v>
      </c>
      <c r="H1101" s="99" t="s">
        <v>1264</v>
      </c>
      <c r="I1101" s="99" t="s">
        <v>1979</v>
      </c>
      <c r="J1101" s="194"/>
      <c r="K1101" s="177">
        <v>44866.0</v>
      </c>
      <c r="L1101" s="46" t="b">
        <v>1</v>
      </c>
    </row>
    <row r="1102" hidden="1">
      <c r="A1102" s="4" t="s">
        <v>695</v>
      </c>
      <c r="B1102" s="170" t="s">
        <v>1980</v>
      </c>
      <c r="C1102" s="171">
        <v>45.0</v>
      </c>
      <c r="D1102" s="172">
        <v>44895.0</v>
      </c>
      <c r="E1102" s="170">
        <v>117.0</v>
      </c>
      <c r="F1102" s="201">
        <v>2022.11</v>
      </c>
      <c r="G1102" s="201" t="s">
        <v>52</v>
      </c>
      <c r="H1102" s="170" t="s">
        <v>1264</v>
      </c>
      <c r="I1102" s="170" t="s">
        <v>1979</v>
      </c>
      <c r="J1102" s="195"/>
      <c r="K1102" s="173">
        <v>44866.0</v>
      </c>
      <c r="L1102" s="45" t="b">
        <v>1</v>
      </c>
    </row>
    <row r="1103" hidden="1">
      <c r="A1103" s="16" t="s">
        <v>499</v>
      </c>
      <c r="B1103" s="99" t="s">
        <v>1980</v>
      </c>
      <c r="C1103" s="174">
        <v>150.0</v>
      </c>
      <c r="D1103" s="175">
        <v>44895.0</v>
      </c>
      <c r="E1103" s="99">
        <v>117.0</v>
      </c>
      <c r="F1103" s="202">
        <v>2022.11</v>
      </c>
      <c r="G1103" s="202" t="s">
        <v>52</v>
      </c>
      <c r="H1103" s="99" t="s">
        <v>1264</v>
      </c>
      <c r="I1103" s="99" t="s">
        <v>1979</v>
      </c>
      <c r="J1103" s="194"/>
      <c r="K1103" s="177">
        <v>44866.0</v>
      </c>
      <c r="L1103" s="46" t="b">
        <v>1</v>
      </c>
    </row>
    <row r="1104" hidden="1">
      <c r="A1104" s="4" t="s">
        <v>451</v>
      </c>
      <c r="B1104" s="170" t="s">
        <v>1980</v>
      </c>
      <c r="C1104" s="171">
        <v>60.0</v>
      </c>
      <c r="D1104" s="172">
        <v>44895.0</v>
      </c>
      <c r="E1104" s="170">
        <v>117.0</v>
      </c>
      <c r="F1104" s="201">
        <v>2022.0</v>
      </c>
      <c r="G1104" s="201" t="s">
        <v>1160</v>
      </c>
      <c r="H1104" s="170" t="s">
        <v>1264</v>
      </c>
      <c r="I1104" s="170" t="s">
        <v>1979</v>
      </c>
      <c r="J1104" s="195"/>
      <c r="K1104" s="173">
        <v>44866.0</v>
      </c>
      <c r="L1104" s="45" t="b">
        <v>1</v>
      </c>
    </row>
    <row r="1105" hidden="1">
      <c r="A1105" s="16" t="s">
        <v>549</v>
      </c>
      <c r="B1105" s="99" t="s">
        <v>1980</v>
      </c>
      <c r="C1105" s="174">
        <v>45.0</v>
      </c>
      <c r="D1105" s="175">
        <v>44895.0</v>
      </c>
      <c r="E1105" s="99">
        <v>117.0</v>
      </c>
      <c r="F1105" s="202">
        <v>2022.11</v>
      </c>
      <c r="G1105" s="202" t="s">
        <v>52</v>
      </c>
      <c r="H1105" s="99" t="s">
        <v>1264</v>
      </c>
      <c r="I1105" s="99" t="s">
        <v>1979</v>
      </c>
      <c r="J1105" s="194"/>
      <c r="K1105" s="177">
        <v>44866.0</v>
      </c>
      <c r="L1105" s="46" t="b">
        <v>1</v>
      </c>
    </row>
    <row r="1106" hidden="1">
      <c r="A1106" s="4" t="s">
        <v>478</v>
      </c>
      <c r="B1106" s="170" t="s">
        <v>1980</v>
      </c>
      <c r="C1106" s="93">
        <f>212.5+45</f>
        <v>257.5</v>
      </c>
      <c r="D1106" s="172">
        <v>44895.0</v>
      </c>
      <c r="E1106" s="170">
        <v>117.0</v>
      </c>
      <c r="F1106" s="201">
        <v>2022.0</v>
      </c>
      <c r="G1106" s="201" t="s">
        <v>1160</v>
      </c>
      <c r="H1106" s="170" t="s">
        <v>1264</v>
      </c>
      <c r="I1106" s="170" t="s">
        <v>1979</v>
      </c>
      <c r="J1106" s="195"/>
      <c r="K1106" s="173">
        <v>44866.0</v>
      </c>
      <c r="L1106" s="45" t="b">
        <v>1</v>
      </c>
    </row>
    <row r="1107" hidden="1">
      <c r="A1107" s="16" t="s">
        <v>676</v>
      </c>
      <c r="B1107" s="99" t="s">
        <v>1980</v>
      </c>
      <c r="C1107" s="96">
        <f>350+135</f>
        <v>485</v>
      </c>
      <c r="D1107" s="175">
        <v>44895.0</v>
      </c>
      <c r="E1107" s="99">
        <v>117.0</v>
      </c>
      <c r="F1107" s="202">
        <v>2022.0</v>
      </c>
      <c r="G1107" s="202" t="s">
        <v>1160</v>
      </c>
      <c r="H1107" s="99" t="s">
        <v>1264</v>
      </c>
      <c r="I1107" s="99" t="s">
        <v>1979</v>
      </c>
      <c r="J1107" s="194"/>
      <c r="K1107" s="177">
        <v>44866.0</v>
      </c>
      <c r="L1107" s="46" t="b">
        <v>1</v>
      </c>
    </row>
    <row r="1108" hidden="1">
      <c r="A1108" s="4" t="s">
        <v>653</v>
      </c>
      <c r="B1108" s="170" t="s">
        <v>1980</v>
      </c>
      <c r="C1108" s="93">
        <f>700+270</f>
        <v>970</v>
      </c>
      <c r="D1108" s="172">
        <v>44895.0</v>
      </c>
      <c r="E1108" s="170">
        <v>117.0</v>
      </c>
      <c r="F1108" s="201">
        <v>2022.0</v>
      </c>
      <c r="G1108" s="201" t="s">
        <v>1160</v>
      </c>
      <c r="H1108" s="170" t="s">
        <v>1264</v>
      </c>
      <c r="I1108" s="170" t="s">
        <v>1979</v>
      </c>
      <c r="J1108" s="195"/>
      <c r="K1108" s="173">
        <v>44866.0</v>
      </c>
      <c r="L1108" s="45" t="b">
        <v>1</v>
      </c>
    </row>
    <row r="1109" hidden="1">
      <c r="A1109" s="16" t="s">
        <v>762</v>
      </c>
      <c r="B1109" s="99" t="s">
        <v>1980</v>
      </c>
      <c r="C1109" s="96">
        <f>325+90</f>
        <v>415</v>
      </c>
      <c r="D1109" s="175">
        <v>44895.0</v>
      </c>
      <c r="E1109" s="99">
        <v>117.0</v>
      </c>
      <c r="F1109" s="202">
        <v>2022.11</v>
      </c>
      <c r="G1109" s="202" t="s">
        <v>52</v>
      </c>
      <c r="H1109" s="99" t="s">
        <v>1264</v>
      </c>
      <c r="I1109" s="99" t="s">
        <v>1979</v>
      </c>
      <c r="J1109" s="194"/>
      <c r="K1109" s="177">
        <v>44866.0</v>
      </c>
      <c r="L1109" s="46" t="b">
        <v>1</v>
      </c>
    </row>
    <row r="1110" hidden="1">
      <c r="A1110" s="4" t="s">
        <v>686</v>
      </c>
      <c r="B1110" s="170" t="s">
        <v>1980</v>
      </c>
      <c r="C1110" s="171">
        <v>100.0</v>
      </c>
      <c r="D1110" s="172">
        <v>44895.0</v>
      </c>
      <c r="E1110" s="170">
        <v>117.0</v>
      </c>
      <c r="F1110" s="201">
        <v>2022.0</v>
      </c>
      <c r="G1110" s="201" t="s">
        <v>1160</v>
      </c>
      <c r="H1110" s="170" t="s">
        <v>1264</v>
      </c>
      <c r="I1110" s="170" t="s">
        <v>1979</v>
      </c>
      <c r="J1110" s="195"/>
      <c r="K1110" s="173">
        <v>44866.0</v>
      </c>
      <c r="L1110" s="45" t="b">
        <v>1</v>
      </c>
    </row>
    <row r="1111" hidden="1">
      <c r="A1111" s="16" t="s">
        <v>1266</v>
      </c>
      <c r="B1111" s="99" t="s">
        <v>1980</v>
      </c>
      <c r="C1111" s="174">
        <v>300.0</v>
      </c>
      <c r="D1111" s="175">
        <v>44895.0</v>
      </c>
      <c r="E1111" s="99">
        <v>117.0</v>
      </c>
      <c r="F1111" s="202">
        <v>2022.0</v>
      </c>
      <c r="G1111" s="202" t="s">
        <v>1152</v>
      </c>
      <c r="H1111" s="99" t="s">
        <v>1264</v>
      </c>
      <c r="I1111" s="99" t="s">
        <v>1993</v>
      </c>
      <c r="J1111" s="81" t="s">
        <v>2097</v>
      </c>
      <c r="K1111" s="177">
        <v>44866.0</v>
      </c>
      <c r="L1111" s="46" t="b">
        <v>1</v>
      </c>
    </row>
    <row r="1112" hidden="1">
      <c r="A1112" s="4" t="s">
        <v>115</v>
      </c>
      <c r="B1112" s="170" t="s">
        <v>1982</v>
      </c>
      <c r="C1112" s="171">
        <v>662.5</v>
      </c>
      <c r="D1112" s="172">
        <v>44895.0</v>
      </c>
      <c r="E1112" s="170" t="s">
        <v>2098</v>
      </c>
      <c r="F1112" s="201">
        <v>2022.11</v>
      </c>
      <c r="G1112" s="201" t="s">
        <v>52</v>
      </c>
      <c r="H1112" s="170" t="s">
        <v>1264</v>
      </c>
      <c r="I1112" s="170" t="s">
        <v>1979</v>
      </c>
      <c r="J1112" s="195"/>
      <c r="K1112" s="173">
        <v>44866.0</v>
      </c>
      <c r="L1112" s="45" t="b">
        <v>1</v>
      </c>
    </row>
    <row r="1113" hidden="1">
      <c r="A1113" s="16" t="s">
        <v>118</v>
      </c>
      <c r="B1113" s="99" t="s">
        <v>1982</v>
      </c>
      <c r="C1113" s="174">
        <v>662.5</v>
      </c>
      <c r="D1113" s="175">
        <v>44895.0</v>
      </c>
      <c r="E1113" s="99" t="s">
        <v>2098</v>
      </c>
      <c r="F1113" s="202">
        <v>2022.11</v>
      </c>
      <c r="G1113" s="202" t="s">
        <v>52</v>
      </c>
      <c r="H1113" s="99" t="s">
        <v>1264</v>
      </c>
      <c r="I1113" s="99" t="s">
        <v>1979</v>
      </c>
      <c r="J1113" s="194"/>
      <c r="K1113" s="177">
        <v>44866.0</v>
      </c>
      <c r="L1113" s="46" t="b">
        <v>1</v>
      </c>
    </row>
    <row r="1114" hidden="1">
      <c r="A1114" s="4" t="s">
        <v>92</v>
      </c>
      <c r="B1114" s="170" t="s">
        <v>1982</v>
      </c>
      <c r="C1114" s="171">
        <v>475.0</v>
      </c>
      <c r="D1114" s="172">
        <v>44895.0</v>
      </c>
      <c r="E1114" s="170" t="s">
        <v>2098</v>
      </c>
      <c r="F1114" s="201">
        <v>2022.11</v>
      </c>
      <c r="G1114" s="201" t="s">
        <v>52</v>
      </c>
      <c r="H1114" s="170" t="s">
        <v>1264</v>
      </c>
      <c r="I1114" s="170" t="s">
        <v>1979</v>
      </c>
      <c r="J1114" s="195"/>
      <c r="K1114" s="173">
        <v>44866.0</v>
      </c>
      <c r="L1114" s="45" t="b">
        <v>1</v>
      </c>
    </row>
    <row r="1115" hidden="1">
      <c r="A1115" s="16" t="s">
        <v>84</v>
      </c>
      <c r="B1115" s="99" t="s">
        <v>1982</v>
      </c>
      <c r="C1115" s="174">
        <v>475.0</v>
      </c>
      <c r="D1115" s="175">
        <v>44895.0</v>
      </c>
      <c r="E1115" s="99" t="s">
        <v>2098</v>
      </c>
      <c r="F1115" s="202">
        <v>2022.11</v>
      </c>
      <c r="G1115" s="202" t="s">
        <v>52</v>
      </c>
      <c r="H1115" s="99" t="s">
        <v>1264</v>
      </c>
      <c r="I1115" s="99" t="s">
        <v>1979</v>
      </c>
      <c r="J1115" s="194"/>
      <c r="K1115" s="177">
        <v>44866.0</v>
      </c>
      <c r="L1115" s="46" t="b">
        <v>1</v>
      </c>
    </row>
    <row r="1116" hidden="1">
      <c r="A1116" s="4" t="s">
        <v>123</v>
      </c>
      <c r="B1116" s="170" t="s">
        <v>1982</v>
      </c>
      <c r="C1116" s="171">
        <v>937.5</v>
      </c>
      <c r="D1116" s="172">
        <v>44895.0</v>
      </c>
      <c r="E1116" s="170" t="s">
        <v>2098</v>
      </c>
      <c r="F1116" s="201">
        <v>2022.11</v>
      </c>
      <c r="G1116" s="201" t="s">
        <v>52</v>
      </c>
      <c r="H1116" s="170" t="s">
        <v>1264</v>
      </c>
      <c r="I1116" s="170" t="s">
        <v>1979</v>
      </c>
      <c r="J1116" s="195"/>
      <c r="K1116" s="173">
        <v>44866.0</v>
      </c>
      <c r="L1116" s="45" t="b">
        <v>1</v>
      </c>
    </row>
    <row r="1117" hidden="1">
      <c r="A1117" s="16" t="s">
        <v>62</v>
      </c>
      <c r="B1117" s="99" t="s">
        <v>1982</v>
      </c>
      <c r="C1117" s="174">
        <v>450.0</v>
      </c>
      <c r="D1117" s="175">
        <v>44895.0</v>
      </c>
      <c r="E1117" s="99" t="s">
        <v>2098</v>
      </c>
      <c r="F1117" s="202">
        <v>2022.11</v>
      </c>
      <c r="G1117" s="202" t="s">
        <v>52</v>
      </c>
      <c r="H1117" s="99" t="s">
        <v>1264</v>
      </c>
      <c r="I1117" s="99" t="s">
        <v>1979</v>
      </c>
      <c r="J1117" s="194"/>
      <c r="K1117" s="177">
        <v>44866.0</v>
      </c>
      <c r="L1117" s="46" t="b">
        <v>1</v>
      </c>
    </row>
    <row r="1118" hidden="1">
      <c r="A1118" s="4" t="s">
        <v>99</v>
      </c>
      <c r="B1118" s="170" t="s">
        <v>2036</v>
      </c>
      <c r="C1118" s="171">
        <v>437.5</v>
      </c>
      <c r="D1118" s="172">
        <v>44895.0</v>
      </c>
      <c r="E1118" s="188">
        <v>44866.0</v>
      </c>
      <c r="F1118" s="201">
        <v>2022.11</v>
      </c>
      <c r="G1118" s="201" t="s">
        <v>52</v>
      </c>
      <c r="H1118" s="170" t="s">
        <v>1264</v>
      </c>
      <c r="I1118" s="170" t="s">
        <v>1979</v>
      </c>
      <c r="J1118" s="195"/>
      <c r="K1118" s="173">
        <v>44866.0</v>
      </c>
      <c r="L1118" s="45" t="b">
        <v>1</v>
      </c>
    </row>
    <row r="1119" hidden="1">
      <c r="A1119" s="16" t="s">
        <v>611</v>
      </c>
      <c r="B1119" s="99" t="s">
        <v>2036</v>
      </c>
      <c r="C1119" s="174">
        <v>450.0</v>
      </c>
      <c r="D1119" s="175">
        <v>44895.0</v>
      </c>
      <c r="E1119" s="189">
        <v>44866.0</v>
      </c>
      <c r="F1119" s="202">
        <v>2022.0</v>
      </c>
      <c r="G1119" s="202" t="s">
        <v>1160</v>
      </c>
      <c r="H1119" s="99" t="s">
        <v>1264</v>
      </c>
      <c r="I1119" s="99" t="s">
        <v>1979</v>
      </c>
      <c r="J1119" s="194"/>
      <c r="K1119" s="177">
        <v>44866.0</v>
      </c>
      <c r="L1119" s="46" t="b">
        <v>1</v>
      </c>
    </row>
    <row r="1120" hidden="1">
      <c r="A1120" s="4" t="s">
        <v>42</v>
      </c>
      <c r="B1120" s="170" t="s">
        <v>2036</v>
      </c>
      <c r="C1120" s="171">
        <v>212.5</v>
      </c>
      <c r="D1120" s="172">
        <v>44895.0</v>
      </c>
      <c r="E1120" s="188">
        <v>44866.0</v>
      </c>
      <c r="F1120" s="201">
        <v>2022.11</v>
      </c>
      <c r="G1120" s="201" t="s">
        <v>52</v>
      </c>
      <c r="H1120" s="170" t="s">
        <v>1264</v>
      </c>
      <c r="I1120" s="170" t="s">
        <v>1979</v>
      </c>
      <c r="J1120" s="195"/>
      <c r="K1120" s="173">
        <v>44866.0</v>
      </c>
      <c r="L1120" s="45" t="b">
        <v>1</v>
      </c>
    </row>
    <row r="1121" hidden="1">
      <c r="A1121" s="16" t="s">
        <v>499</v>
      </c>
      <c r="B1121" s="99" t="s">
        <v>2036</v>
      </c>
      <c r="C1121" s="174">
        <v>100.0</v>
      </c>
      <c r="D1121" s="175">
        <v>44895.0</v>
      </c>
      <c r="E1121" s="189">
        <v>44866.0</v>
      </c>
      <c r="F1121" s="202">
        <v>2022.11</v>
      </c>
      <c r="G1121" s="202" t="s">
        <v>52</v>
      </c>
      <c r="H1121" s="99" t="s">
        <v>1264</v>
      </c>
      <c r="I1121" s="99" t="s">
        <v>1979</v>
      </c>
      <c r="J1121" s="194"/>
      <c r="K1121" s="177">
        <v>44866.0</v>
      </c>
      <c r="L1121" s="46" t="b">
        <v>1</v>
      </c>
    </row>
    <row r="1122" hidden="1">
      <c r="A1122" s="4" t="s">
        <v>662</v>
      </c>
      <c r="B1122" s="170" t="s">
        <v>2036</v>
      </c>
      <c r="C1122" s="171">
        <v>500.0</v>
      </c>
      <c r="D1122" s="172">
        <v>44895.0</v>
      </c>
      <c r="E1122" s="188">
        <v>44866.0</v>
      </c>
      <c r="F1122" s="201">
        <v>2022.11</v>
      </c>
      <c r="G1122" s="201" t="s">
        <v>52</v>
      </c>
      <c r="H1122" s="170" t="s">
        <v>1264</v>
      </c>
      <c r="I1122" s="170" t="s">
        <v>1979</v>
      </c>
      <c r="J1122" s="195"/>
      <c r="K1122" s="173">
        <v>44866.0</v>
      </c>
      <c r="L1122" s="45" t="b">
        <v>1</v>
      </c>
    </row>
    <row r="1123" hidden="1">
      <c r="A1123" s="16" t="s">
        <v>725</v>
      </c>
      <c r="B1123" s="99" t="s">
        <v>1229</v>
      </c>
      <c r="C1123" s="174">
        <v>72.0</v>
      </c>
      <c r="D1123" s="175">
        <v>44904.0</v>
      </c>
      <c r="E1123" s="97"/>
      <c r="F1123" s="202">
        <v>2022.0</v>
      </c>
      <c r="G1123" s="202" t="s">
        <v>716</v>
      </c>
      <c r="H1123" s="99" t="s">
        <v>1264</v>
      </c>
      <c r="I1123" s="99" t="s">
        <v>1990</v>
      </c>
      <c r="J1123" s="81">
        <v>2022.0</v>
      </c>
      <c r="K1123" s="177">
        <v>44866.0</v>
      </c>
      <c r="L1123" s="46" t="b">
        <v>1</v>
      </c>
    </row>
    <row r="1124" hidden="1">
      <c r="A1124" s="4" t="s">
        <v>180</v>
      </c>
      <c r="B1124" s="170" t="s">
        <v>1229</v>
      </c>
      <c r="C1124" s="171">
        <v>114.0</v>
      </c>
      <c r="D1124" s="172">
        <v>44904.0</v>
      </c>
      <c r="E1124" s="94"/>
      <c r="F1124" s="201">
        <v>2022.0</v>
      </c>
      <c r="G1124" s="201" t="s">
        <v>716</v>
      </c>
      <c r="H1124" s="170" t="s">
        <v>1264</v>
      </c>
      <c r="I1124" s="170" t="s">
        <v>1990</v>
      </c>
      <c r="J1124" s="198" t="s">
        <v>2099</v>
      </c>
      <c r="K1124" s="173">
        <v>44866.0</v>
      </c>
      <c r="L1124" s="45" t="b">
        <v>1</v>
      </c>
    </row>
    <row r="1125" hidden="1">
      <c r="A1125" s="16" t="s">
        <v>180</v>
      </c>
      <c r="B1125" s="99" t="s">
        <v>1229</v>
      </c>
      <c r="C1125" s="174">
        <v>144.0</v>
      </c>
      <c r="D1125" s="175">
        <v>44904.0</v>
      </c>
      <c r="E1125" s="97"/>
      <c r="F1125" s="202">
        <v>2022.0</v>
      </c>
      <c r="G1125" s="202" t="s">
        <v>716</v>
      </c>
      <c r="H1125" s="99" t="s">
        <v>1264</v>
      </c>
      <c r="I1125" s="99" t="s">
        <v>1990</v>
      </c>
      <c r="J1125" s="81" t="s">
        <v>2100</v>
      </c>
      <c r="K1125" s="177">
        <v>44866.0</v>
      </c>
      <c r="L1125" s="46" t="b">
        <v>1</v>
      </c>
    </row>
    <row r="1126" hidden="1">
      <c r="A1126" s="4" t="s">
        <v>467</v>
      </c>
      <c r="B1126" s="170" t="s">
        <v>1229</v>
      </c>
      <c r="C1126" s="171">
        <v>72.0</v>
      </c>
      <c r="D1126" s="172">
        <v>44904.0</v>
      </c>
      <c r="E1126" s="94"/>
      <c r="F1126" s="201">
        <v>2022.12</v>
      </c>
      <c r="G1126" s="201" t="s">
        <v>52</v>
      </c>
      <c r="H1126" s="170" t="s">
        <v>1264</v>
      </c>
      <c r="I1126" s="170" t="s">
        <v>1990</v>
      </c>
      <c r="J1126" s="198" t="s">
        <v>2101</v>
      </c>
      <c r="K1126" s="173">
        <v>44866.0</v>
      </c>
      <c r="L1126" s="45" t="b">
        <v>1</v>
      </c>
    </row>
    <row r="1127" hidden="1">
      <c r="A1127" s="16" t="s">
        <v>467</v>
      </c>
      <c r="B1127" s="99" t="s">
        <v>1229</v>
      </c>
      <c r="C1127" s="174">
        <v>114.0</v>
      </c>
      <c r="D1127" s="175">
        <v>44904.0</v>
      </c>
      <c r="E1127" s="97"/>
      <c r="F1127" s="202">
        <v>2022.12</v>
      </c>
      <c r="G1127" s="202" t="s">
        <v>52</v>
      </c>
      <c r="H1127" s="99" t="s">
        <v>1264</v>
      </c>
      <c r="I1127" s="99" t="s">
        <v>1990</v>
      </c>
      <c r="J1127" s="81" t="s">
        <v>2099</v>
      </c>
      <c r="K1127" s="177">
        <v>44866.0</v>
      </c>
      <c r="L1127" s="46" t="b">
        <v>1</v>
      </c>
    </row>
    <row r="1128" hidden="1">
      <c r="A1128" s="4" t="s">
        <v>105</v>
      </c>
      <c r="B1128" s="170" t="s">
        <v>1229</v>
      </c>
      <c r="C1128" s="171">
        <v>144.0</v>
      </c>
      <c r="D1128" s="172">
        <v>44904.0</v>
      </c>
      <c r="E1128" s="94"/>
      <c r="F1128" s="201">
        <v>2022.0</v>
      </c>
      <c r="G1128" s="201" t="s">
        <v>1992</v>
      </c>
      <c r="H1128" s="170" t="s">
        <v>1264</v>
      </c>
      <c r="I1128" s="170" t="s">
        <v>1990</v>
      </c>
      <c r="J1128" s="198" t="s">
        <v>2101</v>
      </c>
      <c r="K1128" s="173">
        <v>44866.0</v>
      </c>
      <c r="L1128" s="45" t="b">
        <v>1</v>
      </c>
    </row>
    <row r="1129" hidden="1">
      <c r="A1129" s="16" t="s">
        <v>105</v>
      </c>
      <c r="B1129" s="99" t="s">
        <v>1229</v>
      </c>
      <c r="C1129" s="174">
        <v>114.0</v>
      </c>
      <c r="D1129" s="175">
        <v>44904.0</v>
      </c>
      <c r="E1129" s="97"/>
      <c r="F1129" s="202">
        <v>2022.0</v>
      </c>
      <c r="G1129" s="202" t="s">
        <v>1992</v>
      </c>
      <c r="H1129" s="99" t="s">
        <v>1264</v>
      </c>
      <c r="I1129" s="99" t="s">
        <v>1990</v>
      </c>
      <c r="J1129" s="81" t="s">
        <v>2099</v>
      </c>
      <c r="K1129" s="177">
        <v>44866.0</v>
      </c>
      <c r="L1129" s="46" t="b">
        <v>1</v>
      </c>
    </row>
    <row r="1130" hidden="1">
      <c r="A1130" s="4" t="s">
        <v>754</v>
      </c>
      <c r="B1130" s="170" t="s">
        <v>1229</v>
      </c>
      <c r="C1130" s="171">
        <v>72.0</v>
      </c>
      <c r="D1130" s="172">
        <v>44904.0</v>
      </c>
      <c r="E1130" s="94"/>
      <c r="F1130" s="201">
        <v>2022.0</v>
      </c>
      <c r="G1130" s="201" t="s">
        <v>716</v>
      </c>
      <c r="H1130" s="170" t="s">
        <v>1264</v>
      </c>
      <c r="I1130" s="170" t="s">
        <v>1990</v>
      </c>
      <c r="J1130" s="198" t="s">
        <v>2102</v>
      </c>
      <c r="K1130" s="173">
        <v>44866.0</v>
      </c>
      <c r="L1130" s="45" t="b">
        <v>1</v>
      </c>
    </row>
    <row r="1131" hidden="1">
      <c r="A1131" s="16" t="s">
        <v>755</v>
      </c>
      <c r="B1131" s="99" t="s">
        <v>1229</v>
      </c>
      <c r="C1131" s="174">
        <v>72.0</v>
      </c>
      <c r="D1131" s="175">
        <v>44904.0</v>
      </c>
      <c r="E1131" s="97"/>
      <c r="F1131" s="202">
        <v>2022.0</v>
      </c>
      <c r="G1131" s="202" t="s">
        <v>716</v>
      </c>
      <c r="H1131" s="99" t="s">
        <v>1264</v>
      </c>
      <c r="I1131" s="99" t="s">
        <v>1990</v>
      </c>
      <c r="J1131" s="81" t="s">
        <v>2102</v>
      </c>
      <c r="K1131" s="177">
        <v>44866.0</v>
      </c>
      <c r="L1131" s="46" t="b">
        <v>1</v>
      </c>
    </row>
    <row r="1132" hidden="1">
      <c r="A1132" s="4" t="s">
        <v>1465</v>
      </c>
      <c r="B1132" s="170" t="s">
        <v>1229</v>
      </c>
      <c r="C1132" s="171">
        <v>72.0</v>
      </c>
      <c r="D1132" s="172">
        <v>44904.0</v>
      </c>
      <c r="E1132" s="94"/>
      <c r="F1132" s="201">
        <v>2022.0</v>
      </c>
      <c r="G1132" s="201" t="s">
        <v>716</v>
      </c>
      <c r="H1132" s="170" t="s">
        <v>1264</v>
      </c>
      <c r="I1132" s="170" t="s">
        <v>1990</v>
      </c>
      <c r="J1132" s="198" t="s">
        <v>2102</v>
      </c>
      <c r="K1132" s="173">
        <v>44866.0</v>
      </c>
      <c r="L1132" s="45" t="b">
        <v>1</v>
      </c>
    </row>
    <row r="1133" hidden="1">
      <c r="A1133" s="16" t="s">
        <v>725</v>
      </c>
      <c r="B1133" s="99" t="s">
        <v>1229</v>
      </c>
      <c r="C1133" s="174">
        <v>72.0</v>
      </c>
      <c r="D1133" s="175">
        <v>44904.0</v>
      </c>
      <c r="E1133" s="97"/>
      <c r="F1133" s="202">
        <v>2022.0</v>
      </c>
      <c r="G1133" s="202" t="s">
        <v>716</v>
      </c>
      <c r="H1133" s="99" t="s">
        <v>1264</v>
      </c>
      <c r="I1133" s="99" t="s">
        <v>1990</v>
      </c>
      <c r="J1133" s="81" t="s">
        <v>2102</v>
      </c>
      <c r="K1133" s="177">
        <v>44866.0</v>
      </c>
      <c r="L1133" s="46" t="b">
        <v>1</v>
      </c>
    </row>
    <row r="1134" hidden="1">
      <c r="A1134" s="4" t="s">
        <v>92</v>
      </c>
      <c r="B1134" s="170" t="s">
        <v>1229</v>
      </c>
      <c r="C1134" s="171">
        <v>72.0</v>
      </c>
      <c r="D1134" s="172">
        <v>44904.0</v>
      </c>
      <c r="E1134" s="94"/>
      <c r="F1134" s="201">
        <v>2022.12</v>
      </c>
      <c r="G1134" s="201" t="s">
        <v>52</v>
      </c>
      <c r="H1134" s="170" t="s">
        <v>1264</v>
      </c>
      <c r="I1134" s="170" t="s">
        <v>1990</v>
      </c>
      <c r="J1134" s="198" t="s">
        <v>2102</v>
      </c>
      <c r="K1134" s="173">
        <v>44866.0</v>
      </c>
      <c r="L1134" s="45" t="b">
        <v>1</v>
      </c>
    </row>
    <row r="1135" hidden="1">
      <c r="A1135" s="16" t="s">
        <v>276</v>
      </c>
      <c r="B1135" s="99" t="s">
        <v>1229</v>
      </c>
      <c r="C1135" s="174">
        <v>72.0</v>
      </c>
      <c r="D1135" s="175">
        <v>44904.0</v>
      </c>
      <c r="E1135" s="97"/>
      <c r="F1135" s="202">
        <v>2022.0</v>
      </c>
      <c r="G1135" s="202" t="s">
        <v>716</v>
      </c>
      <c r="H1135" s="99" t="s">
        <v>1264</v>
      </c>
      <c r="I1135" s="99" t="s">
        <v>1990</v>
      </c>
      <c r="J1135" s="81" t="s">
        <v>2102</v>
      </c>
      <c r="K1135" s="177">
        <v>44866.0</v>
      </c>
      <c r="L1135" s="46" t="b">
        <v>1</v>
      </c>
    </row>
    <row r="1136" hidden="1">
      <c r="A1136" s="4" t="s">
        <v>180</v>
      </c>
      <c r="B1136" s="170" t="s">
        <v>1229</v>
      </c>
      <c r="C1136" s="171">
        <v>72.0</v>
      </c>
      <c r="D1136" s="172">
        <v>44904.0</v>
      </c>
      <c r="E1136" s="94"/>
      <c r="F1136" s="201">
        <v>2022.0</v>
      </c>
      <c r="G1136" s="201" t="s">
        <v>716</v>
      </c>
      <c r="H1136" s="170" t="s">
        <v>1264</v>
      </c>
      <c r="I1136" s="170" t="s">
        <v>1990</v>
      </c>
      <c r="J1136" s="198" t="s">
        <v>2102</v>
      </c>
      <c r="K1136" s="173">
        <v>44866.0</v>
      </c>
      <c r="L1136" s="45" t="b">
        <v>1</v>
      </c>
    </row>
    <row r="1137" hidden="1">
      <c r="A1137" s="16" t="s">
        <v>467</v>
      </c>
      <c r="B1137" s="99" t="s">
        <v>1229</v>
      </c>
      <c r="C1137" s="174">
        <v>72.0</v>
      </c>
      <c r="D1137" s="175">
        <v>44904.0</v>
      </c>
      <c r="E1137" s="97"/>
      <c r="F1137" s="202">
        <v>2022.12</v>
      </c>
      <c r="G1137" s="202" t="s">
        <v>52</v>
      </c>
      <c r="H1137" s="99" t="s">
        <v>1264</v>
      </c>
      <c r="I1137" s="99" t="s">
        <v>1990</v>
      </c>
      <c r="J1137" s="81" t="s">
        <v>2102</v>
      </c>
      <c r="K1137" s="177">
        <v>44866.0</v>
      </c>
      <c r="L1137" s="46" t="b">
        <v>1</v>
      </c>
    </row>
    <row r="1138" hidden="1">
      <c r="A1138" s="4" t="s">
        <v>105</v>
      </c>
      <c r="B1138" s="170" t="s">
        <v>1229</v>
      </c>
      <c r="C1138" s="171">
        <v>72.0</v>
      </c>
      <c r="D1138" s="172">
        <v>44904.0</v>
      </c>
      <c r="E1138" s="94"/>
      <c r="F1138" s="201">
        <v>2022.0</v>
      </c>
      <c r="G1138" s="201" t="s">
        <v>1992</v>
      </c>
      <c r="H1138" s="170" t="s">
        <v>1264</v>
      </c>
      <c r="I1138" s="170" t="s">
        <v>1990</v>
      </c>
      <c r="J1138" s="198" t="s">
        <v>2102</v>
      </c>
      <c r="K1138" s="173">
        <v>44866.0</v>
      </c>
      <c r="L1138" s="45" t="b">
        <v>1</v>
      </c>
    </row>
    <row r="1139" hidden="1">
      <c r="A1139" s="16" t="s">
        <v>54</v>
      </c>
      <c r="B1139" s="99" t="s">
        <v>1985</v>
      </c>
      <c r="C1139" s="174">
        <v>287.5</v>
      </c>
      <c r="D1139" s="175">
        <v>44895.0</v>
      </c>
      <c r="E1139" s="99">
        <v>28.0</v>
      </c>
      <c r="F1139" s="202">
        <v>2022.11</v>
      </c>
      <c r="G1139" s="202" t="s">
        <v>52</v>
      </c>
      <c r="H1139" s="99" t="s">
        <v>1264</v>
      </c>
      <c r="I1139" s="99" t="s">
        <v>1990</v>
      </c>
      <c r="J1139" s="194"/>
      <c r="K1139" s="177">
        <v>44866.0</v>
      </c>
      <c r="L1139" s="46" t="b">
        <v>1</v>
      </c>
    </row>
    <row r="1140" hidden="1">
      <c r="A1140" s="4" t="s">
        <v>58</v>
      </c>
      <c r="B1140" s="170" t="s">
        <v>1985</v>
      </c>
      <c r="C1140" s="171">
        <v>112.5</v>
      </c>
      <c r="D1140" s="172">
        <v>44895.0</v>
      </c>
      <c r="E1140" s="170">
        <v>28.0</v>
      </c>
      <c r="F1140" s="201">
        <v>2022.11</v>
      </c>
      <c r="G1140" s="201" t="s">
        <v>52</v>
      </c>
      <c r="H1140" s="170" t="s">
        <v>1264</v>
      </c>
      <c r="I1140" s="170" t="s">
        <v>1990</v>
      </c>
      <c r="J1140" s="195"/>
      <c r="K1140" s="173">
        <v>44866.0</v>
      </c>
      <c r="L1140" s="45" t="b">
        <v>1</v>
      </c>
    </row>
    <row r="1141" hidden="1">
      <c r="A1141" s="16" t="s">
        <v>120</v>
      </c>
      <c r="B1141" s="99" t="s">
        <v>1985</v>
      </c>
      <c r="C1141" s="174">
        <v>575.0</v>
      </c>
      <c r="D1141" s="175">
        <v>44895.0</v>
      </c>
      <c r="E1141" s="99">
        <v>28.0</v>
      </c>
      <c r="F1141" s="202">
        <v>2022.11</v>
      </c>
      <c r="G1141" s="202" t="s">
        <v>52</v>
      </c>
      <c r="H1141" s="99" t="s">
        <v>1264</v>
      </c>
      <c r="I1141" s="99" t="s">
        <v>1990</v>
      </c>
      <c r="J1141" s="194"/>
      <c r="K1141" s="177">
        <v>44866.0</v>
      </c>
      <c r="L1141" s="46" t="b">
        <v>1</v>
      </c>
    </row>
    <row r="1142" hidden="1">
      <c r="A1142" s="4" t="s">
        <v>632</v>
      </c>
      <c r="B1142" s="170" t="s">
        <v>1985</v>
      </c>
      <c r="C1142" s="171">
        <f>500+15</f>
        <v>515</v>
      </c>
      <c r="D1142" s="172">
        <v>44895.0</v>
      </c>
      <c r="E1142" s="170">
        <v>28.0</v>
      </c>
      <c r="F1142" s="201">
        <v>2022.0</v>
      </c>
      <c r="G1142" s="201" t="s">
        <v>1160</v>
      </c>
      <c r="H1142" s="170" t="s">
        <v>1264</v>
      </c>
      <c r="I1142" s="170" t="s">
        <v>1990</v>
      </c>
      <c r="J1142" s="198" t="s">
        <v>2103</v>
      </c>
      <c r="K1142" s="173">
        <v>44866.0</v>
      </c>
      <c r="L1142" s="45" t="b">
        <v>1</v>
      </c>
    </row>
    <row r="1143" hidden="1">
      <c r="A1143" s="16" t="s">
        <v>82</v>
      </c>
      <c r="B1143" s="99" t="s">
        <v>1985</v>
      </c>
      <c r="C1143" s="174">
        <f>312.5+15</f>
        <v>327.5</v>
      </c>
      <c r="D1143" s="175">
        <v>44895.0</v>
      </c>
      <c r="E1143" s="99">
        <v>28.0</v>
      </c>
      <c r="F1143" s="202">
        <v>2022.11</v>
      </c>
      <c r="G1143" s="202" t="s">
        <v>52</v>
      </c>
      <c r="H1143" s="99" t="s">
        <v>1264</v>
      </c>
      <c r="I1143" s="99" t="s">
        <v>1990</v>
      </c>
      <c r="J1143" s="194"/>
      <c r="K1143" s="177">
        <v>44866.0</v>
      </c>
      <c r="L1143" s="46" t="b">
        <v>1</v>
      </c>
    </row>
    <row r="1144" hidden="1">
      <c r="A1144" s="4" t="s">
        <v>90</v>
      </c>
      <c r="B1144" s="170" t="s">
        <v>1985</v>
      </c>
      <c r="C1144" s="171">
        <f>525+15</f>
        <v>540</v>
      </c>
      <c r="D1144" s="172">
        <v>44895.0</v>
      </c>
      <c r="E1144" s="170">
        <v>28.0</v>
      </c>
      <c r="F1144" s="201">
        <v>2022.11</v>
      </c>
      <c r="G1144" s="201" t="s">
        <v>52</v>
      </c>
      <c r="H1144" s="170" t="s">
        <v>1264</v>
      </c>
      <c r="I1144" s="170" t="s">
        <v>1990</v>
      </c>
      <c r="J1144" s="195"/>
      <c r="K1144" s="173">
        <v>44866.0</v>
      </c>
      <c r="L1144" s="45" t="b">
        <v>1</v>
      </c>
    </row>
    <row r="1145" hidden="1">
      <c r="A1145" s="16" t="s">
        <v>668</v>
      </c>
      <c r="B1145" s="99" t="s">
        <v>1985</v>
      </c>
      <c r="C1145" s="174">
        <v>1000.0</v>
      </c>
      <c r="D1145" s="175">
        <v>44895.0</v>
      </c>
      <c r="E1145" s="99">
        <v>28.0</v>
      </c>
      <c r="F1145" s="202">
        <v>2022.0</v>
      </c>
      <c r="G1145" s="202" t="s">
        <v>1160</v>
      </c>
      <c r="H1145" s="99" t="s">
        <v>1264</v>
      </c>
      <c r="I1145" s="99" t="s">
        <v>1990</v>
      </c>
      <c r="J1145" s="194"/>
      <c r="K1145" s="177">
        <v>44866.0</v>
      </c>
      <c r="L1145" s="46" t="b">
        <v>1</v>
      </c>
    </row>
    <row r="1146" hidden="1">
      <c r="A1146" s="4" t="s">
        <v>713</v>
      </c>
      <c r="B1146" s="170" t="s">
        <v>1985</v>
      </c>
      <c r="C1146" s="171">
        <v>125.0</v>
      </c>
      <c r="D1146" s="172">
        <v>44895.0</v>
      </c>
      <c r="E1146" s="170">
        <v>28.0</v>
      </c>
      <c r="F1146" s="201">
        <v>2022.0</v>
      </c>
      <c r="G1146" s="201" t="s">
        <v>1160</v>
      </c>
      <c r="H1146" s="170" t="s">
        <v>1264</v>
      </c>
      <c r="I1146" s="170" t="s">
        <v>1990</v>
      </c>
      <c r="J1146" s="195"/>
      <c r="K1146" s="173">
        <v>44866.0</v>
      </c>
      <c r="L1146" s="45" t="b">
        <v>1</v>
      </c>
    </row>
    <row r="1147" hidden="1">
      <c r="A1147" s="16" t="s">
        <v>352</v>
      </c>
      <c r="B1147" s="99" t="s">
        <v>1985</v>
      </c>
      <c r="C1147" s="174">
        <v>250.0</v>
      </c>
      <c r="D1147" s="175">
        <v>44895.0</v>
      </c>
      <c r="E1147" s="99">
        <v>28.0</v>
      </c>
      <c r="F1147" s="202">
        <v>2022.0</v>
      </c>
      <c r="G1147" s="202" t="s">
        <v>1160</v>
      </c>
      <c r="H1147" s="99" t="s">
        <v>1264</v>
      </c>
      <c r="I1147" s="99" t="s">
        <v>1990</v>
      </c>
      <c r="J1147" s="194"/>
      <c r="K1147" s="177">
        <v>44866.0</v>
      </c>
      <c r="L1147" s="46" t="b">
        <v>1</v>
      </c>
    </row>
    <row r="1148" hidden="1">
      <c r="A1148" s="4" t="s">
        <v>740</v>
      </c>
      <c r="B1148" s="170" t="s">
        <v>1985</v>
      </c>
      <c r="C1148" s="171">
        <v>30.0</v>
      </c>
      <c r="D1148" s="172">
        <v>44895.0</v>
      </c>
      <c r="E1148" s="170">
        <v>28.0</v>
      </c>
      <c r="F1148" s="201">
        <v>2022.0</v>
      </c>
      <c r="G1148" s="201" t="s">
        <v>1160</v>
      </c>
      <c r="H1148" s="170" t="s">
        <v>1264</v>
      </c>
      <c r="I1148" s="170" t="s">
        <v>1990</v>
      </c>
      <c r="J1148" s="195"/>
      <c r="K1148" s="173">
        <v>44866.0</v>
      </c>
      <c r="L1148" s="45" t="b">
        <v>1</v>
      </c>
    </row>
    <row r="1149" hidden="1">
      <c r="A1149" s="16" t="s">
        <v>686</v>
      </c>
      <c r="B1149" s="99" t="s">
        <v>1983</v>
      </c>
      <c r="C1149" s="174">
        <v>250.0</v>
      </c>
      <c r="D1149" s="175">
        <v>44895.0</v>
      </c>
      <c r="E1149" s="99">
        <v>67.0</v>
      </c>
      <c r="F1149" s="202">
        <v>2022.0</v>
      </c>
      <c r="G1149" s="202" t="s">
        <v>1160</v>
      </c>
      <c r="H1149" s="99" t="s">
        <v>1264</v>
      </c>
      <c r="I1149" s="99" t="s">
        <v>1990</v>
      </c>
      <c r="J1149" s="194"/>
      <c r="K1149" s="177">
        <v>44866.0</v>
      </c>
      <c r="L1149" s="46" t="b">
        <v>1</v>
      </c>
    </row>
    <row r="1150" hidden="1">
      <c r="A1150" s="4" t="s">
        <v>1466</v>
      </c>
      <c r="B1150" s="170" t="s">
        <v>1229</v>
      </c>
      <c r="C1150" s="171">
        <v>72.0</v>
      </c>
      <c r="D1150" s="172">
        <v>44904.0</v>
      </c>
      <c r="E1150" s="94"/>
      <c r="F1150" s="201">
        <v>2022.0</v>
      </c>
      <c r="G1150" s="201" t="s">
        <v>716</v>
      </c>
      <c r="H1150" s="170" t="s">
        <v>1264</v>
      </c>
      <c r="I1150" s="170" t="s">
        <v>2104</v>
      </c>
      <c r="J1150" s="198" t="s">
        <v>2102</v>
      </c>
      <c r="K1150" s="173">
        <v>44866.0</v>
      </c>
      <c r="L1150" s="45" t="b">
        <v>1</v>
      </c>
    </row>
    <row r="1151" hidden="1">
      <c r="A1151" s="16" t="s">
        <v>629</v>
      </c>
      <c r="B1151" s="99" t="s">
        <v>1229</v>
      </c>
      <c r="C1151" s="174">
        <v>24.0</v>
      </c>
      <c r="D1151" s="175">
        <v>44904.0</v>
      </c>
      <c r="E1151" s="97"/>
      <c r="F1151" s="202">
        <v>2022.12</v>
      </c>
      <c r="G1151" s="202" t="s">
        <v>52</v>
      </c>
      <c r="H1151" s="99" t="s">
        <v>1264</v>
      </c>
      <c r="I1151" s="99" t="s">
        <v>1990</v>
      </c>
      <c r="J1151" s="81" t="s">
        <v>2105</v>
      </c>
      <c r="K1151" s="177">
        <v>44866.0</v>
      </c>
      <c r="L1151" s="46" t="b">
        <v>1</v>
      </c>
    </row>
    <row r="1152" hidden="1">
      <c r="A1152" s="4" t="s">
        <v>629</v>
      </c>
      <c r="B1152" s="170" t="s">
        <v>1229</v>
      </c>
      <c r="C1152" s="171">
        <v>72.0</v>
      </c>
      <c r="D1152" s="172">
        <v>44905.0</v>
      </c>
      <c r="E1152" s="94"/>
      <c r="F1152" s="201">
        <v>2022.12</v>
      </c>
      <c r="G1152" s="201" t="s">
        <v>52</v>
      </c>
      <c r="H1152" s="170" t="s">
        <v>1264</v>
      </c>
      <c r="I1152" s="170" t="s">
        <v>1990</v>
      </c>
      <c r="J1152" s="198" t="s">
        <v>2102</v>
      </c>
      <c r="K1152" s="173">
        <v>44866.0</v>
      </c>
      <c r="L1152" s="45" t="b">
        <v>1</v>
      </c>
    </row>
    <row r="1153" hidden="1">
      <c r="A1153" s="16" t="s">
        <v>227</v>
      </c>
      <c r="B1153" s="99" t="s">
        <v>1229</v>
      </c>
      <c r="C1153" s="174">
        <v>144.0</v>
      </c>
      <c r="D1153" s="187">
        <v>44909.0</v>
      </c>
      <c r="E1153" s="97"/>
      <c r="F1153" s="202">
        <v>2022.0</v>
      </c>
      <c r="G1153" s="202" t="s">
        <v>716</v>
      </c>
      <c r="H1153" s="99" t="s">
        <v>1264</v>
      </c>
      <c r="I1153" s="99" t="s">
        <v>1990</v>
      </c>
      <c r="J1153" s="81">
        <v>2022.0</v>
      </c>
      <c r="K1153" s="177">
        <v>44866.0</v>
      </c>
      <c r="L1153" s="46" t="b">
        <v>1</v>
      </c>
    </row>
    <row r="1154" hidden="1">
      <c r="A1154" s="4" t="s">
        <v>227</v>
      </c>
      <c r="B1154" s="170" t="s">
        <v>1229</v>
      </c>
      <c r="C1154" s="171">
        <v>72.0</v>
      </c>
      <c r="D1154" s="186">
        <v>44909.0</v>
      </c>
      <c r="E1154" s="94"/>
      <c r="F1154" s="201">
        <v>2022.0</v>
      </c>
      <c r="G1154" s="201" t="s">
        <v>716</v>
      </c>
      <c r="H1154" s="170" t="s">
        <v>1264</v>
      </c>
      <c r="I1154" s="170" t="s">
        <v>1990</v>
      </c>
      <c r="J1154" s="198" t="s">
        <v>2102</v>
      </c>
      <c r="K1154" s="173">
        <v>44866.0</v>
      </c>
      <c r="L1154" s="45" t="b">
        <v>1</v>
      </c>
    </row>
    <row r="1155" hidden="1">
      <c r="A1155" s="16" t="s">
        <v>594</v>
      </c>
      <c r="B1155" s="99" t="s">
        <v>1229</v>
      </c>
      <c r="C1155" s="174">
        <v>72.0</v>
      </c>
      <c r="D1155" s="187">
        <v>44909.0</v>
      </c>
      <c r="E1155" s="97"/>
      <c r="F1155" s="202">
        <v>2022.0</v>
      </c>
      <c r="G1155" s="202"/>
      <c r="H1155" s="99" t="s">
        <v>1264</v>
      </c>
      <c r="I1155" s="99" t="s">
        <v>1990</v>
      </c>
      <c r="J1155" s="81" t="s">
        <v>2106</v>
      </c>
      <c r="K1155" s="177">
        <v>44866.0</v>
      </c>
      <c r="L1155" s="46" t="b">
        <v>1</v>
      </c>
    </row>
    <row r="1156" hidden="1">
      <c r="A1156" s="4" t="s">
        <v>595</v>
      </c>
      <c r="B1156" s="170" t="s">
        <v>1229</v>
      </c>
      <c r="C1156" s="171">
        <v>144.0</v>
      </c>
      <c r="D1156" s="186">
        <v>44909.0</v>
      </c>
      <c r="E1156" s="94"/>
      <c r="F1156" s="201">
        <v>2022.0</v>
      </c>
      <c r="G1156" s="201"/>
      <c r="H1156" s="170" t="s">
        <v>1264</v>
      </c>
      <c r="I1156" s="170" t="s">
        <v>1990</v>
      </c>
      <c r="J1156" s="198" t="s">
        <v>2107</v>
      </c>
      <c r="K1156" s="173">
        <v>44866.0</v>
      </c>
      <c r="L1156" s="45" t="b">
        <v>1</v>
      </c>
    </row>
    <row r="1157" hidden="1">
      <c r="A1157" s="16" t="s">
        <v>592</v>
      </c>
      <c r="B1157" s="99" t="s">
        <v>1229</v>
      </c>
      <c r="C1157" s="174">
        <v>144.0</v>
      </c>
      <c r="D1157" s="187">
        <v>44909.0</v>
      </c>
      <c r="E1157" s="97"/>
      <c r="F1157" s="202">
        <v>2022.0</v>
      </c>
      <c r="G1157" s="202"/>
      <c r="H1157" s="99" t="s">
        <v>1264</v>
      </c>
      <c r="I1157" s="99" t="s">
        <v>1990</v>
      </c>
      <c r="J1157" s="81" t="s">
        <v>2108</v>
      </c>
      <c r="K1157" s="177">
        <v>44866.0</v>
      </c>
      <c r="L1157" s="46" t="b">
        <v>1</v>
      </c>
    </row>
    <row r="1158" hidden="1">
      <c r="A1158" s="4" t="s">
        <v>1271</v>
      </c>
      <c r="B1158" s="170" t="s">
        <v>1998</v>
      </c>
      <c r="C1158" s="171">
        <v>137.27</v>
      </c>
      <c r="D1158" s="172">
        <v>44909.0</v>
      </c>
      <c r="E1158" s="94"/>
      <c r="F1158" s="201">
        <v>2022.0</v>
      </c>
      <c r="G1158" s="201" t="s">
        <v>1152</v>
      </c>
      <c r="H1158" s="170" t="s">
        <v>1264</v>
      </c>
      <c r="I1158" s="170" t="s">
        <v>1995</v>
      </c>
      <c r="J1158" s="195"/>
      <c r="K1158" s="173">
        <v>44866.0</v>
      </c>
      <c r="L1158" s="45" t="b">
        <v>1</v>
      </c>
    </row>
    <row r="1159" hidden="1">
      <c r="A1159" s="16" t="s">
        <v>1271</v>
      </c>
      <c r="B1159" s="99" t="s">
        <v>1976</v>
      </c>
      <c r="C1159" s="174">
        <v>3.13</v>
      </c>
      <c r="D1159" s="175">
        <v>44909.0</v>
      </c>
      <c r="E1159" s="97"/>
      <c r="F1159" s="202">
        <v>2022.0</v>
      </c>
      <c r="G1159" s="202" t="s">
        <v>1152</v>
      </c>
      <c r="H1159" s="99" t="s">
        <v>1264</v>
      </c>
      <c r="I1159" s="99" t="s">
        <v>1272</v>
      </c>
      <c r="J1159" s="81" t="s">
        <v>2089</v>
      </c>
      <c r="K1159" s="177">
        <v>44866.0</v>
      </c>
      <c r="L1159" s="46" t="b">
        <v>1</v>
      </c>
    </row>
    <row r="1160" hidden="1">
      <c r="A1160" s="4" t="s">
        <v>1271</v>
      </c>
      <c r="B1160" s="170" t="s">
        <v>1976</v>
      </c>
      <c r="C1160" s="171">
        <v>65.53</v>
      </c>
      <c r="D1160" s="199">
        <v>44909.0</v>
      </c>
      <c r="E1160" s="94"/>
      <c r="F1160" s="201">
        <v>2022.0</v>
      </c>
      <c r="G1160" s="201" t="s">
        <v>1152</v>
      </c>
      <c r="H1160" s="170" t="s">
        <v>1264</v>
      </c>
      <c r="I1160" s="170" t="s">
        <v>1272</v>
      </c>
      <c r="J1160" s="198" t="s">
        <v>2109</v>
      </c>
      <c r="K1160" s="173">
        <v>44866.0</v>
      </c>
      <c r="L1160" s="45" t="b">
        <v>1</v>
      </c>
    </row>
    <row r="1161" hidden="1">
      <c r="A1161" s="16" t="s">
        <v>189</v>
      </c>
      <c r="B1161" s="99" t="s">
        <v>2002</v>
      </c>
      <c r="C1161" s="174">
        <v>155.91</v>
      </c>
      <c r="D1161" s="175">
        <v>44895.0</v>
      </c>
      <c r="E1161" s="97"/>
      <c r="F1161" s="202">
        <v>2022.0</v>
      </c>
      <c r="G1161" s="202" t="s">
        <v>1160</v>
      </c>
      <c r="H1161" s="99" t="s">
        <v>1999</v>
      </c>
      <c r="I1161" s="99" t="s">
        <v>1979</v>
      </c>
      <c r="J1161" s="194"/>
      <c r="K1161" s="177">
        <v>44866.0</v>
      </c>
      <c r="L1161" s="46" t="b">
        <v>1</v>
      </c>
    </row>
    <row r="1162" hidden="1">
      <c r="A1162" s="4" t="s">
        <v>630</v>
      </c>
      <c r="B1162" s="170" t="s">
        <v>2002</v>
      </c>
      <c r="C1162" s="171">
        <v>84.42</v>
      </c>
      <c r="D1162" s="172">
        <v>44896.0</v>
      </c>
      <c r="E1162" s="94"/>
      <c r="F1162" s="201">
        <v>2022.12</v>
      </c>
      <c r="G1162" s="201" t="s">
        <v>52</v>
      </c>
      <c r="H1162" s="170" t="s">
        <v>1999</v>
      </c>
      <c r="I1162" s="170" t="s">
        <v>1979</v>
      </c>
      <c r="J1162" s="195"/>
      <c r="K1162" s="173">
        <v>44866.0</v>
      </c>
      <c r="L1162" s="45" t="b">
        <v>1</v>
      </c>
    </row>
    <row r="1163" hidden="1">
      <c r="A1163" s="16" t="s">
        <v>149</v>
      </c>
      <c r="B1163" s="99" t="s">
        <v>2002</v>
      </c>
      <c r="C1163" s="174">
        <v>4.45</v>
      </c>
      <c r="D1163" s="175">
        <v>44896.0</v>
      </c>
      <c r="E1163" s="97"/>
      <c r="F1163" s="202">
        <v>2022.0</v>
      </c>
      <c r="G1163" s="202" t="s">
        <v>1152</v>
      </c>
      <c r="H1163" s="99" t="s">
        <v>1999</v>
      </c>
      <c r="I1163" s="99" t="s">
        <v>1979</v>
      </c>
      <c r="J1163" s="194"/>
      <c r="K1163" s="177">
        <v>44866.0</v>
      </c>
      <c r="L1163" s="46" t="b">
        <v>1</v>
      </c>
    </row>
    <row r="1164" hidden="1">
      <c r="A1164" s="4" t="s">
        <v>667</v>
      </c>
      <c r="B1164" s="170" t="s">
        <v>2002</v>
      </c>
      <c r="C1164" s="171">
        <v>107.57</v>
      </c>
      <c r="D1164" s="172">
        <v>44896.0</v>
      </c>
      <c r="E1164" s="94"/>
      <c r="F1164" s="201">
        <v>2022.0</v>
      </c>
      <c r="G1164" s="201" t="s">
        <v>1160</v>
      </c>
      <c r="H1164" s="170" t="s">
        <v>1999</v>
      </c>
      <c r="I1164" s="170" t="s">
        <v>1979</v>
      </c>
      <c r="J1164" s="195"/>
      <c r="K1164" s="173">
        <v>44866.0</v>
      </c>
      <c r="L1164" s="45" t="b">
        <v>1</v>
      </c>
    </row>
    <row r="1165" hidden="1">
      <c r="A1165" s="16" t="s">
        <v>515</v>
      </c>
      <c r="B1165" s="99" t="s">
        <v>2002</v>
      </c>
      <c r="C1165" s="174">
        <v>1869.37</v>
      </c>
      <c r="D1165" s="175">
        <v>44896.0</v>
      </c>
      <c r="E1165" s="97"/>
      <c r="F1165" s="202">
        <v>2022.0</v>
      </c>
      <c r="G1165" s="202" t="s">
        <v>1160</v>
      </c>
      <c r="H1165" s="99" t="s">
        <v>1999</v>
      </c>
      <c r="I1165" s="99" t="s">
        <v>1979</v>
      </c>
      <c r="J1165" s="194"/>
      <c r="K1165" s="177">
        <v>44866.0</v>
      </c>
      <c r="L1165" s="46" t="b">
        <v>1</v>
      </c>
    </row>
    <row r="1166" hidden="1">
      <c r="A1166" s="4" t="s">
        <v>668</v>
      </c>
      <c r="B1166" s="170" t="s">
        <v>2002</v>
      </c>
      <c r="C1166" s="171">
        <v>683.2</v>
      </c>
      <c r="D1166" s="172">
        <v>44896.0</v>
      </c>
      <c r="E1166" s="94"/>
      <c r="F1166" s="201">
        <v>2022.0</v>
      </c>
      <c r="G1166" s="201" t="s">
        <v>1160</v>
      </c>
      <c r="H1166" s="170" t="s">
        <v>1999</v>
      </c>
      <c r="I1166" s="170" t="s">
        <v>1979</v>
      </c>
      <c r="J1166" s="195"/>
      <c r="K1166" s="173">
        <v>44866.0</v>
      </c>
      <c r="L1166" s="45" t="b">
        <v>1</v>
      </c>
    </row>
    <row r="1167" hidden="1">
      <c r="A1167" s="16" t="s">
        <v>1266</v>
      </c>
      <c r="B1167" s="99" t="s">
        <v>2002</v>
      </c>
      <c r="C1167" s="174">
        <v>877.58</v>
      </c>
      <c r="D1167" s="175">
        <v>44896.0</v>
      </c>
      <c r="E1167" s="97"/>
      <c r="F1167" s="202">
        <v>2022.0</v>
      </c>
      <c r="G1167" s="202" t="s">
        <v>1152</v>
      </c>
      <c r="H1167" s="99" t="s">
        <v>1999</v>
      </c>
      <c r="I1167" s="99" t="s">
        <v>1979</v>
      </c>
      <c r="J1167" s="194"/>
      <c r="K1167" s="177">
        <v>44866.0</v>
      </c>
      <c r="L1167" s="46" t="b">
        <v>1</v>
      </c>
    </row>
    <row r="1168" hidden="1">
      <c r="A1168" s="4" t="s">
        <v>50</v>
      </c>
      <c r="B1168" s="170" t="s">
        <v>2002</v>
      </c>
      <c r="C1168" s="171">
        <v>25.31</v>
      </c>
      <c r="D1168" s="172">
        <v>44896.0</v>
      </c>
      <c r="E1168" s="94"/>
      <c r="F1168" s="201">
        <v>2022.12</v>
      </c>
      <c r="G1168" s="201" t="s">
        <v>52</v>
      </c>
      <c r="H1168" s="170" t="s">
        <v>1999</v>
      </c>
      <c r="I1168" s="170" t="s">
        <v>1979</v>
      </c>
      <c r="J1168" s="195"/>
      <c r="K1168" s="173">
        <v>44866.0</v>
      </c>
      <c r="L1168" s="45" t="b">
        <v>1</v>
      </c>
    </row>
    <row r="1169" hidden="1">
      <c r="A1169" s="16" t="s">
        <v>90</v>
      </c>
      <c r="B1169" s="99" t="s">
        <v>2002</v>
      </c>
      <c r="C1169" s="174">
        <v>201.19</v>
      </c>
      <c r="D1169" s="175">
        <v>44896.0</v>
      </c>
      <c r="E1169" s="97"/>
      <c r="F1169" s="202">
        <v>2022.12</v>
      </c>
      <c r="G1169" s="202" t="s">
        <v>52</v>
      </c>
      <c r="H1169" s="99" t="s">
        <v>1999</v>
      </c>
      <c r="I1169" s="99" t="s">
        <v>1979</v>
      </c>
      <c r="J1169" s="194"/>
      <c r="K1169" s="177">
        <v>44866.0</v>
      </c>
      <c r="L1169" s="46" t="b">
        <v>1</v>
      </c>
    </row>
    <row r="1170" hidden="1">
      <c r="A1170" s="4" t="s">
        <v>645</v>
      </c>
      <c r="B1170" s="170" t="s">
        <v>2002</v>
      </c>
      <c r="C1170" s="93">
        <v>744.263603655236</v>
      </c>
      <c r="D1170" s="172">
        <v>44896.0</v>
      </c>
      <c r="E1170" s="94"/>
      <c r="F1170" s="201">
        <v>2022.0</v>
      </c>
      <c r="G1170" s="201" t="s">
        <v>1160</v>
      </c>
      <c r="H1170" s="170" t="s">
        <v>1999</v>
      </c>
      <c r="I1170" s="170" t="s">
        <v>1979</v>
      </c>
      <c r="J1170" s="195"/>
      <c r="K1170" s="173">
        <v>44866.0</v>
      </c>
      <c r="L1170" s="45" t="b">
        <v>1</v>
      </c>
    </row>
    <row r="1171" hidden="1">
      <c r="A1171" s="16" t="s">
        <v>731</v>
      </c>
      <c r="B1171" s="99" t="s">
        <v>2002</v>
      </c>
      <c r="C1171" s="174">
        <v>40.53</v>
      </c>
      <c r="D1171" s="175">
        <v>44896.0</v>
      </c>
      <c r="E1171" s="97"/>
      <c r="F1171" s="202">
        <v>2022.0</v>
      </c>
      <c r="G1171" s="202" t="s">
        <v>1160</v>
      </c>
      <c r="H1171" s="99" t="s">
        <v>1999</v>
      </c>
      <c r="I1171" s="99" t="s">
        <v>1979</v>
      </c>
      <c r="J1171" s="194"/>
      <c r="K1171" s="177">
        <v>44866.0</v>
      </c>
      <c r="L1171" s="46" t="b">
        <v>1</v>
      </c>
    </row>
    <row r="1172" hidden="1">
      <c r="A1172" s="4" t="s">
        <v>713</v>
      </c>
      <c r="B1172" s="170" t="s">
        <v>2002</v>
      </c>
      <c r="C1172" s="171">
        <v>298.97</v>
      </c>
      <c r="D1172" s="172">
        <v>44896.0</v>
      </c>
      <c r="E1172" s="94"/>
      <c r="F1172" s="201">
        <v>2022.0</v>
      </c>
      <c r="G1172" s="201" t="s">
        <v>1160</v>
      </c>
      <c r="H1172" s="170" t="s">
        <v>1999</v>
      </c>
      <c r="I1172" s="170" t="s">
        <v>1979</v>
      </c>
      <c r="J1172" s="195"/>
      <c r="K1172" s="173">
        <v>44866.0</v>
      </c>
      <c r="L1172" s="45" t="b">
        <v>1</v>
      </c>
    </row>
    <row r="1173" hidden="1">
      <c r="A1173" s="16" t="s">
        <v>629</v>
      </c>
      <c r="B1173" s="99" t="s">
        <v>2002</v>
      </c>
      <c r="C1173" s="174">
        <v>22.49</v>
      </c>
      <c r="D1173" s="175">
        <v>44896.0</v>
      </c>
      <c r="E1173" s="97"/>
      <c r="F1173" s="202">
        <v>2022.12</v>
      </c>
      <c r="G1173" s="202" t="s">
        <v>52</v>
      </c>
      <c r="H1173" s="99" t="s">
        <v>1999</v>
      </c>
      <c r="I1173" s="99" t="s">
        <v>1979</v>
      </c>
      <c r="J1173" s="194"/>
      <c r="K1173" s="177">
        <v>44866.0</v>
      </c>
      <c r="L1173" s="46" t="b">
        <v>1</v>
      </c>
    </row>
    <row r="1174" hidden="1">
      <c r="A1174" s="4" t="s">
        <v>92</v>
      </c>
      <c r="B1174" s="170" t="s">
        <v>1988</v>
      </c>
      <c r="C1174" s="171">
        <v>50.0</v>
      </c>
      <c r="D1174" s="199">
        <v>44881.0</v>
      </c>
      <c r="E1174" s="94"/>
      <c r="F1174" s="201">
        <v>2022.11</v>
      </c>
      <c r="G1174" s="201" t="s">
        <v>52</v>
      </c>
      <c r="H1174" s="170" t="s">
        <v>1999</v>
      </c>
      <c r="I1174" s="170" t="s">
        <v>1977</v>
      </c>
      <c r="J1174" s="195"/>
      <c r="K1174" s="173">
        <v>44866.0</v>
      </c>
      <c r="L1174" s="45" t="b">
        <v>1</v>
      </c>
    </row>
    <row r="1175" hidden="1">
      <c r="A1175" s="16" t="s">
        <v>118</v>
      </c>
      <c r="B1175" s="99" t="s">
        <v>1976</v>
      </c>
      <c r="C1175" s="174">
        <v>750.0</v>
      </c>
      <c r="D1175" s="175">
        <v>44885.0</v>
      </c>
      <c r="E1175" s="97"/>
      <c r="F1175" s="202">
        <v>2022.11</v>
      </c>
      <c r="G1175" s="202" t="s">
        <v>52</v>
      </c>
      <c r="H1175" s="99" t="s">
        <v>1999</v>
      </c>
      <c r="I1175" s="99" t="s">
        <v>1977</v>
      </c>
      <c r="J1175" s="194"/>
      <c r="K1175" s="177">
        <v>44866.0</v>
      </c>
      <c r="L1175" s="46" t="b">
        <v>1</v>
      </c>
    </row>
    <row r="1176" hidden="1">
      <c r="A1176" s="4" t="s">
        <v>115</v>
      </c>
      <c r="B1176" s="170" t="s">
        <v>1976</v>
      </c>
      <c r="C1176" s="171">
        <v>750.0</v>
      </c>
      <c r="D1176" s="172">
        <v>44889.0</v>
      </c>
      <c r="E1176" s="94"/>
      <c r="F1176" s="201">
        <v>2022.11</v>
      </c>
      <c r="G1176" s="201" t="s">
        <v>52</v>
      </c>
      <c r="H1176" s="170" t="s">
        <v>1999</v>
      </c>
      <c r="I1176" s="170" t="s">
        <v>1977</v>
      </c>
      <c r="J1176" s="195"/>
      <c r="K1176" s="173">
        <v>44866.0</v>
      </c>
      <c r="L1176" s="45" t="b">
        <v>1</v>
      </c>
    </row>
    <row r="1177" hidden="1">
      <c r="A1177" s="16" t="s">
        <v>118</v>
      </c>
      <c r="B1177" s="99" t="s">
        <v>1976</v>
      </c>
      <c r="C1177" s="174">
        <v>412.95</v>
      </c>
      <c r="D1177" s="175">
        <v>44896.0</v>
      </c>
      <c r="E1177" s="97"/>
      <c r="F1177" s="202">
        <v>2022.12</v>
      </c>
      <c r="G1177" s="202" t="s">
        <v>52</v>
      </c>
      <c r="H1177" s="99" t="s">
        <v>1999</v>
      </c>
      <c r="I1177" s="99" t="s">
        <v>1977</v>
      </c>
      <c r="J1177" s="194"/>
      <c r="K1177" s="177">
        <v>44866.0</v>
      </c>
      <c r="L1177" s="46" t="b">
        <v>1</v>
      </c>
    </row>
    <row r="1178" hidden="1">
      <c r="A1178" s="4" t="s">
        <v>115</v>
      </c>
      <c r="B1178" s="170" t="s">
        <v>1976</v>
      </c>
      <c r="C1178" s="171">
        <v>220.33</v>
      </c>
      <c r="D1178" s="172">
        <v>44896.0</v>
      </c>
      <c r="E1178" s="94"/>
      <c r="F1178" s="201">
        <v>2022.12</v>
      </c>
      <c r="G1178" s="201" t="s">
        <v>52</v>
      </c>
      <c r="H1178" s="170" t="s">
        <v>1999</v>
      </c>
      <c r="I1178" s="170" t="s">
        <v>1977</v>
      </c>
      <c r="J1178" s="195"/>
      <c r="K1178" s="173">
        <v>44866.0</v>
      </c>
      <c r="L1178" s="45" t="b">
        <v>1</v>
      </c>
    </row>
    <row r="1179" hidden="1">
      <c r="A1179" s="16" t="s">
        <v>1271</v>
      </c>
      <c r="B1179" s="99" t="s">
        <v>2014</v>
      </c>
      <c r="C1179" s="174">
        <v>363.52</v>
      </c>
      <c r="D1179" s="175">
        <v>44904.0</v>
      </c>
      <c r="E1179" s="97"/>
      <c r="F1179" s="202">
        <v>2022.0</v>
      </c>
      <c r="G1179" s="202" t="s">
        <v>1152</v>
      </c>
      <c r="H1179" s="99" t="s">
        <v>1999</v>
      </c>
      <c r="I1179" s="99" t="s">
        <v>1995</v>
      </c>
      <c r="J1179" s="194"/>
      <c r="K1179" s="177">
        <v>44866.0</v>
      </c>
      <c r="L1179" s="46" t="b">
        <v>1</v>
      </c>
    </row>
    <row r="1180" hidden="1">
      <c r="A1180" s="4" t="s">
        <v>102</v>
      </c>
      <c r="B1180" s="170" t="s">
        <v>1987</v>
      </c>
      <c r="C1180" s="171">
        <v>150.0</v>
      </c>
      <c r="D1180" s="172">
        <v>44926.0</v>
      </c>
      <c r="E1180" s="170">
        <v>1028.0</v>
      </c>
      <c r="F1180" s="201">
        <v>2022.12</v>
      </c>
      <c r="G1180" s="201" t="s">
        <v>52</v>
      </c>
      <c r="H1180" s="170" t="s">
        <v>1264</v>
      </c>
      <c r="I1180" s="170" t="s">
        <v>1979</v>
      </c>
      <c r="J1180" s="195"/>
      <c r="K1180" s="173">
        <v>44896.0</v>
      </c>
      <c r="L1180" s="45" t="b">
        <v>1</v>
      </c>
    </row>
    <row r="1181" hidden="1">
      <c r="A1181" s="16" t="s">
        <v>66</v>
      </c>
      <c r="B1181" s="99" t="s">
        <v>1978</v>
      </c>
      <c r="C1181" s="174">
        <v>312.5</v>
      </c>
      <c r="D1181" s="175">
        <v>44926.0</v>
      </c>
      <c r="E1181" s="197">
        <v>44896.0</v>
      </c>
      <c r="F1181" s="202">
        <v>2022.12</v>
      </c>
      <c r="G1181" s="202" t="s">
        <v>52</v>
      </c>
      <c r="H1181" s="99" t="s">
        <v>1264</v>
      </c>
      <c r="I1181" s="99" t="s">
        <v>1979</v>
      </c>
      <c r="J1181" s="194"/>
      <c r="K1181" s="177">
        <v>44896.0</v>
      </c>
      <c r="L1181" s="46" t="b">
        <v>1</v>
      </c>
    </row>
    <row r="1182" hidden="1">
      <c r="A1182" s="4" t="s">
        <v>97</v>
      </c>
      <c r="B1182" s="170" t="s">
        <v>1978</v>
      </c>
      <c r="C1182" s="171">
        <v>125.0</v>
      </c>
      <c r="D1182" s="172">
        <v>44926.0</v>
      </c>
      <c r="E1182" s="196">
        <v>44896.0</v>
      </c>
      <c r="F1182" s="201">
        <v>2022.12</v>
      </c>
      <c r="G1182" s="201" t="s">
        <v>52</v>
      </c>
      <c r="H1182" s="170" t="s">
        <v>1264</v>
      </c>
      <c r="I1182" s="170" t="s">
        <v>1979</v>
      </c>
      <c r="J1182" s="195"/>
      <c r="K1182" s="173">
        <v>44896.0</v>
      </c>
      <c r="L1182" s="45" t="b">
        <v>1</v>
      </c>
    </row>
    <row r="1183" hidden="1">
      <c r="A1183" s="16" t="s">
        <v>88</v>
      </c>
      <c r="B1183" s="99" t="s">
        <v>1978</v>
      </c>
      <c r="C1183" s="174">
        <v>212.5</v>
      </c>
      <c r="D1183" s="175">
        <v>44926.0</v>
      </c>
      <c r="E1183" s="197">
        <v>44896.0</v>
      </c>
      <c r="F1183" s="202">
        <v>2022.12</v>
      </c>
      <c r="G1183" s="202" t="s">
        <v>52</v>
      </c>
      <c r="H1183" s="99" t="s">
        <v>1264</v>
      </c>
      <c r="I1183" s="99" t="s">
        <v>1979</v>
      </c>
      <c r="J1183" s="194"/>
      <c r="K1183" s="177">
        <v>44896.0</v>
      </c>
      <c r="L1183" s="46" t="b">
        <v>1</v>
      </c>
    </row>
    <row r="1184" hidden="1">
      <c r="A1184" s="4" t="s">
        <v>73</v>
      </c>
      <c r="B1184" s="170" t="s">
        <v>1978</v>
      </c>
      <c r="C1184" s="171">
        <v>262.5</v>
      </c>
      <c r="D1184" s="172">
        <v>44926.0</v>
      </c>
      <c r="E1184" s="196">
        <v>44896.0</v>
      </c>
      <c r="F1184" s="201">
        <v>2022.12</v>
      </c>
      <c r="G1184" s="201" t="s">
        <v>52</v>
      </c>
      <c r="H1184" s="170" t="s">
        <v>1264</v>
      </c>
      <c r="I1184" s="170" t="s">
        <v>1979</v>
      </c>
      <c r="J1184" s="195"/>
      <c r="K1184" s="173">
        <v>44896.0</v>
      </c>
      <c r="L1184" s="45" t="b">
        <v>1</v>
      </c>
    </row>
    <row r="1185" hidden="1">
      <c r="A1185" s="16" t="s">
        <v>223</v>
      </c>
      <c r="B1185" s="99" t="s">
        <v>1978</v>
      </c>
      <c r="C1185" s="174">
        <v>500.0</v>
      </c>
      <c r="D1185" s="175">
        <v>44926.0</v>
      </c>
      <c r="E1185" s="197">
        <v>44896.0</v>
      </c>
      <c r="F1185" s="202">
        <v>2022.12</v>
      </c>
      <c r="G1185" s="202" t="s">
        <v>52</v>
      </c>
      <c r="H1185" s="99" t="s">
        <v>1264</v>
      </c>
      <c r="I1185" s="99" t="s">
        <v>1979</v>
      </c>
      <c r="J1185" s="194"/>
      <c r="K1185" s="177">
        <v>44896.0</v>
      </c>
      <c r="L1185" s="46" t="b">
        <v>1</v>
      </c>
    </row>
    <row r="1186" hidden="1">
      <c r="A1186" s="4" t="s">
        <v>50</v>
      </c>
      <c r="B1186" s="170" t="s">
        <v>1978</v>
      </c>
      <c r="C1186" s="171">
        <v>137.5</v>
      </c>
      <c r="D1186" s="172">
        <v>44926.0</v>
      </c>
      <c r="E1186" s="196">
        <v>44896.0</v>
      </c>
      <c r="F1186" s="201">
        <v>2022.12</v>
      </c>
      <c r="G1186" s="201" t="s">
        <v>52</v>
      </c>
      <c r="H1186" s="170" t="s">
        <v>1264</v>
      </c>
      <c r="I1186" s="170" t="s">
        <v>1979</v>
      </c>
      <c r="J1186" s="195"/>
      <c r="K1186" s="173">
        <v>44896.0</v>
      </c>
      <c r="L1186" s="45" t="b">
        <v>1</v>
      </c>
    </row>
    <row r="1187" hidden="1">
      <c r="A1187" s="16" t="s">
        <v>451</v>
      </c>
      <c r="B1187" s="99" t="s">
        <v>1978</v>
      </c>
      <c r="C1187" s="174">
        <v>237.5</v>
      </c>
      <c r="D1187" s="175">
        <v>44926.0</v>
      </c>
      <c r="E1187" s="197">
        <v>44896.0</v>
      </c>
      <c r="F1187" s="202">
        <v>2022.0</v>
      </c>
      <c r="G1187" s="202" t="s">
        <v>1160</v>
      </c>
      <c r="H1187" s="99" t="s">
        <v>1264</v>
      </c>
      <c r="I1187" s="99" t="s">
        <v>1979</v>
      </c>
      <c r="J1187" s="194"/>
      <c r="K1187" s="177">
        <v>44896.0</v>
      </c>
      <c r="L1187" s="46" t="b">
        <v>1</v>
      </c>
    </row>
    <row r="1188" hidden="1">
      <c r="A1188" s="4" t="s">
        <v>665</v>
      </c>
      <c r="B1188" s="170" t="s">
        <v>1986</v>
      </c>
      <c r="C1188" s="171">
        <v>44.0</v>
      </c>
      <c r="D1188" s="172">
        <v>44926.0</v>
      </c>
      <c r="E1188" s="170">
        <v>14.0</v>
      </c>
      <c r="F1188" s="201">
        <v>2022.0</v>
      </c>
      <c r="G1188" s="201" t="s">
        <v>1992</v>
      </c>
      <c r="H1188" s="170" t="s">
        <v>1264</v>
      </c>
      <c r="I1188" s="170" t="s">
        <v>1979</v>
      </c>
      <c r="J1188" s="195"/>
      <c r="K1188" s="173">
        <v>44896.0</v>
      </c>
      <c r="L1188" s="45" t="b">
        <v>1</v>
      </c>
    </row>
    <row r="1189" hidden="1">
      <c r="A1189" s="16" t="s">
        <v>82</v>
      </c>
      <c r="B1189" s="99" t="s">
        <v>1986</v>
      </c>
      <c r="C1189" s="174">
        <v>225.0</v>
      </c>
      <c r="D1189" s="175">
        <v>44926.0</v>
      </c>
      <c r="E1189" s="99">
        <v>14.0</v>
      </c>
      <c r="F1189" s="202">
        <v>2022.12</v>
      </c>
      <c r="G1189" s="202" t="s">
        <v>52</v>
      </c>
      <c r="H1189" s="99" t="s">
        <v>1264</v>
      </c>
      <c r="I1189" s="99" t="s">
        <v>1979</v>
      </c>
      <c r="J1189" s="194"/>
      <c r="K1189" s="177">
        <v>44896.0</v>
      </c>
      <c r="L1189" s="46" t="b">
        <v>1</v>
      </c>
    </row>
    <row r="1190" hidden="1">
      <c r="A1190" s="4" t="s">
        <v>92</v>
      </c>
      <c r="B1190" s="170" t="s">
        <v>1986</v>
      </c>
      <c r="C1190" s="171">
        <v>300.0</v>
      </c>
      <c r="D1190" s="172">
        <v>44926.0</v>
      </c>
      <c r="E1190" s="170">
        <v>14.0</v>
      </c>
      <c r="F1190" s="201">
        <v>2022.12</v>
      </c>
      <c r="G1190" s="201" t="s">
        <v>52</v>
      </c>
      <c r="H1190" s="170" t="s">
        <v>1264</v>
      </c>
      <c r="I1190" s="170" t="s">
        <v>1979</v>
      </c>
      <c r="J1190" s="195"/>
      <c r="K1190" s="173">
        <v>44896.0</v>
      </c>
      <c r="L1190" s="45" t="b">
        <v>1</v>
      </c>
    </row>
    <row r="1191" hidden="1">
      <c r="A1191" s="16" t="s">
        <v>695</v>
      </c>
      <c r="B1191" s="99" t="s">
        <v>1986</v>
      </c>
      <c r="C1191" s="174">
        <v>175.0</v>
      </c>
      <c r="D1191" s="175">
        <v>44926.0</v>
      </c>
      <c r="E1191" s="99">
        <v>14.0</v>
      </c>
      <c r="F1191" s="202">
        <v>2022.12</v>
      </c>
      <c r="G1191" s="202" t="s">
        <v>52</v>
      </c>
      <c r="H1191" s="99" t="s">
        <v>1264</v>
      </c>
      <c r="I1191" s="99" t="s">
        <v>1979</v>
      </c>
      <c r="J1191" s="194"/>
      <c r="K1191" s="177">
        <v>44896.0</v>
      </c>
      <c r="L1191" s="46" t="b">
        <v>1</v>
      </c>
    </row>
    <row r="1192" hidden="1">
      <c r="A1192" s="4" t="s">
        <v>1269</v>
      </c>
      <c r="B1192" s="170" t="s">
        <v>1986</v>
      </c>
      <c r="C1192" s="171">
        <v>400.0</v>
      </c>
      <c r="D1192" s="172">
        <v>44926.0</v>
      </c>
      <c r="E1192" s="170">
        <v>14.0</v>
      </c>
      <c r="F1192" s="201">
        <v>2022.0</v>
      </c>
      <c r="G1192" s="201" t="s">
        <v>1152</v>
      </c>
      <c r="H1192" s="170" t="s">
        <v>1264</v>
      </c>
      <c r="I1192" s="170" t="s">
        <v>1270</v>
      </c>
      <c r="J1192" s="198" t="s">
        <v>2110</v>
      </c>
      <c r="K1192" s="173">
        <v>44896.0</v>
      </c>
      <c r="L1192" s="45" t="b">
        <v>1</v>
      </c>
    </row>
    <row r="1193" hidden="1">
      <c r="A1193" s="16" t="s">
        <v>92</v>
      </c>
      <c r="B1193" s="99" t="s">
        <v>1980</v>
      </c>
      <c r="C1193" s="174">
        <v>275.0</v>
      </c>
      <c r="D1193" s="175">
        <v>44926.0</v>
      </c>
      <c r="E1193" s="99">
        <v>118.0</v>
      </c>
      <c r="F1193" s="202">
        <v>2022.12</v>
      </c>
      <c r="G1193" s="202" t="s">
        <v>52</v>
      </c>
      <c r="H1193" s="99" t="s">
        <v>1264</v>
      </c>
      <c r="I1193" s="99" t="s">
        <v>1979</v>
      </c>
      <c r="J1193" s="194"/>
      <c r="K1193" s="177">
        <v>44896.0</v>
      </c>
      <c r="L1193" s="46" t="b">
        <v>1</v>
      </c>
    </row>
    <row r="1194" hidden="1">
      <c r="A1194" s="4" t="s">
        <v>88</v>
      </c>
      <c r="B1194" s="170" t="s">
        <v>1980</v>
      </c>
      <c r="C1194" s="171">
        <v>45.0</v>
      </c>
      <c r="D1194" s="172">
        <v>44926.0</v>
      </c>
      <c r="E1194" s="170">
        <v>118.0</v>
      </c>
      <c r="F1194" s="201">
        <v>2022.12</v>
      </c>
      <c r="G1194" s="201" t="s">
        <v>52</v>
      </c>
      <c r="H1194" s="170" t="s">
        <v>1264</v>
      </c>
      <c r="I1194" s="170" t="s">
        <v>1979</v>
      </c>
      <c r="J1194" s="195"/>
      <c r="K1194" s="173">
        <v>44896.0</v>
      </c>
      <c r="L1194" s="45" t="b">
        <v>1</v>
      </c>
    </row>
    <row r="1195" hidden="1">
      <c r="A1195" s="16" t="s">
        <v>97</v>
      </c>
      <c r="B1195" s="99" t="s">
        <v>1980</v>
      </c>
      <c r="C1195" s="174">
        <v>30.0</v>
      </c>
      <c r="D1195" s="175">
        <v>44926.0</v>
      </c>
      <c r="E1195" s="99">
        <v>118.0</v>
      </c>
      <c r="F1195" s="202">
        <v>2022.12</v>
      </c>
      <c r="G1195" s="202" t="s">
        <v>52</v>
      </c>
      <c r="H1195" s="99" t="s">
        <v>1264</v>
      </c>
      <c r="I1195" s="99" t="s">
        <v>1979</v>
      </c>
      <c r="J1195" s="194"/>
      <c r="K1195" s="177">
        <v>44896.0</v>
      </c>
      <c r="L1195" s="46" t="b">
        <v>1</v>
      </c>
    </row>
    <row r="1196" hidden="1">
      <c r="A1196" s="4" t="s">
        <v>82</v>
      </c>
      <c r="B1196" s="170" t="s">
        <v>1980</v>
      </c>
      <c r="C1196" s="171">
        <v>75.0</v>
      </c>
      <c r="D1196" s="172">
        <v>44926.0</v>
      </c>
      <c r="E1196" s="170">
        <v>118.0</v>
      </c>
      <c r="F1196" s="201">
        <v>2022.12</v>
      </c>
      <c r="G1196" s="201" t="s">
        <v>52</v>
      </c>
      <c r="H1196" s="170" t="s">
        <v>1264</v>
      </c>
      <c r="I1196" s="170" t="s">
        <v>1979</v>
      </c>
      <c r="J1196" s="195"/>
      <c r="K1196" s="173">
        <v>44896.0</v>
      </c>
      <c r="L1196" s="45" t="b">
        <v>1</v>
      </c>
    </row>
    <row r="1197" hidden="1">
      <c r="A1197" s="16" t="s">
        <v>99</v>
      </c>
      <c r="B1197" s="99" t="s">
        <v>1980</v>
      </c>
      <c r="C1197" s="174">
        <v>170.0</v>
      </c>
      <c r="D1197" s="175">
        <v>44926.0</v>
      </c>
      <c r="E1197" s="99">
        <v>118.0</v>
      </c>
      <c r="F1197" s="202">
        <v>2022.12</v>
      </c>
      <c r="G1197" s="202" t="s">
        <v>52</v>
      </c>
      <c r="H1197" s="99" t="s">
        <v>1264</v>
      </c>
      <c r="I1197" s="99" t="s">
        <v>1979</v>
      </c>
      <c r="J1197" s="194"/>
      <c r="K1197" s="177">
        <v>44896.0</v>
      </c>
      <c r="L1197" s="46" t="b">
        <v>1</v>
      </c>
    </row>
    <row r="1198" hidden="1">
      <c r="A1198" s="4" t="s">
        <v>42</v>
      </c>
      <c r="B1198" s="170" t="s">
        <v>1980</v>
      </c>
      <c r="C1198" s="171">
        <v>235.0</v>
      </c>
      <c r="D1198" s="172">
        <v>44926.0</v>
      </c>
      <c r="E1198" s="170">
        <v>118.0</v>
      </c>
      <c r="F1198" s="201">
        <v>2022.12</v>
      </c>
      <c r="G1198" s="201" t="s">
        <v>52</v>
      </c>
      <c r="H1198" s="170" t="s">
        <v>1264</v>
      </c>
      <c r="I1198" s="170" t="s">
        <v>1979</v>
      </c>
      <c r="J1198" s="195"/>
      <c r="K1198" s="173">
        <v>44896.0</v>
      </c>
      <c r="L1198" s="45" t="b">
        <v>1</v>
      </c>
    </row>
    <row r="1199" hidden="1">
      <c r="A1199" s="16" t="s">
        <v>123</v>
      </c>
      <c r="B1199" s="99" t="s">
        <v>1980</v>
      </c>
      <c r="C1199" s="174">
        <v>600.0</v>
      </c>
      <c r="D1199" s="175">
        <v>44926.0</v>
      </c>
      <c r="E1199" s="99">
        <v>118.0</v>
      </c>
      <c r="F1199" s="202">
        <v>2022.12</v>
      </c>
      <c r="G1199" s="202" t="s">
        <v>52</v>
      </c>
      <c r="H1199" s="99" t="s">
        <v>1264</v>
      </c>
      <c r="I1199" s="99" t="s">
        <v>1979</v>
      </c>
      <c r="J1199" s="194"/>
      <c r="K1199" s="177">
        <v>44896.0</v>
      </c>
      <c r="L1199" s="46" t="b">
        <v>1</v>
      </c>
    </row>
    <row r="1200" hidden="1">
      <c r="A1200" s="4" t="s">
        <v>73</v>
      </c>
      <c r="B1200" s="170" t="s">
        <v>1980</v>
      </c>
      <c r="C1200" s="171">
        <v>60.0</v>
      </c>
      <c r="D1200" s="172">
        <v>44926.0</v>
      </c>
      <c r="E1200" s="170">
        <v>118.0</v>
      </c>
      <c r="F1200" s="201">
        <v>2022.12</v>
      </c>
      <c r="G1200" s="201" t="s">
        <v>52</v>
      </c>
      <c r="H1200" s="170" t="s">
        <v>1264</v>
      </c>
      <c r="I1200" s="170" t="s">
        <v>1979</v>
      </c>
      <c r="J1200" s="195"/>
      <c r="K1200" s="173">
        <v>44896.0</v>
      </c>
      <c r="L1200" s="45" t="b">
        <v>1</v>
      </c>
    </row>
    <row r="1201" hidden="1">
      <c r="A1201" s="16" t="s">
        <v>50</v>
      </c>
      <c r="B1201" s="99" t="s">
        <v>1980</v>
      </c>
      <c r="C1201" s="174">
        <v>30.0</v>
      </c>
      <c r="D1201" s="175">
        <v>44926.0</v>
      </c>
      <c r="E1201" s="99">
        <v>118.0</v>
      </c>
      <c r="F1201" s="202">
        <v>2022.12</v>
      </c>
      <c r="G1201" s="202" t="s">
        <v>52</v>
      </c>
      <c r="H1201" s="99" t="s">
        <v>1264</v>
      </c>
      <c r="I1201" s="99" t="s">
        <v>1979</v>
      </c>
      <c r="J1201" s="194"/>
      <c r="K1201" s="177">
        <v>44896.0</v>
      </c>
      <c r="L1201" s="46" t="b">
        <v>1</v>
      </c>
    </row>
    <row r="1202" hidden="1">
      <c r="A1202" s="4" t="s">
        <v>62</v>
      </c>
      <c r="B1202" s="170" t="s">
        <v>1980</v>
      </c>
      <c r="C1202" s="171">
        <v>300.0</v>
      </c>
      <c r="D1202" s="172">
        <v>44926.0</v>
      </c>
      <c r="E1202" s="170">
        <v>118.0</v>
      </c>
      <c r="F1202" s="201">
        <v>2022.12</v>
      </c>
      <c r="G1202" s="201" t="s">
        <v>52</v>
      </c>
      <c r="H1202" s="170" t="s">
        <v>1264</v>
      </c>
      <c r="I1202" s="170" t="s">
        <v>1979</v>
      </c>
      <c r="J1202" s="195"/>
      <c r="K1202" s="173">
        <v>44896.0</v>
      </c>
      <c r="L1202" s="45" t="b">
        <v>1</v>
      </c>
    </row>
    <row r="1203" hidden="1">
      <c r="A1203" s="16" t="s">
        <v>223</v>
      </c>
      <c r="B1203" s="99" t="s">
        <v>1980</v>
      </c>
      <c r="C1203" s="174">
        <v>75.0</v>
      </c>
      <c r="D1203" s="175">
        <v>44926.0</v>
      </c>
      <c r="E1203" s="99">
        <v>118.0</v>
      </c>
      <c r="F1203" s="202">
        <v>2022.12</v>
      </c>
      <c r="G1203" s="202" t="s">
        <v>52</v>
      </c>
      <c r="H1203" s="99" t="s">
        <v>1264</v>
      </c>
      <c r="I1203" s="99" t="s">
        <v>1979</v>
      </c>
      <c r="J1203" s="194"/>
      <c r="K1203" s="177">
        <v>44896.0</v>
      </c>
      <c r="L1203" s="46" t="b">
        <v>1</v>
      </c>
    </row>
    <row r="1204" hidden="1">
      <c r="A1204" s="4" t="s">
        <v>225</v>
      </c>
      <c r="B1204" s="170" t="s">
        <v>1980</v>
      </c>
      <c r="C1204" s="171">
        <v>1860.0</v>
      </c>
      <c r="D1204" s="172">
        <v>44926.0</v>
      </c>
      <c r="E1204" s="170">
        <v>118.0</v>
      </c>
      <c r="F1204" s="201">
        <v>2022.12</v>
      </c>
      <c r="G1204" s="201" t="s">
        <v>52</v>
      </c>
      <c r="H1204" s="170" t="s">
        <v>1264</v>
      </c>
      <c r="I1204" s="170" t="s">
        <v>1979</v>
      </c>
      <c r="J1204" s="195"/>
      <c r="K1204" s="173">
        <v>44896.0</v>
      </c>
      <c r="L1204" s="45" t="b">
        <v>1</v>
      </c>
    </row>
    <row r="1205" hidden="1">
      <c r="A1205" s="16" t="s">
        <v>66</v>
      </c>
      <c r="B1205" s="99" t="s">
        <v>1980</v>
      </c>
      <c r="C1205" s="174">
        <v>60.0</v>
      </c>
      <c r="D1205" s="175">
        <v>44926.0</v>
      </c>
      <c r="E1205" s="99">
        <v>118.0</v>
      </c>
      <c r="F1205" s="202">
        <v>2022.12</v>
      </c>
      <c r="G1205" s="202" t="s">
        <v>52</v>
      </c>
      <c r="H1205" s="99" t="s">
        <v>1264</v>
      </c>
      <c r="I1205" s="99" t="s">
        <v>1979</v>
      </c>
      <c r="J1205" s="194"/>
      <c r="K1205" s="177">
        <v>44896.0</v>
      </c>
      <c r="L1205" s="46" t="b">
        <v>1</v>
      </c>
    </row>
    <row r="1206" hidden="1">
      <c r="A1206" s="4" t="s">
        <v>695</v>
      </c>
      <c r="B1206" s="170" t="s">
        <v>1980</v>
      </c>
      <c r="C1206" s="171">
        <v>45.0</v>
      </c>
      <c r="D1206" s="172">
        <v>44926.0</v>
      </c>
      <c r="E1206" s="170">
        <v>118.0</v>
      </c>
      <c r="F1206" s="201">
        <v>2022.12</v>
      </c>
      <c r="G1206" s="201" t="s">
        <v>52</v>
      </c>
      <c r="H1206" s="170" t="s">
        <v>1264</v>
      </c>
      <c r="I1206" s="170" t="s">
        <v>1979</v>
      </c>
      <c r="J1206" s="195"/>
      <c r="K1206" s="173">
        <v>44896.0</v>
      </c>
      <c r="L1206" s="45" t="b">
        <v>1</v>
      </c>
    </row>
    <row r="1207" hidden="1">
      <c r="A1207" s="16" t="s">
        <v>499</v>
      </c>
      <c r="B1207" s="99" t="s">
        <v>1980</v>
      </c>
      <c r="C1207" s="174">
        <v>100.0</v>
      </c>
      <c r="D1207" s="175">
        <v>44926.0</v>
      </c>
      <c r="E1207" s="99">
        <v>118.0</v>
      </c>
      <c r="F1207" s="202">
        <v>2022.12</v>
      </c>
      <c r="G1207" s="202" t="s">
        <v>52</v>
      </c>
      <c r="H1207" s="99" t="s">
        <v>1264</v>
      </c>
      <c r="I1207" s="99" t="s">
        <v>1979</v>
      </c>
      <c r="J1207" s="194"/>
      <c r="K1207" s="177">
        <v>44896.0</v>
      </c>
      <c r="L1207" s="46" t="b">
        <v>1</v>
      </c>
    </row>
    <row r="1208" hidden="1">
      <c r="A1208" s="4" t="s">
        <v>451</v>
      </c>
      <c r="B1208" s="170" t="s">
        <v>1980</v>
      </c>
      <c r="C1208" s="171">
        <v>60.0</v>
      </c>
      <c r="D1208" s="172">
        <v>44926.0</v>
      </c>
      <c r="E1208" s="170">
        <v>118.0</v>
      </c>
      <c r="F1208" s="201">
        <v>2022.0</v>
      </c>
      <c r="G1208" s="201" t="s">
        <v>1160</v>
      </c>
      <c r="H1208" s="170" t="s">
        <v>1264</v>
      </c>
      <c r="I1208" s="170" t="s">
        <v>1979</v>
      </c>
      <c r="J1208" s="195"/>
      <c r="K1208" s="173">
        <v>44896.0</v>
      </c>
      <c r="L1208" s="45" t="b">
        <v>1</v>
      </c>
    </row>
    <row r="1209" hidden="1">
      <c r="A1209" s="16" t="s">
        <v>481</v>
      </c>
      <c r="B1209" s="99" t="s">
        <v>1980</v>
      </c>
      <c r="C1209" s="96">
        <f>212.5+45</f>
        <v>257.5</v>
      </c>
      <c r="D1209" s="175">
        <v>44926.0</v>
      </c>
      <c r="E1209" s="99">
        <v>118.0</v>
      </c>
      <c r="F1209" s="202">
        <v>2022.0</v>
      </c>
      <c r="G1209" s="202" t="s">
        <v>1160</v>
      </c>
      <c r="H1209" s="99" t="s">
        <v>1264</v>
      </c>
      <c r="I1209" s="99" t="s">
        <v>1979</v>
      </c>
      <c r="J1209" s="194"/>
      <c r="K1209" s="177">
        <v>44896.0</v>
      </c>
      <c r="L1209" s="46" t="b">
        <v>1</v>
      </c>
    </row>
    <row r="1210" hidden="1">
      <c r="A1210" s="4" t="s">
        <v>676</v>
      </c>
      <c r="B1210" s="170" t="s">
        <v>1980</v>
      </c>
      <c r="C1210" s="171">
        <v>180.0</v>
      </c>
      <c r="D1210" s="172">
        <v>44926.0</v>
      </c>
      <c r="E1210" s="170">
        <v>118.0</v>
      </c>
      <c r="F1210" s="201">
        <v>2022.0</v>
      </c>
      <c r="G1210" s="201" t="s">
        <v>1160</v>
      </c>
      <c r="H1210" s="170" t="s">
        <v>1264</v>
      </c>
      <c r="I1210" s="170" t="s">
        <v>1979</v>
      </c>
      <c r="J1210" s="195"/>
      <c r="K1210" s="173">
        <v>44896.0</v>
      </c>
      <c r="L1210" s="45" t="b">
        <v>1</v>
      </c>
    </row>
    <row r="1211" hidden="1">
      <c r="A1211" s="16" t="s">
        <v>762</v>
      </c>
      <c r="B1211" s="99" t="s">
        <v>1980</v>
      </c>
      <c r="C1211" s="96">
        <f>60+262.5</f>
        <v>322.5</v>
      </c>
      <c r="D1211" s="175">
        <v>44926.0</v>
      </c>
      <c r="E1211" s="99">
        <v>118.0</v>
      </c>
      <c r="F1211" s="202">
        <v>2022.12</v>
      </c>
      <c r="G1211" s="202" t="s">
        <v>52</v>
      </c>
      <c r="H1211" s="99" t="s">
        <v>1264</v>
      </c>
      <c r="I1211" s="99" t="s">
        <v>1979</v>
      </c>
      <c r="J1211" s="194"/>
      <c r="K1211" s="177">
        <v>44896.0</v>
      </c>
      <c r="L1211" s="46" t="b">
        <v>1</v>
      </c>
    </row>
    <row r="1212" hidden="1">
      <c r="A1212" s="4" t="s">
        <v>740</v>
      </c>
      <c r="B1212" s="170" t="s">
        <v>1980</v>
      </c>
      <c r="C1212" s="171">
        <v>425.0</v>
      </c>
      <c r="D1212" s="172">
        <v>44926.0</v>
      </c>
      <c r="E1212" s="170">
        <v>118.0</v>
      </c>
      <c r="F1212" s="201">
        <v>2022.0</v>
      </c>
      <c r="G1212" s="201" t="s">
        <v>1160</v>
      </c>
      <c r="H1212" s="170" t="s">
        <v>1264</v>
      </c>
      <c r="I1212" s="170" t="s">
        <v>1979</v>
      </c>
      <c r="J1212" s="195"/>
      <c r="K1212" s="173">
        <v>44896.0</v>
      </c>
      <c r="L1212" s="45" t="b">
        <v>1</v>
      </c>
    </row>
    <row r="1213" hidden="1">
      <c r="A1213" s="16" t="s">
        <v>99</v>
      </c>
      <c r="B1213" s="99" t="s">
        <v>2036</v>
      </c>
      <c r="C1213" s="174">
        <v>337.5</v>
      </c>
      <c r="D1213" s="175">
        <v>44926.0</v>
      </c>
      <c r="E1213" s="189">
        <v>44896.0</v>
      </c>
      <c r="F1213" s="202">
        <v>2022.12</v>
      </c>
      <c r="G1213" s="202" t="s">
        <v>52</v>
      </c>
      <c r="H1213" s="99" t="s">
        <v>1264</v>
      </c>
      <c r="I1213" s="99" t="s">
        <v>1979</v>
      </c>
      <c r="J1213" s="194"/>
      <c r="K1213" s="177">
        <v>44896.0</v>
      </c>
      <c r="L1213" s="46" t="b">
        <v>1</v>
      </c>
    </row>
    <row r="1214" hidden="1">
      <c r="A1214" s="4" t="s">
        <v>42</v>
      </c>
      <c r="B1214" s="170" t="s">
        <v>2036</v>
      </c>
      <c r="C1214" s="171">
        <v>212.5</v>
      </c>
      <c r="D1214" s="172">
        <v>44926.0</v>
      </c>
      <c r="E1214" s="188">
        <v>44896.0</v>
      </c>
      <c r="F1214" s="201">
        <v>2022.12</v>
      </c>
      <c r="G1214" s="201" t="s">
        <v>52</v>
      </c>
      <c r="H1214" s="170" t="s">
        <v>1264</v>
      </c>
      <c r="I1214" s="170" t="s">
        <v>1979</v>
      </c>
      <c r="J1214" s="195"/>
      <c r="K1214" s="173">
        <v>44896.0</v>
      </c>
      <c r="L1214" s="45" t="b">
        <v>1</v>
      </c>
    </row>
    <row r="1215" hidden="1">
      <c r="A1215" s="16" t="s">
        <v>499</v>
      </c>
      <c r="B1215" s="99" t="s">
        <v>2036</v>
      </c>
      <c r="C1215" s="174">
        <v>150.0</v>
      </c>
      <c r="D1215" s="175">
        <v>44926.0</v>
      </c>
      <c r="E1215" s="189">
        <v>44896.0</v>
      </c>
      <c r="F1215" s="202">
        <v>2022.12</v>
      </c>
      <c r="G1215" s="202" t="s">
        <v>52</v>
      </c>
      <c r="H1215" s="99" t="s">
        <v>1264</v>
      </c>
      <c r="I1215" s="99" t="s">
        <v>1979</v>
      </c>
      <c r="J1215" s="194"/>
      <c r="K1215" s="177">
        <v>44896.0</v>
      </c>
      <c r="L1215" s="46" t="b">
        <v>1</v>
      </c>
    </row>
    <row r="1216" hidden="1">
      <c r="A1216" s="4" t="s">
        <v>662</v>
      </c>
      <c r="B1216" s="170" t="s">
        <v>2036</v>
      </c>
      <c r="C1216" s="171">
        <v>750.0</v>
      </c>
      <c r="D1216" s="172">
        <v>44926.0</v>
      </c>
      <c r="E1216" s="188">
        <v>44896.0</v>
      </c>
      <c r="F1216" s="201">
        <v>2022.12</v>
      </c>
      <c r="G1216" s="201" t="s">
        <v>52</v>
      </c>
      <c r="H1216" s="170" t="s">
        <v>1264</v>
      </c>
      <c r="I1216" s="170" t="s">
        <v>1979</v>
      </c>
      <c r="J1216" s="195"/>
      <c r="K1216" s="173">
        <v>44896.0</v>
      </c>
      <c r="L1216" s="45" t="b">
        <v>1</v>
      </c>
    </row>
    <row r="1217" hidden="1">
      <c r="A1217" s="16" t="s">
        <v>115</v>
      </c>
      <c r="B1217" s="99" t="s">
        <v>1982</v>
      </c>
      <c r="C1217" s="174">
        <v>662.5</v>
      </c>
      <c r="D1217" s="175">
        <v>44926.0</v>
      </c>
      <c r="E1217" s="99" t="s">
        <v>2111</v>
      </c>
      <c r="F1217" s="202">
        <v>2022.12</v>
      </c>
      <c r="G1217" s="202" t="s">
        <v>52</v>
      </c>
      <c r="H1217" s="99" t="s">
        <v>1264</v>
      </c>
      <c r="I1217" s="99" t="s">
        <v>1979</v>
      </c>
      <c r="J1217" s="194"/>
      <c r="K1217" s="177">
        <v>44896.0</v>
      </c>
      <c r="L1217" s="46" t="b">
        <v>1</v>
      </c>
    </row>
    <row r="1218" hidden="1">
      <c r="A1218" s="4" t="s">
        <v>118</v>
      </c>
      <c r="B1218" s="170" t="s">
        <v>1982</v>
      </c>
      <c r="C1218" s="171">
        <v>662.5</v>
      </c>
      <c r="D1218" s="172">
        <v>44926.0</v>
      </c>
      <c r="E1218" s="170" t="s">
        <v>2111</v>
      </c>
      <c r="F1218" s="201">
        <v>2022.12</v>
      </c>
      <c r="G1218" s="201" t="s">
        <v>52</v>
      </c>
      <c r="H1218" s="170" t="s">
        <v>1264</v>
      </c>
      <c r="I1218" s="170" t="s">
        <v>1979</v>
      </c>
      <c r="J1218" s="195"/>
      <c r="K1218" s="173">
        <v>44896.0</v>
      </c>
      <c r="L1218" s="45" t="b">
        <v>1</v>
      </c>
    </row>
    <row r="1219" hidden="1">
      <c r="A1219" s="16" t="s">
        <v>92</v>
      </c>
      <c r="B1219" s="99" t="s">
        <v>1982</v>
      </c>
      <c r="C1219" s="174">
        <v>562.5</v>
      </c>
      <c r="D1219" s="175">
        <v>44926.0</v>
      </c>
      <c r="E1219" s="99" t="s">
        <v>2111</v>
      </c>
      <c r="F1219" s="202">
        <v>2022.12</v>
      </c>
      <c r="G1219" s="202" t="s">
        <v>52</v>
      </c>
      <c r="H1219" s="99" t="s">
        <v>1264</v>
      </c>
      <c r="I1219" s="99" t="s">
        <v>1979</v>
      </c>
      <c r="J1219" s="194"/>
      <c r="K1219" s="177">
        <v>44896.0</v>
      </c>
      <c r="L1219" s="46" t="b">
        <v>1</v>
      </c>
    </row>
    <row r="1220" hidden="1">
      <c r="A1220" s="4" t="s">
        <v>84</v>
      </c>
      <c r="B1220" s="170" t="s">
        <v>1982</v>
      </c>
      <c r="C1220" s="171">
        <v>475.0</v>
      </c>
      <c r="D1220" s="172">
        <v>44926.0</v>
      </c>
      <c r="E1220" s="170" t="s">
        <v>2111</v>
      </c>
      <c r="F1220" s="201">
        <v>2022.12</v>
      </c>
      <c r="G1220" s="201" t="s">
        <v>52</v>
      </c>
      <c r="H1220" s="170" t="s">
        <v>1264</v>
      </c>
      <c r="I1220" s="170" t="s">
        <v>1979</v>
      </c>
      <c r="J1220" s="195"/>
      <c r="K1220" s="173">
        <v>44896.0</v>
      </c>
      <c r="L1220" s="45" t="b">
        <v>1</v>
      </c>
    </row>
    <row r="1221" hidden="1">
      <c r="A1221" s="16" t="s">
        <v>123</v>
      </c>
      <c r="B1221" s="99" t="s">
        <v>1982</v>
      </c>
      <c r="C1221" s="174">
        <v>787.5</v>
      </c>
      <c r="D1221" s="175">
        <v>44926.0</v>
      </c>
      <c r="E1221" s="99" t="s">
        <v>2111</v>
      </c>
      <c r="F1221" s="202">
        <v>2022.12</v>
      </c>
      <c r="G1221" s="202" t="s">
        <v>52</v>
      </c>
      <c r="H1221" s="99" t="s">
        <v>1264</v>
      </c>
      <c r="I1221" s="99" t="s">
        <v>1979</v>
      </c>
      <c r="J1221" s="194"/>
      <c r="K1221" s="177">
        <v>44896.0</v>
      </c>
      <c r="L1221" s="46" t="b">
        <v>1</v>
      </c>
    </row>
    <row r="1222" hidden="1">
      <c r="A1222" s="4" t="s">
        <v>62</v>
      </c>
      <c r="B1222" s="170" t="s">
        <v>1982</v>
      </c>
      <c r="C1222" s="171">
        <v>450.0</v>
      </c>
      <c r="D1222" s="172">
        <v>44926.0</v>
      </c>
      <c r="E1222" s="170" t="s">
        <v>2111</v>
      </c>
      <c r="F1222" s="201">
        <v>2022.12</v>
      </c>
      <c r="G1222" s="201" t="s">
        <v>52</v>
      </c>
      <c r="H1222" s="170" t="s">
        <v>1264</v>
      </c>
      <c r="I1222" s="170" t="s">
        <v>1979</v>
      </c>
      <c r="J1222" s="195"/>
      <c r="K1222" s="173">
        <v>44896.0</v>
      </c>
      <c r="L1222" s="45" t="b">
        <v>1</v>
      </c>
    </row>
    <row r="1223" hidden="1">
      <c r="A1223" s="16" t="s">
        <v>54</v>
      </c>
      <c r="B1223" s="99" t="s">
        <v>1985</v>
      </c>
      <c r="C1223" s="174">
        <v>337.5</v>
      </c>
      <c r="D1223" s="175">
        <v>44926.0</v>
      </c>
      <c r="E1223" s="99">
        <v>29.0</v>
      </c>
      <c r="F1223" s="202">
        <v>2022.12</v>
      </c>
      <c r="G1223" s="202" t="s">
        <v>52</v>
      </c>
      <c r="H1223" s="99" t="s">
        <v>1264</v>
      </c>
      <c r="I1223" s="99" t="s">
        <v>1979</v>
      </c>
      <c r="J1223" s="194"/>
      <c r="K1223" s="177">
        <v>44896.0</v>
      </c>
      <c r="L1223" s="46" t="b">
        <v>1</v>
      </c>
    </row>
    <row r="1224" hidden="1">
      <c r="A1224" s="4" t="s">
        <v>120</v>
      </c>
      <c r="B1224" s="170" t="s">
        <v>1985</v>
      </c>
      <c r="C1224" s="171">
        <f>575+15</f>
        <v>590</v>
      </c>
      <c r="D1224" s="172">
        <v>44926.0</v>
      </c>
      <c r="E1224" s="170">
        <v>29.0</v>
      </c>
      <c r="F1224" s="201">
        <v>2022.12</v>
      </c>
      <c r="G1224" s="201" t="s">
        <v>52</v>
      </c>
      <c r="H1224" s="170" t="s">
        <v>1264</v>
      </c>
      <c r="I1224" s="170" t="s">
        <v>1979</v>
      </c>
      <c r="J1224" s="195"/>
      <c r="K1224" s="173">
        <v>44896.0</v>
      </c>
      <c r="L1224" s="45" t="b">
        <v>1</v>
      </c>
    </row>
    <row r="1225" hidden="1">
      <c r="A1225" s="16" t="s">
        <v>499</v>
      </c>
      <c r="B1225" s="99" t="s">
        <v>1985</v>
      </c>
      <c r="C1225" s="174">
        <v>262.5</v>
      </c>
      <c r="D1225" s="175">
        <v>44926.0</v>
      </c>
      <c r="E1225" s="99">
        <v>29.0</v>
      </c>
      <c r="F1225" s="202">
        <v>2022.12</v>
      </c>
      <c r="G1225" s="202" t="s">
        <v>52</v>
      </c>
      <c r="H1225" s="99" t="s">
        <v>1264</v>
      </c>
      <c r="I1225" s="99" t="s">
        <v>1979</v>
      </c>
      <c r="J1225" s="194"/>
      <c r="K1225" s="177">
        <v>44896.0</v>
      </c>
      <c r="L1225" s="46" t="b">
        <v>1</v>
      </c>
    </row>
    <row r="1226" hidden="1">
      <c r="A1226" s="4" t="s">
        <v>90</v>
      </c>
      <c r="B1226" s="170" t="s">
        <v>1985</v>
      </c>
      <c r="C1226" s="171">
        <f>525+15</f>
        <v>540</v>
      </c>
      <c r="D1226" s="172">
        <v>44926.0</v>
      </c>
      <c r="E1226" s="170">
        <v>29.0</v>
      </c>
      <c r="F1226" s="201">
        <v>2022.12</v>
      </c>
      <c r="G1226" s="201" t="s">
        <v>52</v>
      </c>
      <c r="H1226" s="170" t="s">
        <v>1264</v>
      </c>
      <c r="I1226" s="170" t="s">
        <v>1979</v>
      </c>
      <c r="J1226" s="195"/>
      <c r="K1226" s="173">
        <v>44896.0</v>
      </c>
      <c r="L1226" s="45" t="b">
        <v>1</v>
      </c>
    </row>
    <row r="1227" hidden="1">
      <c r="A1227" s="16" t="s">
        <v>737</v>
      </c>
      <c r="B1227" s="99" t="s">
        <v>1985</v>
      </c>
      <c r="C1227" s="174">
        <f>400+15</f>
        <v>415</v>
      </c>
      <c r="D1227" s="175">
        <v>44926.0</v>
      </c>
      <c r="E1227" s="99">
        <v>29.0</v>
      </c>
      <c r="F1227" s="202">
        <v>2022.0</v>
      </c>
      <c r="G1227" s="202" t="s">
        <v>1160</v>
      </c>
      <c r="H1227" s="99" t="s">
        <v>1264</v>
      </c>
      <c r="I1227" s="99" t="s">
        <v>1979</v>
      </c>
      <c r="J1227" s="194"/>
      <c r="K1227" s="177">
        <v>44896.0</v>
      </c>
      <c r="L1227" s="46" t="b">
        <v>1</v>
      </c>
    </row>
    <row r="1228" hidden="1">
      <c r="A1228" s="4" t="s">
        <v>707</v>
      </c>
      <c r="B1228" s="170" t="s">
        <v>1985</v>
      </c>
      <c r="C1228" s="171">
        <v>450.0</v>
      </c>
      <c r="D1228" s="172">
        <v>44926.0</v>
      </c>
      <c r="E1228" s="170">
        <v>29.0</v>
      </c>
      <c r="F1228" s="201">
        <v>2022.0</v>
      </c>
      <c r="G1228" s="201" t="s">
        <v>1160</v>
      </c>
      <c r="H1228" s="170" t="s">
        <v>1264</v>
      </c>
      <c r="I1228" s="170" t="s">
        <v>1979</v>
      </c>
      <c r="J1228" s="195"/>
      <c r="K1228" s="173">
        <v>44896.0</v>
      </c>
      <c r="L1228" s="45" t="b">
        <v>1</v>
      </c>
    </row>
    <row r="1229" hidden="1">
      <c r="A1229" s="16" t="s">
        <v>740</v>
      </c>
      <c r="B1229" s="99" t="s">
        <v>1985</v>
      </c>
      <c r="C1229" s="174">
        <v>500.0</v>
      </c>
      <c r="D1229" s="175">
        <v>44926.0</v>
      </c>
      <c r="E1229" s="99">
        <v>29.0</v>
      </c>
      <c r="F1229" s="202">
        <v>2022.0</v>
      </c>
      <c r="G1229" s="202" t="s">
        <v>1160</v>
      </c>
      <c r="H1229" s="99" t="s">
        <v>1264</v>
      </c>
      <c r="I1229" s="99" t="s">
        <v>1979</v>
      </c>
      <c r="J1229" s="194"/>
      <c r="K1229" s="177">
        <v>44896.0</v>
      </c>
      <c r="L1229" s="46" t="b">
        <v>1</v>
      </c>
    </row>
    <row r="1230" hidden="1">
      <c r="A1230" s="4" t="s">
        <v>768</v>
      </c>
      <c r="B1230" s="170" t="s">
        <v>1985</v>
      </c>
      <c r="C1230" s="171">
        <v>30.0</v>
      </c>
      <c r="D1230" s="172">
        <v>44926.0</v>
      </c>
      <c r="E1230" s="170">
        <v>29.0</v>
      </c>
      <c r="F1230" s="201">
        <v>2022.0</v>
      </c>
      <c r="G1230" s="201" t="s">
        <v>1160</v>
      </c>
      <c r="H1230" s="170" t="s">
        <v>1264</v>
      </c>
      <c r="I1230" s="170" t="s">
        <v>1979</v>
      </c>
      <c r="J1230" s="198" t="s">
        <v>2112</v>
      </c>
      <c r="K1230" s="173">
        <v>44896.0</v>
      </c>
      <c r="L1230" s="45" t="b">
        <v>1</v>
      </c>
    </row>
    <row r="1231" hidden="1">
      <c r="A1231" s="16" t="s">
        <v>1271</v>
      </c>
      <c r="B1231" s="99" t="s">
        <v>1976</v>
      </c>
      <c r="C1231" s="174">
        <v>3.13</v>
      </c>
      <c r="D1231" s="175">
        <v>44940.0</v>
      </c>
      <c r="E1231" s="97"/>
      <c r="F1231" s="202">
        <v>2023.0</v>
      </c>
      <c r="G1231" s="202" t="s">
        <v>1152</v>
      </c>
      <c r="H1231" s="99" t="s">
        <v>1264</v>
      </c>
      <c r="I1231" s="99" t="s">
        <v>1272</v>
      </c>
      <c r="J1231" s="81" t="s">
        <v>2089</v>
      </c>
      <c r="K1231" s="177">
        <v>44896.0</v>
      </c>
      <c r="L1231" s="46" t="b">
        <v>1</v>
      </c>
    </row>
    <row r="1232" hidden="1">
      <c r="A1232" s="4" t="s">
        <v>1271</v>
      </c>
      <c r="B1232" s="170" t="s">
        <v>1998</v>
      </c>
      <c r="C1232" s="171">
        <v>138.91</v>
      </c>
      <c r="D1232" s="172">
        <v>44940.0</v>
      </c>
      <c r="E1232" s="94"/>
      <c r="F1232" s="201">
        <v>2023.0</v>
      </c>
      <c r="G1232" s="201" t="s">
        <v>1152</v>
      </c>
      <c r="H1232" s="170" t="s">
        <v>1264</v>
      </c>
      <c r="I1232" s="170" t="s">
        <v>1995</v>
      </c>
      <c r="J1232" s="195"/>
      <c r="K1232" s="173">
        <v>44896.0</v>
      </c>
      <c r="L1232" s="45" t="b">
        <v>1</v>
      </c>
    </row>
    <row r="1233" hidden="1">
      <c r="A1233" s="16" t="s">
        <v>1269</v>
      </c>
      <c r="B1233" s="99" t="s">
        <v>1314</v>
      </c>
      <c r="C1233" s="174">
        <v>420.0</v>
      </c>
      <c r="D1233" s="175">
        <v>44940.0</v>
      </c>
      <c r="E1233" s="97"/>
      <c r="F1233" s="202">
        <v>2023.0</v>
      </c>
      <c r="G1233" s="202" t="s">
        <v>1152</v>
      </c>
      <c r="H1233" s="99" t="s">
        <v>1264</v>
      </c>
      <c r="I1233" s="99" t="s">
        <v>1270</v>
      </c>
      <c r="J1233" s="194"/>
      <c r="K1233" s="177">
        <v>44896.0</v>
      </c>
      <c r="L1233" s="46" t="b">
        <v>1</v>
      </c>
    </row>
    <row r="1234" hidden="1">
      <c r="A1234" s="4" t="s">
        <v>1271</v>
      </c>
      <c r="B1234" s="170" t="s">
        <v>1994</v>
      </c>
      <c r="C1234" s="171">
        <v>14.97</v>
      </c>
      <c r="D1234" s="172">
        <v>44940.0</v>
      </c>
      <c r="E1234" s="94"/>
      <c r="F1234" s="201">
        <v>2023.0</v>
      </c>
      <c r="G1234" s="201" t="s">
        <v>1152</v>
      </c>
      <c r="H1234" s="170" t="s">
        <v>1264</v>
      </c>
      <c r="I1234" s="170" t="s">
        <v>1272</v>
      </c>
      <c r="J1234" s="195"/>
      <c r="K1234" s="173">
        <v>44896.0</v>
      </c>
      <c r="L1234" s="45" t="b">
        <v>1</v>
      </c>
    </row>
    <row r="1235" hidden="1">
      <c r="A1235" s="16" t="s">
        <v>118</v>
      </c>
      <c r="B1235" s="99" t="s">
        <v>1976</v>
      </c>
      <c r="C1235" s="174">
        <v>750.0</v>
      </c>
      <c r="D1235" s="175">
        <v>44916.0</v>
      </c>
      <c r="E1235" s="97"/>
      <c r="F1235" s="202">
        <v>2022.12</v>
      </c>
      <c r="G1235" s="202" t="s">
        <v>52</v>
      </c>
      <c r="H1235" s="99" t="s">
        <v>1999</v>
      </c>
      <c r="I1235" s="99" t="s">
        <v>1977</v>
      </c>
      <c r="J1235" s="194"/>
      <c r="K1235" s="177">
        <v>44896.0</v>
      </c>
      <c r="L1235" s="46" t="b">
        <v>1</v>
      </c>
    </row>
    <row r="1236" hidden="1">
      <c r="A1236" s="4" t="s">
        <v>115</v>
      </c>
      <c r="B1236" s="170" t="s">
        <v>1976</v>
      </c>
      <c r="C1236" s="171">
        <v>750.0</v>
      </c>
      <c r="D1236" s="172">
        <v>44920.0</v>
      </c>
      <c r="E1236" s="94"/>
      <c r="F1236" s="201">
        <v>2022.12</v>
      </c>
      <c r="G1236" s="201" t="s">
        <v>52</v>
      </c>
      <c r="H1236" s="170" t="s">
        <v>1999</v>
      </c>
      <c r="I1236" s="170" t="s">
        <v>1977</v>
      </c>
      <c r="J1236" s="195"/>
      <c r="K1236" s="173">
        <v>44896.0</v>
      </c>
      <c r="L1236" s="45" t="b">
        <v>1</v>
      </c>
    </row>
    <row r="1237" hidden="1">
      <c r="A1237" s="16" t="s">
        <v>92</v>
      </c>
      <c r="B1237" s="99" t="s">
        <v>1988</v>
      </c>
      <c r="C1237" s="174">
        <f>813.73-813.73+81.73</f>
        <v>81.73</v>
      </c>
      <c r="D1237" s="175">
        <v>44920.0</v>
      </c>
      <c r="E1237" s="97"/>
      <c r="F1237" s="202">
        <v>2022.12</v>
      </c>
      <c r="G1237" s="202" t="s">
        <v>52</v>
      </c>
      <c r="H1237" s="99" t="s">
        <v>1999</v>
      </c>
      <c r="I1237" s="99" t="s">
        <v>1977</v>
      </c>
      <c r="J1237" s="194"/>
      <c r="K1237" s="177">
        <v>44896.0</v>
      </c>
      <c r="L1237" s="46" t="b">
        <v>1</v>
      </c>
    </row>
    <row r="1238" hidden="1">
      <c r="A1238" s="4" t="s">
        <v>586</v>
      </c>
      <c r="B1238" s="170" t="s">
        <v>2113</v>
      </c>
      <c r="C1238" s="171">
        <v>98.22</v>
      </c>
      <c r="D1238" s="172">
        <v>44925.0</v>
      </c>
      <c r="E1238" s="94"/>
      <c r="F1238" s="201">
        <v>2022.0</v>
      </c>
      <c r="G1238" s="201" t="s">
        <v>1160</v>
      </c>
      <c r="H1238" s="170" t="s">
        <v>1999</v>
      </c>
      <c r="I1238" s="170" t="s">
        <v>2034</v>
      </c>
      <c r="J1238" s="195"/>
      <c r="K1238" s="173">
        <v>44896.0</v>
      </c>
      <c r="L1238" s="45" t="b">
        <v>1</v>
      </c>
    </row>
    <row r="1239" hidden="1">
      <c r="A1239" s="16" t="s">
        <v>584</v>
      </c>
      <c r="B1239" s="99" t="s">
        <v>2113</v>
      </c>
      <c r="C1239" s="174">
        <v>267.54</v>
      </c>
      <c r="D1239" s="175">
        <v>44925.0</v>
      </c>
      <c r="E1239" s="97"/>
      <c r="F1239" s="202">
        <v>2022.0</v>
      </c>
      <c r="G1239" s="202" t="s">
        <v>1160</v>
      </c>
      <c r="H1239" s="99" t="s">
        <v>1999</v>
      </c>
      <c r="I1239" s="99" t="s">
        <v>2034</v>
      </c>
      <c r="J1239" s="194"/>
      <c r="K1239" s="177">
        <v>44896.0</v>
      </c>
      <c r="L1239" s="46" t="b">
        <v>1</v>
      </c>
    </row>
    <row r="1240" hidden="1">
      <c r="A1240" s="4" t="s">
        <v>118</v>
      </c>
      <c r="B1240" s="170" t="s">
        <v>1976</v>
      </c>
      <c r="C1240" s="171">
        <v>415.5</v>
      </c>
      <c r="D1240" s="172">
        <v>44927.0</v>
      </c>
      <c r="E1240" s="94"/>
      <c r="F1240" s="201">
        <v>2023.01</v>
      </c>
      <c r="G1240" s="201" t="s">
        <v>52</v>
      </c>
      <c r="H1240" s="170" t="s">
        <v>1999</v>
      </c>
      <c r="I1240" s="170" t="s">
        <v>1977</v>
      </c>
      <c r="J1240" s="195"/>
      <c r="K1240" s="173">
        <v>44896.0</v>
      </c>
      <c r="L1240" s="45" t="b">
        <v>1</v>
      </c>
    </row>
    <row r="1241" hidden="1">
      <c r="A1241" s="16" t="s">
        <v>115</v>
      </c>
      <c r="B1241" s="99" t="s">
        <v>1976</v>
      </c>
      <c r="C1241" s="174">
        <f>221.98+(813.73-81.73)</f>
        <v>953.98</v>
      </c>
      <c r="D1241" s="175">
        <v>44927.0</v>
      </c>
      <c r="E1241" s="97"/>
      <c r="F1241" s="202">
        <v>2023.01</v>
      </c>
      <c r="G1241" s="202" t="s">
        <v>52</v>
      </c>
      <c r="H1241" s="99" t="s">
        <v>1999</v>
      </c>
      <c r="I1241" s="99" t="s">
        <v>1977</v>
      </c>
      <c r="J1241" s="194"/>
      <c r="K1241" s="177">
        <v>44896.0</v>
      </c>
      <c r="L1241" s="46" t="b">
        <v>1</v>
      </c>
    </row>
    <row r="1242" hidden="1">
      <c r="A1242" s="4" t="s">
        <v>1266</v>
      </c>
      <c r="B1242" s="170" t="s">
        <v>2114</v>
      </c>
      <c r="C1242" s="171">
        <v>121.2</v>
      </c>
      <c r="D1242" s="172">
        <v>44930.0</v>
      </c>
      <c r="E1242" s="94"/>
      <c r="F1242" s="201">
        <v>2023.0</v>
      </c>
      <c r="G1242" s="201" t="s">
        <v>1152</v>
      </c>
      <c r="H1242" s="170" t="s">
        <v>1999</v>
      </c>
      <c r="I1242" s="170" t="s">
        <v>1995</v>
      </c>
      <c r="J1242" s="195"/>
      <c r="K1242" s="173">
        <v>44896.0</v>
      </c>
      <c r="L1242" s="45" t="b">
        <v>1</v>
      </c>
    </row>
    <row r="1243" hidden="1">
      <c r="A1243" s="16" t="s">
        <v>326</v>
      </c>
      <c r="B1243" s="99" t="s">
        <v>1976</v>
      </c>
      <c r="C1243" s="174">
        <v>69.03</v>
      </c>
      <c r="D1243" s="175">
        <v>44935.0</v>
      </c>
      <c r="E1243" s="97"/>
      <c r="F1243" s="202">
        <v>2023.0</v>
      </c>
      <c r="G1243" s="202" t="s">
        <v>1160</v>
      </c>
      <c r="H1243" s="99" t="s">
        <v>1999</v>
      </c>
      <c r="I1243" s="99" t="s">
        <v>1977</v>
      </c>
      <c r="J1243" s="194"/>
      <c r="K1243" s="177">
        <v>44896.0</v>
      </c>
      <c r="L1243" s="46" t="b">
        <v>1</v>
      </c>
    </row>
    <row r="1244" hidden="1">
      <c r="A1244" s="4" t="s">
        <v>737</v>
      </c>
      <c r="B1244" s="170" t="s">
        <v>2002</v>
      </c>
      <c r="C1244" s="171">
        <v>52.13</v>
      </c>
      <c r="D1244" s="172">
        <v>44926.0</v>
      </c>
      <c r="E1244" s="94"/>
      <c r="F1244" s="201">
        <v>2022.0</v>
      </c>
      <c r="G1244" s="201" t="s">
        <v>1160</v>
      </c>
      <c r="H1244" s="170" t="s">
        <v>1999</v>
      </c>
      <c r="I1244" s="170" t="s">
        <v>1979</v>
      </c>
      <c r="J1244" s="198"/>
      <c r="K1244" s="173">
        <v>44896.0</v>
      </c>
      <c r="L1244" s="45" t="b">
        <v>1</v>
      </c>
    </row>
    <row r="1245" hidden="1">
      <c r="A1245" s="16" t="s">
        <v>54</v>
      </c>
      <c r="B1245" s="99" t="s">
        <v>2002</v>
      </c>
      <c r="C1245" s="174">
        <v>4.97</v>
      </c>
      <c r="D1245" s="175">
        <v>44926.0</v>
      </c>
      <c r="E1245" s="97"/>
      <c r="F1245" s="202">
        <v>2022.12</v>
      </c>
      <c r="G1245" s="202" t="s">
        <v>52</v>
      </c>
      <c r="H1245" s="99" t="s">
        <v>1999</v>
      </c>
      <c r="I1245" s="99" t="s">
        <v>1979</v>
      </c>
      <c r="J1245" s="81"/>
      <c r="K1245" s="177">
        <v>44896.0</v>
      </c>
      <c r="L1245" s="46" t="b">
        <v>1</v>
      </c>
    </row>
    <row r="1246" hidden="1">
      <c r="A1246" s="4" t="s">
        <v>740</v>
      </c>
      <c r="B1246" s="170" t="s">
        <v>2002</v>
      </c>
      <c r="C1246" s="171">
        <v>110.07</v>
      </c>
      <c r="D1246" s="172">
        <v>44926.0</v>
      </c>
      <c r="E1246" s="94"/>
      <c r="F1246" s="201">
        <v>2022.0</v>
      </c>
      <c r="G1246" s="201" t="s">
        <v>1160</v>
      </c>
      <c r="H1246" s="170" t="s">
        <v>1999</v>
      </c>
      <c r="I1246" s="170" t="s">
        <v>1979</v>
      </c>
      <c r="J1246" s="198"/>
      <c r="K1246" s="173">
        <v>44896.0</v>
      </c>
      <c r="L1246" s="45" t="b">
        <v>1</v>
      </c>
    </row>
    <row r="1247" hidden="1">
      <c r="A1247" s="16" t="s">
        <v>120</v>
      </c>
      <c r="B1247" s="99" t="s">
        <v>2002</v>
      </c>
      <c r="C1247" s="174">
        <v>128.88</v>
      </c>
      <c r="D1247" s="175">
        <v>44926.0</v>
      </c>
      <c r="E1247" s="97"/>
      <c r="F1247" s="202">
        <v>2022.12</v>
      </c>
      <c r="G1247" s="202" t="s">
        <v>52</v>
      </c>
      <c r="H1247" s="99" t="s">
        <v>1999</v>
      </c>
      <c r="I1247" s="99" t="s">
        <v>1979</v>
      </c>
      <c r="J1247" s="81"/>
      <c r="K1247" s="177">
        <v>44896.0</v>
      </c>
      <c r="L1247" s="46" t="b">
        <v>1</v>
      </c>
    </row>
    <row r="1248" hidden="1">
      <c r="A1248" s="4" t="s">
        <v>768</v>
      </c>
      <c r="B1248" s="170" t="s">
        <v>2002</v>
      </c>
      <c r="C1248" s="171">
        <v>196.67</v>
      </c>
      <c r="D1248" s="172">
        <v>44926.0</v>
      </c>
      <c r="E1248" s="94"/>
      <c r="F1248" s="201">
        <v>2022.0</v>
      </c>
      <c r="G1248" s="201" t="s">
        <v>1160</v>
      </c>
      <c r="H1248" s="170" t="s">
        <v>1999</v>
      </c>
      <c r="I1248" s="170" t="s">
        <v>1979</v>
      </c>
      <c r="J1248" s="198"/>
      <c r="K1248" s="173">
        <v>44896.0</v>
      </c>
      <c r="L1248" s="45" t="b">
        <v>1</v>
      </c>
    </row>
    <row r="1249" hidden="1">
      <c r="A1249" s="16" t="s">
        <v>42</v>
      </c>
      <c r="B1249" s="99" t="s">
        <v>2002</v>
      </c>
      <c r="C1249" s="174">
        <v>147.06</v>
      </c>
      <c r="D1249" s="175">
        <v>44926.0</v>
      </c>
      <c r="E1249" s="97"/>
      <c r="F1249" s="202">
        <v>2022.12</v>
      </c>
      <c r="G1249" s="202" t="s">
        <v>52</v>
      </c>
      <c r="H1249" s="99" t="s">
        <v>1999</v>
      </c>
      <c r="I1249" s="99" t="s">
        <v>1979</v>
      </c>
      <c r="J1249" s="81"/>
      <c r="K1249" s="177">
        <v>44896.0</v>
      </c>
      <c r="L1249" s="46" t="b">
        <v>1</v>
      </c>
    </row>
    <row r="1250" hidden="1">
      <c r="A1250" s="4" t="s">
        <v>82</v>
      </c>
      <c r="B1250" s="170" t="s">
        <v>2002</v>
      </c>
      <c r="C1250" s="171">
        <v>85.28</v>
      </c>
      <c r="D1250" s="172">
        <v>44926.0</v>
      </c>
      <c r="E1250" s="94"/>
      <c r="F1250" s="201">
        <v>2022.12</v>
      </c>
      <c r="G1250" s="201" t="s">
        <v>52</v>
      </c>
      <c r="H1250" s="170" t="s">
        <v>1999</v>
      </c>
      <c r="I1250" s="170" t="s">
        <v>1979</v>
      </c>
      <c r="J1250" s="198"/>
      <c r="K1250" s="173">
        <v>44896.0</v>
      </c>
      <c r="L1250" s="45" t="b">
        <v>1</v>
      </c>
    </row>
    <row r="1251" hidden="1">
      <c r="A1251" s="16" t="s">
        <v>1266</v>
      </c>
      <c r="B1251" s="99" t="s">
        <v>2002</v>
      </c>
      <c r="C1251" s="174">
        <v>1040.1</v>
      </c>
      <c r="D1251" s="175">
        <v>44926.0</v>
      </c>
      <c r="E1251" s="97"/>
      <c r="F1251" s="202">
        <v>2022.0</v>
      </c>
      <c r="G1251" s="202" t="s">
        <v>1152</v>
      </c>
      <c r="H1251" s="99" t="s">
        <v>1999</v>
      </c>
      <c r="I1251" s="99" t="s">
        <v>1979</v>
      </c>
      <c r="J1251" s="81"/>
      <c r="K1251" s="177">
        <v>44896.0</v>
      </c>
      <c r="L1251" s="46" t="b">
        <v>1</v>
      </c>
    </row>
    <row r="1252" hidden="1">
      <c r="A1252" s="4" t="s">
        <v>90</v>
      </c>
      <c r="B1252" s="170" t="s">
        <v>2002</v>
      </c>
      <c r="C1252" s="171">
        <v>34.79</v>
      </c>
      <c r="D1252" s="172">
        <v>44926.0</v>
      </c>
      <c r="E1252" s="94"/>
      <c r="F1252" s="201">
        <v>2022.12</v>
      </c>
      <c r="G1252" s="201" t="s">
        <v>52</v>
      </c>
      <c r="H1252" s="170" t="s">
        <v>1999</v>
      </c>
      <c r="I1252" s="170" t="s">
        <v>1979</v>
      </c>
      <c r="J1252" s="198"/>
      <c r="K1252" s="173">
        <v>44896.0</v>
      </c>
      <c r="L1252" s="45" t="b">
        <v>1</v>
      </c>
    </row>
    <row r="1253" hidden="1">
      <c r="A1253" s="16" t="s">
        <v>731</v>
      </c>
      <c r="B1253" s="99" t="s">
        <v>2002</v>
      </c>
      <c r="C1253" s="174">
        <v>25.23</v>
      </c>
      <c r="D1253" s="175">
        <v>44926.0</v>
      </c>
      <c r="E1253" s="97"/>
      <c r="F1253" s="202">
        <v>2022.0</v>
      </c>
      <c r="G1253" s="202" t="s">
        <v>1160</v>
      </c>
      <c r="H1253" s="99" t="s">
        <v>1999</v>
      </c>
      <c r="I1253" s="99" t="s">
        <v>1979</v>
      </c>
      <c r="J1253" s="81"/>
      <c r="K1253" s="177">
        <v>44896.0</v>
      </c>
      <c r="L1253" s="46" t="b">
        <v>1</v>
      </c>
    </row>
    <row r="1254" hidden="1">
      <c r="A1254" s="4" t="s">
        <v>732</v>
      </c>
      <c r="B1254" s="170" t="s">
        <v>2002</v>
      </c>
      <c r="C1254" s="171">
        <v>142.26</v>
      </c>
      <c r="D1254" s="172">
        <v>44926.0</v>
      </c>
      <c r="E1254" s="94"/>
      <c r="F1254" s="201">
        <v>2022.0</v>
      </c>
      <c r="G1254" s="201" t="s">
        <v>1160</v>
      </c>
      <c r="H1254" s="170" t="s">
        <v>1999</v>
      </c>
      <c r="I1254" s="170" t="s">
        <v>1979</v>
      </c>
      <c r="J1254" s="198"/>
      <c r="K1254" s="173">
        <v>44896.0</v>
      </c>
      <c r="L1254" s="45" t="b">
        <v>1</v>
      </c>
    </row>
    <row r="1255" hidden="1">
      <c r="A1255" s="16" t="s">
        <v>713</v>
      </c>
      <c r="B1255" s="99" t="s">
        <v>2002</v>
      </c>
      <c r="C1255" s="174">
        <v>100.91</v>
      </c>
      <c r="D1255" s="175">
        <v>44926.0</v>
      </c>
      <c r="E1255" s="97"/>
      <c r="F1255" s="202">
        <v>2022.0</v>
      </c>
      <c r="G1255" s="202" t="s">
        <v>1160</v>
      </c>
      <c r="H1255" s="99" t="s">
        <v>1999</v>
      </c>
      <c r="I1255" s="99" t="s">
        <v>1979</v>
      </c>
      <c r="J1255" s="81"/>
      <c r="K1255" s="177">
        <v>44896.0</v>
      </c>
      <c r="L1255" s="46" t="b">
        <v>1</v>
      </c>
    </row>
    <row r="1256" hidden="1">
      <c r="A1256" s="4" t="s">
        <v>92</v>
      </c>
      <c r="B1256" s="170" t="s">
        <v>2002</v>
      </c>
      <c r="C1256" s="171">
        <v>57.66</v>
      </c>
      <c r="D1256" s="172">
        <v>44926.0</v>
      </c>
      <c r="E1256" s="94"/>
      <c r="F1256" s="201">
        <v>2022.12</v>
      </c>
      <c r="G1256" s="201" t="s">
        <v>52</v>
      </c>
      <c r="H1256" s="170" t="s">
        <v>1999</v>
      </c>
      <c r="I1256" s="170" t="s">
        <v>1979</v>
      </c>
      <c r="J1256" s="198"/>
      <c r="K1256" s="173">
        <v>44896.0</v>
      </c>
      <c r="L1256" s="45" t="b">
        <v>1</v>
      </c>
    </row>
    <row r="1257" hidden="1">
      <c r="A1257" s="16" t="s">
        <v>62</v>
      </c>
      <c r="B1257" s="99" t="s">
        <v>2002</v>
      </c>
      <c r="C1257" s="174">
        <v>0.0</v>
      </c>
      <c r="D1257" s="175">
        <v>44926.0</v>
      </c>
      <c r="E1257" s="97"/>
      <c r="F1257" s="202">
        <v>2022.12</v>
      </c>
      <c r="G1257" s="202" t="s">
        <v>52</v>
      </c>
      <c r="H1257" s="99" t="s">
        <v>1999</v>
      </c>
      <c r="I1257" s="99" t="s">
        <v>1979</v>
      </c>
      <c r="J1257" s="81"/>
      <c r="K1257" s="177">
        <v>44896.0</v>
      </c>
      <c r="L1257" s="46" t="b">
        <v>1</v>
      </c>
    </row>
    <row r="1258" hidden="1">
      <c r="A1258" s="4" t="s">
        <v>115</v>
      </c>
      <c r="B1258" s="170" t="s">
        <v>2002</v>
      </c>
      <c r="C1258" s="171">
        <v>7.51</v>
      </c>
      <c r="D1258" s="172">
        <v>44926.0</v>
      </c>
      <c r="E1258" s="94"/>
      <c r="F1258" s="201">
        <v>2022.12</v>
      </c>
      <c r="G1258" s="201" t="s">
        <v>52</v>
      </c>
      <c r="H1258" s="170" t="s">
        <v>1999</v>
      </c>
      <c r="I1258" s="170" t="s">
        <v>1979</v>
      </c>
      <c r="J1258" s="198"/>
      <c r="K1258" s="173">
        <v>44896.0</v>
      </c>
      <c r="L1258" s="45" t="b">
        <v>1</v>
      </c>
    </row>
    <row r="1259" hidden="1">
      <c r="A1259" s="16" t="s">
        <v>118</v>
      </c>
      <c r="B1259" s="99" t="s">
        <v>2002</v>
      </c>
      <c r="C1259" s="174">
        <v>6.02</v>
      </c>
      <c r="D1259" s="175">
        <v>44926.0</v>
      </c>
      <c r="E1259" s="97"/>
      <c r="F1259" s="202">
        <v>2022.12</v>
      </c>
      <c r="G1259" s="202" t="s">
        <v>52</v>
      </c>
      <c r="H1259" s="99" t="s">
        <v>1999</v>
      </c>
      <c r="I1259" s="99" t="s">
        <v>1979</v>
      </c>
      <c r="J1259" s="81"/>
      <c r="K1259" s="177">
        <v>44896.0</v>
      </c>
      <c r="L1259" s="46" t="b">
        <v>1</v>
      </c>
    </row>
    <row r="1260" hidden="1">
      <c r="A1260" s="4" t="s">
        <v>560</v>
      </c>
      <c r="B1260" s="170" t="s">
        <v>2002</v>
      </c>
      <c r="C1260" s="171">
        <v>362.92</v>
      </c>
      <c r="D1260" s="172">
        <v>44926.0</v>
      </c>
      <c r="E1260" s="94"/>
      <c r="F1260" s="201">
        <v>2022.0</v>
      </c>
      <c r="G1260" s="201" t="s">
        <v>1160</v>
      </c>
      <c r="H1260" s="170" t="s">
        <v>1999</v>
      </c>
      <c r="I1260" s="170" t="s">
        <v>1979</v>
      </c>
      <c r="J1260" s="198"/>
      <c r="K1260" s="173">
        <v>44896.0</v>
      </c>
      <c r="L1260" s="45" t="b">
        <v>1</v>
      </c>
    </row>
    <row r="1261" hidden="1">
      <c r="A1261" s="16" t="s">
        <v>1328</v>
      </c>
      <c r="B1261" s="99" t="s">
        <v>2002</v>
      </c>
      <c r="C1261" s="174">
        <v>11.9</v>
      </c>
      <c r="D1261" s="175">
        <v>44926.0</v>
      </c>
      <c r="E1261" s="97"/>
      <c r="F1261" s="202">
        <v>2022.0</v>
      </c>
      <c r="G1261" s="202" t="s">
        <v>1152</v>
      </c>
      <c r="H1261" s="99" t="s">
        <v>1999</v>
      </c>
      <c r="I1261" s="99" t="s">
        <v>1979</v>
      </c>
      <c r="J1261" s="81"/>
      <c r="K1261" s="177">
        <v>44896.0</v>
      </c>
      <c r="L1261" s="46" t="b">
        <v>1</v>
      </c>
    </row>
    <row r="1262">
      <c r="A1262" s="4" t="s">
        <v>66</v>
      </c>
      <c r="B1262" s="170" t="s">
        <v>1978</v>
      </c>
      <c r="C1262" s="171">
        <v>312.5</v>
      </c>
      <c r="D1262" s="172">
        <v>44957.0</v>
      </c>
      <c r="E1262" s="203">
        <v>44957.0</v>
      </c>
      <c r="F1262" s="201">
        <v>2023.01</v>
      </c>
      <c r="G1262" s="201" t="s">
        <v>52</v>
      </c>
      <c r="H1262" s="170" t="s">
        <v>1264</v>
      </c>
      <c r="I1262" s="170" t="s">
        <v>1979</v>
      </c>
      <c r="J1262" s="195"/>
      <c r="K1262" s="173">
        <v>44927.0</v>
      </c>
      <c r="L1262" s="204" t="b">
        <v>0</v>
      </c>
    </row>
    <row r="1263">
      <c r="A1263" s="16" t="s">
        <v>97</v>
      </c>
      <c r="B1263" s="99" t="s">
        <v>1978</v>
      </c>
      <c r="C1263" s="174">
        <v>125.0</v>
      </c>
      <c r="D1263" s="175">
        <v>44957.0</v>
      </c>
      <c r="E1263" s="205">
        <v>44957.0</v>
      </c>
      <c r="F1263" s="202">
        <v>2023.01</v>
      </c>
      <c r="G1263" s="202" t="s">
        <v>52</v>
      </c>
      <c r="H1263" s="99" t="s">
        <v>1264</v>
      </c>
      <c r="I1263" s="99" t="s">
        <v>1979</v>
      </c>
      <c r="J1263" s="194"/>
      <c r="K1263" s="177">
        <v>44927.0</v>
      </c>
      <c r="L1263" s="206" t="b">
        <v>0</v>
      </c>
    </row>
    <row r="1264">
      <c r="A1264" s="4" t="s">
        <v>88</v>
      </c>
      <c r="B1264" s="170" t="s">
        <v>1978</v>
      </c>
      <c r="C1264" s="171">
        <v>212.5</v>
      </c>
      <c r="D1264" s="172">
        <v>44957.0</v>
      </c>
      <c r="E1264" s="203">
        <v>44957.0</v>
      </c>
      <c r="F1264" s="201">
        <v>2023.01</v>
      </c>
      <c r="G1264" s="201" t="s">
        <v>52</v>
      </c>
      <c r="H1264" s="170" t="s">
        <v>1264</v>
      </c>
      <c r="I1264" s="170" t="s">
        <v>1979</v>
      </c>
      <c r="J1264" s="195"/>
      <c r="K1264" s="173">
        <v>44927.0</v>
      </c>
      <c r="L1264" s="204" t="b">
        <v>0</v>
      </c>
    </row>
    <row r="1265">
      <c r="A1265" s="16" t="s">
        <v>73</v>
      </c>
      <c r="B1265" s="99" t="s">
        <v>1978</v>
      </c>
      <c r="C1265" s="174">
        <v>262.5</v>
      </c>
      <c r="D1265" s="175">
        <v>44957.0</v>
      </c>
      <c r="E1265" s="205">
        <v>44957.0</v>
      </c>
      <c r="F1265" s="202">
        <v>2023.01</v>
      </c>
      <c r="G1265" s="202" t="s">
        <v>52</v>
      </c>
      <c r="H1265" s="99" t="s">
        <v>1264</v>
      </c>
      <c r="I1265" s="99" t="s">
        <v>1979</v>
      </c>
      <c r="J1265" s="194"/>
      <c r="K1265" s="177">
        <v>44927.0</v>
      </c>
      <c r="L1265" s="206" t="b">
        <v>0</v>
      </c>
    </row>
    <row r="1266">
      <c r="A1266" s="4" t="s">
        <v>223</v>
      </c>
      <c r="B1266" s="170" t="s">
        <v>1978</v>
      </c>
      <c r="C1266" s="171">
        <v>500.0</v>
      </c>
      <c r="D1266" s="172">
        <v>44957.0</v>
      </c>
      <c r="E1266" s="203">
        <v>44957.0</v>
      </c>
      <c r="F1266" s="201">
        <v>2023.01</v>
      </c>
      <c r="G1266" s="201" t="s">
        <v>52</v>
      </c>
      <c r="H1266" s="170" t="s">
        <v>1264</v>
      </c>
      <c r="I1266" s="170" t="s">
        <v>1979</v>
      </c>
      <c r="J1266" s="195"/>
      <c r="K1266" s="173">
        <v>44927.0</v>
      </c>
      <c r="L1266" s="204" t="b">
        <v>0</v>
      </c>
    </row>
    <row r="1267">
      <c r="A1267" s="16" t="s">
        <v>50</v>
      </c>
      <c r="B1267" s="99" t="s">
        <v>1978</v>
      </c>
      <c r="C1267" s="174">
        <v>137.5</v>
      </c>
      <c r="D1267" s="175">
        <v>44957.0</v>
      </c>
      <c r="E1267" s="205">
        <v>44957.0</v>
      </c>
      <c r="F1267" s="202">
        <v>2023.01</v>
      </c>
      <c r="G1267" s="202" t="s">
        <v>52</v>
      </c>
      <c r="H1267" s="99" t="s">
        <v>1264</v>
      </c>
      <c r="I1267" s="99" t="s">
        <v>1979</v>
      </c>
      <c r="J1267" s="194"/>
      <c r="K1267" s="177">
        <v>44927.0</v>
      </c>
      <c r="L1267" s="206" t="b">
        <v>0</v>
      </c>
    </row>
    <row r="1268">
      <c r="A1268" s="4" t="s">
        <v>810</v>
      </c>
      <c r="B1268" s="170" t="s">
        <v>1978</v>
      </c>
      <c r="C1268" s="171">
        <v>237.5</v>
      </c>
      <c r="D1268" s="172">
        <v>44957.0</v>
      </c>
      <c r="E1268" s="203">
        <v>44957.0</v>
      </c>
      <c r="F1268" s="201">
        <v>2023.01</v>
      </c>
      <c r="G1268" s="201" t="s">
        <v>52</v>
      </c>
      <c r="H1268" s="170" t="s">
        <v>1264</v>
      </c>
      <c r="I1268" s="170" t="s">
        <v>1979</v>
      </c>
      <c r="J1268" s="195"/>
      <c r="K1268" s="173">
        <v>44927.0</v>
      </c>
      <c r="L1268" s="204" t="b">
        <v>0</v>
      </c>
    </row>
    <row r="1269">
      <c r="A1269" s="16" t="s">
        <v>740</v>
      </c>
      <c r="B1269" s="99" t="s">
        <v>1976</v>
      </c>
      <c r="C1269" s="174">
        <v>275.58</v>
      </c>
      <c r="D1269" s="175">
        <v>44941.0</v>
      </c>
      <c r="E1269" s="205"/>
      <c r="F1269" s="202">
        <v>2023.0</v>
      </c>
      <c r="G1269" s="202" t="s">
        <v>1160</v>
      </c>
      <c r="H1269" s="99" t="s">
        <v>1999</v>
      </c>
      <c r="I1269" s="99" t="s">
        <v>1977</v>
      </c>
      <c r="J1269" s="194"/>
      <c r="K1269" s="177">
        <v>44927.0</v>
      </c>
      <c r="L1269" s="206" t="b">
        <v>0</v>
      </c>
    </row>
    <row r="1270">
      <c r="A1270" s="4" t="s">
        <v>118</v>
      </c>
      <c r="B1270" s="170" t="s">
        <v>1976</v>
      </c>
      <c r="C1270" s="171">
        <v>750.0</v>
      </c>
      <c r="D1270" s="172">
        <v>44946.0</v>
      </c>
      <c r="E1270" s="94"/>
      <c r="F1270" s="207">
        <v>2023.01</v>
      </c>
      <c r="G1270" s="207" t="s">
        <v>52</v>
      </c>
      <c r="H1270" s="170" t="s">
        <v>1999</v>
      </c>
      <c r="I1270" s="170" t="s">
        <v>1977</v>
      </c>
      <c r="J1270" s="195"/>
      <c r="K1270" s="173">
        <v>44927.0</v>
      </c>
      <c r="L1270" s="204" t="b">
        <v>0</v>
      </c>
    </row>
    <row r="1271">
      <c r="A1271" s="16" t="s">
        <v>115</v>
      </c>
      <c r="B1271" s="99" t="s">
        <v>1976</v>
      </c>
      <c r="C1271" s="96">
        <f>750+(81.73-813.73)</f>
        <v>18</v>
      </c>
      <c r="D1271" s="175">
        <v>44950.0</v>
      </c>
      <c r="E1271" s="97"/>
      <c r="F1271" s="208">
        <v>2023.01</v>
      </c>
      <c r="G1271" s="208" t="s">
        <v>52</v>
      </c>
      <c r="H1271" s="99" t="s">
        <v>1999</v>
      </c>
      <c r="I1271" s="99" t="s">
        <v>1977</v>
      </c>
      <c r="J1271" s="194"/>
      <c r="K1271" s="177">
        <v>44927.0</v>
      </c>
      <c r="L1271" s="206" t="b">
        <v>0</v>
      </c>
    </row>
    <row r="1272">
      <c r="A1272" s="4" t="s">
        <v>92</v>
      </c>
      <c r="B1272" s="170" t="s">
        <v>1988</v>
      </c>
      <c r="C1272" s="171">
        <v>100.0</v>
      </c>
      <c r="D1272" s="172">
        <v>44951.0</v>
      </c>
      <c r="E1272" s="94"/>
      <c r="F1272" s="207">
        <v>2023.01</v>
      </c>
      <c r="G1272" s="207" t="s">
        <v>52</v>
      </c>
      <c r="H1272" s="170" t="s">
        <v>1999</v>
      </c>
      <c r="I1272" s="170" t="s">
        <v>1977</v>
      </c>
      <c r="J1272" s="195"/>
      <c r="K1272" s="173">
        <v>44927.0</v>
      </c>
      <c r="L1272" s="204" t="b">
        <v>0</v>
      </c>
    </row>
    <row r="1273">
      <c r="A1273" s="16" t="s">
        <v>1266</v>
      </c>
      <c r="B1273" s="99" t="s">
        <v>2000</v>
      </c>
      <c r="C1273" s="174">
        <v>492.22</v>
      </c>
      <c r="D1273" s="175">
        <v>44957.0</v>
      </c>
      <c r="E1273" s="97"/>
      <c r="F1273" s="208">
        <v>2023.0</v>
      </c>
      <c r="G1273" s="208" t="s">
        <v>1152</v>
      </c>
      <c r="H1273" s="99" t="s">
        <v>1999</v>
      </c>
      <c r="I1273" s="99" t="s">
        <v>1977</v>
      </c>
      <c r="J1273" s="194"/>
      <c r="K1273" s="177">
        <v>44927.0</v>
      </c>
      <c r="L1273" s="206" t="b">
        <v>0</v>
      </c>
    </row>
    <row r="1274">
      <c r="A1274" s="4" t="s">
        <v>118</v>
      </c>
      <c r="B1274" s="170" t="s">
        <v>1976</v>
      </c>
      <c r="C1274" s="171">
        <v>420.22</v>
      </c>
      <c r="D1274" s="172">
        <v>44958.0</v>
      </c>
      <c r="E1274" s="94"/>
      <c r="F1274" s="207">
        <v>2023.02</v>
      </c>
      <c r="G1274" s="207" t="s">
        <v>52</v>
      </c>
      <c r="H1274" s="170" t="s">
        <v>1999</v>
      </c>
      <c r="I1274" s="170" t="s">
        <v>1977</v>
      </c>
      <c r="J1274" s="195"/>
      <c r="K1274" s="173">
        <v>44927.0</v>
      </c>
      <c r="L1274" s="204" t="b">
        <v>0</v>
      </c>
    </row>
    <row r="1275">
      <c r="A1275" s="16" t="s">
        <v>740</v>
      </c>
      <c r="B1275" s="99" t="s">
        <v>1976</v>
      </c>
      <c r="C1275" s="174">
        <v>448.77</v>
      </c>
      <c r="D1275" s="175">
        <v>44958.0</v>
      </c>
      <c r="E1275" s="97"/>
      <c r="F1275" s="208">
        <v>2023.0</v>
      </c>
      <c r="G1275" s="208" t="s">
        <v>1160</v>
      </c>
      <c r="H1275" s="99" t="s">
        <v>1999</v>
      </c>
      <c r="I1275" s="99" t="s">
        <v>1977</v>
      </c>
      <c r="J1275" s="194"/>
      <c r="K1275" s="177">
        <v>44927.0</v>
      </c>
      <c r="L1275" s="206" t="b">
        <v>0</v>
      </c>
    </row>
    <row r="1276">
      <c r="A1276" s="4" t="s">
        <v>115</v>
      </c>
      <c r="B1276" s="170" t="s">
        <v>1976</v>
      </c>
      <c r="C1276" s="171">
        <v>222.21</v>
      </c>
      <c r="D1276" s="172">
        <v>44958.0</v>
      </c>
      <c r="E1276" s="94"/>
      <c r="F1276" s="207">
        <v>2023.02</v>
      </c>
      <c r="G1276" s="207" t="s">
        <v>52</v>
      </c>
      <c r="H1276" s="170" t="s">
        <v>1999</v>
      </c>
      <c r="I1276" s="170" t="s">
        <v>1977</v>
      </c>
      <c r="J1276" s="195"/>
      <c r="K1276" s="173">
        <v>44927.0</v>
      </c>
      <c r="L1276" s="204" t="b">
        <v>0</v>
      </c>
    </row>
    <row r="1277">
      <c r="A1277" s="16" t="s">
        <v>806</v>
      </c>
      <c r="B1277" s="99" t="s">
        <v>1986</v>
      </c>
      <c r="C1277" s="174">
        <v>44.0</v>
      </c>
      <c r="D1277" s="205">
        <v>44957.0</v>
      </c>
      <c r="E1277" s="99">
        <v>15.0</v>
      </c>
      <c r="F1277" s="208">
        <v>2023.0</v>
      </c>
      <c r="G1277" s="208" t="s">
        <v>1436</v>
      </c>
      <c r="H1277" s="99" t="s">
        <v>1264</v>
      </c>
      <c r="I1277" s="99" t="s">
        <v>1979</v>
      </c>
      <c r="J1277" s="194"/>
      <c r="K1277" s="177">
        <v>44927.0</v>
      </c>
      <c r="L1277" s="206" t="b">
        <v>0</v>
      </c>
    </row>
    <row r="1278">
      <c r="A1278" s="4" t="s">
        <v>82</v>
      </c>
      <c r="B1278" s="170" t="s">
        <v>1986</v>
      </c>
      <c r="C1278" s="171">
        <v>225.0</v>
      </c>
      <c r="D1278" s="203">
        <v>44957.0</v>
      </c>
      <c r="E1278" s="170">
        <v>15.0</v>
      </c>
      <c r="F1278" s="207">
        <v>2023.01</v>
      </c>
      <c r="G1278" s="207" t="s">
        <v>52</v>
      </c>
      <c r="H1278" s="170" t="s">
        <v>1264</v>
      </c>
      <c r="I1278" s="170" t="s">
        <v>1979</v>
      </c>
      <c r="J1278" s="195"/>
      <c r="K1278" s="173">
        <v>44927.0</v>
      </c>
      <c r="L1278" s="204" t="b">
        <v>0</v>
      </c>
    </row>
    <row r="1279">
      <c r="A1279" s="16" t="s">
        <v>92</v>
      </c>
      <c r="B1279" s="99" t="s">
        <v>1986</v>
      </c>
      <c r="C1279" s="174">
        <v>300.0</v>
      </c>
      <c r="D1279" s="205">
        <v>44957.0</v>
      </c>
      <c r="E1279" s="99">
        <v>15.0</v>
      </c>
      <c r="F1279" s="208">
        <v>2023.01</v>
      </c>
      <c r="G1279" s="208" t="s">
        <v>52</v>
      </c>
      <c r="H1279" s="99" t="s">
        <v>1264</v>
      </c>
      <c r="I1279" s="99" t="s">
        <v>1979</v>
      </c>
      <c r="J1279" s="194"/>
      <c r="K1279" s="177">
        <v>44927.0</v>
      </c>
      <c r="L1279" s="206" t="b">
        <v>0</v>
      </c>
    </row>
    <row r="1280">
      <c r="A1280" s="4" t="s">
        <v>695</v>
      </c>
      <c r="B1280" s="170" t="s">
        <v>1986</v>
      </c>
      <c r="C1280" s="171">
        <v>175.0</v>
      </c>
      <c r="D1280" s="203">
        <v>44957.0</v>
      </c>
      <c r="E1280" s="170">
        <v>15.0</v>
      </c>
      <c r="F1280" s="207">
        <v>2023.01</v>
      </c>
      <c r="G1280" s="207" t="s">
        <v>52</v>
      </c>
      <c r="H1280" s="170" t="s">
        <v>1264</v>
      </c>
      <c r="I1280" s="170" t="s">
        <v>1979</v>
      </c>
      <c r="J1280" s="195"/>
      <c r="K1280" s="173">
        <v>44927.0</v>
      </c>
      <c r="L1280" s="204" t="b">
        <v>0</v>
      </c>
    </row>
    <row r="1281">
      <c r="A1281" s="16" t="s">
        <v>92</v>
      </c>
      <c r="B1281" s="99" t="s">
        <v>1980</v>
      </c>
      <c r="C1281" s="174">
        <v>275.0</v>
      </c>
      <c r="D1281" s="205">
        <v>44957.0</v>
      </c>
      <c r="E1281" s="99">
        <v>119.0</v>
      </c>
      <c r="F1281" s="208">
        <v>2023.01</v>
      </c>
      <c r="G1281" s="208" t="s">
        <v>52</v>
      </c>
      <c r="H1281" s="99" t="s">
        <v>1264</v>
      </c>
      <c r="I1281" s="99" t="s">
        <v>1979</v>
      </c>
      <c r="J1281" s="194"/>
      <c r="K1281" s="177">
        <v>44927.0</v>
      </c>
      <c r="L1281" s="206" t="b">
        <v>0</v>
      </c>
    </row>
    <row r="1282">
      <c r="A1282" s="4" t="s">
        <v>88</v>
      </c>
      <c r="B1282" s="170" t="s">
        <v>1980</v>
      </c>
      <c r="C1282" s="171">
        <v>45.0</v>
      </c>
      <c r="D1282" s="203">
        <v>44957.0</v>
      </c>
      <c r="E1282" s="170">
        <v>119.0</v>
      </c>
      <c r="F1282" s="207">
        <v>2023.01</v>
      </c>
      <c r="G1282" s="207" t="s">
        <v>52</v>
      </c>
      <c r="H1282" s="170" t="s">
        <v>1264</v>
      </c>
      <c r="I1282" s="170" t="s">
        <v>1979</v>
      </c>
      <c r="J1282" s="195"/>
      <c r="K1282" s="173">
        <v>44927.0</v>
      </c>
      <c r="L1282" s="204" t="b">
        <v>0</v>
      </c>
    </row>
    <row r="1283">
      <c r="A1283" s="16" t="s">
        <v>97</v>
      </c>
      <c r="B1283" s="99" t="s">
        <v>1980</v>
      </c>
      <c r="C1283" s="174">
        <v>30.0</v>
      </c>
      <c r="D1283" s="205">
        <v>44957.0</v>
      </c>
      <c r="E1283" s="99">
        <v>119.0</v>
      </c>
      <c r="F1283" s="208">
        <v>2023.01</v>
      </c>
      <c r="G1283" s="208" t="s">
        <v>52</v>
      </c>
      <c r="H1283" s="99" t="s">
        <v>1264</v>
      </c>
      <c r="I1283" s="99" t="s">
        <v>1979</v>
      </c>
      <c r="J1283" s="194"/>
      <c r="K1283" s="177">
        <v>44927.0</v>
      </c>
      <c r="L1283" s="206" t="b">
        <v>0</v>
      </c>
    </row>
    <row r="1284">
      <c r="A1284" s="4" t="s">
        <v>82</v>
      </c>
      <c r="B1284" s="170" t="s">
        <v>1980</v>
      </c>
      <c r="C1284" s="171">
        <v>75.0</v>
      </c>
      <c r="D1284" s="203">
        <v>44957.0</v>
      </c>
      <c r="E1284" s="170">
        <v>119.0</v>
      </c>
      <c r="F1284" s="207">
        <v>2023.01</v>
      </c>
      <c r="G1284" s="207" t="s">
        <v>52</v>
      </c>
      <c r="H1284" s="170" t="s">
        <v>1264</v>
      </c>
      <c r="I1284" s="170" t="s">
        <v>1979</v>
      </c>
      <c r="J1284" s="195"/>
      <c r="K1284" s="173">
        <v>44927.0</v>
      </c>
      <c r="L1284" s="204" t="b">
        <v>0</v>
      </c>
    </row>
    <row r="1285">
      <c r="A1285" s="16" t="s">
        <v>99</v>
      </c>
      <c r="B1285" s="99" t="s">
        <v>1980</v>
      </c>
      <c r="C1285" s="174">
        <v>220.0</v>
      </c>
      <c r="D1285" s="205">
        <v>44957.0</v>
      </c>
      <c r="E1285" s="99">
        <v>119.0</v>
      </c>
      <c r="F1285" s="208">
        <v>2023.01</v>
      </c>
      <c r="G1285" s="208" t="s">
        <v>52</v>
      </c>
      <c r="H1285" s="99" t="s">
        <v>1264</v>
      </c>
      <c r="I1285" s="99" t="s">
        <v>1979</v>
      </c>
      <c r="J1285" s="194"/>
      <c r="K1285" s="177">
        <v>44927.0</v>
      </c>
      <c r="L1285" s="206" t="b">
        <v>0</v>
      </c>
    </row>
    <row r="1286">
      <c r="A1286" s="4" t="s">
        <v>42</v>
      </c>
      <c r="B1286" s="170" t="s">
        <v>1980</v>
      </c>
      <c r="C1286" s="171">
        <v>285.0</v>
      </c>
      <c r="D1286" s="203">
        <v>44957.0</v>
      </c>
      <c r="E1286" s="170">
        <v>119.0</v>
      </c>
      <c r="F1286" s="207">
        <v>2023.01</v>
      </c>
      <c r="G1286" s="207" t="s">
        <v>52</v>
      </c>
      <c r="H1286" s="170" t="s">
        <v>1264</v>
      </c>
      <c r="I1286" s="170" t="s">
        <v>1979</v>
      </c>
      <c r="J1286" s="195"/>
      <c r="K1286" s="173">
        <v>44927.0</v>
      </c>
      <c r="L1286" s="204" t="b">
        <v>0</v>
      </c>
    </row>
    <row r="1287">
      <c r="A1287" s="16" t="s">
        <v>123</v>
      </c>
      <c r="B1287" s="99" t="s">
        <v>1980</v>
      </c>
      <c r="C1287" s="174">
        <v>300.0</v>
      </c>
      <c r="D1287" s="205">
        <v>44957.0</v>
      </c>
      <c r="E1287" s="99">
        <v>119.0</v>
      </c>
      <c r="F1287" s="208">
        <v>2023.01</v>
      </c>
      <c r="G1287" s="208" t="s">
        <v>52</v>
      </c>
      <c r="H1287" s="99" t="s">
        <v>1264</v>
      </c>
      <c r="I1287" s="99" t="s">
        <v>1979</v>
      </c>
      <c r="J1287" s="194"/>
      <c r="K1287" s="177">
        <v>44927.0</v>
      </c>
      <c r="L1287" s="206" t="b">
        <v>0</v>
      </c>
    </row>
    <row r="1288">
      <c r="A1288" s="4" t="s">
        <v>73</v>
      </c>
      <c r="B1288" s="170" t="s">
        <v>1980</v>
      </c>
      <c r="C1288" s="171">
        <v>60.0</v>
      </c>
      <c r="D1288" s="203">
        <v>44957.0</v>
      </c>
      <c r="E1288" s="170">
        <v>119.0</v>
      </c>
      <c r="F1288" s="207">
        <v>2023.01</v>
      </c>
      <c r="G1288" s="207" t="s">
        <v>52</v>
      </c>
      <c r="H1288" s="170" t="s">
        <v>1264</v>
      </c>
      <c r="I1288" s="170" t="s">
        <v>1979</v>
      </c>
      <c r="J1288" s="195"/>
      <c r="K1288" s="173">
        <v>44927.0</v>
      </c>
      <c r="L1288" s="204" t="b">
        <v>0</v>
      </c>
    </row>
    <row r="1289">
      <c r="A1289" s="16" t="s">
        <v>50</v>
      </c>
      <c r="B1289" s="99" t="s">
        <v>1980</v>
      </c>
      <c r="C1289" s="174">
        <v>30.0</v>
      </c>
      <c r="D1289" s="205">
        <v>44957.0</v>
      </c>
      <c r="E1289" s="99">
        <v>119.0</v>
      </c>
      <c r="F1289" s="208">
        <v>2023.01</v>
      </c>
      <c r="G1289" s="208" t="s">
        <v>52</v>
      </c>
      <c r="H1289" s="99" t="s">
        <v>1264</v>
      </c>
      <c r="I1289" s="99" t="s">
        <v>1979</v>
      </c>
      <c r="J1289" s="194"/>
      <c r="K1289" s="177">
        <v>44927.0</v>
      </c>
      <c r="L1289" s="206" t="b">
        <v>0</v>
      </c>
    </row>
    <row r="1290">
      <c r="A1290" s="4" t="s">
        <v>62</v>
      </c>
      <c r="B1290" s="170" t="s">
        <v>1980</v>
      </c>
      <c r="C1290" s="171">
        <v>300.0</v>
      </c>
      <c r="D1290" s="203">
        <v>44957.0</v>
      </c>
      <c r="E1290" s="170">
        <v>119.0</v>
      </c>
      <c r="F1290" s="207">
        <v>2023.01</v>
      </c>
      <c r="G1290" s="207" t="s">
        <v>52</v>
      </c>
      <c r="H1290" s="170" t="s">
        <v>1264</v>
      </c>
      <c r="I1290" s="170" t="s">
        <v>1979</v>
      </c>
      <c r="J1290" s="195"/>
      <c r="K1290" s="173">
        <v>44927.0</v>
      </c>
      <c r="L1290" s="204" t="b">
        <v>0</v>
      </c>
    </row>
    <row r="1291">
      <c r="A1291" s="16" t="s">
        <v>223</v>
      </c>
      <c r="B1291" s="99" t="s">
        <v>1980</v>
      </c>
      <c r="C1291" s="174">
        <v>75.0</v>
      </c>
      <c r="D1291" s="205">
        <v>44957.0</v>
      </c>
      <c r="E1291" s="99">
        <v>119.0</v>
      </c>
      <c r="F1291" s="208">
        <v>2023.01</v>
      </c>
      <c r="G1291" s="208" t="s">
        <v>52</v>
      </c>
      <c r="H1291" s="99" t="s">
        <v>1264</v>
      </c>
      <c r="I1291" s="99" t="s">
        <v>1979</v>
      </c>
      <c r="J1291" s="194"/>
      <c r="K1291" s="177">
        <v>44927.0</v>
      </c>
      <c r="L1291" s="206" t="b">
        <v>0</v>
      </c>
    </row>
    <row r="1292">
      <c r="A1292" s="4" t="s">
        <v>225</v>
      </c>
      <c r="B1292" s="170" t="s">
        <v>1980</v>
      </c>
      <c r="C1292" s="171">
        <v>1860.0</v>
      </c>
      <c r="D1292" s="203">
        <v>44957.0</v>
      </c>
      <c r="E1292" s="170">
        <v>119.0</v>
      </c>
      <c r="F1292" s="207">
        <v>2023.01</v>
      </c>
      <c r="G1292" s="207" t="s">
        <v>52</v>
      </c>
      <c r="H1292" s="170" t="s">
        <v>1264</v>
      </c>
      <c r="I1292" s="170" t="s">
        <v>1979</v>
      </c>
      <c r="J1292" s="195"/>
      <c r="K1292" s="173">
        <v>44927.0</v>
      </c>
      <c r="L1292" s="204" t="b">
        <v>0</v>
      </c>
    </row>
    <row r="1293">
      <c r="A1293" s="16" t="s">
        <v>66</v>
      </c>
      <c r="B1293" s="99" t="s">
        <v>1980</v>
      </c>
      <c r="C1293" s="174">
        <v>60.0</v>
      </c>
      <c r="D1293" s="205">
        <v>44957.0</v>
      </c>
      <c r="E1293" s="99">
        <v>119.0</v>
      </c>
      <c r="F1293" s="208">
        <v>2023.01</v>
      </c>
      <c r="G1293" s="208" t="s">
        <v>52</v>
      </c>
      <c r="H1293" s="99" t="s">
        <v>1264</v>
      </c>
      <c r="I1293" s="99" t="s">
        <v>1979</v>
      </c>
      <c r="J1293" s="194"/>
      <c r="K1293" s="177">
        <v>44927.0</v>
      </c>
      <c r="L1293" s="206" t="b">
        <v>0</v>
      </c>
    </row>
    <row r="1294">
      <c r="A1294" s="4" t="s">
        <v>695</v>
      </c>
      <c r="B1294" s="170" t="s">
        <v>1980</v>
      </c>
      <c r="C1294" s="171">
        <v>45.0</v>
      </c>
      <c r="D1294" s="203">
        <v>44957.0</v>
      </c>
      <c r="E1294" s="170">
        <v>119.0</v>
      </c>
      <c r="F1294" s="207">
        <v>2023.01</v>
      </c>
      <c r="G1294" s="207" t="s">
        <v>52</v>
      </c>
      <c r="H1294" s="170" t="s">
        <v>1264</v>
      </c>
      <c r="I1294" s="170" t="s">
        <v>1979</v>
      </c>
      <c r="J1294" s="195"/>
      <c r="K1294" s="173">
        <v>44927.0</v>
      </c>
      <c r="L1294" s="204" t="b">
        <v>0</v>
      </c>
    </row>
    <row r="1295">
      <c r="A1295" s="16" t="s">
        <v>499</v>
      </c>
      <c r="B1295" s="99" t="s">
        <v>1980</v>
      </c>
      <c r="C1295" s="174">
        <v>100.0</v>
      </c>
      <c r="D1295" s="205">
        <v>44957.0</v>
      </c>
      <c r="E1295" s="99">
        <v>119.0</v>
      </c>
      <c r="F1295" s="208">
        <v>2023.01</v>
      </c>
      <c r="G1295" s="208" t="s">
        <v>52</v>
      </c>
      <c r="H1295" s="99" t="s">
        <v>1264</v>
      </c>
      <c r="I1295" s="99" t="s">
        <v>1979</v>
      </c>
      <c r="J1295" s="194"/>
      <c r="K1295" s="177">
        <v>44927.0</v>
      </c>
      <c r="L1295" s="206" t="b">
        <v>0</v>
      </c>
    </row>
    <row r="1296">
      <c r="A1296" s="4" t="s">
        <v>810</v>
      </c>
      <c r="B1296" s="170" t="s">
        <v>1980</v>
      </c>
      <c r="C1296" s="171">
        <v>60.0</v>
      </c>
      <c r="D1296" s="203">
        <v>44957.0</v>
      </c>
      <c r="E1296" s="170">
        <v>119.0</v>
      </c>
      <c r="F1296" s="207">
        <v>2023.01</v>
      </c>
      <c r="G1296" s="207" t="s">
        <v>52</v>
      </c>
      <c r="H1296" s="170" t="s">
        <v>1264</v>
      </c>
      <c r="I1296" s="170" t="s">
        <v>1979</v>
      </c>
      <c r="J1296" s="195"/>
      <c r="K1296" s="173">
        <v>44927.0</v>
      </c>
      <c r="L1296" s="204" t="b">
        <v>0</v>
      </c>
    </row>
    <row r="1297">
      <c r="A1297" s="16" t="s">
        <v>481</v>
      </c>
      <c r="B1297" s="99" t="s">
        <v>1980</v>
      </c>
      <c r="C1297" s="96">
        <f>212.5+45</f>
        <v>257.5</v>
      </c>
      <c r="D1297" s="205">
        <v>44957.0</v>
      </c>
      <c r="E1297" s="99">
        <v>119.0</v>
      </c>
      <c r="F1297" s="208">
        <v>2023.0</v>
      </c>
      <c r="G1297" s="208" t="s">
        <v>1160</v>
      </c>
      <c r="H1297" s="99" t="s">
        <v>1264</v>
      </c>
      <c r="I1297" s="99" t="s">
        <v>1979</v>
      </c>
      <c r="J1297" s="194"/>
      <c r="K1297" s="177">
        <v>44927.0</v>
      </c>
      <c r="L1297" s="206" t="b">
        <v>0</v>
      </c>
    </row>
    <row r="1298">
      <c r="A1298" s="4" t="s">
        <v>676</v>
      </c>
      <c r="B1298" s="170" t="s">
        <v>1980</v>
      </c>
      <c r="C1298" s="171">
        <v>180.0</v>
      </c>
      <c r="D1298" s="203">
        <v>44957.0</v>
      </c>
      <c r="E1298" s="170">
        <v>119.0</v>
      </c>
      <c r="F1298" s="207">
        <v>2023.0</v>
      </c>
      <c r="G1298" s="207" t="s">
        <v>1160</v>
      </c>
      <c r="H1298" s="170" t="s">
        <v>1264</v>
      </c>
      <c r="I1298" s="170" t="s">
        <v>1979</v>
      </c>
      <c r="J1298" s="195"/>
      <c r="K1298" s="173">
        <v>44927.0</v>
      </c>
      <c r="L1298" s="204" t="b">
        <v>0</v>
      </c>
    </row>
    <row r="1299">
      <c r="A1299" s="16" t="s">
        <v>762</v>
      </c>
      <c r="B1299" s="99" t="s">
        <v>1980</v>
      </c>
      <c r="C1299" s="96">
        <f>262.5+60</f>
        <v>322.5</v>
      </c>
      <c r="D1299" s="205">
        <v>44957.0</v>
      </c>
      <c r="E1299" s="99">
        <v>119.0</v>
      </c>
      <c r="F1299" s="208">
        <v>2023.01</v>
      </c>
      <c r="G1299" s="208" t="s">
        <v>52</v>
      </c>
      <c r="H1299" s="99" t="s">
        <v>1264</v>
      </c>
      <c r="I1299" s="99" t="s">
        <v>1979</v>
      </c>
      <c r="J1299" s="194"/>
      <c r="K1299" s="177">
        <v>44927.0</v>
      </c>
      <c r="L1299" s="206" t="b">
        <v>0</v>
      </c>
    </row>
    <row r="1300">
      <c r="A1300" s="4" t="s">
        <v>740</v>
      </c>
      <c r="B1300" s="170" t="s">
        <v>1980</v>
      </c>
      <c r="C1300" s="171">
        <v>425.0</v>
      </c>
      <c r="D1300" s="203">
        <v>44957.0</v>
      </c>
      <c r="E1300" s="170">
        <v>119.0</v>
      </c>
      <c r="F1300" s="207">
        <v>2023.0</v>
      </c>
      <c r="G1300" s="207" t="s">
        <v>1160</v>
      </c>
      <c r="H1300" s="170" t="s">
        <v>1264</v>
      </c>
      <c r="I1300" s="170" t="s">
        <v>1979</v>
      </c>
      <c r="J1300" s="195"/>
      <c r="K1300" s="173">
        <v>44927.0</v>
      </c>
      <c r="L1300" s="204" t="b">
        <v>0</v>
      </c>
    </row>
    <row r="1301">
      <c r="A1301" s="16" t="s">
        <v>788</v>
      </c>
      <c r="B1301" s="99" t="s">
        <v>1980</v>
      </c>
      <c r="C1301" s="174">
        <v>200.0</v>
      </c>
      <c r="D1301" s="205">
        <v>44957.0</v>
      </c>
      <c r="E1301" s="99">
        <v>119.0</v>
      </c>
      <c r="F1301" s="208">
        <v>2023.01</v>
      </c>
      <c r="G1301" s="208" t="s">
        <v>52</v>
      </c>
      <c r="H1301" s="99" t="s">
        <v>1264</v>
      </c>
      <c r="I1301" s="99" t="s">
        <v>1979</v>
      </c>
      <c r="J1301" s="194"/>
      <c r="K1301" s="177">
        <v>44927.0</v>
      </c>
      <c r="L1301" s="206" t="b">
        <v>0</v>
      </c>
    </row>
    <row r="1302">
      <c r="A1302" s="4" t="s">
        <v>737</v>
      </c>
      <c r="B1302" s="170" t="s">
        <v>1980</v>
      </c>
      <c r="C1302" s="171">
        <v>100.0</v>
      </c>
      <c r="D1302" s="203">
        <v>44957.0</v>
      </c>
      <c r="E1302" s="170">
        <v>119.0</v>
      </c>
      <c r="F1302" s="207">
        <v>2023.0</v>
      </c>
      <c r="G1302" s="207" t="s">
        <v>1160</v>
      </c>
      <c r="H1302" s="170" t="s">
        <v>1264</v>
      </c>
      <c r="I1302" s="170" t="s">
        <v>1979</v>
      </c>
      <c r="J1302" s="195"/>
      <c r="K1302" s="173">
        <v>44927.0</v>
      </c>
      <c r="L1302" s="204" t="b">
        <v>0</v>
      </c>
    </row>
    <row r="1303">
      <c r="A1303" s="16" t="s">
        <v>1269</v>
      </c>
      <c r="B1303" s="99" t="s">
        <v>1980</v>
      </c>
      <c r="C1303" s="174">
        <v>250.0</v>
      </c>
      <c r="D1303" s="205">
        <v>44957.0</v>
      </c>
      <c r="E1303" s="99">
        <v>119.0</v>
      </c>
      <c r="F1303" s="208">
        <v>2023.0</v>
      </c>
      <c r="G1303" s="208" t="s">
        <v>1152</v>
      </c>
      <c r="H1303" s="99" t="s">
        <v>1264</v>
      </c>
      <c r="I1303" s="99" t="s">
        <v>1270</v>
      </c>
      <c r="J1303" s="81" t="s">
        <v>2115</v>
      </c>
      <c r="K1303" s="177">
        <v>44927.0</v>
      </c>
      <c r="L1303" s="206" t="b">
        <v>0</v>
      </c>
    </row>
    <row r="1304">
      <c r="A1304" s="4" t="s">
        <v>99</v>
      </c>
      <c r="B1304" s="170" t="s">
        <v>2036</v>
      </c>
      <c r="C1304" s="171">
        <v>387.5</v>
      </c>
      <c r="D1304" s="172">
        <v>44957.0</v>
      </c>
      <c r="E1304" s="188">
        <v>44927.0</v>
      </c>
      <c r="F1304" s="207">
        <v>2023.01</v>
      </c>
      <c r="G1304" s="207" t="s">
        <v>52</v>
      </c>
      <c r="H1304" s="170" t="s">
        <v>1264</v>
      </c>
      <c r="I1304" s="170" t="s">
        <v>1979</v>
      </c>
      <c r="J1304" s="195"/>
      <c r="K1304" s="173">
        <v>44927.0</v>
      </c>
      <c r="L1304" s="204" t="b">
        <v>0</v>
      </c>
    </row>
    <row r="1305">
      <c r="A1305" s="16" t="s">
        <v>42</v>
      </c>
      <c r="B1305" s="99" t="s">
        <v>2036</v>
      </c>
      <c r="C1305" s="174">
        <v>212.5</v>
      </c>
      <c r="D1305" s="175">
        <v>44957.0</v>
      </c>
      <c r="E1305" s="189">
        <v>44927.0</v>
      </c>
      <c r="F1305" s="208">
        <v>2023.01</v>
      </c>
      <c r="G1305" s="208" t="s">
        <v>52</v>
      </c>
      <c r="H1305" s="99" t="s">
        <v>1264</v>
      </c>
      <c r="I1305" s="99" t="s">
        <v>1979</v>
      </c>
      <c r="J1305" s="194"/>
      <c r="K1305" s="177">
        <v>44927.0</v>
      </c>
      <c r="L1305" s="206" t="b">
        <v>0</v>
      </c>
    </row>
    <row r="1306">
      <c r="A1306" s="4" t="s">
        <v>499</v>
      </c>
      <c r="B1306" s="170" t="s">
        <v>2036</v>
      </c>
      <c r="C1306" s="171">
        <v>150.0</v>
      </c>
      <c r="D1306" s="172">
        <v>44957.0</v>
      </c>
      <c r="E1306" s="188">
        <v>44927.0</v>
      </c>
      <c r="F1306" s="207">
        <v>2023.01</v>
      </c>
      <c r="G1306" s="207" t="s">
        <v>52</v>
      </c>
      <c r="H1306" s="170" t="s">
        <v>1264</v>
      </c>
      <c r="I1306" s="170" t="s">
        <v>1979</v>
      </c>
      <c r="J1306" s="195"/>
      <c r="K1306" s="173">
        <v>44927.0</v>
      </c>
      <c r="L1306" s="204" t="b">
        <v>0</v>
      </c>
    </row>
    <row r="1307">
      <c r="A1307" s="16" t="s">
        <v>662</v>
      </c>
      <c r="B1307" s="99" t="s">
        <v>2036</v>
      </c>
      <c r="C1307" s="174">
        <v>550.0</v>
      </c>
      <c r="D1307" s="175">
        <v>44957.0</v>
      </c>
      <c r="E1307" s="189">
        <v>44927.0</v>
      </c>
      <c r="F1307" s="208">
        <v>2023.01</v>
      </c>
      <c r="G1307" s="208" t="s">
        <v>52</v>
      </c>
      <c r="H1307" s="99" t="s">
        <v>1264</v>
      </c>
      <c r="I1307" s="99" t="s">
        <v>1979</v>
      </c>
      <c r="J1307" s="194"/>
      <c r="K1307" s="177">
        <v>44927.0</v>
      </c>
      <c r="L1307" s="206" t="b">
        <v>0</v>
      </c>
    </row>
    <row r="1308">
      <c r="A1308" s="4" t="s">
        <v>102</v>
      </c>
      <c r="B1308" s="170" t="s">
        <v>1987</v>
      </c>
      <c r="C1308" s="171">
        <v>150.0</v>
      </c>
      <c r="D1308" s="172">
        <v>44957.0</v>
      </c>
      <c r="E1308" s="170">
        <v>1029.0</v>
      </c>
      <c r="F1308" s="207">
        <v>2023.01</v>
      </c>
      <c r="G1308" s="207" t="s">
        <v>52</v>
      </c>
      <c r="H1308" s="170" t="s">
        <v>1264</v>
      </c>
      <c r="I1308" s="170" t="s">
        <v>1979</v>
      </c>
      <c r="J1308" s="195"/>
      <c r="K1308" s="173">
        <v>44927.0</v>
      </c>
      <c r="L1308" s="204" t="b">
        <v>0</v>
      </c>
    </row>
    <row r="1309">
      <c r="A1309" s="16" t="s">
        <v>115</v>
      </c>
      <c r="B1309" s="99" t="s">
        <v>1982</v>
      </c>
      <c r="C1309" s="174">
        <v>62.5</v>
      </c>
      <c r="D1309" s="175">
        <v>44957.0</v>
      </c>
      <c r="E1309" s="99" t="s">
        <v>2116</v>
      </c>
      <c r="F1309" s="208">
        <v>2023.01</v>
      </c>
      <c r="G1309" s="208" t="s">
        <v>52</v>
      </c>
      <c r="H1309" s="99" t="s">
        <v>1264</v>
      </c>
      <c r="I1309" s="99" t="s">
        <v>1979</v>
      </c>
      <c r="J1309" s="194"/>
      <c r="K1309" s="177">
        <v>44927.0</v>
      </c>
      <c r="L1309" s="206" t="b">
        <v>0</v>
      </c>
    </row>
    <row r="1310">
      <c r="A1310" s="4" t="s">
        <v>118</v>
      </c>
      <c r="B1310" s="170" t="s">
        <v>1982</v>
      </c>
      <c r="C1310" s="171">
        <v>662.5</v>
      </c>
      <c r="D1310" s="172">
        <v>44957.0</v>
      </c>
      <c r="E1310" s="170" t="s">
        <v>2116</v>
      </c>
      <c r="F1310" s="207">
        <v>2023.01</v>
      </c>
      <c r="G1310" s="207" t="s">
        <v>52</v>
      </c>
      <c r="H1310" s="170" t="s">
        <v>1264</v>
      </c>
      <c r="I1310" s="170" t="s">
        <v>1979</v>
      </c>
      <c r="J1310" s="195"/>
      <c r="K1310" s="173">
        <v>44927.0</v>
      </c>
      <c r="L1310" s="204" t="b">
        <v>0</v>
      </c>
    </row>
    <row r="1311">
      <c r="A1311" s="16" t="s">
        <v>92</v>
      </c>
      <c r="B1311" s="99" t="s">
        <v>1982</v>
      </c>
      <c r="C1311" s="174">
        <v>562.5</v>
      </c>
      <c r="D1311" s="175">
        <v>44957.0</v>
      </c>
      <c r="E1311" s="99" t="s">
        <v>2116</v>
      </c>
      <c r="F1311" s="208">
        <v>2023.01</v>
      </c>
      <c r="G1311" s="208" t="s">
        <v>52</v>
      </c>
      <c r="H1311" s="99" t="s">
        <v>1264</v>
      </c>
      <c r="I1311" s="99" t="s">
        <v>1979</v>
      </c>
      <c r="J1311" s="194"/>
      <c r="K1311" s="177">
        <v>44927.0</v>
      </c>
      <c r="L1311" s="206" t="b">
        <v>0</v>
      </c>
    </row>
    <row r="1312">
      <c r="A1312" s="4" t="s">
        <v>84</v>
      </c>
      <c r="B1312" s="170" t="s">
        <v>1982</v>
      </c>
      <c r="C1312" s="171">
        <v>475.0</v>
      </c>
      <c r="D1312" s="172">
        <v>44957.0</v>
      </c>
      <c r="E1312" s="170" t="s">
        <v>2116</v>
      </c>
      <c r="F1312" s="207">
        <v>2023.01</v>
      </c>
      <c r="G1312" s="207" t="s">
        <v>52</v>
      </c>
      <c r="H1312" s="170" t="s">
        <v>1264</v>
      </c>
      <c r="I1312" s="170" t="s">
        <v>1979</v>
      </c>
      <c r="J1312" s="195"/>
      <c r="K1312" s="173">
        <v>44927.0</v>
      </c>
      <c r="L1312" s="204" t="b">
        <v>0</v>
      </c>
    </row>
    <row r="1313">
      <c r="A1313" s="16" t="s">
        <v>123</v>
      </c>
      <c r="B1313" s="99" t="s">
        <v>1982</v>
      </c>
      <c r="C1313" s="174">
        <v>937.5</v>
      </c>
      <c r="D1313" s="175">
        <v>44957.0</v>
      </c>
      <c r="E1313" s="99" t="s">
        <v>2116</v>
      </c>
      <c r="F1313" s="208">
        <v>2023.01</v>
      </c>
      <c r="G1313" s="208" t="s">
        <v>52</v>
      </c>
      <c r="H1313" s="99" t="s">
        <v>1264</v>
      </c>
      <c r="I1313" s="99" t="s">
        <v>1979</v>
      </c>
      <c r="J1313" s="194"/>
      <c r="K1313" s="177">
        <v>44927.0</v>
      </c>
      <c r="L1313" s="206" t="b">
        <v>0</v>
      </c>
    </row>
    <row r="1314">
      <c r="A1314" s="4" t="s">
        <v>62</v>
      </c>
      <c r="B1314" s="170" t="s">
        <v>1982</v>
      </c>
      <c r="C1314" s="171">
        <v>450.0</v>
      </c>
      <c r="D1314" s="172">
        <v>44957.0</v>
      </c>
      <c r="E1314" s="170" t="s">
        <v>2116</v>
      </c>
      <c r="F1314" s="207">
        <v>2023.01</v>
      </c>
      <c r="G1314" s="207" t="s">
        <v>52</v>
      </c>
      <c r="H1314" s="170" t="s">
        <v>1264</v>
      </c>
      <c r="I1314" s="170" t="s">
        <v>1979</v>
      </c>
      <c r="J1314" s="195"/>
      <c r="K1314" s="173">
        <v>44927.0</v>
      </c>
      <c r="L1314" s="204" t="b">
        <v>0</v>
      </c>
    </row>
    <row r="1315">
      <c r="A1315" s="16" t="s">
        <v>54</v>
      </c>
      <c r="B1315" s="99" t="s">
        <v>1985</v>
      </c>
      <c r="C1315" s="174">
        <v>337.5</v>
      </c>
      <c r="D1315" s="175">
        <v>44957.0</v>
      </c>
      <c r="E1315" s="99">
        <v>30.0</v>
      </c>
      <c r="F1315" s="208">
        <v>2023.01</v>
      </c>
      <c r="G1315" s="208" t="s">
        <v>52</v>
      </c>
      <c r="H1315" s="99" t="s">
        <v>1264</v>
      </c>
      <c r="I1315" s="99" t="s">
        <v>1979</v>
      </c>
      <c r="J1315" s="194"/>
      <c r="K1315" s="177">
        <v>44927.0</v>
      </c>
      <c r="L1315" s="206" t="b">
        <v>0</v>
      </c>
    </row>
    <row r="1316">
      <c r="A1316" s="4" t="s">
        <v>120</v>
      </c>
      <c r="B1316" s="170" t="s">
        <v>1985</v>
      </c>
      <c r="C1316" s="171">
        <v>575.0</v>
      </c>
      <c r="D1316" s="172">
        <v>44957.0</v>
      </c>
      <c r="E1316" s="170">
        <v>30.0</v>
      </c>
      <c r="F1316" s="207">
        <v>2023.01</v>
      </c>
      <c r="G1316" s="207" t="s">
        <v>52</v>
      </c>
      <c r="H1316" s="170" t="s">
        <v>1264</v>
      </c>
      <c r="I1316" s="170" t="s">
        <v>1979</v>
      </c>
      <c r="J1316" s="195"/>
      <c r="K1316" s="173">
        <v>44927.0</v>
      </c>
      <c r="L1316" s="204" t="b">
        <v>0</v>
      </c>
    </row>
    <row r="1317">
      <c r="A1317" s="16" t="s">
        <v>499</v>
      </c>
      <c r="B1317" s="99" t="s">
        <v>1985</v>
      </c>
      <c r="C1317" s="174">
        <v>262.5</v>
      </c>
      <c r="D1317" s="175">
        <v>44957.0</v>
      </c>
      <c r="E1317" s="99">
        <v>30.0</v>
      </c>
      <c r="F1317" s="208">
        <v>2023.01</v>
      </c>
      <c r="G1317" s="208" t="s">
        <v>52</v>
      </c>
      <c r="H1317" s="99" t="s">
        <v>1264</v>
      </c>
      <c r="I1317" s="99" t="s">
        <v>1979</v>
      </c>
      <c r="J1317" s="194"/>
      <c r="K1317" s="177">
        <v>44927.0</v>
      </c>
      <c r="L1317" s="206" t="b">
        <v>0</v>
      </c>
    </row>
    <row r="1318">
      <c r="A1318" s="4" t="s">
        <v>90</v>
      </c>
      <c r="B1318" s="170" t="s">
        <v>1985</v>
      </c>
      <c r="C1318" s="171">
        <v>540.0</v>
      </c>
      <c r="D1318" s="172">
        <v>44957.0</v>
      </c>
      <c r="E1318" s="170">
        <v>30.0</v>
      </c>
      <c r="F1318" s="207">
        <v>2023.01</v>
      </c>
      <c r="G1318" s="207" t="s">
        <v>52</v>
      </c>
      <c r="H1318" s="170" t="s">
        <v>1264</v>
      </c>
      <c r="I1318" s="170" t="s">
        <v>1979</v>
      </c>
      <c r="J1318" s="195"/>
      <c r="K1318" s="173">
        <v>44927.0</v>
      </c>
      <c r="L1318" s="204" t="b">
        <v>0</v>
      </c>
    </row>
    <row r="1319">
      <c r="A1319" s="16" t="s">
        <v>768</v>
      </c>
      <c r="B1319" s="99" t="s">
        <v>1985</v>
      </c>
      <c r="C1319" s="174">
        <v>1500.0</v>
      </c>
      <c r="D1319" s="175">
        <v>44957.0</v>
      </c>
      <c r="E1319" s="99">
        <v>30.0</v>
      </c>
      <c r="F1319" s="208">
        <v>2023.0</v>
      </c>
      <c r="G1319" s="208" t="s">
        <v>1160</v>
      </c>
      <c r="H1319" s="99" t="s">
        <v>1264</v>
      </c>
      <c r="I1319" s="99" t="s">
        <v>1979</v>
      </c>
      <c r="J1319" s="194"/>
      <c r="K1319" s="177">
        <v>44927.0</v>
      </c>
      <c r="L1319" s="206" t="b">
        <v>0</v>
      </c>
    </row>
    <row r="1320">
      <c r="A1320" s="4" t="s">
        <v>42</v>
      </c>
      <c r="B1320" s="170" t="s">
        <v>1985</v>
      </c>
      <c r="C1320" s="171">
        <v>200.0</v>
      </c>
      <c r="D1320" s="172">
        <v>44957.0</v>
      </c>
      <c r="E1320" s="170">
        <v>30.0</v>
      </c>
      <c r="F1320" s="207">
        <v>2023.01</v>
      </c>
      <c r="G1320" s="207" t="s">
        <v>52</v>
      </c>
      <c r="H1320" s="170" t="s">
        <v>1264</v>
      </c>
      <c r="I1320" s="170" t="s">
        <v>1979</v>
      </c>
      <c r="J1320" s="195"/>
      <c r="K1320" s="173">
        <v>44927.0</v>
      </c>
      <c r="L1320" s="204" t="b">
        <v>0</v>
      </c>
    </row>
    <row r="1321">
      <c r="A1321" s="16" t="s">
        <v>82</v>
      </c>
      <c r="B1321" s="99" t="s">
        <v>1985</v>
      </c>
      <c r="C1321" s="174">
        <v>75.0</v>
      </c>
      <c r="D1321" s="175">
        <v>44957.0</v>
      </c>
      <c r="E1321" s="99">
        <v>30.0</v>
      </c>
      <c r="F1321" s="208">
        <v>2023.01</v>
      </c>
      <c r="G1321" s="208" t="s">
        <v>52</v>
      </c>
      <c r="H1321" s="99" t="s">
        <v>1264</v>
      </c>
      <c r="I1321" s="99" t="s">
        <v>1979</v>
      </c>
      <c r="J1321" s="194"/>
      <c r="K1321" s="177">
        <v>44927.0</v>
      </c>
      <c r="L1321" s="206" t="b">
        <v>0</v>
      </c>
    </row>
    <row r="1322">
      <c r="A1322" s="4" t="s">
        <v>788</v>
      </c>
      <c r="B1322" s="170" t="s">
        <v>1985</v>
      </c>
      <c r="C1322" s="171">
        <v>200.0</v>
      </c>
      <c r="D1322" s="172">
        <v>44957.0</v>
      </c>
      <c r="E1322" s="170">
        <v>30.0</v>
      </c>
      <c r="F1322" s="207">
        <v>2023.01</v>
      </c>
      <c r="G1322" s="207" t="s">
        <v>52</v>
      </c>
      <c r="H1322" s="170" t="s">
        <v>1264</v>
      </c>
      <c r="I1322" s="170" t="s">
        <v>1979</v>
      </c>
      <c r="J1322" s="195"/>
      <c r="K1322" s="173">
        <v>44927.0</v>
      </c>
      <c r="L1322" s="204" t="b">
        <v>0</v>
      </c>
    </row>
    <row r="1323">
      <c r="A1323" s="16" t="s">
        <v>662</v>
      </c>
      <c r="B1323" s="99" t="s">
        <v>1985</v>
      </c>
      <c r="C1323" s="174">
        <v>265.0</v>
      </c>
      <c r="D1323" s="175">
        <v>44957.0</v>
      </c>
      <c r="E1323" s="99">
        <v>30.0</v>
      </c>
      <c r="F1323" s="208">
        <v>2023.01</v>
      </c>
      <c r="G1323" s="208" t="s">
        <v>52</v>
      </c>
      <c r="H1323" s="99" t="s">
        <v>1264</v>
      </c>
      <c r="I1323" s="99" t="s">
        <v>1979</v>
      </c>
      <c r="J1323" s="194"/>
      <c r="K1323" s="177">
        <v>44927.0</v>
      </c>
      <c r="L1323" s="206" t="b">
        <v>0</v>
      </c>
    </row>
    <row r="1324">
      <c r="A1324" s="4" t="s">
        <v>737</v>
      </c>
      <c r="B1324" s="170" t="s">
        <v>1985</v>
      </c>
      <c r="C1324" s="171">
        <v>30.0</v>
      </c>
      <c r="D1324" s="172">
        <v>44957.0</v>
      </c>
      <c r="E1324" s="170">
        <v>30.0</v>
      </c>
      <c r="F1324" s="207">
        <v>2023.0</v>
      </c>
      <c r="G1324" s="207" t="s">
        <v>1160</v>
      </c>
      <c r="H1324" s="170" t="s">
        <v>1264</v>
      </c>
      <c r="I1324" s="170" t="s">
        <v>1979</v>
      </c>
      <c r="J1324" s="195"/>
      <c r="K1324" s="173">
        <v>44927.0</v>
      </c>
      <c r="L1324" s="204" t="b">
        <v>0</v>
      </c>
    </row>
    <row r="1325">
      <c r="A1325" s="16" t="s">
        <v>668</v>
      </c>
      <c r="B1325" s="99" t="s">
        <v>1985</v>
      </c>
      <c r="C1325" s="174">
        <v>60.0</v>
      </c>
      <c r="D1325" s="175">
        <v>44957.0</v>
      </c>
      <c r="E1325" s="99">
        <v>30.0</v>
      </c>
      <c r="F1325" s="208">
        <v>2023.0</v>
      </c>
      <c r="G1325" s="208" t="s">
        <v>1160</v>
      </c>
      <c r="H1325" s="99" t="s">
        <v>1264</v>
      </c>
      <c r="I1325" s="99" t="s">
        <v>1979</v>
      </c>
      <c r="J1325" s="194"/>
      <c r="K1325" s="177">
        <v>44927.0</v>
      </c>
      <c r="L1325" s="206" t="b">
        <v>0</v>
      </c>
    </row>
    <row r="1326">
      <c r="A1326" s="4" t="s">
        <v>1271</v>
      </c>
      <c r="B1326" s="170" t="s">
        <v>1998</v>
      </c>
      <c r="C1326" s="171">
        <v>138.67</v>
      </c>
      <c r="D1326" s="172">
        <v>44977.0</v>
      </c>
      <c r="E1326" s="94"/>
      <c r="F1326" s="207">
        <v>2023.0</v>
      </c>
      <c r="G1326" s="207" t="s">
        <v>1152</v>
      </c>
      <c r="H1326" s="170" t="s">
        <v>1264</v>
      </c>
      <c r="I1326" s="170" t="s">
        <v>1995</v>
      </c>
      <c r="J1326" s="195"/>
      <c r="K1326" s="173">
        <v>44927.0</v>
      </c>
      <c r="L1326" s="204" t="b">
        <v>0</v>
      </c>
    </row>
    <row r="1327">
      <c r="A1327" s="16" t="s">
        <v>1271</v>
      </c>
      <c r="B1327" s="99" t="s">
        <v>1994</v>
      </c>
      <c r="C1327" s="174">
        <v>14.8</v>
      </c>
      <c r="D1327" s="175">
        <v>44977.0</v>
      </c>
      <c r="E1327" s="97"/>
      <c r="F1327" s="208">
        <v>2023.0</v>
      </c>
      <c r="G1327" s="208" t="s">
        <v>1152</v>
      </c>
      <c r="H1327" s="99" t="s">
        <v>1264</v>
      </c>
      <c r="I1327" s="99" t="s">
        <v>1995</v>
      </c>
      <c r="J1327" s="194"/>
      <c r="K1327" s="177">
        <v>44927.0</v>
      </c>
      <c r="L1327" s="206" t="b">
        <v>0</v>
      </c>
    </row>
    <row r="1328">
      <c r="A1328" s="4" t="s">
        <v>1271</v>
      </c>
      <c r="B1328" s="170" t="s">
        <v>1976</v>
      </c>
      <c r="C1328" s="171">
        <v>65.53</v>
      </c>
      <c r="D1328" s="172">
        <v>44977.0</v>
      </c>
      <c r="E1328" s="94"/>
      <c r="F1328" s="207">
        <v>2023.0</v>
      </c>
      <c r="G1328" s="207" t="s">
        <v>1152</v>
      </c>
      <c r="H1328" s="170" t="s">
        <v>1264</v>
      </c>
      <c r="I1328" s="170" t="s">
        <v>1995</v>
      </c>
      <c r="J1328" s="195"/>
      <c r="K1328" s="173">
        <v>44927.0</v>
      </c>
      <c r="L1328" s="204" t="b">
        <v>0</v>
      </c>
    </row>
    <row r="1329">
      <c r="A1329" s="16" t="s">
        <v>1271</v>
      </c>
      <c r="B1329" s="99" t="s">
        <v>2024</v>
      </c>
      <c r="C1329" s="174">
        <v>183.8</v>
      </c>
      <c r="D1329" s="175">
        <v>44977.0</v>
      </c>
      <c r="E1329" s="97"/>
      <c r="F1329" s="208">
        <v>2023.0</v>
      </c>
      <c r="G1329" s="208" t="s">
        <v>1152</v>
      </c>
      <c r="H1329" s="99" t="s">
        <v>1264</v>
      </c>
      <c r="I1329" s="99" t="s">
        <v>1995</v>
      </c>
      <c r="J1329" s="81" t="s">
        <v>2117</v>
      </c>
      <c r="K1329" s="177">
        <v>44927.0</v>
      </c>
      <c r="L1329" s="206" t="b">
        <v>0</v>
      </c>
    </row>
    <row r="1330">
      <c r="A1330" s="4" t="s">
        <v>740</v>
      </c>
      <c r="B1330" s="170" t="s">
        <v>2002</v>
      </c>
      <c r="C1330" s="171">
        <v>10.05</v>
      </c>
      <c r="D1330" s="172">
        <v>44957.0</v>
      </c>
      <c r="E1330" s="94"/>
      <c r="F1330" s="207">
        <v>2023.0</v>
      </c>
      <c r="G1330" s="207" t="s">
        <v>1160</v>
      </c>
      <c r="H1330" s="170" t="s">
        <v>1999</v>
      </c>
      <c r="I1330" s="170" t="s">
        <v>1979</v>
      </c>
      <c r="J1330" s="195"/>
      <c r="K1330" s="173">
        <v>44927.0</v>
      </c>
      <c r="L1330" s="204" t="b">
        <v>0</v>
      </c>
    </row>
    <row r="1331">
      <c r="A1331" s="16" t="s">
        <v>120</v>
      </c>
      <c r="B1331" s="99" t="s">
        <v>2002</v>
      </c>
      <c r="C1331" s="174">
        <v>117.24</v>
      </c>
      <c r="D1331" s="175">
        <v>44957.0</v>
      </c>
      <c r="E1331" s="97"/>
      <c r="F1331" s="208">
        <v>2023.01</v>
      </c>
      <c r="G1331" s="208" t="s">
        <v>52</v>
      </c>
      <c r="H1331" s="99" t="s">
        <v>1999</v>
      </c>
      <c r="I1331" s="99" t="s">
        <v>1979</v>
      </c>
      <c r="J1331" s="194"/>
      <c r="K1331" s="177">
        <v>44927.0</v>
      </c>
      <c r="L1331" s="206" t="b">
        <v>0</v>
      </c>
    </row>
    <row r="1332">
      <c r="A1332" s="4" t="s">
        <v>42</v>
      </c>
      <c r="B1332" s="170" t="s">
        <v>2002</v>
      </c>
      <c r="C1332" s="171">
        <v>117.4</v>
      </c>
      <c r="D1332" s="172">
        <v>44957.0</v>
      </c>
      <c r="E1332" s="94"/>
      <c r="F1332" s="207">
        <v>2023.01</v>
      </c>
      <c r="G1332" s="207" t="s">
        <v>52</v>
      </c>
      <c r="H1332" s="170" t="s">
        <v>1999</v>
      </c>
      <c r="I1332" s="170" t="s">
        <v>1979</v>
      </c>
      <c r="J1332" s="195"/>
      <c r="K1332" s="173">
        <v>44927.0</v>
      </c>
      <c r="L1332" s="204" t="b">
        <v>0</v>
      </c>
    </row>
    <row r="1333">
      <c r="A1333" s="16" t="s">
        <v>681</v>
      </c>
      <c r="B1333" s="99" t="s">
        <v>2002</v>
      </c>
      <c r="C1333" s="174">
        <v>145.66</v>
      </c>
      <c r="D1333" s="175">
        <v>44957.0</v>
      </c>
      <c r="E1333" s="97"/>
      <c r="F1333" s="208">
        <v>2023.0</v>
      </c>
      <c r="G1333" s="208" t="s">
        <v>1160</v>
      </c>
      <c r="H1333" s="99" t="s">
        <v>1999</v>
      </c>
      <c r="I1333" s="99" t="s">
        <v>1979</v>
      </c>
      <c r="J1333" s="194"/>
      <c r="K1333" s="177">
        <v>44927.0</v>
      </c>
      <c r="L1333" s="206" t="b">
        <v>0</v>
      </c>
    </row>
    <row r="1334">
      <c r="A1334" s="4" t="s">
        <v>1266</v>
      </c>
      <c r="B1334" s="170" t="s">
        <v>2002</v>
      </c>
      <c r="C1334" s="171">
        <v>545.13</v>
      </c>
      <c r="D1334" s="172">
        <v>44957.0</v>
      </c>
      <c r="E1334" s="94"/>
      <c r="F1334" s="207">
        <v>2023.0</v>
      </c>
      <c r="G1334" s="207" t="s">
        <v>1152</v>
      </c>
      <c r="H1334" s="170" t="s">
        <v>1999</v>
      </c>
      <c r="I1334" s="170" t="s">
        <v>1979</v>
      </c>
      <c r="J1334" s="195"/>
      <c r="K1334" s="173">
        <v>44927.0</v>
      </c>
      <c r="L1334" s="204" t="b">
        <v>0</v>
      </c>
    </row>
    <row r="1335">
      <c r="A1335" s="16" t="s">
        <v>92</v>
      </c>
      <c r="B1335" s="99" t="s">
        <v>2002</v>
      </c>
      <c r="C1335" s="174">
        <v>17.06</v>
      </c>
      <c r="D1335" s="175">
        <v>44957.0</v>
      </c>
      <c r="E1335" s="97"/>
      <c r="F1335" s="208">
        <v>2023.01</v>
      </c>
      <c r="G1335" s="208" t="s">
        <v>52</v>
      </c>
      <c r="H1335" s="99" t="s">
        <v>1999</v>
      </c>
      <c r="I1335" s="99" t="s">
        <v>1979</v>
      </c>
      <c r="J1335" s="194"/>
      <c r="K1335" s="177">
        <v>44927.0</v>
      </c>
      <c r="L1335" s="206" t="b">
        <v>0</v>
      </c>
    </row>
    <row r="1336">
      <c r="A1336" s="4" t="s">
        <v>773</v>
      </c>
      <c r="B1336" s="170" t="s">
        <v>2002</v>
      </c>
      <c r="C1336" s="171">
        <v>226.52</v>
      </c>
      <c r="D1336" s="172">
        <v>44957.0</v>
      </c>
      <c r="E1336" s="94"/>
      <c r="F1336" s="207">
        <v>2023.0</v>
      </c>
      <c r="G1336" s="207" t="s">
        <v>1160</v>
      </c>
      <c r="H1336" s="170" t="s">
        <v>1999</v>
      </c>
      <c r="I1336" s="170" t="s">
        <v>1979</v>
      </c>
      <c r="J1336" s="195"/>
      <c r="K1336" s="173">
        <v>44927.0</v>
      </c>
      <c r="L1336" s="204" t="b">
        <v>0</v>
      </c>
    </row>
    <row r="1337">
      <c r="A1337" s="16" t="s">
        <v>115</v>
      </c>
      <c r="B1337" s="99" t="s">
        <v>2002</v>
      </c>
      <c r="C1337" s="174">
        <v>32.18</v>
      </c>
      <c r="D1337" s="175">
        <v>44957.0</v>
      </c>
      <c r="E1337" s="97"/>
      <c r="F1337" s="208">
        <v>2023.01</v>
      </c>
      <c r="G1337" s="208" t="s">
        <v>52</v>
      </c>
      <c r="H1337" s="99" t="s">
        <v>1999</v>
      </c>
      <c r="I1337" s="99" t="s">
        <v>1979</v>
      </c>
      <c r="J1337" s="194"/>
      <c r="K1337" s="177">
        <v>44927.0</v>
      </c>
      <c r="L1337" s="206" t="b">
        <v>0</v>
      </c>
    </row>
    <row r="1338">
      <c r="A1338" s="4" t="s">
        <v>118</v>
      </c>
      <c r="B1338" s="170" t="s">
        <v>2002</v>
      </c>
      <c r="C1338" s="171">
        <v>5.47</v>
      </c>
      <c r="D1338" s="172">
        <v>44957.0</v>
      </c>
      <c r="E1338" s="94"/>
      <c r="F1338" s="207">
        <v>2023.01</v>
      </c>
      <c r="G1338" s="207" t="s">
        <v>52</v>
      </c>
      <c r="H1338" s="170" t="s">
        <v>1999</v>
      </c>
      <c r="I1338" s="170" t="s">
        <v>1979</v>
      </c>
      <c r="J1338" s="195"/>
      <c r="K1338" s="173">
        <v>44927.0</v>
      </c>
      <c r="L1338" s="204" t="b">
        <v>0</v>
      </c>
    </row>
    <row r="1339">
      <c r="A1339" s="16" t="s">
        <v>740</v>
      </c>
      <c r="B1339" s="99" t="s">
        <v>1976</v>
      </c>
      <c r="C1339" s="174">
        <v>257.58</v>
      </c>
      <c r="D1339" s="175">
        <v>44941.0</v>
      </c>
      <c r="E1339" s="97"/>
      <c r="F1339" s="208">
        <v>2023.0</v>
      </c>
      <c r="G1339" s="208" t="s">
        <v>1160</v>
      </c>
      <c r="H1339" s="99" t="s">
        <v>1999</v>
      </c>
      <c r="I1339" s="99" t="s">
        <v>1977</v>
      </c>
      <c r="J1339" s="194"/>
      <c r="K1339" s="177">
        <v>44927.0</v>
      </c>
      <c r="L1339" s="206" t="b">
        <v>0</v>
      </c>
    </row>
    <row r="1340">
      <c r="A1340" s="4" t="s">
        <v>118</v>
      </c>
      <c r="B1340" s="170" t="s">
        <v>1976</v>
      </c>
      <c r="C1340" s="171">
        <v>750.0</v>
      </c>
      <c r="D1340" s="172">
        <v>44946.0</v>
      </c>
      <c r="E1340" s="94"/>
      <c r="F1340" s="207">
        <v>2023.01</v>
      </c>
      <c r="G1340" s="207" t="s">
        <v>52</v>
      </c>
      <c r="H1340" s="170" t="s">
        <v>1999</v>
      </c>
      <c r="I1340" s="170" t="s">
        <v>1977</v>
      </c>
      <c r="J1340" s="195"/>
      <c r="K1340" s="173">
        <v>44927.0</v>
      </c>
      <c r="L1340" s="204" t="b">
        <v>0</v>
      </c>
    </row>
    <row r="1341">
      <c r="A1341" s="16" t="s">
        <v>1271</v>
      </c>
      <c r="B1341" s="99" t="s">
        <v>2014</v>
      </c>
      <c r="C1341" s="174">
        <v>81.16</v>
      </c>
      <c r="D1341" s="175">
        <v>44949.0</v>
      </c>
      <c r="E1341" s="97"/>
      <c r="F1341" s="208">
        <v>2023.0</v>
      </c>
      <c r="G1341" s="208" t="s">
        <v>1152</v>
      </c>
      <c r="H1341" s="99" t="s">
        <v>1999</v>
      </c>
      <c r="I1341" s="99" t="s">
        <v>1995</v>
      </c>
      <c r="J1341" s="194"/>
      <c r="K1341" s="177">
        <v>44927.0</v>
      </c>
      <c r="L1341" s="206" t="b">
        <v>0</v>
      </c>
    </row>
    <row r="1342">
      <c r="A1342" s="4" t="s">
        <v>92</v>
      </c>
      <c r="B1342" s="170" t="s">
        <v>1988</v>
      </c>
      <c r="C1342" s="171">
        <v>100.0</v>
      </c>
      <c r="D1342" s="172">
        <v>44951.0</v>
      </c>
      <c r="E1342" s="94"/>
      <c r="F1342" s="207">
        <v>2023.01</v>
      </c>
      <c r="G1342" s="207" t="s">
        <v>52</v>
      </c>
      <c r="H1342" s="170" t="s">
        <v>1999</v>
      </c>
      <c r="I1342" s="170" t="s">
        <v>1977</v>
      </c>
      <c r="J1342" s="195"/>
      <c r="K1342" s="173">
        <v>44927.0</v>
      </c>
      <c r="L1342" s="204" t="b">
        <v>0</v>
      </c>
    </row>
    <row r="1343">
      <c r="A1343" s="16" t="s">
        <v>1271</v>
      </c>
      <c r="B1343" s="99" t="s">
        <v>2000</v>
      </c>
      <c r="C1343" s="174">
        <v>492.22</v>
      </c>
      <c r="D1343" s="175">
        <v>44958.0</v>
      </c>
      <c r="E1343" s="97"/>
      <c r="F1343" s="208">
        <v>2023.0</v>
      </c>
      <c r="G1343" s="208" t="s">
        <v>1152</v>
      </c>
      <c r="H1343" s="99" t="s">
        <v>1999</v>
      </c>
      <c r="I1343" s="99" t="s">
        <v>1995</v>
      </c>
      <c r="J1343" s="194"/>
      <c r="K1343" s="177">
        <v>44927.0</v>
      </c>
      <c r="L1343" s="206" t="b">
        <v>0</v>
      </c>
    </row>
    <row r="1344">
      <c r="A1344" s="4" t="s">
        <v>115</v>
      </c>
      <c r="B1344" s="170" t="s">
        <v>1976</v>
      </c>
      <c r="C1344" s="171">
        <v>222.21</v>
      </c>
      <c r="D1344" s="172">
        <v>44958.0</v>
      </c>
      <c r="E1344" s="94"/>
      <c r="F1344" s="207">
        <v>2023.02</v>
      </c>
      <c r="G1344" s="207" t="s">
        <v>52</v>
      </c>
      <c r="H1344" s="170" t="s">
        <v>1999</v>
      </c>
      <c r="I1344" s="170" t="s">
        <v>1977</v>
      </c>
      <c r="J1344" s="195"/>
      <c r="K1344" s="173">
        <v>44927.0</v>
      </c>
      <c r="L1344" s="204" t="b">
        <v>0</v>
      </c>
    </row>
    <row r="1345">
      <c r="A1345" s="16" t="s">
        <v>118</v>
      </c>
      <c r="B1345" s="99" t="s">
        <v>1976</v>
      </c>
      <c r="C1345" s="174">
        <v>420.22</v>
      </c>
      <c r="D1345" s="175">
        <v>44958.0</v>
      </c>
      <c r="E1345" s="97"/>
      <c r="F1345" s="208">
        <v>2023.02</v>
      </c>
      <c r="G1345" s="208" t="s">
        <v>52</v>
      </c>
      <c r="H1345" s="99" t="s">
        <v>1999</v>
      </c>
      <c r="I1345" s="99" t="s">
        <v>1977</v>
      </c>
      <c r="J1345" s="194"/>
      <c r="K1345" s="177">
        <v>44927.0</v>
      </c>
      <c r="L1345" s="206" t="b">
        <v>0</v>
      </c>
    </row>
    <row r="1346">
      <c r="A1346" s="4" t="s">
        <v>740</v>
      </c>
      <c r="B1346" s="170" t="s">
        <v>1976</v>
      </c>
      <c r="C1346" s="171">
        <v>445.7</v>
      </c>
      <c r="D1346" s="172">
        <v>44958.0</v>
      </c>
      <c r="E1346" s="94"/>
      <c r="F1346" s="207">
        <v>2023.0</v>
      </c>
      <c r="G1346" s="207" t="s">
        <v>1160</v>
      </c>
      <c r="H1346" s="170" t="s">
        <v>1999</v>
      </c>
      <c r="I1346" s="170" t="s">
        <v>1977</v>
      </c>
      <c r="J1346" s="195"/>
      <c r="K1346" s="173">
        <v>44927.0</v>
      </c>
      <c r="L1346" s="204" t="b">
        <v>0</v>
      </c>
    </row>
    <row r="1347">
      <c r="A1347" s="16" t="s">
        <v>66</v>
      </c>
      <c r="B1347" s="99" t="s">
        <v>1978</v>
      </c>
      <c r="C1347" s="174">
        <v>312.5</v>
      </c>
      <c r="D1347" s="175">
        <v>44985.0</v>
      </c>
      <c r="E1347" s="189">
        <v>44958.0</v>
      </c>
      <c r="F1347" s="208">
        <v>2023.02</v>
      </c>
      <c r="G1347" s="208" t="s">
        <v>52</v>
      </c>
      <c r="H1347" s="99" t="s">
        <v>1264</v>
      </c>
      <c r="I1347" s="99" t="s">
        <v>1979</v>
      </c>
      <c r="J1347" s="194"/>
      <c r="K1347" s="177">
        <v>44958.0</v>
      </c>
      <c r="L1347" s="206" t="b">
        <v>0</v>
      </c>
    </row>
    <row r="1348">
      <c r="A1348" s="4" t="s">
        <v>97</v>
      </c>
      <c r="B1348" s="170" t="s">
        <v>1978</v>
      </c>
      <c r="C1348" s="171">
        <v>125.0</v>
      </c>
      <c r="D1348" s="172">
        <v>44985.0</v>
      </c>
      <c r="E1348" s="188">
        <v>44958.0</v>
      </c>
      <c r="F1348" s="207">
        <v>2023.02</v>
      </c>
      <c r="G1348" s="207" t="s">
        <v>52</v>
      </c>
      <c r="H1348" s="170" t="s">
        <v>1264</v>
      </c>
      <c r="I1348" s="170" t="s">
        <v>1979</v>
      </c>
      <c r="J1348" s="195"/>
      <c r="K1348" s="173">
        <v>44958.0</v>
      </c>
      <c r="L1348" s="204" t="b">
        <v>0</v>
      </c>
    </row>
    <row r="1349">
      <c r="A1349" s="16" t="s">
        <v>88</v>
      </c>
      <c r="B1349" s="99" t="s">
        <v>1978</v>
      </c>
      <c r="C1349" s="174">
        <v>212.5</v>
      </c>
      <c r="D1349" s="175">
        <v>44985.0</v>
      </c>
      <c r="E1349" s="189">
        <v>44958.0</v>
      </c>
      <c r="F1349" s="208">
        <v>2023.02</v>
      </c>
      <c r="G1349" s="208" t="s">
        <v>52</v>
      </c>
      <c r="H1349" s="99" t="s">
        <v>1264</v>
      </c>
      <c r="I1349" s="99" t="s">
        <v>1979</v>
      </c>
      <c r="J1349" s="194"/>
      <c r="K1349" s="177">
        <v>44958.0</v>
      </c>
      <c r="L1349" s="206" t="b">
        <v>0</v>
      </c>
    </row>
    <row r="1350">
      <c r="A1350" s="4" t="s">
        <v>73</v>
      </c>
      <c r="B1350" s="170" t="s">
        <v>1978</v>
      </c>
      <c r="C1350" s="171">
        <v>262.5</v>
      </c>
      <c r="D1350" s="172">
        <v>44985.0</v>
      </c>
      <c r="E1350" s="188">
        <v>44958.0</v>
      </c>
      <c r="F1350" s="207">
        <v>2023.02</v>
      </c>
      <c r="G1350" s="207" t="s">
        <v>52</v>
      </c>
      <c r="H1350" s="170" t="s">
        <v>1264</v>
      </c>
      <c r="I1350" s="170" t="s">
        <v>1979</v>
      </c>
      <c r="J1350" s="195"/>
      <c r="K1350" s="173">
        <v>44958.0</v>
      </c>
      <c r="L1350" s="204" t="b">
        <v>0</v>
      </c>
    </row>
    <row r="1351">
      <c r="A1351" s="16" t="s">
        <v>223</v>
      </c>
      <c r="B1351" s="99" t="s">
        <v>1978</v>
      </c>
      <c r="C1351" s="174">
        <f>300+200</f>
        <v>500</v>
      </c>
      <c r="D1351" s="175">
        <v>44985.0</v>
      </c>
      <c r="E1351" s="189">
        <v>44958.0</v>
      </c>
      <c r="F1351" s="208">
        <v>2023.02</v>
      </c>
      <c r="G1351" s="208" t="s">
        <v>52</v>
      </c>
      <c r="H1351" s="99" t="s">
        <v>1264</v>
      </c>
      <c r="I1351" s="99" t="s">
        <v>1979</v>
      </c>
      <c r="J1351" s="194"/>
      <c r="K1351" s="177">
        <v>44958.0</v>
      </c>
      <c r="L1351" s="206" t="b">
        <v>0</v>
      </c>
    </row>
    <row r="1352">
      <c r="A1352" s="4" t="s">
        <v>50</v>
      </c>
      <c r="B1352" s="170" t="s">
        <v>1978</v>
      </c>
      <c r="C1352" s="171">
        <v>137.5</v>
      </c>
      <c r="D1352" s="172">
        <v>44985.0</v>
      </c>
      <c r="E1352" s="188">
        <v>44958.0</v>
      </c>
      <c r="F1352" s="207">
        <v>2023.02</v>
      </c>
      <c r="G1352" s="207" t="s">
        <v>52</v>
      </c>
      <c r="H1352" s="170" t="s">
        <v>1264</v>
      </c>
      <c r="I1352" s="170" t="s">
        <v>1979</v>
      </c>
      <c r="J1352" s="195"/>
      <c r="K1352" s="173">
        <v>44958.0</v>
      </c>
      <c r="L1352" s="204" t="b">
        <v>0</v>
      </c>
    </row>
    <row r="1353">
      <c r="A1353" s="16" t="s">
        <v>810</v>
      </c>
      <c r="B1353" s="99" t="s">
        <v>1978</v>
      </c>
      <c r="C1353" s="174">
        <v>237.5</v>
      </c>
      <c r="D1353" s="175">
        <v>44985.0</v>
      </c>
      <c r="E1353" s="189">
        <v>44958.0</v>
      </c>
      <c r="F1353" s="208">
        <v>2023.02</v>
      </c>
      <c r="G1353" s="208" t="s">
        <v>52</v>
      </c>
      <c r="H1353" s="99" t="s">
        <v>1264</v>
      </c>
      <c r="I1353" s="99" t="s">
        <v>1979</v>
      </c>
      <c r="J1353" s="194"/>
      <c r="K1353" s="177">
        <v>44958.0</v>
      </c>
      <c r="L1353" s="206" t="b">
        <v>0</v>
      </c>
    </row>
    <row r="1354">
      <c r="A1354" s="4" t="s">
        <v>817</v>
      </c>
      <c r="B1354" s="170" t="s">
        <v>1978</v>
      </c>
      <c r="C1354" s="171">
        <v>1250.0</v>
      </c>
      <c r="D1354" s="172">
        <v>44985.0</v>
      </c>
      <c r="E1354" s="188">
        <v>44958.0</v>
      </c>
      <c r="F1354" s="207">
        <v>2023.02</v>
      </c>
      <c r="G1354" s="207" t="s">
        <v>52</v>
      </c>
      <c r="H1354" s="170" t="s">
        <v>1264</v>
      </c>
      <c r="I1354" s="170" t="s">
        <v>1979</v>
      </c>
      <c r="J1354" s="195"/>
      <c r="K1354" s="173">
        <v>44958.0</v>
      </c>
      <c r="L1354" s="204" t="b">
        <v>0</v>
      </c>
    </row>
    <row r="1355">
      <c r="A1355" s="16" t="s">
        <v>806</v>
      </c>
      <c r="B1355" s="99" t="s">
        <v>1986</v>
      </c>
      <c r="C1355" s="174">
        <v>87.5</v>
      </c>
      <c r="D1355" s="175">
        <v>44985.0</v>
      </c>
      <c r="E1355" s="99">
        <v>16.0</v>
      </c>
      <c r="F1355" s="208">
        <v>2023.0</v>
      </c>
      <c r="G1355" s="208" t="s">
        <v>1436</v>
      </c>
      <c r="H1355" s="99" t="s">
        <v>1264</v>
      </c>
      <c r="I1355" s="99" t="s">
        <v>1979</v>
      </c>
      <c r="J1355" s="194"/>
      <c r="K1355" s="177">
        <v>44958.0</v>
      </c>
      <c r="L1355" s="206" t="b">
        <v>0</v>
      </c>
    </row>
    <row r="1356">
      <c r="A1356" s="4" t="s">
        <v>82</v>
      </c>
      <c r="B1356" s="170" t="s">
        <v>1986</v>
      </c>
      <c r="C1356" s="171">
        <v>225.0</v>
      </c>
      <c r="D1356" s="172">
        <v>44985.0</v>
      </c>
      <c r="E1356" s="170">
        <v>16.0</v>
      </c>
      <c r="F1356" s="207">
        <v>2023.02</v>
      </c>
      <c r="G1356" s="207" t="s">
        <v>52</v>
      </c>
      <c r="H1356" s="170" t="s">
        <v>1264</v>
      </c>
      <c r="I1356" s="170" t="s">
        <v>1979</v>
      </c>
      <c r="J1356" s="195"/>
      <c r="K1356" s="173">
        <v>44958.0</v>
      </c>
      <c r="L1356" s="204" t="b">
        <v>0</v>
      </c>
    </row>
    <row r="1357">
      <c r="A1357" s="16" t="s">
        <v>92</v>
      </c>
      <c r="B1357" s="99" t="s">
        <v>1986</v>
      </c>
      <c r="C1357" s="174">
        <v>300.0</v>
      </c>
      <c r="D1357" s="175">
        <v>44985.0</v>
      </c>
      <c r="E1357" s="99">
        <v>16.0</v>
      </c>
      <c r="F1357" s="208">
        <v>2023.02</v>
      </c>
      <c r="G1357" s="208" t="s">
        <v>52</v>
      </c>
      <c r="H1357" s="99" t="s">
        <v>1264</v>
      </c>
      <c r="I1357" s="99" t="s">
        <v>1979</v>
      </c>
      <c r="J1357" s="194"/>
      <c r="K1357" s="177">
        <v>44958.0</v>
      </c>
      <c r="L1357" s="206" t="b">
        <v>0</v>
      </c>
    </row>
    <row r="1358">
      <c r="A1358" s="4" t="s">
        <v>695</v>
      </c>
      <c r="B1358" s="170" t="s">
        <v>1986</v>
      </c>
      <c r="C1358" s="171">
        <v>175.0</v>
      </c>
      <c r="D1358" s="172">
        <v>44985.0</v>
      </c>
      <c r="E1358" s="170">
        <v>16.0</v>
      </c>
      <c r="F1358" s="207">
        <v>2023.02</v>
      </c>
      <c r="G1358" s="207" t="s">
        <v>52</v>
      </c>
      <c r="H1358" s="170" t="s">
        <v>1264</v>
      </c>
      <c r="I1358" s="170" t="s">
        <v>1979</v>
      </c>
      <c r="J1358" s="195"/>
      <c r="K1358" s="173">
        <v>44958.0</v>
      </c>
      <c r="L1358" s="204" t="b">
        <v>0</v>
      </c>
    </row>
    <row r="1359">
      <c r="A1359" s="16" t="s">
        <v>795</v>
      </c>
      <c r="B1359" s="99" t="s">
        <v>1986</v>
      </c>
      <c r="C1359" s="174">
        <v>400.0</v>
      </c>
      <c r="D1359" s="175">
        <v>44985.0</v>
      </c>
      <c r="E1359" s="99">
        <v>16.0</v>
      </c>
      <c r="F1359" s="208">
        <v>2023.02</v>
      </c>
      <c r="G1359" s="208" t="s">
        <v>52</v>
      </c>
      <c r="H1359" s="99" t="s">
        <v>1264</v>
      </c>
      <c r="I1359" s="99" t="s">
        <v>1979</v>
      </c>
      <c r="J1359" s="194"/>
      <c r="K1359" s="177">
        <v>44958.0</v>
      </c>
      <c r="L1359" s="206" t="b">
        <v>0</v>
      </c>
    </row>
    <row r="1360">
      <c r="A1360" s="4" t="s">
        <v>42</v>
      </c>
      <c r="B1360" s="170" t="s">
        <v>1984</v>
      </c>
      <c r="C1360" s="171">
        <v>350.0</v>
      </c>
      <c r="D1360" s="186">
        <v>44985.0</v>
      </c>
      <c r="E1360" s="170">
        <v>1.0</v>
      </c>
      <c r="F1360" s="207">
        <v>2023.02</v>
      </c>
      <c r="G1360" s="207" t="s">
        <v>52</v>
      </c>
      <c r="H1360" s="170" t="s">
        <v>1264</v>
      </c>
      <c r="I1360" s="170" t="s">
        <v>1979</v>
      </c>
      <c r="J1360" s="195"/>
      <c r="K1360" s="173">
        <v>44958.0</v>
      </c>
      <c r="L1360" s="204" t="b">
        <v>0</v>
      </c>
    </row>
    <row r="1361">
      <c r="A1361" s="16" t="s">
        <v>99</v>
      </c>
      <c r="B1361" s="99" t="s">
        <v>2036</v>
      </c>
      <c r="C1361" s="174">
        <v>387.5</v>
      </c>
      <c r="D1361" s="187">
        <v>44985.0</v>
      </c>
      <c r="E1361" s="189">
        <v>44958.0</v>
      </c>
      <c r="F1361" s="208">
        <v>2023.02</v>
      </c>
      <c r="G1361" s="208" t="s">
        <v>52</v>
      </c>
      <c r="H1361" s="99" t="s">
        <v>1264</v>
      </c>
      <c r="I1361" s="99" t="s">
        <v>1979</v>
      </c>
      <c r="J1361" s="194"/>
      <c r="K1361" s="177">
        <v>44958.0</v>
      </c>
      <c r="L1361" s="206" t="b">
        <v>0</v>
      </c>
    </row>
    <row r="1362">
      <c r="A1362" s="4" t="s">
        <v>42</v>
      </c>
      <c r="B1362" s="170" t="s">
        <v>2036</v>
      </c>
      <c r="C1362" s="171">
        <v>162.5</v>
      </c>
      <c r="D1362" s="186">
        <v>44985.0</v>
      </c>
      <c r="E1362" s="188">
        <v>44958.0</v>
      </c>
      <c r="F1362" s="207">
        <v>2023.02</v>
      </c>
      <c r="G1362" s="207" t="s">
        <v>52</v>
      </c>
      <c r="H1362" s="170" t="s">
        <v>1264</v>
      </c>
      <c r="I1362" s="170" t="s">
        <v>1979</v>
      </c>
      <c r="J1362" s="195"/>
      <c r="K1362" s="173">
        <v>44958.0</v>
      </c>
      <c r="L1362" s="204" t="b">
        <v>0</v>
      </c>
    </row>
    <row r="1363">
      <c r="A1363" s="16" t="s">
        <v>499</v>
      </c>
      <c r="B1363" s="99" t="s">
        <v>2036</v>
      </c>
      <c r="C1363" s="174">
        <v>200.0</v>
      </c>
      <c r="D1363" s="187">
        <v>44985.0</v>
      </c>
      <c r="E1363" s="189">
        <v>44958.0</v>
      </c>
      <c r="F1363" s="208">
        <v>2023.02</v>
      </c>
      <c r="G1363" s="208" t="s">
        <v>52</v>
      </c>
      <c r="H1363" s="99" t="s">
        <v>1264</v>
      </c>
      <c r="I1363" s="99" t="s">
        <v>1979</v>
      </c>
      <c r="J1363" s="194"/>
      <c r="K1363" s="177">
        <v>44958.0</v>
      </c>
      <c r="L1363" s="206" t="b">
        <v>0</v>
      </c>
    </row>
    <row r="1364">
      <c r="A1364" s="4" t="s">
        <v>821</v>
      </c>
      <c r="B1364" s="170" t="s">
        <v>2036</v>
      </c>
      <c r="C1364" s="171">
        <v>680.0</v>
      </c>
      <c r="D1364" s="186">
        <v>44985.0</v>
      </c>
      <c r="E1364" s="188">
        <v>44958.0</v>
      </c>
      <c r="F1364" s="207">
        <v>2023.0</v>
      </c>
      <c r="G1364" s="207" t="s">
        <v>1160</v>
      </c>
      <c r="H1364" s="170" t="s">
        <v>1264</v>
      </c>
      <c r="I1364" s="170" t="s">
        <v>1979</v>
      </c>
      <c r="J1364" s="198" t="s">
        <v>2118</v>
      </c>
      <c r="K1364" s="173">
        <v>44958.0</v>
      </c>
      <c r="L1364" s="204" t="b">
        <v>0</v>
      </c>
    </row>
    <row r="1365">
      <c r="A1365" s="16" t="s">
        <v>662</v>
      </c>
      <c r="B1365" s="99" t="s">
        <v>2036</v>
      </c>
      <c r="C1365" s="174">
        <v>550.0</v>
      </c>
      <c r="D1365" s="187">
        <v>44985.0</v>
      </c>
      <c r="E1365" s="189">
        <v>44958.0</v>
      </c>
      <c r="F1365" s="208">
        <v>2023.02</v>
      </c>
      <c r="G1365" s="208" t="s">
        <v>52</v>
      </c>
      <c r="H1365" s="99" t="s">
        <v>1264</v>
      </c>
      <c r="I1365" s="99" t="s">
        <v>1979</v>
      </c>
      <c r="J1365" s="194"/>
      <c r="K1365" s="177">
        <v>44958.0</v>
      </c>
      <c r="L1365" s="206" t="b">
        <v>0</v>
      </c>
    </row>
    <row r="1366">
      <c r="A1366" s="4" t="s">
        <v>102</v>
      </c>
      <c r="B1366" s="170" t="s">
        <v>1987</v>
      </c>
      <c r="C1366" s="171">
        <v>150.0</v>
      </c>
      <c r="D1366" s="186">
        <v>44985.0</v>
      </c>
      <c r="E1366" s="170">
        <v>1030.0</v>
      </c>
      <c r="F1366" s="207">
        <v>2023.02</v>
      </c>
      <c r="G1366" s="207" t="s">
        <v>52</v>
      </c>
      <c r="H1366" s="170" t="s">
        <v>1264</v>
      </c>
      <c r="I1366" s="170" t="s">
        <v>1979</v>
      </c>
      <c r="J1366" s="195"/>
      <c r="K1366" s="173">
        <v>44958.0</v>
      </c>
      <c r="L1366" s="204" t="b">
        <v>0</v>
      </c>
    </row>
    <row r="1367">
      <c r="A1367" s="16" t="s">
        <v>115</v>
      </c>
      <c r="B1367" s="99" t="s">
        <v>1982</v>
      </c>
      <c r="C1367" s="174">
        <v>662.5</v>
      </c>
      <c r="D1367" s="187">
        <v>44985.0</v>
      </c>
      <c r="E1367" s="99" t="s">
        <v>2119</v>
      </c>
      <c r="F1367" s="208">
        <v>2023.02</v>
      </c>
      <c r="G1367" s="208" t="s">
        <v>52</v>
      </c>
      <c r="H1367" s="99" t="s">
        <v>1264</v>
      </c>
      <c r="I1367" s="99" t="s">
        <v>1979</v>
      </c>
      <c r="J1367" s="81"/>
      <c r="K1367" s="177">
        <v>44958.0</v>
      </c>
      <c r="L1367" s="206" t="b">
        <v>0</v>
      </c>
    </row>
    <row r="1368">
      <c r="A1368" s="4" t="s">
        <v>118</v>
      </c>
      <c r="B1368" s="170" t="s">
        <v>1982</v>
      </c>
      <c r="C1368" s="171">
        <v>662.5</v>
      </c>
      <c r="D1368" s="186">
        <v>44985.0</v>
      </c>
      <c r="E1368" s="170" t="s">
        <v>2119</v>
      </c>
      <c r="F1368" s="207">
        <v>2023.02</v>
      </c>
      <c r="G1368" s="207" t="s">
        <v>52</v>
      </c>
      <c r="H1368" s="170" t="s">
        <v>1264</v>
      </c>
      <c r="I1368" s="170" t="s">
        <v>1979</v>
      </c>
      <c r="J1368" s="195"/>
      <c r="K1368" s="173">
        <v>44958.0</v>
      </c>
      <c r="L1368" s="204" t="b">
        <v>0</v>
      </c>
    </row>
    <row r="1369">
      <c r="A1369" s="16" t="s">
        <v>92</v>
      </c>
      <c r="B1369" s="99" t="s">
        <v>1982</v>
      </c>
      <c r="C1369" s="174">
        <v>562.5</v>
      </c>
      <c r="D1369" s="187">
        <v>44985.0</v>
      </c>
      <c r="E1369" s="99" t="s">
        <v>2119</v>
      </c>
      <c r="F1369" s="208">
        <v>2023.02</v>
      </c>
      <c r="G1369" s="208" t="s">
        <v>52</v>
      </c>
      <c r="H1369" s="99" t="s">
        <v>1264</v>
      </c>
      <c r="I1369" s="99" t="s">
        <v>1979</v>
      </c>
      <c r="J1369" s="194"/>
      <c r="K1369" s="177">
        <v>44958.0</v>
      </c>
      <c r="L1369" s="206" t="b">
        <v>0</v>
      </c>
    </row>
    <row r="1370">
      <c r="A1370" s="4" t="s">
        <v>84</v>
      </c>
      <c r="B1370" s="170" t="s">
        <v>1982</v>
      </c>
      <c r="C1370" s="171">
        <v>475.0</v>
      </c>
      <c r="D1370" s="186">
        <v>44985.0</v>
      </c>
      <c r="E1370" s="170" t="s">
        <v>2119</v>
      </c>
      <c r="F1370" s="207">
        <v>2023.02</v>
      </c>
      <c r="G1370" s="207" t="s">
        <v>52</v>
      </c>
      <c r="H1370" s="170" t="s">
        <v>1264</v>
      </c>
      <c r="I1370" s="170" t="s">
        <v>1979</v>
      </c>
      <c r="J1370" s="195"/>
      <c r="K1370" s="173">
        <v>44958.0</v>
      </c>
      <c r="L1370" s="204" t="b">
        <v>0</v>
      </c>
    </row>
    <row r="1371">
      <c r="A1371" s="16" t="s">
        <v>123</v>
      </c>
      <c r="B1371" s="99" t="s">
        <v>1982</v>
      </c>
      <c r="C1371" s="174">
        <v>937.5</v>
      </c>
      <c r="D1371" s="187">
        <v>44985.0</v>
      </c>
      <c r="E1371" s="99" t="s">
        <v>2119</v>
      </c>
      <c r="F1371" s="208">
        <v>2023.02</v>
      </c>
      <c r="G1371" s="208" t="s">
        <v>52</v>
      </c>
      <c r="H1371" s="99" t="s">
        <v>1264</v>
      </c>
      <c r="I1371" s="99" t="s">
        <v>1979</v>
      </c>
      <c r="J1371" s="194"/>
      <c r="K1371" s="177">
        <v>44958.0</v>
      </c>
      <c r="L1371" s="206" t="b">
        <v>0</v>
      </c>
    </row>
    <row r="1372">
      <c r="A1372" s="4" t="s">
        <v>62</v>
      </c>
      <c r="B1372" s="170" t="s">
        <v>1982</v>
      </c>
      <c r="C1372" s="171">
        <v>450.0</v>
      </c>
      <c r="D1372" s="186">
        <v>44985.0</v>
      </c>
      <c r="E1372" s="170" t="s">
        <v>2119</v>
      </c>
      <c r="F1372" s="207">
        <v>2023.02</v>
      </c>
      <c r="G1372" s="207" t="s">
        <v>52</v>
      </c>
      <c r="H1372" s="170" t="s">
        <v>1264</v>
      </c>
      <c r="I1372" s="170" t="s">
        <v>1979</v>
      </c>
      <c r="J1372" s="195"/>
      <c r="K1372" s="173">
        <v>44958.0</v>
      </c>
      <c r="L1372" s="204" t="b">
        <v>0</v>
      </c>
    </row>
    <row r="1373">
      <c r="A1373" s="16" t="s">
        <v>92</v>
      </c>
      <c r="B1373" s="99" t="s">
        <v>1980</v>
      </c>
      <c r="C1373" s="174">
        <v>275.0</v>
      </c>
      <c r="D1373" s="187">
        <v>44985.0</v>
      </c>
      <c r="E1373" s="99">
        <v>120.0</v>
      </c>
      <c r="F1373" s="208">
        <v>2023.02</v>
      </c>
      <c r="G1373" s="208" t="s">
        <v>52</v>
      </c>
      <c r="H1373" s="99" t="s">
        <v>1264</v>
      </c>
      <c r="I1373" s="99" t="s">
        <v>1979</v>
      </c>
      <c r="J1373" s="194"/>
      <c r="K1373" s="177">
        <v>44958.0</v>
      </c>
      <c r="L1373" s="206" t="b">
        <v>0</v>
      </c>
    </row>
    <row r="1374">
      <c r="A1374" s="4" t="s">
        <v>88</v>
      </c>
      <c r="B1374" s="170" t="s">
        <v>1980</v>
      </c>
      <c r="C1374" s="171">
        <v>45.0</v>
      </c>
      <c r="D1374" s="186">
        <v>44985.0</v>
      </c>
      <c r="E1374" s="170">
        <v>120.0</v>
      </c>
      <c r="F1374" s="207">
        <v>2023.02</v>
      </c>
      <c r="G1374" s="207" t="s">
        <v>52</v>
      </c>
      <c r="H1374" s="170" t="s">
        <v>1264</v>
      </c>
      <c r="I1374" s="170" t="s">
        <v>1979</v>
      </c>
      <c r="J1374" s="195"/>
      <c r="K1374" s="173">
        <v>44958.0</v>
      </c>
      <c r="L1374" s="204" t="b">
        <v>0</v>
      </c>
    </row>
    <row r="1375">
      <c r="A1375" s="16" t="s">
        <v>97</v>
      </c>
      <c r="B1375" s="99" t="s">
        <v>1980</v>
      </c>
      <c r="C1375" s="174">
        <v>30.0</v>
      </c>
      <c r="D1375" s="187">
        <v>44985.0</v>
      </c>
      <c r="E1375" s="99">
        <v>120.0</v>
      </c>
      <c r="F1375" s="208">
        <v>2023.02</v>
      </c>
      <c r="G1375" s="208" t="s">
        <v>52</v>
      </c>
      <c r="H1375" s="99" t="s">
        <v>1264</v>
      </c>
      <c r="I1375" s="99" t="s">
        <v>1979</v>
      </c>
      <c r="J1375" s="194"/>
      <c r="K1375" s="177">
        <v>44958.0</v>
      </c>
      <c r="L1375" s="206" t="b">
        <v>0</v>
      </c>
    </row>
    <row r="1376">
      <c r="A1376" s="4" t="s">
        <v>82</v>
      </c>
      <c r="B1376" s="170" t="s">
        <v>1980</v>
      </c>
      <c r="C1376" s="171">
        <v>90.0</v>
      </c>
      <c r="D1376" s="186">
        <v>44985.0</v>
      </c>
      <c r="E1376" s="170">
        <v>120.0</v>
      </c>
      <c r="F1376" s="207">
        <v>2023.02</v>
      </c>
      <c r="G1376" s="207" t="s">
        <v>52</v>
      </c>
      <c r="H1376" s="170" t="s">
        <v>1264</v>
      </c>
      <c r="I1376" s="170" t="s">
        <v>1979</v>
      </c>
      <c r="J1376" s="195"/>
      <c r="K1376" s="173">
        <v>44958.0</v>
      </c>
      <c r="L1376" s="204" t="b">
        <v>0</v>
      </c>
    </row>
    <row r="1377">
      <c r="A1377" s="16" t="s">
        <v>99</v>
      </c>
      <c r="B1377" s="99" t="s">
        <v>1980</v>
      </c>
      <c r="C1377" s="174">
        <v>235.0</v>
      </c>
      <c r="D1377" s="187">
        <v>44985.0</v>
      </c>
      <c r="E1377" s="99">
        <v>120.0</v>
      </c>
      <c r="F1377" s="208">
        <v>2023.02</v>
      </c>
      <c r="G1377" s="208" t="s">
        <v>52</v>
      </c>
      <c r="H1377" s="99" t="s">
        <v>1264</v>
      </c>
      <c r="I1377" s="99" t="s">
        <v>1979</v>
      </c>
      <c r="J1377" s="194"/>
      <c r="K1377" s="177">
        <v>44958.0</v>
      </c>
      <c r="L1377" s="206" t="b">
        <v>0</v>
      </c>
    </row>
    <row r="1378">
      <c r="A1378" s="4" t="s">
        <v>42</v>
      </c>
      <c r="B1378" s="170" t="s">
        <v>1980</v>
      </c>
      <c r="C1378" s="171">
        <v>135.0</v>
      </c>
      <c r="D1378" s="186">
        <v>44985.0</v>
      </c>
      <c r="E1378" s="170">
        <v>120.0</v>
      </c>
      <c r="F1378" s="207">
        <v>2023.02</v>
      </c>
      <c r="G1378" s="207" t="s">
        <v>52</v>
      </c>
      <c r="H1378" s="170" t="s">
        <v>1264</v>
      </c>
      <c r="I1378" s="170" t="s">
        <v>1979</v>
      </c>
      <c r="J1378" s="195"/>
      <c r="K1378" s="173">
        <v>44958.0</v>
      </c>
      <c r="L1378" s="204" t="b">
        <v>0</v>
      </c>
    </row>
    <row r="1379">
      <c r="A1379" s="16" t="s">
        <v>123</v>
      </c>
      <c r="B1379" s="99" t="s">
        <v>1980</v>
      </c>
      <c r="C1379" s="174">
        <v>300.0</v>
      </c>
      <c r="D1379" s="187">
        <v>44985.0</v>
      </c>
      <c r="E1379" s="99">
        <v>120.0</v>
      </c>
      <c r="F1379" s="208">
        <v>2023.02</v>
      </c>
      <c r="G1379" s="208" t="s">
        <v>52</v>
      </c>
      <c r="H1379" s="99" t="s">
        <v>1264</v>
      </c>
      <c r="I1379" s="99" t="s">
        <v>1979</v>
      </c>
      <c r="J1379" s="194"/>
      <c r="K1379" s="177">
        <v>44958.0</v>
      </c>
      <c r="L1379" s="206" t="b">
        <v>0</v>
      </c>
    </row>
    <row r="1380">
      <c r="A1380" s="4" t="s">
        <v>73</v>
      </c>
      <c r="B1380" s="170" t="s">
        <v>1980</v>
      </c>
      <c r="C1380" s="171">
        <v>75.0</v>
      </c>
      <c r="D1380" s="186">
        <v>44985.0</v>
      </c>
      <c r="E1380" s="170">
        <v>120.0</v>
      </c>
      <c r="F1380" s="207">
        <v>2023.02</v>
      </c>
      <c r="G1380" s="207" t="s">
        <v>52</v>
      </c>
      <c r="H1380" s="170" t="s">
        <v>1264</v>
      </c>
      <c r="I1380" s="170" t="s">
        <v>1979</v>
      </c>
      <c r="J1380" s="195"/>
      <c r="K1380" s="173">
        <v>44958.0</v>
      </c>
      <c r="L1380" s="204" t="b">
        <v>0</v>
      </c>
    </row>
    <row r="1381">
      <c r="A1381" s="16" t="s">
        <v>50</v>
      </c>
      <c r="B1381" s="99" t="s">
        <v>1980</v>
      </c>
      <c r="C1381" s="174">
        <v>30.0</v>
      </c>
      <c r="D1381" s="187">
        <v>44985.0</v>
      </c>
      <c r="E1381" s="99">
        <v>120.0</v>
      </c>
      <c r="F1381" s="208">
        <v>2023.02</v>
      </c>
      <c r="G1381" s="208" t="s">
        <v>52</v>
      </c>
      <c r="H1381" s="99" t="s">
        <v>1264</v>
      </c>
      <c r="I1381" s="99" t="s">
        <v>1979</v>
      </c>
      <c r="J1381" s="194"/>
      <c r="K1381" s="177">
        <v>44958.0</v>
      </c>
      <c r="L1381" s="206" t="b">
        <v>0</v>
      </c>
    </row>
    <row r="1382">
      <c r="A1382" s="4" t="s">
        <v>62</v>
      </c>
      <c r="B1382" s="170" t="s">
        <v>1980</v>
      </c>
      <c r="C1382" s="171">
        <v>300.0</v>
      </c>
      <c r="D1382" s="186">
        <v>44985.0</v>
      </c>
      <c r="E1382" s="170">
        <v>120.0</v>
      </c>
      <c r="F1382" s="207">
        <v>2023.02</v>
      </c>
      <c r="G1382" s="207" t="s">
        <v>52</v>
      </c>
      <c r="H1382" s="170" t="s">
        <v>1264</v>
      </c>
      <c r="I1382" s="170" t="s">
        <v>1979</v>
      </c>
      <c r="J1382" s="195"/>
      <c r="K1382" s="173">
        <v>44958.0</v>
      </c>
      <c r="L1382" s="204" t="b">
        <v>0</v>
      </c>
    </row>
    <row r="1383">
      <c r="A1383" s="16" t="s">
        <v>223</v>
      </c>
      <c r="B1383" s="99" t="s">
        <v>1980</v>
      </c>
      <c r="C1383" s="174">
        <v>75.0</v>
      </c>
      <c r="D1383" s="187">
        <v>44985.0</v>
      </c>
      <c r="E1383" s="99">
        <v>120.0</v>
      </c>
      <c r="F1383" s="208">
        <v>2023.02</v>
      </c>
      <c r="G1383" s="208" t="s">
        <v>52</v>
      </c>
      <c r="H1383" s="99" t="s">
        <v>1264</v>
      </c>
      <c r="I1383" s="99" t="s">
        <v>1979</v>
      </c>
      <c r="J1383" s="194"/>
      <c r="K1383" s="177">
        <v>44958.0</v>
      </c>
      <c r="L1383" s="206" t="b">
        <v>0</v>
      </c>
    </row>
    <row r="1384">
      <c r="A1384" s="4" t="s">
        <v>225</v>
      </c>
      <c r="B1384" s="170" t="s">
        <v>1980</v>
      </c>
      <c r="C1384" s="171">
        <v>1860.0</v>
      </c>
      <c r="D1384" s="186">
        <v>44985.0</v>
      </c>
      <c r="E1384" s="170">
        <v>120.0</v>
      </c>
      <c r="F1384" s="207">
        <v>2023.02</v>
      </c>
      <c r="G1384" s="207" t="s">
        <v>52</v>
      </c>
      <c r="H1384" s="170" t="s">
        <v>1264</v>
      </c>
      <c r="I1384" s="170" t="s">
        <v>1979</v>
      </c>
      <c r="J1384" s="195"/>
      <c r="K1384" s="173">
        <v>44958.0</v>
      </c>
      <c r="L1384" s="204" t="b">
        <v>0</v>
      </c>
    </row>
    <row r="1385">
      <c r="A1385" s="16" t="s">
        <v>66</v>
      </c>
      <c r="B1385" s="99" t="s">
        <v>1980</v>
      </c>
      <c r="C1385" s="174">
        <v>90.0</v>
      </c>
      <c r="D1385" s="187">
        <v>44985.0</v>
      </c>
      <c r="E1385" s="99">
        <v>120.0</v>
      </c>
      <c r="F1385" s="208">
        <v>2023.02</v>
      </c>
      <c r="G1385" s="208" t="s">
        <v>52</v>
      </c>
      <c r="H1385" s="99" t="s">
        <v>1264</v>
      </c>
      <c r="I1385" s="99" t="s">
        <v>1979</v>
      </c>
      <c r="J1385" s="194"/>
      <c r="K1385" s="177">
        <v>44958.0</v>
      </c>
      <c r="L1385" s="206" t="b">
        <v>0</v>
      </c>
    </row>
    <row r="1386">
      <c r="A1386" s="4" t="s">
        <v>695</v>
      </c>
      <c r="B1386" s="170" t="s">
        <v>1980</v>
      </c>
      <c r="C1386" s="171">
        <v>45.0</v>
      </c>
      <c r="D1386" s="186">
        <v>44985.0</v>
      </c>
      <c r="E1386" s="170">
        <v>120.0</v>
      </c>
      <c r="F1386" s="207">
        <v>2023.02</v>
      </c>
      <c r="G1386" s="207" t="s">
        <v>52</v>
      </c>
      <c r="H1386" s="170" t="s">
        <v>1264</v>
      </c>
      <c r="I1386" s="170" t="s">
        <v>1979</v>
      </c>
      <c r="J1386" s="195"/>
      <c r="K1386" s="173">
        <v>44958.0</v>
      </c>
      <c r="L1386" s="204" t="b">
        <v>0</v>
      </c>
    </row>
    <row r="1387">
      <c r="A1387" s="16" t="s">
        <v>499</v>
      </c>
      <c r="B1387" s="99" t="s">
        <v>1980</v>
      </c>
      <c r="C1387" s="174">
        <v>100.0</v>
      </c>
      <c r="D1387" s="187">
        <v>44985.0</v>
      </c>
      <c r="E1387" s="99">
        <v>120.0</v>
      </c>
      <c r="F1387" s="208">
        <v>2023.02</v>
      </c>
      <c r="G1387" s="208" t="s">
        <v>52</v>
      </c>
      <c r="H1387" s="99" t="s">
        <v>1264</v>
      </c>
      <c r="I1387" s="99" t="s">
        <v>1979</v>
      </c>
      <c r="J1387" s="194"/>
      <c r="K1387" s="177">
        <v>44958.0</v>
      </c>
      <c r="L1387" s="206" t="b">
        <v>0</v>
      </c>
    </row>
    <row r="1388">
      <c r="A1388" s="4" t="s">
        <v>810</v>
      </c>
      <c r="B1388" s="170" t="s">
        <v>1980</v>
      </c>
      <c r="C1388" s="171">
        <v>60.0</v>
      </c>
      <c r="D1388" s="186">
        <v>44985.0</v>
      </c>
      <c r="E1388" s="170">
        <v>120.0</v>
      </c>
      <c r="F1388" s="207">
        <v>2023.02</v>
      </c>
      <c r="G1388" s="207" t="s">
        <v>52</v>
      </c>
      <c r="H1388" s="170" t="s">
        <v>1264</v>
      </c>
      <c r="I1388" s="170" t="s">
        <v>1979</v>
      </c>
      <c r="J1388" s="195"/>
      <c r="K1388" s="173">
        <v>44958.0</v>
      </c>
      <c r="L1388" s="204" t="b">
        <v>0</v>
      </c>
    </row>
    <row r="1389">
      <c r="A1389" s="16" t="s">
        <v>676</v>
      </c>
      <c r="B1389" s="99" t="s">
        <v>1980</v>
      </c>
      <c r="C1389" s="174">
        <v>180.0</v>
      </c>
      <c r="D1389" s="187">
        <v>44985.0</v>
      </c>
      <c r="E1389" s="99">
        <v>120.0</v>
      </c>
      <c r="F1389" s="208">
        <v>2023.0</v>
      </c>
      <c r="G1389" s="208" t="s">
        <v>1160</v>
      </c>
      <c r="H1389" s="99" t="s">
        <v>1264</v>
      </c>
      <c r="I1389" s="99" t="s">
        <v>1979</v>
      </c>
      <c r="J1389" s="194"/>
      <c r="K1389" s="177">
        <v>44958.0</v>
      </c>
      <c r="L1389" s="206" t="b">
        <v>0</v>
      </c>
    </row>
    <row r="1390">
      <c r="A1390" s="4" t="s">
        <v>762</v>
      </c>
      <c r="B1390" s="170" t="s">
        <v>1980</v>
      </c>
      <c r="C1390" s="93">
        <f>262.5+60</f>
        <v>322.5</v>
      </c>
      <c r="D1390" s="186">
        <v>44985.0</v>
      </c>
      <c r="E1390" s="170">
        <v>120.0</v>
      </c>
      <c r="F1390" s="207">
        <v>2023.02</v>
      </c>
      <c r="G1390" s="207" t="s">
        <v>52</v>
      </c>
      <c r="H1390" s="170" t="s">
        <v>1264</v>
      </c>
      <c r="I1390" s="170" t="s">
        <v>1979</v>
      </c>
      <c r="J1390" s="195"/>
      <c r="K1390" s="173">
        <v>44958.0</v>
      </c>
      <c r="L1390" s="204" t="b">
        <v>0</v>
      </c>
    </row>
    <row r="1391">
      <c r="A1391" s="16" t="s">
        <v>326</v>
      </c>
      <c r="B1391" s="99" t="s">
        <v>1980</v>
      </c>
      <c r="C1391" s="174">
        <v>425.0</v>
      </c>
      <c r="D1391" s="187">
        <v>44985.0</v>
      </c>
      <c r="E1391" s="99">
        <v>120.0</v>
      </c>
      <c r="F1391" s="208">
        <v>2023.0</v>
      </c>
      <c r="G1391" s="208" t="s">
        <v>1160</v>
      </c>
      <c r="H1391" s="99" t="s">
        <v>1264</v>
      </c>
      <c r="I1391" s="99" t="s">
        <v>1979</v>
      </c>
      <c r="J1391" s="194"/>
      <c r="K1391" s="177">
        <v>44958.0</v>
      </c>
      <c r="L1391" s="206" t="b">
        <v>0</v>
      </c>
    </row>
    <row r="1392">
      <c r="A1392" s="4" t="s">
        <v>788</v>
      </c>
      <c r="B1392" s="170" t="s">
        <v>1980</v>
      </c>
      <c r="C1392" s="171">
        <v>710.0</v>
      </c>
      <c r="D1392" s="186">
        <v>44985.0</v>
      </c>
      <c r="E1392" s="170">
        <v>120.0</v>
      </c>
      <c r="F1392" s="207">
        <v>2023.02</v>
      </c>
      <c r="G1392" s="207" t="s">
        <v>52</v>
      </c>
      <c r="H1392" s="170" t="s">
        <v>1264</v>
      </c>
      <c r="I1392" s="170" t="s">
        <v>1979</v>
      </c>
      <c r="J1392" s="195"/>
      <c r="K1392" s="173">
        <v>44958.0</v>
      </c>
      <c r="L1392" s="204" t="b">
        <v>0</v>
      </c>
    </row>
    <row r="1393">
      <c r="A1393" s="16" t="s">
        <v>817</v>
      </c>
      <c r="B1393" s="99" t="s">
        <v>1980</v>
      </c>
      <c r="C1393" s="174">
        <v>1560.0</v>
      </c>
      <c r="D1393" s="187">
        <v>44985.0</v>
      </c>
      <c r="E1393" s="99">
        <v>120.0</v>
      </c>
      <c r="F1393" s="208">
        <v>2023.02</v>
      </c>
      <c r="G1393" s="208" t="s">
        <v>52</v>
      </c>
      <c r="H1393" s="99" t="s">
        <v>1264</v>
      </c>
      <c r="I1393" s="99" t="s">
        <v>1979</v>
      </c>
      <c r="J1393" s="194"/>
      <c r="K1393" s="177">
        <v>44958.0</v>
      </c>
      <c r="L1393" s="206" t="b">
        <v>0</v>
      </c>
    </row>
    <row r="1394">
      <c r="A1394" s="4" t="s">
        <v>1271</v>
      </c>
      <c r="B1394" s="170" t="s">
        <v>2120</v>
      </c>
      <c r="C1394" s="171">
        <v>834.04</v>
      </c>
      <c r="D1394" s="186">
        <v>44998.0</v>
      </c>
      <c r="E1394" s="170"/>
      <c r="F1394" s="207">
        <v>2023.0</v>
      </c>
      <c r="G1394" s="207" t="s">
        <v>1152</v>
      </c>
      <c r="H1394" s="170" t="s">
        <v>1264</v>
      </c>
      <c r="I1394" s="170" t="s">
        <v>1267</v>
      </c>
      <c r="J1394" s="198" t="s">
        <v>2121</v>
      </c>
      <c r="K1394" s="173">
        <v>44958.0</v>
      </c>
      <c r="L1394" s="204" t="b">
        <v>0</v>
      </c>
    </row>
    <row r="1395">
      <c r="A1395" s="16" t="s">
        <v>1271</v>
      </c>
      <c r="B1395" s="99" t="s">
        <v>1998</v>
      </c>
      <c r="C1395" s="174">
        <v>136.59</v>
      </c>
      <c r="D1395" s="187">
        <v>44998.0</v>
      </c>
      <c r="E1395" s="99"/>
      <c r="F1395" s="208">
        <v>2023.0</v>
      </c>
      <c r="G1395" s="208" t="s">
        <v>1152</v>
      </c>
      <c r="H1395" s="99" t="s">
        <v>1264</v>
      </c>
      <c r="I1395" s="99" t="s">
        <v>1272</v>
      </c>
      <c r="J1395" s="194"/>
      <c r="K1395" s="177">
        <v>44958.0</v>
      </c>
      <c r="L1395" s="206" t="b">
        <v>0</v>
      </c>
    </row>
    <row r="1396">
      <c r="A1396" s="4" t="s">
        <v>1271</v>
      </c>
      <c r="B1396" s="170" t="s">
        <v>1994</v>
      </c>
      <c r="C1396" s="171">
        <v>14.76</v>
      </c>
      <c r="D1396" s="186">
        <v>44998.0</v>
      </c>
      <c r="E1396" s="170"/>
      <c r="F1396" s="207">
        <v>2023.0</v>
      </c>
      <c r="G1396" s="207" t="s">
        <v>1152</v>
      </c>
      <c r="H1396" s="170" t="s">
        <v>1264</v>
      </c>
      <c r="I1396" s="170" t="s">
        <v>1272</v>
      </c>
      <c r="J1396" s="195"/>
      <c r="K1396" s="173">
        <v>44958.0</v>
      </c>
      <c r="L1396" s="204" t="b">
        <v>0</v>
      </c>
    </row>
    <row r="1397">
      <c r="A1397" s="16" t="s">
        <v>1271</v>
      </c>
      <c r="B1397" s="99" t="s">
        <v>1976</v>
      </c>
      <c r="C1397" s="174">
        <v>65.53</v>
      </c>
      <c r="D1397" s="175">
        <v>44998.0</v>
      </c>
      <c r="E1397" s="97"/>
      <c r="F1397" s="208">
        <v>2023.0</v>
      </c>
      <c r="G1397" s="208" t="s">
        <v>1152</v>
      </c>
      <c r="H1397" s="99" t="s">
        <v>1264</v>
      </c>
      <c r="I1397" s="99" t="s">
        <v>1272</v>
      </c>
      <c r="J1397" s="81" t="s">
        <v>2122</v>
      </c>
      <c r="K1397" s="177">
        <v>44958.0</v>
      </c>
      <c r="L1397" s="206" t="b">
        <v>0</v>
      </c>
    </row>
    <row r="1398">
      <c r="A1398" s="4" t="s">
        <v>54</v>
      </c>
      <c r="B1398" s="170" t="s">
        <v>1985</v>
      </c>
      <c r="C1398" s="171">
        <v>337.5</v>
      </c>
      <c r="D1398" s="186">
        <v>44985.0</v>
      </c>
      <c r="E1398" s="170">
        <v>31.0</v>
      </c>
      <c r="F1398" s="207">
        <v>2023.02</v>
      </c>
      <c r="G1398" s="207" t="s">
        <v>52</v>
      </c>
      <c r="H1398" s="170" t="s">
        <v>1264</v>
      </c>
      <c r="I1398" s="170" t="s">
        <v>1979</v>
      </c>
      <c r="J1398" s="195"/>
      <c r="K1398" s="173">
        <v>44958.0</v>
      </c>
      <c r="L1398" s="204" t="b">
        <v>0</v>
      </c>
    </row>
    <row r="1399">
      <c r="A1399" s="16" t="s">
        <v>120</v>
      </c>
      <c r="B1399" s="99" t="s">
        <v>1985</v>
      </c>
      <c r="C1399" s="174">
        <v>575.0</v>
      </c>
      <c r="D1399" s="187">
        <v>44985.0</v>
      </c>
      <c r="E1399" s="99">
        <v>31.0</v>
      </c>
      <c r="F1399" s="208">
        <v>2023.02</v>
      </c>
      <c r="G1399" s="208" t="s">
        <v>52</v>
      </c>
      <c r="H1399" s="99" t="s">
        <v>1264</v>
      </c>
      <c r="I1399" s="99" t="s">
        <v>1979</v>
      </c>
      <c r="J1399" s="194"/>
      <c r="K1399" s="177">
        <v>44958.0</v>
      </c>
      <c r="L1399" s="206" t="b">
        <v>0</v>
      </c>
    </row>
    <row r="1400">
      <c r="A1400" s="4" t="s">
        <v>499</v>
      </c>
      <c r="B1400" s="170" t="s">
        <v>1985</v>
      </c>
      <c r="C1400" s="171">
        <v>262.5</v>
      </c>
      <c r="D1400" s="186">
        <v>44985.0</v>
      </c>
      <c r="E1400" s="170">
        <v>31.0</v>
      </c>
      <c r="F1400" s="207">
        <v>2023.02</v>
      </c>
      <c r="G1400" s="207" t="s">
        <v>52</v>
      </c>
      <c r="H1400" s="170" t="s">
        <v>1264</v>
      </c>
      <c r="I1400" s="170" t="s">
        <v>1979</v>
      </c>
      <c r="J1400" s="195"/>
      <c r="K1400" s="173">
        <v>44958.0</v>
      </c>
      <c r="L1400" s="204" t="b">
        <v>0</v>
      </c>
    </row>
    <row r="1401">
      <c r="A1401" s="16" t="s">
        <v>90</v>
      </c>
      <c r="B1401" s="99" t="s">
        <v>1985</v>
      </c>
      <c r="C1401" s="174">
        <v>450.0</v>
      </c>
      <c r="D1401" s="187">
        <v>44985.0</v>
      </c>
      <c r="E1401" s="99">
        <v>31.0</v>
      </c>
      <c r="F1401" s="208">
        <v>2023.02</v>
      </c>
      <c r="G1401" s="208" t="s">
        <v>52</v>
      </c>
      <c r="H1401" s="99" t="s">
        <v>1264</v>
      </c>
      <c r="I1401" s="99" t="s">
        <v>1979</v>
      </c>
      <c r="J1401" s="194"/>
      <c r="K1401" s="177">
        <v>44958.0</v>
      </c>
      <c r="L1401" s="206" t="b">
        <v>0</v>
      </c>
    </row>
    <row r="1402">
      <c r="A1402" s="4" t="s">
        <v>788</v>
      </c>
      <c r="B1402" s="170" t="s">
        <v>1985</v>
      </c>
      <c r="C1402" s="171">
        <v>315.0</v>
      </c>
      <c r="D1402" s="186">
        <v>44985.0</v>
      </c>
      <c r="E1402" s="170">
        <v>31.0</v>
      </c>
      <c r="F1402" s="207">
        <v>2023.02</v>
      </c>
      <c r="G1402" s="207" t="s">
        <v>52</v>
      </c>
      <c r="H1402" s="170" t="s">
        <v>1264</v>
      </c>
      <c r="I1402" s="170" t="s">
        <v>1979</v>
      </c>
      <c r="J1402" s="195"/>
      <c r="K1402" s="173">
        <v>44958.0</v>
      </c>
      <c r="L1402" s="204" t="b">
        <v>0</v>
      </c>
    </row>
    <row r="1403">
      <c r="A1403" s="16" t="s">
        <v>740</v>
      </c>
      <c r="B1403" s="99" t="s">
        <v>1985</v>
      </c>
      <c r="C1403" s="174">
        <v>280.0</v>
      </c>
      <c r="D1403" s="187">
        <v>44985.0</v>
      </c>
      <c r="E1403" s="99">
        <v>31.0</v>
      </c>
      <c r="F1403" s="208">
        <v>2023.0</v>
      </c>
      <c r="G1403" s="208" t="s">
        <v>1160</v>
      </c>
      <c r="H1403" s="99" t="s">
        <v>1264</v>
      </c>
      <c r="I1403" s="99" t="s">
        <v>1979</v>
      </c>
      <c r="J1403" s="194"/>
      <c r="K1403" s="177">
        <v>44958.0</v>
      </c>
      <c r="L1403" s="206" t="b">
        <v>0</v>
      </c>
    </row>
    <row r="1404">
      <c r="A1404" s="4" t="s">
        <v>662</v>
      </c>
      <c r="B1404" s="170" t="s">
        <v>1985</v>
      </c>
      <c r="C1404" s="171">
        <v>215.0</v>
      </c>
      <c r="D1404" s="186">
        <v>44985.0</v>
      </c>
      <c r="E1404" s="170">
        <v>31.0</v>
      </c>
      <c r="F1404" s="207">
        <v>2023.02</v>
      </c>
      <c r="G1404" s="207" t="s">
        <v>52</v>
      </c>
      <c r="H1404" s="170" t="s">
        <v>1264</v>
      </c>
      <c r="I1404" s="170" t="s">
        <v>1979</v>
      </c>
      <c r="J1404" s="195"/>
      <c r="K1404" s="173">
        <v>44958.0</v>
      </c>
      <c r="L1404" s="204" t="b">
        <v>0</v>
      </c>
    </row>
    <row r="1405">
      <c r="A1405" s="16" t="s">
        <v>223</v>
      </c>
      <c r="B1405" s="99" t="s">
        <v>1985</v>
      </c>
      <c r="C1405" s="174">
        <v>400.0</v>
      </c>
      <c r="D1405" s="187">
        <v>44985.0</v>
      </c>
      <c r="E1405" s="99">
        <v>31.0</v>
      </c>
      <c r="F1405" s="208">
        <v>2023.02</v>
      </c>
      <c r="G1405" s="208" t="s">
        <v>52</v>
      </c>
      <c r="H1405" s="99" t="s">
        <v>1264</v>
      </c>
      <c r="I1405" s="99" t="s">
        <v>1979</v>
      </c>
      <c r="J1405" s="194"/>
      <c r="K1405" s="177">
        <v>44958.0</v>
      </c>
      <c r="L1405" s="206" t="b">
        <v>0</v>
      </c>
    </row>
    <row r="1406">
      <c r="A1406" s="4" t="s">
        <v>768</v>
      </c>
      <c r="B1406" s="170" t="s">
        <v>1985</v>
      </c>
      <c r="C1406" s="171">
        <v>37.5</v>
      </c>
      <c r="D1406" s="186">
        <v>44985.0</v>
      </c>
      <c r="E1406" s="170">
        <v>31.0</v>
      </c>
      <c r="F1406" s="207">
        <v>2023.0</v>
      </c>
      <c r="G1406" s="207" t="s">
        <v>1160</v>
      </c>
      <c r="H1406" s="170" t="s">
        <v>1264</v>
      </c>
      <c r="I1406" s="170" t="s">
        <v>1979</v>
      </c>
      <c r="J1406" s="198" t="s">
        <v>2112</v>
      </c>
      <c r="K1406" s="173">
        <v>44958.0</v>
      </c>
      <c r="L1406" s="204" t="b">
        <v>0</v>
      </c>
    </row>
    <row r="1407">
      <c r="A1407" s="16" t="s">
        <v>118</v>
      </c>
      <c r="B1407" s="99" t="s">
        <v>1976</v>
      </c>
      <c r="C1407" s="174">
        <v>750.0</v>
      </c>
      <c r="D1407" s="175">
        <v>44974.0</v>
      </c>
      <c r="E1407" s="97"/>
      <c r="F1407" s="208">
        <v>2023.02</v>
      </c>
      <c r="G1407" s="208" t="s">
        <v>52</v>
      </c>
      <c r="H1407" s="99" t="s">
        <v>1999</v>
      </c>
      <c r="I1407" s="99" t="s">
        <v>1977</v>
      </c>
      <c r="J1407" s="194"/>
      <c r="K1407" s="177">
        <v>44958.0</v>
      </c>
      <c r="L1407" s="206" t="b">
        <v>0</v>
      </c>
    </row>
    <row r="1408">
      <c r="A1408" s="4" t="s">
        <v>115</v>
      </c>
      <c r="B1408" s="170" t="s">
        <v>1976</v>
      </c>
      <c r="C1408" s="171">
        <v>750.0</v>
      </c>
      <c r="D1408" s="172">
        <v>44976.0</v>
      </c>
      <c r="E1408" s="94"/>
      <c r="F1408" s="207">
        <v>2023.02</v>
      </c>
      <c r="G1408" s="207" t="s">
        <v>52</v>
      </c>
      <c r="H1408" s="170" t="s">
        <v>1999</v>
      </c>
      <c r="I1408" s="170" t="s">
        <v>1977</v>
      </c>
      <c r="J1408" s="195"/>
      <c r="K1408" s="173">
        <v>44958.0</v>
      </c>
      <c r="L1408" s="204" t="b">
        <v>0</v>
      </c>
    </row>
    <row r="1409">
      <c r="A1409" s="16" t="s">
        <v>118</v>
      </c>
      <c r="B1409" s="99" t="s">
        <v>1976</v>
      </c>
      <c r="C1409" s="174">
        <v>763.48</v>
      </c>
      <c r="D1409" s="175">
        <v>44986.0</v>
      </c>
      <c r="E1409" s="97"/>
      <c r="F1409" s="208">
        <v>2023.03</v>
      </c>
      <c r="G1409" s="208" t="s">
        <v>52</v>
      </c>
      <c r="H1409" s="99" t="s">
        <v>1999</v>
      </c>
      <c r="I1409" s="99" t="s">
        <v>1977</v>
      </c>
      <c r="J1409" s="194"/>
      <c r="K1409" s="177">
        <v>44958.0</v>
      </c>
      <c r="L1409" s="206" t="b">
        <v>0</v>
      </c>
    </row>
    <row r="1410">
      <c r="A1410" s="4" t="s">
        <v>115</v>
      </c>
      <c r="B1410" s="170" t="s">
        <v>1976</v>
      </c>
      <c r="C1410" s="171">
        <v>708.52</v>
      </c>
      <c r="D1410" s="172">
        <v>44986.0</v>
      </c>
      <c r="E1410" s="94"/>
      <c r="F1410" s="207">
        <v>2023.03</v>
      </c>
      <c r="G1410" s="207" t="s">
        <v>52</v>
      </c>
      <c r="H1410" s="170" t="s">
        <v>1999</v>
      </c>
      <c r="I1410" s="170" t="s">
        <v>1977</v>
      </c>
      <c r="J1410" s="195"/>
      <c r="K1410" s="173">
        <v>44958.0</v>
      </c>
      <c r="L1410" s="204" t="b">
        <v>0</v>
      </c>
    </row>
    <row r="1411">
      <c r="A1411" s="16" t="s">
        <v>326</v>
      </c>
      <c r="B1411" s="99" t="s">
        <v>1976</v>
      </c>
      <c r="C1411" s="174">
        <v>347.27</v>
      </c>
      <c r="D1411" s="175">
        <v>44986.0</v>
      </c>
      <c r="E1411" s="97"/>
      <c r="F1411" s="208">
        <v>2023.0</v>
      </c>
      <c r="G1411" s="208" t="s">
        <v>1160</v>
      </c>
      <c r="H1411" s="99" t="s">
        <v>1999</v>
      </c>
      <c r="I1411" s="99" t="s">
        <v>1977</v>
      </c>
      <c r="J1411" s="194"/>
      <c r="K1411" s="177">
        <v>44958.0</v>
      </c>
      <c r="L1411" s="206" t="b">
        <v>0</v>
      </c>
    </row>
    <row r="1412">
      <c r="A1412" s="4" t="s">
        <v>115</v>
      </c>
      <c r="B1412" s="170" t="s">
        <v>1976</v>
      </c>
      <c r="C1412" s="171">
        <v>750.0</v>
      </c>
      <c r="D1412" s="172">
        <v>44996.0</v>
      </c>
      <c r="E1412" s="94"/>
      <c r="F1412" s="207">
        <v>2023.03</v>
      </c>
      <c r="G1412" s="207" t="s">
        <v>52</v>
      </c>
      <c r="H1412" s="170" t="s">
        <v>1999</v>
      </c>
      <c r="I1412" s="170" t="s">
        <v>1977</v>
      </c>
      <c r="J1412" s="195"/>
      <c r="K1412" s="173">
        <v>44958.0</v>
      </c>
      <c r="L1412" s="204" t="b">
        <v>0</v>
      </c>
    </row>
    <row r="1413">
      <c r="A1413" s="16" t="s">
        <v>118</v>
      </c>
      <c r="B1413" s="99" t="s">
        <v>1976</v>
      </c>
      <c r="C1413" s="174">
        <v>750.0</v>
      </c>
      <c r="D1413" s="175">
        <v>44997.0</v>
      </c>
      <c r="E1413" s="97"/>
      <c r="F1413" s="208">
        <v>2023.03</v>
      </c>
      <c r="G1413" s="208" t="s">
        <v>52</v>
      </c>
      <c r="H1413" s="99" t="s">
        <v>1999</v>
      </c>
      <c r="I1413" s="99" t="s">
        <v>1977</v>
      </c>
      <c r="J1413" s="194"/>
      <c r="K1413" s="177">
        <v>44958.0</v>
      </c>
      <c r="L1413" s="206" t="b">
        <v>0</v>
      </c>
    </row>
    <row r="1414">
      <c r="A1414" s="4" t="s">
        <v>92</v>
      </c>
      <c r="B1414" s="170" t="s">
        <v>1988</v>
      </c>
      <c r="C1414" s="171">
        <v>66.39</v>
      </c>
      <c r="D1414" s="172">
        <v>44982.0</v>
      </c>
      <c r="E1414" s="94"/>
      <c r="F1414" s="207">
        <v>2023.02</v>
      </c>
      <c r="G1414" s="207" t="s">
        <v>52</v>
      </c>
      <c r="H1414" s="170" t="s">
        <v>1999</v>
      </c>
      <c r="I1414" s="170" t="s">
        <v>1977</v>
      </c>
      <c r="J1414" s="195"/>
      <c r="K1414" s="173">
        <v>44958.0</v>
      </c>
      <c r="L1414" s="204" t="b">
        <v>0</v>
      </c>
    </row>
    <row r="1415">
      <c r="A1415" s="16" t="s">
        <v>92</v>
      </c>
      <c r="B1415" s="99" t="s">
        <v>1988</v>
      </c>
      <c r="C1415" s="174">
        <v>100.0</v>
      </c>
      <c r="D1415" s="175">
        <v>44974.0</v>
      </c>
      <c r="E1415" s="97"/>
      <c r="F1415" s="208">
        <v>2023.02</v>
      </c>
      <c r="G1415" s="208" t="s">
        <v>52</v>
      </c>
      <c r="H1415" s="99" t="s">
        <v>1999</v>
      </c>
      <c r="I1415" s="99" t="s">
        <v>1977</v>
      </c>
      <c r="J1415" s="194"/>
      <c r="K1415" s="177">
        <v>44958.0</v>
      </c>
      <c r="L1415" s="206" t="b">
        <v>0</v>
      </c>
    </row>
    <row r="1416">
      <c r="A1416" s="4" t="s">
        <v>54</v>
      </c>
      <c r="B1416" s="170" t="s">
        <v>2002</v>
      </c>
      <c r="C1416" s="171">
        <v>12.02</v>
      </c>
      <c r="D1416" s="172">
        <v>44985.0</v>
      </c>
      <c r="E1416" s="94"/>
      <c r="F1416" s="207">
        <v>2023.02</v>
      </c>
      <c r="G1416" s="207" t="s">
        <v>52</v>
      </c>
      <c r="H1416" s="170" t="s">
        <v>1999</v>
      </c>
      <c r="I1416" s="170" t="s">
        <v>1979</v>
      </c>
      <c r="J1416" s="195"/>
      <c r="K1416" s="173">
        <v>44958.0</v>
      </c>
      <c r="L1416" s="204" t="b">
        <v>0</v>
      </c>
    </row>
    <row r="1417">
      <c r="A1417" s="16" t="s">
        <v>99</v>
      </c>
      <c r="B1417" s="99" t="s">
        <v>2002</v>
      </c>
      <c r="C1417" s="174">
        <v>14.67</v>
      </c>
      <c r="D1417" s="175">
        <v>44985.0</v>
      </c>
      <c r="E1417" s="97"/>
      <c r="F1417" s="208">
        <v>2023.02</v>
      </c>
      <c r="G1417" s="208" t="s">
        <v>52</v>
      </c>
      <c r="H1417" s="99" t="s">
        <v>1999</v>
      </c>
      <c r="I1417" s="99" t="s">
        <v>1979</v>
      </c>
      <c r="J1417" s="194"/>
      <c r="K1417" s="177">
        <v>44958.0</v>
      </c>
      <c r="L1417" s="206" t="b">
        <v>0</v>
      </c>
    </row>
    <row r="1418">
      <c r="A1418" s="4" t="s">
        <v>326</v>
      </c>
      <c r="B1418" s="170" t="s">
        <v>2002</v>
      </c>
      <c r="C1418" s="171">
        <v>9.46</v>
      </c>
      <c r="D1418" s="172">
        <v>44985.0</v>
      </c>
      <c r="E1418" s="94"/>
      <c r="F1418" s="207">
        <v>2023.0</v>
      </c>
      <c r="G1418" s="207" t="s">
        <v>1160</v>
      </c>
      <c r="H1418" s="170" t="s">
        <v>1999</v>
      </c>
      <c r="I1418" s="170" t="s">
        <v>1979</v>
      </c>
      <c r="J1418" s="195"/>
      <c r="K1418" s="173">
        <v>44958.0</v>
      </c>
      <c r="L1418" s="204" t="b">
        <v>0</v>
      </c>
    </row>
    <row r="1419">
      <c r="A1419" s="16" t="s">
        <v>120</v>
      </c>
      <c r="B1419" s="99" t="s">
        <v>2002</v>
      </c>
      <c r="C1419" s="174">
        <f>9.81+54.26</f>
        <v>64.07</v>
      </c>
      <c r="D1419" s="175">
        <v>44985.0</v>
      </c>
      <c r="E1419" s="97"/>
      <c r="F1419" s="208">
        <v>2023.02</v>
      </c>
      <c r="G1419" s="208" t="s">
        <v>52</v>
      </c>
      <c r="H1419" s="99" t="s">
        <v>1999</v>
      </c>
      <c r="I1419" s="99" t="s">
        <v>1979</v>
      </c>
      <c r="J1419" s="194"/>
      <c r="K1419" s="177">
        <v>44958.0</v>
      </c>
      <c r="L1419" s="206" t="b">
        <v>0</v>
      </c>
    </row>
    <row r="1420">
      <c r="A1420" s="4" t="s">
        <v>788</v>
      </c>
      <c r="B1420" s="170" t="s">
        <v>2002</v>
      </c>
      <c r="C1420" s="171">
        <f>134.99+588.47</f>
        <v>723.46</v>
      </c>
      <c r="D1420" s="172">
        <v>44985.0</v>
      </c>
      <c r="E1420" s="94"/>
      <c r="F1420" s="207">
        <v>2023.02</v>
      </c>
      <c r="G1420" s="207" t="s">
        <v>52</v>
      </c>
      <c r="H1420" s="170" t="s">
        <v>1999</v>
      </c>
      <c r="I1420" s="170" t="s">
        <v>1979</v>
      </c>
      <c r="J1420" s="195"/>
      <c r="K1420" s="173">
        <v>44958.0</v>
      </c>
      <c r="L1420" s="204" t="b">
        <v>0</v>
      </c>
    </row>
    <row r="1421">
      <c r="A1421" s="16" t="s">
        <v>835</v>
      </c>
      <c r="B1421" s="99" t="s">
        <v>2002</v>
      </c>
      <c r="C1421" s="174">
        <v>916.58</v>
      </c>
      <c r="D1421" s="175">
        <v>44985.0</v>
      </c>
      <c r="E1421" s="97"/>
      <c r="F1421" s="208">
        <v>2023.0</v>
      </c>
      <c r="G1421" s="208" t="s">
        <v>1160</v>
      </c>
      <c r="H1421" s="99" t="s">
        <v>1999</v>
      </c>
      <c r="I1421" s="99" t="s">
        <v>1979</v>
      </c>
      <c r="J1421" s="194"/>
      <c r="K1421" s="177">
        <v>44958.0</v>
      </c>
      <c r="L1421" s="206" t="b">
        <v>0</v>
      </c>
    </row>
    <row r="1422">
      <c r="A1422" s="4" t="s">
        <v>840</v>
      </c>
      <c r="B1422" s="170" t="s">
        <v>2002</v>
      </c>
      <c r="C1422" s="171">
        <v>222.26</v>
      </c>
      <c r="D1422" s="172">
        <v>44985.0</v>
      </c>
      <c r="E1422" s="94"/>
      <c r="F1422" s="207">
        <v>2023.0</v>
      </c>
      <c r="G1422" s="207" t="s">
        <v>1160</v>
      </c>
      <c r="H1422" s="170" t="s">
        <v>1999</v>
      </c>
      <c r="I1422" s="170" t="s">
        <v>1979</v>
      </c>
      <c r="J1422" s="195"/>
      <c r="K1422" s="173">
        <v>44958.0</v>
      </c>
      <c r="L1422" s="204" t="b">
        <v>0</v>
      </c>
    </row>
    <row r="1423">
      <c r="A1423" s="16" t="s">
        <v>768</v>
      </c>
      <c r="B1423" s="99" t="s">
        <v>2002</v>
      </c>
      <c r="C1423" s="174">
        <f>93.22+71.74</f>
        <v>164.96</v>
      </c>
      <c r="D1423" s="175">
        <v>44985.0</v>
      </c>
      <c r="E1423" s="97"/>
      <c r="F1423" s="208">
        <v>2023.0</v>
      </c>
      <c r="G1423" s="208" t="s">
        <v>1160</v>
      </c>
      <c r="H1423" s="99" t="s">
        <v>1999</v>
      </c>
      <c r="I1423" s="99" t="s">
        <v>1979</v>
      </c>
      <c r="J1423" s="194"/>
      <c r="K1423" s="177">
        <v>44958.0</v>
      </c>
      <c r="L1423" s="206" t="b">
        <v>0</v>
      </c>
    </row>
    <row r="1424">
      <c r="A1424" s="4" t="s">
        <v>42</v>
      </c>
      <c r="B1424" s="170" t="s">
        <v>2002</v>
      </c>
      <c r="C1424" s="171">
        <v>85.38</v>
      </c>
      <c r="D1424" s="172">
        <v>44985.0</v>
      </c>
      <c r="E1424" s="94"/>
      <c r="F1424" s="207">
        <v>2023.02</v>
      </c>
      <c r="G1424" s="207" t="s">
        <v>52</v>
      </c>
      <c r="H1424" s="170" t="s">
        <v>1999</v>
      </c>
      <c r="I1424" s="170" t="s">
        <v>1979</v>
      </c>
      <c r="J1424" s="195"/>
      <c r="K1424" s="173">
        <v>44958.0</v>
      </c>
      <c r="L1424" s="204" t="b">
        <v>0</v>
      </c>
    </row>
    <row r="1425">
      <c r="A1425" s="16" t="s">
        <v>1266</v>
      </c>
      <c r="B1425" s="99" t="s">
        <v>2002</v>
      </c>
      <c r="C1425" s="174">
        <v>651.62</v>
      </c>
      <c r="D1425" s="175">
        <v>44985.0</v>
      </c>
      <c r="E1425" s="97"/>
      <c r="F1425" s="208">
        <v>2023.0</v>
      </c>
      <c r="G1425" s="208" t="s">
        <v>1152</v>
      </c>
      <c r="H1425" s="99" t="s">
        <v>1999</v>
      </c>
      <c r="I1425" s="99" t="s">
        <v>1979</v>
      </c>
      <c r="J1425" s="194"/>
      <c r="K1425" s="177">
        <v>44958.0</v>
      </c>
      <c r="L1425" s="206" t="b">
        <v>0</v>
      </c>
    </row>
    <row r="1426">
      <c r="A1426" s="4" t="s">
        <v>50</v>
      </c>
      <c r="B1426" s="170" t="s">
        <v>2002</v>
      </c>
      <c r="C1426" s="171">
        <v>20.92</v>
      </c>
      <c r="D1426" s="172">
        <v>44985.0</v>
      </c>
      <c r="E1426" s="94"/>
      <c r="F1426" s="207">
        <v>2023.02</v>
      </c>
      <c r="G1426" s="207" t="s">
        <v>52</v>
      </c>
      <c r="H1426" s="170" t="s">
        <v>1999</v>
      </c>
      <c r="I1426" s="170" t="s">
        <v>1979</v>
      </c>
      <c r="J1426" s="195"/>
      <c r="K1426" s="173">
        <v>44958.0</v>
      </c>
      <c r="L1426" s="204" t="b">
        <v>0</v>
      </c>
    </row>
    <row r="1427">
      <c r="A1427" s="16" t="s">
        <v>105</v>
      </c>
      <c r="B1427" s="99" t="s">
        <v>2002</v>
      </c>
      <c r="C1427" s="174">
        <v>2.66</v>
      </c>
      <c r="D1427" s="175">
        <v>44985.0</v>
      </c>
      <c r="E1427" s="97"/>
      <c r="F1427" s="208">
        <v>2023.0</v>
      </c>
      <c r="G1427" s="208" t="s">
        <v>1992</v>
      </c>
      <c r="H1427" s="99" t="s">
        <v>1999</v>
      </c>
      <c r="I1427" s="99" t="s">
        <v>1979</v>
      </c>
      <c r="J1427" s="194"/>
      <c r="K1427" s="177">
        <v>44958.0</v>
      </c>
      <c r="L1427" s="206" t="b">
        <v>0</v>
      </c>
    </row>
    <row r="1428">
      <c r="A1428" s="4" t="s">
        <v>90</v>
      </c>
      <c r="B1428" s="170" t="s">
        <v>2002</v>
      </c>
      <c r="C1428" s="171">
        <f>17.03+138.97</f>
        <v>156</v>
      </c>
      <c r="D1428" s="172">
        <v>44985.0</v>
      </c>
      <c r="E1428" s="94"/>
      <c r="F1428" s="207">
        <v>2023.02</v>
      </c>
      <c r="G1428" s="207" t="s">
        <v>52</v>
      </c>
      <c r="H1428" s="170" t="s">
        <v>1999</v>
      </c>
      <c r="I1428" s="170" t="s">
        <v>1979</v>
      </c>
      <c r="J1428" s="195"/>
      <c r="K1428" s="173">
        <v>44958.0</v>
      </c>
      <c r="L1428" s="204" t="b">
        <v>0</v>
      </c>
    </row>
    <row r="1429">
      <c r="A1429" s="16" t="s">
        <v>867</v>
      </c>
      <c r="B1429" s="99" t="s">
        <v>2002</v>
      </c>
      <c r="C1429" s="174">
        <v>11.22</v>
      </c>
      <c r="D1429" s="175">
        <v>44985.0</v>
      </c>
      <c r="E1429" s="97"/>
      <c r="F1429" s="208">
        <v>2023.0</v>
      </c>
      <c r="G1429" s="208" t="s">
        <v>1160</v>
      </c>
      <c r="H1429" s="99" t="s">
        <v>1999</v>
      </c>
      <c r="I1429" s="99" t="s">
        <v>1979</v>
      </c>
      <c r="J1429" s="194"/>
      <c r="K1429" s="177">
        <v>44958.0</v>
      </c>
      <c r="L1429" s="206" t="b">
        <v>0</v>
      </c>
    </row>
    <row r="1430">
      <c r="A1430" s="4" t="s">
        <v>871</v>
      </c>
      <c r="B1430" s="170" t="s">
        <v>2002</v>
      </c>
      <c r="C1430" s="171">
        <v>5.22</v>
      </c>
      <c r="D1430" s="172">
        <v>44985.0</v>
      </c>
      <c r="E1430" s="94"/>
      <c r="F1430" s="207">
        <v>2023.0</v>
      </c>
      <c r="G1430" s="207" t="s">
        <v>1160</v>
      </c>
      <c r="H1430" s="170" t="s">
        <v>1999</v>
      </c>
      <c r="I1430" s="170" t="s">
        <v>1979</v>
      </c>
      <c r="J1430" s="195"/>
      <c r="K1430" s="173">
        <v>44958.0</v>
      </c>
      <c r="L1430" s="204" t="b">
        <v>0</v>
      </c>
    </row>
    <row r="1431">
      <c r="A1431" s="16" t="s">
        <v>92</v>
      </c>
      <c r="B1431" s="99" t="s">
        <v>2002</v>
      </c>
      <c r="C1431" s="174">
        <f>40.29+34.43</f>
        <v>74.72</v>
      </c>
      <c r="D1431" s="175">
        <v>44985.0</v>
      </c>
      <c r="E1431" s="97"/>
      <c r="F1431" s="208">
        <v>2023.02</v>
      </c>
      <c r="G1431" s="208" t="s">
        <v>52</v>
      </c>
      <c r="H1431" s="99" t="s">
        <v>1999</v>
      </c>
      <c r="I1431" s="99" t="s">
        <v>1979</v>
      </c>
      <c r="J1431" s="194"/>
      <c r="K1431" s="177">
        <v>44958.0</v>
      </c>
      <c r="L1431" s="206" t="b">
        <v>0</v>
      </c>
    </row>
    <row r="1432">
      <c r="A1432" s="4" t="s">
        <v>808</v>
      </c>
      <c r="B1432" s="170" t="s">
        <v>2002</v>
      </c>
      <c r="C1432" s="171">
        <v>894.42</v>
      </c>
      <c r="D1432" s="172">
        <v>44985.0</v>
      </c>
      <c r="E1432" s="94"/>
      <c r="F1432" s="207">
        <v>2023.0</v>
      </c>
      <c r="G1432" s="207" t="s">
        <v>1160</v>
      </c>
      <c r="H1432" s="170" t="s">
        <v>1999</v>
      </c>
      <c r="I1432" s="170" t="s">
        <v>1979</v>
      </c>
      <c r="J1432" s="195"/>
      <c r="K1432" s="173">
        <v>44958.0</v>
      </c>
      <c r="L1432" s="204" t="b">
        <v>0</v>
      </c>
    </row>
    <row r="1433">
      <c r="A1433" s="16" t="s">
        <v>869</v>
      </c>
      <c r="B1433" s="99" t="s">
        <v>2002</v>
      </c>
      <c r="C1433" s="174">
        <v>146.09</v>
      </c>
      <c r="D1433" s="175">
        <v>44985.0</v>
      </c>
      <c r="E1433" s="97"/>
      <c r="F1433" s="208">
        <v>2023.0</v>
      </c>
      <c r="G1433" s="208" t="s">
        <v>1160</v>
      </c>
      <c r="H1433" s="99" t="s">
        <v>1999</v>
      </c>
      <c r="I1433" s="99" t="s">
        <v>1979</v>
      </c>
      <c r="J1433" s="194"/>
      <c r="K1433" s="177">
        <v>44958.0</v>
      </c>
      <c r="L1433" s="206" t="b">
        <v>0</v>
      </c>
    </row>
    <row r="1434">
      <c r="A1434" s="4" t="s">
        <v>42</v>
      </c>
      <c r="B1434" s="170" t="s">
        <v>2002</v>
      </c>
      <c r="C1434" s="93">
        <v>60.00694444444445</v>
      </c>
      <c r="D1434" s="172">
        <v>44985.0</v>
      </c>
      <c r="E1434" s="94"/>
      <c r="F1434" s="207">
        <v>2023.02</v>
      </c>
      <c r="G1434" s="207" t="s">
        <v>52</v>
      </c>
      <c r="H1434" s="170" t="s">
        <v>1999</v>
      </c>
      <c r="I1434" s="170" t="s">
        <v>1979</v>
      </c>
      <c r="J1434" s="195"/>
      <c r="K1434" s="173">
        <v>44958.0</v>
      </c>
      <c r="L1434" s="204" t="b">
        <v>0</v>
      </c>
    </row>
    <row r="1435">
      <c r="A1435" s="16" t="s">
        <v>587</v>
      </c>
      <c r="B1435" s="99" t="s">
        <v>2002</v>
      </c>
      <c r="C1435" s="174">
        <v>49.26</v>
      </c>
      <c r="D1435" s="175">
        <v>44985.0</v>
      </c>
      <c r="E1435" s="97"/>
      <c r="F1435" s="208">
        <v>2023.0</v>
      </c>
      <c r="G1435" s="208" t="s">
        <v>1160</v>
      </c>
      <c r="H1435" s="99" t="s">
        <v>1999</v>
      </c>
      <c r="I1435" s="99" t="s">
        <v>1979</v>
      </c>
      <c r="J1435" s="194"/>
      <c r="K1435" s="177">
        <v>44958.0</v>
      </c>
      <c r="L1435" s="206" t="b">
        <v>0</v>
      </c>
    </row>
    <row r="1436">
      <c r="A1436" s="4" t="s">
        <v>123</v>
      </c>
      <c r="B1436" s="170" t="s">
        <v>2002</v>
      </c>
      <c r="C1436" s="171">
        <v>223.88</v>
      </c>
      <c r="D1436" s="172">
        <v>44985.0</v>
      </c>
      <c r="E1436" s="94"/>
      <c r="F1436" s="207">
        <v>2023.02</v>
      </c>
      <c r="G1436" s="207" t="s">
        <v>52</v>
      </c>
      <c r="H1436" s="170" t="s">
        <v>1999</v>
      </c>
      <c r="I1436" s="170" t="s">
        <v>1979</v>
      </c>
      <c r="J1436" s="195"/>
      <c r="K1436" s="173">
        <v>44958.0</v>
      </c>
      <c r="L1436" s="204" t="b">
        <v>0</v>
      </c>
    </row>
    <row r="1437">
      <c r="A1437" s="16" t="s">
        <v>62</v>
      </c>
      <c r="B1437" s="99" t="s">
        <v>2002</v>
      </c>
      <c r="C1437" s="174">
        <v>8.69</v>
      </c>
      <c r="D1437" s="175">
        <v>44985.0</v>
      </c>
      <c r="E1437" s="97"/>
      <c r="F1437" s="208">
        <v>2023.02</v>
      </c>
      <c r="G1437" s="208" t="s">
        <v>52</v>
      </c>
      <c r="H1437" s="99" t="s">
        <v>1999</v>
      </c>
      <c r="I1437" s="99" t="s">
        <v>1979</v>
      </c>
      <c r="J1437" s="194"/>
      <c r="K1437" s="177">
        <v>44958.0</v>
      </c>
      <c r="L1437" s="206" t="b">
        <v>0</v>
      </c>
    </row>
    <row r="1438">
      <c r="A1438" s="4" t="s">
        <v>858</v>
      </c>
      <c r="B1438" s="170" t="s">
        <v>2002</v>
      </c>
      <c r="C1438" s="171">
        <v>4.03</v>
      </c>
      <c r="D1438" s="172">
        <v>44985.0</v>
      </c>
      <c r="E1438" s="94"/>
      <c r="F1438" s="207">
        <v>2023.0</v>
      </c>
      <c r="G1438" s="207" t="s">
        <v>1160</v>
      </c>
      <c r="H1438" s="170" t="s">
        <v>1999</v>
      </c>
      <c r="I1438" s="170" t="s">
        <v>1979</v>
      </c>
      <c r="J1438" s="195"/>
      <c r="K1438" s="173">
        <v>44958.0</v>
      </c>
      <c r="L1438" s="204" t="b">
        <v>0</v>
      </c>
    </row>
    <row r="1439">
      <c r="A1439" s="16" t="s">
        <v>115</v>
      </c>
      <c r="B1439" s="99" t="s">
        <v>2002</v>
      </c>
      <c r="C1439" s="174">
        <v>137.17</v>
      </c>
      <c r="D1439" s="175">
        <v>44985.0</v>
      </c>
      <c r="E1439" s="97"/>
      <c r="F1439" s="208">
        <v>2023.02</v>
      </c>
      <c r="G1439" s="208" t="s">
        <v>52</v>
      </c>
      <c r="H1439" s="99" t="s">
        <v>1999</v>
      </c>
      <c r="I1439" s="99" t="s">
        <v>1979</v>
      </c>
      <c r="J1439" s="194"/>
      <c r="K1439" s="177">
        <v>44958.0</v>
      </c>
      <c r="L1439" s="206" t="b">
        <v>0</v>
      </c>
    </row>
    <row r="1440">
      <c r="A1440" s="4" t="s">
        <v>118</v>
      </c>
      <c r="B1440" s="170" t="s">
        <v>2002</v>
      </c>
      <c r="C1440" s="171">
        <v>27.24</v>
      </c>
      <c r="D1440" s="172">
        <v>44985.0</v>
      </c>
      <c r="E1440" s="94"/>
      <c r="F1440" s="207">
        <v>2023.02</v>
      </c>
      <c r="G1440" s="207" t="s">
        <v>52</v>
      </c>
      <c r="H1440" s="170" t="s">
        <v>1999</v>
      </c>
      <c r="I1440" s="170" t="s">
        <v>1979</v>
      </c>
      <c r="J1440" s="195"/>
      <c r="K1440" s="173">
        <v>44958.0</v>
      </c>
      <c r="L1440" s="204" t="b">
        <v>0</v>
      </c>
    </row>
    <row r="1441">
      <c r="A1441" s="16" t="s">
        <v>66</v>
      </c>
      <c r="B1441" s="99" t="s">
        <v>2002</v>
      </c>
      <c r="C1441" s="174">
        <v>123.13</v>
      </c>
      <c r="D1441" s="175">
        <v>44985.0</v>
      </c>
      <c r="E1441" s="97"/>
      <c r="F1441" s="208">
        <v>2023.02</v>
      </c>
      <c r="G1441" s="208" t="s">
        <v>52</v>
      </c>
      <c r="H1441" s="99" t="s">
        <v>1999</v>
      </c>
      <c r="I1441" s="99" t="s">
        <v>1979</v>
      </c>
      <c r="J1441" s="194"/>
      <c r="K1441" s="177">
        <v>44958.0</v>
      </c>
      <c r="L1441" s="206" t="b">
        <v>0</v>
      </c>
    </row>
    <row r="1442">
      <c r="A1442" s="4" t="s">
        <v>608</v>
      </c>
      <c r="B1442" s="170" t="s">
        <v>2002</v>
      </c>
      <c r="C1442" s="93">
        <v>199.6805555555556</v>
      </c>
      <c r="D1442" s="172">
        <v>44985.0</v>
      </c>
      <c r="E1442" s="94"/>
      <c r="F1442" s="207">
        <v>2023.0</v>
      </c>
      <c r="G1442" s="207" t="s">
        <v>1160</v>
      </c>
      <c r="H1442" s="170" t="s">
        <v>1999</v>
      </c>
      <c r="I1442" s="170" t="s">
        <v>1979</v>
      </c>
      <c r="J1442" s="195"/>
      <c r="K1442" s="173">
        <v>44958.0</v>
      </c>
      <c r="L1442" s="204" t="b">
        <v>0</v>
      </c>
    </row>
    <row r="1443">
      <c r="A1443" s="16" t="s">
        <v>668</v>
      </c>
      <c r="B1443" s="99" t="s">
        <v>2002</v>
      </c>
      <c r="C1443" s="96">
        <v>73.35416666666666</v>
      </c>
      <c r="D1443" s="175">
        <v>44985.0</v>
      </c>
      <c r="E1443" s="97"/>
      <c r="F1443" s="208">
        <v>2023.0</v>
      </c>
      <c r="G1443" s="208" t="s">
        <v>1160</v>
      </c>
      <c r="H1443" s="99" t="s">
        <v>1999</v>
      </c>
      <c r="I1443" s="99" t="s">
        <v>1979</v>
      </c>
      <c r="J1443" s="194"/>
      <c r="K1443" s="177">
        <v>44958.0</v>
      </c>
      <c r="L1443" s="206" t="b">
        <v>0</v>
      </c>
    </row>
    <row r="1444">
      <c r="A1444" s="4" t="s">
        <v>681</v>
      </c>
      <c r="B1444" s="170" t="s">
        <v>2002</v>
      </c>
      <c r="C1444" s="93">
        <v>34.90277777777777</v>
      </c>
      <c r="D1444" s="172">
        <v>44985.0</v>
      </c>
      <c r="E1444" s="94"/>
      <c r="F1444" s="207">
        <v>2023.0</v>
      </c>
      <c r="G1444" s="207" t="s">
        <v>1160</v>
      </c>
      <c r="H1444" s="170" t="s">
        <v>1999</v>
      </c>
      <c r="I1444" s="170" t="s">
        <v>1979</v>
      </c>
      <c r="J1444" s="195"/>
      <c r="K1444" s="173">
        <v>44958.0</v>
      </c>
      <c r="L1444" s="204" t="b">
        <v>0</v>
      </c>
    </row>
    <row r="1445">
      <c r="A1445" s="16" t="s">
        <v>584</v>
      </c>
      <c r="B1445" s="99" t="s">
        <v>2002</v>
      </c>
      <c r="C1445" s="96">
        <v>3.7152777777777777</v>
      </c>
      <c r="D1445" s="175">
        <v>44985.0</v>
      </c>
      <c r="E1445" s="97"/>
      <c r="F1445" s="208">
        <v>2023.0</v>
      </c>
      <c r="G1445" s="208" t="s">
        <v>1160</v>
      </c>
      <c r="H1445" s="99" t="s">
        <v>1999</v>
      </c>
      <c r="I1445" s="99" t="s">
        <v>1979</v>
      </c>
      <c r="J1445" s="194"/>
      <c r="K1445" s="177">
        <v>44958.0</v>
      </c>
      <c r="L1445" s="206" t="b">
        <v>0</v>
      </c>
    </row>
    <row r="1446">
      <c r="A1446" s="4" t="s">
        <v>123</v>
      </c>
      <c r="B1446" s="170" t="s">
        <v>2002</v>
      </c>
      <c r="C1446" s="93">
        <v>143.99999999999997</v>
      </c>
      <c r="D1446" s="172">
        <v>44985.0</v>
      </c>
      <c r="E1446" s="94"/>
      <c r="F1446" s="207">
        <v>2023.02</v>
      </c>
      <c r="G1446" s="207" t="s">
        <v>52</v>
      </c>
      <c r="H1446" s="170" t="s">
        <v>1999</v>
      </c>
      <c r="I1446" s="170" t="s">
        <v>1979</v>
      </c>
      <c r="J1446" s="195"/>
      <c r="K1446" s="173">
        <v>44958.0</v>
      </c>
      <c r="L1446" s="204" t="b">
        <v>0</v>
      </c>
    </row>
    <row r="1447">
      <c r="A1447" s="16" t="s">
        <v>629</v>
      </c>
      <c r="B1447" s="99" t="s">
        <v>2002</v>
      </c>
      <c r="C1447" s="96">
        <v>15.152777777777779</v>
      </c>
      <c r="D1447" s="175">
        <v>44985.0</v>
      </c>
      <c r="E1447" s="97"/>
      <c r="F1447" s="208">
        <v>2023.02</v>
      </c>
      <c r="G1447" s="208" t="s">
        <v>52</v>
      </c>
      <c r="H1447" s="99" t="s">
        <v>1999</v>
      </c>
      <c r="I1447" s="99" t="s">
        <v>1979</v>
      </c>
      <c r="J1447" s="194"/>
      <c r="K1447" s="177">
        <v>44958.0</v>
      </c>
      <c r="L1447" s="206" t="b">
        <v>0</v>
      </c>
    </row>
    <row r="1448">
      <c r="A1448" s="4" t="s">
        <v>806</v>
      </c>
      <c r="B1448" s="170" t="s">
        <v>1986</v>
      </c>
      <c r="C1448" s="171">
        <v>87.5</v>
      </c>
      <c r="D1448" s="172">
        <v>45016.0</v>
      </c>
      <c r="E1448" s="170">
        <v>17.0</v>
      </c>
      <c r="F1448" s="207">
        <v>2023.0</v>
      </c>
      <c r="G1448" s="207" t="s">
        <v>1436</v>
      </c>
      <c r="H1448" s="170" t="s">
        <v>1264</v>
      </c>
      <c r="I1448" s="170" t="s">
        <v>1979</v>
      </c>
      <c r="J1448" s="195"/>
      <c r="K1448" s="173">
        <v>44986.0</v>
      </c>
      <c r="L1448" s="204" t="b">
        <v>0</v>
      </c>
    </row>
    <row r="1449">
      <c r="A1449" s="16" t="s">
        <v>82</v>
      </c>
      <c r="B1449" s="99" t="s">
        <v>1986</v>
      </c>
      <c r="C1449" s="174">
        <v>225.0</v>
      </c>
      <c r="D1449" s="175">
        <v>45016.0</v>
      </c>
      <c r="E1449" s="99">
        <v>17.0</v>
      </c>
      <c r="F1449" s="208">
        <v>2023.03</v>
      </c>
      <c r="G1449" s="208" t="s">
        <v>52</v>
      </c>
      <c r="H1449" s="99" t="s">
        <v>1264</v>
      </c>
      <c r="I1449" s="99" t="s">
        <v>1979</v>
      </c>
      <c r="J1449" s="194"/>
      <c r="K1449" s="177">
        <v>44986.0</v>
      </c>
      <c r="L1449" s="206" t="b">
        <v>0</v>
      </c>
    </row>
    <row r="1450">
      <c r="A1450" s="4" t="s">
        <v>92</v>
      </c>
      <c r="B1450" s="170" t="s">
        <v>1986</v>
      </c>
      <c r="C1450" s="171">
        <v>300.0</v>
      </c>
      <c r="D1450" s="172">
        <v>45016.0</v>
      </c>
      <c r="E1450" s="170">
        <v>17.0</v>
      </c>
      <c r="F1450" s="207">
        <v>2023.03</v>
      </c>
      <c r="G1450" s="207" t="s">
        <v>52</v>
      </c>
      <c r="H1450" s="170" t="s">
        <v>1264</v>
      </c>
      <c r="I1450" s="170" t="s">
        <v>1979</v>
      </c>
      <c r="J1450" s="195"/>
      <c r="K1450" s="173">
        <v>44986.0</v>
      </c>
      <c r="L1450" s="204" t="b">
        <v>0</v>
      </c>
    </row>
    <row r="1451">
      <c r="A1451" s="16" t="s">
        <v>695</v>
      </c>
      <c r="B1451" s="99" t="s">
        <v>1986</v>
      </c>
      <c r="C1451" s="174">
        <v>175.0</v>
      </c>
      <c r="D1451" s="175">
        <v>45016.0</v>
      </c>
      <c r="E1451" s="99">
        <v>17.0</v>
      </c>
      <c r="F1451" s="208">
        <v>2023.03</v>
      </c>
      <c r="G1451" s="208" t="s">
        <v>52</v>
      </c>
      <c r="H1451" s="99" t="s">
        <v>1264</v>
      </c>
      <c r="I1451" s="99" t="s">
        <v>1979</v>
      </c>
      <c r="J1451" s="194"/>
      <c r="K1451" s="177">
        <v>44986.0</v>
      </c>
      <c r="L1451" s="206" t="b">
        <v>0</v>
      </c>
    </row>
    <row r="1452">
      <c r="A1452" s="4" t="s">
        <v>795</v>
      </c>
      <c r="B1452" s="170" t="s">
        <v>1986</v>
      </c>
      <c r="C1452" s="171">
        <v>400.0</v>
      </c>
      <c r="D1452" s="172">
        <v>45016.0</v>
      </c>
      <c r="E1452" s="170">
        <v>17.0</v>
      </c>
      <c r="F1452" s="207">
        <v>2023.03</v>
      </c>
      <c r="G1452" s="207" t="s">
        <v>52</v>
      </c>
      <c r="H1452" s="170" t="s">
        <v>1264</v>
      </c>
      <c r="I1452" s="170" t="s">
        <v>1979</v>
      </c>
      <c r="J1452" s="195"/>
      <c r="K1452" s="173">
        <v>44986.0</v>
      </c>
      <c r="L1452" s="204" t="b">
        <v>0</v>
      </c>
    </row>
    <row r="1453">
      <c r="A1453" s="16" t="s">
        <v>1269</v>
      </c>
      <c r="B1453" s="99" t="s">
        <v>1986</v>
      </c>
      <c r="C1453" s="174">
        <v>120.0</v>
      </c>
      <c r="D1453" s="175">
        <v>45016.0</v>
      </c>
      <c r="E1453" s="99">
        <v>17.0</v>
      </c>
      <c r="F1453" s="208">
        <v>2023.0</v>
      </c>
      <c r="G1453" s="208" t="s">
        <v>1152</v>
      </c>
      <c r="H1453" s="99" t="s">
        <v>1264</v>
      </c>
      <c r="I1453" s="99" t="s">
        <v>1270</v>
      </c>
      <c r="J1453" s="81" t="s">
        <v>2123</v>
      </c>
      <c r="K1453" s="177">
        <v>44986.0</v>
      </c>
      <c r="L1453" s="206" t="b">
        <v>0</v>
      </c>
    </row>
    <row r="1454">
      <c r="A1454" s="4" t="s">
        <v>92</v>
      </c>
      <c r="B1454" s="170" t="s">
        <v>1980</v>
      </c>
      <c r="C1454" s="171">
        <v>275.0</v>
      </c>
      <c r="D1454" s="172">
        <v>45016.0</v>
      </c>
      <c r="E1454" s="170">
        <v>121.0</v>
      </c>
      <c r="F1454" s="207">
        <v>2023.03</v>
      </c>
      <c r="G1454" s="207" t="s">
        <v>52</v>
      </c>
      <c r="H1454" s="170" t="s">
        <v>1264</v>
      </c>
      <c r="I1454" s="170" t="s">
        <v>1979</v>
      </c>
      <c r="J1454" s="195"/>
      <c r="K1454" s="173">
        <v>44986.0</v>
      </c>
      <c r="L1454" s="204" t="b">
        <v>0</v>
      </c>
    </row>
    <row r="1455">
      <c r="A1455" s="16" t="s">
        <v>88</v>
      </c>
      <c r="B1455" s="99" t="s">
        <v>1980</v>
      </c>
      <c r="C1455" s="174">
        <v>45.0</v>
      </c>
      <c r="D1455" s="175">
        <v>45016.0</v>
      </c>
      <c r="E1455" s="99">
        <v>121.0</v>
      </c>
      <c r="F1455" s="208">
        <v>2023.03</v>
      </c>
      <c r="G1455" s="208" t="s">
        <v>52</v>
      </c>
      <c r="H1455" s="99" t="s">
        <v>1264</v>
      </c>
      <c r="I1455" s="99" t="s">
        <v>1979</v>
      </c>
      <c r="J1455" s="194"/>
      <c r="K1455" s="177">
        <v>44986.0</v>
      </c>
      <c r="L1455" s="206" t="b">
        <v>0</v>
      </c>
    </row>
    <row r="1456">
      <c r="A1456" s="4" t="s">
        <v>97</v>
      </c>
      <c r="B1456" s="170" t="s">
        <v>1980</v>
      </c>
      <c r="C1456" s="171">
        <v>30.0</v>
      </c>
      <c r="D1456" s="172">
        <v>45016.0</v>
      </c>
      <c r="E1456" s="170">
        <v>121.0</v>
      </c>
      <c r="F1456" s="207">
        <v>2023.03</v>
      </c>
      <c r="G1456" s="207" t="s">
        <v>52</v>
      </c>
      <c r="H1456" s="170" t="s">
        <v>1264</v>
      </c>
      <c r="I1456" s="170" t="s">
        <v>1979</v>
      </c>
      <c r="J1456" s="195"/>
      <c r="K1456" s="173">
        <v>44986.0</v>
      </c>
      <c r="L1456" s="204" t="b">
        <v>0</v>
      </c>
    </row>
    <row r="1457">
      <c r="A1457" s="16" t="s">
        <v>82</v>
      </c>
      <c r="B1457" s="99" t="s">
        <v>1980</v>
      </c>
      <c r="C1457" s="174">
        <v>90.0</v>
      </c>
      <c r="D1457" s="175">
        <v>45016.0</v>
      </c>
      <c r="E1457" s="99">
        <v>121.0</v>
      </c>
      <c r="F1457" s="208">
        <v>2023.03</v>
      </c>
      <c r="G1457" s="208" t="s">
        <v>52</v>
      </c>
      <c r="H1457" s="99" t="s">
        <v>1264</v>
      </c>
      <c r="I1457" s="99" t="s">
        <v>1979</v>
      </c>
      <c r="J1457" s="194"/>
      <c r="K1457" s="177">
        <v>44986.0</v>
      </c>
      <c r="L1457" s="206" t="b">
        <v>0</v>
      </c>
    </row>
    <row r="1458">
      <c r="A1458" s="4" t="s">
        <v>99</v>
      </c>
      <c r="B1458" s="170" t="s">
        <v>1980</v>
      </c>
      <c r="C1458" s="171">
        <v>235.0</v>
      </c>
      <c r="D1458" s="172">
        <v>45016.0</v>
      </c>
      <c r="E1458" s="170">
        <v>121.0</v>
      </c>
      <c r="F1458" s="207">
        <v>2023.03</v>
      </c>
      <c r="G1458" s="207" t="s">
        <v>52</v>
      </c>
      <c r="H1458" s="170" t="s">
        <v>1264</v>
      </c>
      <c r="I1458" s="170" t="s">
        <v>1979</v>
      </c>
      <c r="J1458" s="195"/>
      <c r="K1458" s="173">
        <v>44986.0</v>
      </c>
      <c r="L1458" s="204" t="b">
        <v>0</v>
      </c>
    </row>
    <row r="1459">
      <c r="A1459" s="16" t="s">
        <v>42</v>
      </c>
      <c r="B1459" s="99" t="s">
        <v>1980</v>
      </c>
      <c r="C1459" s="174">
        <v>135.0</v>
      </c>
      <c r="D1459" s="175">
        <v>45016.0</v>
      </c>
      <c r="E1459" s="99">
        <v>121.0</v>
      </c>
      <c r="F1459" s="208">
        <v>2023.03</v>
      </c>
      <c r="G1459" s="208" t="s">
        <v>52</v>
      </c>
      <c r="H1459" s="99" t="s">
        <v>1264</v>
      </c>
      <c r="I1459" s="99" t="s">
        <v>1979</v>
      </c>
      <c r="J1459" s="194"/>
      <c r="K1459" s="177">
        <v>44986.0</v>
      </c>
      <c r="L1459" s="206" t="b">
        <v>0</v>
      </c>
    </row>
    <row r="1460">
      <c r="A1460" s="4" t="s">
        <v>123</v>
      </c>
      <c r="B1460" s="170" t="s">
        <v>1980</v>
      </c>
      <c r="C1460" s="171">
        <v>200.0</v>
      </c>
      <c r="D1460" s="172">
        <v>45016.0</v>
      </c>
      <c r="E1460" s="170">
        <v>121.0</v>
      </c>
      <c r="F1460" s="207">
        <v>2023.03</v>
      </c>
      <c r="G1460" s="207" t="s">
        <v>52</v>
      </c>
      <c r="H1460" s="170" t="s">
        <v>1264</v>
      </c>
      <c r="I1460" s="170" t="s">
        <v>1979</v>
      </c>
      <c r="J1460" s="195"/>
      <c r="K1460" s="173">
        <v>44986.0</v>
      </c>
      <c r="L1460" s="204" t="b">
        <v>0</v>
      </c>
    </row>
    <row r="1461">
      <c r="A1461" s="16" t="s">
        <v>73</v>
      </c>
      <c r="B1461" s="99" t="s">
        <v>1980</v>
      </c>
      <c r="C1461" s="174">
        <v>75.0</v>
      </c>
      <c r="D1461" s="175">
        <v>45016.0</v>
      </c>
      <c r="E1461" s="99">
        <v>121.0</v>
      </c>
      <c r="F1461" s="208">
        <v>2023.03</v>
      </c>
      <c r="G1461" s="208" t="s">
        <v>52</v>
      </c>
      <c r="H1461" s="99" t="s">
        <v>1264</v>
      </c>
      <c r="I1461" s="99" t="s">
        <v>1979</v>
      </c>
      <c r="J1461" s="194"/>
      <c r="K1461" s="177">
        <v>44986.0</v>
      </c>
      <c r="L1461" s="206" t="b">
        <v>0</v>
      </c>
    </row>
    <row r="1462">
      <c r="A1462" s="4" t="s">
        <v>50</v>
      </c>
      <c r="B1462" s="170" t="s">
        <v>1980</v>
      </c>
      <c r="C1462" s="171">
        <v>30.0</v>
      </c>
      <c r="D1462" s="172">
        <v>45016.0</v>
      </c>
      <c r="E1462" s="170">
        <v>121.0</v>
      </c>
      <c r="F1462" s="207">
        <v>2023.03</v>
      </c>
      <c r="G1462" s="207" t="s">
        <v>52</v>
      </c>
      <c r="H1462" s="170" t="s">
        <v>1264</v>
      </c>
      <c r="I1462" s="170" t="s">
        <v>1979</v>
      </c>
      <c r="J1462" s="195"/>
      <c r="K1462" s="173">
        <v>44986.0</v>
      </c>
      <c r="L1462" s="204" t="b">
        <v>0</v>
      </c>
    </row>
    <row r="1463">
      <c r="A1463" s="16" t="s">
        <v>62</v>
      </c>
      <c r="B1463" s="99" t="s">
        <v>1980</v>
      </c>
      <c r="C1463" s="174">
        <v>300.0</v>
      </c>
      <c r="D1463" s="175">
        <v>45016.0</v>
      </c>
      <c r="E1463" s="99">
        <v>121.0</v>
      </c>
      <c r="F1463" s="208">
        <v>2023.03</v>
      </c>
      <c r="G1463" s="208" t="s">
        <v>52</v>
      </c>
      <c r="H1463" s="99" t="s">
        <v>1264</v>
      </c>
      <c r="I1463" s="99" t="s">
        <v>1979</v>
      </c>
      <c r="J1463" s="194"/>
      <c r="K1463" s="177">
        <v>44986.0</v>
      </c>
      <c r="L1463" s="206" t="b">
        <v>0</v>
      </c>
    </row>
    <row r="1464">
      <c r="A1464" s="4" t="s">
        <v>223</v>
      </c>
      <c r="B1464" s="170" t="s">
        <v>1980</v>
      </c>
      <c r="C1464" s="171">
        <v>75.0</v>
      </c>
      <c r="D1464" s="172">
        <v>45016.0</v>
      </c>
      <c r="E1464" s="170">
        <v>121.0</v>
      </c>
      <c r="F1464" s="207">
        <v>2023.03</v>
      </c>
      <c r="G1464" s="207" t="s">
        <v>52</v>
      </c>
      <c r="H1464" s="170" t="s">
        <v>1264</v>
      </c>
      <c r="I1464" s="170" t="s">
        <v>1979</v>
      </c>
      <c r="J1464" s="195"/>
      <c r="K1464" s="173">
        <v>44986.0</v>
      </c>
      <c r="L1464" s="204" t="b">
        <v>0</v>
      </c>
    </row>
    <row r="1465">
      <c r="A1465" s="16" t="s">
        <v>225</v>
      </c>
      <c r="B1465" s="99" t="s">
        <v>1980</v>
      </c>
      <c r="C1465" s="174">
        <v>1860.0</v>
      </c>
      <c r="D1465" s="175">
        <v>45016.0</v>
      </c>
      <c r="E1465" s="99">
        <v>121.0</v>
      </c>
      <c r="F1465" s="208">
        <v>2023.03</v>
      </c>
      <c r="G1465" s="208" t="s">
        <v>52</v>
      </c>
      <c r="H1465" s="99" t="s">
        <v>1264</v>
      </c>
      <c r="I1465" s="99" t="s">
        <v>1979</v>
      </c>
      <c r="J1465" s="194"/>
      <c r="K1465" s="177">
        <v>44986.0</v>
      </c>
      <c r="L1465" s="206" t="b">
        <v>0</v>
      </c>
    </row>
    <row r="1466">
      <c r="A1466" s="4" t="s">
        <v>66</v>
      </c>
      <c r="B1466" s="170" t="s">
        <v>1980</v>
      </c>
      <c r="C1466" s="171">
        <v>90.0</v>
      </c>
      <c r="D1466" s="172">
        <v>45016.0</v>
      </c>
      <c r="E1466" s="170">
        <v>121.0</v>
      </c>
      <c r="F1466" s="207">
        <v>2023.03</v>
      </c>
      <c r="G1466" s="207" t="s">
        <v>52</v>
      </c>
      <c r="H1466" s="170" t="s">
        <v>1264</v>
      </c>
      <c r="I1466" s="170" t="s">
        <v>1979</v>
      </c>
      <c r="J1466" s="195"/>
      <c r="K1466" s="173">
        <v>44986.0</v>
      </c>
      <c r="L1466" s="204" t="b">
        <v>0</v>
      </c>
    </row>
    <row r="1467">
      <c r="A1467" s="16" t="s">
        <v>695</v>
      </c>
      <c r="B1467" s="99" t="s">
        <v>1980</v>
      </c>
      <c r="C1467" s="174">
        <v>45.0</v>
      </c>
      <c r="D1467" s="175">
        <v>45016.0</v>
      </c>
      <c r="E1467" s="99">
        <v>121.0</v>
      </c>
      <c r="F1467" s="208">
        <v>2023.03</v>
      </c>
      <c r="G1467" s="208" t="s">
        <v>52</v>
      </c>
      <c r="H1467" s="99" t="s">
        <v>1264</v>
      </c>
      <c r="I1467" s="99" t="s">
        <v>1979</v>
      </c>
      <c r="J1467" s="194"/>
      <c r="K1467" s="177">
        <v>44986.0</v>
      </c>
      <c r="L1467" s="206" t="b">
        <v>0</v>
      </c>
    </row>
    <row r="1468">
      <c r="A1468" s="4" t="s">
        <v>499</v>
      </c>
      <c r="B1468" s="170" t="s">
        <v>1980</v>
      </c>
      <c r="C1468" s="171">
        <v>100.0</v>
      </c>
      <c r="D1468" s="172">
        <v>45016.0</v>
      </c>
      <c r="E1468" s="170">
        <v>121.0</v>
      </c>
      <c r="F1468" s="207">
        <v>2023.03</v>
      </c>
      <c r="G1468" s="207" t="s">
        <v>52</v>
      </c>
      <c r="H1468" s="170" t="s">
        <v>1264</v>
      </c>
      <c r="I1468" s="170" t="s">
        <v>1979</v>
      </c>
      <c r="J1468" s="195"/>
      <c r="K1468" s="173">
        <v>44986.0</v>
      </c>
      <c r="L1468" s="204" t="b">
        <v>0</v>
      </c>
    </row>
    <row r="1469">
      <c r="A1469" s="16" t="s">
        <v>810</v>
      </c>
      <c r="B1469" s="99" t="s">
        <v>1980</v>
      </c>
      <c r="C1469" s="174">
        <v>60.0</v>
      </c>
      <c r="D1469" s="175">
        <v>45016.0</v>
      </c>
      <c r="E1469" s="99">
        <v>121.0</v>
      </c>
      <c r="F1469" s="208">
        <v>2023.03</v>
      </c>
      <c r="G1469" s="208" t="s">
        <v>52</v>
      </c>
      <c r="H1469" s="99" t="s">
        <v>1264</v>
      </c>
      <c r="I1469" s="99" t="s">
        <v>1979</v>
      </c>
      <c r="J1469" s="194"/>
      <c r="K1469" s="177">
        <v>44986.0</v>
      </c>
      <c r="L1469" s="206" t="b">
        <v>0</v>
      </c>
    </row>
    <row r="1470">
      <c r="A1470" s="4" t="s">
        <v>762</v>
      </c>
      <c r="B1470" s="170" t="s">
        <v>1980</v>
      </c>
      <c r="C1470" s="93">
        <f>60+262.5</f>
        <v>322.5</v>
      </c>
      <c r="D1470" s="172">
        <v>45016.0</v>
      </c>
      <c r="E1470" s="170">
        <v>121.0</v>
      </c>
      <c r="F1470" s="207">
        <v>2023.03</v>
      </c>
      <c r="G1470" s="207" t="s">
        <v>52</v>
      </c>
      <c r="H1470" s="170" t="s">
        <v>1264</v>
      </c>
      <c r="I1470" s="170" t="s">
        <v>1979</v>
      </c>
      <c r="J1470" s="195"/>
      <c r="K1470" s="173">
        <v>44986.0</v>
      </c>
      <c r="L1470" s="204" t="b">
        <v>0</v>
      </c>
    </row>
    <row r="1471">
      <c r="A1471" s="16" t="s">
        <v>740</v>
      </c>
      <c r="B1471" s="99" t="s">
        <v>1980</v>
      </c>
      <c r="C1471" s="174">
        <v>425.0</v>
      </c>
      <c r="D1471" s="175">
        <v>45016.0</v>
      </c>
      <c r="E1471" s="99">
        <v>121.0</v>
      </c>
      <c r="F1471" s="208">
        <v>2023.0</v>
      </c>
      <c r="G1471" s="208" t="s">
        <v>1160</v>
      </c>
      <c r="H1471" s="99" t="s">
        <v>1264</v>
      </c>
      <c r="I1471" s="99" t="s">
        <v>1979</v>
      </c>
      <c r="J1471" s="194"/>
      <c r="K1471" s="177">
        <v>44986.0</v>
      </c>
      <c r="L1471" s="206" t="b">
        <v>0</v>
      </c>
    </row>
    <row r="1472">
      <c r="A1472" s="4" t="s">
        <v>788</v>
      </c>
      <c r="B1472" s="170" t="s">
        <v>1980</v>
      </c>
      <c r="C1472" s="171">
        <v>710.0</v>
      </c>
      <c r="D1472" s="172">
        <v>45016.0</v>
      </c>
      <c r="E1472" s="170">
        <v>121.0</v>
      </c>
      <c r="F1472" s="207">
        <v>2023.03</v>
      </c>
      <c r="G1472" s="207" t="s">
        <v>52</v>
      </c>
      <c r="H1472" s="170" t="s">
        <v>1264</v>
      </c>
      <c r="I1472" s="170" t="s">
        <v>1979</v>
      </c>
      <c r="J1472" s="195"/>
      <c r="K1472" s="173">
        <v>44986.0</v>
      </c>
      <c r="L1472" s="204" t="b">
        <v>0</v>
      </c>
    </row>
    <row r="1473">
      <c r="A1473" s="16" t="s">
        <v>817</v>
      </c>
      <c r="B1473" s="99" t="s">
        <v>1980</v>
      </c>
      <c r="C1473" s="174">
        <v>1200.0</v>
      </c>
      <c r="D1473" s="175">
        <v>45016.0</v>
      </c>
      <c r="E1473" s="99">
        <v>121.0</v>
      </c>
      <c r="F1473" s="208">
        <v>2023.03</v>
      </c>
      <c r="G1473" s="208" t="s">
        <v>52</v>
      </c>
      <c r="H1473" s="99" t="s">
        <v>1264</v>
      </c>
      <c r="I1473" s="99" t="s">
        <v>1979</v>
      </c>
      <c r="J1473" s="194"/>
      <c r="K1473" s="177">
        <v>44986.0</v>
      </c>
      <c r="L1473" s="206" t="b">
        <v>0</v>
      </c>
    </row>
    <row r="1474">
      <c r="A1474" s="4" t="s">
        <v>795</v>
      </c>
      <c r="B1474" s="170" t="s">
        <v>1980</v>
      </c>
      <c r="C1474" s="171">
        <v>390.0</v>
      </c>
      <c r="D1474" s="172">
        <v>45016.0</v>
      </c>
      <c r="E1474" s="170">
        <v>121.0</v>
      </c>
      <c r="F1474" s="207">
        <v>2023.03</v>
      </c>
      <c r="G1474" s="207" t="s">
        <v>52</v>
      </c>
      <c r="H1474" s="170" t="s">
        <v>1264</v>
      </c>
      <c r="I1474" s="170" t="s">
        <v>1979</v>
      </c>
      <c r="J1474" s="195"/>
      <c r="K1474" s="173">
        <v>44986.0</v>
      </c>
      <c r="L1474" s="204" t="b">
        <v>0</v>
      </c>
    </row>
    <row r="1475">
      <c r="A1475" s="16" t="s">
        <v>481</v>
      </c>
      <c r="B1475" s="99" t="s">
        <v>1980</v>
      </c>
      <c r="C1475" s="174">
        <v>175.0</v>
      </c>
      <c r="D1475" s="175">
        <v>45016.0</v>
      </c>
      <c r="E1475" s="99">
        <v>121.0</v>
      </c>
      <c r="F1475" s="208">
        <v>2023.0</v>
      </c>
      <c r="G1475" s="208" t="s">
        <v>1160</v>
      </c>
      <c r="H1475" s="99" t="s">
        <v>1264</v>
      </c>
      <c r="I1475" s="99" t="s">
        <v>1979</v>
      </c>
      <c r="J1475" s="194"/>
      <c r="K1475" s="177">
        <v>44986.0</v>
      </c>
      <c r="L1475" s="206" t="b">
        <v>0</v>
      </c>
    </row>
    <row r="1476">
      <c r="A1476" s="4" t="s">
        <v>861</v>
      </c>
      <c r="B1476" s="170" t="s">
        <v>1980</v>
      </c>
      <c r="C1476" s="171">
        <v>930.0</v>
      </c>
      <c r="D1476" s="172">
        <v>45016.0</v>
      </c>
      <c r="E1476" s="170">
        <v>121.0</v>
      </c>
      <c r="F1476" s="207">
        <v>2023.03</v>
      </c>
      <c r="G1476" s="207" t="s">
        <v>52</v>
      </c>
      <c r="H1476" s="170" t="s">
        <v>1264</v>
      </c>
      <c r="I1476" s="170" t="s">
        <v>1979</v>
      </c>
      <c r="J1476" s="195"/>
      <c r="K1476" s="173">
        <v>44986.0</v>
      </c>
      <c r="L1476" s="204" t="b">
        <v>0</v>
      </c>
    </row>
    <row r="1477">
      <c r="A1477" s="16" t="s">
        <v>806</v>
      </c>
      <c r="B1477" s="99" t="s">
        <v>1980</v>
      </c>
      <c r="C1477" s="174">
        <v>45.0</v>
      </c>
      <c r="D1477" s="175">
        <v>45016.0</v>
      </c>
      <c r="E1477" s="99">
        <v>121.0</v>
      </c>
      <c r="F1477" s="208">
        <v>2023.0</v>
      </c>
      <c r="G1477" s="208" t="s">
        <v>1436</v>
      </c>
      <c r="H1477" s="99" t="s">
        <v>1264</v>
      </c>
      <c r="I1477" s="99" t="s">
        <v>1979</v>
      </c>
      <c r="J1477" s="194"/>
      <c r="K1477" s="177">
        <v>44986.0</v>
      </c>
      <c r="L1477" s="206" t="b">
        <v>0</v>
      </c>
    </row>
    <row r="1478">
      <c r="A1478" s="4" t="s">
        <v>102</v>
      </c>
      <c r="B1478" s="170" t="s">
        <v>1987</v>
      </c>
      <c r="C1478" s="171">
        <v>150.0</v>
      </c>
      <c r="D1478" s="172">
        <v>45016.0</v>
      </c>
      <c r="E1478" s="170">
        <v>1031.0</v>
      </c>
      <c r="F1478" s="207">
        <v>2023.03</v>
      </c>
      <c r="G1478" s="207" t="s">
        <v>52</v>
      </c>
      <c r="H1478" s="170" t="s">
        <v>1264</v>
      </c>
      <c r="I1478" s="170" t="s">
        <v>1979</v>
      </c>
      <c r="J1478" s="195"/>
      <c r="K1478" s="173">
        <v>44986.0</v>
      </c>
      <c r="L1478" s="204" t="b">
        <v>0</v>
      </c>
    </row>
    <row r="1479">
      <c r="A1479" s="16" t="s">
        <v>115</v>
      </c>
      <c r="B1479" s="99" t="s">
        <v>1982</v>
      </c>
      <c r="C1479" s="174">
        <v>662.5</v>
      </c>
      <c r="D1479" s="175">
        <v>45016.0</v>
      </c>
      <c r="E1479" s="99" t="s">
        <v>2124</v>
      </c>
      <c r="F1479" s="208">
        <v>2023.03</v>
      </c>
      <c r="G1479" s="208" t="s">
        <v>52</v>
      </c>
      <c r="H1479" s="99" t="s">
        <v>1264</v>
      </c>
      <c r="I1479" s="99" t="s">
        <v>1979</v>
      </c>
      <c r="J1479" s="194"/>
      <c r="K1479" s="177">
        <v>44986.0</v>
      </c>
      <c r="L1479" s="206" t="b">
        <v>0</v>
      </c>
    </row>
    <row r="1480">
      <c r="A1480" s="4" t="s">
        <v>118</v>
      </c>
      <c r="B1480" s="170" t="s">
        <v>1982</v>
      </c>
      <c r="C1480" s="171">
        <v>662.5</v>
      </c>
      <c r="D1480" s="172">
        <v>45016.0</v>
      </c>
      <c r="E1480" s="170" t="s">
        <v>2124</v>
      </c>
      <c r="F1480" s="207">
        <v>2023.03</v>
      </c>
      <c r="G1480" s="207" t="s">
        <v>52</v>
      </c>
      <c r="H1480" s="170" t="s">
        <v>1264</v>
      </c>
      <c r="I1480" s="170" t="s">
        <v>1979</v>
      </c>
      <c r="J1480" s="195"/>
      <c r="K1480" s="173">
        <v>44986.0</v>
      </c>
      <c r="L1480" s="204" t="b">
        <v>0</v>
      </c>
    </row>
    <row r="1481">
      <c r="A1481" s="16" t="s">
        <v>92</v>
      </c>
      <c r="B1481" s="99" t="s">
        <v>1982</v>
      </c>
      <c r="C1481" s="174">
        <v>562.5</v>
      </c>
      <c r="D1481" s="175">
        <v>45016.0</v>
      </c>
      <c r="E1481" s="99" t="s">
        <v>2124</v>
      </c>
      <c r="F1481" s="208">
        <v>2023.03</v>
      </c>
      <c r="G1481" s="208" t="s">
        <v>52</v>
      </c>
      <c r="H1481" s="99" t="s">
        <v>1264</v>
      </c>
      <c r="I1481" s="99" t="s">
        <v>1979</v>
      </c>
      <c r="J1481" s="194"/>
      <c r="K1481" s="177">
        <v>44986.0</v>
      </c>
      <c r="L1481" s="206" t="b">
        <v>0</v>
      </c>
    </row>
    <row r="1482">
      <c r="A1482" s="4" t="s">
        <v>123</v>
      </c>
      <c r="B1482" s="170" t="s">
        <v>1982</v>
      </c>
      <c r="C1482" s="171">
        <v>675.0</v>
      </c>
      <c r="D1482" s="172">
        <v>45016.0</v>
      </c>
      <c r="E1482" s="170" t="s">
        <v>2124</v>
      </c>
      <c r="F1482" s="207">
        <v>2023.03</v>
      </c>
      <c r="G1482" s="207" t="s">
        <v>52</v>
      </c>
      <c r="H1482" s="170" t="s">
        <v>1264</v>
      </c>
      <c r="I1482" s="170" t="s">
        <v>1979</v>
      </c>
      <c r="J1482" s="195"/>
      <c r="K1482" s="173">
        <v>44986.0</v>
      </c>
      <c r="L1482" s="204" t="b">
        <v>0</v>
      </c>
    </row>
    <row r="1483">
      <c r="A1483" s="16" t="s">
        <v>62</v>
      </c>
      <c r="B1483" s="99" t="s">
        <v>1982</v>
      </c>
      <c r="C1483" s="174">
        <v>450.0</v>
      </c>
      <c r="D1483" s="175">
        <v>45016.0</v>
      </c>
      <c r="E1483" s="99" t="s">
        <v>2124</v>
      </c>
      <c r="F1483" s="208">
        <v>2023.03</v>
      </c>
      <c r="G1483" s="208" t="s">
        <v>52</v>
      </c>
      <c r="H1483" s="99" t="s">
        <v>1264</v>
      </c>
      <c r="I1483" s="99" t="s">
        <v>1979</v>
      </c>
      <c r="J1483" s="194"/>
      <c r="K1483" s="177">
        <v>44986.0</v>
      </c>
      <c r="L1483" s="206" t="b">
        <v>0</v>
      </c>
    </row>
    <row r="1484">
      <c r="A1484" s="4" t="s">
        <v>99</v>
      </c>
      <c r="B1484" s="170" t="s">
        <v>2036</v>
      </c>
      <c r="C1484" s="171">
        <v>400.0</v>
      </c>
      <c r="D1484" s="172">
        <v>45016.0</v>
      </c>
      <c r="E1484" s="188">
        <v>44986.0</v>
      </c>
      <c r="F1484" s="207">
        <v>2023.03</v>
      </c>
      <c r="G1484" s="207" t="s">
        <v>52</v>
      </c>
      <c r="H1484" s="170" t="s">
        <v>1264</v>
      </c>
      <c r="I1484" s="170" t="s">
        <v>1979</v>
      </c>
      <c r="J1484" s="195"/>
      <c r="K1484" s="173">
        <v>44986.0</v>
      </c>
      <c r="L1484" s="204" t="b">
        <v>0</v>
      </c>
    </row>
    <row r="1485">
      <c r="A1485" s="16" t="s">
        <v>42</v>
      </c>
      <c r="B1485" s="99" t="s">
        <v>2036</v>
      </c>
      <c r="C1485" s="174">
        <v>287.5</v>
      </c>
      <c r="D1485" s="175">
        <v>45016.0</v>
      </c>
      <c r="E1485" s="189">
        <v>44986.0</v>
      </c>
      <c r="F1485" s="208">
        <v>2023.03</v>
      </c>
      <c r="G1485" s="208" t="s">
        <v>52</v>
      </c>
      <c r="H1485" s="99" t="s">
        <v>1264</v>
      </c>
      <c r="I1485" s="99" t="s">
        <v>1979</v>
      </c>
      <c r="J1485" s="194"/>
      <c r="K1485" s="177">
        <v>44986.0</v>
      </c>
      <c r="L1485" s="206" t="b">
        <v>0</v>
      </c>
    </row>
    <row r="1486">
      <c r="A1486" s="4" t="s">
        <v>499</v>
      </c>
      <c r="B1486" s="170" t="s">
        <v>2036</v>
      </c>
      <c r="C1486" s="171">
        <v>200.0</v>
      </c>
      <c r="D1486" s="172">
        <v>45016.0</v>
      </c>
      <c r="E1486" s="188">
        <v>44986.0</v>
      </c>
      <c r="F1486" s="207">
        <v>2023.03</v>
      </c>
      <c r="G1486" s="207" t="s">
        <v>52</v>
      </c>
      <c r="H1486" s="170" t="s">
        <v>1264</v>
      </c>
      <c r="I1486" s="170" t="s">
        <v>1979</v>
      </c>
      <c r="J1486" s="195"/>
      <c r="K1486" s="173">
        <v>44986.0</v>
      </c>
      <c r="L1486" s="204" t="b">
        <v>0</v>
      </c>
    </row>
    <row r="1487">
      <c r="A1487" s="16" t="s">
        <v>861</v>
      </c>
      <c r="B1487" s="99" t="s">
        <v>2036</v>
      </c>
      <c r="C1487" s="174">
        <v>1100.0</v>
      </c>
      <c r="D1487" s="175">
        <v>45016.0</v>
      </c>
      <c r="E1487" s="189">
        <v>44986.0</v>
      </c>
      <c r="F1487" s="208">
        <v>2023.03</v>
      </c>
      <c r="G1487" s="208" t="s">
        <v>52</v>
      </c>
      <c r="H1487" s="99" t="s">
        <v>1264</v>
      </c>
      <c r="I1487" s="99" t="s">
        <v>1979</v>
      </c>
      <c r="J1487" s="194"/>
      <c r="K1487" s="177">
        <v>44986.0</v>
      </c>
      <c r="L1487" s="206" t="b">
        <v>0</v>
      </c>
    </row>
    <row r="1488">
      <c r="A1488" s="4" t="s">
        <v>890</v>
      </c>
      <c r="B1488" s="170" t="s">
        <v>2036</v>
      </c>
      <c r="C1488" s="171">
        <v>300.0</v>
      </c>
      <c r="D1488" s="172">
        <v>45016.0</v>
      </c>
      <c r="E1488" s="188">
        <v>44986.0</v>
      </c>
      <c r="F1488" s="207">
        <v>2023.03</v>
      </c>
      <c r="G1488" s="207" t="s">
        <v>52</v>
      </c>
      <c r="H1488" s="170" t="s">
        <v>1264</v>
      </c>
      <c r="I1488" s="170" t="s">
        <v>1979</v>
      </c>
      <c r="J1488" s="195"/>
      <c r="K1488" s="173">
        <v>44986.0</v>
      </c>
      <c r="L1488" s="204" t="b">
        <v>0</v>
      </c>
    </row>
    <row r="1489">
      <c r="A1489" s="16" t="s">
        <v>549</v>
      </c>
      <c r="B1489" s="99" t="s">
        <v>2036</v>
      </c>
      <c r="C1489" s="174">
        <v>150.0</v>
      </c>
      <c r="D1489" s="175">
        <v>45016.0</v>
      </c>
      <c r="E1489" s="189">
        <v>44986.0</v>
      </c>
      <c r="F1489" s="208">
        <v>2023.03</v>
      </c>
      <c r="G1489" s="208" t="s">
        <v>52</v>
      </c>
      <c r="H1489" s="99" t="s">
        <v>1264</v>
      </c>
      <c r="I1489" s="99" t="s">
        <v>1979</v>
      </c>
      <c r="J1489" s="194"/>
      <c r="K1489" s="177">
        <v>44986.0</v>
      </c>
      <c r="L1489" s="206" t="b">
        <v>0</v>
      </c>
    </row>
    <row r="1490">
      <c r="A1490" s="4" t="s">
        <v>662</v>
      </c>
      <c r="B1490" s="170" t="s">
        <v>2036</v>
      </c>
      <c r="C1490" s="171">
        <v>550.0</v>
      </c>
      <c r="D1490" s="172">
        <v>45016.0</v>
      </c>
      <c r="E1490" s="188">
        <v>44986.0</v>
      </c>
      <c r="F1490" s="207">
        <v>2023.03</v>
      </c>
      <c r="G1490" s="207" t="s">
        <v>52</v>
      </c>
      <c r="H1490" s="170" t="s">
        <v>1264</v>
      </c>
      <c r="I1490" s="170" t="s">
        <v>1979</v>
      </c>
      <c r="J1490" s="195"/>
      <c r="K1490" s="173">
        <v>44986.0</v>
      </c>
      <c r="L1490" s="204" t="b">
        <v>0</v>
      </c>
    </row>
    <row r="1491">
      <c r="A1491" s="16" t="s">
        <v>42</v>
      </c>
      <c r="B1491" s="99" t="s">
        <v>1984</v>
      </c>
      <c r="C1491" s="174">
        <v>350.0</v>
      </c>
      <c r="D1491" s="175">
        <v>45016.0</v>
      </c>
      <c r="E1491" s="99">
        <v>2.0</v>
      </c>
      <c r="F1491" s="208">
        <v>2023.03</v>
      </c>
      <c r="G1491" s="208" t="s">
        <v>52</v>
      </c>
      <c r="H1491" s="99" t="s">
        <v>1264</v>
      </c>
      <c r="I1491" s="99" t="s">
        <v>1979</v>
      </c>
      <c r="J1491" s="194"/>
      <c r="K1491" s="177">
        <v>44986.0</v>
      </c>
      <c r="L1491" s="206" t="b">
        <v>0</v>
      </c>
    </row>
    <row r="1492">
      <c r="A1492" s="4" t="s">
        <v>54</v>
      </c>
      <c r="B1492" s="170" t="s">
        <v>1985</v>
      </c>
      <c r="C1492" s="171">
        <v>337.5</v>
      </c>
      <c r="D1492" s="172">
        <v>45016.0</v>
      </c>
      <c r="E1492" s="170">
        <v>32.0</v>
      </c>
      <c r="F1492" s="207">
        <v>2023.03</v>
      </c>
      <c r="G1492" s="207" t="s">
        <v>52</v>
      </c>
      <c r="H1492" s="170" t="s">
        <v>1264</v>
      </c>
      <c r="I1492" s="170" t="s">
        <v>1979</v>
      </c>
      <c r="J1492" s="195"/>
      <c r="K1492" s="173">
        <v>44986.0</v>
      </c>
      <c r="L1492" s="204" t="b">
        <v>0</v>
      </c>
    </row>
    <row r="1493">
      <c r="A1493" s="16" t="s">
        <v>120</v>
      </c>
      <c r="B1493" s="99" t="s">
        <v>1985</v>
      </c>
      <c r="C1493" s="174">
        <v>562.5</v>
      </c>
      <c r="D1493" s="175">
        <v>45016.0</v>
      </c>
      <c r="E1493" s="99">
        <v>32.0</v>
      </c>
      <c r="F1493" s="208">
        <v>2023.03</v>
      </c>
      <c r="G1493" s="208" t="s">
        <v>52</v>
      </c>
      <c r="H1493" s="99" t="s">
        <v>1264</v>
      </c>
      <c r="I1493" s="99" t="s">
        <v>1979</v>
      </c>
      <c r="J1493" s="194"/>
      <c r="K1493" s="177">
        <v>44986.0</v>
      </c>
      <c r="L1493" s="206" t="b">
        <v>0</v>
      </c>
    </row>
    <row r="1494">
      <c r="A1494" s="4" t="s">
        <v>499</v>
      </c>
      <c r="B1494" s="170" t="s">
        <v>1985</v>
      </c>
      <c r="C1494" s="171">
        <v>300.0</v>
      </c>
      <c r="D1494" s="172">
        <v>45016.0</v>
      </c>
      <c r="E1494" s="170">
        <v>32.0</v>
      </c>
      <c r="F1494" s="207">
        <v>2023.03</v>
      </c>
      <c r="G1494" s="207" t="s">
        <v>52</v>
      </c>
      <c r="H1494" s="170" t="s">
        <v>1264</v>
      </c>
      <c r="I1494" s="170" t="s">
        <v>1979</v>
      </c>
      <c r="J1494" s="195"/>
      <c r="K1494" s="173">
        <v>44986.0</v>
      </c>
      <c r="L1494" s="204" t="b">
        <v>0</v>
      </c>
    </row>
    <row r="1495">
      <c r="A1495" s="16" t="s">
        <v>788</v>
      </c>
      <c r="B1495" s="99" t="s">
        <v>1985</v>
      </c>
      <c r="C1495" s="174">
        <v>300.0</v>
      </c>
      <c r="D1495" s="175">
        <v>45016.0</v>
      </c>
      <c r="E1495" s="99">
        <v>32.0</v>
      </c>
      <c r="F1495" s="208">
        <v>2023.03</v>
      </c>
      <c r="G1495" s="208" t="s">
        <v>52</v>
      </c>
      <c r="H1495" s="99" t="s">
        <v>1264</v>
      </c>
      <c r="I1495" s="99" t="s">
        <v>1979</v>
      </c>
      <c r="J1495" s="194"/>
      <c r="K1495" s="177">
        <v>44986.0</v>
      </c>
      <c r="L1495" s="206" t="b">
        <v>0</v>
      </c>
    </row>
    <row r="1496">
      <c r="A1496" s="4" t="s">
        <v>662</v>
      </c>
      <c r="B1496" s="170" t="s">
        <v>1985</v>
      </c>
      <c r="C1496" s="171">
        <v>315.0</v>
      </c>
      <c r="D1496" s="172">
        <v>45016.0</v>
      </c>
      <c r="E1496" s="170">
        <v>32.0</v>
      </c>
      <c r="F1496" s="207">
        <v>2023.03</v>
      </c>
      <c r="G1496" s="207" t="s">
        <v>52</v>
      </c>
      <c r="H1496" s="170" t="s">
        <v>1264</v>
      </c>
      <c r="I1496" s="170" t="s">
        <v>1979</v>
      </c>
      <c r="J1496" s="195"/>
      <c r="K1496" s="173">
        <v>44986.0</v>
      </c>
      <c r="L1496" s="204" t="b">
        <v>0</v>
      </c>
    </row>
    <row r="1497">
      <c r="A1497" s="16" t="s">
        <v>858</v>
      </c>
      <c r="B1497" s="99" t="s">
        <v>1985</v>
      </c>
      <c r="C1497" s="174">
        <v>400.0</v>
      </c>
      <c r="D1497" s="175">
        <v>45016.0</v>
      </c>
      <c r="E1497" s="99">
        <v>32.0</v>
      </c>
      <c r="F1497" s="208">
        <v>2023.0</v>
      </c>
      <c r="G1497" s="208" t="s">
        <v>1160</v>
      </c>
      <c r="H1497" s="99" t="s">
        <v>1264</v>
      </c>
      <c r="I1497" s="99" t="s">
        <v>1979</v>
      </c>
      <c r="J1497" s="194"/>
      <c r="K1497" s="177">
        <v>44986.0</v>
      </c>
      <c r="L1497" s="206" t="b">
        <v>0</v>
      </c>
    </row>
    <row r="1498">
      <c r="A1498" s="4" t="s">
        <v>865</v>
      </c>
      <c r="B1498" s="170" t="s">
        <v>1985</v>
      </c>
      <c r="C1498" s="171">
        <v>465.0</v>
      </c>
      <c r="D1498" s="172">
        <v>45016.0</v>
      </c>
      <c r="E1498" s="170">
        <v>32.0</v>
      </c>
      <c r="F1498" s="207">
        <v>2023.0</v>
      </c>
      <c r="G1498" s="207" t="s">
        <v>1160</v>
      </c>
      <c r="H1498" s="170" t="s">
        <v>1264</v>
      </c>
      <c r="I1498" s="170" t="s">
        <v>1979</v>
      </c>
      <c r="J1498" s="195"/>
      <c r="K1498" s="173">
        <v>44986.0</v>
      </c>
      <c r="L1498" s="204" t="b">
        <v>0</v>
      </c>
    </row>
    <row r="1499">
      <c r="A1499" s="16" t="s">
        <v>768</v>
      </c>
      <c r="B1499" s="99" t="s">
        <v>1985</v>
      </c>
      <c r="C1499" s="174">
        <v>165.0</v>
      </c>
      <c r="D1499" s="175">
        <v>45016.0</v>
      </c>
      <c r="E1499" s="99">
        <v>32.0</v>
      </c>
      <c r="F1499" s="208">
        <v>2023.0</v>
      </c>
      <c r="G1499" s="208" t="s">
        <v>1160</v>
      </c>
      <c r="H1499" s="99" t="s">
        <v>1264</v>
      </c>
      <c r="I1499" s="99" t="s">
        <v>1979</v>
      </c>
      <c r="J1499" s="81" t="s">
        <v>2112</v>
      </c>
      <c r="K1499" s="177">
        <v>44986.0</v>
      </c>
      <c r="L1499" s="206" t="b">
        <v>0</v>
      </c>
    </row>
    <row r="1500">
      <c r="A1500" s="4" t="s">
        <v>608</v>
      </c>
      <c r="B1500" s="170" t="s">
        <v>1985</v>
      </c>
      <c r="C1500" s="171">
        <v>50.0</v>
      </c>
      <c r="D1500" s="172">
        <v>45016.0</v>
      </c>
      <c r="E1500" s="170">
        <v>32.0</v>
      </c>
      <c r="F1500" s="207">
        <v>2023.0</v>
      </c>
      <c r="G1500" s="207" t="s">
        <v>1160</v>
      </c>
      <c r="H1500" s="170" t="s">
        <v>1264</v>
      </c>
      <c r="I1500" s="170" t="s">
        <v>1979</v>
      </c>
      <c r="J1500" s="198" t="s">
        <v>2125</v>
      </c>
      <c r="K1500" s="173">
        <v>44986.0</v>
      </c>
      <c r="L1500" s="204" t="b">
        <v>0</v>
      </c>
    </row>
    <row r="1501">
      <c r="A1501" s="16" t="s">
        <v>66</v>
      </c>
      <c r="B1501" s="99" t="s">
        <v>1978</v>
      </c>
      <c r="C1501" s="174">
        <v>325.0</v>
      </c>
      <c r="D1501" s="175">
        <v>45016.0</v>
      </c>
      <c r="E1501" s="189">
        <v>44986.0</v>
      </c>
      <c r="F1501" s="208">
        <v>2023.03</v>
      </c>
      <c r="G1501" s="208" t="s">
        <v>52</v>
      </c>
      <c r="H1501" s="99" t="s">
        <v>1264</v>
      </c>
      <c r="I1501" s="99" t="s">
        <v>1979</v>
      </c>
      <c r="J1501" s="194"/>
      <c r="K1501" s="177">
        <v>44986.0</v>
      </c>
      <c r="L1501" s="206" t="b">
        <v>0</v>
      </c>
    </row>
    <row r="1502">
      <c r="A1502" s="4" t="s">
        <v>97</v>
      </c>
      <c r="B1502" s="170" t="s">
        <v>1978</v>
      </c>
      <c r="C1502" s="171">
        <v>137.5</v>
      </c>
      <c r="D1502" s="172">
        <v>45016.0</v>
      </c>
      <c r="E1502" s="188">
        <v>44987.0</v>
      </c>
      <c r="F1502" s="207">
        <v>2023.03</v>
      </c>
      <c r="G1502" s="207" t="s">
        <v>52</v>
      </c>
      <c r="H1502" s="170" t="s">
        <v>1264</v>
      </c>
      <c r="I1502" s="170" t="s">
        <v>1979</v>
      </c>
      <c r="J1502" s="195"/>
      <c r="K1502" s="173">
        <v>44986.0</v>
      </c>
      <c r="L1502" s="204" t="b">
        <v>0</v>
      </c>
    </row>
    <row r="1503">
      <c r="A1503" s="16" t="s">
        <v>73</v>
      </c>
      <c r="B1503" s="99" t="s">
        <v>1978</v>
      </c>
      <c r="C1503" s="174">
        <v>287.5</v>
      </c>
      <c r="D1503" s="175">
        <v>45016.0</v>
      </c>
      <c r="E1503" s="189">
        <v>44988.0</v>
      </c>
      <c r="F1503" s="208">
        <v>2023.03</v>
      </c>
      <c r="G1503" s="208" t="s">
        <v>52</v>
      </c>
      <c r="H1503" s="99" t="s">
        <v>1264</v>
      </c>
      <c r="I1503" s="99" t="s">
        <v>1979</v>
      </c>
      <c r="J1503" s="194"/>
      <c r="K1503" s="177">
        <v>44986.0</v>
      </c>
      <c r="L1503" s="206" t="b">
        <v>0</v>
      </c>
    </row>
    <row r="1504">
      <c r="A1504" s="4" t="s">
        <v>223</v>
      </c>
      <c r="B1504" s="170" t="s">
        <v>1978</v>
      </c>
      <c r="C1504" s="171">
        <v>400.0</v>
      </c>
      <c r="D1504" s="172">
        <v>45016.0</v>
      </c>
      <c r="E1504" s="188">
        <v>44989.0</v>
      </c>
      <c r="F1504" s="207">
        <v>2023.03</v>
      </c>
      <c r="G1504" s="207" t="s">
        <v>52</v>
      </c>
      <c r="H1504" s="170" t="s">
        <v>1264</v>
      </c>
      <c r="I1504" s="170" t="s">
        <v>1979</v>
      </c>
      <c r="J1504" s="195"/>
      <c r="K1504" s="173">
        <v>44986.0</v>
      </c>
      <c r="L1504" s="204" t="b">
        <v>0</v>
      </c>
    </row>
    <row r="1505">
      <c r="A1505" s="16" t="s">
        <v>50</v>
      </c>
      <c r="B1505" s="99" t="s">
        <v>1978</v>
      </c>
      <c r="C1505" s="174">
        <v>150.0</v>
      </c>
      <c r="D1505" s="175">
        <v>45016.0</v>
      </c>
      <c r="E1505" s="189">
        <v>44990.0</v>
      </c>
      <c r="F1505" s="208">
        <v>2023.03</v>
      </c>
      <c r="G1505" s="208" t="s">
        <v>52</v>
      </c>
      <c r="H1505" s="99" t="s">
        <v>1264</v>
      </c>
      <c r="I1505" s="99" t="s">
        <v>1979</v>
      </c>
      <c r="J1505" s="194"/>
      <c r="K1505" s="177">
        <v>44986.0</v>
      </c>
      <c r="L1505" s="206" t="b">
        <v>0</v>
      </c>
    </row>
    <row r="1506">
      <c r="A1506" s="4" t="s">
        <v>810</v>
      </c>
      <c r="B1506" s="170" t="s">
        <v>1978</v>
      </c>
      <c r="C1506" s="171">
        <v>262.5</v>
      </c>
      <c r="D1506" s="172">
        <v>45016.0</v>
      </c>
      <c r="E1506" s="188">
        <v>44991.0</v>
      </c>
      <c r="F1506" s="207">
        <v>2023.03</v>
      </c>
      <c r="G1506" s="207" t="s">
        <v>52</v>
      </c>
      <c r="H1506" s="170" t="s">
        <v>1264</v>
      </c>
      <c r="I1506" s="170" t="s">
        <v>1979</v>
      </c>
      <c r="J1506" s="195"/>
      <c r="K1506" s="173">
        <v>44986.0</v>
      </c>
      <c r="L1506" s="204" t="b">
        <v>0</v>
      </c>
    </row>
    <row r="1507">
      <c r="A1507" s="16" t="s">
        <v>817</v>
      </c>
      <c r="B1507" s="99" t="s">
        <v>1978</v>
      </c>
      <c r="C1507" s="174">
        <v>1250.0</v>
      </c>
      <c r="D1507" s="175">
        <v>45016.0</v>
      </c>
      <c r="E1507" s="189">
        <v>44992.0</v>
      </c>
      <c r="F1507" s="208">
        <v>2023.03</v>
      </c>
      <c r="G1507" s="208" t="s">
        <v>52</v>
      </c>
      <c r="H1507" s="99" t="s">
        <v>1264</v>
      </c>
      <c r="I1507" s="99" t="s">
        <v>1979</v>
      </c>
      <c r="J1507" s="194"/>
      <c r="K1507" s="177">
        <v>44986.0</v>
      </c>
      <c r="L1507" s="206" t="b">
        <v>0</v>
      </c>
    </row>
    <row r="1508">
      <c r="A1508" s="4" t="s">
        <v>88</v>
      </c>
      <c r="B1508" s="170" t="s">
        <v>1978</v>
      </c>
      <c r="C1508" s="171">
        <v>212.5</v>
      </c>
      <c r="D1508" s="172">
        <v>45016.0</v>
      </c>
      <c r="E1508" s="188">
        <v>44993.0</v>
      </c>
      <c r="F1508" s="207">
        <v>2023.03</v>
      </c>
      <c r="G1508" s="207" t="s">
        <v>52</v>
      </c>
      <c r="H1508" s="170" t="s">
        <v>1264</v>
      </c>
      <c r="I1508" s="170" t="s">
        <v>1979</v>
      </c>
      <c r="J1508" s="195"/>
      <c r="K1508" s="173">
        <v>44986.0</v>
      </c>
      <c r="L1508" s="204" t="b">
        <v>0</v>
      </c>
    </row>
    <row r="1509">
      <c r="A1509" s="16" t="s">
        <v>768</v>
      </c>
      <c r="B1509" s="99" t="s">
        <v>1978</v>
      </c>
      <c r="C1509" s="174">
        <v>75.0</v>
      </c>
      <c r="D1509" s="175">
        <v>45016.0</v>
      </c>
      <c r="E1509" s="189">
        <v>44994.0</v>
      </c>
      <c r="F1509" s="208">
        <v>2023.0</v>
      </c>
      <c r="G1509" s="208" t="s">
        <v>1160</v>
      </c>
      <c r="H1509" s="99" t="s">
        <v>1264</v>
      </c>
      <c r="I1509" s="99" t="s">
        <v>1979</v>
      </c>
      <c r="J1509" s="81" t="s">
        <v>2112</v>
      </c>
      <c r="K1509" s="177">
        <v>44986.0</v>
      </c>
      <c r="L1509" s="206" t="b">
        <v>0</v>
      </c>
    </row>
    <row r="1510">
      <c r="A1510" s="4" t="s">
        <v>1271</v>
      </c>
      <c r="B1510" s="170" t="s">
        <v>1976</v>
      </c>
      <c r="C1510" s="171">
        <v>6.16</v>
      </c>
      <c r="D1510" s="172">
        <v>45029.0</v>
      </c>
      <c r="E1510" s="188"/>
      <c r="F1510" s="207">
        <v>2023.0</v>
      </c>
      <c r="G1510" s="207" t="s">
        <v>1152</v>
      </c>
      <c r="H1510" s="170" t="s">
        <v>1264</v>
      </c>
      <c r="I1510" s="170" t="s">
        <v>1272</v>
      </c>
      <c r="J1510" s="209" t="s">
        <v>2126</v>
      </c>
      <c r="K1510" s="173">
        <v>44986.0</v>
      </c>
      <c r="L1510" s="204" t="b">
        <v>0</v>
      </c>
    </row>
    <row r="1511">
      <c r="A1511" s="16" t="s">
        <v>1271</v>
      </c>
      <c r="B1511" s="99" t="s">
        <v>1998</v>
      </c>
      <c r="C1511" s="174">
        <v>140.0</v>
      </c>
      <c r="D1511" s="175">
        <v>45029.0</v>
      </c>
      <c r="E1511" s="97"/>
      <c r="F1511" s="208">
        <v>2023.0</v>
      </c>
      <c r="G1511" s="208" t="s">
        <v>1152</v>
      </c>
      <c r="H1511" s="99" t="s">
        <v>1264</v>
      </c>
      <c r="I1511" s="99" t="s">
        <v>1272</v>
      </c>
      <c r="J1511" s="194"/>
      <c r="K1511" s="177">
        <v>44986.0</v>
      </c>
      <c r="L1511" s="206" t="b">
        <v>0</v>
      </c>
    </row>
    <row r="1512">
      <c r="A1512" s="4" t="s">
        <v>1271</v>
      </c>
      <c r="B1512" s="170" t="s">
        <v>1994</v>
      </c>
      <c r="C1512" s="171">
        <v>15.14</v>
      </c>
      <c r="D1512" s="172">
        <v>45029.0</v>
      </c>
      <c r="E1512" s="94"/>
      <c r="F1512" s="207">
        <v>2023.0</v>
      </c>
      <c r="G1512" s="207" t="s">
        <v>1152</v>
      </c>
      <c r="H1512" s="170" t="s">
        <v>1264</v>
      </c>
      <c r="I1512" s="170" t="s">
        <v>1272</v>
      </c>
      <c r="J1512" s="195"/>
      <c r="K1512" s="173">
        <v>44986.0</v>
      </c>
      <c r="L1512" s="204" t="b">
        <v>0</v>
      </c>
    </row>
    <row r="1513">
      <c r="A1513" s="16" t="s">
        <v>1271</v>
      </c>
      <c r="B1513" s="99" t="s">
        <v>1314</v>
      </c>
      <c r="C1513" s="174">
        <v>131.25</v>
      </c>
      <c r="D1513" s="175">
        <v>45029.0</v>
      </c>
      <c r="E1513" s="97"/>
      <c r="F1513" s="208">
        <v>2023.0</v>
      </c>
      <c r="G1513" s="208" t="s">
        <v>1152</v>
      </c>
      <c r="H1513" s="99" t="s">
        <v>1264</v>
      </c>
      <c r="I1513" s="99" t="s">
        <v>1272</v>
      </c>
      <c r="J1513" s="81" t="s">
        <v>2127</v>
      </c>
      <c r="K1513" s="177">
        <v>44986.0</v>
      </c>
      <c r="L1513" s="206" t="b">
        <v>0</v>
      </c>
    </row>
    <row r="1514">
      <c r="A1514" s="4" t="s">
        <v>1269</v>
      </c>
      <c r="B1514" s="170" t="s">
        <v>2128</v>
      </c>
      <c r="C1514" s="171">
        <v>41.03</v>
      </c>
      <c r="D1514" s="172">
        <v>45029.0</v>
      </c>
      <c r="E1514" s="94"/>
      <c r="F1514" s="207">
        <v>2023.0</v>
      </c>
      <c r="G1514" s="207" t="s">
        <v>1152</v>
      </c>
      <c r="H1514" s="170" t="s">
        <v>1264</v>
      </c>
      <c r="I1514" s="170" t="s">
        <v>1270</v>
      </c>
      <c r="J1514" s="195"/>
      <c r="K1514" s="173">
        <v>44986.0</v>
      </c>
      <c r="L1514" s="204" t="b">
        <v>0</v>
      </c>
    </row>
    <row r="1515">
      <c r="A1515" s="16" t="s">
        <v>1271</v>
      </c>
      <c r="B1515" s="99" t="s">
        <v>1976</v>
      </c>
      <c r="C1515" s="174">
        <v>65.81</v>
      </c>
      <c r="D1515" s="175">
        <v>45029.0</v>
      </c>
      <c r="E1515" s="97"/>
      <c r="F1515" s="208">
        <v>2023.0</v>
      </c>
      <c r="G1515" s="208" t="s">
        <v>1152</v>
      </c>
      <c r="H1515" s="99" t="s">
        <v>1264</v>
      </c>
      <c r="I1515" s="99" t="s">
        <v>1272</v>
      </c>
      <c r="J1515" s="194"/>
      <c r="K1515" s="177">
        <v>44986.0</v>
      </c>
      <c r="L1515" s="206" t="b">
        <v>0</v>
      </c>
    </row>
    <row r="1516">
      <c r="A1516" s="4" t="s">
        <v>1271</v>
      </c>
      <c r="B1516" s="170" t="s">
        <v>2042</v>
      </c>
      <c r="C1516" s="171">
        <v>198.85</v>
      </c>
      <c r="D1516" s="172">
        <v>45029.0</v>
      </c>
      <c r="E1516" s="94"/>
      <c r="F1516" s="207">
        <v>2023.0</v>
      </c>
      <c r="G1516" s="207" t="s">
        <v>1152</v>
      </c>
      <c r="H1516" s="170" t="s">
        <v>1264</v>
      </c>
      <c r="I1516" s="170" t="s">
        <v>1272</v>
      </c>
      <c r="J1516" s="198" t="s">
        <v>2129</v>
      </c>
      <c r="K1516" s="173">
        <v>44986.0</v>
      </c>
      <c r="L1516" s="204" t="b">
        <v>0</v>
      </c>
    </row>
    <row r="1517">
      <c r="A1517" s="16" t="s">
        <v>1271</v>
      </c>
      <c r="B1517" s="99" t="s">
        <v>1998</v>
      </c>
      <c r="C1517" s="174">
        <v>137.31</v>
      </c>
      <c r="D1517" s="175">
        <v>45029.0</v>
      </c>
      <c r="E1517" s="97"/>
      <c r="F1517" s="208">
        <v>2023.0</v>
      </c>
      <c r="G1517" s="208" t="s">
        <v>1152</v>
      </c>
      <c r="H1517" s="99" t="s">
        <v>1264</v>
      </c>
      <c r="I1517" s="99" t="s">
        <v>1272</v>
      </c>
      <c r="J1517" s="81" t="s">
        <v>2130</v>
      </c>
      <c r="K1517" s="177">
        <v>44986.0</v>
      </c>
      <c r="L1517" s="206" t="b">
        <v>0</v>
      </c>
    </row>
    <row r="1518">
      <c r="A1518" s="4" t="s">
        <v>740</v>
      </c>
      <c r="B1518" s="170" t="s">
        <v>2002</v>
      </c>
      <c r="C1518" s="171">
        <v>143.81</v>
      </c>
      <c r="D1518" s="172">
        <v>45016.0</v>
      </c>
      <c r="E1518" s="94"/>
      <c r="F1518" s="207">
        <v>2023.0</v>
      </c>
      <c r="G1518" s="207" t="s">
        <v>1160</v>
      </c>
      <c r="H1518" s="170" t="s">
        <v>1999</v>
      </c>
      <c r="I1518" s="170" t="s">
        <v>1979</v>
      </c>
      <c r="J1518" s="195"/>
      <c r="K1518" s="173">
        <v>44986.0</v>
      </c>
      <c r="L1518" s="204" t="b">
        <v>0</v>
      </c>
    </row>
    <row r="1519">
      <c r="A1519" s="16" t="s">
        <v>788</v>
      </c>
      <c r="B1519" s="99" t="s">
        <v>2002</v>
      </c>
      <c r="C1519" s="174">
        <v>296.92</v>
      </c>
      <c r="D1519" s="175">
        <v>45016.0</v>
      </c>
      <c r="E1519" s="97"/>
      <c r="F1519" s="208">
        <v>2023.03</v>
      </c>
      <c r="G1519" s="208" t="s">
        <v>52</v>
      </c>
      <c r="H1519" s="99" t="s">
        <v>1999</v>
      </c>
      <c r="I1519" s="99" t="s">
        <v>1979</v>
      </c>
      <c r="J1519" s="194"/>
      <c r="K1519" s="177">
        <v>44986.0</v>
      </c>
      <c r="L1519" s="206" t="b">
        <v>0</v>
      </c>
    </row>
    <row r="1520">
      <c r="A1520" s="4" t="s">
        <v>835</v>
      </c>
      <c r="B1520" s="170" t="s">
        <v>2002</v>
      </c>
      <c r="C1520" s="171">
        <v>2017.17</v>
      </c>
      <c r="D1520" s="172">
        <v>45016.0</v>
      </c>
      <c r="E1520" s="94"/>
      <c r="F1520" s="207">
        <v>2023.0</v>
      </c>
      <c r="G1520" s="207" t="s">
        <v>1160</v>
      </c>
      <c r="H1520" s="170" t="s">
        <v>1999</v>
      </c>
      <c r="I1520" s="170" t="s">
        <v>1979</v>
      </c>
      <c r="J1520" s="195"/>
      <c r="K1520" s="173">
        <v>44986.0</v>
      </c>
      <c r="L1520" s="204" t="b">
        <v>0</v>
      </c>
    </row>
    <row r="1521">
      <c r="A1521" s="16" t="s">
        <v>890</v>
      </c>
      <c r="B1521" s="99" t="s">
        <v>2002</v>
      </c>
      <c r="C1521" s="174">
        <v>87.53</v>
      </c>
      <c r="D1521" s="175">
        <v>45016.0</v>
      </c>
      <c r="E1521" s="97"/>
      <c r="F1521" s="208">
        <v>2023.03</v>
      </c>
      <c r="G1521" s="208" t="s">
        <v>52</v>
      </c>
      <c r="H1521" s="99" t="s">
        <v>1999</v>
      </c>
      <c r="I1521" s="99" t="s">
        <v>1979</v>
      </c>
      <c r="J1521" s="194"/>
      <c r="K1521" s="177">
        <v>44986.0</v>
      </c>
      <c r="L1521" s="206" t="b">
        <v>0</v>
      </c>
    </row>
    <row r="1522">
      <c r="A1522" s="4" t="s">
        <v>890</v>
      </c>
      <c r="B1522" s="170" t="s">
        <v>2002</v>
      </c>
      <c r="C1522" s="171">
        <v>54.15</v>
      </c>
      <c r="D1522" s="172">
        <v>45016.0</v>
      </c>
      <c r="E1522" s="94"/>
      <c r="F1522" s="207">
        <v>2023.03</v>
      </c>
      <c r="G1522" s="207" t="s">
        <v>52</v>
      </c>
      <c r="H1522" s="170" t="s">
        <v>1999</v>
      </c>
      <c r="I1522" s="170" t="s">
        <v>1979</v>
      </c>
      <c r="J1522" s="195"/>
      <c r="K1522" s="173">
        <v>44986.0</v>
      </c>
      <c r="L1522" s="204" t="b">
        <v>0</v>
      </c>
    </row>
    <row r="1523">
      <c r="A1523" s="16" t="s">
        <v>898</v>
      </c>
      <c r="B1523" s="99" t="s">
        <v>2002</v>
      </c>
      <c r="C1523" s="174">
        <v>19.38</v>
      </c>
      <c r="D1523" s="175">
        <v>45016.0</v>
      </c>
      <c r="E1523" s="97"/>
      <c r="F1523" s="208">
        <v>2023.0</v>
      </c>
      <c r="G1523" s="208" t="s">
        <v>1160</v>
      </c>
      <c r="H1523" s="99" t="s">
        <v>1999</v>
      </c>
      <c r="I1523" s="99" t="s">
        <v>1979</v>
      </c>
      <c r="J1523" s="194"/>
      <c r="K1523" s="177">
        <v>44986.0</v>
      </c>
      <c r="L1523" s="206" t="b">
        <v>0</v>
      </c>
    </row>
    <row r="1524">
      <c r="A1524" s="4" t="s">
        <v>82</v>
      </c>
      <c r="B1524" s="170" t="s">
        <v>2002</v>
      </c>
      <c r="C1524" s="171">
        <v>131.95</v>
      </c>
      <c r="D1524" s="172">
        <v>45016.0</v>
      </c>
      <c r="E1524" s="94"/>
      <c r="F1524" s="207">
        <v>2023.03</v>
      </c>
      <c r="G1524" s="207" t="s">
        <v>52</v>
      </c>
      <c r="H1524" s="170" t="s">
        <v>1999</v>
      </c>
      <c r="I1524" s="170" t="s">
        <v>1979</v>
      </c>
      <c r="J1524" s="195"/>
      <c r="K1524" s="173">
        <v>44986.0</v>
      </c>
      <c r="L1524" s="204" t="b">
        <v>0</v>
      </c>
    </row>
    <row r="1525">
      <c r="A1525" s="16" t="s">
        <v>785</v>
      </c>
      <c r="B1525" s="99" t="s">
        <v>2002</v>
      </c>
      <c r="C1525" s="174">
        <v>20.14</v>
      </c>
      <c r="D1525" s="175">
        <v>45016.0</v>
      </c>
      <c r="E1525" s="97"/>
      <c r="F1525" s="208">
        <v>2023.0</v>
      </c>
      <c r="G1525" s="208" t="s">
        <v>1160</v>
      </c>
      <c r="H1525" s="99" t="s">
        <v>1999</v>
      </c>
      <c r="I1525" s="99" t="s">
        <v>1979</v>
      </c>
      <c r="J1525" s="194"/>
      <c r="K1525" s="177">
        <v>44986.0</v>
      </c>
      <c r="L1525" s="206" t="b">
        <v>0</v>
      </c>
    </row>
    <row r="1526">
      <c r="A1526" s="4" t="s">
        <v>1266</v>
      </c>
      <c r="B1526" s="170" t="s">
        <v>2002</v>
      </c>
      <c r="C1526" s="171">
        <v>722.99</v>
      </c>
      <c r="D1526" s="172">
        <v>45016.0</v>
      </c>
      <c r="E1526" s="94"/>
      <c r="F1526" s="207">
        <v>2023.0</v>
      </c>
      <c r="G1526" s="207" t="s">
        <v>1152</v>
      </c>
      <c r="H1526" s="170" t="s">
        <v>1999</v>
      </c>
      <c r="I1526" s="170" t="s">
        <v>1979</v>
      </c>
      <c r="J1526" s="195"/>
      <c r="K1526" s="173">
        <v>44986.0</v>
      </c>
      <c r="L1526" s="204" t="b">
        <v>0</v>
      </c>
    </row>
    <row r="1527">
      <c r="A1527" s="16"/>
      <c r="B1527" s="99"/>
      <c r="C1527" s="174"/>
      <c r="D1527" s="175"/>
      <c r="E1527" s="97"/>
      <c r="F1527" s="208" t="s">
        <v>200</v>
      </c>
      <c r="G1527" s="208" t="s">
        <v>200</v>
      </c>
      <c r="H1527" s="99"/>
      <c r="I1527" s="99"/>
      <c r="J1527" s="194"/>
      <c r="K1527" s="177">
        <v>44986.0</v>
      </c>
      <c r="L1527" s="206" t="b">
        <v>0</v>
      </c>
    </row>
    <row r="1528">
      <c r="A1528" s="4" t="s">
        <v>855</v>
      </c>
      <c r="B1528" s="170" t="s">
        <v>2002</v>
      </c>
      <c r="C1528" s="171">
        <v>250.66</v>
      </c>
      <c r="D1528" s="172">
        <v>45016.0</v>
      </c>
      <c r="E1528" s="94"/>
      <c r="F1528" s="207">
        <v>2023.03</v>
      </c>
      <c r="G1528" s="207" t="s">
        <v>52</v>
      </c>
      <c r="H1528" s="170" t="s">
        <v>1999</v>
      </c>
      <c r="I1528" s="170" t="s">
        <v>1979</v>
      </c>
      <c r="J1528" s="195"/>
      <c r="K1528" s="173">
        <v>44986.0</v>
      </c>
      <c r="L1528" s="204" t="b">
        <v>0</v>
      </c>
    </row>
    <row r="1529">
      <c r="A1529" s="16" t="s">
        <v>867</v>
      </c>
      <c r="B1529" s="99" t="s">
        <v>2002</v>
      </c>
      <c r="C1529" s="174">
        <v>295.59</v>
      </c>
      <c r="D1529" s="175">
        <v>45016.0</v>
      </c>
      <c r="E1529" s="97"/>
      <c r="F1529" s="208">
        <v>2023.0</v>
      </c>
      <c r="G1529" s="208" t="s">
        <v>1160</v>
      </c>
      <c r="H1529" s="99" t="s">
        <v>1999</v>
      </c>
      <c r="I1529" s="99" t="s">
        <v>1979</v>
      </c>
      <c r="J1529" s="194"/>
      <c r="K1529" s="177">
        <v>44986.0</v>
      </c>
      <c r="L1529" s="206" t="b">
        <v>0</v>
      </c>
    </row>
    <row r="1530">
      <c r="A1530" s="4" t="s">
        <v>871</v>
      </c>
      <c r="B1530" s="170" t="s">
        <v>2002</v>
      </c>
      <c r="C1530" s="171">
        <v>14.67</v>
      </c>
      <c r="D1530" s="172">
        <v>45016.0</v>
      </c>
      <c r="E1530" s="94"/>
      <c r="F1530" s="207">
        <v>2023.0</v>
      </c>
      <c r="G1530" s="207" t="s">
        <v>1160</v>
      </c>
      <c r="H1530" s="170" t="s">
        <v>1999</v>
      </c>
      <c r="I1530" s="170" t="s">
        <v>1979</v>
      </c>
      <c r="J1530" s="195"/>
      <c r="K1530" s="173">
        <v>44986.0</v>
      </c>
      <c r="L1530" s="204" t="b">
        <v>0</v>
      </c>
    </row>
    <row r="1531">
      <c r="A1531" s="16" t="s">
        <v>92</v>
      </c>
      <c r="B1531" s="99" t="s">
        <v>2002</v>
      </c>
      <c r="C1531" s="174">
        <v>101.57</v>
      </c>
      <c r="D1531" s="175">
        <v>45016.0</v>
      </c>
      <c r="E1531" s="97"/>
      <c r="F1531" s="208">
        <v>2023.03</v>
      </c>
      <c r="G1531" s="208" t="s">
        <v>52</v>
      </c>
      <c r="H1531" s="99" t="s">
        <v>1999</v>
      </c>
      <c r="I1531" s="99" t="s">
        <v>1979</v>
      </c>
      <c r="J1531" s="194"/>
      <c r="K1531" s="177">
        <v>44986.0</v>
      </c>
      <c r="L1531" s="206" t="b">
        <v>0</v>
      </c>
    </row>
    <row r="1532">
      <c r="A1532" s="4" t="s">
        <v>795</v>
      </c>
      <c r="B1532" s="170" t="s">
        <v>2002</v>
      </c>
      <c r="C1532" s="171">
        <v>277.61</v>
      </c>
      <c r="D1532" s="172">
        <v>45016.0</v>
      </c>
      <c r="E1532" s="94"/>
      <c r="F1532" s="207">
        <v>2023.03</v>
      </c>
      <c r="G1532" s="207" t="s">
        <v>52</v>
      </c>
      <c r="H1532" s="170" t="s">
        <v>1999</v>
      </c>
      <c r="I1532" s="170" t="s">
        <v>1979</v>
      </c>
      <c r="J1532" s="195"/>
      <c r="K1532" s="173">
        <v>44986.0</v>
      </c>
      <c r="L1532" s="204" t="b">
        <v>0</v>
      </c>
    </row>
    <row r="1533">
      <c r="A1533" s="16" t="s">
        <v>584</v>
      </c>
      <c r="B1533" s="99" t="s">
        <v>2002</v>
      </c>
      <c r="C1533" s="174">
        <v>48.2</v>
      </c>
      <c r="D1533" s="175">
        <v>45016.0</v>
      </c>
      <c r="E1533" s="97"/>
      <c r="F1533" s="208">
        <v>2023.0</v>
      </c>
      <c r="G1533" s="208" t="s">
        <v>1160</v>
      </c>
      <c r="H1533" s="99" t="s">
        <v>1999</v>
      </c>
      <c r="I1533" s="99" t="s">
        <v>1979</v>
      </c>
      <c r="J1533" s="194"/>
      <c r="K1533" s="177">
        <v>44986.0</v>
      </c>
      <c r="L1533" s="206" t="b">
        <v>0</v>
      </c>
    </row>
    <row r="1534">
      <c r="A1534" s="4" t="s">
        <v>587</v>
      </c>
      <c r="B1534" s="170" t="s">
        <v>2002</v>
      </c>
      <c r="C1534" s="171">
        <v>128.03</v>
      </c>
      <c r="D1534" s="172">
        <v>45016.0</v>
      </c>
      <c r="E1534" s="94"/>
      <c r="F1534" s="207">
        <v>2023.0</v>
      </c>
      <c r="G1534" s="207" t="s">
        <v>1160</v>
      </c>
      <c r="H1534" s="170" t="s">
        <v>1999</v>
      </c>
      <c r="I1534" s="170" t="s">
        <v>1979</v>
      </c>
      <c r="J1534" s="195"/>
      <c r="K1534" s="173">
        <v>44986.0</v>
      </c>
      <c r="L1534" s="204" t="b">
        <v>0</v>
      </c>
    </row>
    <row r="1535">
      <c r="A1535" s="16" t="s">
        <v>587</v>
      </c>
      <c r="B1535" s="99" t="s">
        <v>2002</v>
      </c>
      <c r="C1535" s="174">
        <v>91.63</v>
      </c>
      <c r="D1535" s="175">
        <v>45016.0</v>
      </c>
      <c r="E1535" s="97"/>
      <c r="F1535" s="208">
        <v>2023.0</v>
      </c>
      <c r="G1535" s="208" t="s">
        <v>1160</v>
      </c>
      <c r="H1535" s="99" t="s">
        <v>1999</v>
      </c>
      <c r="I1535" s="99" t="s">
        <v>1979</v>
      </c>
      <c r="J1535" s="194"/>
      <c r="K1535" s="177">
        <v>44986.0</v>
      </c>
      <c r="L1535" s="206" t="b">
        <v>0</v>
      </c>
    </row>
    <row r="1536">
      <c r="A1536" s="4" t="s">
        <v>62</v>
      </c>
      <c r="B1536" s="170" t="s">
        <v>2002</v>
      </c>
      <c r="C1536" s="171">
        <v>85.85</v>
      </c>
      <c r="D1536" s="172">
        <v>45016.0</v>
      </c>
      <c r="E1536" s="94"/>
      <c r="F1536" s="207">
        <v>2023.03</v>
      </c>
      <c r="G1536" s="207" t="s">
        <v>52</v>
      </c>
      <c r="H1536" s="170" t="s">
        <v>1999</v>
      </c>
      <c r="I1536" s="170" t="s">
        <v>1979</v>
      </c>
      <c r="J1536" s="195"/>
      <c r="K1536" s="173">
        <v>44986.0</v>
      </c>
      <c r="L1536" s="204" t="b">
        <v>0</v>
      </c>
    </row>
    <row r="1537">
      <c r="A1537" s="16" t="s">
        <v>858</v>
      </c>
      <c r="B1537" s="99" t="s">
        <v>2002</v>
      </c>
      <c r="C1537" s="174">
        <v>78.42</v>
      </c>
      <c r="D1537" s="175">
        <v>45016.0</v>
      </c>
      <c r="E1537" s="97"/>
      <c r="F1537" s="208">
        <v>2023.0</v>
      </c>
      <c r="G1537" s="208" t="s">
        <v>1160</v>
      </c>
      <c r="H1537" s="99" t="s">
        <v>1999</v>
      </c>
      <c r="I1537" s="99" t="s">
        <v>1979</v>
      </c>
      <c r="J1537" s="194"/>
      <c r="K1537" s="177">
        <v>44986.0</v>
      </c>
      <c r="L1537" s="206" t="b">
        <v>0</v>
      </c>
    </row>
    <row r="1538">
      <c r="A1538" s="4" t="s">
        <v>66</v>
      </c>
      <c r="B1538" s="170" t="s">
        <v>2002</v>
      </c>
      <c r="C1538" s="171">
        <v>142.92</v>
      </c>
      <c r="D1538" s="172">
        <v>45016.0</v>
      </c>
      <c r="E1538" s="94"/>
      <c r="F1538" s="207">
        <v>2023.03</v>
      </c>
      <c r="G1538" s="207" t="s">
        <v>52</v>
      </c>
      <c r="H1538" s="170" t="s">
        <v>1999</v>
      </c>
      <c r="I1538" s="170" t="s">
        <v>1979</v>
      </c>
      <c r="J1538" s="195"/>
      <c r="K1538" s="173">
        <v>44986.0</v>
      </c>
      <c r="L1538" s="204" t="b">
        <v>0</v>
      </c>
    </row>
    <row r="1539">
      <c r="A1539" s="16" t="s">
        <v>326</v>
      </c>
      <c r="B1539" s="99" t="s">
        <v>1976</v>
      </c>
      <c r="C1539" s="210">
        <v>494.21</v>
      </c>
      <c r="D1539" s="175">
        <v>45004.0</v>
      </c>
      <c r="E1539" s="97"/>
      <c r="F1539" s="208">
        <v>2023.0</v>
      </c>
      <c r="G1539" s="208" t="s">
        <v>1160</v>
      </c>
      <c r="H1539" s="99" t="s">
        <v>1999</v>
      </c>
      <c r="I1539" s="99" t="s">
        <v>1977</v>
      </c>
      <c r="J1539" s="194"/>
      <c r="K1539" s="177">
        <v>44986.0</v>
      </c>
      <c r="L1539" s="206" t="b">
        <v>0</v>
      </c>
    </row>
    <row r="1540">
      <c r="A1540" s="13"/>
      <c r="B1540" s="170"/>
      <c r="C1540" s="211"/>
      <c r="D1540" s="172"/>
      <c r="E1540" s="94"/>
      <c r="F1540" s="207" t="s">
        <v>200</v>
      </c>
      <c r="G1540" s="207" t="s">
        <v>200</v>
      </c>
      <c r="H1540" s="94"/>
      <c r="I1540" s="94"/>
      <c r="J1540" s="195"/>
      <c r="K1540" s="173">
        <v>44986.0</v>
      </c>
      <c r="L1540" s="204" t="b">
        <v>0</v>
      </c>
    </row>
    <row r="1541">
      <c r="A1541" s="16" t="s">
        <v>115</v>
      </c>
      <c r="B1541" s="99" t="s">
        <v>1976</v>
      </c>
      <c r="C1541" s="212">
        <v>750.0</v>
      </c>
      <c r="D1541" s="175">
        <v>45014.0</v>
      </c>
      <c r="E1541" s="97"/>
      <c r="F1541" s="208">
        <v>2023.03</v>
      </c>
      <c r="G1541" s="208" t="s">
        <v>52</v>
      </c>
      <c r="H1541" s="99" t="s">
        <v>1999</v>
      </c>
      <c r="I1541" s="99" t="s">
        <v>1977</v>
      </c>
      <c r="J1541" s="194"/>
      <c r="K1541" s="177">
        <v>44986.0</v>
      </c>
      <c r="L1541" s="206" t="b">
        <v>0</v>
      </c>
    </row>
    <row r="1542">
      <c r="A1542" s="4" t="s">
        <v>118</v>
      </c>
      <c r="B1542" s="170" t="s">
        <v>1976</v>
      </c>
      <c r="C1542" s="211">
        <v>750.0</v>
      </c>
      <c r="D1542" s="172">
        <v>45015.0</v>
      </c>
      <c r="E1542" s="94"/>
      <c r="F1542" s="207">
        <v>2023.03</v>
      </c>
      <c r="G1542" s="207" t="s">
        <v>52</v>
      </c>
      <c r="H1542" s="170" t="s">
        <v>1999</v>
      </c>
      <c r="I1542" s="170" t="s">
        <v>1977</v>
      </c>
      <c r="J1542" s="195"/>
      <c r="K1542" s="173">
        <v>44986.0</v>
      </c>
      <c r="L1542" s="204" t="b">
        <v>0</v>
      </c>
    </row>
    <row r="1543">
      <c r="A1543" s="16" t="s">
        <v>118</v>
      </c>
      <c r="B1543" s="99" t="s">
        <v>1976</v>
      </c>
      <c r="C1543" s="174">
        <v>61.46</v>
      </c>
      <c r="D1543" s="175">
        <v>45017.0</v>
      </c>
      <c r="E1543" s="97"/>
      <c r="F1543" s="208">
        <v>2023.04</v>
      </c>
      <c r="G1543" s="208" t="s">
        <v>52</v>
      </c>
      <c r="H1543" s="99" t="s">
        <v>1999</v>
      </c>
      <c r="I1543" s="99" t="s">
        <v>1977</v>
      </c>
      <c r="J1543" s="194"/>
      <c r="K1543" s="177">
        <v>44986.0</v>
      </c>
      <c r="L1543" s="206" t="b">
        <v>0</v>
      </c>
    </row>
    <row r="1544" hidden="1">
      <c r="A1544" s="13"/>
      <c r="B1544" s="170"/>
      <c r="C1544" s="171"/>
      <c r="D1544" s="172"/>
      <c r="E1544" s="94"/>
      <c r="F1544" s="207" t="s">
        <v>200</v>
      </c>
      <c r="G1544" s="207" t="s">
        <v>200</v>
      </c>
      <c r="H1544" s="94"/>
      <c r="I1544" s="94"/>
      <c r="J1544" s="195"/>
      <c r="K1544" s="173">
        <v>44986.0</v>
      </c>
      <c r="L1544" s="204"/>
    </row>
    <row r="1545">
      <c r="A1545" s="16" t="s">
        <v>115</v>
      </c>
      <c r="B1545" s="99" t="s">
        <v>1976</v>
      </c>
      <c r="C1545" s="174">
        <v>67.98</v>
      </c>
      <c r="D1545" s="175">
        <v>45017.0</v>
      </c>
      <c r="E1545" s="97"/>
      <c r="F1545" s="208">
        <v>2023.04</v>
      </c>
      <c r="G1545" s="208" t="s">
        <v>52</v>
      </c>
      <c r="H1545" s="99" t="s">
        <v>1999</v>
      </c>
      <c r="I1545" s="99" t="s">
        <v>1977</v>
      </c>
      <c r="J1545" s="194"/>
      <c r="K1545" s="177">
        <v>44986.0</v>
      </c>
      <c r="L1545" s="206" t="b">
        <v>0</v>
      </c>
    </row>
    <row r="1546">
      <c r="A1546" s="4" t="s">
        <v>326</v>
      </c>
      <c r="B1546" s="170" t="s">
        <v>1976</v>
      </c>
      <c r="C1546" s="171">
        <v>417.22</v>
      </c>
      <c r="D1546" s="172">
        <v>45017.0</v>
      </c>
      <c r="E1546" s="94"/>
      <c r="F1546" s="207">
        <v>2023.0</v>
      </c>
      <c r="G1546" s="207" t="s">
        <v>1160</v>
      </c>
      <c r="H1546" s="170" t="s">
        <v>1999</v>
      </c>
      <c r="I1546" s="170" t="s">
        <v>1977</v>
      </c>
      <c r="J1546" s="195"/>
      <c r="K1546" s="173">
        <v>44986.0</v>
      </c>
      <c r="L1546" s="204" t="b">
        <v>0</v>
      </c>
    </row>
    <row r="1547">
      <c r="A1547" s="16" t="s">
        <v>92</v>
      </c>
      <c r="B1547" s="99" t="s">
        <v>1988</v>
      </c>
      <c r="C1547" s="174">
        <v>23.73</v>
      </c>
      <c r="D1547" s="175">
        <v>45010.0</v>
      </c>
      <c r="E1547" s="97"/>
      <c r="F1547" s="208">
        <v>2023.03</v>
      </c>
      <c r="G1547" s="208" t="s">
        <v>52</v>
      </c>
      <c r="H1547" s="99" t="s">
        <v>1999</v>
      </c>
      <c r="I1547" s="99" t="s">
        <v>1977</v>
      </c>
      <c r="J1547" s="194"/>
      <c r="K1547" s="177">
        <v>44986.0</v>
      </c>
      <c r="L1547" s="206" t="b">
        <v>0</v>
      </c>
    </row>
    <row r="1548">
      <c r="A1548" s="4" t="s">
        <v>66</v>
      </c>
      <c r="B1548" s="170" t="s">
        <v>1978</v>
      </c>
      <c r="C1548" s="171">
        <v>325.0</v>
      </c>
      <c r="D1548" s="172">
        <v>45046.0</v>
      </c>
      <c r="E1548" s="188">
        <v>45017.0</v>
      </c>
      <c r="F1548" s="207">
        <v>2023.04</v>
      </c>
      <c r="G1548" s="207" t="s">
        <v>52</v>
      </c>
      <c r="H1548" s="170" t="s">
        <v>1264</v>
      </c>
      <c r="I1548" s="170" t="s">
        <v>1979</v>
      </c>
      <c r="J1548" s="195"/>
      <c r="K1548" s="173">
        <v>45017.0</v>
      </c>
      <c r="L1548" s="204" t="b">
        <v>0</v>
      </c>
    </row>
    <row r="1549">
      <c r="A1549" s="16" t="s">
        <v>97</v>
      </c>
      <c r="B1549" s="99" t="s">
        <v>1978</v>
      </c>
      <c r="C1549" s="174">
        <v>137.5</v>
      </c>
      <c r="D1549" s="175">
        <v>45046.0</v>
      </c>
      <c r="E1549" s="189">
        <v>45017.0</v>
      </c>
      <c r="F1549" s="208">
        <v>2023.04</v>
      </c>
      <c r="G1549" s="208" t="s">
        <v>52</v>
      </c>
      <c r="H1549" s="99" t="s">
        <v>1264</v>
      </c>
      <c r="I1549" s="99" t="s">
        <v>1979</v>
      </c>
      <c r="J1549" s="194"/>
      <c r="K1549" s="177">
        <v>45017.0</v>
      </c>
      <c r="L1549" s="206" t="b">
        <v>0</v>
      </c>
    </row>
    <row r="1550">
      <c r="A1550" s="4" t="s">
        <v>73</v>
      </c>
      <c r="B1550" s="170" t="s">
        <v>1978</v>
      </c>
      <c r="C1550" s="171">
        <v>287.5</v>
      </c>
      <c r="D1550" s="172">
        <v>45046.0</v>
      </c>
      <c r="E1550" s="188">
        <v>45017.0</v>
      </c>
      <c r="F1550" s="207">
        <v>2023.04</v>
      </c>
      <c r="G1550" s="207" t="s">
        <v>52</v>
      </c>
      <c r="H1550" s="170" t="s">
        <v>1264</v>
      </c>
      <c r="I1550" s="170" t="s">
        <v>1979</v>
      </c>
      <c r="J1550" s="195"/>
      <c r="K1550" s="173">
        <v>45017.0</v>
      </c>
      <c r="L1550" s="204" t="b">
        <v>0</v>
      </c>
    </row>
    <row r="1551">
      <c r="A1551" s="16" t="s">
        <v>223</v>
      </c>
      <c r="B1551" s="99" t="s">
        <v>1978</v>
      </c>
      <c r="C1551" s="174">
        <v>300.0</v>
      </c>
      <c r="D1551" s="175">
        <v>45046.0</v>
      </c>
      <c r="E1551" s="189">
        <v>45017.0</v>
      </c>
      <c r="F1551" s="208">
        <v>2023.04</v>
      </c>
      <c r="G1551" s="208" t="s">
        <v>52</v>
      </c>
      <c r="H1551" s="99" t="s">
        <v>1264</v>
      </c>
      <c r="I1551" s="99" t="s">
        <v>1979</v>
      </c>
      <c r="J1551" s="194"/>
      <c r="K1551" s="177">
        <v>45017.0</v>
      </c>
      <c r="L1551" s="206" t="b">
        <v>0</v>
      </c>
    </row>
    <row r="1552">
      <c r="A1552" s="4" t="s">
        <v>50</v>
      </c>
      <c r="B1552" s="170" t="s">
        <v>1978</v>
      </c>
      <c r="C1552" s="171">
        <v>150.0</v>
      </c>
      <c r="D1552" s="172">
        <v>45046.0</v>
      </c>
      <c r="E1552" s="188">
        <v>45017.0</v>
      </c>
      <c r="F1552" s="207">
        <v>2023.04</v>
      </c>
      <c r="G1552" s="207" t="s">
        <v>52</v>
      </c>
      <c r="H1552" s="170" t="s">
        <v>1264</v>
      </c>
      <c r="I1552" s="170" t="s">
        <v>1979</v>
      </c>
      <c r="J1552" s="195"/>
      <c r="K1552" s="173">
        <v>45017.0</v>
      </c>
      <c r="L1552" s="204" t="b">
        <v>0</v>
      </c>
    </row>
    <row r="1553">
      <c r="A1553" s="16" t="s">
        <v>810</v>
      </c>
      <c r="B1553" s="99" t="s">
        <v>1978</v>
      </c>
      <c r="C1553" s="174">
        <v>262.5</v>
      </c>
      <c r="D1553" s="175">
        <v>45046.0</v>
      </c>
      <c r="E1553" s="189">
        <v>45017.0</v>
      </c>
      <c r="F1553" s="208">
        <v>2023.04</v>
      </c>
      <c r="G1553" s="208" t="s">
        <v>52</v>
      </c>
      <c r="H1553" s="99" t="s">
        <v>1264</v>
      </c>
      <c r="I1553" s="99" t="s">
        <v>1979</v>
      </c>
      <c r="J1553" s="194"/>
      <c r="K1553" s="177">
        <v>45017.0</v>
      </c>
      <c r="L1553" s="206" t="b">
        <v>0</v>
      </c>
    </row>
    <row r="1554">
      <c r="A1554" s="4" t="s">
        <v>88</v>
      </c>
      <c r="B1554" s="170" t="s">
        <v>1978</v>
      </c>
      <c r="C1554" s="171">
        <v>212.5</v>
      </c>
      <c r="D1554" s="172">
        <v>45046.0</v>
      </c>
      <c r="E1554" s="188">
        <v>45017.0</v>
      </c>
      <c r="F1554" s="207">
        <v>2023.04</v>
      </c>
      <c r="G1554" s="207" t="s">
        <v>52</v>
      </c>
      <c r="H1554" s="170" t="s">
        <v>1264</v>
      </c>
      <c r="I1554" s="170" t="s">
        <v>1979</v>
      </c>
      <c r="J1554" s="195"/>
      <c r="K1554" s="173">
        <v>45017.0</v>
      </c>
      <c r="L1554" s="204" t="b">
        <v>0</v>
      </c>
    </row>
    <row r="1555">
      <c r="A1555" s="16" t="s">
        <v>1266</v>
      </c>
      <c r="B1555" s="99" t="s">
        <v>2131</v>
      </c>
      <c r="C1555" s="174">
        <v>2500.0</v>
      </c>
      <c r="D1555" s="175">
        <v>45046.0</v>
      </c>
      <c r="E1555" s="99">
        <v>101.0</v>
      </c>
      <c r="F1555" s="208">
        <v>2023.0</v>
      </c>
      <c r="G1555" s="208" t="s">
        <v>1152</v>
      </c>
      <c r="H1555" s="99" t="s">
        <v>1264</v>
      </c>
      <c r="I1555" s="99" t="s">
        <v>1267</v>
      </c>
      <c r="J1555" s="194"/>
      <c r="K1555" s="177">
        <v>45017.0</v>
      </c>
      <c r="L1555" s="206" t="b">
        <v>0</v>
      </c>
    </row>
    <row r="1556">
      <c r="A1556" s="4" t="s">
        <v>806</v>
      </c>
      <c r="B1556" s="170" t="s">
        <v>1986</v>
      </c>
      <c r="C1556" s="171">
        <v>87.5</v>
      </c>
      <c r="D1556" s="172">
        <v>45046.0</v>
      </c>
      <c r="E1556" s="170">
        <v>18.0</v>
      </c>
      <c r="F1556" s="207">
        <v>2023.0</v>
      </c>
      <c r="G1556" s="207" t="s">
        <v>1436</v>
      </c>
      <c r="H1556" s="170" t="s">
        <v>1264</v>
      </c>
      <c r="I1556" s="170" t="s">
        <v>1979</v>
      </c>
      <c r="J1556" s="195"/>
      <c r="K1556" s="173">
        <v>45017.0</v>
      </c>
      <c r="L1556" s="204" t="b">
        <v>0</v>
      </c>
    </row>
    <row r="1557">
      <c r="A1557" s="16" t="s">
        <v>82</v>
      </c>
      <c r="B1557" s="99" t="s">
        <v>1986</v>
      </c>
      <c r="C1557" s="174">
        <v>225.0</v>
      </c>
      <c r="D1557" s="175">
        <v>45046.0</v>
      </c>
      <c r="E1557" s="99">
        <v>18.0</v>
      </c>
      <c r="F1557" s="208">
        <v>2023.04</v>
      </c>
      <c r="G1557" s="208" t="s">
        <v>52</v>
      </c>
      <c r="H1557" s="99" t="s">
        <v>1264</v>
      </c>
      <c r="I1557" s="99" t="s">
        <v>1979</v>
      </c>
      <c r="J1557" s="194"/>
      <c r="K1557" s="177">
        <v>45017.0</v>
      </c>
      <c r="L1557" s="206" t="b">
        <v>0</v>
      </c>
    </row>
    <row r="1558">
      <c r="A1558" s="4" t="s">
        <v>92</v>
      </c>
      <c r="B1558" s="170" t="s">
        <v>1986</v>
      </c>
      <c r="C1558" s="171">
        <v>300.0</v>
      </c>
      <c r="D1558" s="172">
        <v>45046.0</v>
      </c>
      <c r="E1558" s="170">
        <v>18.0</v>
      </c>
      <c r="F1558" s="207">
        <v>2023.04</v>
      </c>
      <c r="G1558" s="207" t="s">
        <v>52</v>
      </c>
      <c r="H1558" s="170" t="s">
        <v>1264</v>
      </c>
      <c r="I1558" s="170" t="s">
        <v>1979</v>
      </c>
      <c r="J1558" s="195"/>
      <c r="K1558" s="173">
        <v>45017.0</v>
      </c>
      <c r="L1558" s="204" t="b">
        <v>0</v>
      </c>
    </row>
    <row r="1559">
      <c r="A1559" s="16" t="s">
        <v>695</v>
      </c>
      <c r="B1559" s="99" t="s">
        <v>1986</v>
      </c>
      <c r="C1559" s="174">
        <v>175.0</v>
      </c>
      <c r="D1559" s="175">
        <v>45046.0</v>
      </c>
      <c r="E1559" s="99">
        <v>18.0</v>
      </c>
      <c r="F1559" s="208">
        <v>2023.04</v>
      </c>
      <c r="G1559" s="208" t="s">
        <v>52</v>
      </c>
      <c r="H1559" s="99" t="s">
        <v>1264</v>
      </c>
      <c r="I1559" s="99" t="s">
        <v>1979</v>
      </c>
      <c r="J1559" s="194"/>
      <c r="K1559" s="177">
        <v>45017.0</v>
      </c>
      <c r="L1559" s="206" t="b">
        <v>0</v>
      </c>
    </row>
    <row r="1560">
      <c r="A1560" s="4" t="s">
        <v>795</v>
      </c>
      <c r="B1560" s="170" t="s">
        <v>1986</v>
      </c>
      <c r="C1560" s="171">
        <v>400.0</v>
      </c>
      <c r="D1560" s="172">
        <v>45046.0</v>
      </c>
      <c r="E1560" s="170">
        <v>18.0</v>
      </c>
      <c r="F1560" s="207">
        <v>2023.04</v>
      </c>
      <c r="G1560" s="207" t="s">
        <v>52</v>
      </c>
      <c r="H1560" s="170" t="s">
        <v>1264</v>
      </c>
      <c r="I1560" s="170" t="s">
        <v>1979</v>
      </c>
      <c r="J1560" s="195"/>
      <c r="K1560" s="173">
        <v>45017.0</v>
      </c>
      <c r="L1560" s="204" t="b">
        <v>0</v>
      </c>
    </row>
    <row r="1561">
      <c r="A1561" s="16" t="s">
        <v>1269</v>
      </c>
      <c r="B1561" s="99" t="s">
        <v>1986</v>
      </c>
      <c r="C1561" s="174">
        <v>132.8</v>
      </c>
      <c r="D1561" s="175">
        <v>45046.0</v>
      </c>
      <c r="E1561" s="99">
        <v>18.0</v>
      </c>
      <c r="F1561" s="208">
        <v>2023.0</v>
      </c>
      <c r="G1561" s="208" t="s">
        <v>1152</v>
      </c>
      <c r="H1561" s="99" t="s">
        <v>1264</v>
      </c>
      <c r="I1561" s="99" t="s">
        <v>1270</v>
      </c>
      <c r="J1561" s="194"/>
      <c r="K1561" s="177">
        <v>45017.0</v>
      </c>
      <c r="L1561" s="206" t="b">
        <v>0</v>
      </c>
    </row>
    <row r="1562">
      <c r="A1562" s="4" t="s">
        <v>99</v>
      </c>
      <c r="B1562" s="170" t="s">
        <v>2036</v>
      </c>
      <c r="C1562" s="171">
        <v>400.0</v>
      </c>
      <c r="D1562" s="172">
        <v>45046.0</v>
      </c>
      <c r="E1562" s="188">
        <v>45017.0</v>
      </c>
      <c r="F1562" s="207">
        <v>2023.04</v>
      </c>
      <c r="G1562" s="207" t="s">
        <v>52</v>
      </c>
      <c r="H1562" s="170" t="s">
        <v>1264</v>
      </c>
      <c r="I1562" s="170" t="s">
        <v>1979</v>
      </c>
      <c r="J1562" s="195"/>
      <c r="K1562" s="173">
        <v>45017.0</v>
      </c>
      <c r="L1562" s="204" t="b">
        <v>0</v>
      </c>
    </row>
    <row r="1563">
      <c r="A1563" s="16" t="s">
        <v>42</v>
      </c>
      <c r="B1563" s="99" t="s">
        <v>2036</v>
      </c>
      <c r="C1563" s="174">
        <v>287.5</v>
      </c>
      <c r="D1563" s="175">
        <v>45046.0</v>
      </c>
      <c r="E1563" s="189">
        <v>45017.0</v>
      </c>
      <c r="F1563" s="208">
        <v>2023.04</v>
      </c>
      <c r="G1563" s="208" t="s">
        <v>52</v>
      </c>
      <c r="H1563" s="99" t="s">
        <v>1264</v>
      </c>
      <c r="I1563" s="99" t="s">
        <v>1979</v>
      </c>
      <c r="J1563" s="194"/>
      <c r="K1563" s="177">
        <v>45017.0</v>
      </c>
      <c r="L1563" s="206" t="b">
        <v>0</v>
      </c>
    </row>
    <row r="1564">
      <c r="A1564" s="4" t="s">
        <v>499</v>
      </c>
      <c r="B1564" s="170" t="s">
        <v>2036</v>
      </c>
      <c r="C1564" s="171">
        <v>200.0</v>
      </c>
      <c r="D1564" s="172">
        <v>45046.0</v>
      </c>
      <c r="E1564" s="188">
        <v>45017.0</v>
      </c>
      <c r="F1564" s="207">
        <v>2023.04</v>
      </c>
      <c r="G1564" s="207" t="s">
        <v>52</v>
      </c>
      <c r="H1564" s="170" t="s">
        <v>1264</v>
      </c>
      <c r="I1564" s="170" t="s">
        <v>1979</v>
      </c>
      <c r="J1564" s="195"/>
      <c r="K1564" s="173">
        <v>45017.0</v>
      </c>
      <c r="L1564" s="204" t="b">
        <v>0</v>
      </c>
    </row>
    <row r="1565">
      <c r="A1565" s="16" t="s">
        <v>861</v>
      </c>
      <c r="B1565" s="99" t="s">
        <v>2036</v>
      </c>
      <c r="C1565" s="96">
        <f>750+137.5</f>
        <v>887.5</v>
      </c>
      <c r="D1565" s="175">
        <v>45046.0</v>
      </c>
      <c r="E1565" s="189">
        <v>45017.0</v>
      </c>
      <c r="F1565" s="208">
        <v>2023.04</v>
      </c>
      <c r="G1565" s="208" t="s">
        <v>52</v>
      </c>
      <c r="H1565" s="99" t="s">
        <v>1264</v>
      </c>
      <c r="I1565" s="99" t="s">
        <v>1979</v>
      </c>
      <c r="J1565" s="194"/>
      <c r="K1565" s="177">
        <v>45017.0</v>
      </c>
      <c r="L1565" s="206" t="b">
        <v>0</v>
      </c>
    </row>
    <row r="1566">
      <c r="A1566" s="4" t="s">
        <v>890</v>
      </c>
      <c r="B1566" s="170" t="s">
        <v>2036</v>
      </c>
      <c r="C1566" s="171">
        <v>400.0</v>
      </c>
      <c r="D1566" s="172">
        <v>45046.0</v>
      </c>
      <c r="E1566" s="188">
        <v>45017.0</v>
      </c>
      <c r="F1566" s="207">
        <v>2023.04</v>
      </c>
      <c r="G1566" s="207" t="s">
        <v>52</v>
      </c>
      <c r="H1566" s="170" t="s">
        <v>1264</v>
      </c>
      <c r="I1566" s="170" t="s">
        <v>1979</v>
      </c>
      <c r="J1566" s="195"/>
      <c r="K1566" s="173">
        <v>45017.0</v>
      </c>
      <c r="L1566" s="204" t="b">
        <v>0</v>
      </c>
    </row>
    <row r="1567">
      <c r="A1567" s="16" t="s">
        <v>549</v>
      </c>
      <c r="B1567" s="99" t="s">
        <v>2036</v>
      </c>
      <c r="C1567" s="174">
        <v>150.0</v>
      </c>
      <c r="D1567" s="175">
        <v>45046.0</v>
      </c>
      <c r="E1567" s="189">
        <v>45017.0</v>
      </c>
      <c r="F1567" s="208">
        <v>2023.04</v>
      </c>
      <c r="G1567" s="208" t="s">
        <v>52</v>
      </c>
      <c r="H1567" s="99" t="s">
        <v>1264</v>
      </c>
      <c r="I1567" s="99" t="s">
        <v>1979</v>
      </c>
      <c r="J1567" s="194"/>
      <c r="K1567" s="177">
        <v>45017.0</v>
      </c>
      <c r="L1567" s="206" t="b">
        <v>0</v>
      </c>
    </row>
    <row r="1568">
      <c r="A1568" s="4" t="s">
        <v>662</v>
      </c>
      <c r="B1568" s="170" t="s">
        <v>2036</v>
      </c>
      <c r="C1568" s="171">
        <v>550.0</v>
      </c>
      <c r="D1568" s="172">
        <v>45046.0</v>
      </c>
      <c r="E1568" s="188">
        <v>45017.0</v>
      </c>
      <c r="F1568" s="207">
        <v>2023.04</v>
      </c>
      <c r="G1568" s="207" t="s">
        <v>52</v>
      </c>
      <c r="H1568" s="170" t="s">
        <v>1264</v>
      </c>
      <c r="I1568" s="170" t="s">
        <v>1979</v>
      </c>
      <c r="J1568" s="195"/>
      <c r="K1568" s="173">
        <v>45017.0</v>
      </c>
      <c r="L1568" s="204" t="b">
        <v>0</v>
      </c>
    </row>
    <row r="1569">
      <c r="A1569" s="16" t="s">
        <v>42</v>
      </c>
      <c r="B1569" s="99" t="s">
        <v>1984</v>
      </c>
      <c r="C1569" s="174">
        <v>350.0</v>
      </c>
      <c r="D1569" s="175">
        <v>45046.0</v>
      </c>
      <c r="E1569" s="99">
        <v>3.0</v>
      </c>
      <c r="F1569" s="208">
        <v>2023.04</v>
      </c>
      <c r="G1569" s="208" t="s">
        <v>52</v>
      </c>
      <c r="H1569" s="99" t="s">
        <v>1264</v>
      </c>
      <c r="I1569" s="99" t="s">
        <v>1979</v>
      </c>
      <c r="J1569" s="194"/>
      <c r="K1569" s="177">
        <v>45017.0</v>
      </c>
      <c r="L1569" s="206" t="b">
        <v>0</v>
      </c>
    </row>
    <row r="1570">
      <c r="A1570" s="4" t="s">
        <v>115</v>
      </c>
      <c r="B1570" s="170" t="s">
        <v>1982</v>
      </c>
      <c r="C1570" s="171">
        <v>662.5</v>
      </c>
      <c r="D1570" s="172">
        <v>45046.0</v>
      </c>
      <c r="E1570" s="170" t="s">
        <v>2132</v>
      </c>
      <c r="F1570" s="207">
        <v>2023.04</v>
      </c>
      <c r="G1570" s="207" t="s">
        <v>52</v>
      </c>
      <c r="H1570" s="170" t="s">
        <v>1264</v>
      </c>
      <c r="I1570" s="170" t="s">
        <v>1979</v>
      </c>
      <c r="J1570" s="195"/>
      <c r="K1570" s="173">
        <v>45017.0</v>
      </c>
      <c r="L1570" s="204" t="b">
        <v>0</v>
      </c>
    </row>
    <row r="1571">
      <c r="A1571" s="16" t="s">
        <v>118</v>
      </c>
      <c r="B1571" s="99" t="s">
        <v>1982</v>
      </c>
      <c r="C1571" s="174">
        <v>662.5</v>
      </c>
      <c r="D1571" s="175">
        <v>45046.0</v>
      </c>
      <c r="E1571" s="99" t="s">
        <v>2132</v>
      </c>
      <c r="F1571" s="208">
        <v>2023.04</v>
      </c>
      <c r="G1571" s="208" t="s">
        <v>52</v>
      </c>
      <c r="H1571" s="99" t="s">
        <v>1264</v>
      </c>
      <c r="I1571" s="99" t="s">
        <v>1979</v>
      </c>
      <c r="J1571" s="194"/>
      <c r="K1571" s="177">
        <v>45017.0</v>
      </c>
      <c r="L1571" s="206" t="b">
        <v>0</v>
      </c>
    </row>
    <row r="1572">
      <c r="A1572" s="4" t="s">
        <v>92</v>
      </c>
      <c r="B1572" s="170" t="s">
        <v>1982</v>
      </c>
      <c r="C1572" s="171">
        <v>562.5</v>
      </c>
      <c r="D1572" s="172">
        <v>45046.0</v>
      </c>
      <c r="E1572" s="170" t="s">
        <v>2132</v>
      </c>
      <c r="F1572" s="207">
        <v>2023.04</v>
      </c>
      <c r="G1572" s="207" t="s">
        <v>52</v>
      </c>
      <c r="H1572" s="170" t="s">
        <v>1264</v>
      </c>
      <c r="I1572" s="170" t="s">
        <v>1979</v>
      </c>
      <c r="J1572" s="195"/>
      <c r="K1572" s="173">
        <v>45017.0</v>
      </c>
      <c r="L1572" s="204" t="b">
        <v>0</v>
      </c>
    </row>
    <row r="1573">
      <c r="A1573" s="16" t="s">
        <v>123</v>
      </c>
      <c r="B1573" s="99" t="s">
        <v>1982</v>
      </c>
      <c r="C1573" s="174">
        <v>737.5</v>
      </c>
      <c r="D1573" s="175">
        <v>45046.0</v>
      </c>
      <c r="E1573" s="99" t="s">
        <v>2132</v>
      </c>
      <c r="F1573" s="208">
        <v>2023.04</v>
      </c>
      <c r="G1573" s="208" t="s">
        <v>52</v>
      </c>
      <c r="H1573" s="99" t="s">
        <v>1264</v>
      </c>
      <c r="I1573" s="99" t="s">
        <v>1979</v>
      </c>
      <c r="J1573" s="194"/>
      <c r="K1573" s="177">
        <v>45017.0</v>
      </c>
      <c r="L1573" s="206" t="b">
        <v>0</v>
      </c>
    </row>
    <row r="1574">
      <c r="A1574" s="4" t="s">
        <v>62</v>
      </c>
      <c r="B1574" s="170" t="s">
        <v>1982</v>
      </c>
      <c r="C1574" s="171">
        <v>450.0</v>
      </c>
      <c r="D1574" s="172">
        <v>45046.0</v>
      </c>
      <c r="E1574" s="170" t="s">
        <v>2132</v>
      </c>
      <c r="F1574" s="207">
        <v>2023.04</v>
      </c>
      <c r="G1574" s="207" t="s">
        <v>52</v>
      </c>
      <c r="H1574" s="170" t="s">
        <v>1264</v>
      </c>
      <c r="I1574" s="170" t="s">
        <v>1979</v>
      </c>
      <c r="J1574" s="195"/>
      <c r="K1574" s="173">
        <v>45017.0</v>
      </c>
      <c r="L1574" s="204" t="b">
        <v>0</v>
      </c>
    </row>
    <row r="1575">
      <c r="A1575" s="16" t="s">
        <v>92</v>
      </c>
      <c r="B1575" s="99" t="s">
        <v>1980</v>
      </c>
      <c r="C1575" s="174">
        <v>275.0</v>
      </c>
      <c r="D1575" s="175">
        <v>45046.0</v>
      </c>
      <c r="E1575" s="99">
        <v>122.0</v>
      </c>
      <c r="F1575" s="208">
        <v>2023.04</v>
      </c>
      <c r="G1575" s="208" t="s">
        <v>52</v>
      </c>
      <c r="H1575" s="99" t="s">
        <v>1264</v>
      </c>
      <c r="I1575" s="99" t="s">
        <v>1979</v>
      </c>
      <c r="J1575" s="194"/>
      <c r="K1575" s="177">
        <v>45017.0</v>
      </c>
      <c r="L1575" s="206" t="b">
        <v>0</v>
      </c>
    </row>
    <row r="1576">
      <c r="A1576" s="4" t="s">
        <v>88</v>
      </c>
      <c r="B1576" s="170" t="s">
        <v>1980</v>
      </c>
      <c r="C1576" s="171">
        <v>45.0</v>
      </c>
      <c r="D1576" s="172">
        <v>45046.0</v>
      </c>
      <c r="E1576" s="170">
        <v>122.0</v>
      </c>
      <c r="F1576" s="207">
        <v>2023.04</v>
      </c>
      <c r="G1576" s="207" t="s">
        <v>52</v>
      </c>
      <c r="H1576" s="170" t="s">
        <v>1264</v>
      </c>
      <c r="I1576" s="170" t="s">
        <v>1979</v>
      </c>
      <c r="J1576" s="195"/>
      <c r="K1576" s="173">
        <v>45017.0</v>
      </c>
      <c r="L1576" s="204" t="b">
        <v>0</v>
      </c>
    </row>
    <row r="1577">
      <c r="A1577" s="16" t="s">
        <v>97</v>
      </c>
      <c r="B1577" s="99" t="s">
        <v>1980</v>
      </c>
      <c r="C1577" s="174">
        <v>30.0</v>
      </c>
      <c r="D1577" s="175">
        <v>45046.0</v>
      </c>
      <c r="E1577" s="99">
        <v>122.0</v>
      </c>
      <c r="F1577" s="208">
        <v>2023.04</v>
      </c>
      <c r="G1577" s="208" t="s">
        <v>52</v>
      </c>
      <c r="H1577" s="99" t="s">
        <v>1264</v>
      </c>
      <c r="I1577" s="99" t="s">
        <v>1979</v>
      </c>
      <c r="J1577" s="194"/>
      <c r="K1577" s="177">
        <v>45017.0</v>
      </c>
      <c r="L1577" s="206" t="b">
        <v>0</v>
      </c>
    </row>
    <row r="1578">
      <c r="A1578" s="4" t="s">
        <v>82</v>
      </c>
      <c r="B1578" s="170" t="s">
        <v>1980</v>
      </c>
      <c r="C1578" s="171">
        <v>90.0</v>
      </c>
      <c r="D1578" s="172">
        <v>45046.0</v>
      </c>
      <c r="E1578" s="170">
        <v>122.0</v>
      </c>
      <c r="F1578" s="207">
        <v>2023.04</v>
      </c>
      <c r="G1578" s="207" t="s">
        <v>52</v>
      </c>
      <c r="H1578" s="170" t="s">
        <v>1264</v>
      </c>
      <c r="I1578" s="170" t="s">
        <v>1979</v>
      </c>
      <c r="J1578" s="195"/>
      <c r="K1578" s="173">
        <v>45017.0</v>
      </c>
      <c r="L1578" s="204" t="b">
        <v>0</v>
      </c>
    </row>
    <row r="1579">
      <c r="A1579" s="16" t="s">
        <v>99</v>
      </c>
      <c r="B1579" s="99" t="s">
        <v>1980</v>
      </c>
      <c r="C1579" s="96">
        <f>135+100</f>
        <v>235</v>
      </c>
      <c r="D1579" s="175">
        <v>45046.0</v>
      </c>
      <c r="E1579" s="99">
        <v>122.0</v>
      </c>
      <c r="F1579" s="208">
        <v>2023.04</v>
      </c>
      <c r="G1579" s="208" t="s">
        <v>52</v>
      </c>
      <c r="H1579" s="99" t="s">
        <v>1264</v>
      </c>
      <c r="I1579" s="99" t="s">
        <v>1979</v>
      </c>
      <c r="J1579" s="194"/>
      <c r="K1579" s="177">
        <v>45017.0</v>
      </c>
      <c r="L1579" s="206" t="b">
        <v>0</v>
      </c>
    </row>
    <row r="1580">
      <c r="A1580" s="4" t="s">
        <v>42</v>
      </c>
      <c r="B1580" s="170" t="s">
        <v>1980</v>
      </c>
      <c r="C1580" s="171">
        <v>135.0</v>
      </c>
      <c r="D1580" s="172">
        <v>45046.0</v>
      </c>
      <c r="E1580" s="170">
        <v>122.0</v>
      </c>
      <c r="F1580" s="207">
        <v>2023.04</v>
      </c>
      <c r="G1580" s="207" t="s">
        <v>52</v>
      </c>
      <c r="H1580" s="170" t="s">
        <v>1264</v>
      </c>
      <c r="I1580" s="170" t="s">
        <v>1979</v>
      </c>
      <c r="J1580" s="195"/>
      <c r="K1580" s="173">
        <v>45017.0</v>
      </c>
      <c r="L1580" s="204" t="b">
        <v>0</v>
      </c>
    </row>
    <row r="1581">
      <c r="A1581" s="16" t="s">
        <v>123</v>
      </c>
      <c r="B1581" s="99" t="s">
        <v>1980</v>
      </c>
      <c r="C1581" s="174">
        <v>200.0</v>
      </c>
      <c r="D1581" s="175">
        <v>45046.0</v>
      </c>
      <c r="E1581" s="99">
        <v>122.0</v>
      </c>
      <c r="F1581" s="208">
        <v>2023.04</v>
      </c>
      <c r="G1581" s="208" t="s">
        <v>52</v>
      </c>
      <c r="H1581" s="99" t="s">
        <v>1264</v>
      </c>
      <c r="I1581" s="99" t="s">
        <v>1979</v>
      </c>
      <c r="J1581" s="194"/>
      <c r="K1581" s="177">
        <v>45017.0</v>
      </c>
      <c r="L1581" s="206" t="b">
        <v>0</v>
      </c>
    </row>
    <row r="1582">
      <c r="A1582" s="4" t="s">
        <v>73</v>
      </c>
      <c r="B1582" s="170" t="s">
        <v>1980</v>
      </c>
      <c r="C1582" s="171">
        <v>75.0</v>
      </c>
      <c r="D1582" s="172">
        <v>45046.0</v>
      </c>
      <c r="E1582" s="170">
        <v>122.0</v>
      </c>
      <c r="F1582" s="207">
        <v>2023.04</v>
      </c>
      <c r="G1582" s="207" t="s">
        <v>52</v>
      </c>
      <c r="H1582" s="170" t="s">
        <v>1264</v>
      </c>
      <c r="I1582" s="170" t="s">
        <v>1979</v>
      </c>
      <c r="J1582" s="195"/>
      <c r="K1582" s="173">
        <v>45017.0</v>
      </c>
      <c r="L1582" s="204" t="b">
        <v>0</v>
      </c>
    </row>
    <row r="1583">
      <c r="A1583" s="16" t="s">
        <v>50</v>
      </c>
      <c r="B1583" s="99" t="s">
        <v>1980</v>
      </c>
      <c r="C1583" s="174">
        <v>30.0</v>
      </c>
      <c r="D1583" s="175">
        <v>45046.0</v>
      </c>
      <c r="E1583" s="99">
        <v>122.0</v>
      </c>
      <c r="F1583" s="208">
        <v>2023.04</v>
      </c>
      <c r="G1583" s="208" t="s">
        <v>52</v>
      </c>
      <c r="H1583" s="99" t="s">
        <v>1264</v>
      </c>
      <c r="I1583" s="99" t="s">
        <v>1979</v>
      </c>
      <c r="J1583" s="194"/>
      <c r="K1583" s="177">
        <v>45017.0</v>
      </c>
      <c r="L1583" s="206" t="b">
        <v>0</v>
      </c>
    </row>
    <row r="1584">
      <c r="A1584" s="4" t="s">
        <v>62</v>
      </c>
      <c r="B1584" s="170" t="s">
        <v>1980</v>
      </c>
      <c r="C1584" s="171">
        <v>300.0</v>
      </c>
      <c r="D1584" s="172">
        <v>45046.0</v>
      </c>
      <c r="E1584" s="170">
        <v>122.0</v>
      </c>
      <c r="F1584" s="207">
        <v>2023.04</v>
      </c>
      <c r="G1584" s="207" t="s">
        <v>52</v>
      </c>
      <c r="H1584" s="170" t="s">
        <v>1264</v>
      </c>
      <c r="I1584" s="170" t="s">
        <v>1979</v>
      </c>
      <c r="J1584" s="195"/>
      <c r="K1584" s="173">
        <v>45017.0</v>
      </c>
      <c r="L1584" s="204" t="b">
        <v>0</v>
      </c>
    </row>
    <row r="1585">
      <c r="A1585" s="16" t="s">
        <v>223</v>
      </c>
      <c r="B1585" s="99" t="s">
        <v>1980</v>
      </c>
      <c r="C1585" s="174">
        <v>75.0</v>
      </c>
      <c r="D1585" s="175">
        <v>45046.0</v>
      </c>
      <c r="E1585" s="99">
        <v>122.0</v>
      </c>
      <c r="F1585" s="208">
        <v>2023.04</v>
      </c>
      <c r="G1585" s="208" t="s">
        <v>52</v>
      </c>
      <c r="H1585" s="99" t="s">
        <v>1264</v>
      </c>
      <c r="I1585" s="99" t="s">
        <v>1979</v>
      </c>
      <c r="J1585" s="194"/>
      <c r="K1585" s="177">
        <v>45017.0</v>
      </c>
      <c r="L1585" s="206" t="b">
        <v>0</v>
      </c>
    </row>
    <row r="1586">
      <c r="A1586" s="4" t="s">
        <v>225</v>
      </c>
      <c r="B1586" s="170" t="s">
        <v>1980</v>
      </c>
      <c r="C1586" s="171">
        <v>1860.0</v>
      </c>
      <c r="D1586" s="172">
        <v>45046.0</v>
      </c>
      <c r="E1586" s="170">
        <v>122.0</v>
      </c>
      <c r="F1586" s="207">
        <v>2023.04</v>
      </c>
      <c r="G1586" s="207" t="s">
        <v>52</v>
      </c>
      <c r="H1586" s="170" t="s">
        <v>1264</v>
      </c>
      <c r="I1586" s="170" t="s">
        <v>1979</v>
      </c>
      <c r="J1586" s="195"/>
      <c r="K1586" s="173">
        <v>45017.0</v>
      </c>
      <c r="L1586" s="204" t="b">
        <v>0</v>
      </c>
    </row>
    <row r="1587">
      <c r="A1587" s="16" t="s">
        <v>66</v>
      </c>
      <c r="B1587" s="99" t="s">
        <v>1980</v>
      </c>
      <c r="C1587" s="174">
        <v>90.0</v>
      </c>
      <c r="D1587" s="175">
        <v>45046.0</v>
      </c>
      <c r="E1587" s="99">
        <v>122.0</v>
      </c>
      <c r="F1587" s="208">
        <v>2023.04</v>
      </c>
      <c r="G1587" s="208" t="s">
        <v>52</v>
      </c>
      <c r="H1587" s="99" t="s">
        <v>1264</v>
      </c>
      <c r="I1587" s="99" t="s">
        <v>1979</v>
      </c>
      <c r="J1587" s="194"/>
      <c r="K1587" s="177">
        <v>45017.0</v>
      </c>
      <c r="L1587" s="206" t="b">
        <v>0</v>
      </c>
    </row>
    <row r="1588">
      <c r="A1588" s="4" t="s">
        <v>695</v>
      </c>
      <c r="B1588" s="170" t="s">
        <v>1980</v>
      </c>
      <c r="C1588" s="171">
        <v>45.0</v>
      </c>
      <c r="D1588" s="172">
        <v>45046.0</v>
      </c>
      <c r="E1588" s="170">
        <v>122.0</v>
      </c>
      <c r="F1588" s="207">
        <v>2023.04</v>
      </c>
      <c r="G1588" s="207" t="s">
        <v>52</v>
      </c>
      <c r="H1588" s="170" t="s">
        <v>1264</v>
      </c>
      <c r="I1588" s="170" t="s">
        <v>1979</v>
      </c>
      <c r="J1588" s="195"/>
      <c r="K1588" s="173">
        <v>45017.0</v>
      </c>
      <c r="L1588" s="204" t="b">
        <v>0</v>
      </c>
    </row>
    <row r="1589">
      <c r="A1589" s="16" t="s">
        <v>499</v>
      </c>
      <c r="B1589" s="99" t="s">
        <v>1980</v>
      </c>
      <c r="C1589" s="174">
        <v>100.0</v>
      </c>
      <c r="D1589" s="175">
        <v>45046.0</v>
      </c>
      <c r="E1589" s="99">
        <v>122.0</v>
      </c>
      <c r="F1589" s="208">
        <v>2023.04</v>
      </c>
      <c r="G1589" s="208" t="s">
        <v>52</v>
      </c>
      <c r="H1589" s="99" t="s">
        <v>1264</v>
      </c>
      <c r="I1589" s="99" t="s">
        <v>1979</v>
      </c>
      <c r="J1589" s="194"/>
      <c r="K1589" s="177">
        <v>45017.0</v>
      </c>
      <c r="L1589" s="206" t="b">
        <v>0</v>
      </c>
    </row>
    <row r="1590">
      <c r="A1590" s="4" t="s">
        <v>810</v>
      </c>
      <c r="B1590" s="170" t="s">
        <v>1980</v>
      </c>
      <c r="C1590" s="171">
        <v>60.0</v>
      </c>
      <c r="D1590" s="172">
        <v>45046.0</v>
      </c>
      <c r="E1590" s="170">
        <v>122.0</v>
      </c>
      <c r="F1590" s="207">
        <v>2023.04</v>
      </c>
      <c r="G1590" s="207" t="s">
        <v>52</v>
      </c>
      <c r="H1590" s="170" t="s">
        <v>1264</v>
      </c>
      <c r="I1590" s="170" t="s">
        <v>1979</v>
      </c>
      <c r="J1590" s="195"/>
      <c r="K1590" s="173">
        <v>45017.0</v>
      </c>
      <c r="L1590" s="204" t="b">
        <v>0</v>
      </c>
    </row>
    <row r="1591">
      <c r="A1591" s="16" t="s">
        <v>762</v>
      </c>
      <c r="B1591" s="99" t="s">
        <v>1980</v>
      </c>
      <c r="C1591" s="96">
        <f>60+262.5</f>
        <v>322.5</v>
      </c>
      <c r="D1591" s="175">
        <v>45046.0</v>
      </c>
      <c r="E1591" s="99">
        <v>122.0</v>
      </c>
      <c r="F1591" s="208">
        <v>2023.04</v>
      </c>
      <c r="G1591" s="208" t="s">
        <v>52</v>
      </c>
      <c r="H1591" s="99" t="s">
        <v>1264</v>
      </c>
      <c r="I1591" s="99" t="s">
        <v>1979</v>
      </c>
      <c r="J1591" s="194"/>
      <c r="K1591" s="177">
        <v>45017.0</v>
      </c>
      <c r="L1591" s="206" t="b">
        <v>0</v>
      </c>
    </row>
    <row r="1592">
      <c r="A1592" s="4" t="s">
        <v>788</v>
      </c>
      <c r="B1592" s="170" t="s">
        <v>1980</v>
      </c>
      <c r="C1592" s="171">
        <v>500.0</v>
      </c>
      <c r="D1592" s="172">
        <v>45046.0</v>
      </c>
      <c r="E1592" s="170">
        <v>122.0</v>
      </c>
      <c r="F1592" s="207">
        <v>2023.04</v>
      </c>
      <c r="G1592" s="207" t="s">
        <v>52</v>
      </c>
      <c r="H1592" s="170" t="s">
        <v>1264</v>
      </c>
      <c r="I1592" s="170" t="s">
        <v>1979</v>
      </c>
      <c r="J1592" s="195"/>
      <c r="K1592" s="173">
        <v>45017.0</v>
      </c>
      <c r="L1592" s="204" t="b">
        <v>0</v>
      </c>
    </row>
    <row r="1593">
      <c r="A1593" s="16" t="s">
        <v>795</v>
      </c>
      <c r="B1593" s="99" t="s">
        <v>1980</v>
      </c>
      <c r="C1593" s="174">
        <v>330.0</v>
      </c>
      <c r="D1593" s="175">
        <v>45046.0</v>
      </c>
      <c r="E1593" s="99">
        <v>122.0</v>
      </c>
      <c r="F1593" s="208">
        <v>2023.04</v>
      </c>
      <c r="G1593" s="208" t="s">
        <v>52</v>
      </c>
      <c r="H1593" s="99" t="s">
        <v>1264</v>
      </c>
      <c r="I1593" s="99" t="s">
        <v>1979</v>
      </c>
      <c r="J1593" s="194"/>
      <c r="K1593" s="177">
        <v>45017.0</v>
      </c>
      <c r="L1593" s="206" t="b">
        <v>0</v>
      </c>
    </row>
    <row r="1594">
      <c r="A1594" s="4" t="s">
        <v>886</v>
      </c>
      <c r="B1594" s="170" t="s">
        <v>1980</v>
      </c>
      <c r="C1594" s="171">
        <v>175.0</v>
      </c>
      <c r="D1594" s="172">
        <v>45046.0</v>
      </c>
      <c r="E1594" s="170">
        <v>122.0</v>
      </c>
      <c r="F1594" s="207">
        <v>2023.0</v>
      </c>
      <c r="G1594" s="207" t="s">
        <v>1160</v>
      </c>
      <c r="H1594" s="170" t="s">
        <v>1264</v>
      </c>
      <c r="I1594" s="170" t="s">
        <v>1979</v>
      </c>
      <c r="J1594" s="195"/>
      <c r="K1594" s="173">
        <v>45017.0</v>
      </c>
      <c r="L1594" s="204" t="b">
        <v>0</v>
      </c>
    </row>
    <row r="1595">
      <c r="A1595" s="16" t="s">
        <v>861</v>
      </c>
      <c r="B1595" s="99" t="s">
        <v>1980</v>
      </c>
      <c r="C1595" s="174">
        <f>930*0.7</f>
        <v>651</v>
      </c>
      <c r="D1595" s="175">
        <v>45046.0</v>
      </c>
      <c r="E1595" s="99">
        <v>122.0</v>
      </c>
      <c r="F1595" s="208">
        <v>2023.04</v>
      </c>
      <c r="G1595" s="208" t="s">
        <v>52</v>
      </c>
      <c r="H1595" s="99" t="s">
        <v>1264</v>
      </c>
      <c r="I1595" s="99" t="s">
        <v>1979</v>
      </c>
      <c r="J1595" s="194"/>
      <c r="K1595" s="177">
        <v>45017.0</v>
      </c>
      <c r="L1595" s="206" t="b">
        <v>0</v>
      </c>
    </row>
    <row r="1596">
      <c r="A1596" s="4" t="s">
        <v>549</v>
      </c>
      <c r="B1596" s="170" t="s">
        <v>1980</v>
      </c>
      <c r="C1596" s="171">
        <v>45.0</v>
      </c>
      <c r="D1596" s="172">
        <v>45046.0</v>
      </c>
      <c r="E1596" s="170">
        <v>122.0</v>
      </c>
      <c r="F1596" s="207">
        <v>2023.04</v>
      </c>
      <c r="G1596" s="207" t="s">
        <v>52</v>
      </c>
      <c r="H1596" s="170" t="s">
        <v>1264</v>
      </c>
      <c r="I1596" s="170" t="s">
        <v>1979</v>
      </c>
      <c r="J1596" s="195"/>
      <c r="K1596" s="173">
        <v>45017.0</v>
      </c>
      <c r="L1596" s="204" t="b">
        <v>0</v>
      </c>
    </row>
    <row r="1597">
      <c r="A1597" s="16" t="s">
        <v>102</v>
      </c>
      <c r="B1597" s="99" t="s">
        <v>1987</v>
      </c>
      <c r="C1597" s="174">
        <v>150.0</v>
      </c>
      <c r="D1597" s="175">
        <v>45046.0</v>
      </c>
      <c r="E1597" s="99">
        <v>1032.0</v>
      </c>
      <c r="F1597" s="208">
        <v>2023.04</v>
      </c>
      <c r="G1597" s="208" t="s">
        <v>52</v>
      </c>
      <c r="H1597" s="99" t="s">
        <v>1264</v>
      </c>
      <c r="I1597" s="99" t="s">
        <v>1979</v>
      </c>
      <c r="J1597" s="194"/>
      <c r="K1597" s="177">
        <v>45017.0</v>
      </c>
      <c r="L1597" s="206" t="b">
        <v>0</v>
      </c>
    </row>
    <row r="1598">
      <c r="A1598" s="4" t="s">
        <v>963</v>
      </c>
      <c r="B1598" s="170" t="s">
        <v>1980</v>
      </c>
      <c r="C1598" s="93">
        <f>930*0.3</f>
        <v>279</v>
      </c>
      <c r="D1598" s="172">
        <v>45046.0</v>
      </c>
      <c r="E1598" s="170">
        <v>122.0</v>
      </c>
      <c r="F1598" s="207">
        <v>2023.04</v>
      </c>
      <c r="G1598" s="207" t="s">
        <v>52</v>
      </c>
      <c r="H1598" s="170" t="s">
        <v>1264</v>
      </c>
      <c r="I1598" s="170" t="s">
        <v>1979</v>
      </c>
      <c r="J1598" s="195"/>
      <c r="K1598" s="173">
        <v>45017.0</v>
      </c>
      <c r="L1598" s="204" t="b">
        <v>0</v>
      </c>
    </row>
    <row r="1599">
      <c r="A1599" s="16" t="s">
        <v>54</v>
      </c>
      <c r="B1599" s="99" t="s">
        <v>2002</v>
      </c>
      <c r="C1599" s="174">
        <v>9.17</v>
      </c>
      <c r="D1599" s="175">
        <v>45046.0</v>
      </c>
      <c r="E1599" s="97"/>
      <c r="F1599" s="208">
        <v>2023.04</v>
      </c>
      <c r="G1599" s="208" t="s">
        <v>52</v>
      </c>
      <c r="H1599" s="99" t="s">
        <v>1999</v>
      </c>
      <c r="I1599" s="99" t="s">
        <v>1979</v>
      </c>
      <c r="J1599" s="194"/>
      <c r="K1599" s="177">
        <v>45017.0</v>
      </c>
      <c r="L1599" s="206" t="b">
        <v>0</v>
      </c>
    </row>
    <row r="1600">
      <c r="A1600" s="4" t="s">
        <v>913</v>
      </c>
      <c r="B1600" s="170" t="s">
        <v>2002</v>
      </c>
      <c r="C1600" s="171">
        <v>248.2</v>
      </c>
      <c r="D1600" s="172">
        <v>45046.0</v>
      </c>
      <c r="E1600" s="94"/>
      <c r="F1600" s="207">
        <v>2023.0</v>
      </c>
      <c r="G1600" s="207" t="s">
        <v>1160</v>
      </c>
      <c r="H1600" s="170" t="s">
        <v>1999</v>
      </c>
      <c r="I1600" s="170" t="s">
        <v>1979</v>
      </c>
      <c r="J1600" s="195"/>
      <c r="K1600" s="173">
        <v>45017.0</v>
      </c>
      <c r="L1600" s="204" t="b">
        <v>0</v>
      </c>
    </row>
    <row r="1601">
      <c r="A1601" s="16" t="s">
        <v>896</v>
      </c>
      <c r="B1601" s="99" t="s">
        <v>2002</v>
      </c>
      <c r="C1601" s="174">
        <v>594.17</v>
      </c>
      <c r="D1601" s="175">
        <v>45046.0</v>
      </c>
      <c r="E1601" s="97"/>
      <c r="F1601" s="208">
        <v>2023.0</v>
      </c>
      <c r="G1601" s="208" t="s">
        <v>1160</v>
      </c>
      <c r="H1601" s="99" t="s">
        <v>1999</v>
      </c>
      <c r="I1601" s="99" t="s">
        <v>1979</v>
      </c>
      <c r="J1601" s="194"/>
      <c r="K1601" s="177">
        <v>45017.0</v>
      </c>
      <c r="L1601" s="206" t="b">
        <v>0</v>
      </c>
    </row>
    <row r="1602">
      <c r="A1602" s="4" t="s">
        <v>120</v>
      </c>
      <c r="B1602" s="170" t="s">
        <v>2002</v>
      </c>
      <c r="C1602" s="171">
        <v>14.84</v>
      </c>
      <c r="D1602" s="172">
        <v>45046.0</v>
      </c>
      <c r="E1602" s="94"/>
      <c r="F1602" s="207">
        <v>2023.04</v>
      </c>
      <c r="G1602" s="207" t="s">
        <v>52</v>
      </c>
      <c r="H1602" s="170" t="s">
        <v>1999</v>
      </c>
      <c r="I1602" s="170" t="s">
        <v>1979</v>
      </c>
      <c r="J1602" s="195"/>
      <c r="K1602" s="173">
        <v>45017.0</v>
      </c>
      <c r="L1602" s="204" t="b">
        <v>0</v>
      </c>
    </row>
    <row r="1603">
      <c r="A1603" s="16" t="s">
        <v>788</v>
      </c>
      <c r="B1603" s="99" t="s">
        <v>2002</v>
      </c>
      <c r="C1603" s="174">
        <v>67.62</v>
      </c>
      <c r="D1603" s="175">
        <v>45046.0</v>
      </c>
      <c r="E1603" s="97"/>
      <c r="F1603" s="208">
        <v>2023.04</v>
      </c>
      <c r="G1603" s="208" t="s">
        <v>52</v>
      </c>
      <c r="H1603" s="99" t="s">
        <v>1999</v>
      </c>
      <c r="I1603" s="99" t="s">
        <v>1979</v>
      </c>
      <c r="J1603" s="194"/>
      <c r="K1603" s="177">
        <v>45017.0</v>
      </c>
      <c r="L1603" s="206" t="b">
        <v>0</v>
      </c>
    </row>
    <row r="1604">
      <c r="A1604" s="4" t="s">
        <v>918</v>
      </c>
      <c r="B1604" s="170" t="s">
        <v>2002</v>
      </c>
      <c r="C1604" s="171">
        <v>457.85</v>
      </c>
      <c r="D1604" s="172">
        <v>45046.0</v>
      </c>
      <c r="E1604" s="94"/>
      <c r="F1604" s="207">
        <v>2023.0</v>
      </c>
      <c r="G1604" s="207" t="s">
        <v>1160</v>
      </c>
      <c r="H1604" s="170" t="s">
        <v>1999</v>
      </c>
      <c r="I1604" s="170" t="s">
        <v>1979</v>
      </c>
      <c r="J1604" s="195"/>
      <c r="K1604" s="173">
        <v>45017.0</v>
      </c>
      <c r="L1604" s="204" t="b">
        <v>0</v>
      </c>
    </row>
    <row r="1605">
      <c r="A1605" s="16" t="s">
        <v>835</v>
      </c>
      <c r="B1605" s="99" t="s">
        <v>2002</v>
      </c>
      <c r="C1605" s="174">
        <v>1184.57</v>
      </c>
      <c r="D1605" s="175">
        <v>45046.0</v>
      </c>
      <c r="E1605" s="97"/>
      <c r="F1605" s="208">
        <v>2023.0</v>
      </c>
      <c r="G1605" s="208" t="s">
        <v>1160</v>
      </c>
      <c r="H1605" s="99" t="s">
        <v>1999</v>
      </c>
      <c r="I1605" s="99" t="s">
        <v>1979</v>
      </c>
      <c r="J1605" s="194"/>
      <c r="K1605" s="177">
        <v>45017.0</v>
      </c>
      <c r="L1605" s="206" t="b">
        <v>0</v>
      </c>
    </row>
    <row r="1606">
      <c r="A1606" s="4" t="s">
        <v>890</v>
      </c>
      <c r="B1606" s="170" t="s">
        <v>2002</v>
      </c>
      <c r="C1606" s="171">
        <v>2.15</v>
      </c>
      <c r="D1606" s="172">
        <v>45046.0</v>
      </c>
      <c r="E1606" s="94"/>
      <c r="F1606" s="207">
        <v>2023.04</v>
      </c>
      <c r="G1606" s="207" t="s">
        <v>52</v>
      </c>
      <c r="H1606" s="170" t="s">
        <v>1999</v>
      </c>
      <c r="I1606" s="170" t="s">
        <v>1979</v>
      </c>
      <c r="J1606" s="195"/>
      <c r="K1606" s="173">
        <v>45017.0</v>
      </c>
      <c r="L1606" s="204" t="b">
        <v>0</v>
      </c>
    </row>
    <row r="1607">
      <c r="A1607" s="16" t="s">
        <v>890</v>
      </c>
      <c r="B1607" s="99" t="s">
        <v>2002</v>
      </c>
      <c r="C1607" s="174">
        <v>66.7</v>
      </c>
      <c r="D1607" s="175">
        <v>45046.0</v>
      </c>
      <c r="E1607" s="97"/>
      <c r="F1607" s="208">
        <v>2023.04</v>
      </c>
      <c r="G1607" s="208" t="s">
        <v>52</v>
      </c>
      <c r="H1607" s="99" t="s">
        <v>1999</v>
      </c>
      <c r="I1607" s="99" t="s">
        <v>1979</v>
      </c>
      <c r="J1607" s="194"/>
      <c r="K1607" s="177">
        <v>45017.0</v>
      </c>
      <c r="L1607" s="206" t="b">
        <v>0</v>
      </c>
    </row>
    <row r="1608">
      <c r="A1608" s="4" t="s">
        <v>898</v>
      </c>
      <c r="B1608" s="170" t="s">
        <v>2002</v>
      </c>
      <c r="C1608" s="171">
        <v>25.5</v>
      </c>
      <c r="D1608" s="172">
        <v>45046.0</v>
      </c>
      <c r="E1608" s="94"/>
      <c r="F1608" s="207">
        <v>2023.0</v>
      </c>
      <c r="G1608" s="207" t="s">
        <v>1160</v>
      </c>
      <c r="H1608" s="170" t="s">
        <v>1999</v>
      </c>
      <c r="I1608" s="170" t="s">
        <v>1979</v>
      </c>
      <c r="J1608" s="195"/>
      <c r="K1608" s="173">
        <v>45017.0</v>
      </c>
      <c r="L1608" s="204" t="b">
        <v>0</v>
      </c>
    </row>
    <row r="1609">
      <c r="A1609" s="16" t="s">
        <v>148</v>
      </c>
      <c r="B1609" s="99" t="s">
        <v>2002</v>
      </c>
      <c r="C1609" s="174">
        <v>31.76</v>
      </c>
      <c r="D1609" s="175">
        <v>45046.0</v>
      </c>
      <c r="E1609" s="97"/>
      <c r="F1609" s="208">
        <v>2023.0</v>
      </c>
      <c r="G1609" s="208" t="s">
        <v>1160</v>
      </c>
      <c r="H1609" s="99" t="s">
        <v>1999</v>
      </c>
      <c r="I1609" s="99" t="s">
        <v>1979</v>
      </c>
      <c r="J1609" s="194"/>
      <c r="K1609" s="177">
        <v>45017.0</v>
      </c>
      <c r="L1609" s="206" t="b">
        <v>0</v>
      </c>
    </row>
    <row r="1610">
      <c r="A1610" s="4" t="s">
        <v>70</v>
      </c>
      <c r="B1610" s="170" t="s">
        <v>2002</v>
      </c>
      <c r="C1610" s="171">
        <v>407.24</v>
      </c>
      <c r="D1610" s="172">
        <v>45046.0</v>
      </c>
      <c r="E1610" s="94"/>
      <c r="F1610" s="207">
        <v>2023.0</v>
      </c>
      <c r="G1610" s="207" t="s">
        <v>1160</v>
      </c>
      <c r="H1610" s="170" t="s">
        <v>1999</v>
      </c>
      <c r="I1610" s="170" t="s">
        <v>1979</v>
      </c>
      <c r="J1610" s="195"/>
      <c r="K1610" s="173">
        <v>45017.0</v>
      </c>
      <c r="L1610" s="204" t="b">
        <v>0</v>
      </c>
    </row>
    <row r="1611">
      <c r="A1611" s="16" t="s">
        <v>861</v>
      </c>
      <c r="B1611" s="99" t="s">
        <v>2002</v>
      </c>
      <c r="C1611" s="174">
        <v>19.27</v>
      </c>
      <c r="D1611" s="175">
        <v>45046.0</v>
      </c>
      <c r="E1611" s="97"/>
      <c r="F1611" s="208">
        <v>2023.04</v>
      </c>
      <c r="G1611" s="208" t="s">
        <v>52</v>
      </c>
      <c r="H1611" s="99" t="s">
        <v>1999</v>
      </c>
      <c r="I1611" s="99" t="s">
        <v>1979</v>
      </c>
      <c r="J1611" s="194"/>
      <c r="K1611" s="177">
        <v>45017.0</v>
      </c>
      <c r="L1611" s="206" t="b">
        <v>0</v>
      </c>
    </row>
    <row r="1612">
      <c r="A1612" s="4" t="s">
        <v>932</v>
      </c>
      <c r="B1612" s="170" t="s">
        <v>2002</v>
      </c>
      <c r="C1612" s="171">
        <v>294.33</v>
      </c>
      <c r="D1612" s="172">
        <v>45046.0</v>
      </c>
      <c r="E1612" s="94"/>
      <c r="F1612" s="207">
        <v>2023.0</v>
      </c>
      <c r="G1612" s="207" t="s">
        <v>1160</v>
      </c>
      <c r="H1612" s="170" t="s">
        <v>1999</v>
      </c>
      <c r="I1612" s="170" t="s">
        <v>1979</v>
      </c>
      <c r="J1612" s="195"/>
      <c r="K1612" s="173">
        <v>45017.0</v>
      </c>
      <c r="L1612" s="204" t="b">
        <v>0</v>
      </c>
    </row>
    <row r="1613">
      <c r="A1613" s="16" t="s">
        <v>1266</v>
      </c>
      <c r="B1613" s="99" t="s">
        <v>2002</v>
      </c>
      <c r="C1613" s="174">
        <v>717.72</v>
      </c>
      <c r="D1613" s="175">
        <v>45046.0</v>
      </c>
      <c r="E1613" s="97"/>
      <c r="F1613" s="208">
        <v>2023.0</v>
      </c>
      <c r="G1613" s="208" t="s">
        <v>1152</v>
      </c>
      <c r="H1613" s="99" t="s">
        <v>1999</v>
      </c>
      <c r="I1613" s="99" t="s">
        <v>1979</v>
      </c>
      <c r="J1613" s="194"/>
      <c r="K1613" s="177">
        <v>45017.0</v>
      </c>
      <c r="L1613" s="206" t="b">
        <v>0</v>
      </c>
    </row>
    <row r="1614">
      <c r="A1614" s="4" t="s">
        <v>855</v>
      </c>
      <c r="B1614" s="170" t="s">
        <v>2002</v>
      </c>
      <c r="C1614" s="171">
        <v>166.24</v>
      </c>
      <c r="D1614" s="172">
        <v>45046.0</v>
      </c>
      <c r="E1614" s="94"/>
      <c r="F1614" s="207">
        <v>2023.04</v>
      </c>
      <c r="G1614" s="207" t="s">
        <v>52</v>
      </c>
      <c r="H1614" s="170" t="s">
        <v>1999</v>
      </c>
      <c r="I1614" s="170" t="s">
        <v>1979</v>
      </c>
      <c r="J1614" s="195"/>
      <c r="K1614" s="173">
        <v>45017.0</v>
      </c>
      <c r="L1614" s="204" t="b">
        <v>0</v>
      </c>
    </row>
    <row r="1615">
      <c r="A1615" s="16" t="s">
        <v>871</v>
      </c>
      <c r="B1615" s="99" t="s">
        <v>2002</v>
      </c>
      <c r="C1615" s="174">
        <v>6.14</v>
      </c>
      <c r="D1615" s="175">
        <v>45046.0</v>
      </c>
      <c r="E1615" s="97"/>
      <c r="F1615" s="208">
        <v>2023.0</v>
      </c>
      <c r="G1615" s="208" t="s">
        <v>1160</v>
      </c>
      <c r="H1615" s="99" t="s">
        <v>1999</v>
      </c>
      <c r="I1615" s="99" t="s">
        <v>1979</v>
      </c>
      <c r="J1615" s="194"/>
      <c r="K1615" s="177">
        <v>45017.0</v>
      </c>
      <c r="L1615" s="206" t="b">
        <v>0</v>
      </c>
    </row>
    <row r="1616">
      <c r="A1616" s="4" t="s">
        <v>586</v>
      </c>
      <c r="B1616" s="170" t="s">
        <v>2002</v>
      </c>
      <c r="C1616" s="171">
        <v>10.81</v>
      </c>
      <c r="D1616" s="172">
        <v>45046.0</v>
      </c>
      <c r="E1616" s="94"/>
      <c r="F1616" s="207">
        <v>2023.0</v>
      </c>
      <c r="G1616" s="207" t="s">
        <v>1160</v>
      </c>
      <c r="H1616" s="170" t="s">
        <v>1999</v>
      </c>
      <c r="I1616" s="170" t="s">
        <v>1979</v>
      </c>
      <c r="J1616" s="195"/>
      <c r="K1616" s="173">
        <v>45017.0</v>
      </c>
      <c r="L1616" s="204" t="b">
        <v>0</v>
      </c>
    </row>
    <row r="1617">
      <c r="A1617" s="16" t="s">
        <v>584</v>
      </c>
      <c r="B1617" s="99" t="s">
        <v>2002</v>
      </c>
      <c r="C1617" s="174">
        <v>94.45</v>
      </c>
      <c r="D1617" s="175">
        <v>45046.0</v>
      </c>
      <c r="E1617" s="97"/>
      <c r="F1617" s="208">
        <v>2023.0</v>
      </c>
      <c r="G1617" s="208" t="s">
        <v>1160</v>
      </c>
      <c r="H1617" s="99" t="s">
        <v>1999</v>
      </c>
      <c r="I1617" s="99" t="s">
        <v>1979</v>
      </c>
      <c r="J1617" s="194"/>
      <c r="K1617" s="177">
        <v>45017.0</v>
      </c>
      <c r="L1617" s="206" t="b">
        <v>0</v>
      </c>
    </row>
    <row r="1618">
      <c r="A1618" s="4" t="s">
        <v>587</v>
      </c>
      <c r="B1618" s="170" t="s">
        <v>2002</v>
      </c>
      <c r="C1618" s="171">
        <v>57.18</v>
      </c>
      <c r="D1618" s="172">
        <v>45046.0</v>
      </c>
      <c r="E1618" s="94"/>
      <c r="F1618" s="207">
        <v>2023.0</v>
      </c>
      <c r="G1618" s="207" t="s">
        <v>1160</v>
      </c>
      <c r="H1618" s="170" t="s">
        <v>1999</v>
      </c>
      <c r="I1618" s="170" t="s">
        <v>1979</v>
      </c>
      <c r="J1618" s="195"/>
      <c r="K1618" s="173">
        <v>45017.0</v>
      </c>
      <c r="L1618" s="204" t="b">
        <v>0</v>
      </c>
    </row>
    <row r="1619">
      <c r="A1619" s="16" t="s">
        <v>123</v>
      </c>
      <c r="B1619" s="99" t="s">
        <v>2002</v>
      </c>
      <c r="C1619" s="174">
        <v>104.36</v>
      </c>
      <c r="D1619" s="175">
        <v>45046.0</v>
      </c>
      <c r="E1619" s="97"/>
      <c r="F1619" s="208">
        <v>2023.04</v>
      </c>
      <c r="G1619" s="208" t="s">
        <v>52</v>
      </c>
      <c r="H1619" s="99" t="s">
        <v>1999</v>
      </c>
      <c r="I1619" s="99" t="s">
        <v>1979</v>
      </c>
      <c r="J1619" s="194"/>
      <c r="K1619" s="177">
        <v>45017.0</v>
      </c>
      <c r="L1619" s="206" t="b">
        <v>0</v>
      </c>
    </row>
    <row r="1620">
      <c r="A1620" s="4" t="s">
        <v>629</v>
      </c>
      <c r="B1620" s="170" t="s">
        <v>2002</v>
      </c>
      <c r="C1620" s="171">
        <f>4.24+4.51</f>
        <v>8.75</v>
      </c>
      <c r="D1620" s="172">
        <v>45046.0</v>
      </c>
      <c r="E1620" s="94"/>
      <c r="F1620" s="207">
        <v>2023.04</v>
      </c>
      <c r="G1620" s="207" t="s">
        <v>52</v>
      </c>
      <c r="H1620" s="170" t="s">
        <v>1999</v>
      </c>
      <c r="I1620" s="170" t="s">
        <v>1979</v>
      </c>
      <c r="J1620" s="195"/>
      <c r="K1620" s="173">
        <v>45017.0</v>
      </c>
      <c r="L1620" s="204" t="b">
        <v>0</v>
      </c>
    </row>
    <row r="1621">
      <c r="A1621" s="16" t="s">
        <v>118</v>
      </c>
      <c r="B1621" s="99" t="s">
        <v>1976</v>
      </c>
      <c r="C1621" s="174">
        <v>750.0</v>
      </c>
      <c r="D1621" s="175">
        <v>45035.0</v>
      </c>
      <c r="E1621" s="97"/>
      <c r="F1621" s="208">
        <v>2023.04</v>
      </c>
      <c r="G1621" s="208" t="s">
        <v>52</v>
      </c>
      <c r="H1621" s="99" t="s">
        <v>1999</v>
      </c>
      <c r="I1621" s="99" t="s">
        <v>1977</v>
      </c>
      <c r="J1621" s="194"/>
      <c r="K1621" s="177">
        <v>45017.0</v>
      </c>
      <c r="L1621" s="206" t="b">
        <v>0</v>
      </c>
    </row>
    <row r="1622">
      <c r="A1622" s="4" t="s">
        <v>115</v>
      </c>
      <c r="B1622" s="170" t="s">
        <v>1976</v>
      </c>
      <c r="C1622" s="171">
        <v>750.0</v>
      </c>
      <c r="D1622" s="172">
        <v>45036.0</v>
      </c>
      <c r="E1622" s="94"/>
      <c r="F1622" s="207">
        <v>2023.04</v>
      </c>
      <c r="G1622" s="207" t="s">
        <v>52</v>
      </c>
      <c r="H1622" s="170" t="s">
        <v>1999</v>
      </c>
      <c r="I1622" s="170" t="s">
        <v>1977</v>
      </c>
      <c r="J1622" s="195"/>
      <c r="K1622" s="173">
        <v>45017.0</v>
      </c>
      <c r="L1622" s="204" t="b">
        <v>0</v>
      </c>
    </row>
    <row r="1623">
      <c r="A1623" s="16" t="s">
        <v>92</v>
      </c>
      <c r="B1623" s="99" t="s">
        <v>1988</v>
      </c>
      <c r="C1623" s="174">
        <v>46.19</v>
      </c>
      <c r="D1623" s="175">
        <v>45041.0</v>
      </c>
      <c r="E1623" s="97"/>
      <c r="F1623" s="208">
        <v>2023.04</v>
      </c>
      <c r="G1623" s="208" t="s">
        <v>52</v>
      </c>
      <c r="H1623" s="99" t="s">
        <v>1999</v>
      </c>
      <c r="I1623" s="99" t="s">
        <v>1977</v>
      </c>
      <c r="J1623" s="194"/>
      <c r="K1623" s="177">
        <v>45017.0</v>
      </c>
      <c r="L1623" s="206" t="b">
        <v>0</v>
      </c>
    </row>
    <row r="1624">
      <c r="A1624" s="4" t="s">
        <v>118</v>
      </c>
      <c r="B1624" s="170" t="s">
        <v>1976</v>
      </c>
      <c r="C1624" s="171">
        <v>723.74</v>
      </c>
      <c r="D1624" s="172">
        <v>45047.0</v>
      </c>
      <c r="E1624" s="94"/>
      <c r="F1624" s="207">
        <v>2023.05</v>
      </c>
      <c r="G1624" s="207" t="s">
        <v>52</v>
      </c>
      <c r="H1624" s="170" t="s">
        <v>1999</v>
      </c>
      <c r="I1624" s="170" t="s">
        <v>1977</v>
      </c>
      <c r="J1624" s="195"/>
      <c r="K1624" s="173">
        <v>45017.0</v>
      </c>
      <c r="L1624" s="204" t="b">
        <v>0</v>
      </c>
    </row>
    <row r="1625">
      <c r="A1625" s="16" t="s">
        <v>1271</v>
      </c>
      <c r="B1625" s="99" t="s">
        <v>2000</v>
      </c>
      <c r="C1625" s="174">
        <v>499.41</v>
      </c>
      <c r="D1625" s="175">
        <v>45047.0</v>
      </c>
      <c r="E1625" s="97"/>
      <c r="F1625" s="208">
        <v>2023.0</v>
      </c>
      <c r="G1625" s="208" t="s">
        <v>1152</v>
      </c>
      <c r="H1625" s="99" t="s">
        <v>1999</v>
      </c>
      <c r="I1625" s="99" t="s">
        <v>1995</v>
      </c>
      <c r="J1625" s="194"/>
      <c r="K1625" s="177">
        <v>45017.0</v>
      </c>
      <c r="L1625" s="206" t="b">
        <v>0</v>
      </c>
    </row>
    <row r="1626">
      <c r="A1626" s="4" t="s">
        <v>115</v>
      </c>
      <c r="B1626" s="170" t="s">
        <v>1976</v>
      </c>
      <c r="C1626" s="171">
        <v>688.47</v>
      </c>
      <c r="D1626" s="172">
        <v>45047.0</v>
      </c>
      <c r="E1626" s="94"/>
      <c r="F1626" s="207">
        <v>2023.05</v>
      </c>
      <c r="G1626" s="207" t="s">
        <v>52</v>
      </c>
      <c r="H1626" s="170" t="s">
        <v>1999</v>
      </c>
      <c r="I1626" s="170" t="s">
        <v>1977</v>
      </c>
      <c r="J1626" s="195"/>
      <c r="K1626" s="173">
        <v>45017.0</v>
      </c>
      <c r="L1626" s="204" t="b">
        <v>0</v>
      </c>
    </row>
    <row r="1627">
      <c r="A1627" s="16" t="s">
        <v>54</v>
      </c>
      <c r="B1627" s="99" t="s">
        <v>1985</v>
      </c>
      <c r="C1627" s="174">
        <v>337.5</v>
      </c>
      <c r="D1627" s="175">
        <v>45046.0</v>
      </c>
      <c r="E1627" s="99">
        <v>33.0</v>
      </c>
      <c r="F1627" s="208">
        <v>2023.04</v>
      </c>
      <c r="G1627" s="208" t="s">
        <v>52</v>
      </c>
      <c r="H1627" s="99" t="s">
        <v>1264</v>
      </c>
      <c r="I1627" s="99" t="s">
        <v>1979</v>
      </c>
      <c r="J1627" s="194"/>
      <c r="K1627" s="177">
        <v>45017.0</v>
      </c>
      <c r="L1627" s="206" t="b">
        <v>0</v>
      </c>
    </row>
    <row r="1628">
      <c r="A1628" s="4" t="s">
        <v>120</v>
      </c>
      <c r="B1628" s="170" t="s">
        <v>1985</v>
      </c>
      <c r="C1628" s="171">
        <v>350.0</v>
      </c>
      <c r="D1628" s="172">
        <v>45046.0</v>
      </c>
      <c r="E1628" s="170">
        <v>33.0</v>
      </c>
      <c r="F1628" s="207">
        <v>2023.04</v>
      </c>
      <c r="G1628" s="207" t="s">
        <v>52</v>
      </c>
      <c r="H1628" s="170" t="s">
        <v>1264</v>
      </c>
      <c r="I1628" s="170" t="s">
        <v>1979</v>
      </c>
      <c r="J1628" s="195"/>
      <c r="K1628" s="173">
        <v>45017.0</v>
      </c>
      <c r="L1628" s="204" t="b">
        <v>0</v>
      </c>
    </row>
    <row r="1629">
      <c r="A1629" s="16" t="s">
        <v>499</v>
      </c>
      <c r="B1629" s="99" t="s">
        <v>1985</v>
      </c>
      <c r="C1629" s="174">
        <v>300.0</v>
      </c>
      <c r="D1629" s="175">
        <v>45046.0</v>
      </c>
      <c r="E1629" s="99">
        <v>33.0</v>
      </c>
      <c r="F1629" s="208">
        <v>2023.04</v>
      </c>
      <c r="G1629" s="208" t="s">
        <v>52</v>
      </c>
      <c r="H1629" s="99" t="s">
        <v>1264</v>
      </c>
      <c r="I1629" s="99" t="s">
        <v>1979</v>
      </c>
      <c r="J1629" s="194"/>
      <c r="K1629" s="177">
        <v>45017.0</v>
      </c>
      <c r="L1629" s="206" t="b">
        <v>0</v>
      </c>
    </row>
    <row r="1630">
      <c r="A1630" s="4" t="s">
        <v>788</v>
      </c>
      <c r="B1630" s="170" t="s">
        <v>1985</v>
      </c>
      <c r="C1630" s="171">
        <v>300.0</v>
      </c>
      <c r="D1630" s="172">
        <v>45046.0</v>
      </c>
      <c r="E1630" s="170">
        <v>33.0</v>
      </c>
      <c r="F1630" s="207">
        <v>2023.04</v>
      </c>
      <c r="G1630" s="207" t="s">
        <v>52</v>
      </c>
      <c r="H1630" s="170" t="s">
        <v>1264</v>
      </c>
      <c r="I1630" s="170" t="s">
        <v>1979</v>
      </c>
      <c r="J1630" s="195"/>
      <c r="K1630" s="173">
        <v>45017.0</v>
      </c>
      <c r="L1630" s="204" t="b">
        <v>0</v>
      </c>
    </row>
    <row r="1631">
      <c r="A1631" s="16" t="s">
        <v>662</v>
      </c>
      <c r="B1631" s="99" t="s">
        <v>1985</v>
      </c>
      <c r="C1631" s="174">
        <v>215.0</v>
      </c>
      <c r="D1631" s="175">
        <v>45046.0</v>
      </c>
      <c r="E1631" s="99">
        <v>33.0</v>
      </c>
      <c r="F1631" s="208">
        <v>2023.04</v>
      </c>
      <c r="G1631" s="208" t="s">
        <v>52</v>
      </c>
      <c r="H1631" s="99" t="s">
        <v>1264</v>
      </c>
      <c r="I1631" s="99" t="s">
        <v>1979</v>
      </c>
      <c r="J1631" s="194"/>
      <c r="K1631" s="177">
        <v>45017.0</v>
      </c>
      <c r="L1631" s="206" t="b">
        <v>0</v>
      </c>
    </row>
    <row r="1632">
      <c r="A1632" s="4" t="s">
        <v>890</v>
      </c>
      <c r="B1632" s="170" t="s">
        <v>1985</v>
      </c>
      <c r="C1632" s="171">
        <v>665.0</v>
      </c>
      <c r="D1632" s="172">
        <v>45046.0</v>
      </c>
      <c r="E1632" s="170">
        <v>33.0</v>
      </c>
      <c r="F1632" s="207">
        <v>2023.04</v>
      </c>
      <c r="G1632" s="207" t="s">
        <v>52</v>
      </c>
      <c r="H1632" s="170" t="s">
        <v>1264</v>
      </c>
      <c r="I1632" s="170" t="s">
        <v>1979</v>
      </c>
      <c r="J1632" s="195"/>
      <c r="K1632" s="173">
        <v>45017.0</v>
      </c>
      <c r="L1632" s="204" t="b">
        <v>0</v>
      </c>
    </row>
    <row r="1633">
      <c r="A1633" s="16" t="s">
        <v>874</v>
      </c>
      <c r="B1633" s="99" t="s">
        <v>1985</v>
      </c>
      <c r="C1633" s="174">
        <v>1125.0</v>
      </c>
      <c r="D1633" s="175">
        <v>45046.0</v>
      </c>
      <c r="E1633" s="99">
        <v>33.0</v>
      </c>
      <c r="F1633" s="208">
        <v>2023.0</v>
      </c>
      <c r="G1633" s="208" t="s">
        <v>1160</v>
      </c>
      <c r="H1633" s="99" t="s">
        <v>1264</v>
      </c>
      <c r="I1633" s="99" t="s">
        <v>1979</v>
      </c>
      <c r="J1633" s="194"/>
      <c r="K1633" s="177">
        <v>45017.0</v>
      </c>
      <c r="L1633" s="206" t="b">
        <v>0</v>
      </c>
    </row>
    <row r="1634">
      <c r="A1634" s="4" t="s">
        <v>768</v>
      </c>
      <c r="B1634" s="170" t="s">
        <v>1985</v>
      </c>
      <c r="C1634" s="171">
        <v>15.0</v>
      </c>
      <c r="D1634" s="172">
        <v>45046.0</v>
      </c>
      <c r="E1634" s="170">
        <v>33.0</v>
      </c>
      <c r="F1634" s="207">
        <v>2023.0</v>
      </c>
      <c r="G1634" s="207" t="s">
        <v>1160</v>
      </c>
      <c r="H1634" s="170" t="s">
        <v>1264</v>
      </c>
      <c r="I1634" s="170" t="s">
        <v>1979</v>
      </c>
      <c r="J1634" s="198" t="s">
        <v>2133</v>
      </c>
      <c r="K1634" s="173">
        <v>45017.0</v>
      </c>
      <c r="L1634" s="204" t="b">
        <v>0</v>
      </c>
    </row>
    <row r="1635">
      <c r="A1635" s="16" t="s">
        <v>1271</v>
      </c>
      <c r="B1635" s="99" t="s">
        <v>1994</v>
      </c>
      <c r="C1635" s="174">
        <v>14.74</v>
      </c>
      <c r="D1635" s="175">
        <v>45057.0</v>
      </c>
      <c r="E1635" s="97"/>
      <c r="F1635" s="208">
        <v>2023.0</v>
      </c>
      <c r="G1635" s="208" t="s">
        <v>1152</v>
      </c>
      <c r="H1635" s="99" t="s">
        <v>1264</v>
      </c>
      <c r="I1635" s="99" t="s">
        <v>1272</v>
      </c>
      <c r="J1635" s="194"/>
      <c r="K1635" s="177">
        <v>45017.0</v>
      </c>
      <c r="L1635" s="206" t="b">
        <v>0</v>
      </c>
    </row>
    <row r="1636">
      <c r="A1636" s="4" t="s">
        <v>1269</v>
      </c>
      <c r="B1636" s="170" t="s">
        <v>2128</v>
      </c>
      <c r="C1636" s="171">
        <v>40.73</v>
      </c>
      <c r="D1636" s="172">
        <v>45057.0</v>
      </c>
      <c r="E1636" s="94"/>
      <c r="F1636" s="207">
        <v>2023.0</v>
      </c>
      <c r="G1636" s="207" t="s">
        <v>1152</v>
      </c>
      <c r="H1636" s="170" t="s">
        <v>1264</v>
      </c>
      <c r="I1636" s="170" t="s">
        <v>1270</v>
      </c>
      <c r="J1636" s="195"/>
      <c r="K1636" s="173">
        <v>45017.0</v>
      </c>
      <c r="L1636" s="204" t="b">
        <v>0</v>
      </c>
    </row>
    <row r="1637">
      <c r="A1637" s="16" t="s">
        <v>1271</v>
      </c>
      <c r="B1637" s="99" t="s">
        <v>1976</v>
      </c>
      <c r="C1637" s="174">
        <v>69.89</v>
      </c>
      <c r="D1637" s="175">
        <v>45057.0</v>
      </c>
      <c r="E1637" s="97"/>
      <c r="F1637" s="208">
        <v>2023.0</v>
      </c>
      <c r="G1637" s="208" t="s">
        <v>1152</v>
      </c>
      <c r="H1637" s="99" t="s">
        <v>1264</v>
      </c>
      <c r="I1637" s="99" t="s">
        <v>1272</v>
      </c>
      <c r="J1637" s="194"/>
      <c r="K1637" s="177">
        <v>45017.0</v>
      </c>
      <c r="L1637" s="206" t="b">
        <v>0</v>
      </c>
    </row>
    <row r="1638">
      <c r="A1638" s="4" t="s">
        <v>1266</v>
      </c>
      <c r="B1638" s="170" t="s">
        <v>2131</v>
      </c>
      <c r="C1638" s="171">
        <v>2500.0</v>
      </c>
      <c r="D1638" s="172">
        <v>45077.0</v>
      </c>
      <c r="E1638" s="170">
        <v>103.0</v>
      </c>
      <c r="F1638" s="207">
        <v>2023.0</v>
      </c>
      <c r="G1638" s="207" t="s">
        <v>1152</v>
      </c>
      <c r="H1638" s="170" t="s">
        <v>1264</v>
      </c>
      <c r="I1638" s="170" t="s">
        <v>1267</v>
      </c>
      <c r="J1638" s="195"/>
      <c r="K1638" s="173">
        <v>45047.0</v>
      </c>
      <c r="L1638" s="204" t="b">
        <v>0</v>
      </c>
    </row>
    <row r="1639">
      <c r="A1639" s="16" t="s">
        <v>99</v>
      </c>
      <c r="B1639" s="99" t="s">
        <v>2036</v>
      </c>
      <c r="C1639" s="174">
        <v>400.0</v>
      </c>
      <c r="D1639" s="175">
        <v>45077.0</v>
      </c>
      <c r="E1639" s="189">
        <v>45047.0</v>
      </c>
      <c r="F1639" s="208">
        <v>2023.05</v>
      </c>
      <c r="G1639" s="208" t="s">
        <v>52</v>
      </c>
      <c r="H1639" s="99" t="s">
        <v>1264</v>
      </c>
      <c r="I1639" s="99" t="s">
        <v>1979</v>
      </c>
      <c r="J1639" s="194"/>
      <c r="K1639" s="177">
        <v>45047.0</v>
      </c>
      <c r="L1639" s="206" t="b">
        <v>0</v>
      </c>
    </row>
    <row r="1640">
      <c r="A1640" s="4" t="s">
        <v>42</v>
      </c>
      <c r="B1640" s="170" t="s">
        <v>2036</v>
      </c>
      <c r="C1640" s="171">
        <v>287.5</v>
      </c>
      <c r="D1640" s="172">
        <v>45077.0</v>
      </c>
      <c r="E1640" s="188">
        <v>45047.0</v>
      </c>
      <c r="F1640" s="207">
        <v>2023.05</v>
      </c>
      <c r="G1640" s="207" t="s">
        <v>52</v>
      </c>
      <c r="H1640" s="170" t="s">
        <v>1264</v>
      </c>
      <c r="I1640" s="170" t="s">
        <v>1979</v>
      </c>
      <c r="J1640" s="195"/>
      <c r="K1640" s="173">
        <v>45047.0</v>
      </c>
      <c r="L1640" s="204" t="b">
        <v>0</v>
      </c>
    </row>
    <row r="1641">
      <c r="A1641" s="16" t="s">
        <v>499</v>
      </c>
      <c r="B1641" s="99" t="s">
        <v>2036</v>
      </c>
      <c r="C1641" s="174">
        <v>200.0</v>
      </c>
      <c r="D1641" s="175">
        <v>45077.0</v>
      </c>
      <c r="E1641" s="189">
        <v>45047.0</v>
      </c>
      <c r="F1641" s="208">
        <v>2023.05</v>
      </c>
      <c r="G1641" s="208" t="s">
        <v>52</v>
      </c>
      <c r="H1641" s="99" t="s">
        <v>1264</v>
      </c>
      <c r="I1641" s="99" t="s">
        <v>1979</v>
      </c>
      <c r="J1641" s="194"/>
      <c r="K1641" s="177">
        <v>45047.0</v>
      </c>
      <c r="L1641" s="206" t="b">
        <v>0</v>
      </c>
    </row>
    <row r="1642">
      <c r="A1642" s="4" t="s">
        <v>861</v>
      </c>
      <c r="B1642" s="170" t="s">
        <v>2036</v>
      </c>
      <c r="C1642" s="93">
        <f>750+137.5</f>
        <v>887.5</v>
      </c>
      <c r="D1642" s="172">
        <v>45077.0</v>
      </c>
      <c r="E1642" s="188">
        <v>45047.0</v>
      </c>
      <c r="F1642" s="207">
        <v>2023.05</v>
      </c>
      <c r="G1642" s="207" t="s">
        <v>52</v>
      </c>
      <c r="H1642" s="170" t="s">
        <v>1264</v>
      </c>
      <c r="I1642" s="170" t="s">
        <v>1979</v>
      </c>
      <c r="J1642" s="195"/>
      <c r="K1642" s="173">
        <v>45047.0</v>
      </c>
      <c r="L1642" s="204" t="b">
        <v>0</v>
      </c>
    </row>
    <row r="1643">
      <c r="A1643" s="16" t="s">
        <v>890</v>
      </c>
      <c r="B1643" s="99" t="s">
        <v>2036</v>
      </c>
      <c r="C1643" s="174">
        <v>300.0</v>
      </c>
      <c r="D1643" s="175">
        <v>45077.0</v>
      </c>
      <c r="E1643" s="189">
        <v>45047.0</v>
      </c>
      <c r="F1643" s="208">
        <v>2023.05</v>
      </c>
      <c r="G1643" s="208" t="s">
        <v>52</v>
      </c>
      <c r="H1643" s="99" t="s">
        <v>1264</v>
      </c>
      <c r="I1643" s="99" t="s">
        <v>1979</v>
      </c>
      <c r="J1643" s="194"/>
      <c r="K1643" s="177">
        <v>45047.0</v>
      </c>
      <c r="L1643" s="206" t="b">
        <v>0</v>
      </c>
    </row>
    <row r="1644">
      <c r="A1644" s="4" t="s">
        <v>549</v>
      </c>
      <c r="B1644" s="170" t="s">
        <v>2036</v>
      </c>
      <c r="C1644" s="171">
        <v>150.0</v>
      </c>
      <c r="D1644" s="172">
        <v>45077.0</v>
      </c>
      <c r="E1644" s="188">
        <v>45047.0</v>
      </c>
      <c r="F1644" s="207">
        <v>2023.05</v>
      </c>
      <c r="G1644" s="207" t="s">
        <v>52</v>
      </c>
      <c r="H1644" s="170" t="s">
        <v>1264</v>
      </c>
      <c r="I1644" s="170" t="s">
        <v>1979</v>
      </c>
      <c r="J1644" s="195"/>
      <c r="K1644" s="173">
        <v>45047.0</v>
      </c>
      <c r="L1644" s="204" t="b">
        <v>0</v>
      </c>
    </row>
    <row r="1645">
      <c r="A1645" s="16" t="s">
        <v>662</v>
      </c>
      <c r="B1645" s="99" t="s">
        <v>2036</v>
      </c>
      <c r="C1645" s="174">
        <v>550.0</v>
      </c>
      <c r="D1645" s="175">
        <v>45077.0</v>
      </c>
      <c r="E1645" s="189">
        <v>45047.0</v>
      </c>
      <c r="F1645" s="208">
        <v>2023.05</v>
      </c>
      <c r="G1645" s="208" t="s">
        <v>52</v>
      </c>
      <c r="H1645" s="99" t="s">
        <v>1264</v>
      </c>
      <c r="I1645" s="99" t="s">
        <v>1979</v>
      </c>
      <c r="J1645" s="194"/>
      <c r="K1645" s="177">
        <v>45047.0</v>
      </c>
      <c r="L1645" s="206" t="b">
        <v>0</v>
      </c>
    </row>
    <row r="1646">
      <c r="A1646" s="4" t="s">
        <v>1269</v>
      </c>
      <c r="B1646" s="170" t="s">
        <v>2036</v>
      </c>
      <c r="C1646" s="171">
        <v>140.0</v>
      </c>
      <c r="D1646" s="172">
        <v>45077.0</v>
      </c>
      <c r="E1646" s="188">
        <v>45047.0</v>
      </c>
      <c r="F1646" s="207">
        <v>2023.0</v>
      </c>
      <c r="G1646" s="207" t="s">
        <v>1152</v>
      </c>
      <c r="H1646" s="170" t="s">
        <v>1264</v>
      </c>
      <c r="I1646" s="170" t="s">
        <v>1270</v>
      </c>
      <c r="J1646" s="198" t="s">
        <v>2134</v>
      </c>
      <c r="K1646" s="173">
        <v>45047.0</v>
      </c>
      <c r="L1646" s="204" t="b">
        <v>0</v>
      </c>
    </row>
    <row r="1647">
      <c r="A1647" s="16" t="s">
        <v>806</v>
      </c>
      <c r="B1647" s="99" t="s">
        <v>1986</v>
      </c>
      <c r="C1647" s="174">
        <v>87.5</v>
      </c>
      <c r="D1647" s="175">
        <v>45077.0</v>
      </c>
      <c r="E1647" s="99">
        <v>19.0</v>
      </c>
      <c r="F1647" s="208">
        <v>2023.0</v>
      </c>
      <c r="G1647" s="208" t="s">
        <v>1436</v>
      </c>
      <c r="H1647" s="99" t="s">
        <v>1264</v>
      </c>
      <c r="I1647" s="99" t="s">
        <v>1979</v>
      </c>
      <c r="J1647" s="194"/>
      <c r="K1647" s="177">
        <v>45047.0</v>
      </c>
      <c r="L1647" s="206" t="b">
        <v>0</v>
      </c>
    </row>
    <row r="1648">
      <c r="A1648" s="4" t="s">
        <v>82</v>
      </c>
      <c r="B1648" s="170" t="s">
        <v>1986</v>
      </c>
      <c r="C1648" s="171">
        <v>262.5</v>
      </c>
      <c r="D1648" s="172">
        <v>45077.0</v>
      </c>
      <c r="E1648" s="170">
        <v>19.0</v>
      </c>
      <c r="F1648" s="207">
        <v>2023.05</v>
      </c>
      <c r="G1648" s="207" t="s">
        <v>52</v>
      </c>
      <c r="H1648" s="170" t="s">
        <v>1264</v>
      </c>
      <c r="I1648" s="170" t="s">
        <v>1979</v>
      </c>
      <c r="J1648" s="195"/>
      <c r="K1648" s="173">
        <v>45047.0</v>
      </c>
      <c r="L1648" s="204" t="b">
        <v>0</v>
      </c>
    </row>
    <row r="1649">
      <c r="A1649" s="16" t="s">
        <v>92</v>
      </c>
      <c r="B1649" s="99" t="s">
        <v>1986</v>
      </c>
      <c r="C1649" s="174">
        <v>300.0</v>
      </c>
      <c r="D1649" s="175">
        <v>45077.0</v>
      </c>
      <c r="E1649" s="99">
        <v>19.0</v>
      </c>
      <c r="F1649" s="208">
        <v>2023.05</v>
      </c>
      <c r="G1649" s="208" t="s">
        <v>52</v>
      </c>
      <c r="H1649" s="99" t="s">
        <v>1264</v>
      </c>
      <c r="I1649" s="99" t="s">
        <v>1979</v>
      </c>
      <c r="J1649" s="194"/>
      <c r="K1649" s="177">
        <v>45047.0</v>
      </c>
      <c r="L1649" s="206" t="b">
        <v>0</v>
      </c>
    </row>
    <row r="1650">
      <c r="A1650" s="4" t="s">
        <v>427</v>
      </c>
      <c r="B1650" s="170" t="s">
        <v>1986</v>
      </c>
      <c r="C1650" s="171">
        <v>175.0</v>
      </c>
      <c r="D1650" s="172">
        <v>45077.0</v>
      </c>
      <c r="E1650" s="170">
        <v>19.0</v>
      </c>
      <c r="F1650" s="207">
        <v>2023.0</v>
      </c>
      <c r="G1650" s="207" t="s">
        <v>1160</v>
      </c>
      <c r="H1650" s="170" t="s">
        <v>1264</v>
      </c>
      <c r="I1650" s="170" t="s">
        <v>1979</v>
      </c>
      <c r="J1650" s="195"/>
      <c r="K1650" s="173">
        <v>45047.0</v>
      </c>
      <c r="L1650" s="204" t="b">
        <v>0</v>
      </c>
    </row>
    <row r="1651">
      <c r="A1651" s="16" t="s">
        <v>795</v>
      </c>
      <c r="B1651" s="99" t="s">
        <v>1986</v>
      </c>
      <c r="C1651" s="174">
        <v>450.0</v>
      </c>
      <c r="D1651" s="175">
        <v>45077.0</v>
      </c>
      <c r="E1651" s="99">
        <v>19.0</v>
      </c>
      <c r="F1651" s="208">
        <v>2023.05</v>
      </c>
      <c r="G1651" s="208" t="s">
        <v>52</v>
      </c>
      <c r="H1651" s="99" t="s">
        <v>1264</v>
      </c>
      <c r="I1651" s="99" t="s">
        <v>1979</v>
      </c>
      <c r="J1651" s="194"/>
      <c r="K1651" s="177">
        <v>45047.0</v>
      </c>
      <c r="L1651" s="206" t="b">
        <v>0</v>
      </c>
    </row>
    <row r="1652">
      <c r="A1652" s="4" t="s">
        <v>1269</v>
      </c>
      <c r="B1652" s="170" t="s">
        <v>1986</v>
      </c>
      <c r="C1652" s="171">
        <v>226.8</v>
      </c>
      <c r="D1652" s="172">
        <v>45077.0</v>
      </c>
      <c r="E1652" s="170">
        <v>19.0</v>
      </c>
      <c r="F1652" s="207">
        <v>2023.0</v>
      </c>
      <c r="G1652" s="207" t="s">
        <v>1152</v>
      </c>
      <c r="H1652" s="170" t="s">
        <v>1264</v>
      </c>
      <c r="I1652" s="170" t="s">
        <v>1270</v>
      </c>
      <c r="J1652" s="195"/>
      <c r="K1652" s="173">
        <v>45047.0</v>
      </c>
      <c r="L1652" s="204" t="b">
        <v>0</v>
      </c>
    </row>
    <row r="1653">
      <c r="A1653" s="16" t="s">
        <v>1269</v>
      </c>
      <c r="B1653" s="99" t="s">
        <v>1978</v>
      </c>
      <c r="C1653" s="174">
        <v>200.0</v>
      </c>
      <c r="D1653" s="175">
        <v>45077.0</v>
      </c>
      <c r="E1653" s="189">
        <v>45047.0</v>
      </c>
      <c r="F1653" s="208">
        <v>2023.0</v>
      </c>
      <c r="G1653" s="208" t="s">
        <v>1152</v>
      </c>
      <c r="H1653" s="99" t="s">
        <v>1264</v>
      </c>
      <c r="I1653" s="99" t="s">
        <v>1270</v>
      </c>
      <c r="J1653" s="81" t="s">
        <v>2135</v>
      </c>
      <c r="K1653" s="177">
        <v>45047.0</v>
      </c>
      <c r="L1653" s="206" t="b">
        <v>0</v>
      </c>
    </row>
    <row r="1654">
      <c r="A1654" s="4" t="s">
        <v>768</v>
      </c>
      <c r="B1654" s="170" t="s">
        <v>1978</v>
      </c>
      <c r="C1654" s="171">
        <v>150.0</v>
      </c>
      <c r="D1654" s="172">
        <v>45077.0</v>
      </c>
      <c r="E1654" s="188">
        <v>45047.0</v>
      </c>
      <c r="F1654" s="207">
        <v>2023.0</v>
      </c>
      <c r="G1654" s="207" t="s">
        <v>1160</v>
      </c>
      <c r="H1654" s="170" t="s">
        <v>1264</v>
      </c>
      <c r="I1654" s="170" t="s">
        <v>1979</v>
      </c>
      <c r="J1654" s="198" t="s">
        <v>2136</v>
      </c>
      <c r="K1654" s="173">
        <v>45047.0</v>
      </c>
      <c r="L1654" s="204" t="b">
        <v>0</v>
      </c>
    </row>
    <row r="1655">
      <c r="A1655" s="16" t="s">
        <v>810</v>
      </c>
      <c r="B1655" s="99" t="s">
        <v>1978</v>
      </c>
      <c r="C1655" s="174">
        <v>262.5</v>
      </c>
      <c r="D1655" s="175">
        <v>45077.0</v>
      </c>
      <c r="E1655" s="189">
        <v>45047.0</v>
      </c>
      <c r="F1655" s="208">
        <v>2023.05</v>
      </c>
      <c r="G1655" s="208" t="s">
        <v>52</v>
      </c>
      <c r="H1655" s="99" t="s">
        <v>1264</v>
      </c>
      <c r="I1655" s="99" t="s">
        <v>1979</v>
      </c>
      <c r="J1655" s="194"/>
      <c r="K1655" s="177">
        <v>45047.0</v>
      </c>
      <c r="L1655" s="206" t="b">
        <v>0</v>
      </c>
    </row>
    <row r="1656">
      <c r="A1656" s="4" t="s">
        <v>97</v>
      </c>
      <c r="B1656" s="170" t="s">
        <v>1978</v>
      </c>
      <c r="C1656" s="171">
        <v>137.5</v>
      </c>
      <c r="D1656" s="172">
        <v>45077.0</v>
      </c>
      <c r="E1656" s="188">
        <v>45047.0</v>
      </c>
      <c r="F1656" s="207">
        <v>2023.05</v>
      </c>
      <c r="G1656" s="207" t="s">
        <v>52</v>
      </c>
      <c r="H1656" s="170" t="s">
        <v>1264</v>
      </c>
      <c r="I1656" s="170" t="s">
        <v>1979</v>
      </c>
      <c r="J1656" s="195"/>
      <c r="K1656" s="173">
        <v>45047.0</v>
      </c>
      <c r="L1656" s="204" t="b">
        <v>0</v>
      </c>
    </row>
    <row r="1657">
      <c r="A1657" s="16" t="s">
        <v>88</v>
      </c>
      <c r="B1657" s="99" t="s">
        <v>1978</v>
      </c>
      <c r="C1657" s="174">
        <v>212.5</v>
      </c>
      <c r="D1657" s="175">
        <v>45077.0</v>
      </c>
      <c r="E1657" s="189">
        <v>45047.0</v>
      </c>
      <c r="F1657" s="208">
        <v>2023.05</v>
      </c>
      <c r="G1657" s="208" t="s">
        <v>52</v>
      </c>
      <c r="H1657" s="99" t="s">
        <v>1264</v>
      </c>
      <c r="I1657" s="99" t="s">
        <v>1979</v>
      </c>
      <c r="J1657" s="194"/>
      <c r="K1657" s="177">
        <v>45047.0</v>
      </c>
      <c r="L1657" s="206" t="b">
        <v>0</v>
      </c>
    </row>
    <row r="1658">
      <c r="A1658" s="4" t="s">
        <v>73</v>
      </c>
      <c r="B1658" s="170" t="s">
        <v>1978</v>
      </c>
      <c r="C1658" s="171">
        <v>287.5</v>
      </c>
      <c r="D1658" s="172">
        <v>45077.0</v>
      </c>
      <c r="E1658" s="188">
        <v>45047.0</v>
      </c>
      <c r="F1658" s="207">
        <v>2023.05</v>
      </c>
      <c r="G1658" s="207" t="s">
        <v>52</v>
      </c>
      <c r="H1658" s="170" t="s">
        <v>1264</v>
      </c>
      <c r="I1658" s="170" t="s">
        <v>1979</v>
      </c>
      <c r="J1658" s="195"/>
      <c r="K1658" s="173">
        <v>45047.0</v>
      </c>
      <c r="L1658" s="204" t="b">
        <v>0</v>
      </c>
    </row>
    <row r="1659">
      <c r="A1659" s="16" t="s">
        <v>223</v>
      </c>
      <c r="B1659" s="99" t="s">
        <v>1978</v>
      </c>
      <c r="C1659" s="174">
        <v>300.0</v>
      </c>
      <c r="D1659" s="175">
        <v>45077.0</v>
      </c>
      <c r="E1659" s="189">
        <v>45047.0</v>
      </c>
      <c r="F1659" s="208">
        <v>2023.05</v>
      </c>
      <c r="G1659" s="208" t="s">
        <v>52</v>
      </c>
      <c r="H1659" s="99" t="s">
        <v>1264</v>
      </c>
      <c r="I1659" s="99" t="s">
        <v>1979</v>
      </c>
      <c r="J1659" s="194"/>
      <c r="K1659" s="177">
        <v>45047.0</v>
      </c>
      <c r="L1659" s="206" t="b">
        <v>0</v>
      </c>
    </row>
    <row r="1660">
      <c r="A1660" s="4" t="s">
        <v>50</v>
      </c>
      <c r="B1660" s="170" t="s">
        <v>1978</v>
      </c>
      <c r="C1660" s="171">
        <v>150.0</v>
      </c>
      <c r="D1660" s="172">
        <v>45077.0</v>
      </c>
      <c r="E1660" s="188">
        <v>45047.0</v>
      </c>
      <c r="F1660" s="207">
        <v>2023.05</v>
      </c>
      <c r="G1660" s="207" t="s">
        <v>52</v>
      </c>
      <c r="H1660" s="170" t="s">
        <v>1264</v>
      </c>
      <c r="I1660" s="170" t="s">
        <v>1979</v>
      </c>
      <c r="J1660" s="195"/>
      <c r="K1660" s="173">
        <v>45047.0</v>
      </c>
      <c r="L1660" s="204" t="b">
        <v>0</v>
      </c>
    </row>
    <row r="1661">
      <c r="A1661" s="16" t="s">
        <v>102</v>
      </c>
      <c r="B1661" s="99" t="s">
        <v>1987</v>
      </c>
      <c r="C1661" s="174">
        <v>150.0</v>
      </c>
      <c r="D1661" s="175">
        <v>45077.0</v>
      </c>
      <c r="E1661" s="99">
        <v>1033.0</v>
      </c>
      <c r="F1661" s="208">
        <v>2023.05</v>
      </c>
      <c r="G1661" s="208" t="s">
        <v>52</v>
      </c>
      <c r="H1661" s="99" t="s">
        <v>1264</v>
      </c>
      <c r="I1661" s="99" t="s">
        <v>1979</v>
      </c>
      <c r="J1661" s="194"/>
      <c r="K1661" s="177">
        <v>45047.0</v>
      </c>
      <c r="L1661" s="206" t="b">
        <v>0</v>
      </c>
    </row>
    <row r="1662">
      <c r="A1662" s="4" t="s">
        <v>115</v>
      </c>
      <c r="B1662" s="170" t="s">
        <v>1982</v>
      </c>
      <c r="C1662" s="171">
        <v>662.5</v>
      </c>
      <c r="D1662" s="172">
        <v>45077.0</v>
      </c>
      <c r="E1662" s="170" t="s">
        <v>2137</v>
      </c>
      <c r="F1662" s="207">
        <v>2023.05</v>
      </c>
      <c r="G1662" s="207" t="s">
        <v>52</v>
      </c>
      <c r="H1662" s="170" t="s">
        <v>1264</v>
      </c>
      <c r="I1662" s="170" t="s">
        <v>1979</v>
      </c>
      <c r="J1662" s="195"/>
      <c r="K1662" s="173">
        <v>45047.0</v>
      </c>
      <c r="L1662" s="204" t="b">
        <v>0</v>
      </c>
    </row>
    <row r="1663">
      <c r="A1663" s="16" t="s">
        <v>118</v>
      </c>
      <c r="B1663" s="99" t="s">
        <v>1982</v>
      </c>
      <c r="C1663" s="174">
        <v>662.5</v>
      </c>
      <c r="D1663" s="175">
        <v>45077.0</v>
      </c>
      <c r="E1663" s="99" t="s">
        <v>2137</v>
      </c>
      <c r="F1663" s="208">
        <v>2023.05</v>
      </c>
      <c r="G1663" s="208" t="s">
        <v>52</v>
      </c>
      <c r="H1663" s="99" t="s">
        <v>1264</v>
      </c>
      <c r="I1663" s="99" t="s">
        <v>1979</v>
      </c>
      <c r="J1663" s="194"/>
      <c r="K1663" s="177">
        <v>45047.0</v>
      </c>
      <c r="L1663" s="206" t="b">
        <v>0</v>
      </c>
    </row>
    <row r="1664">
      <c r="A1664" s="4" t="s">
        <v>92</v>
      </c>
      <c r="B1664" s="170" t="s">
        <v>1982</v>
      </c>
      <c r="C1664" s="171">
        <v>562.5</v>
      </c>
      <c r="D1664" s="172">
        <v>45077.0</v>
      </c>
      <c r="E1664" s="170" t="s">
        <v>2137</v>
      </c>
      <c r="F1664" s="207">
        <v>2023.05</v>
      </c>
      <c r="G1664" s="207" t="s">
        <v>52</v>
      </c>
      <c r="H1664" s="170" t="s">
        <v>1264</v>
      </c>
      <c r="I1664" s="170" t="s">
        <v>1979</v>
      </c>
      <c r="J1664" s="195"/>
      <c r="K1664" s="173">
        <v>45047.0</v>
      </c>
      <c r="L1664" s="204" t="b">
        <v>0</v>
      </c>
    </row>
    <row r="1665">
      <c r="A1665" s="16" t="s">
        <v>123</v>
      </c>
      <c r="B1665" s="99" t="s">
        <v>1982</v>
      </c>
      <c r="C1665" s="174">
        <v>825.0</v>
      </c>
      <c r="D1665" s="175">
        <v>45077.0</v>
      </c>
      <c r="E1665" s="99" t="s">
        <v>2137</v>
      </c>
      <c r="F1665" s="208">
        <v>2023.05</v>
      </c>
      <c r="G1665" s="208" t="s">
        <v>52</v>
      </c>
      <c r="H1665" s="99" t="s">
        <v>1264</v>
      </c>
      <c r="I1665" s="99" t="s">
        <v>1979</v>
      </c>
      <c r="J1665" s="194"/>
      <c r="K1665" s="177">
        <v>45047.0</v>
      </c>
      <c r="L1665" s="206" t="b">
        <v>0</v>
      </c>
    </row>
    <row r="1666">
      <c r="A1666" s="4" t="s">
        <v>62</v>
      </c>
      <c r="B1666" s="170" t="s">
        <v>1982</v>
      </c>
      <c r="C1666" s="171">
        <v>450.0</v>
      </c>
      <c r="D1666" s="172">
        <v>45077.0</v>
      </c>
      <c r="E1666" s="170" t="s">
        <v>2137</v>
      </c>
      <c r="F1666" s="207">
        <v>2023.05</v>
      </c>
      <c r="G1666" s="207" t="s">
        <v>52</v>
      </c>
      <c r="H1666" s="170" t="s">
        <v>1264</v>
      </c>
      <c r="I1666" s="170" t="s">
        <v>1979</v>
      </c>
      <c r="J1666" s="195"/>
      <c r="K1666" s="173">
        <v>45047.0</v>
      </c>
      <c r="L1666" s="204" t="b">
        <v>0</v>
      </c>
    </row>
    <row r="1667">
      <c r="A1667" s="16" t="s">
        <v>92</v>
      </c>
      <c r="B1667" s="99" t="s">
        <v>1980</v>
      </c>
      <c r="C1667" s="174">
        <v>275.0</v>
      </c>
      <c r="D1667" s="175">
        <v>45077.0</v>
      </c>
      <c r="E1667" s="99">
        <v>123.0</v>
      </c>
      <c r="F1667" s="208">
        <v>2023.05</v>
      </c>
      <c r="G1667" s="208" t="s">
        <v>52</v>
      </c>
      <c r="H1667" s="99" t="s">
        <v>1264</v>
      </c>
      <c r="I1667" s="99" t="s">
        <v>1979</v>
      </c>
      <c r="J1667" s="194"/>
      <c r="K1667" s="177">
        <v>45047.0</v>
      </c>
      <c r="L1667" s="206" t="b">
        <v>0</v>
      </c>
    </row>
    <row r="1668">
      <c r="A1668" s="4" t="s">
        <v>88</v>
      </c>
      <c r="B1668" s="170" t="s">
        <v>1980</v>
      </c>
      <c r="C1668" s="171">
        <v>45.0</v>
      </c>
      <c r="D1668" s="172">
        <v>45077.0</v>
      </c>
      <c r="E1668" s="170">
        <v>123.0</v>
      </c>
      <c r="F1668" s="207">
        <v>2023.05</v>
      </c>
      <c r="G1668" s="207" t="s">
        <v>52</v>
      </c>
      <c r="H1668" s="170" t="s">
        <v>1264</v>
      </c>
      <c r="I1668" s="170" t="s">
        <v>1979</v>
      </c>
      <c r="J1668" s="195"/>
      <c r="K1668" s="173">
        <v>45047.0</v>
      </c>
      <c r="L1668" s="204" t="b">
        <v>0</v>
      </c>
    </row>
    <row r="1669">
      <c r="A1669" s="16" t="s">
        <v>97</v>
      </c>
      <c r="B1669" s="99" t="s">
        <v>1980</v>
      </c>
      <c r="C1669" s="174">
        <v>30.0</v>
      </c>
      <c r="D1669" s="175">
        <v>45077.0</v>
      </c>
      <c r="E1669" s="99">
        <v>123.0</v>
      </c>
      <c r="F1669" s="208">
        <v>2023.05</v>
      </c>
      <c r="G1669" s="208" t="s">
        <v>52</v>
      </c>
      <c r="H1669" s="99" t="s">
        <v>1264</v>
      </c>
      <c r="I1669" s="99" t="s">
        <v>1979</v>
      </c>
      <c r="J1669" s="194"/>
      <c r="K1669" s="177">
        <v>45047.0</v>
      </c>
      <c r="L1669" s="206" t="b">
        <v>0</v>
      </c>
    </row>
    <row r="1670">
      <c r="A1670" s="4" t="s">
        <v>82</v>
      </c>
      <c r="B1670" s="170" t="s">
        <v>1980</v>
      </c>
      <c r="C1670" s="171">
        <v>90.0</v>
      </c>
      <c r="D1670" s="172">
        <v>45077.0</v>
      </c>
      <c r="E1670" s="170">
        <v>123.0</v>
      </c>
      <c r="F1670" s="207">
        <v>2023.05</v>
      </c>
      <c r="G1670" s="207" t="s">
        <v>52</v>
      </c>
      <c r="H1670" s="170" t="s">
        <v>1264</v>
      </c>
      <c r="I1670" s="170" t="s">
        <v>1979</v>
      </c>
      <c r="J1670" s="195"/>
      <c r="K1670" s="173">
        <v>45047.0</v>
      </c>
      <c r="L1670" s="204" t="b">
        <v>0</v>
      </c>
    </row>
    <row r="1671">
      <c r="A1671" s="16" t="s">
        <v>99</v>
      </c>
      <c r="B1671" s="99" t="s">
        <v>1980</v>
      </c>
      <c r="C1671" s="174">
        <v>235.0</v>
      </c>
      <c r="D1671" s="175">
        <v>45077.0</v>
      </c>
      <c r="E1671" s="99">
        <v>123.0</v>
      </c>
      <c r="F1671" s="208">
        <v>2023.05</v>
      </c>
      <c r="G1671" s="208" t="s">
        <v>52</v>
      </c>
      <c r="H1671" s="99" t="s">
        <v>1264</v>
      </c>
      <c r="I1671" s="99" t="s">
        <v>1979</v>
      </c>
      <c r="J1671" s="194"/>
      <c r="K1671" s="177">
        <v>45047.0</v>
      </c>
      <c r="L1671" s="206" t="b">
        <v>0</v>
      </c>
    </row>
    <row r="1672">
      <c r="A1672" s="4" t="s">
        <v>42</v>
      </c>
      <c r="B1672" s="170" t="s">
        <v>1980</v>
      </c>
      <c r="C1672" s="171">
        <v>135.0</v>
      </c>
      <c r="D1672" s="172">
        <v>45077.0</v>
      </c>
      <c r="E1672" s="170">
        <v>123.0</v>
      </c>
      <c r="F1672" s="207">
        <v>2023.05</v>
      </c>
      <c r="G1672" s="207" t="s">
        <v>52</v>
      </c>
      <c r="H1672" s="170" t="s">
        <v>1264</v>
      </c>
      <c r="I1672" s="170" t="s">
        <v>1979</v>
      </c>
      <c r="J1672" s="195"/>
      <c r="K1672" s="173">
        <v>45047.0</v>
      </c>
      <c r="L1672" s="204" t="b">
        <v>0</v>
      </c>
    </row>
    <row r="1673">
      <c r="A1673" s="16" t="s">
        <v>123</v>
      </c>
      <c r="B1673" s="99" t="s">
        <v>1980</v>
      </c>
      <c r="C1673" s="174">
        <v>200.0</v>
      </c>
      <c r="D1673" s="175">
        <v>45077.0</v>
      </c>
      <c r="E1673" s="99">
        <v>123.0</v>
      </c>
      <c r="F1673" s="208">
        <v>2023.05</v>
      </c>
      <c r="G1673" s="208" t="s">
        <v>52</v>
      </c>
      <c r="H1673" s="99" t="s">
        <v>1264</v>
      </c>
      <c r="I1673" s="99" t="s">
        <v>1979</v>
      </c>
      <c r="J1673" s="194"/>
      <c r="K1673" s="177">
        <v>45047.0</v>
      </c>
      <c r="L1673" s="206" t="b">
        <v>0</v>
      </c>
    </row>
    <row r="1674">
      <c r="A1674" s="4" t="s">
        <v>73</v>
      </c>
      <c r="B1674" s="170" t="s">
        <v>1980</v>
      </c>
      <c r="C1674" s="171">
        <v>75.0</v>
      </c>
      <c r="D1674" s="172">
        <v>45077.0</v>
      </c>
      <c r="E1674" s="170">
        <v>123.0</v>
      </c>
      <c r="F1674" s="207">
        <v>2023.05</v>
      </c>
      <c r="G1674" s="207" t="s">
        <v>52</v>
      </c>
      <c r="H1674" s="170" t="s">
        <v>1264</v>
      </c>
      <c r="I1674" s="170" t="s">
        <v>1979</v>
      </c>
      <c r="J1674" s="195"/>
      <c r="K1674" s="173">
        <v>45047.0</v>
      </c>
      <c r="L1674" s="204" t="b">
        <v>0</v>
      </c>
    </row>
    <row r="1675">
      <c r="A1675" s="16" t="s">
        <v>50</v>
      </c>
      <c r="B1675" s="99" t="s">
        <v>1980</v>
      </c>
      <c r="C1675" s="174">
        <v>30.0</v>
      </c>
      <c r="D1675" s="175">
        <v>45077.0</v>
      </c>
      <c r="E1675" s="99">
        <v>123.0</v>
      </c>
      <c r="F1675" s="208">
        <v>2023.05</v>
      </c>
      <c r="G1675" s="208" t="s">
        <v>52</v>
      </c>
      <c r="H1675" s="99" t="s">
        <v>1264</v>
      </c>
      <c r="I1675" s="99" t="s">
        <v>1979</v>
      </c>
      <c r="J1675" s="194"/>
      <c r="K1675" s="177">
        <v>45047.0</v>
      </c>
      <c r="L1675" s="206" t="b">
        <v>0</v>
      </c>
    </row>
    <row r="1676">
      <c r="A1676" s="4" t="s">
        <v>62</v>
      </c>
      <c r="B1676" s="170" t="s">
        <v>1980</v>
      </c>
      <c r="C1676" s="171">
        <v>300.0</v>
      </c>
      <c r="D1676" s="172">
        <v>45077.0</v>
      </c>
      <c r="E1676" s="170">
        <v>123.0</v>
      </c>
      <c r="F1676" s="207">
        <v>2023.05</v>
      </c>
      <c r="G1676" s="207" t="s">
        <v>52</v>
      </c>
      <c r="H1676" s="170" t="s">
        <v>1264</v>
      </c>
      <c r="I1676" s="170" t="s">
        <v>1979</v>
      </c>
      <c r="J1676" s="195"/>
      <c r="K1676" s="173">
        <v>45047.0</v>
      </c>
      <c r="L1676" s="204" t="b">
        <v>0</v>
      </c>
    </row>
    <row r="1677">
      <c r="A1677" s="16" t="s">
        <v>223</v>
      </c>
      <c r="B1677" s="99" t="s">
        <v>1980</v>
      </c>
      <c r="C1677" s="174">
        <v>75.0</v>
      </c>
      <c r="D1677" s="175">
        <v>45077.0</v>
      </c>
      <c r="E1677" s="99">
        <v>123.0</v>
      </c>
      <c r="F1677" s="208">
        <v>2023.05</v>
      </c>
      <c r="G1677" s="208" t="s">
        <v>52</v>
      </c>
      <c r="H1677" s="99" t="s">
        <v>1264</v>
      </c>
      <c r="I1677" s="99" t="s">
        <v>1979</v>
      </c>
      <c r="J1677" s="194"/>
      <c r="K1677" s="177">
        <v>45047.0</v>
      </c>
      <c r="L1677" s="206" t="b">
        <v>0</v>
      </c>
    </row>
    <row r="1678">
      <c r="A1678" s="4" t="s">
        <v>225</v>
      </c>
      <c r="B1678" s="170" t="s">
        <v>1980</v>
      </c>
      <c r="C1678" s="171">
        <v>1860.0</v>
      </c>
      <c r="D1678" s="172">
        <v>45077.0</v>
      </c>
      <c r="E1678" s="170">
        <v>123.0</v>
      </c>
      <c r="F1678" s="207">
        <v>2023.05</v>
      </c>
      <c r="G1678" s="207" t="s">
        <v>52</v>
      </c>
      <c r="H1678" s="170" t="s">
        <v>1264</v>
      </c>
      <c r="I1678" s="170" t="s">
        <v>1979</v>
      </c>
      <c r="J1678" s="195"/>
      <c r="K1678" s="173">
        <v>45047.0</v>
      </c>
      <c r="L1678" s="204" t="b">
        <v>0</v>
      </c>
    </row>
    <row r="1679">
      <c r="A1679" s="16" t="s">
        <v>695</v>
      </c>
      <c r="B1679" s="99" t="s">
        <v>1980</v>
      </c>
      <c r="C1679" s="174">
        <v>45.0</v>
      </c>
      <c r="D1679" s="175">
        <v>45077.0</v>
      </c>
      <c r="E1679" s="99">
        <v>123.0</v>
      </c>
      <c r="F1679" s="208">
        <v>2023.05</v>
      </c>
      <c r="G1679" s="208" t="s">
        <v>52</v>
      </c>
      <c r="H1679" s="99" t="s">
        <v>1264</v>
      </c>
      <c r="I1679" s="99" t="s">
        <v>1979</v>
      </c>
      <c r="J1679" s="194"/>
      <c r="K1679" s="177">
        <v>45047.0</v>
      </c>
      <c r="L1679" s="206" t="b">
        <v>0</v>
      </c>
    </row>
    <row r="1680">
      <c r="A1680" s="4" t="s">
        <v>499</v>
      </c>
      <c r="B1680" s="170" t="s">
        <v>1980</v>
      </c>
      <c r="C1680" s="171">
        <v>100.0</v>
      </c>
      <c r="D1680" s="172">
        <v>45077.0</v>
      </c>
      <c r="E1680" s="170">
        <v>123.0</v>
      </c>
      <c r="F1680" s="207">
        <v>2023.05</v>
      </c>
      <c r="G1680" s="207" t="s">
        <v>52</v>
      </c>
      <c r="H1680" s="170" t="s">
        <v>1264</v>
      </c>
      <c r="I1680" s="170" t="s">
        <v>1979</v>
      </c>
      <c r="J1680" s="195"/>
      <c r="K1680" s="173">
        <v>45047.0</v>
      </c>
      <c r="L1680" s="204" t="b">
        <v>0</v>
      </c>
    </row>
    <row r="1681">
      <c r="A1681" s="16" t="s">
        <v>810</v>
      </c>
      <c r="B1681" s="99" t="s">
        <v>1980</v>
      </c>
      <c r="C1681" s="174">
        <v>60.0</v>
      </c>
      <c r="D1681" s="175">
        <v>45077.0</v>
      </c>
      <c r="E1681" s="99">
        <v>123.0</v>
      </c>
      <c r="F1681" s="208">
        <v>2023.05</v>
      </c>
      <c r="G1681" s="208" t="s">
        <v>52</v>
      </c>
      <c r="H1681" s="99" t="s">
        <v>1264</v>
      </c>
      <c r="I1681" s="99" t="s">
        <v>1979</v>
      </c>
      <c r="J1681" s="194"/>
      <c r="K1681" s="177">
        <v>45047.0</v>
      </c>
      <c r="L1681" s="206" t="b">
        <v>0</v>
      </c>
    </row>
    <row r="1682">
      <c r="A1682" s="4" t="s">
        <v>762</v>
      </c>
      <c r="B1682" s="170" t="s">
        <v>1980</v>
      </c>
      <c r="C1682" s="93">
        <f>262.5+60</f>
        <v>322.5</v>
      </c>
      <c r="D1682" s="172">
        <v>45077.0</v>
      </c>
      <c r="E1682" s="170">
        <v>123.0</v>
      </c>
      <c r="F1682" s="207">
        <v>2023.05</v>
      </c>
      <c r="G1682" s="207" t="s">
        <v>52</v>
      </c>
      <c r="H1682" s="170" t="s">
        <v>1264</v>
      </c>
      <c r="I1682" s="170" t="s">
        <v>1979</v>
      </c>
      <c r="J1682" s="195"/>
      <c r="K1682" s="173">
        <v>45047.0</v>
      </c>
      <c r="L1682" s="204" t="b">
        <v>0</v>
      </c>
    </row>
    <row r="1683">
      <c r="A1683" s="16" t="s">
        <v>788</v>
      </c>
      <c r="B1683" s="99" t="s">
        <v>1980</v>
      </c>
      <c r="C1683" s="96">
        <f>350+150</f>
        <v>500</v>
      </c>
      <c r="D1683" s="175">
        <v>45077.0</v>
      </c>
      <c r="E1683" s="99">
        <v>123.0</v>
      </c>
      <c r="F1683" s="208">
        <v>2023.05</v>
      </c>
      <c r="G1683" s="208" t="s">
        <v>52</v>
      </c>
      <c r="H1683" s="99" t="s">
        <v>1264</v>
      </c>
      <c r="I1683" s="99" t="s">
        <v>1979</v>
      </c>
      <c r="J1683" s="194"/>
      <c r="K1683" s="177">
        <v>45047.0</v>
      </c>
      <c r="L1683" s="206" t="b">
        <v>0</v>
      </c>
    </row>
    <row r="1684">
      <c r="A1684" s="4" t="s">
        <v>795</v>
      </c>
      <c r="B1684" s="170" t="s">
        <v>1980</v>
      </c>
      <c r="C1684" s="171">
        <v>330.0</v>
      </c>
      <c r="D1684" s="172">
        <v>45077.0</v>
      </c>
      <c r="E1684" s="170">
        <v>123.0</v>
      </c>
      <c r="F1684" s="207">
        <v>2023.05</v>
      </c>
      <c r="G1684" s="207" t="s">
        <v>52</v>
      </c>
      <c r="H1684" s="170" t="s">
        <v>1264</v>
      </c>
      <c r="I1684" s="170" t="s">
        <v>1979</v>
      </c>
      <c r="J1684" s="195"/>
      <c r="K1684" s="173">
        <v>45047.0</v>
      </c>
      <c r="L1684" s="204" t="b">
        <v>0</v>
      </c>
    </row>
    <row r="1685">
      <c r="A1685" s="16" t="s">
        <v>481</v>
      </c>
      <c r="B1685" s="99" t="s">
        <v>1980</v>
      </c>
      <c r="C1685" s="174">
        <v>175.0</v>
      </c>
      <c r="D1685" s="175">
        <v>45077.0</v>
      </c>
      <c r="E1685" s="99">
        <v>123.0</v>
      </c>
      <c r="F1685" s="208">
        <v>2023.0</v>
      </c>
      <c r="G1685" s="208" t="s">
        <v>1160</v>
      </c>
      <c r="H1685" s="99" t="s">
        <v>1264</v>
      </c>
      <c r="I1685" s="99" t="s">
        <v>1979</v>
      </c>
      <c r="J1685" s="194"/>
      <c r="K1685" s="177">
        <v>45047.0</v>
      </c>
      <c r="L1685" s="206" t="b">
        <v>0</v>
      </c>
    </row>
    <row r="1686">
      <c r="A1686" s="4" t="s">
        <v>861</v>
      </c>
      <c r="B1686" s="170" t="s">
        <v>1980</v>
      </c>
      <c r="C1686" s="93">
        <f>10.5*60</f>
        <v>630</v>
      </c>
      <c r="D1686" s="172">
        <v>45077.0</v>
      </c>
      <c r="E1686" s="170">
        <v>123.0</v>
      </c>
      <c r="F1686" s="207">
        <v>2023.05</v>
      </c>
      <c r="G1686" s="207" t="s">
        <v>52</v>
      </c>
      <c r="H1686" s="170" t="s">
        <v>1264</v>
      </c>
      <c r="I1686" s="170" t="s">
        <v>1979</v>
      </c>
      <c r="J1686" s="195"/>
      <c r="K1686" s="173">
        <v>45047.0</v>
      </c>
      <c r="L1686" s="204" t="b">
        <v>0</v>
      </c>
    </row>
    <row r="1687">
      <c r="A1687" s="16" t="s">
        <v>963</v>
      </c>
      <c r="B1687" s="99" t="s">
        <v>1980</v>
      </c>
      <c r="C1687" s="96">
        <f>5*60</f>
        <v>300</v>
      </c>
      <c r="D1687" s="175">
        <v>45077.0</v>
      </c>
      <c r="E1687" s="99">
        <v>123.0</v>
      </c>
      <c r="F1687" s="208">
        <v>2023.05</v>
      </c>
      <c r="G1687" s="208" t="s">
        <v>52</v>
      </c>
      <c r="H1687" s="99" t="s">
        <v>1264</v>
      </c>
      <c r="I1687" s="99" t="s">
        <v>1979</v>
      </c>
      <c r="J1687" s="194"/>
      <c r="K1687" s="177">
        <v>45047.0</v>
      </c>
      <c r="L1687" s="206" t="b">
        <v>0</v>
      </c>
    </row>
    <row r="1688">
      <c r="A1688" s="4" t="s">
        <v>549</v>
      </c>
      <c r="B1688" s="170" t="s">
        <v>1980</v>
      </c>
      <c r="C1688" s="171">
        <v>45.0</v>
      </c>
      <c r="D1688" s="172">
        <v>45077.0</v>
      </c>
      <c r="E1688" s="170">
        <v>123.0</v>
      </c>
      <c r="F1688" s="207">
        <v>2023.05</v>
      </c>
      <c r="G1688" s="207" t="s">
        <v>52</v>
      </c>
      <c r="H1688" s="170" t="s">
        <v>1264</v>
      </c>
      <c r="I1688" s="170" t="s">
        <v>1979</v>
      </c>
      <c r="J1688" s="195"/>
      <c r="K1688" s="173">
        <v>45047.0</v>
      </c>
      <c r="L1688" s="204" t="b">
        <v>0</v>
      </c>
    </row>
    <row r="1689">
      <c r="A1689" s="16" t="s">
        <v>966</v>
      </c>
      <c r="B1689" s="99" t="s">
        <v>1980</v>
      </c>
      <c r="C1689" s="174">
        <v>375.0</v>
      </c>
      <c r="D1689" s="175">
        <v>45077.0</v>
      </c>
      <c r="E1689" s="99">
        <v>123.0</v>
      </c>
      <c r="F1689" s="208">
        <v>2023.05</v>
      </c>
      <c r="G1689" s="208" t="s">
        <v>52</v>
      </c>
      <c r="H1689" s="99" t="s">
        <v>1264</v>
      </c>
      <c r="I1689" s="99" t="s">
        <v>1979</v>
      </c>
      <c r="J1689" s="194"/>
      <c r="K1689" s="177">
        <v>45047.0</v>
      </c>
      <c r="L1689" s="206" t="b">
        <v>0</v>
      </c>
    </row>
    <row r="1690">
      <c r="A1690" s="4" t="s">
        <v>979</v>
      </c>
      <c r="B1690" s="170" t="s">
        <v>1980</v>
      </c>
      <c r="C1690" s="171">
        <v>400.0</v>
      </c>
      <c r="D1690" s="172">
        <v>45077.0</v>
      </c>
      <c r="E1690" s="170">
        <v>123.0</v>
      </c>
      <c r="F1690" s="207">
        <v>2023.0</v>
      </c>
      <c r="G1690" s="207" t="s">
        <v>1160</v>
      </c>
      <c r="H1690" s="170" t="s">
        <v>1264</v>
      </c>
      <c r="I1690" s="170" t="s">
        <v>1979</v>
      </c>
      <c r="J1690" s="195"/>
      <c r="K1690" s="173">
        <v>45047.0</v>
      </c>
      <c r="L1690" s="204" t="b">
        <v>0</v>
      </c>
    </row>
    <row r="1691">
      <c r="A1691" s="16" t="s">
        <v>599</v>
      </c>
      <c r="B1691" s="99" t="s">
        <v>2138</v>
      </c>
      <c r="C1691" s="174">
        <v>28.32</v>
      </c>
      <c r="D1691" s="175">
        <v>45089.0</v>
      </c>
      <c r="E1691" s="97"/>
      <c r="F1691" s="208">
        <v>2023.0</v>
      </c>
      <c r="G1691" s="208"/>
      <c r="H1691" s="99" t="s">
        <v>1264</v>
      </c>
      <c r="I1691" s="99" t="s">
        <v>2034</v>
      </c>
      <c r="J1691" s="81" t="s">
        <v>2139</v>
      </c>
      <c r="K1691" s="177">
        <v>45047.0</v>
      </c>
      <c r="L1691" s="206" t="b">
        <v>0</v>
      </c>
    </row>
    <row r="1692">
      <c r="A1692" s="4" t="s">
        <v>54</v>
      </c>
      <c r="B1692" s="170" t="s">
        <v>1985</v>
      </c>
      <c r="C1692" s="171">
        <f>337.5+15</f>
        <v>352.5</v>
      </c>
      <c r="D1692" s="172">
        <v>45077.0</v>
      </c>
      <c r="E1692" s="170">
        <v>34.0</v>
      </c>
      <c r="F1692" s="207">
        <v>2023.05</v>
      </c>
      <c r="G1692" s="207" t="s">
        <v>52</v>
      </c>
      <c r="H1692" s="170" t="s">
        <v>1264</v>
      </c>
      <c r="I1692" s="170" t="s">
        <v>1979</v>
      </c>
      <c r="J1692" s="195"/>
      <c r="K1692" s="173">
        <v>45047.0</v>
      </c>
      <c r="L1692" s="204" t="b">
        <v>0</v>
      </c>
    </row>
    <row r="1693">
      <c r="A1693" s="16" t="s">
        <v>120</v>
      </c>
      <c r="B1693" s="99" t="s">
        <v>1985</v>
      </c>
      <c r="C1693" s="174">
        <v>350.0</v>
      </c>
      <c r="D1693" s="175">
        <v>45077.0</v>
      </c>
      <c r="E1693" s="99">
        <v>34.0</v>
      </c>
      <c r="F1693" s="208">
        <v>2023.05</v>
      </c>
      <c r="G1693" s="208" t="s">
        <v>52</v>
      </c>
      <c r="H1693" s="99" t="s">
        <v>1264</v>
      </c>
      <c r="I1693" s="99" t="s">
        <v>1979</v>
      </c>
      <c r="J1693" s="194"/>
      <c r="K1693" s="177">
        <v>45047.0</v>
      </c>
      <c r="L1693" s="206" t="b">
        <v>0</v>
      </c>
    </row>
    <row r="1694">
      <c r="A1694" s="4" t="s">
        <v>499</v>
      </c>
      <c r="B1694" s="170" t="s">
        <v>1985</v>
      </c>
      <c r="C1694" s="171">
        <v>300.0</v>
      </c>
      <c r="D1694" s="172">
        <v>45077.0</v>
      </c>
      <c r="E1694" s="170">
        <v>34.0</v>
      </c>
      <c r="F1694" s="207">
        <v>2023.05</v>
      </c>
      <c r="G1694" s="207" t="s">
        <v>52</v>
      </c>
      <c r="H1694" s="170" t="s">
        <v>1264</v>
      </c>
      <c r="I1694" s="170" t="s">
        <v>1979</v>
      </c>
      <c r="J1694" s="195"/>
      <c r="K1694" s="173">
        <v>45047.0</v>
      </c>
      <c r="L1694" s="204" t="b">
        <v>0</v>
      </c>
    </row>
    <row r="1695">
      <c r="A1695" s="16" t="s">
        <v>966</v>
      </c>
      <c r="B1695" s="99" t="s">
        <v>1985</v>
      </c>
      <c r="C1695" s="174">
        <f>612.5+15</f>
        <v>627.5</v>
      </c>
      <c r="D1695" s="175">
        <v>45077.0</v>
      </c>
      <c r="E1695" s="99">
        <v>34.0</v>
      </c>
      <c r="F1695" s="208">
        <v>2023.05</v>
      </c>
      <c r="G1695" s="208" t="s">
        <v>52</v>
      </c>
      <c r="H1695" s="99" t="s">
        <v>1264</v>
      </c>
      <c r="I1695" s="99" t="s">
        <v>1979</v>
      </c>
      <c r="J1695" s="194"/>
      <c r="K1695" s="177">
        <v>45047.0</v>
      </c>
      <c r="L1695" s="206" t="b">
        <v>0</v>
      </c>
    </row>
    <row r="1696">
      <c r="A1696" s="4" t="s">
        <v>932</v>
      </c>
      <c r="B1696" s="170" t="s">
        <v>1985</v>
      </c>
      <c r="C1696" s="171">
        <v>500.0</v>
      </c>
      <c r="D1696" s="172">
        <v>45077.0</v>
      </c>
      <c r="E1696" s="170">
        <v>34.0</v>
      </c>
      <c r="F1696" s="207">
        <v>2023.0</v>
      </c>
      <c r="G1696" s="207" t="s">
        <v>1160</v>
      </c>
      <c r="H1696" s="170" t="s">
        <v>1264</v>
      </c>
      <c r="I1696" s="170" t="s">
        <v>1979</v>
      </c>
      <c r="J1696" s="195"/>
      <c r="K1696" s="173">
        <v>45047.0</v>
      </c>
      <c r="L1696" s="204" t="b">
        <v>0</v>
      </c>
    </row>
    <row r="1697">
      <c r="A1697" s="16" t="s">
        <v>788</v>
      </c>
      <c r="B1697" s="99" t="s">
        <v>1985</v>
      </c>
      <c r="C1697" s="174">
        <f>250+15</f>
        <v>265</v>
      </c>
      <c r="D1697" s="175">
        <v>45077.0</v>
      </c>
      <c r="E1697" s="99">
        <v>34.0</v>
      </c>
      <c r="F1697" s="208">
        <v>2023.05</v>
      </c>
      <c r="G1697" s="208" t="s">
        <v>52</v>
      </c>
      <c r="H1697" s="99" t="s">
        <v>1264</v>
      </c>
      <c r="I1697" s="99" t="s">
        <v>1979</v>
      </c>
      <c r="J1697" s="194"/>
      <c r="K1697" s="177">
        <v>45047.0</v>
      </c>
      <c r="L1697" s="206" t="b">
        <v>0</v>
      </c>
    </row>
    <row r="1698">
      <c r="A1698" s="4" t="s">
        <v>662</v>
      </c>
      <c r="B1698" s="170" t="s">
        <v>1985</v>
      </c>
      <c r="C1698" s="171">
        <v>200.0</v>
      </c>
      <c r="D1698" s="172">
        <v>45077.0</v>
      </c>
      <c r="E1698" s="170">
        <v>34.0</v>
      </c>
      <c r="F1698" s="207">
        <v>2023.05</v>
      </c>
      <c r="G1698" s="207" t="s">
        <v>52</v>
      </c>
      <c r="H1698" s="170" t="s">
        <v>1264</v>
      </c>
      <c r="I1698" s="170" t="s">
        <v>1979</v>
      </c>
      <c r="J1698" s="195"/>
      <c r="K1698" s="173">
        <v>45047.0</v>
      </c>
      <c r="L1698" s="204" t="b">
        <v>0</v>
      </c>
    </row>
    <row r="1699">
      <c r="A1699" s="16" t="s">
        <v>1271</v>
      </c>
      <c r="B1699" s="99" t="s">
        <v>1976</v>
      </c>
      <c r="C1699" s="174">
        <v>3.13</v>
      </c>
      <c r="D1699" s="175">
        <v>45092.0</v>
      </c>
      <c r="E1699" s="97"/>
      <c r="F1699" s="208">
        <v>2023.0</v>
      </c>
      <c r="G1699" s="208" t="s">
        <v>1152</v>
      </c>
      <c r="H1699" s="99" t="s">
        <v>1264</v>
      </c>
      <c r="I1699" s="99" t="s">
        <v>1267</v>
      </c>
      <c r="J1699" s="81" t="s">
        <v>2087</v>
      </c>
      <c r="K1699" s="177">
        <v>45047.0</v>
      </c>
      <c r="L1699" s="206" t="b">
        <v>0</v>
      </c>
    </row>
    <row r="1700">
      <c r="A1700" s="4" t="s">
        <v>1271</v>
      </c>
      <c r="B1700" s="170" t="s">
        <v>1998</v>
      </c>
      <c r="C1700" s="171">
        <v>135.87</v>
      </c>
      <c r="D1700" s="172">
        <v>45092.0</v>
      </c>
      <c r="E1700" s="94"/>
      <c r="F1700" s="207">
        <v>2023.0</v>
      </c>
      <c r="G1700" s="207" t="s">
        <v>1152</v>
      </c>
      <c r="H1700" s="170" t="s">
        <v>1264</v>
      </c>
      <c r="I1700" s="170" t="s">
        <v>1272</v>
      </c>
      <c r="J1700" s="195"/>
      <c r="K1700" s="173">
        <v>45047.0</v>
      </c>
      <c r="L1700" s="204" t="b">
        <v>0</v>
      </c>
    </row>
    <row r="1701">
      <c r="A1701" s="16" t="s">
        <v>1271</v>
      </c>
      <c r="B1701" s="99" t="s">
        <v>1994</v>
      </c>
      <c r="C1701" s="174">
        <v>14.92</v>
      </c>
      <c r="D1701" s="175">
        <v>45092.0</v>
      </c>
      <c r="E1701" s="97"/>
      <c r="F1701" s="208">
        <v>2023.0</v>
      </c>
      <c r="G1701" s="208" t="s">
        <v>1152</v>
      </c>
      <c r="H1701" s="99" t="s">
        <v>1264</v>
      </c>
      <c r="I1701" s="99" t="s">
        <v>1272</v>
      </c>
      <c r="J1701" s="194"/>
      <c r="K1701" s="177">
        <v>45047.0</v>
      </c>
      <c r="L1701" s="206" t="b">
        <v>0</v>
      </c>
    </row>
    <row r="1702">
      <c r="A1702" s="4" t="s">
        <v>1269</v>
      </c>
      <c r="B1702" s="170" t="s">
        <v>2128</v>
      </c>
      <c r="C1702" s="171">
        <v>40.75</v>
      </c>
      <c r="D1702" s="172">
        <v>45092.0</v>
      </c>
      <c r="E1702" s="94"/>
      <c r="F1702" s="207">
        <v>2023.0</v>
      </c>
      <c r="G1702" s="207" t="s">
        <v>1152</v>
      </c>
      <c r="H1702" s="170" t="s">
        <v>1264</v>
      </c>
      <c r="I1702" s="170" t="s">
        <v>1270</v>
      </c>
      <c r="J1702" s="195"/>
      <c r="K1702" s="173">
        <v>45047.0</v>
      </c>
      <c r="L1702" s="204" t="b">
        <v>0</v>
      </c>
    </row>
    <row r="1703">
      <c r="A1703" s="16" t="s">
        <v>1271</v>
      </c>
      <c r="B1703" s="99" t="s">
        <v>1976</v>
      </c>
      <c r="C1703" s="174">
        <v>69.89</v>
      </c>
      <c r="D1703" s="175">
        <v>45092.0</v>
      </c>
      <c r="E1703" s="97"/>
      <c r="F1703" s="208">
        <v>2023.0</v>
      </c>
      <c r="G1703" s="208" t="s">
        <v>1152</v>
      </c>
      <c r="H1703" s="99" t="s">
        <v>1264</v>
      </c>
      <c r="I1703" s="99" t="s">
        <v>1272</v>
      </c>
      <c r="J1703" s="81" t="s">
        <v>2109</v>
      </c>
      <c r="K1703" s="177">
        <v>45047.0</v>
      </c>
      <c r="L1703" s="206" t="b">
        <v>0</v>
      </c>
    </row>
    <row r="1704">
      <c r="A1704" s="4" t="s">
        <v>1269</v>
      </c>
      <c r="B1704" s="170" t="s">
        <v>2026</v>
      </c>
      <c r="C1704" s="171">
        <v>131.33</v>
      </c>
      <c r="D1704" s="172">
        <v>45092.0</v>
      </c>
      <c r="E1704" s="94"/>
      <c r="F1704" s="207">
        <v>2023.0</v>
      </c>
      <c r="G1704" s="207" t="s">
        <v>1152</v>
      </c>
      <c r="H1704" s="170" t="s">
        <v>1264</v>
      </c>
      <c r="I1704" s="170" t="s">
        <v>1270</v>
      </c>
      <c r="J1704" s="198" t="s">
        <v>2140</v>
      </c>
      <c r="K1704" s="173">
        <v>45047.0</v>
      </c>
      <c r="L1704" s="204" t="b">
        <v>0</v>
      </c>
    </row>
    <row r="1705">
      <c r="A1705" s="16" t="s">
        <v>115</v>
      </c>
      <c r="B1705" s="99" t="s">
        <v>1976</v>
      </c>
      <c r="C1705" s="174">
        <v>750.0</v>
      </c>
      <c r="D1705" s="175">
        <v>45059.0</v>
      </c>
      <c r="E1705" s="97"/>
      <c r="F1705" s="208">
        <v>2023.05</v>
      </c>
      <c r="G1705" s="208" t="s">
        <v>52</v>
      </c>
      <c r="H1705" s="99" t="s">
        <v>1999</v>
      </c>
      <c r="I1705" s="97"/>
      <c r="J1705" s="194"/>
      <c r="K1705" s="177">
        <v>45047.0</v>
      </c>
      <c r="L1705" s="206" t="b">
        <v>0</v>
      </c>
    </row>
    <row r="1706">
      <c r="A1706" s="4" t="s">
        <v>118</v>
      </c>
      <c r="B1706" s="170" t="s">
        <v>1976</v>
      </c>
      <c r="C1706" s="171">
        <v>750.0</v>
      </c>
      <c r="D1706" s="172">
        <v>45059.0</v>
      </c>
      <c r="E1706" s="94"/>
      <c r="F1706" s="207">
        <v>2023.05</v>
      </c>
      <c r="G1706" s="207" t="s">
        <v>52</v>
      </c>
      <c r="H1706" s="170" t="s">
        <v>1999</v>
      </c>
      <c r="I1706" s="94"/>
      <c r="J1706" s="195"/>
      <c r="K1706" s="173">
        <v>45047.0</v>
      </c>
      <c r="L1706" s="204" t="b">
        <v>0</v>
      </c>
    </row>
    <row r="1707">
      <c r="A1707" s="16" t="s">
        <v>1271</v>
      </c>
      <c r="B1707" s="99" t="s">
        <v>2062</v>
      </c>
      <c r="C1707" s="174">
        <v>68.35</v>
      </c>
      <c r="D1707" s="175">
        <v>45071.0</v>
      </c>
      <c r="E1707" s="97"/>
      <c r="F1707" s="208">
        <v>2023.0</v>
      </c>
      <c r="G1707" s="208" t="s">
        <v>1152</v>
      </c>
      <c r="H1707" s="99" t="s">
        <v>1999</v>
      </c>
      <c r="I1707" s="97"/>
      <c r="J1707" s="194"/>
      <c r="K1707" s="177">
        <v>45047.0</v>
      </c>
      <c r="L1707" s="206" t="b">
        <v>0</v>
      </c>
    </row>
    <row r="1708">
      <c r="A1708" s="4" t="s">
        <v>115</v>
      </c>
      <c r="B1708" s="170" t="s">
        <v>1976</v>
      </c>
      <c r="C1708" s="171">
        <v>750.0</v>
      </c>
      <c r="D1708" s="172">
        <v>45072.0</v>
      </c>
      <c r="E1708" s="94"/>
      <c r="F1708" s="207">
        <v>2023.05</v>
      </c>
      <c r="G1708" s="207" t="s">
        <v>52</v>
      </c>
      <c r="H1708" s="170" t="s">
        <v>1999</v>
      </c>
      <c r="I1708" s="94"/>
      <c r="J1708" s="195"/>
      <c r="K1708" s="173">
        <v>45047.0</v>
      </c>
      <c r="L1708" s="204" t="b">
        <v>0</v>
      </c>
    </row>
    <row r="1709">
      <c r="A1709" s="16" t="s">
        <v>118</v>
      </c>
      <c r="B1709" s="99" t="s">
        <v>1976</v>
      </c>
      <c r="C1709" s="174">
        <v>750.0</v>
      </c>
      <c r="D1709" s="175">
        <v>45072.0</v>
      </c>
      <c r="E1709" s="97"/>
      <c r="F1709" s="208">
        <v>2023.05</v>
      </c>
      <c r="G1709" s="208" t="s">
        <v>52</v>
      </c>
      <c r="H1709" s="99" t="s">
        <v>1999</v>
      </c>
      <c r="I1709" s="97"/>
      <c r="J1709" s="194"/>
      <c r="K1709" s="177">
        <v>45047.0</v>
      </c>
      <c r="L1709" s="206" t="b">
        <v>0</v>
      </c>
    </row>
    <row r="1710">
      <c r="A1710" s="4" t="s">
        <v>115</v>
      </c>
      <c r="B1710" s="170" t="s">
        <v>1976</v>
      </c>
      <c r="C1710" s="171">
        <v>240.94</v>
      </c>
      <c r="D1710" s="172">
        <v>45078.0</v>
      </c>
      <c r="E1710" s="94"/>
      <c r="F1710" s="207">
        <v>2023.06</v>
      </c>
      <c r="G1710" s="207" t="s">
        <v>52</v>
      </c>
      <c r="H1710" s="170" t="s">
        <v>1999</v>
      </c>
      <c r="I1710" s="94"/>
      <c r="J1710" s="195"/>
      <c r="K1710" s="173">
        <v>45047.0</v>
      </c>
      <c r="L1710" s="204" t="b">
        <v>0</v>
      </c>
    </row>
    <row r="1711">
      <c r="A1711" s="16" t="s">
        <v>118</v>
      </c>
      <c r="B1711" s="99" t="s">
        <v>1976</v>
      </c>
      <c r="C1711" s="174">
        <v>269.11</v>
      </c>
      <c r="D1711" s="175">
        <v>45078.0</v>
      </c>
      <c r="E1711" s="97"/>
      <c r="F1711" s="208">
        <v>2023.06</v>
      </c>
      <c r="G1711" s="208" t="s">
        <v>52</v>
      </c>
      <c r="H1711" s="99" t="s">
        <v>1999</v>
      </c>
      <c r="I1711" s="97"/>
      <c r="J1711" s="194"/>
      <c r="K1711" s="177">
        <v>45047.0</v>
      </c>
      <c r="L1711" s="206" t="b">
        <v>0</v>
      </c>
    </row>
    <row r="1712">
      <c r="A1712" s="4" t="s">
        <v>92</v>
      </c>
      <c r="B1712" s="170" t="s">
        <v>1988</v>
      </c>
      <c r="C1712" s="171">
        <v>76.93</v>
      </c>
      <c r="D1712" s="172">
        <v>45071.0</v>
      </c>
      <c r="E1712" s="94"/>
      <c r="F1712" s="207">
        <v>2023.05</v>
      </c>
      <c r="G1712" s="207" t="s">
        <v>52</v>
      </c>
      <c r="H1712" s="170" t="s">
        <v>1999</v>
      </c>
      <c r="I1712" s="94"/>
      <c r="J1712" s="195"/>
      <c r="K1712" s="173">
        <v>45047.0</v>
      </c>
      <c r="L1712" s="204" t="b">
        <v>0</v>
      </c>
    </row>
    <row r="1713">
      <c r="A1713" s="16" t="s">
        <v>223</v>
      </c>
      <c r="B1713" s="99" t="s">
        <v>2002</v>
      </c>
      <c r="C1713" s="96">
        <v>107.12500000000001</v>
      </c>
      <c r="D1713" s="175">
        <v>45076.0</v>
      </c>
      <c r="E1713" s="97"/>
      <c r="F1713" s="208">
        <v>2023.05</v>
      </c>
      <c r="G1713" s="208" t="s">
        <v>52</v>
      </c>
      <c r="H1713" s="99" t="s">
        <v>1999</v>
      </c>
      <c r="I1713" s="97"/>
      <c r="J1713" s="194"/>
      <c r="K1713" s="177">
        <v>45047.0</v>
      </c>
      <c r="L1713" s="206" t="b">
        <v>0</v>
      </c>
    </row>
    <row r="1714">
      <c r="A1714" s="4" t="s">
        <v>526</v>
      </c>
      <c r="B1714" s="170" t="s">
        <v>2002</v>
      </c>
      <c r="C1714" s="93">
        <v>25.277777777777775</v>
      </c>
      <c r="D1714" s="172">
        <v>45076.0</v>
      </c>
      <c r="E1714" s="94"/>
      <c r="F1714" s="207">
        <v>2023.0</v>
      </c>
      <c r="G1714" s="207" t="s">
        <v>1160</v>
      </c>
      <c r="H1714" s="170" t="s">
        <v>1999</v>
      </c>
      <c r="I1714" s="94"/>
      <c r="J1714" s="195"/>
      <c r="K1714" s="173">
        <v>45047.0</v>
      </c>
      <c r="L1714" s="204" t="b">
        <v>0</v>
      </c>
    </row>
    <row r="1715">
      <c r="A1715" s="16" t="s">
        <v>99</v>
      </c>
      <c r="B1715" s="99" t="s">
        <v>2002</v>
      </c>
      <c r="C1715" s="96">
        <v>147.93055555555554</v>
      </c>
      <c r="D1715" s="175">
        <v>45076.0</v>
      </c>
      <c r="E1715" s="97"/>
      <c r="F1715" s="208">
        <v>2023.05</v>
      </c>
      <c r="G1715" s="208" t="s">
        <v>52</v>
      </c>
      <c r="H1715" s="99" t="s">
        <v>1999</v>
      </c>
      <c r="I1715" s="97"/>
      <c r="J1715" s="194"/>
      <c r="K1715" s="177">
        <v>45047.0</v>
      </c>
      <c r="L1715" s="206" t="b">
        <v>0</v>
      </c>
    </row>
    <row r="1716">
      <c r="A1716" s="4" t="s">
        <v>896</v>
      </c>
      <c r="B1716" s="170" t="s">
        <v>2002</v>
      </c>
      <c r="C1716" s="93">
        <v>87.21527777777779</v>
      </c>
      <c r="D1716" s="172">
        <v>45076.0</v>
      </c>
      <c r="E1716" s="94"/>
      <c r="F1716" s="207">
        <v>2023.0</v>
      </c>
      <c r="G1716" s="207" t="s">
        <v>1160</v>
      </c>
      <c r="H1716" s="170" t="s">
        <v>1999</v>
      </c>
      <c r="I1716" s="94"/>
      <c r="J1716" s="195"/>
      <c r="K1716" s="173">
        <v>45047.0</v>
      </c>
      <c r="L1716" s="204" t="b">
        <v>0</v>
      </c>
    </row>
    <row r="1717">
      <c r="A1717" s="16" t="s">
        <v>835</v>
      </c>
      <c r="B1717" s="99" t="s">
        <v>2002</v>
      </c>
      <c r="C1717" s="96">
        <v>9.881944444444445</v>
      </c>
      <c r="D1717" s="175">
        <v>45076.0</v>
      </c>
      <c r="E1717" s="97"/>
      <c r="F1717" s="208">
        <v>2023.0</v>
      </c>
      <c r="G1717" s="208" t="s">
        <v>1160</v>
      </c>
      <c r="H1717" s="99" t="s">
        <v>1999</v>
      </c>
      <c r="I1717" s="97"/>
      <c r="J1717" s="194"/>
      <c r="K1717" s="177">
        <v>45047.0</v>
      </c>
      <c r="L1717" s="206" t="b">
        <v>0</v>
      </c>
    </row>
    <row r="1718">
      <c r="A1718" s="4" t="s">
        <v>356</v>
      </c>
      <c r="B1718" s="170" t="s">
        <v>2002</v>
      </c>
      <c r="C1718" s="93">
        <v>157.31944444444446</v>
      </c>
      <c r="D1718" s="172">
        <v>45076.0</v>
      </c>
      <c r="E1718" s="94"/>
      <c r="F1718" s="207">
        <v>2023.0</v>
      </c>
      <c r="G1718" s="207" t="s">
        <v>1160</v>
      </c>
      <c r="H1718" s="170" t="s">
        <v>1999</v>
      </c>
      <c r="I1718" s="94"/>
      <c r="J1718" s="195"/>
      <c r="K1718" s="173">
        <v>45047.0</v>
      </c>
      <c r="L1718" s="204" t="b">
        <v>0</v>
      </c>
    </row>
    <row r="1719">
      <c r="A1719" s="16" t="s">
        <v>898</v>
      </c>
      <c r="B1719" s="99" t="s">
        <v>2002</v>
      </c>
      <c r="C1719" s="96">
        <v>34.708333333333336</v>
      </c>
      <c r="D1719" s="175">
        <v>45076.0</v>
      </c>
      <c r="E1719" s="97"/>
      <c r="F1719" s="208">
        <v>2023.0</v>
      </c>
      <c r="G1719" s="208" t="s">
        <v>1160</v>
      </c>
      <c r="H1719" s="99" t="s">
        <v>1999</v>
      </c>
      <c r="I1719" s="97"/>
      <c r="J1719" s="194"/>
      <c r="K1719" s="177">
        <v>45047.0</v>
      </c>
      <c r="L1719" s="206" t="b">
        <v>0</v>
      </c>
    </row>
    <row r="1720">
      <c r="A1720" s="4" t="s">
        <v>42</v>
      </c>
      <c r="B1720" s="170" t="s">
        <v>2002</v>
      </c>
      <c r="C1720" s="93">
        <v>115.91666666666667</v>
      </c>
      <c r="D1720" s="172">
        <v>45076.0</v>
      </c>
      <c r="E1720" s="94"/>
      <c r="F1720" s="207">
        <v>2023.05</v>
      </c>
      <c r="G1720" s="207" t="s">
        <v>52</v>
      </c>
      <c r="H1720" s="170" t="s">
        <v>1999</v>
      </c>
      <c r="I1720" s="94"/>
      <c r="J1720" s="195"/>
      <c r="K1720" s="173">
        <v>45047.0</v>
      </c>
      <c r="L1720" s="204" t="b">
        <v>0</v>
      </c>
    </row>
    <row r="1721">
      <c r="A1721" s="16" t="s">
        <v>586</v>
      </c>
      <c r="B1721" s="99" t="s">
        <v>2002</v>
      </c>
      <c r="C1721" s="96">
        <f>182.777777777778+12.33</f>
        <v>195.1077778</v>
      </c>
      <c r="D1721" s="175">
        <v>45076.0</v>
      </c>
      <c r="E1721" s="97"/>
      <c r="F1721" s="208">
        <v>2023.0</v>
      </c>
      <c r="G1721" s="208" t="s">
        <v>1160</v>
      </c>
      <c r="H1721" s="99" t="s">
        <v>1999</v>
      </c>
      <c r="I1721" s="97"/>
      <c r="J1721" s="194"/>
      <c r="K1721" s="177">
        <v>45047.0</v>
      </c>
      <c r="L1721" s="206" t="b">
        <v>0</v>
      </c>
    </row>
    <row r="1722">
      <c r="A1722" s="4" t="s">
        <v>584</v>
      </c>
      <c r="B1722" s="170" t="s">
        <v>2002</v>
      </c>
      <c r="C1722" s="93">
        <f>64.28+9.76</f>
        <v>74.04</v>
      </c>
      <c r="D1722" s="172">
        <v>45076.0</v>
      </c>
      <c r="E1722" s="94"/>
      <c r="F1722" s="207">
        <v>2023.0</v>
      </c>
      <c r="G1722" s="207" t="s">
        <v>1160</v>
      </c>
      <c r="H1722" s="170" t="s">
        <v>1999</v>
      </c>
      <c r="I1722" s="94"/>
      <c r="J1722" s="195"/>
      <c r="K1722" s="173">
        <v>45047.0</v>
      </c>
      <c r="L1722" s="204" t="b">
        <v>0</v>
      </c>
    </row>
    <row r="1723">
      <c r="A1723" s="16" t="s">
        <v>70</v>
      </c>
      <c r="B1723" s="99" t="s">
        <v>2002</v>
      </c>
      <c r="C1723" s="96">
        <v>2067.235246349974</v>
      </c>
      <c r="D1723" s="175">
        <v>45076.0</v>
      </c>
      <c r="E1723" s="97"/>
      <c r="F1723" s="208">
        <v>2023.0</v>
      </c>
      <c r="G1723" s="208" t="s">
        <v>1160</v>
      </c>
      <c r="H1723" s="99" t="s">
        <v>1999</v>
      </c>
      <c r="I1723" s="97"/>
      <c r="J1723" s="194"/>
      <c r="K1723" s="177">
        <v>45047.0</v>
      </c>
      <c r="L1723" s="206" t="b">
        <v>0</v>
      </c>
    </row>
    <row r="1724">
      <c r="A1724" s="4" t="s">
        <v>148</v>
      </c>
      <c r="B1724" s="170" t="s">
        <v>2002</v>
      </c>
      <c r="C1724" s="93">
        <v>19.458333333333336</v>
      </c>
      <c r="D1724" s="172">
        <v>45076.0</v>
      </c>
      <c r="E1724" s="94"/>
      <c r="F1724" s="207">
        <v>2023.0</v>
      </c>
      <c r="G1724" s="207" t="s">
        <v>1160</v>
      </c>
      <c r="H1724" s="170" t="s">
        <v>1999</v>
      </c>
      <c r="I1724" s="94"/>
      <c r="J1724" s="195"/>
      <c r="K1724" s="173">
        <v>45047.0</v>
      </c>
      <c r="L1724" s="204" t="b">
        <v>0</v>
      </c>
    </row>
    <row r="1725">
      <c r="A1725" s="16" t="s">
        <v>884</v>
      </c>
      <c r="B1725" s="99" t="s">
        <v>2002</v>
      </c>
      <c r="C1725" s="96">
        <v>7.222222222222221</v>
      </c>
      <c r="D1725" s="175">
        <v>45076.0</v>
      </c>
      <c r="E1725" s="97"/>
      <c r="F1725" s="208">
        <v>2023.05</v>
      </c>
      <c r="G1725" s="208" t="s">
        <v>52</v>
      </c>
      <c r="H1725" s="99" t="s">
        <v>1999</v>
      </c>
      <c r="I1725" s="97"/>
      <c r="J1725" s="194"/>
      <c r="K1725" s="177">
        <v>45047.0</v>
      </c>
      <c r="L1725" s="206" t="b">
        <v>0</v>
      </c>
    </row>
    <row r="1726">
      <c r="A1726" s="4" t="s">
        <v>549</v>
      </c>
      <c r="B1726" s="170" t="s">
        <v>2002</v>
      </c>
      <c r="C1726" s="93">
        <v>75.04166666666667</v>
      </c>
      <c r="D1726" s="172">
        <v>45076.0</v>
      </c>
      <c r="E1726" s="94"/>
      <c r="F1726" s="207">
        <v>2023.05</v>
      </c>
      <c r="G1726" s="207" t="s">
        <v>52</v>
      </c>
      <c r="H1726" s="170" t="s">
        <v>1999</v>
      </c>
      <c r="I1726" s="94"/>
      <c r="J1726" s="195"/>
      <c r="K1726" s="173">
        <v>45047.0</v>
      </c>
      <c r="L1726" s="204" t="b">
        <v>0</v>
      </c>
    </row>
    <row r="1727">
      <c r="A1727" s="16" t="s">
        <v>1266</v>
      </c>
      <c r="B1727" s="99" t="s">
        <v>2002</v>
      </c>
      <c r="C1727" s="96">
        <v>808.5624999999999</v>
      </c>
      <c r="D1727" s="175">
        <v>45076.0</v>
      </c>
      <c r="E1727" s="97"/>
      <c r="F1727" s="208">
        <v>2023.0</v>
      </c>
      <c r="G1727" s="208" t="s">
        <v>1152</v>
      </c>
      <c r="H1727" s="99" t="s">
        <v>1999</v>
      </c>
      <c r="I1727" s="97"/>
      <c r="J1727" s="194"/>
      <c r="K1727" s="177">
        <v>45047.0</v>
      </c>
      <c r="L1727" s="206" t="b">
        <v>0</v>
      </c>
    </row>
    <row r="1728">
      <c r="A1728" s="4" t="s">
        <v>924</v>
      </c>
      <c r="B1728" s="170" t="s">
        <v>2002</v>
      </c>
      <c r="C1728" s="93">
        <v>126.77777777777774</v>
      </c>
      <c r="D1728" s="172">
        <v>45076.0</v>
      </c>
      <c r="E1728" s="94"/>
      <c r="F1728" s="207">
        <v>2023.05</v>
      </c>
      <c r="G1728" s="207" t="s">
        <v>52</v>
      </c>
      <c r="H1728" s="170" t="s">
        <v>1999</v>
      </c>
      <c r="I1728" s="94"/>
      <c r="J1728" s="195"/>
      <c r="K1728" s="173">
        <v>45047.0</v>
      </c>
      <c r="L1728" s="204" t="b">
        <v>0</v>
      </c>
    </row>
    <row r="1729">
      <c r="A1729" s="16" t="s">
        <v>855</v>
      </c>
      <c r="B1729" s="99" t="s">
        <v>2002</v>
      </c>
      <c r="C1729" s="96">
        <v>33.40277777777778</v>
      </c>
      <c r="D1729" s="175">
        <v>45076.0</v>
      </c>
      <c r="E1729" s="97"/>
      <c r="F1729" s="208">
        <v>2023.05</v>
      </c>
      <c r="G1729" s="208" t="s">
        <v>52</v>
      </c>
      <c r="H1729" s="99" t="s">
        <v>1999</v>
      </c>
      <c r="I1729" s="97"/>
      <c r="J1729" s="194"/>
      <c r="K1729" s="177">
        <v>45047.0</v>
      </c>
      <c r="L1729" s="206" t="b">
        <v>0</v>
      </c>
    </row>
    <row r="1730">
      <c r="A1730" s="4" t="s">
        <v>773</v>
      </c>
      <c r="B1730" s="170" t="s">
        <v>2002</v>
      </c>
      <c r="C1730" s="93">
        <v>73.38194444444446</v>
      </c>
      <c r="D1730" s="172">
        <v>45076.0</v>
      </c>
      <c r="E1730" s="94"/>
      <c r="F1730" s="207">
        <v>2023.0</v>
      </c>
      <c r="G1730" s="207" t="s">
        <v>1160</v>
      </c>
      <c r="H1730" s="170" t="s">
        <v>1999</v>
      </c>
      <c r="I1730" s="94"/>
      <c r="J1730" s="195"/>
      <c r="K1730" s="173">
        <v>45047.0</v>
      </c>
      <c r="L1730" s="204" t="b">
        <v>0</v>
      </c>
    </row>
    <row r="1731">
      <c r="A1731" s="16" t="s">
        <v>115</v>
      </c>
      <c r="B1731" s="99" t="s">
        <v>2002</v>
      </c>
      <c r="C1731" s="96">
        <v>143.5902777777778</v>
      </c>
      <c r="D1731" s="175">
        <v>45076.0</v>
      </c>
      <c r="E1731" s="97"/>
      <c r="F1731" s="208">
        <v>2023.05</v>
      </c>
      <c r="G1731" s="208" t="s">
        <v>52</v>
      </c>
      <c r="H1731" s="99" t="s">
        <v>1999</v>
      </c>
      <c r="I1731" s="97"/>
      <c r="J1731" s="194"/>
      <c r="K1731" s="177">
        <v>45047.0</v>
      </c>
      <c r="L1731" s="206" t="b">
        <v>0</v>
      </c>
    </row>
    <row r="1732">
      <c r="A1732" s="4" t="s">
        <v>118</v>
      </c>
      <c r="B1732" s="170" t="s">
        <v>2002</v>
      </c>
      <c r="C1732" s="93">
        <v>167.58333333333331</v>
      </c>
      <c r="D1732" s="172">
        <v>45076.0</v>
      </c>
      <c r="E1732" s="94"/>
      <c r="F1732" s="207">
        <v>2023.05</v>
      </c>
      <c r="G1732" s="207" t="s">
        <v>52</v>
      </c>
      <c r="H1732" s="170" t="s">
        <v>1999</v>
      </c>
      <c r="I1732" s="94"/>
      <c r="J1732" s="195"/>
      <c r="K1732" s="173">
        <v>45047.0</v>
      </c>
      <c r="L1732" s="204" t="b">
        <v>0</v>
      </c>
    </row>
    <row r="1733">
      <c r="A1733" s="16" t="s">
        <v>966</v>
      </c>
      <c r="B1733" s="99" t="s">
        <v>2002</v>
      </c>
      <c r="C1733" s="96">
        <f>167.58+1.93</f>
        <v>169.51</v>
      </c>
      <c r="D1733" s="175">
        <v>45076.0</v>
      </c>
      <c r="E1733" s="97"/>
      <c r="F1733" s="208">
        <v>2023.05</v>
      </c>
      <c r="G1733" s="208" t="s">
        <v>52</v>
      </c>
      <c r="H1733" s="99" t="s">
        <v>1999</v>
      </c>
      <c r="I1733" s="97"/>
      <c r="J1733" s="194"/>
      <c r="K1733" s="177">
        <v>45047.0</v>
      </c>
      <c r="L1733" s="206" t="b">
        <v>0</v>
      </c>
    </row>
    <row r="1734">
      <c r="A1734" s="4" t="s">
        <v>935</v>
      </c>
      <c r="B1734" s="170" t="s">
        <v>2002</v>
      </c>
      <c r="C1734" s="93">
        <v>264.3472222222222</v>
      </c>
      <c r="D1734" s="172">
        <v>45076.0</v>
      </c>
      <c r="E1734" s="94"/>
      <c r="F1734" s="207">
        <v>2023.0</v>
      </c>
      <c r="G1734" s="207" t="s">
        <v>1160</v>
      </c>
      <c r="H1734" s="170" t="s">
        <v>1999</v>
      </c>
      <c r="I1734" s="94"/>
      <c r="J1734" s="195"/>
      <c r="K1734" s="173">
        <v>45047.0</v>
      </c>
      <c r="L1734" s="204" t="b">
        <v>0</v>
      </c>
    </row>
    <row r="1735">
      <c r="A1735" s="16" t="s">
        <v>1269</v>
      </c>
      <c r="B1735" s="99" t="s">
        <v>2002</v>
      </c>
      <c r="C1735" s="96">
        <v>64.50694444444444</v>
      </c>
      <c r="D1735" s="175">
        <v>45076.0</v>
      </c>
      <c r="E1735" s="97"/>
      <c r="F1735" s="208">
        <v>2023.0</v>
      </c>
      <c r="G1735" s="208" t="s">
        <v>1152</v>
      </c>
      <c r="H1735" s="99" t="s">
        <v>1999</v>
      </c>
      <c r="I1735" s="97"/>
      <c r="J1735" s="194"/>
      <c r="K1735" s="177">
        <v>45047.0</v>
      </c>
      <c r="L1735" s="206" t="b">
        <v>0</v>
      </c>
    </row>
    <row r="1736">
      <c r="A1736" s="4" t="s">
        <v>50</v>
      </c>
      <c r="B1736" s="170" t="s">
        <v>2002</v>
      </c>
      <c r="C1736" s="93">
        <v>50.63888888888889</v>
      </c>
      <c r="D1736" s="172">
        <v>45076.0</v>
      </c>
      <c r="E1736" s="94"/>
      <c r="F1736" s="207">
        <v>2023.05</v>
      </c>
      <c r="G1736" s="207" t="s">
        <v>52</v>
      </c>
      <c r="H1736" s="170" t="s">
        <v>1999</v>
      </c>
      <c r="I1736" s="94"/>
      <c r="J1736" s="195"/>
      <c r="K1736" s="173">
        <v>45047.0</v>
      </c>
      <c r="L1736" s="204" t="b">
        <v>0</v>
      </c>
    </row>
    <row r="1737">
      <c r="A1737" s="16" t="s">
        <v>768</v>
      </c>
      <c r="B1737" s="99" t="s">
        <v>1978</v>
      </c>
      <c r="C1737" s="174">
        <v>650.0</v>
      </c>
      <c r="D1737" s="175">
        <v>45107.0</v>
      </c>
      <c r="E1737" s="189">
        <v>45078.0</v>
      </c>
      <c r="F1737" s="208">
        <v>2023.0</v>
      </c>
      <c r="G1737" s="208" t="s">
        <v>1160</v>
      </c>
      <c r="H1737" s="99" t="s">
        <v>1264</v>
      </c>
      <c r="I1737" s="99" t="s">
        <v>1979</v>
      </c>
      <c r="J1737" s="81" t="s">
        <v>2141</v>
      </c>
      <c r="K1737" s="177">
        <v>45078.0</v>
      </c>
      <c r="L1737" s="206" t="b">
        <v>0</v>
      </c>
    </row>
    <row r="1738">
      <c r="A1738" s="4" t="s">
        <v>810</v>
      </c>
      <c r="B1738" s="170" t="s">
        <v>1978</v>
      </c>
      <c r="C1738" s="171">
        <v>262.5</v>
      </c>
      <c r="D1738" s="172">
        <v>45107.0</v>
      </c>
      <c r="E1738" s="188">
        <v>45078.0</v>
      </c>
      <c r="F1738" s="207">
        <v>2023.06</v>
      </c>
      <c r="G1738" s="207" t="s">
        <v>52</v>
      </c>
      <c r="H1738" s="170" t="s">
        <v>1264</v>
      </c>
      <c r="I1738" s="170" t="s">
        <v>1979</v>
      </c>
      <c r="J1738" s="195"/>
      <c r="K1738" s="173">
        <v>45078.0</v>
      </c>
      <c r="L1738" s="204" t="b">
        <v>0</v>
      </c>
    </row>
    <row r="1739">
      <c r="A1739" s="16" t="s">
        <v>50</v>
      </c>
      <c r="B1739" s="99" t="s">
        <v>1978</v>
      </c>
      <c r="C1739" s="174">
        <v>150.0</v>
      </c>
      <c r="D1739" s="175">
        <v>45107.0</v>
      </c>
      <c r="E1739" s="189">
        <v>45078.0</v>
      </c>
      <c r="F1739" s="208">
        <v>2023.06</v>
      </c>
      <c r="G1739" s="208" t="s">
        <v>52</v>
      </c>
      <c r="H1739" s="99" t="s">
        <v>1264</v>
      </c>
      <c r="I1739" s="99" t="s">
        <v>1979</v>
      </c>
      <c r="J1739" s="194"/>
      <c r="K1739" s="177">
        <v>45078.0</v>
      </c>
      <c r="L1739" s="206" t="b">
        <v>0</v>
      </c>
    </row>
    <row r="1740">
      <c r="A1740" s="4" t="s">
        <v>223</v>
      </c>
      <c r="B1740" s="170" t="s">
        <v>1978</v>
      </c>
      <c r="C1740" s="171">
        <v>300.0</v>
      </c>
      <c r="D1740" s="172">
        <v>45107.0</v>
      </c>
      <c r="E1740" s="188">
        <v>45078.0</v>
      </c>
      <c r="F1740" s="207">
        <v>2023.06</v>
      </c>
      <c r="G1740" s="207" t="s">
        <v>52</v>
      </c>
      <c r="H1740" s="170" t="s">
        <v>1264</v>
      </c>
      <c r="I1740" s="170" t="s">
        <v>1979</v>
      </c>
      <c r="J1740" s="195"/>
      <c r="K1740" s="173">
        <v>45078.0</v>
      </c>
      <c r="L1740" s="204" t="b">
        <v>0</v>
      </c>
    </row>
    <row r="1741">
      <c r="A1741" s="16" t="s">
        <v>73</v>
      </c>
      <c r="B1741" s="99" t="s">
        <v>1978</v>
      </c>
      <c r="C1741" s="174">
        <v>287.5</v>
      </c>
      <c r="D1741" s="175">
        <v>45107.0</v>
      </c>
      <c r="E1741" s="189">
        <v>45078.0</v>
      </c>
      <c r="F1741" s="208">
        <v>2023.06</v>
      </c>
      <c r="G1741" s="208" t="s">
        <v>52</v>
      </c>
      <c r="H1741" s="99" t="s">
        <v>1264</v>
      </c>
      <c r="I1741" s="99" t="s">
        <v>1979</v>
      </c>
      <c r="J1741" s="194"/>
      <c r="K1741" s="177">
        <v>45078.0</v>
      </c>
      <c r="L1741" s="206" t="b">
        <v>0</v>
      </c>
    </row>
    <row r="1742">
      <c r="A1742" s="4" t="s">
        <v>88</v>
      </c>
      <c r="B1742" s="170" t="s">
        <v>1978</v>
      </c>
      <c r="C1742" s="171">
        <v>212.5</v>
      </c>
      <c r="D1742" s="172">
        <v>45107.0</v>
      </c>
      <c r="E1742" s="188">
        <v>45078.0</v>
      </c>
      <c r="F1742" s="207">
        <v>2023.06</v>
      </c>
      <c r="G1742" s="207" t="s">
        <v>52</v>
      </c>
      <c r="H1742" s="170" t="s">
        <v>1264</v>
      </c>
      <c r="I1742" s="170" t="s">
        <v>1979</v>
      </c>
      <c r="J1742" s="195"/>
      <c r="K1742" s="173">
        <v>45078.0</v>
      </c>
      <c r="L1742" s="204" t="b">
        <v>0</v>
      </c>
    </row>
    <row r="1743">
      <c r="A1743" s="16" t="s">
        <v>97</v>
      </c>
      <c r="B1743" s="99" t="s">
        <v>1978</v>
      </c>
      <c r="C1743" s="174">
        <v>137.5</v>
      </c>
      <c r="D1743" s="175">
        <v>45107.0</v>
      </c>
      <c r="E1743" s="189">
        <v>45078.0</v>
      </c>
      <c r="F1743" s="208">
        <v>2023.06</v>
      </c>
      <c r="G1743" s="208" t="s">
        <v>52</v>
      </c>
      <c r="H1743" s="99" t="s">
        <v>1264</v>
      </c>
      <c r="I1743" s="99" t="s">
        <v>1979</v>
      </c>
      <c r="J1743" s="194"/>
      <c r="K1743" s="177">
        <v>45078.0</v>
      </c>
      <c r="L1743" s="206" t="b">
        <v>0</v>
      </c>
    </row>
    <row r="1744">
      <c r="A1744" s="4" t="s">
        <v>82</v>
      </c>
      <c r="B1744" s="170" t="s">
        <v>1986</v>
      </c>
      <c r="C1744" s="171">
        <v>262.5</v>
      </c>
      <c r="D1744" s="172">
        <v>45107.0</v>
      </c>
      <c r="E1744" s="170">
        <v>20.0</v>
      </c>
      <c r="F1744" s="207">
        <v>2023.06</v>
      </c>
      <c r="G1744" s="207" t="s">
        <v>52</v>
      </c>
      <c r="H1744" s="170" t="s">
        <v>1264</v>
      </c>
      <c r="I1744" s="170" t="s">
        <v>1979</v>
      </c>
      <c r="J1744" s="195"/>
      <c r="K1744" s="173">
        <v>45078.0</v>
      </c>
      <c r="L1744" s="204" t="b">
        <v>0</v>
      </c>
    </row>
    <row r="1745">
      <c r="A1745" s="16" t="s">
        <v>92</v>
      </c>
      <c r="B1745" s="99" t="s">
        <v>1986</v>
      </c>
      <c r="C1745" s="174">
        <v>300.0</v>
      </c>
      <c r="D1745" s="175">
        <v>45107.0</v>
      </c>
      <c r="E1745" s="99">
        <v>20.0</v>
      </c>
      <c r="F1745" s="208">
        <v>2023.06</v>
      </c>
      <c r="G1745" s="208" t="s">
        <v>52</v>
      </c>
      <c r="H1745" s="99" t="s">
        <v>1264</v>
      </c>
      <c r="I1745" s="99" t="s">
        <v>1979</v>
      </c>
      <c r="J1745" s="194"/>
      <c r="K1745" s="177">
        <v>45078.0</v>
      </c>
      <c r="L1745" s="206" t="b">
        <v>0</v>
      </c>
    </row>
    <row r="1746">
      <c r="A1746" s="4" t="s">
        <v>695</v>
      </c>
      <c r="B1746" s="170" t="s">
        <v>1986</v>
      </c>
      <c r="C1746" s="171">
        <v>175.0</v>
      </c>
      <c r="D1746" s="172">
        <v>45107.0</v>
      </c>
      <c r="E1746" s="170">
        <v>20.0</v>
      </c>
      <c r="F1746" s="207">
        <v>2023.06</v>
      </c>
      <c r="G1746" s="207" t="s">
        <v>52</v>
      </c>
      <c r="H1746" s="170" t="s">
        <v>1264</v>
      </c>
      <c r="I1746" s="170" t="s">
        <v>1979</v>
      </c>
      <c r="J1746" s="195"/>
      <c r="K1746" s="173">
        <v>45078.0</v>
      </c>
      <c r="L1746" s="204" t="b">
        <v>0</v>
      </c>
    </row>
    <row r="1747">
      <c r="A1747" s="16" t="s">
        <v>795</v>
      </c>
      <c r="B1747" s="99" t="s">
        <v>1986</v>
      </c>
      <c r="C1747" s="174">
        <v>450.0</v>
      </c>
      <c r="D1747" s="175">
        <v>45107.0</v>
      </c>
      <c r="E1747" s="99">
        <v>20.0</v>
      </c>
      <c r="F1747" s="208">
        <v>2023.06</v>
      </c>
      <c r="G1747" s="208" t="s">
        <v>52</v>
      </c>
      <c r="H1747" s="99" t="s">
        <v>1264</v>
      </c>
      <c r="I1747" s="99" t="s">
        <v>1979</v>
      </c>
      <c r="J1747" s="194"/>
      <c r="K1747" s="177">
        <v>45078.0</v>
      </c>
      <c r="L1747" s="206" t="b">
        <v>0</v>
      </c>
    </row>
    <row r="1748">
      <c r="A1748" s="4" t="s">
        <v>1269</v>
      </c>
      <c r="B1748" s="170" t="s">
        <v>1986</v>
      </c>
      <c r="C1748" s="171">
        <v>256.0</v>
      </c>
      <c r="D1748" s="172">
        <v>45107.0</v>
      </c>
      <c r="E1748" s="170">
        <v>20.0</v>
      </c>
      <c r="F1748" s="207">
        <v>2023.0</v>
      </c>
      <c r="G1748" s="207" t="s">
        <v>1152</v>
      </c>
      <c r="H1748" s="170" t="s">
        <v>1264</v>
      </c>
      <c r="I1748" s="170" t="s">
        <v>1270</v>
      </c>
      <c r="J1748" s="195"/>
      <c r="K1748" s="173">
        <v>45078.0</v>
      </c>
      <c r="L1748" s="204" t="b">
        <v>0</v>
      </c>
    </row>
    <row r="1749">
      <c r="A1749" s="16" t="s">
        <v>99</v>
      </c>
      <c r="B1749" s="99" t="s">
        <v>2036</v>
      </c>
      <c r="C1749" s="174">
        <v>400.0</v>
      </c>
      <c r="D1749" s="175">
        <v>45107.0</v>
      </c>
      <c r="E1749" s="189">
        <v>45078.0</v>
      </c>
      <c r="F1749" s="208">
        <v>2023.06</v>
      </c>
      <c r="G1749" s="208" t="s">
        <v>52</v>
      </c>
      <c r="H1749" s="99" t="s">
        <v>1264</v>
      </c>
      <c r="I1749" s="99" t="s">
        <v>1979</v>
      </c>
      <c r="J1749" s="194"/>
      <c r="K1749" s="177">
        <v>45078.0</v>
      </c>
      <c r="L1749" s="206" t="b">
        <v>0</v>
      </c>
    </row>
    <row r="1750">
      <c r="A1750" s="4" t="s">
        <v>42</v>
      </c>
      <c r="B1750" s="170" t="s">
        <v>2036</v>
      </c>
      <c r="C1750" s="171">
        <v>287.5</v>
      </c>
      <c r="D1750" s="172">
        <v>45107.0</v>
      </c>
      <c r="E1750" s="188">
        <v>45078.0</v>
      </c>
      <c r="F1750" s="207">
        <v>2023.06</v>
      </c>
      <c r="G1750" s="207" t="s">
        <v>52</v>
      </c>
      <c r="H1750" s="170" t="s">
        <v>1264</v>
      </c>
      <c r="I1750" s="170" t="s">
        <v>1979</v>
      </c>
      <c r="J1750" s="195"/>
      <c r="K1750" s="173">
        <v>45078.0</v>
      </c>
      <c r="L1750" s="204" t="b">
        <v>0</v>
      </c>
    </row>
    <row r="1751">
      <c r="A1751" s="16" t="s">
        <v>499</v>
      </c>
      <c r="B1751" s="99" t="s">
        <v>2036</v>
      </c>
      <c r="C1751" s="174">
        <v>200.0</v>
      </c>
      <c r="D1751" s="175">
        <v>45107.0</v>
      </c>
      <c r="E1751" s="189">
        <v>45078.0</v>
      </c>
      <c r="F1751" s="208">
        <v>2023.06</v>
      </c>
      <c r="G1751" s="208" t="s">
        <v>52</v>
      </c>
      <c r="H1751" s="99" t="s">
        <v>1264</v>
      </c>
      <c r="I1751" s="99" t="s">
        <v>1979</v>
      </c>
      <c r="J1751" s="194"/>
      <c r="K1751" s="177">
        <v>45078.0</v>
      </c>
      <c r="L1751" s="206" t="b">
        <v>0</v>
      </c>
    </row>
    <row r="1752">
      <c r="A1752" s="4" t="s">
        <v>861</v>
      </c>
      <c r="B1752" s="170" t="s">
        <v>2036</v>
      </c>
      <c r="C1752" s="171">
        <v>70.0</v>
      </c>
      <c r="D1752" s="172">
        <v>45107.0</v>
      </c>
      <c r="E1752" s="188">
        <v>45078.0</v>
      </c>
      <c r="F1752" s="207">
        <v>2023.06</v>
      </c>
      <c r="G1752" s="207" t="s">
        <v>52</v>
      </c>
      <c r="H1752" s="170" t="s">
        <v>1264</v>
      </c>
      <c r="I1752" s="170" t="s">
        <v>1979</v>
      </c>
      <c r="J1752" s="195"/>
      <c r="K1752" s="173">
        <v>45078.0</v>
      </c>
      <c r="L1752" s="204" t="b">
        <v>0</v>
      </c>
    </row>
    <row r="1753">
      <c r="A1753" s="16" t="s">
        <v>963</v>
      </c>
      <c r="B1753" s="99" t="s">
        <v>2036</v>
      </c>
      <c r="C1753" s="174">
        <v>30.0</v>
      </c>
      <c r="D1753" s="175">
        <v>45107.0</v>
      </c>
      <c r="E1753" s="189">
        <v>45078.0</v>
      </c>
      <c r="F1753" s="208">
        <v>2023.06</v>
      </c>
      <c r="G1753" s="208" t="s">
        <v>52</v>
      </c>
      <c r="H1753" s="99" t="s">
        <v>1264</v>
      </c>
      <c r="I1753" s="99" t="s">
        <v>1979</v>
      </c>
      <c r="J1753" s="194"/>
      <c r="K1753" s="177">
        <v>45078.0</v>
      </c>
      <c r="L1753" s="206" t="b">
        <v>0</v>
      </c>
    </row>
    <row r="1754">
      <c r="A1754" s="4" t="s">
        <v>861</v>
      </c>
      <c r="B1754" s="170" t="s">
        <v>2036</v>
      </c>
      <c r="C1754" s="171">
        <v>350.0</v>
      </c>
      <c r="D1754" s="172">
        <v>45107.0</v>
      </c>
      <c r="E1754" s="188">
        <v>45078.0</v>
      </c>
      <c r="F1754" s="207">
        <v>2023.06</v>
      </c>
      <c r="G1754" s="207" t="s">
        <v>52</v>
      </c>
      <c r="H1754" s="170" t="s">
        <v>1264</v>
      </c>
      <c r="I1754" s="170" t="s">
        <v>1979</v>
      </c>
      <c r="J1754" s="195"/>
      <c r="K1754" s="173">
        <v>45078.0</v>
      </c>
      <c r="L1754" s="204" t="b">
        <v>0</v>
      </c>
    </row>
    <row r="1755">
      <c r="A1755" s="16" t="s">
        <v>963</v>
      </c>
      <c r="B1755" s="99" t="s">
        <v>2036</v>
      </c>
      <c r="C1755" s="174">
        <v>150.0</v>
      </c>
      <c r="D1755" s="175">
        <v>45107.0</v>
      </c>
      <c r="E1755" s="189">
        <v>45078.0</v>
      </c>
      <c r="F1755" s="208">
        <v>2023.06</v>
      </c>
      <c r="G1755" s="208" t="s">
        <v>52</v>
      </c>
      <c r="H1755" s="99" t="s">
        <v>1264</v>
      </c>
      <c r="I1755" s="99" t="s">
        <v>1979</v>
      </c>
      <c r="J1755" s="194"/>
      <c r="K1755" s="177">
        <v>45078.0</v>
      </c>
      <c r="L1755" s="206" t="b">
        <v>0</v>
      </c>
    </row>
    <row r="1756">
      <c r="A1756" s="4" t="s">
        <v>1041</v>
      </c>
      <c r="B1756" s="170" t="s">
        <v>2036</v>
      </c>
      <c r="C1756" s="171">
        <v>362.5</v>
      </c>
      <c r="D1756" s="172">
        <v>45107.0</v>
      </c>
      <c r="E1756" s="188">
        <v>45078.0</v>
      </c>
      <c r="F1756" s="207">
        <v>2023.06</v>
      </c>
      <c r="G1756" s="207" t="s">
        <v>52</v>
      </c>
      <c r="H1756" s="170" t="s">
        <v>1264</v>
      </c>
      <c r="I1756" s="170" t="s">
        <v>1979</v>
      </c>
      <c r="J1756" s="195"/>
      <c r="K1756" s="173">
        <v>45078.0</v>
      </c>
      <c r="L1756" s="204" t="b">
        <v>0</v>
      </c>
    </row>
    <row r="1757">
      <c r="A1757" s="16" t="s">
        <v>662</v>
      </c>
      <c r="B1757" s="99" t="s">
        <v>2036</v>
      </c>
      <c r="C1757" s="174">
        <v>550.0</v>
      </c>
      <c r="D1757" s="175">
        <v>45107.0</v>
      </c>
      <c r="E1757" s="189">
        <v>45078.0</v>
      </c>
      <c r="F1757" s="208">
        <v>2023.06</v>
      </c>
      <c r="G1757" s="208" t="s">
        <v>52</v>
      </c>
      <c r="H1757" s="99" t="s">
        <v>1264</v>
      </c>
      <c r="I1757" s="99" t="s">
        <v>1979</v>
      </c>
      <c r="J1757" s="194"/>
      <c r="K1757" s="177">
        <v>45078.0</v>
      </c>
      <c r="L1757" s="206" t="b">
        <v>0</v>
      </c>
    </row>
    <row r="1758">
      <c r="A1758" s="4" t="s">
        <v>1269</v>
      </c>
      <c r="B1758" s="170" t="s">
        <v>2036</v>
      </c>
      <c r="C1758" s="171">
        <v>110.0</v>
      </c>
      <c r="D1758" s="172">
        <v>45107.0</v>
      </c>
      <c r="E1758" s="188">
        <v>45078.0</v>
      </c>
      <c r="F1758" s="207">
        <v>2023.0</v>
      </c>
      <c r="G1758" s="207" t="s">
        <v>1152</v>
      </c>
      <c r="H1758" s="170" t="s">
        <v>1264</v>
      </c>
      <c r="I1758" s="170" t="s">
        <v>1270</v>
      </c>
      <c r="J1758" s="195"/>
      <c r="K1758" s="173">
        <v>45078.0</v>
      </c>
      <c r="L1758" s="204" t="b">
        <v>0</v>
      </c>
    </row>
    <row r="1759">
      <c r="A1759" s="16" t="s">
        <v>92</v>
      </c>
      <c r="B1759" s="99" t="s">
        <v>1980</v>
      </c>
      <c r="C1759" s="174">
        <v>275.0</v>
      </c>
      <c r="D1759" s="175">
        <v>45107.0</v>
      </c>
      <c r="E1759" s="99">
        <v>124.0</v>
      </c>
      <c r="F1759" s="208">
        <v>2023.06</v>
      </c>
      <c r="G1759" s="208" t="s">
        <v>52</v>
      </c>
      <c r="H1759" s="99" t="s">
        <v>1264</v>
      </c>
      <c r="I1759" s="99" t="s">
        <v>1979</v>
      </c>
      <c r="J1759" s="194"/>
      <c r="K1759" s="177">
        <v>45078.0</v>
      </c>
      <c r="L1759" s="206" t="b">
        <v>0</v>
      </c>
    </row>
    <row r="1760">
      <c r="A1760" s="4" t="s">
        <v>88</v>
      </c>
      <c r="B1760" s="170" t="s">
        <v>1980</v>
      </c>
      <c r="C1760" s="171">
        <v>45.0</v>
      </c>
      <c r="D1760" s="172">
        <v>45107.0</v>
      </c>
      <c r="E1760" s="170">
        <v>124.0</v>
      </c>
      <c r="F1760" s="207">
        <v>2023.06</v>
      </c>
      <c r="G1760" s="207" t="s">
        <v>52</v>
      </c>
      <c r="H1760" s="170" t="s">
        <v>1264</v>
      </c>
      <c r="I1760" s="170" t="s">
        <v>1979</v>
      </c>
      <c r="J1760" s="195"/>
      <c r="K1760" s="173">
        <v>45078.0</v>
      </c>
      <c r="L1760" s="204" t="b">
        <v>0</v>
      </c>
    </row>
    <row r="1761">
      <c r="A1761" s="16" t="s">
        <v>97</v>
      </c>
      <c r="B1761" s="99" t="s">
        <v>1980</v>
      </c>
      <c r="C1761" s="174">
        <v>30.0</v>
      </c>
      <c r="D1761" s="175">
        <v>45107.0</v>
      </c>
      <c r="E1761" s="99">
        <v>124.0</v>
      </c>
      <c r="F1761" s="208">
        <v>2023.06</v>
      </c>
      <c r="G1761" s="208" t="s">
        <v>52</v>
      </c>
      <c r="H1761" s="99" t="s">
        <v>1264</v>
      </c>
      <c r="I1761" s="99" t="s">
        <v>1979</v>
      </c>
      <c r="J1761" s="194"/>
      <c r="K1761" s="177">
        <v>45078.0</v>
      </c>
      <c r="L1761" s="206" t="b">
        <v>0</v>
      </c>
    </row>
    <row r="1762">
      <c r="A1762" s="4" t="s">
        <v>82</v>
      </c>
      <c r="B1762" s="170" t="s">
        <v>1980</v>
      </c>
      <c r="C1762" s="171">
        <v>90.0</v>
      </c>
      <c r="D1762" s="172">
        <v>45107.0</v>
      </c>
      <c r="E1762" s="170">
        <v>124.0</v>
      </c>
      <c r="F1762" s="207">
        <v>2023.06</v>
      </c>
      <c r="G1762" s="207" t="s">
        <v>52</v>
      </c>
      <c r="H1762" s="170" t="s">
        <v>1264</v>
      </c>
      <c r="I1762" s="170" t="s">
        <v>1979</v>
      </c>
      <c r="J1762" s="195"/>
      <c r="K1762" s="173">
        <v>45078.0</v>
      </c>
      <c r="L1762" s="204" t="b">
        <v>0</v>
      </c>
    </row>
    <row r="1763">
      <c r="A1763" s="16" t="s">
        <v>99</v>
      </c>
      <c r="B1763" s="99" t="s">
        <v>1980</v>
      </c>
      <c r="C1763" s="96">
        <f>135+125</f>
        <v>260</v>
      </c>
      <c r="D1763" s="175">
        <v>45107.0</v>
      </c>
      <c r="E1763" s="99">
        <v>124.0</v>
      </c>
      <c r="F1763" s="208">
        <v>2023.06</v>
      </c>
      <c r="G1763" s="208" t="s">
        <v>52</v>
      </c>
      <c r="H1763" s="99" t="s">
        <v>1264</v>
      </c>
      <c r="I1763" s="99" t="s">
        <v>1979</v>
      </c>
      <c r="J1763" s="194"/>
      <c r="K1763" s="177">
        <v>45078.0</v>
      </c>
      <c r="L1763" s="206" t="b">
        <v>0</v>
      </c>
    </row>
    <row r="1764">
      <c r="A1764" s="4" t="s">
        <v>42</v>
      </c>
      <c r="B1764" s="170" t="s">
        <v>1980</v>
      </c>
      <c r="C1764" s="171">
        <v>135.0</v>
      </c>
      <c r="D1764" s="172">
        <v>45107.0</v>
      </c>
      <c r="E1764" s="170">
        <v>124.0</v>
      </c>
      <c r="F1764" s="207">
        <v>2023.06</v>
      </c>
      <c r="G1764" s="207" t="s">
        <v>52</v>
      </c>
      <c r="H1764" s="170" t="s">
        <v>1264</v>
      </c>
      <c r="I1764" s="170" t="s">
        <v>1979</v>
      </c>
      <c r="J1764" s="195"/>
      <c r="K1764" s="173">
        <v>45078.0</v>
      </c>
      <c r="L1764" s="204" t="b">
        <v>0</v>
      </c>
    </row>
    <row r="1765">
      <c r="A1765" s="16" t="s">
        <v>123</v>
      </c>
      <c r="B1765" s="99" t="s">
        <v>1980</v>
      </c>
      <c r="C1765" s="174">
        <v>200.0</v>
      </c>
      <c r="D1765" s="175">
        <v>45107.0</v>
      </c>
      <c r="E1765" s="99">
        <v>124.0</v>
      </c>
      <c r="F1765" s="208">
        <v>2023.06</v>
      </c>
      <c r="G1765" s="208" t="s">
        <v>52</v>
      </c>
      <c r="H1765" s="99" t="s">
        <v>1264</v>
      </c>
      <c r="I1765" s="99" t="s">
        <v>1979</v>
      </c>
      <c r="J1765" s="194"/>
      <c r="K1765" s="177">
        <v>45078.0</v>
      </c>
      <c r="L1765" s="206" t="b">
        <v>0</v>
      </c>
    </row>
    <row r="1766">
      <c r="A1766" s="4" t="s">
        <v>73</v>
      </c>
      <c r="B1766" s="170" t="s">
        <v>1980</v>
      </c>
      <c r="C1766" s="171">
        <v>75.0</v>
      </c>
      <c r="D1766" s="172">
        <v>45107.0</v>
      </c>
      <c r="E1766" s="170">
        <v>124.0</v>
      </c>
      <c r="F1766" s="207">
        <v>2023.06</v>
      </c>
      <c r="G1766" s="207" t="s">
        <v>52</v>
      </c>
      <c r="H1766" s="170" t="s">
        <v>1264</v>
      </c>
      <c r="I1766" s="170" t="s">
        <v>1979</v>
      </c>
      <c r="J1766" s="195"/>
      <c r="K1766" s="173">
        <v>45078.0</v>
      </c>
      <c r="L1766" s="204" t="b">
        <v>0</v>
      </c>
    </row>
    <row r="1767">
      <c r="A1767" s="16" t="s">
        <v>50</v>
      </c>
      <c r="B1767" s="99" t="s">
        <v>1980</v>
      </c>
      <c r="C1767" s="174">
        <v>30.0</v>
      </c>
      <c r="D1767" s="175">
        <v>45107.0</v>
      </c>
      <c r="E1767" s="99">
        <v>124.0</v>
      </c>
      <c r="F1767" s="208">
        <v>2023.06</v>
      </c>
      <c r="G1767" s="208" t="s">
        <v>52</v>
      </c>
      <c r="H1767" s="99" t="s">
        <v>1264</v>
      </c>
      <c r="I1767" s="99" t="s">
        <v>1979</v>
      </c>
      <c r="J1767" s="194"/>
      <c r="K1767" s="177">
        <v>45078.0</v>
      </c>
      <c r="L1767" s="206" t="b">
        <v>0</v>
      </c>
    </row>
    <row r="1768">
      <c r="A1768" s="4" t="s">
        <v>62</v>
      </c>
      <c r="B1768" s="170" t="s">
        <v>1980</v>
      </c>
      <c r="C1768" s="171">
        <v>300.0</v>
      </c>
      <c r="D1768" s="172">
        <v>45107.0</v>
      </c>
      <c r="E1768" s="170">
        <v>124.0</v>
      </c>
      <c r="F1768" s="207">
        <v>2023.06</v>
      </c>
      <c r="G1768" s="207" t="s">
        <v>52</v>
      </c>
      <c r="H1768" s="170" t="s">
        <v>1264</v>
      </c>
      <c r="I1768" s="170" t="s">
        <v>1979</v>
      </c>
      <c r="J1768" s="195"/>
      <c r="K1768" s="173">
        <v>45078.0</v>
      </c>
      <c r="L1768" s="204" t="b">
        <v>0</v>
      </c>
    </row>
    <row r="1769">
      <c r="A1769" s="16" t="s">
        <v>223</v>
      </c>
      <c r="B1769" s="99" t="s">
        <v>1980</v>
      </c>
      <c r="C1769" s="174">
        <v>75.0</v>
      </c>
      <c r="D1769" s="175">
        <v>45107.0</v>
      </c>
      <c r="E1769" s="99">
        <v>124.0</v>
      </c>
      <c r="F1769" s="208">
        <v>2023.06</v>
      </c>
      <c r="G1769" s="208" t="s">
        <v>52</v>
      </c>
      <c r="H1769" s="99" t="s">
        <v>1264</v>
      </c>
      <c r="I1769" s="99" t="s">
        <v>1979</v>
      </c>
      <c r="J1769" s="194"/>
      <c r="K1769" s="177">
        <v>45078.0</v>
      </c>
      <c r="L1769" s="206" t="b">
        <v>0</v>
      </c>
    </row>
    <row r="1770">
      <c r="A1770" s="4" t="s">
        <v>225</v>
      </c>
      <c r="B1770" s="170" t="s">
        <v>1980</v>
      </c>
      <c r="C1770" s="171">
        <v>1860.0</v>
      </c>
      <c r="D1770" s="172">
        <v>45107.0</v>
      </c>
      <c r="E1770" s="170">
        <v>124.0</v>
      </c>
      <c r="F1770" s="207">
        <v>2023.06</v>
      </c>
      <c r="G1770" s="207" t="s">
        <v>52</v>
      </c>
      <c r="H1770" s="170" t="s">
        <v>1264</v>
      </c>
      <c r="I1770" s="170" t="s">
        <v>1979</v>
      </c>
      <c r="J1770" s="195"/>
      <c r="K1770" s="173">
        <v>45078.0</v>
      </c>
      <c r="L1770" s="204" t="b">
        <v>0</v>
      </c>
    </row>
    <row r="1771">
      <c r="A1771" s="16" t="s">
        <v>695</v>
      </c>
      <c r="B1771" s="99" t="s">
        <v>1980</v>
      </c>
      <c r="C1771" s="174">
        <v>45.0</v>
      </c>
      <c r="D1771" s="175">
        <v>45107.0</v>
      </c>
      <c r="E1771" s="99">
        <v>124.0</v>
      </c>
      <c r="F1771" s="208">
        <v>2023.06</v>
      </c>
      <c r="G1771" s="208" t="s">
        <v>52</v>
      </c>
      <c r="H1771" s="99" t="s">
        <v>1264</v>
      </c>
      <c r="I1771" s="99" t="s">
        <v>1979</v>
      </c>
      <c r="J1771" s="194"/>
      <c r="K1771" s="177">
        <v>45078.0</v>
      </c>
      <c r="L1771" s="206" t="b">
        <v>0</v>
      </c>
    </row>
    <row r="1772">
      <c r="A1772" s="4" t="s">
        <v>499</v>
      </c>
      <c r="B1772" s="170" t="s">
        <v>1980</v>
      </c>
      <c r="C1772" s="171">
        <v>100.0</v>
      </c>
      <c r="D1772" s="172">
        <v>45107.0</v>
      </c>
      <c r="E1772" s="170">
        <v>124.0</v>
      </c>
      <c r="F1772" s="207">
        <v>2023.06</v>
      </c>
      <c r="G1772" s="207" t="s">
        <v>52</v>
      </c>
      <c r="H1772" s="170" t="s">
        <v>1264</v>
      </c>
      <c r="I1772" s="170" t="s">
        <v>1979</v>
      </c>
      <c r="J1772" s="195"/>
      <c r="K1772" s="173">
        <v>45078.0</v>
      </c>
      <c r="L1772" s="204" t="b">
        <v>0</v>
      </c>
    </row>
    <row r="1773">
      <c r="A1773" s="16" t="s">
        <v>810</v>
      </c>
      <c r="B1773" s="99" t="s">
        <v>1980</v>
      </c>
      <c r="C1773" s="174">
        <v>60.0</v>
      </c>
      <c r="D1773" s="175">
        <v>45107.0</v>
      </c>
      <c r="E1773" s="99">
        <v>124.0</v>
      </c>
      <c r="F1773" s="208">
        <v>2023.06</v>
      </c>
      <c r="G1773" s="208" t="s">
        <v>52</v>
      </c>
      <c r="H1773" s="99" t="s">
        <v>1264</v>
      </c>
      <c r="I1773" s="99" t="s">
        <v>1979</v>
      </c>
      <c r="J1773" s="194"/>
      <c r="K1773" s="177">
        <v>45078.0</v>
      </c>
      <c r="L1773" s="206" t="b">
        <v>0</v>
      </c>
    </row>
    <row r="1774">
      <c r="A1774" s="4" t="s">
        <v>762</v>
      </c>
      <c r="B1774" s="170" t="s">
        <v>1980</v>
      </c>
      <c r="C1774" s="93">
        <f>60+262.5</f>
        <v>322.5</v>
      </c>
      <c r="D1774" s="172">
        <v>45107.0</v>
      </c>
      <c r="E1774" s="170">
        <v>124.0</v>
      </c>
      <c r="F1774" s="207">
        <v>2023.06</v>
      </c>
      <c r="G1774" s="207" t="s">
        <v>52</v>
      </c>
      <c r="H1774" s="170" t="s">
        <v>1264</v>
      </c>
      <c r="I1774" s="170" t="s">
        <v>1979</v>
      </c>
      <c r="J1774" s="195"/>
      <c r="K1774" s="173">
        <v>45078.0</v>
      </c>
      <c r="L1774" s="204" t="b">
        <v>0</v>
      </c>
    </row>
    <row r="1775">
      <c r="A1775" s="16" t="s">
        <v>788</v>
      </c>
      <c r="B1775" s="99" t="s">
        <v>1980</v>
      </c>
      <c r="C1775" s="174">
        <v>500.0</v>
      </c>
      <c r="D1775" s="175">
        <v>45107.0</v>
      </c>
      <c r="E1775" s="99">
        <v>124.0</v>
      </c>
      <c r="F1775" s="208">
        <v>2023.06</v>
      </c>
      <c r="G1775" s="208" t="s">
        <v>52</v>
      </c>
      <c r="H1775" s="99" t="s">
        <v>1264</v>
      </c>
      <c r="I1775" s="99" t="s">
        <v>1979</v>
      </c>
      <c r="J1775" s="194"/>
      <c r="K1775" s="177">
        <v>45078.0</v>
      </c>
      <c r="L1775" s="206" t="b">
        <v>0</v>
      </c>
    </row>
    <row r="1776">
      <c r="A1776" s="4" t="s">
        <v>795</v>
      </c>
      <c r="B1776" s="170" t="s">
        <v>1980</v>
      </c>
      <c r="C1776" s="171">
        <v>330.0</v>
      </c>
      <c r="D1776" s="172">
        <v>45107.0</v>
      </c>
      <c r="E1776" s="170">
        <v>124.0</v>
      </c>
      <c r="F1776" s="207">
        <v>2023.06</v>
      </c>
      <c r="G1776" s="207" t="s">
        <v>52</v>
      </c>
      <c r="H1776" s="170" t="s">
        <v>1264</v>
      </c>
      <c r="I1776" s="170" t="s">
        <v>1979</v>
      </c>
      <c r="J1776" s="195"/>
      <c r="K1776" s="173">
        <v>45078.0</v>
      </c>
      <c r="L1776" s="204" t="b">
        <v>0</v>
      </c>
    </row>
    <row r="1777">
      <c r="A1777" s="16" t="s">
        <v>861</v>
      </c>
      <c r="B1777" s="99" t="s">
        <v>1980</v>
      </c>
      <c r="C1777" s="174">
        <v>420.0</v>
      </c>
      <c r="D1777" s="175">
        <v>45107.0</v>
      </c>
      <c r="E1777" s="99">
        <v>124.0</v>
      </c>
      <c r="F1777" s="208">
        <v>2023.06</v>
      </c>
      <c r="G1777" s="208" t="s">
        <v>52</v>
      </c>
      <c r="H1777" s="99" t="s">
        <v>1264</v>
      </c>
      <c r="I1777" s="99" t="s">
        <v>1979</v>
      </c>
      <c r="J1777" s="194"/>
      <c r="K1777" s="177">
        <v>45078.0</v>
      </c>
      <c r="L1777" s="206" t="b">
        <v>0</v>
      </c>
    </row>
    <row r="1778">
      <c r="A1778" s="4" t="s">
        <v>963</v>
      </c>
      <c r="B1778" s="170" t="s">
        <v>1980</v>
      </c>
      <c r="C1778" s="171">
        <v>210.0</v>
      </c>
      <c r="D1778" s="172">
        <v>45107.0</v>
      </c>
      <c r="E1778" s="170">
        <v>124.0</v>
      </c>
      <c r="F1778" s="207">
        <v>2023.06</v>
      </c>
      <c r="G1778" s="207" t="s">
        <v>52</v>
      </c>
      <c r="H1778" s="170" t="s">
        <v>1264</v>
      </c>
      <c r="I1778" s="170" t="s">
        <v>1979</v>
      </c>
      <c r="J1778" s="195"/>
      <c r="K1778" s="173">
        <v>45078.0</v>
      </c>
      <c r="L1778" s="204" t="b">
        <v>0</v>
      </c>
    </row>
    <row r="1779">
      <c r="A1779" s="16" t="s">
        <v>966</v>
      </c>
      <c r="B1779" s="99" t="s">
        <v>1980</v>
      </c>
      <c r="C1779" s="174">
        <v>375.0</v>
      </c>
      <c r="D1779" s="175">
        <v>45107.0</v>
      </c>
      <c r="E1779" s="99">
        <v>124.0</v>
      </c>
      <c r="F1779" s="208">
        <v>2023.06</v>
      </c>
      <c r="G1779" s="208" t="s">
        <v>52</v>
      </c>
      <c r="H1779" s="99" t="s">
        <v>1264</v>
      </c>
      <c r="I1779" s="99" t="s">
        <v>1979</v>
      </c>
      <c r="J1779" s="194"/>
      <c r="K1779" s="177">
        <v>45078.0</v>
      </c>
      <c r="L1779" s="206" t="b">
        <v>0</v>
      </c>
    </row>
    <row r="1780">
      <c r="A1780" s="4" t="s">
        <v>979</v>
      </c>
      <c r="B1780" s="170" t="s">
        <v>1980</v>
      </c>
      <c r="C1780" s="171">
        <v>400.0</v>
      </c>
      <c r="D1780" s="172">
        <v>45107.0</v>
      </c>
      <c r="E1780" s="170">
        <v>124.0</v>
      </c>
      <c r="F1780" s="207">
        <v>2023.0</v>
      </c>
      <c r="G1780" s="207" t="s">
        <v>1160</v>
      </c>
      <c r="H1780" s="170" t="s">
        <v>1264</v>
      </c>
      <c r="I1780" s="170" t="s">
        <v>1979</v>
      </c>
      <c r="J1780" s="195"/>
      <c r="K1780" s="173">
        <v>45078.0</v>
      </c>
      <c r="L1780" s="204" t="b">
        <v>0</v>
      </c>
    </row>
    <row r="1781">
      <c r="A1781" s="16" t="s">
        <v>115</v>
      </c>
      <c r="B1781" s="99" t="s">
        <v>1982</v>
      </c>
      <c r="C1781" s="174">
        <v>662.5</v>
      </c>
      <c r="D1781" s="175">
        <v>45107.0</v>
      </c>
      <c r="E1781" s="99" t="s">
        <v>2137</v>
      </c>
      <c r="F1781" s="208">
        <v>2023.06</v>
      </c>
      <c r="G1781" s="208" t="s">
        <v>52</v>
      </c>
      <c r="H1781" s="99" t="s">
        <v>1264</v>
      </c>
      <c r="I1781" s="99" t="s">
        <v>1979</v>
      </c>
      <c r="J1781" s="194"/>
      <c r="K1781" s="177">
        <v>45078.0</v>
      </c>
      <c r="L1781" s="206" t="b">
        <v>0</v>
      </c>
    </row>
    <row r="1782">
      <c r="A1782" s="4" t="s">
        <v>118</v>
      </c>
      <c r="B1782" s="170" t="s">
        <v>1982</v>
      </c>
      <c r="C1782" s="171">
        <v>662.5</v>
      </c>
      <c r="D1782" s="172">
        <v>45107.0</v>
      </c>
      <c r="E1782" s="170" t="s">
        <v>2137</v>
      </c>
      <c r="F1782" s="207">
        <v>2023.06</v>
      </c>
      <c r="G1782" s="207" t="s">
        <v>52</v>
      </c>
      <c r="H1782" s="170" t="s">
        <v>1264</v>
      </c>
      <c r="I1782" s="170" t="s">
        <v>1979</v>
      </c>
      <c r="J1782" s="195"/>
      <c r="K1782" s="173">
        <v>45078.0</v>
      </c>
      <c r="L1782" s="204" t="b">
        <v>0</v>
      </c>
    </row>
    <row r="1783">
      <c r="A1783" s="16" t="s">
        <v>92</v>
      </c>
      <c r="B1783" s="99" t="s">
        <v>1982</v>
      </c>
      <c r="C1783" s="174">
        <v>662.5</v>
      </c>
      <c r="D1783" s="175">
        <v>45107.0</v>
      </c>
      <c r="E1783" s="99" t="s">
        <v>2137</v>
      </c>
      <c r="F1783" s="208">
        <v>2023.06</v>
      </c>
      <c r="G1783" s="208" t="s">
        <v>52</v>
      </c>
      <c r="H1783" s="99" t="s">
        <v>1264</v>
      </c>
      <c r="I1783" s="99" t="s">
        <v>1979</v>
      </c>
      <c r="J1783" s="194"/>
      <c r="K1783" s="177">
        <v>45078.0</v>
      </c>
      <c r="L1783" s="206" t="b">
        <v>0</v>
      </c>
    </row>
    <row r="1784">
      <c r="A1784" s="4" t="s">
        <v>123</v>
      </c>
      <c r="B1784" s="170" t="s">
        <v>1982</v>
      </c>
      <c r="C1784" s="171">
        <v>825.0</v>
      </c>
      <c r="D1784" s="172">
        <v>45107.0</v>
      </c>
      <c r="E1784" s="170" t="s">
        <v>2137</v>
      </c>
      <c r="F1784" s="207">
        <v>2023.06</v>
      </c>
      <c r="G1784" s="207" t="s">
        <v>52</v>
      </c>
      <c r="H1784" s="170" t="s">
        <v>1264</v>
      </c>
      <c r="I1784" s="170" t="s">
        <v>1979</v>
      </c>
      <c r="J1784" s="195"/>
      <c r="K1784" s="173">
        <v>45078.0</v>
      </c>
      <c r="L1784" s="204" t="b">
        <v>0</v>
      </c>
    </row>
    <row r="1785">
      <c r="A1785" s="16" t="s">
        <v>62</v>
      </c>
      <c r="B1785" s="99" t="s">
        <v>1982</v>
      </c>
      <c r="C1785" s="174">
        <v>450.0</v>
      </c>
      <c r="D1785" s="175">
        <v>45107.0</v>
      </c>
      <c r="E1785" s="99" t="s">
        <v>2137</v>
      </c>
      <c r="F1785" s="208">
        <v>2023.06</v>
      </c>
      <c r="G1785" s="208" t="s">
        <v>52</v>
      </c>
      <c r="H1785" s="99" t="s">
        <v>1264</v>
      </c>
      <c r="I1785" s="99" t="s">
        <v>1979</v>
      </c>
      <c r="J1785" s="194"/>
      <c r="K1785" s="177">
        <v>45078.0</v>
      </c>
      <c r="L1785" s="206" t="b">
        <v>0</v>
      </c>
    </row>
    <row r="1786">
      <c r="A1786" s="4" t="s">
        <v>1018</v>
      </c>
      <c r="B1786" s="170" t="s">
        <v>1982</v>
      </c>
      <c r="C1786" s="171">
        <v>250.0</v>
      </c>
      <c r="D1786" s="172">
        <v>45107.0</v>
      </c>
      <c r="E1786" s="170" t="s">
        <v>2137</v>
      </c>
      <c r="F1786" s="207">
        <v>2023.0</v>
      </c>
      <c r="G1786" s="207" t="s">
        <v>1160</v>
      </c>
      <c r="H1786" s="170" t="s">
        <v>1264</v>
      </c>
      <c r="I1786" s="170" t="s">
        <v>1979</v>
      </c>
      <c r="J1786" s="198" t="s">
        <v>2142</v>
      </c>
      <c r="K1786" s="173">
        <v>45078.0</v>
      </c>
      <c r="L1786" s="204" t="b">
        <v>0</v>
      </c>
    </row>
    <row r="1787">
      <c r="A1787" s="16" t="s">
        <v>102</v>
      </c>
      <c r="B1787" s="99" t="s">
        <v>1987</v>
      </c>
      <c r="C1787" s="174">
        <v>150.0</v>
      </c>
      <c r="D1787" s="175">
        <v>45107.0</v>
      </c>
      <c r="E1787" s="99">
        <v>1034.0</v>
      </c>
      <c r="F1787" s="208">
        <v>2023.06</v>
      </c>
      <c r="G1787" s="208" t="s">
        <v>52</v>
      </c>
      <c r="H1787" s="99" t="s">
        <v>1264</v>
      </c>
      <c r="I1787" s="99" t="s">
        <v>1979</v>
      </c>
      <c r="J1787" s="194"/>
      <c r="K1787" s="177">
        <v>45078.0</v>
      </c>
      <c r="L1787" s="206" t="b">
        <v>0</v>
      </c>
    </row>
    <row r="1788">
      <c r="A1788" s="4" t="s">
        <v>54</v>
      </c>
      <c r="B1788" s="170" t="s">
        <v>1985</v>
      </c>
      <c r="C1788" s="171">
        <v>387.5</v>
      </c>
      <c r="D1788" s="172">
        <v>45107.0</v>
      </c>
      <c r="E1788" s="170">
        <v>35.0</v>
      </c>
      <c r="F1788" s="207">
        <v>2023.06</v>
      </c>
      <c r="G1788" s="207" t="s">
        <v>52</v>
      </c>
      <c r="H1788" s="170" t="s">
        <v>1264</v>
      </c>
      <c r="I1788" s="170" t="s">
        <v>1979</v>
      </c>
      <c r="J1788" s="195"/>
      <c r="K1788" s="173">
        <v>45078.0</v>
      </c>
      <c r="L1788" s="204" t="b">
        <v>0</v>
      </c>
    </row>
    <row r="1789">
      <c r="A1789" s="16" t="s">
        <v>120</v>
      </c>
      <c r="B1789" s="99" t="s">
        <v>1985</v>
      </c>
      <c r="C1789" s="174">
        <v>350.0</v>
      </c>
      <c r="D1789" s="175">
        <v>45107.0</v>
      </c>
      <c r="E1789" s="99">
        <v>35.0</v>
      </c>
      <c r="F1789" s="208">
        <v>2023.06</v>
      </c>
      <c r="G1789" s="208" t="s">
        <v>52</v>
      </c>
      <c r="H1789" s="99" t="s">
        <v>1264</v>
      </c>
      <c r="I1789" s="99" t="s">
        <v>1979</v>
      </c>
      <c r="J1789" s="194"/>
      <c r="K1789" s="177">
        <v>45078.0</v>
      </c>
      <c r="L1789" s="206" t="b">
        <v>0</v>
      </c>
    </row>
    <row r="1790">
      <c r="A1790" s="4" t="s">
        <v>499</v>
      </c>
      <c r="B1790" s="170" t="s">
        <v>1985</v>
      </c>
      <c r="C1790" s="171">
        <v>300.0</v>
      </c>
      <c r="D1790" s="172">
        <v>45107.0</v>
      </c>
      <c r="E1790" s="170">
        <v>35.0</v>
      </c>
      <c r="F1790" s="207">
        <v>2023.06</v>
      </c>
      <c r="G1790" s="207" t="s">
        <v>52</v>
      </c>
      <c r="H1790" s="170" t="s">
        <v>1264</v>
      </c>
      <c r="I1790" s="170" t="s">
        <v>1979</v>
      </c>
      <c r="J1790" s="195"/>
      <c r="K1790" s="173">
        <v>45078.0</v>
      </c>
      <c r="L1790" s="204" t="b">
        <v>0</v>
      </c>
    </row>
    <row r="1791">
      <c r="A1791" s="16" t="s">
        <v>966</v>
      </c>
      <c r="B1791" s="99" t="s">
        <v>1985</v>
      </c>
      <c r="C1791" s="174">
        <f>537.5+15</f>
        <v>552.5</v>
      </c>
      <c r="D1791" s="175">
        <v>45107.0</v>
      </c>
      <c r="E1791" s="99">
        <v>35.0</v>
      </c>
      <c r="F1791" s="208">
        <v>2023.06</v>
      </c>
      <c r="G1791" s="208" t="s">
        <v>52</v>
      </c>
      <c r="H1791" s="99" t="s">
        <v>1264</v>
      </c>
      <c r="I1791" s="99" t="s">
        <v>1979</v>
      </c>
      <c r="J1791" s="194"/>
      <c r="K1791" s="177">
        <v>45078.0</v>
      </c>
      <c r="L1791" s="206" t="b">
        <v>0</v>
      </c>
    </row>
    <row r="1792">
      <c r="A1792" s="4" t="s">
        <v>788</v>
      </c>
      <c r="B1792" s="170" t="s">
        <v>1985</v>
      </c>
      <c r="C1792" s="171">
        <v>265.0</v>
      </c>
      <c r="D1792" s="172">
        <v>45107.0</v>
      </c>
      <c r="E1792" s="170">
        <v>35.0</v>
      </c>
      <c r="F1792" s="207">
        <v>2023.06</v>
      </c>
      <c r="G1792" s="207" t="s">
        <v>52</v>
      </c>
      <c r="H1792" s="170" t="s">
        <v>1264</v>
      </c>
      <c r="I1792" s="170" t="s">
        <v>1979</v>
      </c>
      <c r="J1792" s="195"/>
      <c r="K1792" s="173">
        <v>45078.0</v>
      </c>
      <c r="L1792" s="204" t="b">
        <v>0</v>
      </c>
    </row>
    <row r="1793">
      <c r="A1793" s="16" t="s">
        <v>662</v>
      </c>
      <c r="B1793" s="99" t="s">
        <v>1985</v>
      </c>
      <c r="C1793" s="174">
        <v>200.0</v>
      </c>
      <c r="D1793" s="175">
        <v>45107.0</v>
      </c>
      <c r="E1793" s="99">
        <v>35.0</v>
      </c>
      <c r="F1793" s="208">
        <v>2023.06</v>
      </c>
      <c r="G1793" s="208" t="s">
        <v>52</v>
      </c>
      <c r="H1793" s="99" t="s">
        <v>1264</v>
      </c>
      <c r="I1793" s="99" t="s">
        <v>1979</v>
      </c>
      <c r="J1793" s="194"/>
      <c r="K1793" s="177">
        <v>45078.0</v>
      </c>
      <c r="L1793" s="206" t="b">
        <v>0</v>
      </c>
    </row>
    <row r="1794">
      <c r="A1794" s="4" t="s">
        <v>1014</v>
      </c>
      <c r="B1794" s="170" t="s">
        <v>1985</v>
      </c>
      <c r="C1794" s="171">
        <v>315.0</v>
      </c>
      <c r="D1794" s="172">
        <v>45107.0</v>
      </c>
      <c r="E1794" s="170">
        <v>35.0</v>
      </c>
      <c r="F1794" s="207">
        <v>2023.0</v>
      </c>
      <c r="G1794" s="207" t="s">
        <v>1160</v>
      </c>
      <c r="H1794" s="170" t="s">
        <v>1264</v>
      </c>
      <c r="I1794" s="170" t="s">
        <v>1979</v>
      </c>
      <c r="J1794" s="195"/>
      <c r="K1794" s="173">
        <v>45078.0</v>
      </c>
      <c r="L1794" s="204" t="b">
        <v>0</v>
      </c>
    </row>
    <row r="1795">
      <c r="A1795" s="16" t="s">
        <v>1266</v>
      </c>
      <c r="B1795" s="99" t="s">
        <v>1976</v>
      </c>
      <c r="C1795" s="174">
        <v>3.13</v>
      </c>
      <c r="D1795" s="175">
        <v>45123.0</v>
      </c>
      <c r="E1795" s="97"/>
      <c r="F1795" s="208">
        <v>2023.0</v>
      </c>
      <c r="G1795" s="208" t="s">
        <v>1152</v>
      </c>
      <c r="H1795" s="99" t="s">
        <v>1264</v>
      </c>
      <c r="I1795" s="99" t="s">
        <v>1267</v>
      </c>
      <c r="J1795" s="194"/>
      <c r="K1795" s="177">
        <v>45078.0</v>
      </c>
      <c r="L1795" s="206" t="b">
        <v>0</v>
      </c>
    </row>
    <row r="1796">
      <c r="A1796" s="4" t="s">
        <v>1266</v>
      </c>
      <c r="B1796" s="170" t="s">
        <v>1998</v>
      </c>
      <c r="C1796" s="171">
        <v>135.93</v>
      </c>
      <c r="D1796" s="172">
        <v>45123.0</v>
      </c>
      <c r="E1796" s="94"/>
      <c r="F1796" s="207">
        <v>2023.0</v>
      </c>
      <c r="G1796" s="207" t="s">
        <v>1152</v>
      </c>
      <c r="H1796" s="170" t="s">
        <v>1264</v>
      </c>
      <c r="I1796" s="170" t="s">
        <v>1267</v>
      </c>
      <c r="J1796" s="195"/>
      <c r="K1796" s="173">
        <v>45078.0</v>
      </c>
      <c r="L1796" s="204" t="b">
        <v>0</v>
      </c>
    </row>
    <row r="1797">
      <c r="A1797" s="16" t="s">
        <v>1269</v>
      </c>
      <c r="B1797" s="99" t="s">
        <v>2026</v>
      </c>
      <c r="C1797" s="174">
        <v>277.77</v>
      </c>
      <c r="D1797" s="175">
        <v>45123.0</v>
      </c>
      <c r="E1797" s="97"/>
      <c r="F1797" s="208">
        <v>2023.0</v>
      </c>
      <c r="G1797" s="208" t="s">
        <v>1152</v>
      </c>
      <c r="H1797" s="99" t="s">
        <v>1264</v>
      </c>
      <c r="I1797" s="99" t="s">
        <v>1270</v>
      </c>
      <c r="J1797" s="194"/>
      <c r="K1797" s="177">
        <v>45078.0</v>
      </c>
      <c r="L1797" s="206" t="b">
        <v>0</v>
      </c>
    </row>
    <row r="1798">
      <c r="A1798" s="4" t="s">
        <v>1266</v>
      </c>
      <c r="B1798" s="170" t="s">
        <v>1994</v>
      </c>
      <c r="C1798" s="171">
        <v>14.67</v>
      </c>
      <c r="D1798" s="172">
        <v>45123.0</v>
      </c>
      <c r="E1798" s="94"/>
      <c r="F1798" s="207">
        <v>2023.0</v>
      </c>
      <c r="G1798" s="207" t="s">
        <v>1152</v>
      </c>
      <c r="H1798" s="170" t="s">
        <v>1264</v>
      </c>
      <c r="I1798" s="170" t="s">
        <v>1267</v>
      </c>
      <c r="J1798" s="195"/>
      <c r="K1798" s="173">
        <v>45078.0</v>
      </c>
      <c r="L1798" s="204" t="b">
        <v>0</v>
      </c>
    </row>
    <row r="1799">
      <c r="A1799" s="16" t="s">
        <v>1269</v>
      </c>
      <c r="B1799" s="99" t="s">
        <v>2026</v>
      </c>
      <c r="C1799" s="174">
        <v>144.6</v>
      </c>
      <c r="D1799" s="175">
        <v>45123.0</v>
      </c>
      <c r="E1799" s="97"/>
      <c r="F1799" s="208">
        <v>2023.0</v>
      </c>
      <c r="G1799" s="208" t="s">
        <v>1152</v>
      </c>
      <c r="H1799" s="99" t="s">
        <v>1264</v>
      </c>
      <c r="I1799" s="99" t="s">
        <v>1270</v>
      </c>
      <c r="J1799" s="194"/>
      <c r="K1799" s="177">
        <v>45078.0</v>
      </c>
      <c r="L1799" s="206" t="b">
        <v>0</v>
      </c>
    </row>
    <row r="1800">
      <c r="A1800" s="4" t="s">
        <v>1269</v>
      </c>
      <c r="B1800" s="170" t="s">
        <v>2128</v>
      </c>
      <c r="C1800" s="171">
        <v>39.37</v>
      </c>
      <c r="D1800" s="172">
        <v>45123.0</v>
      </c>
      <c r="E1800" s="94"/>
      <c r="F1800" s="207">
        <v>2023.0</v>
      </c>
      <c r="G1800" s="207" t="s">
        <v>1152</v>
      </c>
      <c r="H1800" s="170" t="s">
        <v>1264</v>
      </c>
      <c r="I1800" s="170" t="s">
        <v>1270</v>
      </c>
      <c r="J1800" s="195"/>
      <c r="K1800" s="173">
        <v>45078.0</v>
      </c>
      <c r="L1800" s="204" t="b">
        <v>0</v>
      </c>
    </row>
    <row r="1801">
      <c r="A1801" s="16" t="s">
        <v>1266</v>
      </c>
      <c r="B1801" s="99" t="s">
        <v>1976</v>
      </c>
      <c r="C1801" s="174">
        <v>69.89</v>
      </c>
      <c r="D1801" s="175">
        <v>45123.0</v>
      </c>
      <c r="E1801" s="97"/>
      <c r="F1801" s="208">
        <v>2023.0</v>
      </c>
      <c r="G1801" s="208" t="s">
        <v>1152</v>
      </c>
      <c r="H1801" s="99" t="s">
        <v>1264</v>
      </c>
      <c r="I1801" s="99" t="s">
        <v>1267</v>
      </c>
      <c r="J1801" s="81" t="s">
        <v>2109</v>
      </c>
      <c r="K1801" s="177">
        <v>45078.0</v>
      </c>
      <c r="L1801" s="206" t="b">
        <v>0</v>
      </c>
    </row>
    <row r="1802">
      <c r="A1802" s="4" t="s">
        <v>1266</v>
      </c>
      <c r="B1802" s="170" t="s">
        <v>1976</v>
      </c>
      <c r="C1802" s="171">
        <v>3.13</v>
      </c>
      <c r="D1802" s="172">
        <v>45123.0</v>
      </c>
      <c r="E1802" s="94"/>
      <c r="F1802" s="207">
        <v>2023.0</v>
      </c>
      <c r="G1802" s="207" t="s">
        <v>1152</v>
      </c>
      <c r="H1802" s="170" t="s">
        <v>1264</v>
      </c>
      <c r="I1802" s="170" t="s">
        <v>1267</v>
      </c>
      <c r="J1802" s="195"/>
      <c r="K1802" s="173">
        <v>45078.0</v>
      </c>
      <c r="L1802" s="204" t="b">
        <v>0</v>
      </c>
    </row>
    <row r="1803">
      <c r="A1803" s="16" t="s">
        <v>1266</v>
      </c>
      <c r="B1803" s="99" t="s">
        <v>1998</v>
      </c>
      <c r="C1803" s="174">
        <v>152.17</v>
      </c>
      <c r="D1803" s="175">
        <v>45123.0</v>
      </c>
      <c r="E1803" s="97"/>
      <c r="F1803" s="208">
        <v>2023.0</v>
      </c>
      <c r="G1803" s="208" t="s">
        <v>1152</v>
      </c>
      <c r="H1803" s="99" t="s">
        <v>1264</v>
      </c>
      <c r="I1803" s="99" t="s">
        <v>1267</v>
      </c>
      <c r="J1803" s="194"/>
      <c r="K1803" s="177">
        <v>45078.0</v>
      </c>
      <c r="L1803" s="206" t="b">
        <v>0</v>
      </c>
    </row>
    <row r="1804">
      <c r="A1804" s="4" t="s">
        <v>223</v>
      </c>
      <c r="B1804" s="170" t="s">
        <v>2002</v>
      </c>
      <c r="C1804" s="171">
        <v>2.21</v>
      </c>
      <c r="D1804" s="172">
        <v>45107.0</v>
      </c>
      <c r="E1804" s="94"/>
      <c r="F1804" s="207">
        <v>2023.06</v>
      </c>
      <c r="G1804" s="207" t="s">
        <v>52</v>
      </c>
      <c r="H1804" s="170" t="s">
        <v>1999</v>
      </c>
      <c r="I1804" s="170" t="s">
        <v>1979</v>
      </c>
      <c r="J1804" s="195"/>
      <c r="K1804" s="173">
        <v>45078.0</v>
      </c>
      <c r="L1804" s="204" t="b">
        <v>0</v>
      </c>
    </row>
    <row r="1805">
      <c r="A1805" s="16" t="s">
        <v>915</v>
      </c>
      <c r="B1805" s="99" t="s">
        <v>2002</v>
      </c>
      <c r="C1805" s="174">
        <v>75.03</v>
      </c>
      <c r="D1805" s="175">
        <v>45107.0</v>
      </c>
      <c r="E1805" s="97"/>
      <c r="F1805" s="208">
        <v>2023.0</v>
      </c>
      <c r="G1805" s="208" t="s">
        <v>1160</v>
      </c>
      <c r="H1805" s="99" t="s">
        <v>1999</v>
      </c>
      <c r="I1805" s="99" t="s">
        <v>1979</v>
      </c>
      <c r="J1805" s="194"/>
      <c r="K1805" s="177">
        <v>45078.0</v>
      </c>
      <c r="L1805" s="206" t="b">
        <v>0</v>
      </c>
    </row>
    <row r="1806">
      <c r="A1806" s="4" t="s">
        <v>54</v>
      </c>
      <c r="B1806" s="170" t="s">
        <v>2002</v>
      </c>
      <c r="C1806" s="171">
        <v>76.22</v>
      </c>
      <c r="D1806" s="172">
        <v>45107.0</v>
      </c>
      <c r="E1806" s="94"/>
      <c r="F1806" s="207">
        <v>2023.06</v>
      </c>
      <c r="G1806" s="207" t="s">
        <v>52</v>
      </c>
      <c r="H1806" s="170" t="s">
        <v>1999</v>
      </c>
      <c r="I1806" s="170" t="s">
        <v>1979</v>
      </c>
      <c r="J1806" s="195"/>
      <c r="K1806" s="173">
        <v>45078.0</v>
      </c>
      <c r="L1806" s="204" t="b">
        <v>0</v>
      </c>
    </row>
    <row r="1807">
      <c r="A1807" s="16" t="s">
        <v>120</v>
      </c>
      <c r="B1807" s="99" t="s">
        <v>2002</v>
      </c>
      <c r="C1807" s="174">
        <v>189.19</v>
      </c>
      <c r="D1807" s="175">
        <v>45107.0</v>
      </c>
      <c r="E1807" s="97"/>
      <c r="F1807" s="208">
        <v>2023.06</v>
      </c>
      <c r="G1807" s="208" t="s">
        <v>52</v>
      </c>
      <c r="H1807" s="99" t="s">
        <v>1999</v>
      </c>
      <c r="I1807" s="99" t="s">
        <v>1979</v>
      </c>
      <c r="J1807" s="194"/>
      <c r="K1807" s="177">
        <v>45078.0</v>
      </c>
      <c r="L1807" s="206" t="b">
        <v>0</v>
      </c>
    </row>
    <row r="1808">
      <c r="A1808" s="4" t="s">
        <v>120</v>
      </c>
      <c r="B1808" s="170" t="s">
        <v>2002</v>
      </c>
      <c r="C1808" s="171">
        <v>25.6</v>
      </c>
      <c r="D1808" s="172">
        <v>45107.0</v>
      </c>
      <c r="E1808" s="94"/>
      <c r="F1808" s="207">
        <v>2023.06</v>
      </c>
      <c r="G1808" s="207" t="s">
        <v>52</v>
      </c>
      <c r="H1808" s="170" t="s">
        <v>1999</v>
      </c>
      <c r="I1808" s="170" t="s">
        <v>1979</v>
      </c>
      <c r="J1808" s="195"/>
      <c r="K1808" s="173">
        <v>45078.0</v>
      </c>
      <c r="L1808" s="204" t="b">
        <v>0</v>
      </c>
    </row>
    <row r="1809">
      <c r="A1809" s="16" t="s">
        <v>1031</v>
      </c>
      <c r="B1809" s="99" t="s">
        <v>2002</v>
      </c>
      <c r="C1809" s="174">
        <v>217.81</v>
      </c>
      <c r="D1809" s="175">
        <v>45107.0</v>
      </c>
      <c r="E1809" s="97"/>
      <c r="F1809" s="208">
        <v>2023.0</v>
      </c>
      <c r="G1809" s="208" t="s">
        <v>1160</v>
      </c>
      <c r="H1809" s="99" t="s">
        <v>1999</v>
      </c>
      <c r="I1809" s="99" t="s">
        <v>1979</v>
      </c>
      <c r="J1809" s="194"/>
      <c r="K1809" s="177">
        <v>45078.0</v>
      </c>
      <c r="L1809" s="206" t="b">
        <v>0</v>
      </c>
    </row>
    <row r="1810">
      <c r="A1810" s="4" t="s">
        <v>1018</v>
      </c>
      <c r="B1810" s="170" t="s">
        <v>2002</v>
      </c>
      <c r="C1810" s="171">
        <v>154.41</v>
      </c>
      <c r="D1810" s="172">
        <v>45107.0</v>
      </c>
      <c r="E1810" s="94"/>
      <c r="F1810" s="207">
        <v>2023.0</v>
      </c>
      <c r="G1810" s="207" t="s">
        <v>1160</v>
      </c>
      <c r="H1810" s="170" t="s">
        <v>1999</v>
      </c>
      <c r="I1810" s="170" t="s">
        <v>1979</v>
      </c>
      <c r="J1810" s="195"/>
      <c r="K1810" s="173">
        <v>45078.0</v>
      </c>
      <c r="L1810" s="204" t="b">
        <v>0</v>
      </c>
    </row>
    <row r="1811">
      <c r="A1811" s="16" t="s">
        <v>356</v>
      </c>
      <c r="B1811" s="99" t="s">
        <v>2002</v>
      </c>
      <c r="C1811" s="174">
        <v>56.81</v>
      </c>
      <c r="D1811" s="175">
        <v>45107.0</v>
      </c>
      <c r="E1811" s="97"/>
      <c r="F1811" s="208">
        <v>2023.0</v>
      </c>
      <c r="G1811" s="208" t="s">
        <v>1160</v>
      </c>
      <c r="H1811" s="99" t="s">
        <v>1999</v>
      </c>
      <c r="I1811" s="99" t="s">
        <v>1979</v>
      </c>
      <c r="J1811" s="194"/>
      <c r="K1811" s="177">
        <v>45078.0</v>
      </c>
      <c r="L1811" s="206" t="b">
        <v>0</v>
      </c>
    </row>
    <row r="1812">
      <c r="A1812" s="4" t="s">
        <v>1008</v>
      </c>
      <c r="B1812" s="170" t="s">
        <v>2002</v>
      </c>
      <c r="C1812" s="171">
        <v>100.05</v>
      </c>
      <c r="D1812" s="172">
        <v>45107.0</v>
      </c>
      <c r="E1812" s="94"/>
      <c r="F1812" s="207">
        <v>2023.0</v>
      </c>
      <c r="G1812" s="207" t="s">
        <v>1160</v>
      </c>
      <c r="H1812" s="170" t="s">
        <v>1999</v>
      </c>
      <c r="I1812" s="170" t="s">
        <v>1979</v>
      </c>
      <c r="J1812" s="195"/>
      <c r="K1812" s="173">
        <v>45078.0</v>
      </c>
      <c r="L1812" s="204" t="b">
        <v>0</v>
      </c>
    </row>
    <row r="1813">
      <c r="A1813" s="16" t="s">
        <v>587</v>
      </c>
      <c r="B1813" s="99" t="s">
        <v>2002</v>
      </c>
      <c r="C1813" s="174">
        <v>36.7</v>
      </c>
      <c r="D1813" s="175">
        <v>45107.0</v>
      </c>
      <c r="E1813" s="97"/>
      <c r="F1813" s="208">
        <v>2023.0</v>
      </c>
      <c r="G1813" s="208" t="s">
        <v>1160</v>
      </c>
      <c r="H1813" s="99" t="s">
        <v>1999</v>
      </c>
      <c r="I1813" s="99" t="s">
        <v>1979</v>
      </c>
      <c r="J1813" s="194"/>
      <c r="K1813" s="177">
        <v>45078.0</v>
      </c>
      <c r="L1813" s="206" t="b">
        <v>0</v>
      </c>
    </row>
    <row r="1814">
      <c r="A1814" s="4" t="s">
        <v>586</v>
      </c>
      <c r="B1814" s="170" t="s">
        <v>2002</v>
      </c>
      <c r="C1814" s="171">
        <v>773.89</v>
      </c>
      <c r="D1814" s="172">
        <v>45107.0</v>
      </c>
      <c r="E1814" s="94"/>
      <c r="F1814" s="207">
        <v>2023.0</v>
      </c>
      <c r="G1814" s="207" t="s">
        <v>1160</v>
      </c>
      <c r="H1814" s="170" t="s">
        <v>1999</v>
      </c>
      <c r="I1814" s="170" t="s">
        <v>1979</v>
      </c>
      <c r="J1814" s="195"/>
      <c r="K1814" s="173">
        <v>45078.0</v>
      </c>
      <c r="L1814" s="204" t="b">
        <v>0</v>
      </c>
    </row>
    <row r="1815">
      <c r="A1815" s="16" t="s">
        <v>499</v>
      </c>
      <c r="B1815" s="99" t="s">
        <v>2002</v>
      </c>
      <c r="C1815" s="174">
        <v>78.08</v>
      </c>
      <c r="D1815" s="175">
        <v>45107.0</v>
      </c>
      <c r="E1815" s="97"/>
      <c r="F1815" s="208">
        <v>2023.06</v>
      </c>
      <c r="G1815" s="208" t="s">
        <v>52</v>
      </c>
      <c r="H1815" s="99" t="s">
        <v>1999</v>
      </c>
      <c r="I1815" s="99" t="s">
        <v>1979</v>
      </c>
      <c r="J1815" s="194"/>
      <c r="K1815" s="177">
        <v>45078.0</v>
      </c>
      <c r="L1815" s="206" t="b">
        <v>0</v>
      </c>
    </row>
    <row r="1816">
      <c r="A1816" s="4" t="s">
        <v>82</v>
      </c>
      <c r="B1816" s="170" t="s">
        <v>2002</v>
      </c>
      <c r="C1816" s="171">
        <v>38.59</v>
      </c>
      <c r="D1816" s="172">
        <v>45107.0</v>
      </c>
      <c r="E1816" s="94"/>
      <c r="F1816" s="207">
        <v>2023.06</v>
      </c>
      <c r="G1816" s="207" t="s">
        <v>52</v>
      </c>
      <c r="H1816" s="170" t="s">
        <v>1999</v>
      </c>
      <c r="I1816" s="170" t="s">
        <v>1979</v>
      </c>
      <c r="J1816" s="195"/>
      <c r="K1816" s="173">
        <v>45078.0</v>
      </c>
      <c r="L1816" s="204" t="b">
        <v>0</v>
      </c>
    </row>
    <row r="1817">
      <c r="A1817" s="16" t="s">
        <v>70</v>
      </c>
      <c r="B1817" s="99" t="s">
        <v>2002</v>
      </c>
      <c r="C1817" s="174">
        <v>574.71</v>
      </c>
      <c r="D1817" s="175">
        <v>45107.0</v>
      </c>
      <c r="E1817" s="97"/>
      <c r="F1817" s="208">
        <v>2023.0</v>
      </c>
      <c r="G1817" s="208" t="s">
        <v>1160</v>
      </c>
      <c r="H1817" s="99" t="s">
        <v>1999</v>
      </c>
      <c r="I1817" s="99" t="s">
        <v>1979</v>
      </c>
      <c r="J1817" s="194"/>
      <c r="K1817" s="177">
        <v>45078.0</v>
      </c>
      <c r="L1817" s="206" t="b">
        <v>0</v>
      </c>
    </row>
    <row r="1818">
      <c r="A1818" s="4" t="s">
        <v>148</v>
      </c>
      <c r="B1818" s="170" t="s">
        <v>2002</v>
      </c>
      <c r="C1818" s="171">
        <v>82.26</v>
      </c>
      <c r="D1818" s="172">
        <v>45107.0</v>
      </c>
      <c r="E1818" s="94"/>
      <c r="F1818" s="207">
        <v>2023.0</v>
      </c>
      <c r="G1818" s="207" t="s">
        <v>1160</v>
      </c>
      <c r="H1818" s="170" t="s">
        <v>1999</v>
      </c>
      <c r="I1818" s="170" t="s">
        <v>1979</v>
      </c>
      <c r="J1818" s="195"/>
      <c r="K1818" s="173">
        <v>45078.0</v>
      </c>
      <c r="L1818" s="204" t="b">
        <v>0</v>
      </c>
    </row>
    <row r="1819">
      <c r="A1819" s="16" t="s">
        <v>1014</v>
      </c>
      <c r="B1819" s="99" t="s">
        <v>2002</v>
      </c>
      <c r="C1819" s="174">
        <v>136.96</v>
      </c>
      <c r="D1819" s="175">
        <v>45107.0</v>
      </c>
      <c r="E1819" s="97"/>
      <c r="F1819" s="208">
        <v>2023.0</v>
      </c>
      <c r="G1819" s="208" t="s">
        <v>1160</v>
      </c>
      <c r="H1819" s="99" t="s">
        <v>1999</v>
      </c>
      <c r="I1819" s="99" t="s">
        <v>1979</v>
      </c>
      <c r="J1819" s="194"/>
      <c r="K1819" s="177">
        <v>45078.0</v>
      </c>
      <c r="L1819" s="206" t="b">
        <v>0</v>
      </c>
    </row>
    <row r="1820">
      <c r="A1820" s="4" t="s">
        <v>1006</v>
      </c>
      <c r="B1820" s="170" t="s">
        <v>2002</v>
      </c>
      <c r="C1820" s="171">
        <v>375.14</v>
      </c>
      <c r="D1820" s="172">
        <v>45107.0</v>
      </c>
      <c r="E1820" s="94"/>
      <c r="F1820" s="207">
        <v>2023.0</v>
      </c>
      <c r="G1820" s="207" t="s">
        <v>1160</v>
      </c>
      <c r="H1820" s="170" t="s">
        <v>1999</v>
      </c>
      <c r="I1820" s="170" t="s">
        <v>1979</v>
      </c>
      <c r="J1820" s="195"/>
      <c r="K1820" s="173">
        <v>45078.0</v>
      </c>
      <c r="L1820" s="204" t="b">
        <v>0</v>
      </c>
    </row>
    <row r="1821">
      <c r="A1821" s="16" t="s">
        <v>549</v>
      </c>
      <c r="B1821" s="99" t="s">
        <v>2002</v>
      </c>
      <c r="C1821" s="174">
        <v>3.12</v>
      </c>
      <c r="D1821" s="175">
        <v>45107.0</v>
      </c>
      <c r="E1821" s="97"/>
      <c r="F1821" s="208">
        <v>2023.06</v>
      </c>
      <c r="G1821" s="208" t="s">
        <v>52</v>
      </c>
      <c r="H1821" s="99" t="s">
        <v>1999</v>
      </c>
      <c r="I1821" s="99" t="s">
        <v>1979</v>
      </c>
      <c r="J1821" s="194"/>
      <c r="K1821" s="177">
        <v>45078.0</v>
      </c>
      <c r="L1821" s="206" t="b">
        <v>0</v>
      </c>
    </row>
    <row r="1822">
      <c r="A1822" s="4" t="s">
        <v>88</v>
      </c>
      <c r="B1822" s="170" t="s">
        <v>2002</v>
      </c>
      <c r="C1822" s="171">
        <v>76.67</v>
      </c>
      <c r="D1822" s="172">
        <v>45107.0</v>
      </c>
      <c r="E1822" s="94"/>
      <c r="F1822" s="207">
        <v>2023.06</v>
      </c>
      <c r="G1822" s="207" t="s">
        <v>52</v>
      </c>
      <c r="H1822" s="170" t="s">
        <v>1999</v>
      </c>
      <c r="I1822" s="170" t="s">
        <v>1979</v>
      </c>
      <c r="J1822" s="195"/>
      <c r="K1822" s="173">
        <v>45078.0</v>
      </c>
      <c r="L1822" s="204" t="b">
        <v>0</v>
      </c>
    </row>
    <row r="1823">
      <c r="A1823" s="16" t="s">
        <v>1266</v>
      </c>
      <c r="B1823" s="99" t="s">
        <v>2002</v>
      </c>
      <c r="C1823" s="174">
        <v>515.51</v>
      </c>
      <c r="D1823" s="175">
        <v>45107.0</v>
      </c>
      <c r="E1823" s="97"/>
      <c r="F1823" s="208">
        <v>2023.0</v>
      </c>
      <c r="G1823" s="208" t="s">
        <v>1152</v>
      </c>
      <c r="H1823" s="99" t="s">
        <v>1999</v>
      </c>
      <c r="I1823" s="99" t="s">
        <v>1979</v>
      </c>
      <c r="J1823" s="194"/>
      <c r="K1823" s="177">
        <v>45078.0</v>
      </c>
      <c r="L1823" s="206" t="b">
        <v>0</v>
      </c>
    </row>
    <row r="1824">
      <c r="A1824" s="4" t="s">
        <v>1269</v>
      </c>
      <c r="B1824" s="170" t="s">
        <v>2002</v>
      </c>
      <c r="C1824" s="171">
        <v>25.84</v>
      </c>
      <c r="D1824" s="172">
        <v>45107.0</v>
      </c>
      <c r="E1824" s="94"/>
      <c r="F1824" s="207">
        <v>2023.0</v>
      </c>
      <c r="G1824" s="207" t="s">
        <v>1152</v>
      </c>
      <c r="H1824" s="170" t="s">
        <v>1999</v>
      </c>
      <c r="I1824" s="170" t="s">
        <v>1979</v>
      </c>
      <c r="J1824" s="195"/>
      <c r="K1824" s="173">
        <v>45078.0</v>
      </c>
      <c r="L1824" s="204" t="b">
        <v>0</v>
      </c>
    </row>
    <row r="1825">
      <c r="A1825" s="16" t="s">
        <v>50</v>
      </c>
      <c r="B1825" s="99" t="s">
        <v>2002</v>
      </c>
      <c r="C1825" s="174">
        <v>125.05</v>
      </c>
      <c r="D1825" s="175">
        <v>45107.0</v>
      </c>
      <c r="E1825" s="97"/>
      <c r="F1825" s="208">
        <v>2023.06</v>
      </c>
      <c r="G1825" s="208" t="s">
        <v>52</v>
      </c>
      <c r="H1825" s="99" t="s">
        <v>1999</v>
      </c>
      <c r="I1825" s="99" t="s">
        <v>1979</v>
      </c>
      <c r="J1825" s="194"/>
      <c r="K1825" s="177">
        <v>45078.0</v>
      </c>
      <c r="L1825" s="206" t="b">
        <v>0</v>
      </c>
    </row>
    <row r="1826">
      <c r="A1826" s="4" t="s">
        <v>1066</v>
      </c>
      <c r="B1826" s="170" t="s">
        <v>2002</v>
      </c>
      <c r="C1826" s="171">
        <v>110.4</v>
      </c>
      <c r="D1826" s="172">
        <v>45107.0</v>
      </c>
      <c r="E1826" s="94"/>
      <c r="F1826" s="207">
        <v>2023.0</v>
      </c>
      <c r="G1826" s="207" t="s">
        <v>1160</v>
      </c>
      <c r="H1826" s="170" t="s">
        <v>1999</v>
      </c>
      <c r="I1826" s="170" t="s">
        <v>1979</v>
      </c>
      <c r="J1826" s="195"/>
      <c r="K1826" s="173">
        <v>45078.0</v>
      </c>
      <c r="L1826" s="204" t="b">
        <v>0</v>
      </c>
    </row>
    <row r="1827">
      <c r="A1827" s="16" t="s">
        <v>92</v>
      </c>
      <c r="B1827" s="99" t="s">
        <v>2002</v>
      </c>
      <c r="C1827" s="174">
        <v>133.27</v>
      </c>
      <c r="D1827" s="175">
        <v>45107.0</v>
      </c>
      <c r="E1827" s="97"/>
      <c r="F1827" s="208">
        <v>2023.06</v>
      </c>
      <c r="G1827" s="208" t="s">
        <v>52</v>
      </c>
      <c r="H1827" s="99" t="s">
        <v>1999</v>
      </c>
      <c r="I1827" s="99" t="s">
        <v>1979</v>
      </c>
      <c r="J1827" s="194"/>
      <c r="K1827" s="177">
        <v>45078.0</v>
      </c>
      <c r="L1827" s="206" t="b">
        <v>0</v>
      </c>
    </row>
    <row r="1828">
      <c r="A1828" s="4" t="s">
        <v>1001</v>
      </c>
      <c r="B1828" s="170" t="s">
        <v>2002</v>
      </c>
      <c r="C1828" s="171">
        <v>155.85</v>
      </c>
      <c r="D1828" s="172">
        <v>45107.0</v>
      </c>
      <c r="E1828" s="94"/>
      <c r="F1828" s="207">
        <v>2023.0</v>
      </c>
      <c r="G1828" s="207" t="s">
        <v>1160</v>
      </c>
      <c r="H1828" s="170" t="s">
        <v>1999</v>
      </c>
      <c r="I1828" s="170" t="s">
        <v>1979</v>
      </c>
      <c r="J1828" s="195"/>
      <c r="K1828" s="173">
        <v>45078.0</v>
      </c>
      <c r="L1828" s="204" t="b">
        <v>0</v>
      </c>
    </row>
    <row r="1829">
      <c r="A1829" s="16" t="s">
        <v>584</v>
      </c>
      <c r="B1829" s="99" t="s">
        <v>2002</v>
      </c>
      <c r="C1829" s="174">
        <v>41.93</v>
      </c>
      <c r="D1829" s="175">
        <v>45107.0</v>
      </c>
      <c r="E1829" s="97"/>
      <c r="F1829" s="208">
        <v>2023.0</v>
      </c>
      <c r="G1829" s="208" t="s">
        <v>1160</v>
      </c>
      <c r="H1829" s="99" t="s">
        <v>1999</v>
      </c>
      <c r="I1829" s="99" t="s">
        <v>1979</v>
      </c>
      <c r="J1829" s="194"/>
      <c r="K1829" s="177">
        <v>45078.0</v>
      </c>
      <c r="L1829" s="206" t="b">
        <v>0</v>
      </c>
    </row>
    <row r="1830">
      <c r="A1830" s="4" t="s">
        <v>584</v>
      </c>
      <c r="B1830" s="170" t="s">
        <v>2002</v>
      </c>
      <c r="C1830" s="171">
        <v>3.56</v>
      </c>
      <c r="D1830" s="172">
        <v>45107.0</v>
      </c>
      <c r="E1830" s="94"/>
      <c r="F1830" s="207">
        <v>2023.0</v>
      </c>
      <c r="G1830" s="207" t="s">
        <v>1160</v>
      </c>
      <c r="H1830" s="170" t="s">
        <v>1999</v>
      </c>
      <c r="I1830" s="170" t="s">
        <v>1979</v>
      </c>
      <c r="J1830" s="195"/>
      <c r="K1830" s="173">
        <v>45078.0</v>
      </c>
      <c r="L1830" s="204" t="b">
        <v>0</v>
      </c>
    </row>
    <row r="1831">
      <c r="A1831" s="16" t="s">
        <v>587</v>
      </c>
      <c r="B1831" s="99" t="s">
        <v>2002</v>
      </c>
      <c r="C1831" s="174">
        <v>39.77</v>
      </c>
      <c r="D1831" s="175">
        <v>45107.0</v>
      </c>
      <c r="E1831" s="97"/>
      <c r="F1831" s="208">
        <v>2023.0</v>
      </c>
      <c r="G1831" s="208" t="s">
        <v>1160</v>
      </c>
      <c r="H1831" s="99" t="s">
        <v>1999</v>
      </c>
      <c r="I1831" s="99" t="s">
        <v>1979</v>
      </c>
      <c r="J1831" s="194"/>
      <c r="K1831" s="177">
        <v>45078.0</v>
      </c>
      <c r="L1831" s="206" t="b">
        <v>0</v>
      </c>
    </row>
    <row r="1832">
      <c r="A1832" s="4" t="s">
        <v>773</v>
      </c>
      <c r="B1832" s="170" t="s">
        <v>2002</v>
      </c>
      <c r="C1832" s="171">
        <v>261.56</v>
      </c>
      <c r="D1832" s="172">
        <v>45107.0</v>
      </c>
      <c r="E1832" s="94"/>
      <c r="F1832" s="207">
        <v>2023.0</v>
      </c>
      <c r="G1832" s="207" t="s">
        <v>1160</v>
      </c>
      <c r="H1832" s="170" t="s">
        <v>1999</v>
      </c>
      <c r="I1832" s="170" t="s">
        <v>1979</v>
      </c>
      <c r="J1832" s="195"/>
      <c r="K1832" s="173">
        <v>45078.0</v>
      </c>
      <c r="L1832" s="204" t="b">
        <v>0</v>
      </c>
    </row>
    <row r="1833">
      <c r="A1833" s="16" t="s">
        <v>118</v>
      </c>
      <c r="B1833" s="99" t="s">
        <v>2002</v>
      </c>
      <c r="C1833" s="174">
        <v>29.3</v>
      </c>
      <c r="D1833" s="175">
        <v>45107.0</v>
      </c>
      <c r="E1833" s="97"/>
      <c r="F1833" s="208">
        <v>2023.06</v>
      </c>
      <c r="G1833" s="208" t="s">
        <v>52</v>
      </c>
      <c r="H1833" s="99" t="s">
        <v>1999</v>
      </c>
      <c r="I1833" s="99" t="s">
        <v>1979</v>
      </c>
      <c r="J1833" s="194"/>
      <c r="K1833" s="177">
        <v>45078.0</v>
      </c>
      <c r="L1833" s="206" t="b">
        <v>0</v>
      </c>
    </row>
    <row r="1834">
      <c r="A1834" s="4" t="s">
        <v>966</v>
      </c>
      <c r="B1834" s="170" t="s">
        <v>2002</v>
      </c>
      <c r="C1834" s="171">
        <v>61.23</v>
      </c>
      <c r="D1834" s="172">
        <v>45107.0</v>
      </c>
      <c r="E1834" s="94"/>
      <c r="F1834" s="207">
        <v>2023.06</v>
      </c>
      <c r="G1834" s="207" t="s">
        <v>52</v>
      </c>
      <c r="H1834" s="170" t="s">
        <v>1999</v>
      </c>
      <c r="I1834" s="170" t="s">
        <v>1979</v>
      </c>
      <c r="J1834" s="195"/>
      <c r="K1834" s="173">
        <v>45078.0</v>
      </c>
      <c r="L1834" s="204" t="b">
        <v>0</v>
      </c>
    </row>
    <row r="1835">
      <c r="A1835" s="16" t="s">
        <v>118</v>
      </c>
      <c r="B1835" s="99" t="s">
        <v>1976</v>
      </c>
      <c r="C1835" s="174">
        <v>750.0</v>
      </c>
      <c r="D1835" s="175">
        <v>45095.0</v>
      </c>
      <c r="E1835" s="97"/>
      <c r="F1835" s="208">
        <v>2023.06</v>
      </c>
      <c r="G1835" s="208" t="s">
        <v>52</v>
      </c>
      <c r="H1835" s="99" t="s">
        <v>1999</v>
      </c>
      <c r="I1835" s="99" t="s">
        <v>1977</v>
      </c>
      <c r="J1835" s="194"/>
      <c r="K1835" s="177">
        <v>45078.0</v>
      </c>
      <c r="L1835" s="206" t="b">
        <v>0</v>
      </c>
    </row>
    <row r="1836">
      <c r="A1836" s="4" t="s">
        <v>115</v>
      </c>
      <c r="B1836" s="170" t="s">
        <v>1976</v>
      </c>
      <c r="C1836" s="171">
        <v>750.0</v>
      </c>
      <c r="D1836" s="172">
        <v>45095.0</v>
      </c>
      <c r="E1836" s="94"/>
      <c r="F1836" s="207">
        <v>2023.06</v>
      </c>
      <c r="G1836" s="207" t="s">
        <v>52</v>
      </c>
      <c r="H1836" s="170" t="s">
        <v>1999</v>
      </c>
      <c r="I1836" s="170" t="s">
        <v>1977</v>
      </c>
      <c r="J1836" s="195"/>
      <c r="K1836" s="173">
        <v>45078.0</v>
      </c>
      <c r="L1836" s="204" t="b">
        <v>0</v>
      </c>
    </row>
    <row r="1837">
      <c r="A1837" s="16" t="s">
        <v>92</v>
      </c>
      <c r="B1837" s="99" t="s">
        <v>1988</v>
      </c>
      <c r="C1837" s="174">
        <v>88.68</v>
      </c>
      <c r="D1837" s="175">
        <v>45102.0</v>
      </c>
      <c r="E1837" s="97"/>
      <c r="F1837" s="208">
        <v>2023.06</v>
      </c>
      <c r="G1837" s="208" t="s">
        <v>52</v>
      </c>
      <c r="H1837" s="99" t="s">
        <v>1999</v>
      </c>
      <c r="I1837" s="99" t="s">
        <v>1977</v>
      </c>
      <c r="J1837" s="194"/>
      <c r="K1837" s="177">
        <v>45078.0</v>
      </c>
      <c r="L1837" s="206" t="b">
        <v>0</v>
      </c>
    </row>
    <row r="1838">
      <c r="A1838" s="4" t="s">
        <v>118</v>
      </c>
      <c r="B1838" s="170" t="s">
        <v>1976</v>
      </c>
      <c r="C1838" s="171">
        <v>556.75</v>
      </c>
      <c r="D1838" s="172">
        <v>45108.0</v>
      </c>
      <c r="E1838" s="94"/>
      <c r="F1838" s="207">
        <v>2023.07</v>
      </c>
      <c r="G1838" s="207" t="s">
        <v>52</v>
      </c>
      <c r="H1838" s="170" t="s">
        <v>1999</v>
      </c>
      <c r="I1838" s="170" t="s">
        <v>1977</v>
      </c>
      <c r="J1838" s="195"/>
      <c r="K1838" s="173">
        <v>45078.0</v>
      </c>
      <c r="L1838" s="204" t="b">
        <v>0</v>
      </c>
    </row>
    <row r="1839">
      <c r="A1839" s="16" t="s">
        <v>115</v>
      </c>
      <c r="B1839" s="99" t="s">
        <v>1976</v>
      </c>
      <c r="C1839" s="174">
        <v>551.57</v>
      </c>
      <c r="D1839" s="175">
        <v>45108.0</v>
      </c>
      <c r="E1839" s="97"/>
      <c r="F1839" s="208">
        <v>2023.07</v>
      </c>
      <c r="G1839" s="208" t="s">
        <v>52</v>
      </c>
      <c r="H1839" s="99" t="s">
        <v>1999</v>
      </c>
      <c r="I1839" s="99" t="s">
        <v>1977</v>
      </c>
      <c r="J1839" s="194"/>
      <c r="K1839" s="177">
        <v>45078.0</v>
      </c>
      <c r="L1839" s="206" t="b">
        <v>0</v>
      </c>
    </row>
    <row r="1840">
      <c r="A1840" s="4" t="s">
        <v>42</v>
      </c>
      <c r="B1840" s="170" t="s">
        <v>1984</v>
      </c>
      <c r="C1840" s="171">
        <v>350.0</v>
      </c>
      <c r="D1840" s="172">
        <v>45077.0</v>
      </c>
      <c r="E1840" s="170">
        <v>4.0</v>
      </c>
      <c r="F1840" s="207">
        <v>2023.05</v>
      </c>
      <c r="G1840" s="207" t="s">
        <v>52</v>
      </c>
      <c r="H1840" s="170" t="s">
        <v>1264</v>
      </c>
      <c r="I1840" s="170" t="s">
        <v>1979</v>
      </c>
      <c r="J1840" s="195"/>
      <c r="K1840" s="173">
        <v>45078.0</v>
      </c>
      <c r="L1840" s="204" t="b">
        <v>0</v>
      </c>
    </row>
    <row r="1841">
      <c r="A1841" s="16" t="s">
        <v>42</v>
      </c>
      <c r="B1841" s="99" t="s">
        <v>1984</v>
      </c>
      <c r="C1841" s="174">
        <v>350.0</v>
      </c>
      <c r="D1841" s="175">
        <v>45107.0</v>
      </c>
      <c r="E1841" s="99">
        <v>5.0</v>
      </c>
      <c r="F1841" s="208">
        <v>2023.06</v>
      </c>
      <c r="G1841" s="208" t="s">
        <v>52</v>
      </c>
      <c r="H1841" s="99" t="s">
        <v>1264</v>
      </c>
      <c r="I1841" s="99" t="s">
        <v>1979</v>
      </c>
      <c r="J1841" s="194"/>
      <c r="K1841" s="177">
        <v>45078.0</v>
      </c>
      <c r="L1841" s="206" t="b">
        <v>0</v>
      </c>
    </row>
    <row r="1842">
      <c r="A1842" s="4" t="s">
        <v>1060</v>
      </c>
      <c r="B1842" s="170" t="s">
        <v>2143</v>
      </c>
      <c r="C1842" s="171">
        <v>750.0</v>
      </c>
      <c r="D1842" s="172">
        <v>45138.0</v>
      </c>
      <c r="E1842" s="188">
        <v>45108.0</v>
      </c>
      <c r="F1842" s="207">
        <v>2023.0</v>
      </c>
      <c r="G1842" s="207" t="s">
        <v>1160</v>
      </c>
      <c r="H1842" s="170" t="s">
        <v>1264</v>
      </c>
      <c r="I1842" s="170" t="s">
        <v>1979</v>
      </c>
      <c r="J1842" s="195"/>
      <c r="K1842" s="173">
        <v>45108.0</v>
      </c>
      <c r="L1842" s="204" t="b">
        <v>0</v>
      </c>
    </row>
    <row r="1843">
      <c r="A1843" s="16" t="s">
        <v>99</v>
      </c>
      <c r="B1843" s="99" t="s">
        <v>2036</v>
      </c>
      <c r="C1843" s="174">
        <v>400.0</v>
      </c>
      <c r="D1843" s="175">
        <v>45138.0</v>
      </c>
      <c r="E1843" s="189">
        <v>45108.0</v>
      </c>
      <c r="F1843" s="208">
        <v>2023.07</v>
      </c>
      <c r="G1843" s="208" t="s">
        <v>52</v>
      </c>
      <c r="H1843" s="99" t="s">
        <v>1264</v>
      </c>
      <c r="I1843" s="99" t="s">
        <v>1979</v>
      </c>
      <c r="J1843" s="194"/>
      <c r="K1843" s="177">
        <v>45108.0</v>
      </c>
      <c r="L1843" s="206" t="b">
        <v>0</v>
      </c>
    </row>
    <row r="1844">
      <c r="A1844" s="4" t="s">
        <v>42</v>
      </c>
      <c r="B1844" s="170" t="s">
        <v>2036</v>
      </c>
      <c r="C1844" s="171">
        <v>287.5</v>
      </c>
      <c r="D1844" s="172">
        <v>45138.0</v>
      </c>
      <c r="E1844" s="188">
        <v>45108.0</v>
      </c>
      <c r="F1844" s="207">
        <v>2023.07</v>
      </c>
      <c r="G1844" s="207" t="s">
        <v>52</v>
      </c>
      <c r="H1844" s="170" t="s">
        <v>1264</v>
      </c>
      <c r="I1844" s="170" t="s">
        <v>1979</v>
      </c>
      <c r="J1844" s="195"/>
      <c r="K1844" s="173">
        <v>45108.0</v>
      </c>
      <c r="L1844" s="204" t="b">
        <v>0</v>
      </c>
    </row>
    <row r="1845">
      <c r="A1845" s="16" t="s">
        <v>499</v>
      </c>
      <c r="B1845" s="99" t="s">
        <v>2036</v>
      </c>
      <c r="C1845" s="174">
        <v>200.0</v>
      </c>
      <c r="D1845" s="175">
        <v>45138.0</v>
      </c>
      <c r="E1845" s="189">
        <v>45108.0</v>
      </c>
      <c r="F1845" s="208">
        <v>2023.07</v>
      </c>
      <c r="G1845" s="208" t="s">
        <v>52</v>
      </c>
      <c r="H1845" s="99" t="s">
        <v>1264</v>
      </c>
      <c r="I1845" s="99" t="s">
        <v>1979</v>
      </c>
      <c r="J1845" s="194"/>
      <c r="K1845" s="177">
        <v>45108.0</v>
      </c>
      <c r="L1845" s="206" t="b">
        <v>0</v>
      </c>
    </row>
    <row r="1846">
      <c r="A1846" s="4" t="s">
        <v>861</v>
      </c>
      <c r="B1846" s="170" t="s">
        <v>2036</v>
      </c>
      <c r="C1846" s="171">
        <f>70+350</f>
        <v>420</v>
      </c>
      <c r="D1846" s="172">
        <v>45138.0</v>
      </c>
      <c r="E1846" s="188">
        <v>45108.0</v>
      </c>
      <c r="F1846" s="207">
        <v>2023.07</v>
      </c>
      <c r="G1846" s="207" t="s">
        <v>52</v>
      </c>
      <c r="H1846" s="170" t="s">
        <v>1264</v>
      </c>
      <c r="I1846" s="170" t="s">
        <v>1979</v>
      </c>
      <c r="J1846" s="195"/>
      <c r="K1846" s="173">
        <v>45108.0</v>
      </c>
      <c r="L1846" s="204" t="b">
        <v>0</v>
      </c>
    </row>
    <row r="1847">
      <c r="A1847" s="16" t="s">
        <v>963</v>
      </c>
      <c r="B1847" s="99" t="s">
        <v>2036</v>
      </c>
      <c r="C1847" s="174">
        <f>30+150</f>
        <v>180</v>
      </c>
      <c r="D1847" s="175">
        <v>45138.0</v>
      </c>
      <c r="E1847" s="189">
        <v>45108.0</v>
      </c>
      <c r="F1847" s="208">
        <v>2023.07</v>
      </c>
      <c r="G1847" s="208" t="s">
        <v>52</v>
      </c>
      <c r="H1847" s="99" t="s">
        <v>1264</v>
      </c>
      <c r="I1847" s="99" t="s">
        <v>1979</v>
      </c>
      <c r="J1847" s="194"/>
      <c r="K1847" s="177">
        <v>45108.0</v>
      </c>
      <c r="L1847" s="206" t="b">
        <v>0</v>
      </c>
    </row>
    <row r="1848">
      <c r="A1848" s="4" t="s">
        <v>1041</v>
      </c>
      <c r="B1848" s="170" t="s">
        <v>2036</v>
      </c>
      <c r="C1848" s="171">
        <v>362.5</v>
      </c>
      <c r="D1848" s="172">
        <v>45138.0</v>
      </c>
      <c r="E1848" s="188">
        <v>45108.0</v>
      </c>
      <c r="F1848" s="207">
        <v>2023.07</v>
      </c>
      <c r="G1848" s="207" t="s">
        <v>52</v>
      </c>
      <c r="H1848" s="170" t="s">
        <v>1264</v>
      </c>
      <c r="I1848" s="170" t="s">
        <v>1979</v>
      </c>
      <c r="J1848" s="195"/>
      <c r="K1848" s="173">
        <v>45108.0</v>
      </c>
      <c r="L1848" s="204" t="b">
        <v>0</v>
      </c>
    </row>
    <row r="1849">
      <c r="A1849" s="16" t="s">
        <v>662</v>
      </c>
      <c r="B1849" s="99" t="s">
        <v>2036</v>
      </c>
      <c r="C1849" s="174">
        <v>550.0</v>
      </c>
      <c r="D1849" s="175">
        <v>45138.0</v>
      </c>
      <c r="E1849" s="189">
        <v>45108.0</v>
      </c>
      <c r="F1849" s="208">
        <v>2023.07</v>
      </c>
      <c r="G1849" s="208" t="s">
        <v>52</v>
      </c>
      <c r="H1849" s="99" t="s">
        <v>1264</v>
      </c>
      <c r="I1849" s="99" t="s">
        <v>1979</v>
      </c>
      <c r="J1849" s="194"/>
      <c r="K1849" s="177">
        <v>45108.0</v>
      </c>
      <c r="L1849" s="206" t="b">
        <v>0</v>
      </c>
    </row>
    <row r="1850">
      <c r="A1850" s="4" t="s">
        <v>1066</v>
      </c>
      <c r="B1850" s="170" t="s">
        <v>1978</v>
      </c>
      <c r="C1850" s="171">
        <v>1037.5</v>
      </c>
      <c r="D1850" s="172">
        <v>45138.0</v>
      </c>
      <c r="E1850" s="188">
        <v>45108.0</v>
      </c>
      <c r="F1850" s="207">
        <v>2023.0</v>
      </c>
      <c r="G1850" s="207" t="s">
        <v>1160</v>
      </c>
      <c r="H1850" s="170" t="s">
        <v>1264</v>
      </c>
      <c r="I1850" s="170" t="s">
        <v>1979</v>
      </c>
      <c r="J1850" s="195"/>
      <c r="K1850" s="173">
        <v>45108.0</v>
      </c>
      <c r="L1850" s="204" t="b">
        <v>0</v>
      </c>
    </row>
    <row r="1851">
      <c r="A1851" s="16" t="s">
        <v>88</v>
      </c>
      <c r="B1851" s="99" t="s">
        <v>1978</v>
      </c>
      <c r="C1851" s="174">
        <v>212.5</v>
      </c>
      <c r="D1851" s="175">
        <v>45138.0</v>
      </c>
      <c r="E1851" s="189">
        <v>45108.0</v>
      </c>
      <c r="F1851" s="208">
        <v>2023.07</v>
      </c>
      <c r="G1851" s="208" t="s">
        <v>52</v>
      </c>
      <c r="H1851" s="99" t="s">
        <v>1264</v>
      </c>
      <c r="I1851" s="99" t="s">
        <v>1979</v>
      </c>
      <c r="J1851" s="194"/>
      <c r="K1851" s="177">
        <v>45108.0</v>
      </c>
      <c r="L1851" s="206" t="b">
        <v>0</v>
      </c>
    </row>
    <row r="1852">
      <c r="A1852" s="4" t="s">
        <v>73</v>
      </c>
      <c r="B1852" s="170" t="s">
        <v>1978</v>
      </c>
      <c r="C1852" s="171">
        <v>287.5</v>
      </c>
      <c r="D1852" s="172">
        <v>45138.0</v>
      </c>
      <c r="E1852" s="188">
        <v>45108.0</v>
      </c>
      <c r="F1852" s="207">
        <v>2023.07</v>
      </c>
      <c r="G1852" s="207" t="s">
        <v>52</v>
      </c>
      <c r="H1852" s="170" t="s">
        <v>1264</v>
      </c>
      <c r="I1852" s="170" t="s">
        <v>1979</v>
      </c>
      <c r="J1852" s="195"/>
      <c r="K1852" s="173">
        <v>45108.0</v>
      </c>
      <c r="L1852" s="204" t="b">
        <v>0</v>
      </c>
    </row>
    <row r="1853">
      <c r="A1853" s="16" t="s">
        <v>223</v>
      </c>
      <c r="B1853" s="99" t="s">
        <v>1978</v>
      </c>
      <c r="C1853" s="174">
        <v>300.0</v>
      </c>
      <c r="D1853" s="175">
        <v>45138.0</v>
      </c>
      <c r="E1853" s="189">
        <v>45108.0</v>
      </c>
      <c r="F1853" s="208">
        <v>2023.07</v>
      </c>
      <c r="G1853" s="208" t="s">
        <v>52</v>
      </c>
      <c r="H1853" s="99" t="s">
        <v>1264</v>
      </c>
      <c r="I1853" s="99" t="s">
        <v>1979</v>
      </c>
      <c r="J1853" s="194"/>
      <c r="K1853" s="177">
        <v>45108.0</v>
      </c>
      <c r="L1853" s="206" t="b">
        <v>0</v>
      </c>
    </row>
    <row r="1854">
      <c r="A1854" s="4" t="s">
        <v>50</v>
      </c>
      <c r="B1854" s="170" t="s">
        <v>1978</v>
      </c>
      <c r="C1854" s="171">
        <v>150.0</v>
      </c>
      <c r="D1854" s="172">
        <v>45138.0</v>
      </c>
      <c r="E1854" s="188">
        <v>45108.0</v>
      </c>
      <c r="F1854" s="207">
        <v>2023.07</v>
      </c>
      <c r="G1854" s="207" t="s">
        <v>52</v>
      </c>
      <c r="H1854" s="170" t="s">
        <v>1264</v>
      </c>
      <c r="I1854" s="170" t="s">
        <v>1979</v>
      </c>
      <c r="J1854" s="195"/>
      <c r="K1854" s="173">
        <v>45108.0</v>
      </c>
      <c r="L1854" s="204" t="b">
        <v>0</v>
      </c>
    </row>
    <row r="1855">
      <c r="A1855" s="16" t="s">
        <v>810</v>
      </c>
      <c r="B1855" s="99" t="s">
        <v>1978</v>
      </c>
      <c r="C1855" s="174">
        <v>262.5</v>
      </c>
      <c r="D1855" s="175">
        <v>45138.0</v>
      </c>
      <c r="E1855" s="189">
        <v>45108.0</v>
      </c>
      <c r="F1855" s="208">
        <v>2023.07</v>
      </c>
      <c r="G1855" s="208" t="s">
        <v>52</v>
      </c>
      <c r="H1855" s="99" t="s">
        <v>1264</v>
      </c>
      <c r="I1855" s="99" t="s">
        <v>1979</v>
      </c>
      <c r="J1855" s="194"/>
      <c r="K1855" s="177">
        <v>45108.0</v>
      </c>
      <c r="L1855" s="206" t="b">
        <v>0</v>
      </c>
    </row>
    <row r="1856">
      <c r="A1856" s="4" t="s">
        <v>1070</v>
      </c>
      <c r="B1856" s="170" t="s">
        <v>1978</v>
      </c>
      <c r="C1856" s="171">
        <v>225.0</v>
      </c>
      <c r="D1856" s="172">
        <v>45138.0</v>
      </c>
      <c r="E1856" s="188">
        <v>45108.0</v>
      </c>
      <c r="F1856" s="207">
        <v>2023.07</v>
      </c>
      <c r="G1856" s="207" t="s">
        <v>52</v>
      </c>
      <c r="H1856" s="170" t="s">
        <v>1264</v>
      </c>
      <c r="I1856" s="170" t="s">
        <v>1979</v>
      </c>
      <c r="J1856" s="195"/>
      <c r="K1856" s="173">
        <v>45108.0</v>
      </c>
      <c r="L1856" s="204" t="b">
        <v>0</v>
      </c>
    </row>
    <row r="1857">
      <c r="A1857" s="16" t="s">
        <v>92</v>
      </c>
      <c r="B1857" s="99" t="s">
        <v>1980</v>
      </c>
      <c r="C1857" s="174">
        <v>275.0</v>
      </c>
      <c r="D1857" s="175">
        <v>45138.0</v>
      </c>
      <c r="E1857" s="99">
        <v>125.0</v>
      </c>
      <c r="F1857" s="208">
        <v>2023.07</v>
      </c>
      <c r="G1857" s="208" t="s">
        <v>52</v>
      </c>
      <c r="H1857" s="99" t="s">
        <v>1264</v>
      </c>
      <c r="I1857" s="99" t="s">
        <v>1979</v>
      </c>
      <c r="J1857" s="194"/>
      <c r="K1857" s="177">
        <v>45108.0</v>
      </c>
      <c r="L1857" s="206" t="b">
        <v>0</v>
      </c>
    </row>
    <row r="1858">
      <c r="A1858" s="4" t="s">
        <v>88</v>
      </c>
      <c r="B1858" s="170" t="s">
        <v>1980</v>
      </c>
      <c r="C1858" s="171">
        <v>45.0</v>
      </c>
      <c r="D1858" s="172">
        <v>45138.0</v>
      </c>
      <c r="E1858" s="170">
        <v>125.0</v>
      </c>
      <c r="F1858" s="207">
        <v>2023.07</v>
      </c>
      <c r="G1858" s="207" t="s">
        <v>52</v>
      </c>
      <c r="H1858" s="170" t="s">
        <v>1264</v>
      </c>
      <c r="I1858" s="170" t="s">
        <v>1979</v>
      </c>
      <c r="J1858" s="195"/>
      <c r="K1858" s="173">
        <v>45108.0</v>
      </c>
      <c r="L1858" s="204" t="b">
        <v>0</v>
      </c>
    </row>
    <row r="1859">
      <c r="A1859" s="16" t="s">
        <v>97</v>
      </c>
      <c r="B1859" s="99" t="s">
        <v>1980</v>
      </c>
      <c r="C1859" s="174">
        <v>30.0</v>
      </c>
      <c r="D1859" s="175">
        <v>45138.0</v>
      </c>
      <c r="E1859" s="99">
        <v>125.0</v>
      </c>
      <c r="F1859" s="208">
        <v>2023.07</v>
      </c>
      <c r="G1859" s="208" t="s">
        <v>52</v>
      </c>
      <c r="H1859" s="99" t="s">
        <v>1264</v>
      </c>
      <c r="I1859" s="99" t="s">
        <v>1979</v>
      </c>
      <c r="J1859" s="194"/>
      <c r="K1859" s="177">
        <v>45108.0</v>
      </c>
      <c r="L1859" s="206" t="b">
        <v>0</v>
      </c>
    </row>
    <row r="1860">
      <c r="A1860" s="4" t="s">
        <v>82</v>
      </c>
      <c r="B1860" s="170" t="s">
        <v>1980</v>
      </c>
      <c r="C1860" s="171">
        <v>90.0</v>
      </c>
      <c r="D1860" s="172">
        <v>45138.0</v>
      </c>
      <c r="E1860" s="170">
        <v>125.0</v>
      </c>
      <c r="F1860" s="207">
        <v>2023.07</v>
      </c>
      <c r="G1860" s="207" t="s">
        <v>52</v>
      </c>
      <c r="H1860" s="170" t="s">
        <v>1264</v>
      </c>
      <c r="I1860" s="170" t="s">
        <v>1979</v>
      </c>
      <c r="J1860" s="195"/>
      <c r="K1860" s="173">
        <v>45108.0</v>
      </c>
      <c r="L1860" s="204" t="b">
        <v>0</v>
      </c>
    </row>
    <row r="1861">
      <c r="A1861" s="16" t="s">
        <v>99</v>
      </c>
      <c r="B1861" s="99" t="s">
        <v>1980</v>
      </c>
      <c r="C1861" s="174">
        <v>260.0</v>
      </c>
      <c r="D1861" s="175">
        <v>45138.0</v>
      </c>
      <c r="E1861" s="99">
        <v>125.0</v>
      </c>
      <c r="F1861" s="208">
        <v>2023.07</v>
      </c>
      <c r="G1861" s="208" t="s">
        <v>52</v>
      </c>
      <c r="H1861" s="99" t="s">
        <v>1264</v>
      </c>
      <c r="I1861" s="99" t="s">
        <v>1979</v>
      </c>
      <c r="J1861" s="194"/>
      <c r="K1861" s="177">
        <v>45108.0</v>
      </c>
      <c r="L1861" s="206" t="b">
        <v>0</v>
      </c>
    </row>
    <row r="1862">
      <c r="A1862" s="4" t="s">
        <v>42</v>
      </c>
      <c r="B1862" s="170" t="s">
        <v>1980</v>
      </c>
      <c r="C1862" s="171">
        <v>135.0</v>
      </c>
      <c r="D1862" s="172">
        <v>45138.0</v>
      </c>
      <c r="E1862" s="170">
        <v>125.0</v>
      </c>
      <c r="F1862" s="207">
        <v>2023.07</v>
      </c>
      <c r="G1862" s="207" t="s">
        <v>52</v>
      </c>
      <c r="H1862" s="170" t="s">
        <v>1264</v>
      </c>
      <c r="I1862" s="170" t="s">
        <v>1979</v>
      </c>
      <c r="J1862" s="195"/>
      <c r="K1862" s="173">
        <v>45108.0</v>
      </c>
      <c r="L1862" s="204" t="b">
        <v>0</v>
      </c>
    </row>
    <row r="1863">
      <c r="A1863" s="16" t="s">
        <v>123</v>
      </c>
      <c r="B1863" s="99" t="s">
        <v>1980</v>
      </c>
      <c r="C1863" s="174">
        <v>200.0</v>
      </c>
      <c r="D1863" s="175">
        <v>45138.0</v>
      </c>
      <c r="E1863" s="99">
        <v>125.0</v>
      </c>
      <c r="F1863" s="208">
        <v>2023.07</v>
      </c>
      <c r="G1863" s="208" t="s">
        <v>52</v>
      </c>
      <c r="H1863" s="99" t="s">
        <v>1264</v>
      </c>
      <c r="I1863" s="99" t="s">
        <v>1979</v>
      </c>
      <c r="J1863" s="194"/>
      <c r="K1863" s="177">
        <v>45108.0</v>
      </c>
      <c r="L1863" s="206" t="b">
        <v>0</v>
      </c>
    </row>
    <row r="1864">
      <c r="A1864" s="4" t="s">
        <v>73</v>
      </c>
      <c r="B1864" s="170" t="s">
        <v>1980</v>
      </c>
      <c r="C1864" s="171">
        <v>75.0</v>
      </c>
      <c r="D1864" s="172">
        <v>45138.0</v>
      </c>
      <c r="E1864" s="170">
        <v>125.0</v>
      </c>
      <c r="F1864" s="207">
        <v>2023.07</v>
      </c>
      <c r="G1864" s="207" t="s">
        <v>52</v>
      </c>
      <c r="H1864" s="170" t="s">
        <v>1264</v>
      </c>
      <c r="I1864" s="170" t="s">
        <v>1979</v>
      </c>
      <c r="J1864" s="195"/>
      <c r="K1864" s="173">
        <v>45108.0</v>
      </c>
      <c r="L1864" s="204" t="b">
        <v>0</v>
      </c>
    </row>
    <row r="1865">
      <c r="A1865" s="16" t="s">
        <v>50</v>
      </c>
      <c r="B1865" s="99" t="s">
        <v>1980</v>
      </c>
      <c r="C1865" s="174">
        <v>30.0</v>
      </c>
      <c r="D1865" s="175">
        <v>45138.0</v>
      </c>
      <c r="E1865" s="99">
        <v>125.0</v>
      </c>
      <c r="F1865" s="208">
        <v>2023.07</v>
      </c>
      <c r="G1865" s="208" t="s">
        <v>52</v>
      </c>
      <c r="H1865" s="99" t="s">
        <v>1264</v>
      </c>
      <c r="I1865" s="99" t="s">
        <v>1979</v>
      </c>
      <c r="J1865" s="194"/>
      <c r="K1865" s="177">
        <v>45108.0</v>
      </c>
      <c r="L1865" s="206" t="b">
        <v>0</v>
      </c>
    </row>
    <row r="1866">
      <c r="A1866" s="4" t="s">
        <v>62</v>
      </c>
      <c r="B1866" s="170" t="s">
        <v>1980</v>
      </c>
      <c r="C1866" s="171">
        <v>300.0</v>
      </c>
      <c r="D1866" s="172">
        <v>45138.0</v>
      </c>
      <c r="E1866" s="170">
        <v>125.0</v>
      </c>
      <c r="F1866" s="207">
        <v>2023.07</v>
      </c>
      <c r="G1866" s="207" t="s">
        <v>52</v>
      </c>
      <c r="H1866" s="170" t="s">
        <v>1264</v>
      </c>
      <c r="I1866" s="170" t="s">
        <v>1979</v>
      </c>
      <c r="J1866" s="195"/>
      <c r="K1866" s="173">
        <v>45108.0</v>
      </c>
      <c r="L1866" s="204" t="b">
        <v>0</v>
      </c>
    </row>
    <row r="1867">
      <c r="A1867" s="16" t="s">
        <v>223</v>
      </c>
      <c r="B1867" s="99" t="s">
        <v>1980</v>
      </c>
      <c r="C1867" s="174">
        <v>75.0</v>
      </c>
      <c r="D1867" s="175">
        <v>45138.0</v>
      </c>
      <c r="E1867" s="99">
        <v>125.0</v>
      </c>
      <c r="F1867" s="208">
        <v>2023.07</v>
      </c>
      <c r="G1867" s="208" t="s">
        <v>52</v>
      </c>
      <c r="H1867" s="99" t="s">
        <v>1264</v>
      </c>
      <c r="I1867" s="99" t="s">
        <v>1979</v>
      </c>
      <c r="J1867" s="194"/>
      <c r="K1867" s="177">
        <v>45108.0</v>
      </c>
      <c r="L1867" s="206" t="b">
        <v>0</v>
      </c>
    </row>
    <row r="1868">
      <c r="A1868" s="4" t="s">
        <v>225</v>
      </c>
      <c r="B1868" s="170" t="s">
        <v>1980</v>
      </c>
      <c r="C1868" s="171">
        <v>1860.0</v>
      </c>
      <c r="D1868" s="172">
        <v>45138.0</v>
      </c>
      <c r="E1868" s="170">
        <v>125.0</v>
      </c>
      <c r="F1868" s="207">
        <v>2023.07</v>
      </c>
      <c r="G1868" s="207" t="s">
        <v>52</v>
      </c>
      <c r="H1868" s="170" t="s">
        <v>1264</v>
      </c>
      <c r="I1868" s="170" t="s">
        <v>1979</v>
      </c>
      <c r="J1868" s="195"/>
      <c r="K1868" s="173">
        <v>45108.0</v>
      </c>
      <c r="L1868" s="204" t="b">
        <v>0</v>
      </c>
    </row>
    <row r="1869">
      <c r="A1869" s="16" t="s">
        <v>695</v>
      </c>
      <c r="B1869" s="99" t="s">
        <v>1980</v>
      </c>
      <c r="C1869" s="174">
        <v>45.0</v>
      </c>
      <c r="D1869" s="175">
        <v>45138.0</v>
      </c>
      <c r="E1869" s="99">
        <v>125.0</v>
      </c>
      <c r="F1869" s="208">
        <v>2023.07</v>
      </c>
      <c r="G1869" s="208" t="s">
        <v>52</v>
      </c>
      <c r="H1869" s="99" t="s">
        <v>1264</v>
      </c>
      <c r="I1869" s="99" t="s">
        <v>1979</v>
      </c>
      <c r="J1869" s="194"/>
      <c r="K1869" s="177">
        <v>45108.0</v>
      </c>
      <c r="L1869" s="206" t="b">
        <v>0</v>
      </c>
    </row>
    <row r="1870">
      <c r="A1870" s="4" t="s">
        <v>499</v>
      </c>
      <c r="B1870" s="170" t="s">
        <v>1980</v>
      </c>
      <c r="C1870" s="171">
        <v>100.0</v>
      </c>
      <c r="D1870" s="172">
        <v>45138.0</v>
      </c>
      <c r="E1870" s="170">
        <v>125.0</v>
      </c>
      <c r="F1870" s="207">
        <v>2023.07</v>
      </c>
      <c r="G1870" s="207" t="s">
        <v>52</v>
      </c>
      <c r="H1870" s="170" t="s">
        <v>1264</v>
      </c>
      <c r="I1870" s="170" t="s">
        <v>1979</v>
      </c>
      <c r="J1870" s="195"/>
      <c r="K1870" s="173">
        <v>45108.0</v>
      </c>
      <c r="L1870" s="204" t="b">
        <v>0</v>
      </c>
    </row>
    <row r="1871">
      <c r="A1871" s="16" t="s">
        <v>810</v>
      </c>
      <c r="B1871" s="99" t="s">
        <v>1980</v>
      </c>
      <c r="C1871" s="174">
        <v>60.0</v>
      </c>
      <c r="D1871" s="175">
        <v>45138.0</v>
      </c>
      <c r="E1871" s="99">
        <v>125.0</v>
      </c>
      <c r="F1871" s="208">
        <v>2023.07</v>
      </c>
      <c r="G1871" s="208" t="s">
        <v>52</v>
      </c>
      <c r="H1871" s="99" t="s">
        <v>1264</v>
      </c>
      <c r="I1871" s="99" t="s">
        <v>1979</v>
      </c>
      <c r="J1871" s="194"/>
      <c r="K1871" s="177">
        <v>45108.0</v>
      </c>
      <c r="L1871" s="206" t="b">
        <v>0</v>
      </c>
    </row>
    <row r="1872">
      <c r="A1872" s="4" t="s">
        <v>762</v>
      </c>
      <c r="B1872" s="170" t="s">
        <v>1980</v>
      </c>
      <c r="C1872" s="93">
        <f>60+262.5</f>
        <v>322.5</v>
      </c>
      <c r="D1872" s="172">
        <v>45138.0</v>
      </c>
      <c r="E1872" s="170">
        <v>125.0</v>
      </c>
      <c r="F1872" s="207">
        <v>2023.07</v>
      </c>
      <c r="G1872" s="207" t="s">
        <v>52</v>
      </c>
      <c r="H1872" s="170" t="s">
        <v>1264</v>
      </c>
      <c r="I1872" s="170" t="s">
        <v>1979</v>
      </c>
      <c r="J1872" s="195"/>
      <c r="K1872" s="173">
        <v>45108.0</v>
      </c>
      <c r="L1872" s="204" t="b">
        <v>0</v>
      </c>
    </row>
    <row r="1873">
      <c r="A1873" s="16" t="s">
        <v>788</v>
      </c>
      <c r="B1873" s="99" t="s">
        <v>1980</v>
      </c>
      <c r="C1873" s="174">
        <v>500.0</v>
      </c>
      <c r="D1873" s="175">
        <v>45138.0</v>
      </c>
      <c r="E1873" s="99">
        <v>125.0</v>
      </c>
      <c r="F1873" s="208">
        <v>2023.07</v>
      </c>
      <c r="G1873" s="208" t="s">
        <v>52</v>
      </c>
      <c r="H1873" s="99" t="s">
        <v>1264</v>
      </c>
      <c r="I1873" s="99" t="s">
        <v>1979</v>
      </c>
      <c r="J1873" s="194"/>
      <c r="K1873" s="177">
        <v>45108.0</v>
      </c>
      <c r="L1873" s="206" t="b">
        <v>0</v>
      </c>
    </row>
    <row r="1874">
      <c r="A1874" s="4" t="s">
        <v>795</v>
      </c>
      <c r="B1874" s="170" t="s">
        <v>1980</v>
      </c>
      <c r="C1874" s="171">
        <v>330.0</v>
      </c>
      <c r="D1874" s="172">
        <v>45138.0</v>
      </c>
      <c r="E1874" s="170">
        <v>125.0</v>
      </c>
      <c r="F1874" s="207">
        <v>2023.07</v>
      </c>
      <c r="G1874" s="207" t="s">
        <v>52</v>
      </c>
      <c r="H1874" s="170" t="s">
        <v>1264</v>
      </c>
      <c r="I1874" s="170" t="s">
        <v>1979</v>
      </c>
      <c r="J1874" s="195"/>
      <c r="K1874" s="173">
        <v>45108.0</v>
      </c>
      <c r="L1874" s="204" t="b">
        <v>0</v>
      </c>
    </row>
    <row r="1875">
      <c r="A1875" s="16" t="s">
        <v>861</v>
      </c>
      <c r="B1875" s="99" t="s">
        <v>1980</v>
      </c>
      <c r="C1875" s="174">
        <v>420.0</v>
      </c>
      <c r="D1875" s="175">
        <v>45138.0</v>
      </c>
      <c r="E1875" s="99">
        <v>125.0</v>
      </c>
      <c r="F1875" s="208">
        <v>2023.07</v>
      </c>
      <c r="G1875" s="208" t="s">
        <v>52</v>
      </c>
      <c r="H1875" s="99" t="s">
        <v>1264</v>
      </c>
      <c r="I1875" s="99" t="s">
        <v>1979</v>
      </c>
      <c r="J1875" s="194"/>
      <c r="K1875" s="177">
        <v>45108.0</v>
      </c>
      <c r="L1875" s="206" t="b">
        <v>0</v>
      </c>
    </row>
    <row r="1876">
      <c r="A1876" s="4" t="s">
        <v>963</v>
      </c>
      <c r="B1876" s="170" t="s">
        <v>1980</v>
      </c>
      <c r="C1876" s="171">
        <v>210.0</v>
      </c>
      <c r="D1876" s="172">
        <v>45138.0</v>
      </c>
      <c r="E1876" s="170">
        <v>125.0</v>
      </c>
      <c r="F1876" s="207">
        <v>2023.07</v>
      </c>
      <c r="G1876" s="207" t="s">
        <v>52</v>
      </c>
      <c r="H1876" s="170" t="s">
        <v>1264</v>
      </c>
      <c r="I1876" s="170" t="s">
        <v>1979</v>
      </c>
      <c r="J1876" s="195"/>
      <c r="K1876" s="173">
        <v>45108.0</v>
      </c>
      <c r="L1876" s="204" t="b">
        <v>0</v>
      </c>
    </row>
    <row r="1877">
      <c r="A1877" s="16" t="s">
        <v>966</v>
      </c>
      <c r="B1877" s="99" t="s">
        <v>1980</v>
      </c>
      <c r="C1877" s="174">
        <v>375.0</v>
      </c>
      <c r="D1877" s="175">
        <v>45138.0</v>
      </c>
      <c r="E1877" s="99">
        <v>125.0</v>
      </c>
      <c r="F1877" s="208">
        <v>2023.07</v>
      </c>
      <c r="G1877" s="208" t="s">
        <v>52</v>
      </c>
      <c r="H1877" s="99" t="s">
        <v>1264</v>
      </c>
      <c r="I1877" s="99" t="s">
        <v>1979</v>
      </c>
      <c r="J1877" s="194"/>
      <c r="K1877" s="177">
        <v>45108.0</v>
      </c>
      <c r="L1877" s="206" t="b">
        <v>0</v>
      </c>
    </row>
    <row r="1878">
      <c r="A1878" s="4" t="s">
        <v>979</v>
      </c>
      <c r="B1878" s="170" t="s">
        <v>1980</v>
      </c>
      <c r="C1878" s="171">
        <v>400.0</v>
      </c>
      <c r="D1878" s="172">
        <v>45138.0</v>
      </c>
      <c r="E1878" s="170">
        <v>125.0</v>
      </c>
      <c r="F1878" s="207">
        <v>2023.0</v>
      </c>
      <c r="G1878" s="207" t="s">
        <v>1160</v>
      </c>
      <c r="H1878" s="170" t="s">
        <v>1264</v>
      </c>
      <c r="I1878" s="170" t="s">
        <v>1979</v>
      </c>
      <c r="J1878" s="195"/>
      <c r="K1878" s="173">
        <v>45108.0</v>
      </c>
      <c r="L1878" s="204" t="b">
        <v>0</v>
      </c>
    </row>
    <row r="1879">
      <c r="A1879" s="16" t="s">
        <v>896</v>
      </c>
      <c r="B1879" s="99" t="s">
        <v>1980</v>
      </c>
      <c r="C1879" s="174">
        <v>400.0</v>
      </c>
      <c r="D1879" s="175">
        <v>45138.0</v>
      </c>
      <c r="E1879" s="99">
        <v>125.0</v>
      </c>
      <c r="F1879" s="208">
        <v>2023.0</v>
      </c>
      <c r="G1879" s="208" t="s">
        <v>1160</v>
      </c>
      <c r="H1879" s="99" t="s">
        <v>1264</v>
      </c>
      <c r="I1879" s="99" t="s">
        <v>1979</v>
      </c>
      <c r="J1879" s="194"/>
      <c r="K1879" s="177">
        <v>45108.0</v>
      </c>
      <c r="L1879" s="206" t="b">
        <v>0</v>
      </c>
    </row>
    <row r="1880">
      <c r="A1880" s="4" t="s">
        <v>92</v>
      </c>
      <c r="B1880" s="170" t="s">
        <v>1986</v>
      </c>
      <c r="C1880" s="171">
        <v>300.0</v>
      </c>
      <c r="D1880" s="172">
        <v>45138.0</v>
      </c>
      <c r="E1880" s="170">
        <v>21.0</v>
      </c>
      <c r="F1880" s="207">
        <v>2023.07</v>
      </c>
      <c r="G1880" s="207" t="s">
        <v>52</v>
      </c>
      <c r="H1880" s="170" t="s">
        <v>1264</v>
      </c>
      <c r="I1880" s="170" t="s">
        <v>1979</v>
      </c>
      <c r="J1880" s="195"/>
      <c r="K1880" s="173">
        <v>45108.0</v>
      </c>
      <c r="L1880" s="204" t="b">
        <v>0</v>
      </c>
    </row>
    <row r="1881">
      <c r="A1881" s="16" t="s">
        <v>695</v>
      </c>
      <c r="B1881" s="99" t="s">
        <v>1986</v>
      </c>
      <c r="C1881" s="174">
        <v>175.0</v>
      </c>
      <c r="D1881" s="175">
        <v>45138.0</v>
      </c>
      <c r="E1881" s="99">
        <v>21.0</v>
      </c>
      <c r="F1881" s="208">
        <v>2023.07</v>
      </c>
      <c r="G1881" s="208" t="s">
        <v>52</v>
      </c>
      <c r="H1881" s="99" t="s">
        <v>1264</v>
      </c>
      <c r="I1881" s="99" t="s">
        <v>1979</v>
      </c>
      <c r="J1881" s="194"/>
      <c r="K1881" s="177">
        <v>45108.0</v>
      </c>
      <c r="L1881" s="206" t="b">
        <v>0</v>
      </c>
    </row>
    <row r="1882">
      <c r="A1882" s="4" t="s">
        <v>82</v>
      </c>
      <c r="B1882" s="170" t="s">
        <v>1986</v>
      </c>
      <c r="C1882" s="171">
        <v>262.5</v>
      </c>
      <c r="D1882" s="172">
        <v>45138.0</v>
      </c>
      <c r="E1882" s="170">
        <v>21.0</v>
      </c>
      <c r="F1882" s="207">
        <v>2023.07</v>
      </c>
      <c r="G1882" s="207" t="s">
        <v>52</v>
      </c>
      <c r="H1882" s="170" t="s">
        <v>1264</v>
      </c>
      <c r="I1882" s="170" t="s">
        <v>1979</v>
      </c>
      <c r="J1882" s="195"/>
      <c r="K1882" s="173">
        <v>45108.0</v>
      </c>
      <c r="L1882" s="204" t="b">
        <v>0</v>
      </c>
    </row>
    <row r="1883">
      <c r="A1883" s="16" t="s">
        <v>795</v>
      </c>
      <c r="B1883" s="99" t="s">
        <v>1986</v>
      </c>
      <c r="C1883" s="174">
        <v>450.0</v>
      </c>
      <c r="D1883" s="175">
        <v>45138.0</v>
      </c>
      <c r="E1883" s="99">
        <v>21.0</v>
      </c>
      <c r="F1883" s="208">
        <v>2023.07</v>
      </c>
      <c r="G1883" s="208" t="s">
        <v>52</v>
      </c>
      <c r="H1883" s="99" t="s">
        <v>1264</v>
      </c>
      <c r="I1883" s="99" t="s">
        <v>1979</v>
      </c>
      <c r="J1883" s="194"/>
      <c r="K1883" s="177">
        <v>45108.0</v>
      </c>
      <c r="L1883" s="206" t="b">
        <v>0</v>
      </c>
    </row>
    <row r="1884">
      <c r="A1884" s="4" t="s">
        <v>1269</v>
      </c>
      <c r="B1884" s="170" t="s">
        <v>1986</v>
      </c>
      <c r="C1884" s="171">
        <v>300.0</v>
      </c>
      <c r="D1884" s="172">
        <v>45138.0</v>
      </c>
      <c r="E1884" s="170">
        <v>21.0</v>
      </c>
      <c r="F1884" s="207">
        <v>2023.0</v>
      </c>
      <c r="G1884" s="207" t="s">
        <v>1152</v>
      </c>
      <c r="H1884" s="170" t="s">
        <v>1264</v>
      </c>
      <c r="I1884" s="170" t="s">
        <v>1270</v>
      </c>
      <c r="J1884" s="195"/>
      <c r="K1884" s="173">
        <v>45108.0</v>
      </c>
      <c r="L1884" s="204" t="b">
        <v>0</v>
      </c>
    </row>
    <row r="1885">
      <c r="A1885" s="16" t="s">
        <v>115</v>
      </c>
      <c r="B1885" s="99" t="s">
        <v>1982</v>
      </c>
      <c r="C1885" s="174">
        <v>662.5</v>
      </c>
      <c r="D1885" s="175">
        <v>45138.0</v>
      </c>
      <c r="E1885" s="99" t="s">
        <v>2144</v>
      </c>
      <c r="F1885" s="208">
        <v>2023.07</v>
      </c>
      <c r="G1885" s="208" t="s">
        <v>52</v>
      </c>
      <c r="H1885" s="99" t="s">
        <v>1264</v>
      </c>
      <c r="I1885" s="99" t="s">
        <v>1979</v>
      </c>
      <c r="J1885" s="194"/>
      <c r="K1885" s="177">
        <v>45108.0</v>
      </c>
      <c r="L1885" s="206" t="b">
        <v>0</v>
      </c>
    </row>
    <row r="1886">
      <c r="A1886" s="4" t="s">
        <v>118</v>
      </c>
      <c r="B1886" s="170" t="s">
        <v>1982</v>
      </c>
      <c r="C1886" s="171">
        <v>662.5</v>
      </c>
      <c r="D1886" s="172">
        <v>45138.0</v>
      </c>
      <c r="E1886" s="170" t="s">
        <v>2144</v>
      </c>
      <c r="F1886" s="207">
        <v>2023.07</v>
      </c>
      <c r="G1886" s="207" t="s">
        <v>52</v>
      </c>
      <c r="H1886" s="170" t="s">
        <v>1264</v>
      </c>
      <c r="I1886" s="170" t="s">
        <v>1979</v>
      </c>
      <c r="J1886" s="195"/>
      <c r="K1886" s="173">
        <v>45108.0</v>
      </c>
      <c r="L1886" s="204" t="b">
        <v>0</v>
      </c>
    </row>
    <row r="1887">
      <c r="A1887" s="16" t="s">
        <v>92</v>
      </c>
      <c r="B1887" s="99" t="s">
        <v>1982</v>
      </c>
      <c r="C1887" s="174">
        <v>662.5</v>
      </c>
      <c r="D1887" s="175">
        <v>45138.0</v>
      </c>
      <c r="E1887" s="99" t="s">
        <v>2144</v>
      </c>
      <c r="F1887" s="208">
        <v>2023.07</v>
      </c>
      <c r="G1887" s="208" t="s">
        <v>52</v>
      </c>
      <c r="H1887" s="99" t="s">
        <v>1264</v>
      </c>
      <c r="I1887" s="99" t="s">
        <v>1979</v>
      </c>
      <c r="J1887" s="194"/>
      <c r="K1887" s="177">
        <v>45108.0</v>
      </c>
      <c r="L1887" s="206" t="b">
        <v>0</v>
      </c>
    </row>
    <row r="1888">
      <c r="A1888" s="4" t="s">
        <v>123</v>
      </c>
      <c r="B1888" s="170" t="s">
        <v>1982</v>
      </c>
      <c r="C1888" s="171">
        <v>825.0</v>
      </c>
      <c r="D1888" s="172">
        <v>45138.0</v>
      </c>
      <c r="E1888" s="170" t="s">
        <v>2144</v>
      </c>
      <c r="F1888" s="207">
        <v>2023.07</v>
      </c>
      <c r="G1888" s="207" t="s">
        <v>52</v>
      </c>
      <c r="H1888" s="170" t="s">
        <v>1264</v>
      </c>
      <c r="I1888" s="170" t="s">
        <v>1979</v>
      </c>
      <c r="J1888" s="195"/>
      <c r="K1888" s="173">
        <v>45108.0</v>
      </c>
      <c r="L1888" s="204" t="b">
        <v>0</v>
      </c>
    </row>
    <row r="1889">
      <c r="A1889" s="16" t="s">
        <v>62</v>
      </c>
      <c r="B1889" s="99" t="s">
        <v>1982</v>
      </c>
      <c r="C1889" s="174">
        <v>450.0</v>
      </c>
      <c r="D1889" s="175">
        <v>45138.0</v>
      </c>
      <c r="E1889" s="99" t="s">
        <v>2144</v>
      </c>
      <c r="F1889" s="208">
        <v>2023.07</v>
      </c>
      <c r="G1889" s="208" t="s">
        <v>52</v>
      </c>
      <c r="H1889" s="99" t="s">
        <v>1264</v>
      </c>
      <c r="I1889" s="99" t="s">
        <v>1979</v>
      </c>
      <c r="J1889" s="194"/>
      <c r="K1889" s="177">
        <v>45108.0</v>
      </c>
      <c r="L1889" s="206" t="b">
        <v>0</v>
      </c>
    </row>
    <row r="1890">
      <c r="A1890" s="4" t="s">
        <v>102</v>
      </c>
      <c r="B1890" s="170" t="s">
        <v>1987</v>
      </c>
      <c r="C1890" s="171">
        <v>150.0</v>
      </c>
      <c r="D1890" s="172">
        <v>45138.0</v>
      </c>
      <c r="E1890" s="170">
        <v>1035.0</v>
      </c>
      <c r="F1890" s="207">
        <v>2023.07</v>
      </c>
      <c r="G1890" s="207" t="s">
        <v>52</v>
      </c>
      <c r="H1890" s="170" t="s">
        <v>1264</v>
      </c>
      <c r="I1890" s="170" t="s">
        <v>1979</v>
      </c>
      <c r="J1890" s="195"/>
      <c r="K1890" s="173">
        <v>45108.0</v>
      </c>
      <c r="L1890" s="204" t="b">
        <v>0</v>
      </c>
    </row>
    <row r="1891">
      <c r="A1891" s="16" t="s">
        <v>42</v>
      </c>
      <c r="B1891" s="99" t="s">
        <v>1984</v>
      </c>
      <c r="C1891" s="174">
        <v>350.0</v>
      </c>
      <c r="D1891" s="175">
        <v>45138.0</v>
      </c>
      <c r="E1891" s="99">
        <v>6.0</v>
      </c>
      <c r="F1891" s="208">
        <v>2023.07</v>
      </c>
      <c r="G1891" s="208" t="s">
        <v>52</v>
      </c>
      <c r="H1891" s="99" t="s">
        <v>1264</v>
      </c>
      <c r="I1891" s="99" t="s">
        <v>1979</v>
      </c>
      <c r="J1891" s="194"/>
      <c r="K1891" s="177">
        <v>45108.0</v>
      </c>
      <c r="L1891" s="206" t="b">
        <v>0</v>
      </c>
    </row>
    <row r="1892">
      <c r="A1892" s="4" t="s">
        <v>54</v>
      </c>
      <c r="B1892" s="170" t="s">
        <v>1985</v>
      </c>
      <c r="C1892" s="171">
        <v>337.5</v>
      </c>
      <c r="D1892" s="172">
        <v>45138.0</v>
      </c>
      <c r="E1892" s="170">
        <v>36.0</v>
      </c>
      <c r="F1892" s="207">
        <v>2023.07</v>
      </c>
      <c r="G1892" s="207" t="s">
        <v>52</v>
      </c>
      <c r="H1892" s="170" t="s">
        <v>1264</v>
      </c>
      <c r="I1892" s="170" t="s">
        <v>1979</v>
      </c>
      <c r="J1892" s="195"/>
      <c r="K1892" s="173">
        <v>45108.0</v>
      </c>
      <c r="L1892" s="204" t="b">
        <v>0</v>
      </c>
    </row>
    <row r="1893">
      <c r="A1893" s="16" t="s">
        <v>120</v>
      </c>
      <c r="B1893" s="99" t="s">
        <v>1985</v>
      </c>
      <c r="C1893" s="174">
        <v>350.0</v>
      </c>
      <c r="D1893" s="175">
        <v>45138.0</v>
      </c>
      <c r="E1893" s="99">
        <v>36.0</v>
      </c>
      <c r="F1893" s="208">
        <v>2023.07</v>
      </c>
      <c r="G1893" s="208" t="s">
        <v>52</v>
      </c>
      <c r="H1893" s="99" t="s">
        <v>1264</v>
      </c>
      <c r="I1893" s="99" t="s">
        <v>1979</v>
      </c>
      <c r="J1893" s="194"/>
      <c r="K1893" s="177">
        <v>45108.0</v>
      </c>
      <c r="L1893" s="206" t="b">
        <v>0</v>
      </c>
    </row>
    <row r="1894">
      <c r="A1894" s="4" t="s">
        <v>499</v>
      </c>
      <c r="B1894" s="170" t="s">
        <v>1985</v>
      </c>
      <c r="C1894" s="171">
        <v>300.0</v>
      </c>
      <c r="D1894" s="172">
        <v>45138.0</v>
      </c>
      <c r="E1894" s="170">
        <v>36.0</v>
      </c>
      <c r="F1894" s="207">
        <v>2023.07</v>
      </c>
      <c r="G1894" s="207" t="s">
        <v>52</v>
      </c>
      <c r="H1894" s="170" t="s">
        <v>1264</v>
      </c>
      <c r="I1894" s="170" t="s">
        <v>1979</v>
      </c>
      <c r="J1894" s="195"/>
      <c r="K1894" s="173">
        <v>45108.0</v>
      </c>
      <c r="L1894" s="204" t="b">
        <v>0</v>
      </c>
    </row>
    <row r="1895">
      <c r="A1895" s="16" t="s">
        <v>966</v>
      </c>
      <c r="B1895" s="99" t="s">
        <v>1985</v>
      </c>
      <c r="C1895" s="174">
        <v>337.5</v>
      </c>
      <c r="D1895" s="175">
        <v>45138.0</v>
      </c>
      <c r="E1895" s="99">
        <v>36.0</v>
      </c>
      <c r="F1895" s="208">
        <v>2023.07</v>
      </c>
      <c r="G1895" s="208" t="s">
        <v>52</v>
      </c>
      <c r="H1895" s="99" t="s">
        <v>1264</v>
      </c>
      <c r="I1895" s="99" t="s">
        <v>1979</v>
      </c>
      <c r="J1895" s="194"/>
      <c r="K1895" s="177">
        <v>45108.0</v>
      </c>
      <c r="L1895" s="206" t="b">
        <v>0</v>
      </c>
    </row>
    <row r="1896">
      <c r="A1896" s="4" t="s">
        <v>788</v>
      </c>
      <c r="B1896" s="170" t="s">
        <v>1985</v>
      </c>
      <c r="C1896" s="171">
        <v>265.0</v>
      </c>
      <c r="D1896" s="172">
        <v>45138.0</v>
      </c>
      <c r="E1896" s="170">
        <v>36.0</v>
      </c>
      <c r="F1896" s="207">
        <v>2023.07</v>
      </c>
      <c r="G1896" s="207" t="s">
        <v>52</v>
      </c>
      <c r="H1896" s="170" t="s">
        <v>1264</v>
      </c>
      <c r="I1896" s="170" t="s">
        <v>1979</v>
      </c>
      <c r="J1896" s="195"/>
      <c r="K1896" s="173">
        <v>45108.0</v>
      </c>
      <c r="L1896" s="204" t="b">
        <v>0</v>
      </c>
    </row>
    <row r="1897">
      <c r="A1897" s="16" t="s">
        <v>662</v>
      </c>
      <c r="B1897" s="99" t="s">
        <v>1985</v>
      </c>
      <c r="C1897" s="174">
        <v>200.0</v>
      </c>
      <c r="D1897" s="175">
        <v>45138.0</v>
      </c>
      <c r="E1897" s="99">
        <v>36.0</v>
      </c>
      <c r="F1897" s="208">
        <v>2023.07</v>
      </c>
      <c r="G1897" s="208" t="s">
        <v>52</v>
      </c>
      <c r="H1897" s="99" t="s">
        <v>1264</v>
      </c>
      <c r="I1897" s="99" t="s">
        <v>1979</v>
      </c>
      <c r="J1897" s="194"/>
      <c r="K1897" s="177">
        <v>45108.0</v>
      </c>
      <c r="L1897" s="206" t="b">
        <v>0</v>
      </c>
    </row>
    <row r="1898">
      <c r="A1898" s="4" t="s">
        <v>148</v>
      </c>
      <c r="B1898" s="170" t="s">
        <v>1985</v>
      </c>
      <c r="C1898" s="171">
        <v>350.0</v>
      </c>
      <c r="D1898" s="172">
        <v>45138.0</v>
      </c>
      <c r="E1898" s="170">
        <v>36.0</v>
      </c>
      <c r="F1898" s="207">
        <v>2023.0</v>
      </c>
      <c r="G1898" s="207" t="s">
        <v>1160</v>
      </c>
      <c r="H1898" s="170" t="s">
        <v>1264</v>
      </c>
      <c r="I1898" s="170" t="s">
        <v>1979</v>
      </c>
      <c r="J1898" s="195"/>
      <c r="K1898" s="173">
        <v>45108.0</v>
      </c>
      <c r="L1898" s="204" t="b">
        <v>0</v>
      </c>
    </row>
    <row r="1899">
      <c r="A1899" s="16" t="s">
        <v>1066</v>
      </c>
      <c r="B1899" s="99" t="s">
        <v>1985</v>
      </c>
      <c r="C1899" s="174">
        <v>1265.0</v>
      </c>
      <c r="D1899" s="175">
        <v>45138.0</v>
      </c>
      <c r="E1899" s="99">
        <v>36.0</v>
      </c>
      <c r="F1899" s="208">
        <v>2023.0</v>
      </c>
      <c r="G1899" s="208" t="s">
        <v>1160</v>
      </c>
      <c r="H1899" s="99" t="s">
        <v>1264</v>
      </c>
      <c r="I1899" s="99" t="s">
        <v>1979</v>
      </c>
      <c r="J1899" s="194"/>
      <c r="K1899" s="177">
        <v>45108.0</v>
      </c>
      <c r="L1899" s="206" t="b">
        <v>0</v>
      </c>
    </row>
    <row r="1900">
      <c r="A1900" s="4" t="s">
        <v>1271</v>
      </c>
      <c r="B1900" s="170" t="s">
        <v>1994</v>
      </c>
      <c r="C1900" s="171">
        <v>14.55</v>
      </c>
      <c r="D1900" s="172">
        <v>45158.0</v>
      </c>
      <c r="E1900" s="94"/>
      <c r="F1900" s="207">
        <v>2023.0</v>
      </c>
      <c r="G1900" s="207" t="s">
        <v>1152</v>
      </c>
      <c r="H1900" s="170" t="s">
        <v>1264</v>
      </c>
      <c r="I1900" s="170" t="s">
        <v>1272</v>
      </c>
      <c r="J1900" s="195"/>
      <c r="K1900" s="173">
        <v>45108.0</v>
      </c>
      <c r="L1900" s="204" t="b">
        <v>0</v>
      </c>
    </row>
    <row r="1901">
      <c r="A1901" s="16" t="s">
        <v>1269</v>
      </c>
      <c r="B1901" s="99" t="s">
        <v>2128</v>
      </c>
      <c r="C1901" s="174">
        <v>39.52</v>
      </c>
      <c r="D1901" s="175">
        <v>45158.0</v>
      </c>
      <c r="E1901" s="97"/>
      <c r="F1901" s="208">
        <v>2023.0</v>
      </c>
      <c r="G1901" s="208" t="s">
        <v>1152</v>
      </c>
      <c r="H1901" s="99" t="s">
        <v>1264</v>
      </c>
      <c r="I1901" s="99" t="s">
        <v>1270</v>
      </c>
      <c r="J1901" s="194"/>
      <c r="K1901" s="177">
        <v>45108.0</v>
      </c>
      <c r="L1901" s="206" t="b">
        <v>0</v>
      </c>
    </row>
    <row r="1902">
      <c r="A1902" s="4" t="s">
        <v>1271</v>
      </c>
      <c r="B1902" s="170" t="s">
        <v>1976</v>
      </c>
      <c r="C1902" s="171">
        <v>69.89</v>
      </c>
      <c r="D1902" s="172">
        <v>45158.0</v>
      </c>
      <c r="E1902" s="94"/>
      <c r="F1902" s="207">
        <v>2023.0</v>
      </c>
      <c r="G1902" s="207" t="s">
        <v>1152</v>
      </c>
      <c r="H1902" s="170" t="s">
        <v>1264</v>
      </c>
      <c r="I1902" s="170" t="s">
        <v>1272</v>
      </c>
      <c r="J1902" s="195"/>
      <c r="K1902" s="173">
        <v>45108.0</v>
      </c>
      <c r="L1902" s="204" t="b">
        <v>0</v>
      </c>
    </row>
    <row r="1903">
      <c r="A1903" s="16" t="s">
        <v>1269</v>
      </c>
      <c r="B1903" s="99" t="s">
        <v>2026</v>
      </c>
      <c r="C1903" s="174">
        <v>639.32</v>
      </c>
      <c r="D1903" s="175">
        <v>45158.0</v>
      </c>
      <c r="E1903" s="97"/>
      <c r="F1903" s="208">
        <v>2023.0</v>
      </c>
      <c r="G1903" s="208" t="s">
        <v>1152</v>
      </c>
      <c r="H1903" s="99" t="s">
        <v>1264</v>
      </c>
      <c r="I1903" s="99" t="s">
        <v>1270</v>
      </c>
      <c r="J1903" s="194"/>
      <c r="K1903" s="177">
        <v>45108.0</v>
      </c>
      <c r="L1903" s="206" t="b">
        <v>0</v>
      </c>
    </row>
    <row r="1904">
      <c r="A1904" s="4" t="s">
        <v>1269</v>
      </c>
      <c r="B1904" s="170" t="s">
        <v>2026</v>
      </c>
      <c r="C1904" s="171">
        <v>216.01</v>
      </c>
      <c r="D1904" s="172">
        <v>45158.0</v>
      </c>
      <c r="E1904" s="94"/>
      <c r="F1904" s="207">
        <v>2023.0</v>
      </c>
      <c r="G1904" s="207" t="s">
        <v>1152</v>
      </c>
      <c r="H1904" s="170" t="s">
        <v>1264</v>
      </c>
      <c r="I1904" s="170" t="s">
        <v>1270</v>
      </c>
      <c r="J1904" s="195"/>
      <c r="K1904" s="173">
        <v>45108.0</v>
      </c>
      <c r="L1904" s="204" t="b">
        <v>0</v>
      </c>
    </row>
    <row r="1905">
      <c r="A1905" s="16" t="s">
        <v>1269</v>
      </c>
      <c r="B1905" s="99" t="s">
        <v>2026</v>
      </c>
      <c r="C1905" s="174">
        <v>216.27</v>
      </c>
      <c r="D1905" s="175">
        <v>45158.0</v>
      </c>
      <c r="E1905" s="97"/>
      <c r="F1905" s="208">
        <v>2023.0</v>
      </c>
      <c r="G1905" s="208" t="s">
        <v>1152</v>
      </c>
      <c r="H1905" s="99" t="s">
        <v>1264</v>
      </c>
      <c r="I1905" s="99" t="s">
        <v>1270</v>
      </c>
      <c r="J1905" s="194"/>
      <c r="K1905" s="177">
        <v>45108.0</v>
      </c>
      <c r="L1905" s="206" t="b">
        <v>0</v>
      </c>
    </row>
    <row r="1906">
      <c r="A1906" s="4" t="s">
        <v>115</v>
      </c>
      <c r="B1906" s="170" t="s">
        <v>1976</v>
      </c>
      <c r="C1906" s="171">
        <v>750.0</v>
      </c>
      <c r="D1906" s="172">
        <v>45124.0</v>
      </c>
      <c r="E1906" s="94"/>
      <c r="F1906" s="207">
        <v>2023.07</v>
      </c>
      <c r="G1906" s="207" t="s">
        <v>52</v>
      </c>
      <c r="H1906" s="170" t="s">
        <v>1999</v>
      </c>
      <c r="I1906" s="170" t="s">
        <v>1977</v>
      </c>
      <c r="J1906" s="195"/>
      <c r="K1906" s="173">
        <v>45108.0</v>
      </c>
      <c r="L1906" s="204" t="b">
        <v>0</v>
      </c>
    </row>
    <row r="1907">
      <c r="A1907" s="16" t="s">
        <v>92</v>
      </c>
      <c r="B1907" s="99" t="s">
        <v>1988</v>
      </c>
      <c r="C1907" s="174">
        <v>18.0</v>
      </c>
      <c r="D1907" s="175">
        <v>45115.0</v>
      </c>
      <c r="E1907" s="97"/>
      <c r="F1907" s="208">
        <v>2023.07</v>
      </c>
      <c r="G1907" s="208" t="s">
        <v>52</v>
      </c>
      <c r="H1907" s="99" t="s">
        <v>1999</v>
      </c>
      <c r="I1907" s="99" t="s">
        <v>1977</v>
      </c>
      <c r="J1907" s="194"/>
      <c r="K1907" s="177">
        <v>45108.0</v>
      </c>
      <c r="L1907" s="206" t="b">
        <v>0</v>
      </c>
    </row>
    <row r="1908">
      <c r="A1908" s="4" t="s">
        <v>92</v>
      </c>
      <c r="B1908" s="170" t="s">
        <v>1988</v>
      </c>
      <c r="C1908" s="171">
        <v>9.0</v>
      </c>
      <c r="D1908" s="172">
        <v>45117.0</v>
      </c>
      <c r="E1908" s="94"/>
      <c r="F1908" s="207">
        <v>2023.07</v>
      </c>
      <c r="G1908" s="207" t="s">
        <v>52</v>
      </c>
      <c r="H1908" s="170" t="s">
        <v>1999</v>
      </c>
      <c r="I1908" s="170" t="s">
        <v>1977</v>
      </c>
      <c r="J1908" s="195"/>
      <c r="K1908" s="173">
        <v>45108.0</v>
      </c>
      <c r="L1908" s="204" t="b">
        <v>0</v>
      </c>
    </row>
    <row r="1909">
      <c r="A1909" s="16" t="s">
        <v>118</v>
      </c>
      <c r="B1909" s="99" t="s">
        <v>1976</v>
      </c>
      <c r="C1909" s="174">
        <v>750.0</v>
      </c>
      <c r="D1909" s="175">
        <v>45124.0</v>
      </c>
      <c r="E1909" s="97"/>
      <c r="F1909" s="208">
        <v>2023.07</v>
      </c>
      <c r="G1909" s="208" t="s">
        <v>52</v>
      </c>
      <c r="H1909" s="99" t="s">
        <v>1999</v>
      </c>
      <c r="I1909" s="99" t="s">
        <v>1977</v>
      </c>
      <c r="J1909" s="194"/>
      <c r="K1909" s="177">
        <v>45108.0</v>
      </c>
      <c r="L1909" s="206" t="b">
        <v>0</v>
      </c>
    </row>
    <row r="1910">
      <c r="A1910" s="4" t="s">
        <v>92</v>
      </c>
      <c r="B1910" s="170" t="s">
        <v>1988</v>
      </c>
      <c r="C1910" s="171">
        <v>100.0</v>
      </c>
      <c r="D1910" s="172">
        <v>45132.0</v>
      </c>
      <c r="E1910" s="94"/>
      <c r="F1910" s="207">
        <v>2023.07</v>
      </c>
      <c r="G1910" s="207" t="s">
        <v>52</v>
      </c>
      <c r="H1910" s="170" t="s">
        <v>1999</v>
      </c>
      <c r="I1910" s="170" t="s">
        <v>1977</v>
      </c>
      <c r="J1910" s="195"/>
      <c r="K1910" s="173">
        <v>45108.0</v>
      </c>
      <c r="L1910" s="204" t="b">
        <v>0</v>
      </c>
    </row>
    <row r="1911">
      <c r="A1911" s="16" t="s">
        <v>1266</v>
      </c>
      <c r="B1911" s="99" t="s">
        <v>2000</v>
      </c>
      <c r="C1911" s="174">
        <v>484.55</v>
      </c>
      <c r="D1911" s="175">
        <v>45139.0</v>
      </c>
      <c r="E1911" s="97"/>
      <c r="F1911" s="208">
        <v>2023.0</v>
      </c>
      <c r="G1911" s="208" t="s">
        <v>1152</v>
      </c>
      <c r="H1911" s="99" t="s">
        <v>1999</v>
      </c>
      <c r="I1911" s="99" t="s">
        <v>1995</v>
      </c>
      <c r="J1911" s="194"/>
      <c r="K1911" s="177">
        <v>45108.0</v>
      </c>
      <c r="L1911" s="206" t="b">
        <v>0</v>
      </c>
    </row>
    <row r="1912">
      <c r="A1912" s="4" t="s">
        <v>115</v>
      </c>
      <c r="B1912" s="170" t="s">
        <v>1976</v>
      </c>
      <c r="C1912" s="171">
        <v>617.55</v>
      </c>
      <c r="D1912" s="172">
        <v>45139.0</v>
      </c>
      <c r="E1912" s="94"/>
      <c r="F1912" s="207">
        <v>2023.08</v>
      </c>
      <c r="G1912" s="207" t="s">
        <v>52</v>
      </c>
      <c r="H1912" s="170" t="s">
        <v>1999</v>
      </c>
      <c r="I1912" s="170" t="s">
        <v>1977</v>
      </c>
      <c r="J1912" s="195"/>
      <c r="K1912" s="173">
        <v>45108.0</v>
      </c>
      <c r="L1912" s="204" t="b">
        <v>0</v>
      </c>
    </row>
    <row r="1913">
      <c r="A1913" s="16" t="s">
        <v>118</v>
      </c>
      <c r="B1913" s="99" t="s">
        <v>1976</v>
      </c>
      <c r="C1913" s="174">
        <v>616.5</v>
      </c>
      <c r="D1913" s="175">
        <v>45139.0</v>
      </c>
      <c r="E1913" s="97"/>
      <c r="F1913" s="208">
        <v>2023.08</v>
      </c>
      <c r="G1913" s="208" t="s">
        <v>52</v>
      </c>
      <c r="H1913" s="99" t="s">
        <v>1999</v>
      </c>
      <c r="I1913" s="99" t="s">
        <v>1977</v>
      </c>
      <c r="J1913" s="194"/>
      <c r="K1913" s="177">
        <v>45108.0</v>
      </c>
      <c r="L1913" s="206" t="b">
        <v>0</v>
      </c>
    </row>
    <row r="1914">
      <c r="A1914" s="4" t="s">
        <v>918</v>
      </c>
      <c r="B1914" s="170" t="s">
        <v>2002</v>
      </c>
      <c r="C1914" s="171">
        <v>207.67</v>
      </c>
      <c r="D1914" s="172">
        <v>45138.0</v>
      </c>
      <c r="E1914" s="94"/>
      <c r="F1914" s="207">
        <v>2023.0</v>
      </c>
      <c r="G1914" s="207" t="s">
        <v>1160</v>
      </c>
      <c r="H1914" s="170" t="s">
        <v>1999</v>
      </c>
      <c r="I1914" s="170" t="s">
        <v>1979</v>
      </c>
      <c r="J1914" s="195"/>
      <c r="K1914" s="173">
        <v>45108.0</v>
      </c>
      <c r="L1914" s="204" t="b">
        <v>0</v>
      </c>
    </row>
    <row r="1915">
      <c r="A1915" s="16" t="s">
        <v>835</v>
      </c>
      <c r="B1915" s="99" t="s">
        <v>2002</v>
      </c>
      <c r="C1915" s="174">
        <v>35.61</v>
      </c>
      <c r="D1915" s="175">
        <v>45138.0</v>
      </c>
      <c r="E1915" s="97"/>
      <c r="F1915" s="208">
        <v>2023.0</v>
      </c>
      <c r="G1915" s="208" t="s">
        <v>1160</v>
      </c>
      <c r="H1915" s="99" t="s">
        <v>1999</v>
      </c>
      <c r="I1915" s="99" t="s">
        <v>1979</v>
      </c>
      <c r="J1915" s="194"/>
      <c r="K1915" s="177">
        <v>45108.0</v>
      </c>
      <c r="L1915" s="206" t="b">
        <v>0</v>
      </c>
    </row>
    <row r="1916">
      <c r="A1916" s="4" t="s">
        <v>1008</v>
      </c>
      <c r="B1916" s="170" t="s">
        <v>2002</v>
      </c>
      <c r="C1916" s="171">
        <v>155.92</v>
      </c>
      <c r="D1916" s="172">
        <v>45138.0</v>
      </c>
      <c r="E1916" s="94"/>
      <c r="F1916" s="207">
        <v>2023.0</v>
      </c>
      <c r="G1916" s="207" t="s">
        <v>1160</v>
      </c>
      <c r="H1916" s="170" t="s">
        <v>1999</v>
      </c>
      <c r="I1916" s="170" t="s">
        <v>1979</v>
      </c>
      <c r="J1916" s="195"/>
      <c r="K1916" s="173">
        <v>45108.0</v>
      </c>
      <c r="L1916" s="204" t="b">
        <v>0</v>
      </c>
    </row>
    <row r="1917">
      <c r="A1917" s="16" t="s">
        <v>587</v>
      </c>
      <c r="B1917" s="99" t="s">
        <v>2002</v>
      </c>
      <c r="C1917" s="174">
        <v>2.96</v>
      </c>
      <c r="D1917" s="175">
        <v>45138.0</v>
      </c>
      <c r="E1917" s="97"/>
      <c r="F1917" s="208">
        <v>2023.0</v>
      </c>
      <c r="G1917" s="208" t="s">
        <v>1160</v>
      </c>
      <c r="H1917" s="99" t="s">
        <v>1999</v>
      </c>
      <c r="I1917" s="99" t="s">
        <v>1979</v>
      </c>
      <c r="J1917" s="194"/>
      <c r="K1917" s="177">
        <v>45108.0</v>
      </c>
      <c r="L1917" s="206" t="b">
        <v>0</v>
      </c>
    </row>
    <row r="1918">
      <c r="A1918" s="4" t="s">
        <v>1011</v>
      </c>
      <c r="B1918" s="170" t="s">
        <v>2002</v>
      </c>
      <c r="C1918" s="171">
        <v>993.92</v>
      </c>
      <c r="D1918" s="172">
        <v>45138.0</v>
      </c>
      <c r="E1918" s="94"/>
      <c r="F1918" s="207">
        <v>2023.0</v>
      </c>
      <c r="G1918" s="207" t="s">
        <v>1160</v>
      </c>
      <c r="H1918" s="170" t="s">
        <v>1999</v>
      </c>
      <c r="I1918" s="170" t="s">
        <v>1979</v>
      </c>
      <c r="J1918" s="195"/>
      <c r="K1918" s="173">
        <v>45108.0</v>
      </c>
      <c r="L1918" s="204" t="b">
        <v>0</v>
      </c>
    </row>
    <row r="1919">
      <c r="A1919" s="16" t="s">
        <v>82</v>
      </c>
      <c r="B1919" s="99" t="s">
        <v>2002</v>
      </c>
      <c r="C1919" s="174">
        <v>80.53</v>
      </c>
      <c r="D1919" s="175">
        <v>45138.0</v>
      </c>
      <c r="E1919" s="97"/>
      <c r="F1919" s="208">
        <v>2023.07</v>
      </c>
      <c r="G1919" s="208" t="s">
        <v>52</v>
      </c>
      <c r="H1919" s="99" t="s">
        <v>1999</v>
      </c>
      <c r="I1919" s="99" t="s">
        <v>1979</v>
      </c>
      <c r="J1919" s="194"/>
      <c r="K1919" s="177">
        <v>45108.0</v>
      </c>
      <c r="L1919" s="206" t="b">
        <v>0</v>
      </c>
    </row>
    <row r="1920">
      <c r="A1920" s="4" t="s">
        <v>1014</v>
      </c>
      <c r="B1920" s="170" t="s">
        <v>2002</v>
      </c>
      <c r="C1920" s="171">
        <v>14.73</v>
      </c>
      <c r="D1920" s="172">
        <v>45138.0</v>
      </c>
      <c r="E1920" s="94"/>
      <c r="F1920" s="207">
        <v>2023.0</v>
      </c>
      <c r="G1920" s="207" t="s">
        <v>1160</v>
      </c>
      <c r="H1920" s="170" t="s">
        <v>1999</v>
      </c>
      <c r="I1920" s="170" t="s">
        <v>1979</v>
      </c>
      <c r="J1920" s="195"/>
      <c r="K1920" s="173">
        <v>45108.0</v>
      </c>
      <c r="L1920" s="204" t="b">
        <v>0</v>
      </c>
    </row>
    <row r="1921">
      <c r="A1921" s="16" t="s">
        <v>1266</v>
      </c>
      <c r="B1921" s="99" t="s">
        <v>2002</v>
      </c>
      <c r="C1921" s="174">
        <v>795.79</v>
      </c>
      <c r="D1921" s="175">
        <v>45138.0</v>
      </c>
      <c r="E1921" s="97"/>
      <c r="F1921" s="208">
        <v>2023.0</v>
      </c>
      <c r="G1921" s="208" t="s">
        <v>1152</v>
      </c>
      <c r="H1921" s="99" t="s">
        <v>1999</v>
      </c>
      <c r="I1921" s="99" t="s">
        <v>1979</v>
      </c>
      <c r="J1921" s="194"/>
      <c r="K1921" s="177">
        <v>45108.0</v>
      </c>
      <c r="L1921" s="206" t="b">
        <v>0</v>
      </c>
    </row>
    <row r="1922">
      <c r="A1922" s="4" t="s">
        <v>855</v>
      </c>
      <c r="B1922" s="170" t="s">
        <v>2002</v>
      </c>
      <c r="C1922" s="171">
        <v>6.65</v>
      </c>
      <c r="D1922" s="172">
        <v>45138.0</v>
      </c>
      <c r="E1922" s="94"/>
      <c r="F1922" s="207">
        <v>2023.07</v>
      </c>
      <c r="G1922" s="207" t="s">
        <v>52</v>
      </c>
      <c r="H1922" s="170" t="s">
        <v>1999</v>
      </c>
      <c r="I1922" s="170" t="s">
        <v>1979</v>
      </c>
      <c r="J1922" s="195"/>
      <c r="K1922" s="173">
        <v>45108.0</v>
      </c>
      <c r="L1922" s="204" t="b">
        <v>0</v>
      </c>
    </row>
    <row r="1923">
      <c r="A1923" s="16" t="s">
        <v>1066</v>
      </c>
      <c r="B1923" s="99" t="s">
        <v>2002</v>
      </c>
      <c r="C1923" s="174">
        <v>1492.62</v>
      </c>
      <c r="D1923" s="175">
        <v>45138.0</v>
      </c>
      <c r="E1923" s="97"/>
      <c r="F1923" s="208">
        <v>2023.0</v>
      </c>
      <c r="G1923" s="208" t="s">
        <v>1160</v>
      </c>
      <c r="H1923" s="99" t="s">
        <v>1999</v>
      </c>
      <c r="I1923" s="99" t="s">
        <v>1979</v>
      </c>
      <c r="J1923" s="194"/>
      <c r="K1923" s="177">
        <v>45108.0</v>
      </c>
      <c r="L1923" s="206" t="b">
        <v>0</v>
      </c>
    </row>
    <row r="1924">
      <c r="A1924" s="4" t="s">
        <v>92</v>
      </c>
      <c r="B1924" s="170" t="s">
        <v>2002</v>
      </c>
      <c r="C1924" s="171">
        <v>2.64</v>
      </c>
      <c r="D1924" s="172">
        <v>45138.0</v>
      </c>
      <c r="E1924" s="94"/>
      <c r="F1924" s="207">
        <v>2023.07</v>
      </c>
      <c r="G1924" s="207" t="s">
        <v>52</v>
      </c>
      <c r="H1924" s="170" t="s">
        <v>1999</v>
      </c>
      <c r="I1924" s="170" t="s">
        <v>1979</v>
      </c>
      <c r="J1924" s="195"/>
      <c r="K1924" s="173">
        <v>45108.0</v>
      </c>
      <c r="L1924" s="204" t="b">
        <v>0</v>
      </c>
    </row>
    <row r="1925">
      <c r="A1925" s="16" t="s">
        <v>586</v>
      </c>
      <c r="B1925" s="99" t="s">
        <v>2002</v>
      </c>
      <c r="C1925" s="174">
        <v>178.19</v>
      </c>
      <c r="D1925" s="175">
        <v>45138.0</v>
      </c>
      <c r="E1925" s="97"/>
      <c r="F1925" s="208">
        <v>2023.0</v>
      </c>
      <c r="G1925" s="208" t="s">
        <v>1160</v>
      </c>
      <c r="H1925" s="99" t="s">
        <v>1999</v>
      </c>
      <c r="I1925" s="99" t="s">
        <v>1979</v>
      </c>
      <c r="J1925" s="194"/>
      <c r="K1925" s="177">
        <v>45108.0</v>
      </c>
      <c r="L1925" s="206" t="b">
        <v>0</v>
      </c>
    </row>
    <row r="1926">
      <c r="A1926" s="4" t="s">
        <v>584</v>
      </c>
      <c r="B1926" s="170" t="s">
        <v>2002</v>
      </c>
      <c r="C1926" s="171">
        <v>5.56</v>
      </c>
      <c r="D1926" s="172">
        <v>45138.0</v>
      </c>
      <c r="E1926" s="94"/>
      <c r="F1926" s="207">
        <v>2023.0</v>
      </c>
      <c r="G1926" s="207" t="s">
        <v>1160</v>
      </c>
      <c r="H1926" s="170" t="s">
        <v>1999</v>
      </c>
      <c r="I1926" s="170" t="s">
        <v>1979</v>
      </c>
      <c r="J1926" s="195"/>
      <c r="K1926" s="173">
        <v>45108.0</v>
      </c>
      <c r="L1926" s="204" t="b">
        <v>0</v>
      </c>
    </row>
    <row r="1927">
      <c r="A1927" s="16" t="s">
        <v>115</v>
      </c>
      <c r="B1927" s="99" t="s">
        <v>2002</v>
      </c>
      <c r="C1927" s="174">
        <v>43.15</v>
      </c>
      <c r="D1927" s="175">
        <v>45138.0</v>
      </c>
      <c r="E1927" s="97"/>
      <c r="F1927" s="208">
        <v>2023.07</v>
      </c>
      <c r="G1927" s="208" t="s">
        <v>52</v>
      </c>
      <c r="H1927" s="99" t="s">
        <v>1999</v>
      </c>
      <c r="I1927" s="99" t="s">
        <v>1979</v>
      </c>
      <c r="J1927" s="194"/>
      <c r="K1927" s="177">
        <v>45108.0</v>
      </c>
      <c r="L1927" s="206" t="b">
        <v>0</v>
      </c>
    </row>
    <row r="1928">
      <c r="A1928" s="4" t="s">
        <v>118</v>
      </c>
      <c r="B1928" s="170" t="s">
        <v>2002</v>
      </c>
      <c r="C1928" s="171">
        <v>5.63</v>
      </c>
      <c r="D1928" s="172">
        <v>45138.0</v>
      </c>
      <c r="E1928" s="94"/>
      <c r="F1928" s="207">
        <v>2023.07</v>
      </c>
      <c r="G1928" s="207" t="s">
        <v>52</v>
      </c>
      <c r="H1928" s="170" t="s">
        <v>1999</v>
      </c>
      <c r="I1928" s="170" t="s">
        <v>1979</v>
      </c>
      <c r="J1928" s="195"/>
      <c r="K1928" s="173">
        <v>45108.0</v>
      </c>
      <c r="L1928" s="204" t="b">
        <v>0</v>
      </c>
    </row>
    <row r="1929">
      <c r="A1929" s="16" t="s">
        <v>1060</v>
      </c>
      <c r="B1929" s="99" t="s">
        <v>2143</v>
      </c>
      <c r="C1929" s="174">
        <v>750.0</v>
      </c>
      <c r="D1929" s="175">
        <v>45169.0</v>
      </c>
      <c r="E1929" s="189">
        <v>45139.0</v>
      </c>
      <c r="F1929" s="208">
        <v>2023.0</v>
      </c>
      <c r="G1929" s="208" t="s">
        <v>1160</v>
      </c>
      <c r="H1929" s="99" t="s">
        <v>1264</v>
      </c>
      <c r="I1929" s="99" t="s">
        <v>1979</v>
      </c>
      <c r="J1929" s="194"/>
      <c r="K1929" s="177"/>
      <c r="L1929" s="206" t="b">
        <v>0</v>
      </c>
    </row>
    <row r="1930">
      <c r="A1930" s="4" t="s">
        <v>97</v>
      </c>
      <c r="B1930" s="170" t="s">
        <v>1978</v>
      </c>
      <c r="C1930" s="171">
        <v>137.5</v>
      </c>
      <c r="D1930" s="172">
        <v>45169.0</v>
      </c>
      <c r="E1930" s="188">
        <v>45139.0</v>
      </c>
      <c r="F1930" s="207">
        <v>2023.08</v>
      </c>
      <c r="G1930" s="207" t="s">
        <v>52</v>
      </c>
      <c r="H1930" s="170" t="s">
        <v>1264</v>
      </c>
      <c r="I1930" s="170" t="s">
        <v>1979</v>
      </c>
      <c r="J1930" s="195"/>
      <c r="K1930" s="173"/>
      <c r="L1930" s="204" t="b">
        <v>0</v>
      </c>
    </row>
    <row r="1931">
      <c r="A1931" s="16" t="s">
        <v>88</v>
      </c>
      <c r="B1931" s="99" t="s">
        <v>1978</v>
      </c>
      <c r="C1931" s="174">
        <v>212.5</v>
      </c>
      <c r="D1931" s="175">
        <v>45169.0</v>
      </c>
      <c r="E1931" s="189">
        <v>45139.0</v>
      </c>
      <c r="F1931" s="208">
        <v>2023.08</v>
      </c>
      <c r="G1931" s="208" t="s">
        <v>52</v>
      </c>
      <c r="H1931" s="99" t="s">
        <v>1264</v>
      </c>
      <c r="I1931" s="99" t="s">
        <v>1979</v>
      </c>
      <c r="J1931" s="194"/>
      <c r="K1931" s="177"/>
      <c r="L1931" s="206" t="b">
        <v>0</v>
      </c>
    </row>
    <row r="1932">
      <c r="A1932" s="4" t="s">
        <v>73</v>
      </c>
      <c r="B1932" s="170" t="s">
        <v>1978</v>
      </c>
      <c r="C1932" s="171">
        <v>287.5</v>
      </c>
      <c r="D1932" s="172">
        <v>45169.0</v>
      </c>
      <c r="E1932" s="188">
        <v>45139.0</v>
      </c>
      <c r="F1932" s="207">
        <v>2023.08</v>
      </c>
      <c r="G1932" s="207" t="s">
        <v>52</v>
      </c>
      <c r="H1932" s="170" t="s">
        <v>1264</v>
      </c>
      <c r="I1932" s="170" t="s">
        <v>1979</v>
      </c>
      <c r="J1932" s="195"/>
      <c r="K1932" s="173"/>
      <c r="L1932" s="204" t="b">
        <v>0</v>
      </c>
    </row>
    <row r="1933">
      <c r="A1933" s="16" t="s">
        <v>223</v>
      </c>
      <c r="B1933" s="99" t="s">
        <v>1978</v>
      </c>
      <c r="C1933" s="174">
        <v>300.0</v>
      </c>
      <c r="D1933" s="175">
        <v>45169.0</v>
      </c>
      <c r="E1933" s="189">
        <v>45139.0</v>
      </c>
      <c r="F1933" s="208">
        <v>2023.08</v>
      </c>
      <c r="G1933" s="208" t="s">
        <v>52</v>
      </c>
      <c r="H1933" s="99" t="s">
        <v>1264</v>
      </c>
      <c r="I1933" s="99" t="s">
        <v>1979</v>
      </c>
      <c r="J1933" s="194"/>
      <c r="K1933" s="177"/>
      <c r="L1933" s="206" t="b">
        <v>0</v>
      </c>
    </row>
    <row r="1934">
      <c r="A1934" s="4" t="s">
        <v>50</v>
      </c>
      <c r="B1934" s="170" t="s">
        <v>1978</v>
      </c>
      <c r="C1934" s="171">
        <v>150.0</v>
      </c>
      <c r="D1934" s="172">
        <v>45169.0</v>
      </c>
      <c r="E1934" s="188">
        <v>45139.0</v>
      </c>
      <c r="F1934" s="207">
        <v>2023.08</v>
      </c>
      <c r="G1934" s="207" t="s">
        <v>52</v>
      </c>
      <c r="H1934" s="170" t="s">
        <v>1264</v>
      </c>
      <c r="I1934" s="170" t="s">
        <v>1979</v>
      </c>
      <c r="J1934" s="195"/>
      <c r="K1934" s="173"/>
      <c r="L1934" s="204" t="b">
        <v>0</v>
      </c>
    </row>
    <row r="1935">
      <c r="A1935" s="16" t="s">
        <v>810</v>
      </c>
      <c r="B1935" s="99" t="s">
        <v>1978</v>
      </c>
      <c r="C1935" s="174">
        <v>262.5</v>
      </c>
      <c r="D1935" s="175">
        <v>45169.0</v>
      </c>
      <c r="E1935" s="189">
        <v>45139.0</v>
      </c>
      <c r="F1935" s="208">
        <v>2023.08</v>
      </c>
      <c r="G1935" s="208" t="s">
        <v>52</v>
      </c>
      <c r="H1935" s="99" t="s">
        <v>1264</v>
      </c>
      <c r="I1935" s="99" t="s">
        <v>1979</v>
      </c>
      <c r="J1935" s="194"/>
      <c r="K1935" s="177"/>
      <c r="L1935" s="206" t="b">
        <v>0</v>
      </c>
    </row>
    <row r="1936">
      <c r="A1936" s="4" t="s">
        <v>1070</v>
      </c>
      <c r="B1936" s="170" t="s">
        <v>1978</v>
      </c>
      <c r="C1936" s="171">
        <v>225.0</v>
      </c>
      <c r="D1936" s="172">
        <v>45169.0</v>
      </c>
      <c r="E1936" s="188">
        <v>45139.0</v>
      </c>
      <c r="F1936" s="207">
        <v>2023.08</v>
      </c>
      <c r="G1936" s="207" t="s">
        <v>52</v>
      </c>
      <c r="H1936" s="170" t="s">
        <v>1264</v>
      </c>
      <c r="I1936" s="170" t="s">
        <v>1979</v>
      </c>
      <c r="J1936" s="195"/>
      <c r="K1936" s="173"/>
      <c r="L1936" s="204" t="b">
        <v>0</v>
      </c>
    </row>
    <row r="1937">
      <c r="A1937" s="16" t="s">
        <v>662</v>
      </c>
      <c r="B1937" s="99" t="s">
        <v>1978</v>
      </c>
      <c r="C1937" s="174">
        <v>550.0</v>
      </c>
      <c r="D1937" s="175">
        <v>45169.0</v>
      </c>
      <c r="E1937" s="189">
        <v>45139.0</v>
      </c>
      <c r="F1937" s="208">
        <v>2023.08</v>
      </c>
      <c r="G1937" s="208" t="s">
        <v>52</v>
      </c>
      <c r="H1937" s="99" t="s">
        <v>1264</v>
      </c>
      <c r="I1937" s="99" t="s">
        <v>1979</v>
      </c>
      <c r="J1937" s="194"/>
      <c r="K1937" s="177"/>
      <c r="L1937" s="206" t="b">
        <v>0</v>
      </c>
    </row>
    <row r="1938">
      <c r="A1938" s="4" t="s">
        <v>1041</v>
      </c>
      <c r="B1938" s="170" t="s">
        <v>1978</v>
      </c>
      <c r="C1938" s="171">
        <v>250.0</v>
      </c>
      <c r="D1938" s="172">
        <v>45169.0</v>
      </c>
      <c r="E1938" s="188">
        <v>45139.0</v>
      </c>
      <c r="F1938" s="207">
        <v>2023.08</v>
      </c>
      <c r="G1938" s="207" t="s">
        <v>52</v>
      </c>
      <c r="H1938" s="170" t="s">
        <v>1264</v>
      </c>
      <c r="I1938" s="170" t="s">
        <v>1979</v>
      </c>
      <c r="J1938" s="195"/>
      <c r="K1938" s="173"/>
      <c r="L1938" s="204" t="b">
        <v>0</v>
      </c>
    </row>
    <row r="1939">
      <c r="A1939" s="24"/>
      <c r="B1939" s="97"/>
      <c r="C1939" s="96"/>
      <c r="D1939" s="213"/>
      <c r="E1939" s="97"/>
      <c r="F1939" s="208" t="s">
        <v>200</v>
      </c>
      <c r="G1939" s="208" t="s">
        <v>200</v>
      </c>
      <c r="H1939" s="97"/>
      <c r="I1939" s="97"/>
      <c r="J1939" s="194"/>
      <c r="K1939" s="177"/>
      <c r="L1939" s="206" t="b">
        <v>0</v>
      </c>
    </row>
    <row r="1940">
      <c r="A1940" s="13"/>
      <c r="B1940" s="94"/>
      <c r="C1940" s="93"/>
      <c r="D1940" s="193"/>
      <c r="E1940" s="94"/>
      <c r="F1940" s="207" t="s">
        <v>200</v>
      </c>
      <c r="G1940" s="207" t="s">
        <v>200</v>
      </c>
      <c r="H1940" s="94"/>
      <c r="I1940" s="94"/>
      <c r="J1940" s="195"/>
      <c r="K1940" s="173"/>
      <c r="L1940" s="204" t="b">
        <v>0</v>
      </c>
    </row>
    <row r="1941">
      <c r="A1941" s="24"/>
      <c r="B1941" s="97"/>
      <c r="C1941" s="96"/>
      <c r="D1941" s="213"/>
      <c r="E1941" s="97"/>
      <c r="F1941" s="208" t="s">
        <v>200</v>
      </c>
      <c r="G1941" s="208" t="s">
        <v>200</v>
      </c>
      <c r="H1941" s="97"/>
      <c r="I1941" s="97"/>
      <c r="J1941" s="194"/>
      <c r="K1941" s="177"/>
      <c r="L1941" s="206" t="b">
        <v>0</v>
      </c>
    </row>
    <row r="1942">
      <c r="A1942" s="13"/>
      <c r="B1942" s="94"/>
      <c r="C1942" s="93"/>
      <c r="D1942" s="193"/>
      <c r="E1942" s="94"/>
      <c r="F1942" s="207" t="s">
        <v>200</v>
      </c>
      <c r="G1942" s="207" t="s">
        <v>200</v>
      </c>
      <c r="H1942" s="94"/>
      <c r="I1942" s="94"/>
      <c r="J1942" s="195"/>
      <c r="K1942" s="173"/>
      <c r="L1942" s="204" t="b">
        <v>0</v>
      </c>
    </row>
    <row r="1943">
      <c r="A1943" s="24"/>
      <c r="B1943" s="97"/>
      <c r="C1943" s="96"/>
      <c r="D1943" s="213"/>
      <c r="E1943" s="97"/>
      <c r="F1943" s="208" t="s">
        <v>200</v>
      </c>
      <c r="G1943" s="208" t="s">
        <v>200</v>
      </c>
      <c r="H1943" s="97"/>
      <c r="I1943" s="97"/>
      <c r="J1943" s="194"/>
      <c r="K1943" s="177"/>
      <c r="L1943" s="206" t="b">
        <v>0</v>
      </c>
    </row>
    <row r="1944">
      <c r="A1944" s="13"/>
      <c r="B1944" s="94"/>
      <c r="C1944" s="93"/>
      <c r="D1944" s="193"/>
      <c r="E1944" s="94"/>
      <c r="F1944" s="207" t="s">
        <v>200</v>
      </c>
      <c r="G1944" s="207" t="s">
        <v>200</v>
      </c>
      <c r="H1944" s="94"/>
      <c r="I1944" s="94"/>
      <c r="J1944" s="195"/>
      <c r="K1944" s="173"/>
      <c r="L1944" s="204" t="b">
        <v>0</v>
      </c>
    </row>
    <row r="1945">
      <c r="A1945" s="24"/>
      <c r="B1945" s="97"/>
      <c r="C1945" s="96"/>
      <c r="D1945" s="213"/>
      <c r="E1945" s="97"/>
      <c r="F1945" s="208" t="s">
        <v>200</v>
      </c>
      <c r="G1945" s="208" t="s">
        <v>200</v>
      </c>
      <c r="H1945" s="97"/>
      <c r="I1945" s="97"/>
      <c r="J1945" s="194"/>
      <c r="K1945" s="177"/>
      <c r="L1945" s="206" t="b">
        <v>0</v>
      </c>
    </row>
    <row r="1946">
      <c r="A1946" s="13"/>
      <c r="B1946" s="94"/>
      <c r="C1946" s="93"/>
      <c r="D1946" s="193"/>
      <c r="E1946" s="94"/>
      <c r="F1946" s="207" t="s">
        <v>200</v>
      </c>
      <c r="G1946" s="207" t="s">
        <v>200</v>
      </c>
      <c r="H1946" s="94"/>
      <c r="I1946" s="94"/>
      <c r="J1946" s="195"/>
      <c r="K1946" s="173"/>
      <c r="L1946" s="204" t="b">
        <v>0</v>
      </c>
    </row>
    <row r="1947">
      <c r="A1947" s="24"/>
      <c r="B1947" s="97"/>
      <c r="C1947" s="96"/>
      <c r="D1947" s="213"/>
      <c r="E1947" s="97"/>
      <c r="F1947" s="208" t="s">
        <v>200</v>
      </c>
      <c r="G1947" s="208" t="s">
        <v>200</v>
      </c>
      <c r="H1947" s="97"/>
      <c r="I1947" s="97"/>
      <c r="J1947" s="194"/>
      <c r="K1947" s="177"/>
      <c r="L1947" s="206" t="b">
        <v>0</v>
      </c>
    </row>
    <row r="1948">
      <c r="A1948" s="13"/>
      <c r="B1948" s="94"/>
      <c r="C1948" s="93"/>
      <c r="D1948" s="193"/>
      <c r="E1948" s="94"/>
      <c r="F1948" s="207" t="s">
        <v>200</v>
      </c>
      <c r="G1948" s="207" t="s">
        <v>200</v>
      </c>
      <c r="H1948" s="94"/>
      <c r="I1948" s="94"/>
      <c r="J1948" s="195"/>
      <c r="K1948" s="173"/>
      <c r="L1948" s="204" t="b">
        <v>0</v>
      </c>
    </row>
    <row r="1949">
      <c r="A1949" s="24"/>
      <c r="B1949" s="97"/>
      <c r="C1949" s="96"/>
      <c r="D1949" s="213"/>
      <c r="E1949" s="97"/>
      <c r="F1949" s="208" t="s">
        <v>200</v>
      </c>
      <c r="G1949" s="208" t="s">
        <v>200</v>
      </c>
      <c r="H1949" s="97"/>
      <c r="I1949" s="97"/>
      <c r="J1949" s="194"/>
      <c r="K1949" s="177"/>
      <c r="L1949" s="206" t="b">
        <v>0</v>
      </c>
    </row>
    <row r="1950">
      <c r="A1950" s="13"/>
      <c r="B1950" s="94"/>
      <c r="C1950" s="93"/>
      <c r="D1950" s="193"/>
      <c r="E1950" s="94"/>
      <c r="F1950" s="207" t="s">
        <v>200</v>
      </c>
      <c r="G1950" s="207" t="s">
        <v>200</v>
      </c>
      <c r="H1950" s="94"/>
      <c r="I1950" s="94"/>
      <c r="J1950" s="195"/>
      <c r="K1950" s="173"/>
      <c r="L1950" s="204" t="b">
        <v>0</v>
      </c>
    </row>
    <row r="1951">
      <c r="A1951" s="24"/>
      <c r="B1951" s="97"/>
      <c r="C1951" s="96"/>
      <c r="D1951" s="213"/>
      <c r="E1951" s="97"/>
      <c r="F1951" s="208" t="s">
        <v>200</v>
      </c>
      <c r="G1951" s="208" t="s">
        <v>200</v>
      </c>
      <c r="H1951" s="97"/>
      <c r="I1951" s="97"/>
      <c r="J1951" s="194"/>
      <c r="K1951" s="177"/>
      <c r="L1951" s="206" t="b">
        <v>0</v>
      </c>
    </row>
    <row r="1952">
      <c r="A1952" s="13"/>
      <c r="B1952" s="94"/>
      <c r="C1952" s="93"/>
      <c r="D1952" s="193"/>
      <c r="E1952" s="94"/>
      <c r="F1952" s="207" t="s">
        <v>200</v>
      </c>
      <c r="G1952" s="207" t="s">
        <v>200</v>
      </c>
      <c r="H1952" s="94"/>
      <c r="I1952" s="94"/>
      <c r="J1952" s="195"/>
      <c r="K1952" s="173"/>
      <c r="L1952" s="204" t="b">
        <v>0</v>
      </c>
    </row>
    <row r="1953">
      <c r="A1953" s="24"/>
      <c r="B1953" s="97"/>
      <c r="C1953" s="96"/>
      <c r="D1953" s="213"/>
      <c r="E1953" s="97"/>
      <c r="F1953" s="208" t="s">
        <v>200</v>
      </c>
      <c r="G1953" s="208" t="s">
        <v>200</v>
      </c>
      <c r="H1953" s="97"/>
      <c r="I1953" s="97"/>
      <c r="J1953" s="194"/>
      <c r="K1953" s="177"/>
      <c r="L1953" s="206" t="b">
        <v>0</v>
      </c>
    </row>
    <row r="1954">
      <c r="A1954" s="13"/>
      <c r="B1954" s="94"/>
      <c r="C1954" s="93"/>
      <c r="D1954" s="193"/>
      <c r="E1954" s="94"/>
      <c r="F1954" s="207" t="s">
        <v>200</v>
      </c>
      <c r="G1954" s="207" t="s">
        <v>200</v>
      </c>
      <c r="H1954" s="94"/>
      <c r="I1954" s="94"/>
      <c r="J1954" s="195"/>
      <c r="K1954" s="173"/>
      <c r="L1954" s="204" t="b">
        <v>0</v>
      </c>
    </row>
    <row r="1955">
      <c r="A1955" s="24"/>
      <c r="B1955" s="97"/>
      <c r="C1955" s="96"/>
      <c r="D1955" s="213"/>
      <c r="E1955" s="97"/>
      <c r="F1955" s="208" t="s">
        <v>200</v>
      </c>
      <c r="G1955" s="208" t="s">
        <v>200</v>
      </c>
      <c r="H1955" s="97"/>
      <c r="I1955" s="97"/>
      <c r="J1955" s="194"/>
      <c r="K1955" s="177"/>
      <c r="L1955" s="206" t="b">
        <v>0</v>
      </c>
    </row>
    <row r="1956">
      <c r="A1956" s="13"/>
      <c r="B1956" s="94"/>
      <c r="C1956" s="93"/>
      <c r="D1956" s="193"/>
      <c r="E1956" s="94"/>
      <c r="F1956" s="207" t="s">
        <v>200</v>
      </c>
      <c r="G1956" s="207" t="s">
        <v>200</v>
      </c>
      <c r="H1956" s="94"/>
      <c r="I1956" s="94"/>
      <c r="J1956" s="195"/>
      <c r="K1956" s="173"/>
      <c r="L1956" s="204" t="b">
        <v>0</v>
      </c>
    </row>
    <row r="1957">
      <c r="A1957" s="24"/>
      <c r="B1957" s="97"/>
      <c r="C1957" s="96"/>
      <c r="D1957" s="213"/>
      <c r="E1957" s="97"/>
      <c r="F1957" s="208" t="s">
        <v>200</v>
      </c>
      <c r="G1957" s="208" t="s">
        <v>200</v>
      </c>
      <c r="H1957" s="97"/>
      <c r="I1957" s="97"/>
      <c r="J1957" s="194"/>
      <c r="K1957" s="177"/>
      <c r="L1957" s="206" t="b">
        <v>0</v>
      </c>
    </row>
    <row r="1958">
      <c r="A1958" s="13"/>
      <c r="B1958" s="94"/>
      <c r="C1958" s="93"/>
      <c r="D1958" s="193"/>
      <c r="E1958" s="94"/>
      <c r="F1958" s="207" t="s">
        <v>200</v>
      </c>
      <c r="G1958" s="207" t="s">
        <v>200</v>
      </c>
      <c r="H1958" s="94"/>
      <c r="I1958" s="94"/>
      <c r="J1958" s="195"/>
      <c r="K1958" s="173"/>
      <c r="L1958" s="204" t="b">
        <v>0</v>
      </c>
    </row>
    <row r="1959">
      <c r="A1959" s="24"/>
      <c r="B1959" s="97"/>
      <c r="C1959" s="96"/>
      <c r="D1959" s="213"/>
      <c r="E1959" s="97"/>
      <c r="F1959" s="208" t="s">
        <v>200</v>
      </c>
      <c r="G1959" s="208" t="s">
        <v>200</v>
      </c>
      <c r="H1959" s="97"/>
      <c r="I1959" s="97"/>
      <c r="J1959" s="194"/>
      <c r="K1959" s="177"/>
      <c r="L1959" s="206" t="b">
        <v>0</v>
      </c>
    </row>
    <row r="1960">
      <c r="A1960" s="13"/>
      <c r="B1960" s="94"/>
      <c r="C1960" s="93"/>
      <c r="D1960" s="193"/>
      <c r="E1960" s="94"/>
      <c r="F1960" s="207" t="s">
        <v>200</v>
      </c>
      <c r="G1960" s="207" t="s">
        <v>200</v>
      </c>
      <c r="H1960" s="94"/>
      <c r="I1960" s="94"/>
      <c r="J1960" s="195"/>
      <c r="K1960" s="173"/>
      <c r="L1960" s="204" t="b">
        <v>0</v>
      </c>
    </row>
    <row r="1961">
      <c r="A1961" s="24"/>
      <c r="B1961" s="97"/>
      <c r="C1961" s="96"/>
      <c r="D1961" s="213"/>
      <c r="E1961" s="97"/>
      <c r="F1961" s="208" t="s">
        <v>200</v>
      </c>
      <c r="G1961" s="208" t="s">
        <v>200</v>
      </c>
      <c r="H1961" s="97"/>
      <c r="I1961" s="97"/>
      <c r="J1961" s="194"/>
      <c r="K1961" s="177"/>
      <c r="L1961" s="206" t="b">
        <v>0</v>
      </c>
    </row>
    <row r="1962">
      <c r="A1962" s="13"/>
      <c r="B1962" s="94"/>
      <c r="C1962" s="93"/>
      <c r="D1962" s="193"/>
      <c r="E1962" s="94"/>
      <c r="F1962" s="207" t="s">
        <v>200</v>
      </c>
      <c r="G1962" s="207" t="s">
        <v>200</v>
      </c>
      <c r="H1962" s="94"/>
      <c r="I1962" s="94"/>
      <c r="J1962" s="195"/>
      <c r="K1962" s="173"/>
      <c r="L1962" s="204" t="b">
        <v>0</v>
      </c>
    </row>
    <row r="1963">
      <c r="A1963" s="24"/>
      <c r="B1963" s="97"/>
      <c r="C1963" s="96"/>
      <c r="D1963" s="213"/>
      <c r="E1963" s="97"/>
      <c r="F1963" s="208" t="s">
        <v>200</v>
      </c>
      <c r="G1963" s="208" t="s">
        <v>200</v>
      </c>
      <c r="H1963" s="97"/>
      <c r="I1963" s="97"/>
      <c r="J1963" s="194"/>
      <c r="K1963" s="177"/>
      <c r="L1963" s="206" t="b">
        <v>0</v>
      </c>
    </row>
    <row r="1964">
      <c r="A1964" s="13"/>
      <c r="B1964" s="94"/>
      <c r="C1964" s="93"/>
      <c r="D1964" s="193"/>
      <c r="E1964" s="94"/>
      <c r="F1964" s="207" t="s">
        <v>200</v>
      </c>
      <c r="G1964" s="207" t="s">
        <v>200</v>
      </c>
      <c r="H1964" s="94"/>
      <c r="I1964" s="94"/>
      <c r="J1964" s="195"/>
      <c r="K1964" s="173"/>
      <c r="L1964" s="204" t="b">
        <v>0</v>
      </c>
    </row>
    <row r="1965">
      <c r="A1965" s="24"/>
      <c r="B1965" s="97"/>
      <c r="C1965" s="96"/>
      <c r="D1965" s="213"/>
      <c r="E1965" s="97"/>
      <c r="F1965" s="208" t="s">
        <v>200</v>
      </c>
      <c r="G1965" s="208" t="s">
        <v>200</v>
      </c>
      <c r="H1965" s="97"/>
      <c r="I1965" s="97"/>
      <c r="J1965" s="194"/>
      <c r="K1965" s="177"/>
      <c r="L1965" s="206" t="b">
        <v>0</v>
      </c>
    </row>
    <row r="1966">
      <c r="A1966" s="13"/>
      <c r="B1966" s="94"/>
      <c r="C1966" s="93"/>
      <c r="D1966" s="193"/>
      <c r="E1966" s="94"/>
      <c r="F1966" s="207" t="s">
        <v>200</v>
      </c>
      <c r="G1966" s="207" t="s">
        <v>200</v>
      </c>
      <c r="H1966" s="94"/>
      <c r="I1966" s="94"/>
      <c r="J1966" s="195"/>
      <c r="K1966" s="173"/>
      <c r="L1966" s="204" t="b">
        <v>0</v>
      </c>
    </row>
    <row r="1967">
      <c r="A1967" s="24"/>
      <c r="B1967" s="97"/>
      <c r="C1967" s="96"/>
      <c r="D1967" s="213"/>
      <c r="E1967" s="97"/>
      <c r="F1967" s="208" t="s">
        <v>200</v>
      </c>
      <c r="G1967" s="208" t="s">
        <v>200</v>
      </c>
      <c r="H1967" s="97"/>
      <c r="I1967" s="97"/>
      <c r="J1967" s="194"/>
      <c r="K1967" s="177"/>
      <c r="L1967" s="206" t="b">
        <v>0</v>
      </c>
    </row>
    <row r="1968">
      <c r="A1968" s="13"/>
      <c r="B1968" s="94"/>
      <c r="C1968" s="93"/>
      <c r="D1968" s="193"/>
      <c r="E1968" s="94"/>
      <c r="F1968" s="207" t="s">
        <v>200</v>
      </c>
      <c r="G1968" s="207" t="s">
        <v>200</v>
      </c>
      <c r="H1968" s="94"/>
      <c r="I1968" s="94"/>
      <c r="J1968" s="195"/>
      <c r="K1968" s="173"/>
      <c r="L1968" s="204" t="b">
        <v>0</v>
      </c>
    </row>
    <row r="1969">
      <c r="A1969" s="24"/>
      <c r="B1969" s="97"/>
      <c r="C1969" s="96"/>
      <c r="D1969" s="213"/>
      <c r="E1969" s="97"/>
      <c r="F1969" s="208" t="s">
        <v>200</v>
      </c>
      <c r="G1969" s="208" t="s">
        <v>200</v>
      </c>
      <c r="H1969" s="97"/>
      <c r="I1969" s="97"/>
      <c r="J1969" s="194"/>
      <c r="K1969" s="177"/>
      <c r="L1969" s="206" t="b">
        <v>0</v>
      </c>
    </row>
    <row r="1970">
      <c r="A1970" s="13"/>
      <c r="B1970" s="94"/>
      <c r="C1970" s="93"/>
      <c r="D1970" s="193"/>
      <c r="E1970" s="94"/>
      <c r="F1970" s="207" t="s">
        <v>200</v>
      </c>
      <c r="G1970" s="207" t="s">
        <v>200</v>
      </c>
      <c r="H1970" s="94"/>
      <c r="I1970" s="94"/>
      <c r="J1970" s="195"/>
      <c r="K1970" s="173"/>
      <c r="L1970" s="204" t="b">
        <v>0</v>
      </c>
    </row>
    <row r="1971">
      <c r="A1971" s="24"/>
      <c r="B1971" s="97"/>
      <c r="C1971" s="96"/>
      <c r="D1971" s="213"/>
      <c r="E1971" s="97"/>
      <c r="F1971" s="208" t="s">
        <v>200</v>
      </c>
      <c r="G1971" s="208" t="s">
        <v>200</v>
      </c>
      <c r="H1971" s="97"/>
      <c r="I1971" s="97"/>
      <c r="J1971" s="194"/>
      <c r="K1971" s="177"/>
      <c r="L1971" s="206" t="b">
        <v>0</v>
      </c>
    </row>
    <row r="1972">
      <c r="A1972" s="13"/>
      <c r="B1972" s="94"/>
      <c r="C1972" s="93"/>
      <c r="D1972" s="193"/>
      <c r="E1972" s="94"/>
      <c r="F1972" s="207" t="s">
        <v>200</v>
      </c>
      <c r="G1972" s="207" t="s">
        <v>200</v>
      </c>
      <c r="H1972" s="94"/>
      <c r="I1972" s="94"/>
      <c r="J1972" s="195"/>
      <c r="K1972" s="173"/>
      <c r="L1972" s="204" t="b">
        <v>0</v>
      </c>
    </row>
    <row r="1973">
      <c r="A1973" s="24"/>
      <c r="B1973" s="97"/>
      <c r="C1973" s="96"/>
      <c r="D1973" s="213"/>
      <c r="E1973" s="97"/>
      <c r="F1973" s="208" t="s">
        <v>200</v>
      </c>
      <c r="G1973" s="208" t="s">
        <v>200</v>
      </c>
      <c r="H1973" s="97"/>
      <c r="I1973" s="97"/>
      <c r="J1973" s="194"/>
      <c r="K1973" s="177"/>
      <c r="L1973" s="206" t="b">
        <v>0</v>
      </c>
    </row>
    <row r="1974">
      <c r="A1974" s="13"/>
      <c r="B1974" s="94"/>
      <c r="C1974" s="93"/>
      <c r="D1974" s="193"/>
      <c r="E1974" s="94"/>
      <c r="F1974" s="207" t="s">
        <v>200</v>
      </c>
      <c r="G1974" s="207" t="s">
        <v>200</v>
      </c>
      <c r="H1974" s="94"/>
      <c r="I1974" s="94"/>
      <c r="J1974" s="195"/>
      <c r="K1974" s="173"/>
      <c r="L1974" s="204" t="b">
        <v>0</v>
      </c>
    </row>
    <row r="1975">
      <c r="A1975" s="24"/>
      <c r="B1975" s="97"/>
      <c r="C1975" s="96"/>
      <c r="D1975" s="213"/>
      <c r="E1975" s="97"/>
      <c r="F1975" s="208" t="s">
        <v>200</v>
      </c>
      <c r="G1975" s="208" t="s">
        <v>200</v>
      </c>
      <c r="H1975" s="97"/>
      <c r="I1975" s="97"/>
      <c r="J1975" s="194"/>
      <c r="K1975" s="177"/>
      <c r="L1975" s="206" t="b">
        <v>0</v>
      </c>
    </row>
  </sheetData>
  <autoFilter ref="$A$1:$L$1975">
    <filterColumn colId="11">
      <filters>
        <filter val="FALSE"/>
      </filters>
    </filterColumn>
  </autoFilter>
  <dataValidations>
    <dataValidation type="list" allowBlank="1" showErrorMessage="1" sqref="A2:A1975">
      <formula1>Projects!$A$2:$A1975</formula1>
    </dataValidation>
    <dataValidation type="list" allowBlank="1" showErrorMessage="1" sqref="H2:H1975">
      <formula1>List_Companies</formula1>
    </dataValidation>
    <dataValidation type="list" allowBlank="1" sqref="I2:I1975">
      <formula1>List_Expense_Categories</formula1>
    </dataValidation>
    <dataValidation type="list" allowBlank="1" showErrorMessage="1" sqref="K2:K1975">
      <formula1>List_BW_Invoices</formula1>
    </dataValidation>
    <dataValidation type="list" allowBlank="1" showErrorMessage="1" sqref="B2:B1975">
      <formula1>List_Vendors</formula1>
    </dataValidation>
  </dataValidations>
  <hyperlinks>
    <hyperlink r:id="rId1" ref="A23"/>
    <hyperlink r:id="rId2" ref="A128"/>
    <hyperlink r:id="rId3" ref="A215"/>
    <hyperlink r:id="rId4" ref="A305"/>
    <hyperlink r:id="rId5" ref="A399"/>
    <hyperlink r:id="rId6" ref="A518"/>
    <hyperlink r:id="rId7" ref="A567"/>
    <hyperlink r:id="rId8" ref="A669"/>
    <hyperlink r:id="rId9" ref="J738"/>
    <hyperlink r:id="rId10" ref="A759"/>
    <hyperlink r:id="rId11" ref="J1510"/>
  </hyperlinks>
  <drawing r:id="rId1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C0000"/>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9.75"/>
    <col customWidth="1" min="2" max="2" width="27.0"/>
    <col customWidth="1" min="3" max="3" width="15.75"/>
    <col customWidth="1" min="4" max="4" width="5.75"/>
  </cols>
  <sheetData>
    <row r="1">
      <c r="A1" s="101" t="s">
        <v>2145</v>
      </c>
      <c r="B1" s="101" t="s">
        <v>2146</v>
      </c>
      <c r="C1" s="101" t="s">
        <v>2147</v>
      </c>
      <c r="D1" s="214" t="s">
        <v>16</v>
      </c>
    </row>
    <row r="2">
      <c r="A2" s="119" t="s">
        <v>1980</v>
      </c>
      <c r="B2" s="119" t="s">
        <v>1979</v>
      </c>
      <c r="C2" s="119" t="s">
        <v>1264</v>
      </c>
      <c r="D2" s="215" t="b">
        <v>0</v>
      </c>
    </row>
    <row r="3">
      <c r="A3" s="119" t="s">
        <v>1982</v>
      </c>
      <c r="B3" s="119" t="s">
        <v>1979</v>
      </c>
      <c r="C3" s="119" t="s">
        <v>1264</v>
      </c>
      <c r="D3" s="216" t="b">
        <v>0</v>
      </c>
    </row>
    <row r="4">
      <c r="A4" s="119" t="s">
        <v>1985</v>
      </c>
      <c r="B4" s="119" t="s">
        <v>1979</v>
      </c>
      <c r="C4" s="119" t="s">
        <v>1264</v>
      </c>
      <c r="D4" s="216" t="b">
        <v>0</v>
      </c>
    </row>
    <row r="5">
      <c r="A5" s="119" t="s">
        <v>2002</v>
      </c>
      <c r="B5" s="119" t="s">
        <v>1979</v>
      </c>
      <c r="C5" s="119" t="s">
        <v>1999</v>
      </c>
      <c r="D5" s="216" t="b">
        <v>0</v>
      </c>
    </row>
    <row r="6">
      <c r="A6" s="119" t="s">
        <v>1988</v>
      </c>
      <c r="B6" s="119" t="s">
        <v>1977</v>
      </c>
      <c r="C6" s="119"/>
      <c r="D6" s="216" t="b">
        <v>0</v>
      </c>
    </row>
    <row r="7">
      <c r="A7" s="119" t="s">
        <v>1976</v>
      </c>
      <c r="B7" s="119" t="s">
        <v>1977</v>
      </c>
      <c r="C7" s="119"/>
      <c r="D7" s="216" t="b">
        <v>0</v>
      </c>
    </row>
    <row r="8">
      <c r="A8" s="119" t="s">
        <v>1193</v>
      </c>
      <c r="B8" s="119" t="s">
        <v>1142</v>
      </c>
      <c r="C8" s="119" t="s">
        <v>1264</v>
      </c>
      <c r="D8" s="216" t="b">
        <v>0</v>
      </c>
    </row>
    <row r="9">
      <c r="A9" s="119" t="s">
        <v>1237</v>
      </c>
      <c r="B9" s="119" t="s">
        <v>1142</v>
      </c>
      <c r="C9" s="119" t="s">
        <v>1264</v>
      </c>
      <c r="D9" s="216" t="b">
        <v>0</v>
      </c>
    </row>
    <row r="10">
      <c r="A10" s="119" t="s">
        <v>1978</v>
      </c>
      <c r="B10" s="119" t="s">
        <v>1979</v>
      </c>
      <c r="C10" s="119" t="s">
        <v>1264</v>
      </c>
      <c r="D10" s="216" t="b">
        <v>0</v>
      </c>
    </row>
    <row r="11">
      <c r="A11" s="119" t="s">
        <v>1983</v>
      </c>
      <c r="B11" s="119" t="s">
        <v>1979</v>
      </c>
      <c r="C11" s="119" t="s">
        <v>1264</v>
      </c>
      <c r="D11" s="216" t="b">
        <v>0</v>
      </c>
    </row>
    <row r="12">
      <c r="A12" s="119" t="s">
        <v>1984</v>
      </c>
      <c r="B12" s="119" t="s">
        <v>1979</v>
      </c>
      <c r="C12" s="119" t="s">
        <v>1264</v>
      </c>
      <c r="D12" s="216" t="b">
        <v>0</v>
      </c>
    </row>
    <row r="13">
      <c r="A13" s="119" t="s">
        <v>1987</v>
      </c>
      <c r="B13" s="119" t="s">
        <v>1979</v>
      </c>
      <c r="C13" s="119" t="s">
        <v>1264</v>
      </c>
      <c r="D13" s="216" t="b">
        <v>0</v>
      </c>
    </row>
    <row r="14">
      <c r="A14" s="119" t="s">
        <v>1989</v>
      </c>
      <c r="B14" s="119" t="s">
        <v>1995</v>
      </c>
      <c r="C14" s="119" t="s">
        <v>1264</v>
      </c>
      <c r="D14" s="216" t="b">
        <v>0</v>
      </c>
    </row>
    <row r="15">
      <c r="A15" s="119" t="s">
        <v>1994</v>
      </c>
      <c r="B15" s="119" t="s">
        <v>1995</v>
      </c>
      <c r="C15" s="119" t="s">
        <v>1264</v>
      </c>
      <c r="D15" s="216" t="b">
        <v>0</v>
      </c>
    </row>
    <row r="16">
      <c r="A16" s="119" t="s">
        <v>1996</v>
      </c>
      <c r="B16" s="119" t="s">
        <v>1995</v>
      </c>
      <c r="C16" s="119" t="s">
        <v>1264</v>
      </c>
      <c r="D16" s="216" t="b">
        <v>0</v>
      </c>
    </row>
    <row r="17">
      <c r="A17" s="119" t="s">
        <v>1229</v>
      </c>
      <c r="B17" s="119" t="s">
        <v>1995</v>
      </c>
      <c r="C17" s="119" t="s">
        <v>1264</v>
      </c>
      <c r="D17" s="216" t="b">
        <v>0</v>
      </c>
    </row>
    <row r="18">
      <c r="A18" s="119" t="s">
        <v>1997</v>
      </c>
      <c r="B18" s="119" t="s">
        <v>1995</v>
      </c>
      <c r="C18" s="119" t="s">
        <v>1264</v>
      </c>
      <c r="D18" s="216" t="b">
        <v>0</v>
      </c>
    </row>
    <row r="19">
      <c r="A19" s="119" t="s">
        <v>1998</v>
      </c>
      <c r="B19" s="119" t="s">
        <v>1995</v>
      </c>
      <c r="C19" s="119" t="s">
        <v>1264</v>
      </c>
      <c r="D19" s="216" t="b">
        <v>0</v>
      </c>
    </row>
    <row r="20">
      <c r="A20" s="119" t="s">
        <v>1314</v>
      </c>
      <c r="B20" s="119" t="s">
        <v>1270</v>
      </c>
      <c r="C20" s="119" t="s">
        <v>1264</v>
      </c>
      <c r="D20" s="216" t="b">
        <v>0</v>
      </c>
    </row>
    <row r="21">
      <c r="A21" s="119" t="s">
        <v>2148</v>
      </c>
      <c r="B21" s="119" t="s">
        <v>1272</v>
      </c>
      <c r="C21" s="119" t="s">
        <v>1264</v>
      </c>
      <c r="D21" s="216" t="b">
        <v>0</v>
      </c>
    </row>
    <row r="22">
      <c r="A22" s="119" t="s">
        <v>2000</v>
      </c>
      <c r="B22" s="119" t="s">
        <v>1995</v>
      </c>
      <c r="C22" s="119" t="s">
        <v>1999</v>
      </c>
      <c r="D22" s="216" t="b">
        <v>0</v>
      </c>
    </row>
    <row r="23">
      <c r="A23" s="119" t="s">
        <v>2026</v>
      </c>
      <c r="B23" s="119" t="s">
        <v>1977</v>
      </c>
      <c r="C23" s="119" t="s">
        <v>1264</v>
      </c>
      <c r="D23" s="216" t="b">
        <v>0</v>
      </c>
    </row>
    <row r="24">
      <c r="A24" s="119" t="s">
        <v>1986</v>
      </c>
      <c r="B24" s="119" t="s">
        <v>1979</v>
      </c>
      <c r="C24" s="119" t="s">
        <v>1264</v>
      </c>
      <c r="D24" s="216" t="b">
        <v>0</v>
      </c>
    </row>
    <row r="25">
      <c r="A25" s="119" t="s">
        <v>1989</v>
      </c>
      <c r="B25" s="119" t="s">
        <v>1990</v>
      </c>
      <c r="C25" s="119" t="s">
        <v>1264</v>
      </c>
      <c r="D25" s="216" t="b">
        <v>0</v>
      </c>
    </row>
    <row r="26">
      <c r="A26" s="119" t="s">
        <v>2001</v>
      </c>
      <c r="B26" s="119" t="s">
        <v>1990</v>
      </c>
      <c r="C26" s="119" t="s">
        <v>1999</v>
      </c>
      <c r="D26" s="216" t="b">
        <v>0</v>
      </c>
    </row>
    <row r="27">
      <c r="A27" s="119" t="s">
        <v>2003</v>
      </c>
      <c r="B27" s="119" t="s">
        <v>1990</v>
      </c>
      <c r="C27" s="119" t="s">
        <v>1264</v>
      </c>
      <c r="D27" s="216" t="b">
        <v>0</v>
      </c>
    </row>
    <row r="28">
      <c r="A28" s="119" t="s">
        <v>2014</v>
      </c>
      <c r="B28" s="119" t="s">
        <v>1995</v>
      </c>
      <c r="C28" s="119" t="s">
        <v>1999</v>
      </c>
      <c r="D28" s="216" t="b">
        <v>0</v>
      </c>
    </row>
    <row r="29">
      <c r="A29" s="119" t="s">
        <v>2015</v>
      </c>
      <c r="B29" s="119" t="s">
        <v>1990</v>
      </c>
      <c r="C29" s="119" t="s">
        <v>1999</v>
      </c>
      <c r="D29" s="216" t="b">
        <v>0</v>
      </c>
    </row>
    <row r="30">
      <c r="A30" s="119" t="s">
        <v>2017</v>
      </c>
      <c r="B30" s="119" t="s">
        <v>1995</v>
      </c>
      <c r="C30" s="119" t="s">
        <v>1264</v>
      </c>
      <c r="D30" s="216" t="b">
        <v>0</v>
      </c>
    </row>
    <row r="31">
      <c r="A31" s="119" t="s">
        <v>2018</v>
      </c>
      <c r="B31" s="119" t="s">
        <v>1979</v>
      </c>
      <c r="C31" s="119" t="s">
        <v>1264</v>
      </c>
      <c r="D31" s="216" t="b">
        <v>0</v>
      </c>
    </row>
    <row r="32">
      <c r="A32" s="119" t="s">
        <v>2024</v>
      </c>
      <c r="B32" s="119" t="s">
        <v>1267</v>
      </c>
      <c r="C32" s="119" t="s">
        <v>1264</v>
      </c>
      <c r="D32" s="216" t="b">
        <v>0</v>
      </c>
    </row>
    <row r="33">
      <c r="A33" s="119" t="s">
        <v>2018</v>
      </c>
      <c r="B33" s="119" t="s">
        <v>1979</v>
      </c>
      <c r="C33" s="119" t="s">
        <v>1264</v>
      </c>
      <c r="D33" s="216" t="b">
        <v>0</v>
      </c>
    </row>
    <row r="34">
      <c r="A34" s="119" t="s">
        <v>1287</v>
      </c>
      <c r="B34" s="119" t="s">
        <v>2034</v>
      </c>
      <c r="C34" s="119" t="s">
        <v>1999</v>
      </c>
      <c r="D34" s="216" t="b">
        <v>0</v>
      </c>
    </row>
    <row r="35">
      <c r="A35" s="119" t="s">
        <v>2036</v>
      </c>
      <c r="B35" s="119" t="s">
        <v>1979</v>
      </c>
      <c r="C35" s="119" t="s">
        <v>1264</v>
      </c>
      <c r="D35" s="216" t="b">
        <v>0</v>
      </c>
    </row>
    <row r="36">
      <c r="A36" s="119" t="s">
        <v>2042</v>
      </c>
      <c r="B36" s="119" t="s">
        <v>1272</v>
      </c>
      <c r="C36" s="119" t="s">
        <v>1264</v>
      </c>
      <c r="D36" s="216" t="b">
        <v>0</v>
      </c>
    </row>
    <row r="37">
      <c r="A37" s="119" t="s">
        <v>2054</v>
      </c>
      <c r="B37" s="119" t="s">
        <v>1267</v>
      </c>
      <c r="C37" s="119" t="s">
        <v>1264</v>
      </c>
      <c r="D37" s="216" t="b">
        <v>0</v>
      </c>
    </row>
    <row r="38">
      <c r="A38" s="119" t="s">
        <v>2059</v>
      </c>
      <c r="B38" s="119" t="s">
        <v>1267</v>
      </c>
      <c r="C38" s="119" t="s">
        <v>1264</v>
      </c>
      <c r="D38" s="216" t="b">
        <v>0</v>
      </c>
    </row>
    <row r="39">
      <c r="A39" s="119" t="s">
        <v>2061</v>
      </c>
      <c r="B39" s="119" t="s">
        <v>2034</v>
      </c>
      <c r="C39" s="119" t="s">
        <v>1999</v>
      </c>
      <c r="D39" s="216" t="b">
        <v>0</v>
      </c>
    </row>
    <row r="40">
      <c r="A40" s="119" t="s">
        <v>2062</v>
      </c>
      <c r="B40" s="119" t="s">
        <v>1995</v>
      </c>
      <c r="C40" s="119" t="s">
        <v>1999</v>
      </c>
      <c r="D40" s="216" t="b">
        <v>0</v>
      </c>
    </row>
    <row r="41">
      <c r="A41" s="119" t="s">
        <v>2077</v>
      </c>
      <c r="B41" s="119" t="s">
        <v>1979</v>
      </c>
      <c r="C41" s="119" t="s">
        <v>1264</v>
      </c>
      <c r="D41" s="216" t="b">
        <v>0</v>
      </c>
    </row>
    <row r="42">
      <c r="A42" s="119" t="s">
        <v>2083</v>
      </c>
      <c r="B42" s="119" t="s">
        <v>1270</v>
      </c>
      <c r="C42" s="119" t="s">
        <v>1264</v>
      </c>
      <c r="D42" s="216" t="b">
        <v>0</v>
      </c>
    </row>
    <row r="43">
      <c r="A43" s="119" t="s">
        <v>2090</v>
      </c>
      <c r="B43" s="119" t="s">
        <v>1995</v>
      </c>
      <c r="C43" s="119" t="s">
        <v>1999</v>
      </c>
      <c r="D43" s="216" t="b">
        <v>0</v>
      </c>
    </row>
    <row r="44">
      <c r="A44" s="119" t="s">
        <v>2113</v>
      </c>
      <c r="B44" s="119" t="s">
        <v>2034</v>
      </c>
      <c r="C44" s="119" t="s">
        <v>1999</v>
      </c>
      <c r="D44" s="216" t="b">
        <v>0</v>
      </c>
    </row>
    <row r="45">
      <c r="A45" s="119" t="s">
        <v>2114</v>
      </c>
      <c r="B45" s="119" t="s">
        <v>1267</v>
      </c>
      <c r="C45" s="119" t="s">
        <v>1999</v>
      </c>
      <c r="D45" s="216" t="b">
        <v>0</v>
      </c>
    </row>
    <row r="46">
      <c r="A46" s="119" t="s">
        <v>1488</v>
      </c>
      <c r="B46" s="119" t="s">
        <v>1142</v>
      </c>
      <c r="C46" s="119" t="s">
        <v>1264</v>
      </c>
      <c r="D46" s="216" t="b">
        <v>0</v>
      </c>
    </row>
    <row r="47">
      <c r="A47" s="119" t="s">
        <v>2120</v>
      </c>
      <c r="B47" s="119" t="s">
        <v>1272</v>
      </c>
      <c r="C47" s="119" t="s">
        <v>1264</v>
      </c>
      <c r="D47" s="216" t="b">
        <v>0</v>
      </c>
    </row>
    <row r="48">
      <c r="A48" s="119" t="s">
        <v>2128</v>
      </c>
      <c r="B48" s="119" t="s">
        <v>1270</v>
      </c>
      <c r="C48" s="119" t="s">
        <v>1264</v>
      </c>
      <c r="D48" s="216" t="b">
        <v>0</v>
      </c>
    </row>
    <row r="49">
      <c r="A49" s="119" t="s">
        <v>2131</v>
      </c>
      <c r="B49" s="119" t="s">
        <v>1979</v>
      </c>
      <c r="C49" s="119" t="s">
        <v>1264</v>
      </c>
      <c r="D49" s="216" t="b">
        <v>0</v>
      </c>
    </row>
    <row r="50">
      <c r="A50" s="119" t="s">
        <v>2138</v>
      </c>
      <c r="B50" s="119" t="s">
        <v>2034</v>
      </c>
      <c r="C50" s="119" t="s">
        <v>1264</v>
      </c>
      <c r="D50" s="216" t="b">
        <v>0</v>
      </c>
    </row>
    <row r="51">
      <c r="A51" s="119" t="s">
        <v>2143</v>
      </c>
      <c r="B51" s="119" t="s">
        <v>1979</v>
      </c>
      <c r="C51" s="119" t="s">
        <v>1264</v>
      </c>
      <c r="D51" s="216" t="b">
        <v>0</v>
      </c>
    </row>
    <row r="52">
      <c r="A52" s="217"/>
      <c r="B52" s="217"/>
      <c r="C52" s="217"/>
      <c r="D52" s="216" t="b">
        <v>0</v>
      </c>
    </row>
    <row r="53">
      <c r="A53" s="217"/>
      <c r="B53" s="217"/>
      <c r="C53" s="217"/>
      <c r="D53" s="216" t="b">
        <v>0</v>
      </c>
    </row>
    <row r="54">
      <c r="A54" s="217"/>
      <c r="B54" s="217"/>
      <c r="C54" s="217"/>
      <c r="D54" s="216" t="b">
        <v>0</v>
      </c>
    </row>
    <row r="55">
      <c r="A55" s="217"/>
      <c r="B55" s="217"/>
      <c r="C55" s="217"/>
      <c r="D55" s="216" t="b">
        <v>0</v>
      </c>
    </row>
    <row r="56">
      <c r="A56" s="217"/>
      <c r="B56" s="217"/>
      <c r="C56" s="217"/>
      <c r="D56" s="216" t="b">
        <v>0</v>
      </c>
    </row>
    <row r="57">
      <c r="A57" s="217"/>
      <c r="B57" s="217"/>
      <c r="C57" s="217"/>
      <c r="D57" s="216" t="b">
        <v>0</v>
      </c>
    </row>
    <row r="58">
      <c r="A58" s="217"/>
      <c r="B58" s="217"/>
      <c r="C58" s="217"/>
      <c r="D58" s="216" t="b">
        <v>0</v>
      </c>
    </row>
    <row r="59">
      <c r="A59" s="217"/>
      <c r="B59" s="217"/>
      <c r="C59" s="217"/>
      <c r="D59" s="216" t="b">
        <v>0</v>
      </c>
    </row>
    <row r="60">
      <c r="A60" s="217"/>
      <c r="B60" s="217"/>
      <c r="C60" s="217"/>
      <c r="D60" s="216" t="b">
        <v>0</v>
      </c>
    </row>
    <row r="61">
      <c r="A61" s="217"/>
      <c r="B61" s="217"/>
      <c r="C61" s="217"/>
      <c r="D61" s="216" t="b">
        <v>0</v>
      </c>
    </row>
    <row r="62">
      <c r="A62" s="217"/>
      <c r="B62" s="217"/>
      <c r="C62" s="217"/>
      <c r="D62" s="216" t="b">
        <v>0</v>
      </c>
    </row>
    <row r="63">
      <c r="A63" s="217"/>
      <c r="B63" s="217"/>
      <c r="C63" s="217"/>
      <c r="D63" s="216" t="b">
        <v>0</v>
      </c>
    </row>
    <row r="64">
      <c r="A64" s="217"/>
      <c r="B64" s="217"/>
      <c r="C64" s="217"/>
      <c r="D64" s="216" t="b">
        <v>0</v>
      </c>
    </row>
    <row r="65">
      <c r="A65" s="217"/>
      <c r="B65" s="217"/>
      <c r="C65" s="217"/>
      <c r="D65" s="216" t="b">
        <v>0</v>
      </c>
    </row>
    <row r="66">
      <c r="A66" s="217"/>
      <c r="B66" s="217"/>
      <c r="C66" s="217"/>
      <c r="D66" s="216" t="b">
        <v>0</v>
      </c>
    </row>
    <row r="67">
      <c r="A67" s="217"/>
      <c r="B67" s="217"/>
      <c r="C67" s="217"/>
      <c r="D67" s="216" t="b">
        <v>0</v>
      </c>
    </row>
    <row r="68">
      <c r="A68" s="217"/>
      <c r="B68" s="217"/>
      <c r="C68" s="217"/>
      <c r="D68" s="216" t="b">
        <v>0</v>
      </c>
    </row>
    <row r="69">
      <c r="A69" s="217"/>
      <c r="B69" s="217"/>
      <c r="C69" s="217"/>
      <c r="D69" s="216" t="b">
        <v>0</v>
      </c>
    </row>
    <row r="70">
      <c r="A70" s="217"/>
      <c r="B70" s="217"/>
      <c r="C70" s="217"/>
      <c r="D70" s="216" t="b">
        <v>0</v>
      </c>
    </row>
    <row r="71">
      <c r="A71" s="217"/>
      <c r="B71" s="217"/>
      <c r="C71" s="217"/>
      <c r="D71" s="216" t="b">
        <v>0</v>
      </c>
    </row>
    <row r="72">
      <c r="A72" s="217"/>
      <c r="B72" s="217"/>
      <c r="C72" s="217"/>
      <c r="D72" s="216" t="b">
        <v>0</v>
      </c>
    </row>
    <row r="73">
      <c r="A73" s="217"/>
      <c r="B73" s="217"/>
      <c r="C73" s="217"/>
      <c r="D73" s="216" t="b">
        <v>0</v>
      </c>
    </row>
    <row r="74">
      <c r="A74" s="217"/>
      <c r="B74" s="217"/>
      <c r="C74" s="217"/>
      <c r="D74" s="216" t="b">
        <v>0</v>
      </c>
    </row>
    <row r="75">
      <c r="A75" s="217"/>
      <c r="B75" s="217"/>
      <c r="C75" s="217"/>
      <c r="D75" s="216" t="b">
        <v>0</v>
      </c>
    </row>
    <row r="76">
      <c r="A76" s="217"/>
      <c r="B76" s="217"/>
      <c r="C76" s="217"/>
      <c r="D76" s="216" t="b">
        <v>0</v>
      </c>
    </row>
    <row r="77">
      <c r="A77" s="217"/>
      <c r="B77" s="217"/>
      <c r="C77" s="217"/>
      <c r="D77" s="216" t="b">
        <v>0</v>
      </c>
    </row>
    <row r="78">
      <c r="A78" s="217"/>
      <c r="B78" s="217"/>
      <c r="C78" s="217"/>
      <c r="D78" s="216" t="b">
        <v>0</v>
      </c>
    </row>
    <row r="79">
      <c r="A79" s="217"/>
      <c r="B79" s="217"/>
      <c r="C79" s="217"/>
      <c r="D79" s="216" t="b">
        <v>0</v>
      </c>
    </row>
    <row r="80">
      <c r="A80" s="217"/>
      <c r="B80" s="217"/>
      <c r="C80" s="217"/>
      <c r="D80" s="216" t="b">
        <v>0</v>
      </c>
    </row>
    <row r="81">
      <c r="A81" s="217"/>
      <c r="B81" s="217"/>
      <c r="C81" s="217"/>
      <c r="D81" s="216" t="b">
        <v>0</v>
      </c>
    </row>
    <row r="82">
      <c r="A82" s="217"/>
      <c r="B82" s="217"/>
      <c r="C82" s="217"/>
      <c r="D82" s="216" t="b">
        <v>0</v>
      </c>
    </row>
    <row r="83">
      <c r="A83" s="217"/>
      <c r="B83" s="217"/>
      <c r="C83" s="217"/>
      <c r="D83" s="216" t="b">
        <v>0</v>
      </c>
    </row>
    <row r="84">
      <c r="A84" s="217"/>
      <c r="B84" s="217"/>
      <c r="C84" s="217"/>
      <c r="D84" s="216" t="b">
        <v>0</v>
      </c>
    </row>
    <row r="85">
      <c r="A85" s="217"/>
      <c r="B85" s="217"/>
      <c r="C85" s="217"/>
      <c r="D85" s="216" t="b">
        <v>0</v>
      </c>
    </row>
    <row r="86">
      <c r="A86" s="217"/>
      <c r="B86" s="217"/>
      <c r="C86" s="217"/>
      <c r="D86" s="216" t="b">
        <v>0</v>
      </c>
    </row>
    <row r="87">
      <c r="A87" s="217"/>
      <c r="B87" s="217"/>
      <c r="C87" s="217"/>
      <c r="D87" s="216" t="b">
        <v>0</v>
      </c>
    </row>
    <row r="88">
      <c r="A88" s="217"/>
      <c r="B88" s="217"/>
      <c r="C88" s="217"/>
      <c r="D88" s="216" t="b">
        <v>0</v>
      </c>
    </row>
    <row r="89">
      <c r="A89" s="217"/>
      <c r="B89" s="217"/>
      <c r="C89" s="217"/>
      <c r="D89" s="216" t="b">
        <v>0</v>
      </c>
    </row>
    <row r="90">
      <c r="A90" s="217"/>
      <c r="B90" s="217"/>
      <c r="C90" s="217"/>
      <c r="D90" s="216" t="b">
        <v>0</v>
      </c>
    </row>
    <row r="91">
      <c r="A91" s="217"/>
      <c r="B91" s="217"/>
      <c r="C91" s="217"/>
      <c r="D91" s="216" t="b">
        <v>0</v>
      </c>
    </row>
    <row r="92">
      <c r="A92" s="217"/>
      <c r="B92" s="217"/>
      <c r="C92" s="217"/>
      <c r="D92" s="216" t="b">
        <v>0</v>
      </c>
    </row>
    <row r="93">
      <c r="A93" s="217"/>
      <c r="B93" s="217"/>
      <c r="C93" s="217"/>
      <c r="D93" s="216" t="b">
        <v>0</v>
      </c>
    </row>
    <row r="94">
      <c r="A94" s="217"/>
      <c r="B94" s="217"/>
      <c r="C94" s="217"/>
      <c r="D94" s="216" t="b">
        <v>0</v>
      </c>
    </row>
    <row r="95">
      <c r="A95" s="217"/>
      <c r="B95" s="217"/>
      <c r="C95" s="217"/>
      <c r="D95" s="216" t="b">
        <v>0</v>
      </c>
    </row>
    <row r="96">
      <c r="A96" s="217"/>
      <c r="B96" s="217"/>
      <c r="C96" s="217"/>
      <c r="D96" s="216" t="b">
        <v>0</v>
      </c>
    </row>
    <row r="97">
      <c r="A97" s="217"/>
      <c r="B97" s="217"/>
      <c r="C97" s="217"/>
      <c r="D97" s="216" t="b">
        <v>0</v>
      </c>
    </row>
    <row r="98">
      <c r="A98" s="217"/>
      <c r="B98" s="217"/>
      <c r="C98" s="217"/>
      <c r="D98" s="216" t="b">
        <v>0</v>
      </c>
    </row>
    <row r="99">
      <c r="A99" s="217"/>
      <c r="B99" s="217"/>
      <c r="C99" s="217"/>
      <c r="D99" s="216" t="b">
        <v>0</v>
      </c>
    </row>
    <row r="100">
      <c r="A100" s="217"/>
      <c r="B100" s="217"/>
      <c r="C100" s="217"/>
      <c r="D100" s="216" t="b">
        <v>0</v>
      </c>
    </row>
  </sheetData>
  <dataValidations>
    <dataValidation type="list" allowBlank="1" sqref="B2:B100">
      <formula1>List_Expense_Categories</formula1>
    </dataValidation>
  </dataValidations>
  <drawing r:id="rId1"/>
  <tableParts count="1">
    <tablePart r:id="rId3"/>
  </tableParts>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45.75"/>
    <col customWidth="1" min="3" max="3" width="4.13"/>
    <col customWidth="1" min="4" max="4" width="5.13"/>
    <col customWidth="1" min="5" max="7" width="4.13"/>
    <col customWidth="1" min="10" max="10" width="28.63"/>
    <col customWidth="1" min="11" max="11" width="4.5"/>
    <col customWidth="1" min="12" max="12" width="2.88"/>
    <col customWidth="1" min="13" max="13" width="4.38"/>
  </cols>
  <sheetData>
    <row r="1">
      <c r="A1" s="159" t="s">
        <v>51</v>
      </c>
      <c r="B1" s="218"/>
      <c r="M1" s="219"/>
    </row>
    <row r="2" hidden="1">
      <c r="A2" s="220"/>
      <c r="B2" s="221"/>
      <c r="C2" s="220" t="str">
        <f>CONCATENATE("select ",C3," where ",C4)</f>
        <v>select A,G,U,V,W,X,Z,E,F,K,H,I,M-0 where E like '%Month End%' and N = 'Active'</v>
      </c>
      <c r="D2" s="220"/>
      <c r="E2" s="220"/>
      <c r="F2" s="220"/>
      <c r="G2" s="220"/>
      <c r="H2" s="220"/>
      <c r="I2" s="220"/>
      <c r="J2" s="220"/>
      <c r="K2" s="220"/>
      <c r="L2" s="220"/>
      <c r="M2" s="222"/>
    </row>
    <row r="3" hidden="1">
      <c r="A3" s="220"/>
      <c r="B3" s="221"/>
      <c r="C3" s="220" t="s">
        <v>2149</v>
      </c>
      <c r="E3" s="220"/>
      <c r="F3" s="220"/>
      <c r="G3" s="220"/>
      <c r="H3" s="220"/>
      <c r="I3" s="220"/>
      <c r="J3" s="220"/>
      <c r="K3" s="220"/>
      <c r="L3" s="220"/>
      <c r="M3" s="222"/>
    </row>
    <row r="4" hidden="1">
      <c r="A4" s="220"/>
      <c r="B4" s="221"/>
      <c r="C4" s="220" t="str">
        <f>if(A1="Month End",C5,
if(A1="Mid Month",D5,
if(A1="Mid Month",D5,
""
)))</f>
        <v>E like '%Month End%' and N = 'Active'</v>
      </c>
      <c r="D4" s="220"/>
      <c r="E4" s="220"/>
      <c r="F4" s="220"/>
      <c r="G4" s="220"/>
      <c r="H4" s="220"/>
      <c r="I4" s="220"/>
      <c r="J4" s="220"/>
      <c r="K4" s="220"/>
      <c r="L4" s="220"/>
      <c r="M4" s="222"/>
    </row>
    <row r="5" hidden="1">
      <c r="A5" s="220"/>
      <c r="B5" s="221"/>
      <c r="C5" s="220" t="s">
        <v>2150</v>
      </c>
      <c r="D5" s="220" t="s">
        <v>2151</v>
      </c>
      <c r="E5" s="220"/>
      <c r="F5" s="220"/>
      <c r="G5" s="220"/>
      <c r="H5" s="220"/>
      <c r="I5" s="220"/>
      <c r="J5" s="220"/>
      <c r="K5" s="220"/>
      <c r="L5" s="220"/>
      <c r="M5" s="222"/>
    </row>
    <row r="6">
      <c r="B6" s="218"/>
      <c r="M6" s="219"/>
    </row>
    <row r="7" hidden="1">
      <c r="A7" s="223" t="str">
        <f>IFERROR(__xludf.DUMMYFUNCTION("QUERY(Projects!A:AF, C2)"),"Client : Title")</f>
        <v>Client : Title</v>
      </c>
      <c r="B7" s="218" t="str">
        <f>IFERROR(__xludf.DUMMYFUNCTION("""COMPUTED_VALUE"""),"Amount")</f>
        <v>Amount</v>
      </c>
      <c r="C7" s="223" t="str">
        <f>IFERROR(__xludf.DUMMYFUNCTION("""COMPUTED_VALUE"""),"Keep")</f>
        <v>Keep</v>
      </c>
      <c r="D7" s="223" t="str">
        <f>IFERROR(__xludf.DUMMYFUNCTION("""COMPUTED_VALUE"""),"Keep")</f>
        <v>Keep</v>
      </c>
      <c r="E7" s="223" t="str">
        <f>IFERROR(__xludf.DUMMYFUNCTION("""COMPUTED_VALUE"""),"Keep")</f>
        <v>Keep</v>
      </c>
      <c r="F7" s="223" t="str">
        <f>IFERROR(__xludf.DUMMYFUNCTION("""COMPUTED_VALUE"""),"Keep")</f>
        <v>Keep</v>
      </c>
      <c r="G7" s="223" t="str">
        <f>IFERROR(__xludf.DUMMYFUNCTION("""COMPUTED_VALUE"""),"Leave Blank")</f>
        <v>Leave Blank</v>
      </c>
      <c r="H7" s="223" t="str">
        <f>IFERROR(__xludf.DUMMYFUNCTION("""COMPUTED_VALUE"""),"Invoice Timing")</f>
        <v>Invoice Timing</v>
      </c>
      <c r="I7" s="223" t="str">
        <f>IFERROR(__xludf.DUMMYFUNCTION("""COMPUTED_VALUE"""),"Billing Frequency")</f>
        <v>Billing Frequency</v>
      </c>
      <c r="J7" s="223" t="str">
        <f>IFERROR(__xludf.DUMMYFUNCTION("""COMPUTED_VALUE"""),"Description of Work")</f>
        <v>Description of Work</v>
      </c>
      <c r="K7" s="223" t="str">
        <f>IFERROR(__xludf.DUMMYFUNCTION("""COMPUTED_VALUE"""),"Cur")</f>
        <v>Cur</v>
      </c>
      <c r="L7" s="223" t="str">
        <f>IFERROR(__xludf.DUMMYFUNCTION("""COMPUTED_VALUE"""),"Terms")</f>
        <v>Terms</v>
      </c>
      <c r="M7" s="219" t="str">
        <f>IFERROR(__xludf.DUMMYFUNCTION("""COMPUTED_VALUE"""),"difference(Com. %0())")</f>
        <v>difference(Com. %0())</v>
      </c>
    </row>
    <row r="8">
      <c r="A8" s="223" t="str">
        <f>IFERROR(__xludf.DUMMYFUNCTION("""COMPUTED_VALUE"""),"Advisicon : Premium Hosting")</f>
        <v>Advisicon : Premium Hosting</v>
      </c>
      <c r="B8" s="218">
        <f>IFERROR(__xludf.DUMMYFUNCTION("""COMPUTED_VALUE"""),120.0)</f>
        <v>120</v>
      </c>
      <c r="C8" s="223"/>
      <c r="D8" s="223"/>
      <c r="E8" s="223"/>
      <c r="F8" s="223"/>
      <c r="G8" s="223"/>
      <c r="H8" s="223" t="str">
        <f>IFERROR(__xludf.DUMMYFUNCTION("""COMPUTED_VALUE"""),"Month End")</f>
        <v>Month End</v>
      </c>
      <c r="I8" s="223" t="str">
        <f>IFERROR(__xludf.DUMMYFUNCTION("""COMPUTED_VALUE"""),"Yearly")</f>
        <v>Yearly</v>
      </c>
      <c r="J8" s="223" t="str">
        <f>IFERROR(__xludf.DUMMYFUNCTION("""COMPUTED_VALUE"""),"WordPress website Hosting, backups, plugin updates (@ $120 rate discounted to reflect bundling with maintenance package).")</f>
        <v>WordPress website Hosting, backups, plugin updates (@ $120 rate discounted to reflect bundling with maintenance package).</v>
      </c>
      <c r="K8" s="223" t="str">
        <f>IFERROR(__xludf.DUMMYFUNCTION("""COMPUTED_VALUE"""),"USD")</f>
        <v>USD</v>
      </c>
      <c r="L8" s="223">
        <f>IFERROR(__xludf.DUMMYFUNCTION("""COMPUTED_VALUE"""),30.0)</f>
        <v>30</v>
      </c>
      <c r="M8" s="219"/>
    </row>
    <row r="9">
      <c r="A9" s="223" t="str">
        <f>IFERROR(__xludf.DUMMYFUNCTION("""COMPUTED_VALUE"""),"Anook Athletics : Monthly Services")</f>
        <v>Anook Athletics : Monthly Services</v>
      </c>
      <c r="B9" s="218">
        <f>IFERROR(__xludf.DUMMYFUNCTION("""COMPUTED_VALUE"""),880.0)</f>
        <v>880</v>
      </c>
      <c r="C9" s="223"/>
      <c r="D9" s="223"/>
      <c r="E9" s="223"/>
      <c r="F9" s="223"/>
      <c r="G9" s="223"/>
      <c r="H9" s="223" t="str">
        <f>IFERROR(__xludf.DUMMYFUNCTION("""COMPUTED_VALUE"""),"Month End")</f>
        <v>Month End</v>
      </c>
      <c r="I9" s="223" t="str">
        <f>IFERROR(__xludf.DUMMYFUNCTION("""COMPUTED_VALUE"""),"Monthly")</f>
        <v>Monthly</v>
      </c>
      <c r="J9" s="223" t="str">
        <f>IFERROR(__xludf.DUMMYFUNCTION("""COMPUTED_VALUE"""),"Google Ads optimization, monitoring &amp; reporting")</f>
        <v>Google Ads optimization, monitoring &amp; reporting</v>
      </c>
      <c r="K9" s="223" t="str">
        <f>IFERROR(__xludf.DUMMYFUNCTION("""COMPUTED_VALUE"""),"CAD")</f>
        <v>CAD</v>
      </c>
      <c r="L9" s="223">
        <f>IFERROR(__xludf.DUMMYFUNCTION("""COMPUTED_VALUE"""),30.0)</f>
        <v>30</v>
      </c>
      <c r="M9" s="219"/>
    </row>
    <row r="10">
      <c r="A10" s="223" t="str">
        <f>IFERROR(__xludf.DUMMYFUNCTION("""COMPUTED_VALUE"""),"Availed Technologies : Monthly Services")</f>
        <v>Availed Technologies : Monthly Services</v>
      </c>
      <c r="B10" s="218">
        <f>IFERROR(__xludf.DUMMYFUNCTION("""COMPUTED_VALUE"""),750.0)</f>
        <v>750</v>
      </c>
      <c r="C10" s="223"/>
      <c r="D10" s="223"/>
      <c r="E10" s="223"/>
      <c r="F10" s="223"/>
      <c r="G10" s="223"/>
      <c r="H10" s="223" t="str">
        <f>IFERROR(__xludf.DUMMYFUNCTION("""COMPUTED_VALUE"""),"Month End")</f>
        <v>Month End</v>
      </c>
      <c r="I10" s="223" t="str">
        <f>IFERROR(__xludf.DUMMYFUNCTION("""COMPUTED_VALUE"""),"Monthly")</f>
        <v>Monthly</v>
      </c>
      <c r="J10" s="223" t="str">
        <f>IFERROR(__xludf.DUMMYFUNCTION("""COMPUTED_VALUE"""),"Monthly SEO and Google Ads work")</f>
        <v>Monthly SEO and Google Ads work</v>
      </c>
      <c r="K10" s="223" t="str">
        <f>IFERROR(__xludf.DUMMYFUNCTION("""COMPUTED_VALUE"""),"CAD")</f>
        <v>CAD</v>
      </c>
      <c r="L10" s="223">
        <f>IFERROR(__xludf.DUMMYFUNCTION("""COMPUTED_VALUE"""),30.0)</f>
        <v>30</v>
      </c>
      <c r="M10" s="219"/>
    </row>
    <row r="11">
      <c r="A11" s="223" t="str">
        <f>IFERROR(__xludf.DUMMYFUNCTION("""COMPUTED_VALUE"""),"Community Financials : Monthly Services")</f>
        <v>Community Financials : Monthly Services</v>
      </c>
      <c r="B11" s="218">
        <f>IFERROR(__xludf.DUMMYFUNCTION("""COMPUTED_VALUE"""),1000.0)</f>
        <v>1000</v>
      </c>
      <c r="C11" s="223"/>
      <c r="D11" s="223"/>
      <c r="E11" s="223"/>
      <c r="F11" s="223"/>
      <c r="G11" s="223"/>
      <c r="H11" s="223" t="str">
        <f>IFERROR(__xludf.DUMMYFUNCTION("""COMPUTED_VALUE"""),"Month End")</f>
        <v>Month End</v>
      </c>
      <c r="I11" s="223" t="str">
        <f>IFERROR(__xludf.DUMMYFUNCTION("""COMPUTED_VALUE"""),"Monthly")</f>
        <v>Monthly</v>
      </c>
      <c r="J11" s="223" t="str">
        <f>IFERROR(__xludf.DUMMYFUNCTION("""COMPUTED_VALUE"""),"Monthly Google Ads optimization, monitoring &amp; reporting ($400). Monthly SEO Work ($600). ")</f>
        <v>Monthly Google Ads optimization, monitoring &amp; reporting ($400). Monthly SEO Work ($600). </v>
      </c>
      <c r="K11" s="223" t="str">
        <f>IFERROR(__xludf.DUMMYFUNCTION("""COMPUTED_VALUE"""),"USD")</f>
        <v>USD</v>
      </c>
      <c r="L11" s="223">
        <f>IFERROR(__xludf.DUMMYFUNCTION("""COMPUTED_VALUE"""),30.0)</f>
        <v>30</v>
      </c>
      <c r="M11" s="219">
        <f>IFERROR(__xludf.DUMMYFUNCTION("""COMPUTED_VALUE"""),0.2)</f>
        <v>0.2</v>
      </c>
    </row>
    <row r="12">
      <c r="A12" s="223" t="str">
        <f>IFERROR(__xludf.DUMMYFUNCTION("""COMPUTED_VALUE"""),"Hastings House : Monthly Services")</f>
        <v>Hastings House : Monthly Services</v>
      </c>
      <c r="B12" s="218">
        <f>IFERROR(__xludf.DUMMYFUNCTION("""COMPUTED_VALUE"""),1500.0)</f>
        <v>1500</v>
      </c>
      <c r="C12" s="223"/>
      <c r="D12" s="223"/>
      <c r="E12" s="223"/>
      <c r="F12" s="223"/>
      <c r="G12" s="223"/>
      <c r="H12" s="223" t="str">
        <f>IFERROR(__xludf.DUMMYFUNCTION("""COMPUTED_VALUE"""),"Month End")</f>
        <v>Month End</v>
      </c>
      <c r="I12" s="223" t="str">
        <f>IFERROR(__xludf.DUMMYFUNCTION("""COMPUTED_VALUE"""),"Monthly")</f>
        <v>Monthly</v>
      </c>
      <c r="J12" s="223" t="str">
        <f>IFERROR(__xludf.DUMMYFUNCTION("""COMPUTED_VALUE"""),"Monthly Digital Marketing engagement")</f>
        <v>Monthly Digital Marketing engagement</v>
      </c>
      <c r="K12" s="223" t="str">
        <f>IFERROR(__xludf.DUMMYFUNCTION("""COMPUTED_VALUE"""),"CAD")</f>
        <v>CAD</v>
      </c>
      <c r="L12" s="223">
        <f>IFERROR(__xludf.DUMMYFUNCTION("""COMPUTED_VALUE"""),30.0)</f>
        <v>30</v>
      </c>
      <c r="M12" s="219">
        <f>IFERROR(__xludf.DUMMYFUNCTION("""COMPUTED_VALUE"""),0.15)</f>
        <v>0.15</v>
      </c>
    </row>
    <row r="13">
      <c r="A13" s="223" t="str">
        <f>IFERROR(__xludf.DUMMYFUNCTION("""COMPUTED_VALUE"""),"HSJ Lawyers : Monthly Services")</f>
        <v>HSJ Lawyers : Monthly Services</v>
      </c>
      <c r="B13" s="218">
        <f>IFERROR(__xludf.DUMMYFUNCTION("""COMPUTED_VALUE"""),860.0)</f>
        <v>860</v>
      </c>
      <c r="C13" s="223"/>
      <c r="D13" s="223"/>
      <c r="E13" s="223"/>
      <c r="F13" s="223"/>
      <c r="G13" s="223"/>
      <c r="H13" s="223" t="str">
        <f>IFERROR(__xludf.DUMMYFUNCTION("""COMPUTED_VALUE"""),"Month End")</f>
        <v>Month End</v>
      </c>
      <c r="I13" s="223" t="str">
        <f>IFERROR(__xludf.DUMMYFUNCTION("""COMPUTED_VALUE"""),"Monthly")</f>
        <v>Monthly</v>
      </c>
      <c r="J13" s="223" t="str">
        <f>IFERROR(__xludf.DUMMYFUNCTION("""COMPUTED_VALUE"""),"Monthly SEO activities + Website Hosting")</f>
        <v>Monthly SEO activities + Website Hosting</v>
      </c>
      <c r="K13" s="223" t="str">
        <f>IFERROR(__xludf.DUMMYFUNCTION("""COMPUTED_VALUE"""),"CAD")</f>
        <v>CAD</v>
      </c>
      <c r="L13" s="223">
        <f>IFERROR(__xludf.DUMMYFUNCTION("""COMPUTED_VALUE"""),30.0)</f>
        <v>30</v>
      </c>
      <c r="M13" s="219"/>
    </row>
    <row r="14">
      <c r="A14" s="223" t="str">
        <f>IFERROR(__xludf.DUMMYFUNCTION("""COMPUTED_VALUE"""),"MortgagePal : Monthly Services")</f>
        <v>MortgagePal : Monthly Services</v>
      </c>
      <c r="B14" s="218">
        <f>IFERROR(__xludf.DUMMYFUNCTION("""COMPUTED_VALUE"""),500.0)</f>
        <v>500</v>
      </c>
      <c r="C14" s="223"/>
      <c r="D14" s="223"/>
      <c r="E14" s="223"/>
      <c r="F14" s="223"/>
      <c r="G14" s="223"/>
      <c r="H14" s="223" t="str">
        <f>IFERROR(__xludf.DUMMYFUNCTION("""COMPUTED_VALUE"""),"Month End")</f>
        <v>Month End</v>
      </c>
      <c r="I14" s="223" t="str">
        <f>IFERROR(__xludf.DUMMYFUNCTION("""COMPUTED_VALUE"""),"Monthly")</f>
        <v>Monthly</v>
      </c>
      <c r="J14" s="223" t="str">
        <f>IFERROR(__xludf.DUMMYFUNCTION("""COMPUTED_VALUE"""),"Monthly PPC Management, campaign creation &amp; optimization + Website Support")</f>
        <v>Monthly PPC Management, campaign creation &amp; optimization + Website Support</v>
      </c>
      <c r="K14" s="223" t="str">
        <f>IFERROR(__xludf.DUMMYFUNCTION("""COMPUTED_VALUE"""),"CAD")</f>
        <v>CAD</v>
      </c>
      <c r="L14" s="223">
        <f>IFERROR(__xludf.DUMMYFUNCTION("""COMPUTED_VALUE"""),30.0)</f>
        <v>30</v>
      </c>
      <c r="M14" s="219"/>
    </row>
    <row r="15">
      <c r="A15" s="223" t="str">
        <f>IFERROR(__xludf.DUMMYFUNCTION("""COMPUTED_VALUE"""),"PMDI : Monthly Services")</f>
        <v>PMDI : Monthly Services</v>
      </c>
      <c r="B15" s="218">
        <f>IFERROR(__xludf.DUMMYFUNCTION("""COMPUTED_VALUE"""),412.5)</f>
        <v>412.5</v>
      </c>
      <c r="C15" s="223"/>
      <c r="D15" s="223"/>
      <c r="E15" s="223"/>
      <c r="F15" s="223"/>
      <c r="G15" s="223"/>
      <c r="H15" s="223" t="str">
        <f>IFERROR(__xludf.DUMMYFUNCTION("""COMPUTED_VALUE"""),"Month End")</f>
        <v>Month End</v>
      </c>
      <c r="I15" s="223" t="str">
        <f>IFERROR(__xludf.DUMMYFUNCTION("""COMPUTED_VALUE"""),"Monthly")</f>
        <v>Monthly</v>
      </c>
      <c r="J15" s="223" t="str">
        <f>IFERROR(__xludf.DUMMYFUNCTION("""COMPUTED_VALUE"""),"Monthly advertising management, optimization and reporting.")</f>
        <v>Monthly advertising management, optimization and reporting.</v>
      </c>
      <c r="K15" s="223" t="str">
        <f>IFERROR(__xludf.DUMMYFUNCTION("""COMPUTED_VALUE"""),"CAD")</f>
        <v>CAD</v>
      </c>
      <c r="L15" s="223">
        <f>IFERROR(__xludf.DUMMYFUNCTION("""COMPUTED_VALUE"""),30.0)</f>
        <v>30</v>
      </c>
      <c r="M15" s="219"/>
    </row>
    <row r="16">
      <c r="A16" s="223" t="str">
        <f>IFERROR(__xludf.DUMMYFUNCTION("""COMPUTED_VALUE"""),"Service First : Monthly Services")</f>
        <v>Service First : Monthly Services</v>
      </c>
      <c r="B16" s="218">
        <f>IFERROR(__xludf.DUMMYFUNCTION("""COMPUTED_VALUE"""),330.0)</f>
        <v>330</v>
      </c>
      <c r="C16" s="223"/>
      <c r="D16" s="223"/>
      <c r="E16" s="223"/>
      <c r="F16" s="223"/>
      <c r="G16" s="223"/>
      <c r="H16" s="223" t="str">
        <f>IFERROR(__xludf.DUMMYFUNCTION("""COMPUTED_VALUE"""),"Month End")</f>
        <v>Month End</v>
      </c>
      <c r="I16" s="223" t="str">
        <f>IFERROR(__xludf.DUMMYFUNCTION("""COMPUTED_VALUE"""),"Monthly")</f>
        <v>Monthly</v>
      </c>
      <c r="J16" s="223" t="str">
        <f>IFERROR(__xludf.DUMMYFUNCTION("""COMPUTED_VALUE"""),"Expanded advertising engagement including FB.")</f>
        <v>Expanded advertising engagement including FB.</v>
      </c>
      <c r="K16" s="223" t="str">
        <f>IFERROR(__xludf.DUMMYFUNCTION("""COMPUTED_VALUE"""),"CAD")</f>
        <v>CAD</v>
      </c>
      <c r="L16" s="223">
        <f>IFERROR(__xludf.DUMMYFUNCTION("""COMPUTED_VALUE"""),30.0)</f>
        <v>30</v>
      </c>
      <c r="M16" s="219"/>
    </row>
    <row r="17">
      <c r="A17" s="223" t="str">
        <f>IFERROR(__xludf.DUMMYFUNCTION("""COMPUTED_VALUE"""),"Spraggs : Monthly Services")</f>
        <v>Spraggs : Monthly Services</v>
      </c>
      <c r="B17" s="218">
        <f>IFERROR(__xludf.DUMMYFUNCTION("""COMPUTED_VALUE"""),2500.0)</f>
        <v>2500</v>
      </c>
      <c r="C17" s="223"/>
      <c r="D17" s="223"/>
      <c r="E17" s="223"/>
      <c r="F17" s="223"/>
      <c r="G17" s="223"/>
      <c r="H17" s="223" t="str">
        <f>IFERROR(__xludf.DUMMYFUNCTION("""COMPUTED_VALUE"""),"Month End")</f>
        <v>Month End</v>
      </c>
      <c r="I17" s="223" t="str">
        <f>IFERROR(__xludf.DUMMYFUNCTION("""COMPUTED_VALUE"""),"Monthly")</f>
        <v>Monthly</v>
      </c>
      <c r="J17" s="223" t="str">
        <f>IFERROR(__xludf.DUMMYFUNCTION("""COMPUTED_VALUE"""),"Ongoing Marketing including advertising optimization/expansion/monitoring, blog content, blog promotion, SEO, newsletter, reporting, etc.")</f>
        <v>Ongoing Marketing including advertising optimization/expansion/monitoring, blog content, blog promotion, SEO, newsletter, reporting, etc.</v>
      </c>
      <c r="K17" s="223" t="str">
        <f>IFERROR(__xludf.DUMMYFUNCTION("""COMPUTED_VALUE"""),"CAD")</f>
        <v>CAD</v>
      </c>
      <c r="L17" s="223">
        <f>IFERROR(__xludf.DUMMYFUNCTION("""COMPUTED_VALUE"""),30.0)</f>
        <v>30</v>
      </c>
      <c r="M17" s="219"/>
    </row>
    <row r="18">
      <c r="A18" s="223" t="str">
        <f>IFERROR(__xludf.DUMMYFUNCTION("""COMPUTED_VALUE"""),"The Academy : Premium Hosting")</f>
        <v>The Academy : Premium Hosting</v>
      </c>
      <c r="B18" s="218">
        <f>IFERROR(__xludf.DUMMYFUNCTION("""COMPUTED_VALUE"""),840.0)</f>
        <v>840</v>
      </c>
      <c r="C18" s="223"/>
      <c r="D18" s="223"/>
      <c r="E18" s="223"/>
      <c r="F18" s="223"/>
      <c r="G18" s="223"/>
      <c r="H18" s="223" t="str">
        <f>IFERROR(__xludf.DUMMYFUNCTION("""COMPUTED_VALUE"""),"Month End")</f>
        <v>Month End</v>
      </c>
      <c r="I18" s="223" t="str">
        <f>IFERROR(__xludf.DUMMYFUNCTION("""COMPUTED_VALUE"""),"Yearly")</f>
        <v>Yearly</v>
      </c>
      <c r="J18" s="223" t="str">
        <f>IFERROR(__xludf.DUMMYFUNCTION("""COMPUTED_VALUE"""),"Flywheel hosting including ssl, backups, CDN, dashboard access, and live-chat support, regular plugin updates.")</f>
        <v>Flywheel hosting including ssl, backups, CDN, dashboard access, and live-chat support, regular plugin updates.</v>
      </c>
      <c r="K18" s="223" t="str">
        <f>IFERROR(__xludf.DUMMYFUNCTION("""COMPUTED_VALUE"""),"USD")</f>
        <v>USD</v>
      </c>
      <c r="L18" s="223">
        <f>IFERROR(__xludf.DUMMYFUNCTION("""COMPUTED_VALUE"""),30.0)</f>
        <v>30</v>
      </c>
      <c r="M18" s="219"/>
    </row>
    <row r="19">
      <c r="A19" s="223" t="str">
        <f>IFERROR(__xludf.DUMMYFUNCTION("""COMPUTED_VALUE"""),"TisBest : Monthly Services")</f>
        <v>TisBest : Monthly Services</v>
      </c>
      <c r="B19" s="218">
        <f>IFERROR(__xludf.DUMMYFUNCTION("""COMPUTED_VALUE"""),250.0)</f>
        <v>250</v>
      </c>
      <c r="C19" s="223"/>
      <c r="D19" s="223"/>
      <c r="E19" s="223"/>
      <c r="F19" s="223"/>
      <c r="G19" s="223"/>
      <c r="H19" s="223" t="str">
        <f>IFERROR(__xludf.DUMMYFUNCTION("""COMPUTED_VALUE"""),"Month End")</f>
        <v>Month End</v>
      </c>
      <c r="I19" s="223" t="str">
        <f>IFERROR(__xludf.DUMMYFUNCTION("""COMPUTED_VALUE"""),"Monthly")</f>
        <v>Monthly</v>
      </c>
      <c r="J19" s="223" t="str">
        <f>IFERROR(__xludf.DUMMYFUNCTION("""COMPUTED_VALUE"""),"Hosting and occasional support as needed")</f>
        <v>Hosting and occasional support as needed</v>
      </c>
      <c r="K19" s="223" t="str">
        <f>IFERROR(__xludf.DUMMYFUNCTION("""COMPUTED_VALUE"""),"USD")</f>
        <v>USD</v>
      </c>
      <c r="L19" s="223">
        <f>IFERROR(__xludf.DUMMYFUNCTION("""COMPUTED_VALUE"""),30.0)</f>
        <v>30</v>
      </c>
      <c r="M19" s="219">
        <f>IFERROR(__xludf.DUMMYFUNCTION("""COMPUTED_VALUE"""),0.2)</f>
        <v>0.2</v>
      </c>
    </row>
    <row r="20">
      <c r="A20" s="223" t="str">
        <f>IFERROR(__xludf.DUMMYFUNCTION("""COMPUTED_VALUE"""),"Tuscany : Monthly Services")</f>
        <v>Tuscany : Monthly Services</v>
      </c>
      <c r="B20" s="218">
        <f>IFERROR(__xludf.DUMMYFUNCTION("""COMPUTED_VALUE"""),2500.0)</f>
        <v>2500</v>
      </c>
      <c r="C20" s="223"/>
      <c r="D20" s="223"/>
      <c r="E20" s="223"/>
      <c r="F20" s="223"/>
      <c r="G20" s="223"/>
      <c r="H20" s="223" t="str">
        <f>IFERROR(__xludf.DUMMYFUNCTION("""COMPUTED_VALUE"""),"Month End")</f>
        <v>Month End</v>
      </c>
      <c r="I20" s="223" t="str">
        <f>IFERROR(__xludf.DUMMYFUNCTION("""COMPUTED_VALUE"""),"Monthly")</f>
        <v>Monthly</v>
      </c>
      <c r="J20" s="223" t="str">
        <f>IFERROR(__xludf.DUMMYFUNCTION("""COMPUTED_VALUE"""),"Monthly SEO, Advertising &amp; Content engagement")</f>
        <v>Monthly SEO, Advertising &amp; Content engagement</v>
      </c>
      <c r="K20" s="223" t="str">
        <f>IFERROR(__xludf.DUMMYFUNCTION("""COMPUTED_VALUE"""),"USD")</f>
        <v>USD</v>
      </c>
      <c r="L20" s="223">
        <f>IFERROR(__xludf.DUMMYFUNCTION("""COMPUTED_VALUE"""),30.0)</f>
        <v>30</v>
      </c>
      <c r="M20" s="219"/>
    </row>
    <row r="21">
      <c r="A21" s="223" t="str">
        <f>IFERROR(__xludf.DUMMYFUNCTION("""COMPUTED_VALUE"""),"Venetian : Monthly Services")</f>
        <v>Venetian : Monthly Services</v>
      </c>
      <c r="B21" s="218">
        <f>IFERROR(__xludf.DUMMYFUNCTION("""COMPUTED_VALUE"""),2500.0)</f>
        <v>2500</v>
      </c>
      <c r="C21" s="223"/>
      <c r="D21" s="223"/>
      <c r="E21" s="223"/>
      <c r="F21" s="223"/>
      <c r="G21" s="223"/>
      <c r="H21" s="223" t="str">
        <f>IFERROR(__xludf.DUMMYFUNCTION("""COMPUTED_VALUE"""),"Month End")</f>
        <v>Month End</v>
      </c>
      <c r="I21" s="223" t="str">
        <f>IFERROR(__xludf.DUMMYFUNCTION("""COMPUTED_VALUE"""),"Monthly")</f>
        <v>Monthly</v>
      </c>
      <c r="J21" s="223" t="str">
        <f>IFERROR(__xludf.DUMMYFUNCTION("""COMPUTED_VALUE"""),"Monthly SEO, Advertising &amp; Content engagement")</f>
        <v>Monthly SEO, Advertising &amp; Content engagement</v>
      </c>
      <c r="K21" s="223" t="str">
        <f>IFERROR(__xludf.DUMMYFUNCTION("""COMPUTED_VALUE"""),"USD")</f>
        <v>USD</v>
      </c>
      <c r="L21" s="223">
        <f>IFERROR(__xludf.DUMMYFUNCTION("""COMPUTED_VALUE"""),30.0)</f>
        <v>30</v>
      </c>
      <c r="M21" s="219"/>
    </row>
    <row r="22">
      <c r="A22" s="223" t="str">
        <f>IFERROR(__xludf.DUMMYFUNCTION("""COMPUTED_VALUE"""),"Wallack's Art Supplies : Monthly Services")</f>
        <v>Wallack's Art Supplies : Monthly Services</v>
      </c>
      <c r="B22" s="218">
        <f>IFERROR(__xludf.DUMMYFUNCTION("""COMPUTED_VALUE"""),770.0)</f>
        <v>770</v>
      </c>
      <c r="C22" s="223"/>
      <c r="D22" s="223"/>
      <c r="E22" s="223"/>
      <c r="F22" s="223"/>
      <c r="G22" s="223"/>
      <c r="H22" s="223" t="str">
        <f>IFERROR(__xludf.DUMMYFUNCTION("""COMPUTED_VALUE"""),"Month End")</f>
        <v>Month End</v>
      </c>
      <c r="I22" s="223" t="str">
        <f>IFERROR(__xludf.DUMMYFUNCTION("""COMPUTED_VALUE"""),"Monthly")</f>
        <v>Monthly</v>
      </c>
      <c r="J22" s="223" t="str">
        <f>IFERROR(__xludf.DUMMYFUNCTION("""COMPUTED_VALUE"""),"Monthly Google Search &amp; Shopping ad management, optimization and reporting ")</f>
        <v>Monthly Google Search &amp; Shopping ad management, optimization and reporting </v>
      </c>
      <c r="K22" s="223" t="str">
        <f>IFERROR(__xludf.DUMMYFUNCTION("""COMPUTED_VALUE"""),"CAD")</f>
        <v>CAD</v>
      </c>
      <c r="L22" s="223">
        <f>IFERROR(__xludf.DUMMYFUNCTION("""COMPUTED_VALUE"""),30.0)</f>
        <v>30</v>
      </c>
      <c r="M22" s="219"/>
    </row>
    <row r="23">
      <c r="A23" s="223" t="str">
        <f>IFERROR(__xludf.DUMMYFUNCTION("""COMPUTED_VALUE"""),"Howard Fine Jewellers : Ongoing PPC and SEO Support")</f>
        <v>Howard Fine Jewellers : Ongoing PPC and SEO Support</v>
      </c>
      <c r="B23" s="218">
        <f>IFERROR(__xludf.DUMMYFUNCTION("""COMPUTED_VALUE"""),1650.0)</f>
        <v>1650</v>
      </c>
      <c r="C23" s="223"/>
      <c r="D23" s="223"/>
      <c r="E23" s="223"/>
      <c r="F23" s="223"/>
      <c r="G23" s="223"/>
      <c r="H23" s="223" t="str">
        <f>IFERROR(__xludf.DUMMYFUNCTION("""COMPUTED_VALUE"""),"Month End")</f>
        <v>Month End</v>
      </c>
      <c r="I23" s="223" t="str">
        <f>IFERROR(__xludf.DUMMYFUNCTION("""COMPUTED_VALUE"""),"Monthly")</f>
        <v>Monthly</v>
      </c>
      <c r="J23" s="223" t="str">
        <f>IFERROR(__xludf.DUMMYFUNCTION("""COMPUTED_VALUE"""),"Facebook (3 campaigns) and Google PPC support + some monthly SEO support. Can be adjusted as needed according to priorities of the month.")</f>
        <v>Facebook (3 campaigns) and Google PPC support + some monthly SEO support. Can be adjusted as needed according to priorities of the month.</v>
      </c>
      <c r="K23" s="223" t="str">
        <f>IFERROR(__xludf.DUMMYFUNCTION("""COMPUTED_VALUE"""),"CAD")</f>
        <v>CAD</v>
      </c>
      <c r="L23" s="223">
        <f>IFERROR(__xludf.DUMMYFUNCTION("""COMPUTED_VALUE"""),30.0)</f>
        <v>30</v>
      </c>
      <c r="M23" s="219"/>
    </row>
    <row r="24">
      <c r="A24" s="223" t="str">
        <f>IFERROR(__xludf.DUMMYFUNCTION("""COMPUTED_VALUE"""),"Crisp Media : Monthly Genus Google PPC Mgmt")</f>
        <v>Crisp Media : Monthly Genus Google PPC Mgmt</v>
      </c>
      <c r="B24" s="218">
        <f>IFERROR(__xludf.DUMMYFUNCTION("""COMPUTED_VALUE"""),600.0)</f>
        <v>600</v>
      </c>
      <c r="C24" s="223"/>
      <c r="D24" s="223"/>
      <c r="E24" s="223"/>
      <c r="F24" s="223"/>
      <c r="G24" s="223"/>
      <c r="H24" s="223" t="str">
        <f>IFERROR(__xludf.DUMMYFUNCTION("""COMPUTED_VALUE"""),"Month End")</f>
        <v>Month End</v>
      </c>
      <c r="I24" s="223" t="str">
        <f>IFERROR(__xludf.DUMMYFUNCTION("""COMPUTED_VALUE"""),"Monthly")</f>
        <v>Monthly</v>
      </c>
      <c r="J24" s="223" t="str">
        <f>IFERROR(__xludf.DUMMYFUNCTION("""COMPUTED_VALUE"""),"Monthly Google PPC monitoring, optimization and reporting for Genus")</f>
        <v>Monthly Google PPC monitoring, optimization and reporting for Genus</v>
      </c>
      <c r="K24" s="223" t="str">
        <f>IFERROR(__xludf.DUMMYFUNCTION("""COMPUTED_VALUE"""),"CAD")</f>
        <v>CAD</v>
      </c>
      <c r="L24" s="223">
        <f>IFERROR(__xludf.DUMMYFUNCTION("""COMPUTED_VALUE"""),30.0)</f>
        <v>30</v>
      </c>
      <c r="M24" s="219"/>
    </row>
    <row r="25">
      <c r="A25" s="223" t="str">
        <f>IFERROR(__xludf.DUMMYFUNCTION("""COMPUTED_VALUE"""),"Big Hammer Wines : Monthly PPC")</f>
        <v>Big Hammer Wines : Monthly PPC</v>
      </c>
      <c r="B25" s="218">
        <f>IFERROR(__xludf.DUMMYFUNCTION("""COMPUTED_VALUE"""),880.0)</f>
        <v>880</v>
      </c>
      <c r="C25" s="223"/>
      <c r="D25" s="223"/>
      <c r="E25" s="223"/>
      <c r="F25" s="223"/>
      <c r="G25" s="223"/>
      <c r="H25" s="223" t="str">
        <f>IFERROR(__xludf.DUMMYFUNCTION("""COMPUTED_VALUE"""),"Month End")</f>
        <v>Month End</v>
      </c>
      <c r="I25" s="223" t="str">
        <f>IFERROR(__xludf.DUMMYFUNCTION("""COMPUTED_VALUE"""),"Monthly")</f>
        <v>Monthly</v>
      </c>
      <c r="J25" s="223" t="str">
        <f>IFERROR(__xludf.DUMMYFUNCTION("""COMPUTED_VALUE"""),"Monthly PPC review, optimization, and report")</f>
        <v>Monthly PPC review, optimization, and report</v>
      </c>
      <c r="K25" s="223" t="str">
        <f>IFERROR(__xludf.DUMMYFUNCTION("""COMPUTED_VALUE"""),"USD")</f>
        <v>USD</v>
      </c>
      <c r="L25" s="223">
        <f>IFERROR(__xludf.DUMMYFUNCTION("""COMPUTED_VALUE"""),0.0)</f>
        <v>0</v>
      </c>
      <c r="M25" s="219"/>
    </row>
    <row r="26">
      <c r="A26" s="223" t="str">
        <f>IFERROR(__xludf.DUMMYFUNCTION("""COMPUTED_VALUE"""),"Sacred Deathcare : Maintainance Retainer")</f>
        <v>Sacred Deathcare : Maintainance Retainer</v>
      </c>
      <c r="B26" s="218">
        <f>IFERROR(__xludf.DUMMYFUNCTION("""COMPUTED_VALUE"""),250.0)</f>
        <v>250</v>
      </c>
      <c r="C26" s="223"/>
      <c r="D26" s="223"/>
      <c r="E26" s="223"/>
      <c r="F26" s="223"/>
      <c r="G26" s="223"/>
      <c r="H26" s="223" t="str">
        <f>IFERROR(__xludf.DUMMYFUNCTION("""COMPUTED_VALUE"""),"Month End")</f>
        <v>Month End</v>
      </c>
      <c r="I26" s="223" t="str">
        <f>IFERROR(__xludf.DUMMYFUNCTION("""COMPUTED_VALUE"""),"Monthly")</f>
        <v>Monthly</v>
      </c>
      <c r="J26" s="223" t="str">
        <f>IFERROR(__xludf.DUMMYFUNCTION("""COMPUTED_VALUE"""),"General website support as needed")</f>
        <v>General website support as needed</v>
      </c>
      <c r="K26" s="223" t="str">
        <f>IFERROR(__xludf.DUMMYFUNCTION("""COMPUTED_VALUE"""),"CAD")</f>
        <v>CAD</v>
      </c>
      <c r="L26" s="223">
        <f>IFERROR(__xludf.DUMMYFUNCTION("""COMPUTED_VALUE"""),30.0)</f>
        <v>30</v>
      </c>
      <c r="M26" s="219"/>
    </row>
    <row r="27">
      <c r="A27" s="223" t="str">
        <f>IFERROR(__xludf.DUMMYFUNCTION("""COMPUTED_VALUE"""),"Luxe Bridal LLC : Monthly PPC")</f>
        <v>Luxe Bridal LLC : Monthly PPC</v>
      </c>
      <c r="B27" s="218">
        <f>IFERROR(__xludf.DUMMYFUNCTION("""COMPUTED_VALUE"""),1750.0)</f>
        <v>1750</v>
      </c>
      <c r="C27" s="223"/>
      <c r="D27" s="223"/>
      <c r="E27" s="223"/>
      <c r="F27" s="223"/>
      <c r="G27" s="223"/>
      <c r="H27" s="223" t="str">
        <f>IFERROR(__xludf.DUMMYFUNCTION("""COMPUTED_VALUE"""),"Month End")</f>
        <v>Month End</v>
      </c>
      <c r="I27" s="223" t="str">
        <f>IFERROR(__xludf.DUMMYFUNCTION("""COMPUTED_VALUE"""),"Monthly")</f>
        <v>Monthly</v>
      </c>
      <c r="J27" s="223" t="str">
        <f>IFERROR(__xludf.DUMMYFUNCTION("""COMPUTED_VALUE"""),"Monthly Google PPC, Analytics Support, Strategic Support, Pinterest Ads &amp; Reporting for Luxe Redux.")</f>
        <v>Monthly Google PPC, Analytics Support, Strategic Support, Pinterest Ads &amp; Reporting for Luxe Redux.</v>
      </c>
      <c r="K27" s="223" t="str">
        <f>IFERROR(__xludf.DUMMYFUNCTION("""COMPUTED_VALUE"""),"USD")</f>
        <v>USD</v>
      </c>
      <c r="L27" s="223">
        <f>IFERROR(__xludf.DUMMYFUNCTION("""COMPUTED_VALUE"""),15.0)</f>
        <v>15</v>
      </c>
      <c r="M27" s="219">
        <f>IFERROR(__xludf.DUMMYFUNCTION("""COMPUTED_VALUE"""),0.2)</f>
        <v>0.2</v>
      </c>
    </row>
    <row r="28">
      <c r="A28" s="223" t="str">
        <f>IFERROR(__xludf.DUMMYFUNCTION("""COMPUTED_VALUE"""),"Luxe Bridal LLC (LJM) : Monthly PPC")</f>
        <v>Luxe Bridal LLC (LJM) : Monthly PPC</v>
      </c>
      <c r="B28" s="218">
        <f>IFERROR(__xludf.DUMMYFUNCTION("""COMPUTED_VALUE"""),750.0)</f>
        <v>750</v>
      </c>
      <c r="C28" s="223"/>
      <c r="D28" s="223"/>
      <c r="E28" s="223"/>
      <c r="F28" s="223"/>
      <c r="G28" s="223"/>
      <c r="H28" s="223" t="str">
        <f>IFERROR(__xludf.DUMMYFUNCTION("""COMPUTED_VALUE"""),"Month End")</f>
        <v>Month End</v>
      </c>
      <c r="I28" s="223" t="str">
        <f>IFERROR(__xludf.DUMMYFUNCTION("""COMPUTED_VALUE"""),"Monthly")</f>
        <v>Monthly</v>
      </c>
      <c r="J28" s="223" t="str">
        <f>IFERROR(__xludf.DUMMYFUNCTION("""COMPUTED_VALUE"""),"Monthly Google PPC, Analytics Support, Strategic Support, Pinterest Ads &amp; Reporting for La Jeune Mariee.")</f>
        <v>Monthly Google PPC, Analytics Support, Strategic Support, Pinterest Ads &amp; Reporting for La Jeune Mariee.</v>
      </c>
      <c r="K28" s="223" t="str">
        <f>IFERROR(__xludf.DUMMYFUNCTION("""COMPUTED_VALUE"""),"USD")</f>
        <v>USD</v>
      </c>
      <c r="L28" s="223">
        <f>IFERROR(__xludf.DUMMYFUNCTION("""COMPUTED_VALUE"""),15.0)</f>
        <v>15</v>
      </c>
      <c r="M28" s="219">
        <f>IFERROR(__xludf.DUMMYFUNCTION("""COMPUTED_VALUE"""),0.2)</f>
        <v>0.2</v>
      </c>
    </row>
    <row r="29">
      <c r="B29" s="218"/>
      <c r="M29" s="219"/>
    </row>
    <row r="30">
      <c r="B30" s="218"/>
      <c r="M30" s="219"/>
    </row>
    <row r="31">
      <c r="B31" s="218"/>
      <c r="M31" s="219"/>
    </row>
    <row r="32">
      <c r="B32" s="218"/>
      <c r="M32" s="219"/>
    </row>
    <row r="33">
      <c r="B33" s="218"/>
      <c r="M33" s="219"/>
    </row>
    <row r="34">
      <c r="B34" s="218"/>
      <c r="M34" s="219"/>
    </row>
    <row r="35">
      <c r="B35" s="218"/>
      <c r="M35" s="219"/>
    </row>
    <row r="36">
      <c r="B36" s="218"/>
      <c r="M36" s="219"/>
    </row>
    <row r="37">
      <c r="B37" s="218"/>
      <c r="M37" s="219"/>
    </row>
    <row r="38">
      <c r="B38" s="218"/>
      <c r="M38" s="219"/>
    </row>
    <row r="39">
      <c r="B39" s="218"/>
      <c r="M39" s="219"/>
    </row>
    <row r="40">
      <c r="B40" s="218"/>
      <c r="M40" s="219"/>
    </row>
    <row r="41">
      <c r="B41" s="218"/>
      <c r="M41" s="219"/>
    </row>
    <row r="42">
      <c r="B42" s="218"/>
      <c r="M42" s="219"/>
    </row>
    <row r="43">
      <c r="B43" s="218"/>
      <c r="M43" s="219"/>
    </row>
    <row r="44">
      <c r="B44" s="218"/>
      <c r="M44" s="219"/>
    </row>
    <row r="45">
      <c r="B45" s="218"/>
      <c r="M45" s="219"/>
    </row>
    <row r="46">
      <c r="B46" s="218"/>
      <c r="M46" s="219"/>
    </row>
    <row r="47">
      <c r="B47" s="218"/>
      <c r="M47" s="219"/>
    </row>
    <row r="48">
      <c r="B48" s="218"/>
      <c r="M48" s="219"/>
    </row>
    <row r="49">
      <c r="B49" s="218"/>
      <c r="M49" s="219"/>
    </row>
    <row r="50">
      <c r="B50" s="218"/>
      <c r="M50" s="219"/>
    </row>
    <row r="51">
      <c r="B51" s="218"/>
      <c r="M51" s="219"/>
    </row>
    <row r="52">
      <c r="B52" s="218"/>
      <c r="M52" s="219"/>
    </row>
    <row r="53">
      <c r="B53" s="218"/>
      <c r="M53" s="219"/>
    </row>
    <row r="54">
      <c r="B54" s="218"/>
      <c r="M54" s="219"/>
    </row>
    <row r="55">
      <c r="B55" s="218"/>
      <c r="M55" s="219"/>
    </row>
    <row r="56">
      <c r="B56" s="218"/>
      <c r="M56" s="219"/>
    </row>
    <row r="57">
      <c r="B57" s="218"/>
      <c r="M57" s="219"/>
    </row>
    <row r="58">
      <c r="B58" s="218"/>
      <c r="M58" s="219"/>
    </row>
    <row r="59">
      <c r="B59" s="218"/>
      <c r="M59" s="219"/>
    </row>
    <row r="60">
      <c r="B60" s="218"/>
      <c r="M60" s="219"/>
    </row>
    <row r="61">
      <c r="B61" s="218"/>
      <c r="M61" s="219"/>
    </row>
    <row r="62">
      <c r="B62" s="218"/>
      <c r="M62" s="219"/>
    </row>
    <row r="63">
      <c r="B63" s="218"/>
      <c r="M63" s="219"/>
    </row>
    <row r="64">
      <c r="B64" s="218"/>
      <c r="M64" s="219"/>
    </row>
    <row r="65">
      <c r="B65" s="218"/>
      <c r="M65" s="219"/>
    </row>
    <row r="66">
      <c r="B66" s="218"/>
      <c r="M66" s="219"/>
    </row>
    <row r="67">
      <c r="B67" s="218"/>
      <c r="M67" s="219"/>
    </row>
    <row r="68">
      <c r="B68" s="218"/>
      <c r="M68" s="219"/>
    </row>
    <row r="69">
      <c r="B69" s="218"/>
      <c r="M69" s="219"/>
    </row>
    <row r="70">
      <c r="B70" s="218"/>
      <c r="M70" s="219"/>
    </row>
    <row r="71">
      <c r="B71" s="218"/>
      <c r="M71" s="219"/>
    </row>
    <row r="72">
      <c r="B72" s="218"/>
      <c r="M72" s="219"/>
    </row>
    <row r="73">
      <c r="B73" s="218"/>
      <c r="M73" s="219"/>
    </row>
    <row r="74">
      <c r="B74" s="218"/>
      <c r="M74" s="219"/>
    </row>
    <row r="75">
      <c r="B75" s="218"/>
      <c r="M75" s="219"/>
    </row>
    <row r="76">
      <c r="B76" s="218"/>
      <c r="M76" s="219"/>
    </row>
    <row r="77">
      <c r="B77" s="218"/>
      <c r="M77" s="219"/>
    </row>
    <row r="78">
      <c r="B78" s="218"/>
      <c r="M78" s="219"/>
    </row>
    <row r="79">
      <c r="B79" s="218"/>
      <c r="M79" s="219"/>
    </row>
    <row r="80">
      <c r="B80" s="218"/>
      <c r="M80" s="219"/>
    </row>
    <row r="81">
      <c r="B81" s="218"/>
      <c r="M81" s="219"/>
    </row>
    <row r="82">
      <c r="B82" s="218"/>
      <c r="M82" s="219"/>
    </row>
    <row r="83">
      <c r="B83" s="218"/>
      <c r="M83" s="219"/>
    </row>
    <row r="84">
      <c r="B84" s="218"/>
      <c r="M84" s="219"/>
    </row>
    <row r="85">
      <c r="B85" s="218"/>
      <c r="M85" s="219"/>
    </row>
    <row r="86">
      <c r="B86" s="218"/>
      <c r="M86" s="219"/>
    </row>
    <row r="87">
      <c r="B87" s="218"/>
      <c r="M87" s="219"/>
    </row>
    <row r="88">
      <c r="B88" s="218"/>
      <c r="M88" s="219"/>
    </row>
    <row r="89">
      <c r="B89" s="218"/>
      <c r="M89" s="219"/>
    </row>
    <row r="90">
      <c r="B90" s="218"/>
      <c r="M90" s="219"/>
    </row>
    <row r="91">
      <c r="B91" s="218"/>
      <c r="M91" s="219"/>
    </row>
    <row r="92">
      <c r="B92" s="218"/>
      <c r="M92" s="219"/>
    </row>
    <row r="93">
      <c r="B93" s="218"/>
      <c r="M93" s="219"/>
    </row>
    <row r="94">
      <c r="B94" s="218"/>
      <c r="M94" s="219"/>
    </row>
    <row r="95">
      <c r="B95" s="218"/>
      <c r="M95" s="219"/>
    </row>
    <row r="96">
      <c r="B96" s="218"/>
      <c r="M96" s="219"/>
    </row>
    <row r="97">
      <c r="B97" s="218"/>
      <c r="M97" s="219"/>
    </row>
    <row r="98">
      <c r="B98" s="218"/>
      <c r="M98" s="219"/>
    </row>
    <row r="99">
      <c r="B99" s="218"/>
      <c r="M99" s="219"/>
    </row>
    <row r="100">
      <c r="B100" s="218"/>
      <c r="M100" s="219"/>
    </row>
    <row r="101">
      <c r="B101" s="218"/>
      <c r="M101" s="219"/>
    </row>
    <row r="102">
      <c r="B102" s="218"/>
      <c r="M102" s="219"/>
    </row>
    <row r="103">
      <c r="B103" s="218"/>
      <c r="M103" s="219"/>
    </row>
    <row r="104">
      <c r="B104" s="218"/>
      <c r="M104" s="219"/>
    </row>
    <row r="105">
      <c r="B105" s="218"/>
      <c r="M105" s="219"/>
    </row>
    <row r="106">
      <c r="B106" s="218"/>
      <c r="M106" s="219"/>
    </row>
    <row r="107">
      <c r="B107" s="218"/>
      <c r="M107" s="219"/>
    </row>
    <row r="108">
      <c r="B108" s="218"/>
      <c r="M108" s="219"/>
    </row>
    <row r="109">
      <c r="B109" s="218"/>
      <c r="M109" s="219"/>
    </row>
    <row r="110">
      <c r="B110" s="218"/>
      <c r="M110" s="219"/>
    </row>
    <row r="111">
      <c r="B111" s="218"/>
      <c r="M111" s="219"/>
    </row>
    <row r="112">
      <c r="B112" s="218"/>
      <c r="M112" s="219"/>
    </row>
    <row r="113">
      <c r="B113" s="218"/>
      <c r="M113" s="219"/>
    </row>
    <row r="114">
      <c r="B114" s="218"/>
      <c r="M114" s="219"/>
    </row>
    <row r="115">
      <c r="B115" s="218"/>
      <c r="M115" s="219"/>
    </row>
    <row r="116">
      <c r="B116" s="218"/>
      <c r="M116" s="219"/>
    </row>
    <row r="117">
      <c r="B117" s="218"/>
      <c r="M117" s="219"/>
    </row>
    <row r="118">
      <c r="B118" s="218"/>
      <c r="M118" s="219"/>
    </row>
    <row r="119">
      <c r="B119" s="218"/>
      <c r="M119" s="219"/>
    </row>
    <row r="120">
      <c r="B120" s="218"/>
      <c r="M120" s="219"/>
    </row>
    <row r="121">
      <c r="B121" s="218"/>
      <c r="M121" s="219"/>
    </row>
    <row r="122">
      <c r="B122" s="218"/>
      <c r="M122" s="219"/>
    </row>
    <row r="123">
      <c r="B123" s="218"/>
      <c r="M123" s="219"/>
    </row>
    <row r="124">
      <c r="B124" s="218"/>
      <c r="M124" s="219"/>
    </row>
    <row r="125">
      <c r="B125" s="218"/>
      <c r="M125" s="219"/>
    </row>
    <row r="126">
      <c r="B126" s="218"/>
      <c r="M126" s="219"/>
    </row>
    <row r="127">
      <c r="B127" s="218"/>
      <c r="M127" s="219"/>
    </row>
    <row r="128">
      <c r="B128" s="218"/>
      <c r="M128" s="219"/>
    </row>
    <row r="129">
      <c r="B129" s="218"/>
      <c r="M129" s="219"/>
    </row>
    <row r="130">
      <c r="B130" s="218"/>
      <c r="M130" s="219"/>
    </row>
    <row r="131">
      <c r="B131" s="218"/>
      <c r="M131" s="219"/>
    </row>
    <row r="132">
      <c r="B132" s="218"/>
      <c r="M132" s="219"/>
    </row>
    <row r="133">
      <c r="B133" s="218"/>
      <c r="M133" s="219"/>
    </row>
    <row r="134">
      <c r="B134" s="218"/>
      <c r="M134" s="219"/>
    </row>
    <row r="135">
      <c r="B135" s="218"/>
      <c r="M135" s="219"/>
    </row>
    <row r="136">
      <c r="B136" s="218"/>
      <c r="M136" s="219"/>
    </row>
    <row r="137">
      <c r="B137" s="218"/>
      <c r="M137" s="219"/>
    </row>
    <row r="138">
      <c r="B138" s="218"/>
      <c r="M138" s="219"/>
    </row>
    <row r="139">
      <c r="B139" s="218"/>
      <c r="M139" s="219"/>
    </row>
    <row r="140">
      <c r="B140" s="218"/>
      <c r="M140" s="219"/>
    </row>
    <row r="141">
      <c r="B141" s="218"/>
      <c r="M141" s="219"/>
    </row>
    <row r="142">
      <c r="B142" s="218"/>
      <c r="M142" s="219"/>
    </row>
    <row r="143">
      <c r="B143" s="218"/>
      <c r="M143" s="219"/>
    </row>
    <row r="144">
      <c r="B144" s="218"/>
      <c r="M144" s="219"/>
    </row>
    <row r="145">
      <c r="B145" s="218"/>
      <c r="M145" s="219"/>
    </row>
    <row r="146">
      <c r="B146" s="218"/>
      <c r="M146" s="219"/>
    </row>
    <row r="147">
      <c r="B147" s="218"/>
      <c r="M147" s="219"/>
    </row>
    <row r="148">
      <c r="B148" s="218"/>
      <c r="M148" s="219"/>
    </row>
    <row r="149">
      <c r="B149" s="218"/>
      <c r="M149" s="219"/>
    </row>
    <row r="150">
      <c r="B150" s="218"/>
      <c r="M150" s="219"/>
    </row>
    <row r="151">
      <c r="B151" s="218"/>
      <c r="M151" s="219"/>
    </row>
    <row r="152">
      <c r="B152" s="218"/>
      <c r="M152" s="219"/>
    </row>
    <row r="153">
      <c r="B153" s="218"/>
      <c r="M153" s="219"/>
    </row>
    <row r="154">
      <c r="B154" s="218"/>
      <c r="M154" s="219"/>
    </row>
    <row r="155">
      <c r="B155" s="218"/>
      <c r="M155" s="219"/>
    </row>
    <row r="156">
      <c r="B156" s="218"/>
      <c r="M156" s="219"/>
    </row>
    <row r="157">
      <c r="B157" s="218"/>
      <c r="M157" s="219"/>
    </row>
    <row r="158">
      <c r="B158" s="218"/>
      <c r="M158" s="219"/>
    </row>
    <row r="159">
      <c r="B159" s="218"/>
      <c r="M159" s="219"/>
    </row>
    <row r="160">
      <c r="B160" s="218"/>
      <c r="M160" s="219"/>
    </row>
    <row r="161">
      <c r="B161" s="218"/>
      <c r="M161" s="219"/>
    </row>
    <row r="162">
      <c r="B162" s="218"/>
      <c r="M162" s="219"/>
    </row>
    <row r="163">
      <c r="B163" s="218"/>
      <c r="M163" s="219"/>
    </row>
    <row r="164">
      <c r="B164" s="218"/>
      <c r="M164" s="219"/>
    </row>
    <row r="165">
      <c r="B165" s="218"/>
      <c r="M165" s="219"/>
    </row>
    <row r="166">
      <c r="B166" s="218"/>
      <c r="M166" s="219"/>
    </row>
    <row r="167">
      <c r="B167" s="218"/>
      <c r="M167" s="219"/>
    </row>
    <row r="168">
      <c r="B168" s="218"/>
      <c r="M168" s="219"/>
    </row>
    <row r="169">
      <c r="B169" s="218"/>
      <c r="M169" s="219"/>
    </row>
    <row r="170">
      <c r="B170" s="218"/>
      <c r="M170" s="219"/>
    </row>
    <row r="171">
      <c r="B171" s="218"/>
      <c r="M171" s="219"/>
    </row>
    <row r="172">
      <c r="B172" s="218"/>
      <c r="M172" s="219"/>
    </row>
    <row r="173">
      <c r="B173" s="218"/>
      <c r="M173" s="219"/>
    </row>
    <row r="174">
      <c r="B174" s="218"/>
      <c r="M174" s="219"/>
    </row>
    <row r="175">
      <c r="B175" s="218"/>
      <c r="M175" s="219"/>
    </row>
    <row r="176">
      <c r="B176" s="218"/>
      <c r="M176" s="219"/>
    </row>
    <row r="177">
      <c r="B177" s="218"/>
      <c r="M177" s="219"/>
    </row>
    <row r="178">
      <c r="B178" s="218"/>
      <c r="M178" s="219"/>
    </row>
    <row r="179">
      <c r="B179" s="218"/>
      <c r="M179" s="219"/>
    </row>
    <row r="180">
      <c r="B180" s="218"/>
      <c r="M180" s="219"/>
    </row>
    <row r="181">
      <c r="B181" s="218"/>
      <c r="M181" s="219"/>
    </row>
    <row r="182">
      <c r="B182" s="218"/>
      <c r="M182" s="219"/>
    </row>
    <row r="183">
      <c r="B183" s="218"/>
      <c r="M183" s="219"/>
    </row>
    <row r="184">
      <c r="B184" s="218"/>
      <c r="M184" s="219"/>
    </row>
    <row r="185">
      <c r="B185" s="218"/>
      <c r="M185" s="219"/>
    </row>
    <row r="186">
      <c r="B186" s="218"/>
      <c r="M186" s="219"/>
    </row>
    <row r="187">
      <c r="B187" s="218"/>
      <c r="M187" s="219"/>
    </row>
    <row r="188">
      <c r="B188" s="218"/>
      <c r="M188" s="219"/>
    </row>
    <row r="189">
      <c r="B189" s="218"/>
      <c r="M189" s="219"/>
    </row>
    <row r="190">
      <c r="B190" s="218"/>
      <c r="M190" s="219"/>
    </row>
    <row r="191">
      <c r="B191" s="218"/>
      <c r="M191" s="219"/>
    </row>
    <row r="192">
      <c r="B192" s="218"/>
      <c r="M192" s="219"/>
    </row>
    <row r="193">
      <c r="B193" s="218"/>
      <c r="M193" s="219"/>
    </row>
    <row r="194">
      <c r="B194" s="218"/>
      <c r="M194" s="219"/>
    </row>
    <row r="195">
      <c r="B195" s="218"/>
      <c r="M195" s="219"/>
    </row>
    <row r="196">
      <c r="B196" s="218"/>
      <c r="M196" s="219"/>
    </row>
    <row r="197">
      <c r="B197" s="218"/>
      <c r="M197" s="219"/>
    </row>
    <row r="198">
      <c r="B198" s="218"/>
      <c r="M198" s="219"/>
    </row>
    <row r="199">
      <c r="B199" s="218"/>
      <c r="M199" s="219"/>
    </row>
    <row r="200">
      <c r="B200" s="218"/>
      <c r="M200" s="219"/>
    </row>
    <row r="201">
      <c r="B201" s="218"/>
      <c r="M201" s="219"/>
    </row>
    <row r="202">
      <c r="B202" s="218"/>
      <c r="M202" s="219"/>
    </row>
    <row r="203">
      <c r="B203" s="218"/>
      <c r="M203" s="219"/>
    </row>
    <row r="204">
      <c r="B204" s="218"/>
      <c r="M204" s="219"/>
    </row>
    <row r="205">
      <c r="B205" s="218"/>
      <c r="M205" s="219"/>
    </row>
    <row r="206">
      <c r="B206" s="218"/>
      <c r="M206" s="219"/>
    </row>
    <row r="207">
      <c r="B207" s="218"/>
      <c r="M207" s="219"/>
    </row>
    <row r="208">
      <c r="B208" s="218"/>
      <c r="M208" s="219"/>
    </row>
    <row r="209">
      <c r="B209" s="218"/>
      <c r="M209" s="219"/>
    </row>
    <row r="210">
      <c r="B210" s="218"/>
      <c r="M210" s="219"/>
    </row>
    <row r="211">
      <c r="B211" s="218"/>
      <c r="M211" s="219"/>
    </row>
    <row r="212">
      <c r="B212" s="218"/>
      <c r="M212" s="219"/>
    </row>
    <row r="213">
      <c r="B213" s="218"/>
      <c r="M213" s="219"/>
    </row>
    <row r="214">
      <c r="B214" s="218"/>
      <c r="M214" s="219"/>
    </row>
    <row r="215">
      <c r="B215" s="218"/>
      <c r="M215" s="219"/>
    </row>
    <row r="216">
      <c r="B216" s="218"/>
      <c r="M216" s="219"/>
    </row>
    <row r="217">
      <c r="B217" s="218"/>
      <c r="M217" s="219"/>
    </row>
    <row r="218">
      <c r="B218" s="218"/>
      <c r="M218" s="219"/>
    </row>
    <row r="219">
      <c r="B219" s="218"/>
      <c r="M219" s="219"/>
    </row>
    <row r="220">
      <c r="B220" s="218"/>
      <c r="M220" s="219"/>
    </row>
    <row r="221">
      <c r="B221" s="218"/>
      <c r="M221" s="219"/>
    </row>
    <row r="222">
      <c r="B222" s="218"/>
      <c r="M222" s="219"/>
    </row>
    <row r="223">
      <c r="B223" s="218"/>
      <c r="M223" s="219"/>
    </row>
    <row r="224">
      <c r="B224" s="218"/>
      <c r="M224" s="219"/>
    </row>
    <row r="225">
      <c r="B225" s="218"/>
      <c r="M225" s="219"/>
    </row>
    <row r="226">
      <c r="B226" s="218"/>
      <c r="M226" s="219"/>
    </row>
    <row r="227">
      <c r="B227" s="218"/>
      <c r="M227" s="219"/>
    </row>
    <row r="228">
      <c r="B228" s="218"/>
      <c r="M228" s="219"/>
    </row>
    <row r="229">
      <c r="B229" s="218"/>
      <c r="M229" s="219"/>
    </row>
    <row r="230">
      <c r="B230" s="218"/>
      <c r="M230" s="219"/>
    </row>
    <row r="231">
      <c r="B231" s="218"/>
      <c r="M231" s="219"/>
    </row>
    <row r="232">
      <c r="B232" s="218"/>
      <c r="M232" s="219"/>
    </row>
    <row r="233">
      <c r="B233" s="218"/>
      <c r="M233" s="219"/>
    </row>
    <row r="234">
      <c r="B234" s="218"/>
      <c r="M234" s="219"/>
    </row>
    <row r="235">
      <c r="B235" s="218"/>
      <c r="M235" s="219"/>
    </row>
    <row r="236">
      <c r="B236" s="218"/>
      <c r="M236" s="219"/>
    </row>
    <row r="237">
      <c r="B237" s="218"/>
      <c r="M237" s="219"/>
    </row>
    <row r="238">
      <c r="B238" s="218"/>
      <c r="M238" s="219"/>
    </row>
    <row r="239">
      <c r="B239" s="218"/>
      <c r="M239" s="219"/>
    </row>
    <row r="240">
      <c r="B240" s="218"/>
      <c r="M240" s="219"/>
    </row>
    <row r="241">
      <c r="B241" s="218"/>
      <c r="M241" s="219"/>
    </row>
    <row r="242">
      <c r="B242" s="218"/>
      <c r="M242" s="219"/>
    </row>
    <row r="243">
      <c r="B243" s="218"/>
      <c r="M243" s="219"/>
    </row>
    <row r="244">
      <c r="B244" s="218"/>
      <c r="M244" s="219"/>
    </row>
    <row r="245">
      <c r="B245" s="218"/>
      <c r="M245" s="219"/>
    </row>
    <row r="246">
      <c r="B246" s="218"/>
      <c r="M246" s="219"/>
    </row>
    <row r="247">
      <c r="B247" s="218"/>
      <c r="M247" s="219"/>
    </row>
    <row r="248">
      <c r="B248" s="218"/>
      <c r="M248" s="219"/>
    </row>
    <row r="249">
      <c r="B249" s="218"/>
      <c r="M249" s="219"/>
    </row>
    <row r="250">
      <c r="B250" s="218"/>
      <c r="M250" s="219"/>
    </row>
    <row r="251">
      <c r="B251" s="218"/>
      <c r="M251" s="219"/>
    </row>
    <row r="252">
      <c r="B252" s="218"/>
      <c r="M252" s="219"/>
    </row>
    <row r="253">
      <c r="B253" s="218"/>
      <c r="M253" s="219"/>
    </row>
    <row r="254">
      <c r="B254" s="218"/>
      <c r="M254" s="219"/>
    </row>
    <row r="255">
      <c r="B255" s="218"/>
      <c r="M255" s="219"/>
    </row>
    <row r="256">
      <c r="B256" s="218"/>
      <c r="M256" s="219"/>
    </row>
    <row r="257">
      <c r="B257" s="218"/>
      <c r="M257" s="219"/>
    </row>
    <row r="258">
      <c r="B258" s="218"/>
      <c r="M258" s="219"/>
    </row>
    <row r="259">
      <c r="B259" s="218"/>
      <c r="M259" s="219"/>
    </row>
    <row r="260">
      <c r="B260" s="218"/>
      <c r="M260" s="219"/>
    </row>
    <row r="261">
      <c r="B261" s="218"/>
      <c r="M261" s="219"/>
    </row>
    <row r="262">
      <c r="B262" s="218"/>
      <c r="M262" s="219"/>
    </row>
    <row r="263">
      <c r="B263" s="218"/>
      <c r="M263" s="219"/>
    </row>
    <row r="264">
      <c r="B264" s="218"/>
      <c r="M264" s="219"/>
    </row>
    <row r="265">
      <c r="B265" s="218"/>
      <c r="M265" s="219"/>
    </row>
    <row r="266">
      <c r="B266" s="218"/>
      <c r="M266" s="219"/>
    </row>
    <row r="267">
      <c r="B267" s="218"/>
      <c r="M267" s="219"/>
    </row>
    <row r="268">
      <c r="B268" s="218"/>
      <c r="M268" s="219"/>
    </row>
    <row r="269">
      <c r="B269" s="218"/>
      <c r="M269" s="219"/>
    </row>
    <row r="270">
      <c r="B270" s="218"/>
      <c r="M270" s="219"/>
    </row>
    <row r="271">
      <c r="B271" s="218"/>
      <c r="M271" s="219"/>
    </row>
    <row r="272">
      <c r="B272" s="218"/>
      <c r="M272" s="219"/>
    </row>
    <row r="273">
      <c r="B273" s="218"/>
      <c r="M273" s="219"/>
    </row>
    <row r="274">
      <c r="B274" s="218"/>
      <c r="M274" s="219"/>
    </row>
    <row r="275">
      <c r="B275" s="218"/>
      <c r="M275" s="219"/>
    </row>
    <row r="276">
      <c r="B276" s="218"/>
      <c r="M276" s="219"/>
    </row>
    <row r="277">
      <c r="B277" s="218"/>
      <c r="M277" s="219"/>
    </row>
    <row r="278">
      <c r="B278" s="218"/>
      <c r="M278" s="219"/>
    </row>
    <row r="279">
      <c r="B279" s="218"/>
      <c r="M279" s="219"/>
    </row>
    <row r="280">
      <c r="B280" s="218"/>
      <c r="M280" s="219"/>
    </row>
    <row r="281">
      <c r="B281" s="218"/>
      <c r="M281" s="219"/>
    </row>
    <row r="282">
      <c r="B282" s="218"/>
      <c r="M282" s="219"/>
    </row>
    <row r="283">
      <c r="B283" s="218"/>
      <c r="M283" s="219"/>
    </row>
    <row r="284">
      <c r="B284" s="218"/>
      <c r="M284" s="219"/>
    </row>
    <row r="285">
      <c r="B285" s="218"/>
      <c r="M285" s="219"/>
    </row>
    <row r="286">
      <c r="B286" s="218"/>
      <c r="M286" s="219"/>
    </row>
    <row r="287">
      <c r="B287" s="218"/>
      <c r="M287" s="219"/>
    </row>
    <row r="288">
      <c r="B288" s="218"/>
      <c r="M288" s="219"/>
    </row>
    <row r="289">
      <c r="B289" s="218"/>
      <c r="M289" s="219"/>
    </row>
    <row r="290">
      <c r="B290" s="218"/>
      <c r="M290" s="219"/>
    </row>
    <row r="291">
      <c r="B291" s="218"/>
      <c r="M291" s="219"/>
    </row>
    <row r="292">
      <c r="B292" s="218"/>
      <c r="M292" s="219"/>
    </row>
    <row r="293">
      <c r="B293" s="218"/>
      <c r="M293" s="219"/>
    </row>
    <row r="294">
      <c r="B294" s="218"/>
      <c r="M294" s="219"/>
    </row>
    <row r="295">
      <c r="B295" s="218"/>
      <c r="M295" s="219"/>
    </row>
    <row r="296">
      <c r="B296" s="218"/>
      <c r="M296" s="219"/>
    </row>
    <row r="297">
      <c r="B297" s="218"/>
      <c r="M297" s="219"/>
    </row>
    <row r="298">
      <c r="B298" s="218"/>
      <c r="M298" s="219"/>
    </row>
    <row r="299">
      <c r="B299" s="218"/>
      <c r="M299" s="219"/>
    </row>
    <row r="300">
      <c r="B300" s="218"/>
      <c r="M300" s="219"/>
    </row>
    <row r="301">
      <c r="B301" s="218"/>
      <c r="M301" s="219"/>
    </row>
    <row r="302">
      <c r="B302" s="218"/>
      <c r="M302" s="219"/>
    </row>
    <row r="303">
      <c r="B303" s="218"/>
      <c r="M303" s="219"/>
    </row>
    <row r="304">
      <c r="B304" s="218"/>
      <c r="M304" s="219"/>
    </row>
    <row r="305">
      <c r="B305" s="218"/>
      <c r="M305" s="219"/>
    </row>
    <row r="306">
      <c r="B306" s="218"/>
      <c r="M306" s="219"/>
    </row>
    <row r="307">
      <c r="B307" s="218"/>
      <c r="M307" s="219"/>
    </row>
    <row r="308">
      <c r="B308" s="218"/>
      <c r="M308" s="219"/>
    </row>
    <row r="309">
      <c r="B309" s="218"/>
      <c r="M309" s="219"/>
    </row>
    <row r="310">
      <c r="B310" s="218"/>
      <c r="M310" s="219"/>
    </row>
    <row r="311">
      <c r="B311" s="218"/>
      <c r="M311" s="219"/>
    </row>
    <row r="312">
      <c r="B312" s="218"/>
      <c r="M312" s="219"/>
    </row>
    <row r="313">
      <c r="B313" s="218"/>
      <c r="M313" s="219"/>
    </row>
    <row r="314">
      <c r="B314" s="218"/>
      <c r="M314" s="219"/>
    </row>
    <row r="315">
      <c r="B315" s="218"/>
      <c r="M315" s="219"/>
    </row>
    <row r="316">
      <c r="B316" s="218"/>
      <c r="M316" s="219"/>
    </row>
    <row r="317">
      <c r="B317" s="218"/>
      <c r="M317" s="219"/>
    </row>
    <row r="318">
      <c r="B318" s="218"/>
      <c r="M318" s="219"/>
    </row>
    <row r="319">
      <c r="B319" s="218"/>
      <c r="M319" s="219"/>
    </row>
    <row r="320">
      <c r="B320" s="218"/>
      <c r="M320" s="219"/>
    </row>
    <row r="321">
      <c r="B321" s="218"/>
      <c r="M321" s="219"/>
    </row>
    <row r="322">
      <c r="B322" s="218"/>
      <c r="M322" s="219"/>
    </row>
    <row r="323">
      <c r="B323" s="218"/>
      <c r="M323" s="219"/>
    </row>
    <row r="324">
      <c r="B324" s="218"/>
      <c r="M324" s="219"/>
    </row>
    <row r="325">
      <c r="B325" s="218"/>
      <c r="M325" s="219"/>
    </row>
    <row r="326">
      <c r="B326" s="218"/>
      <c r="M326" s="219"/>
    </row>
    <row r="327">
      <c r="B327" s="218"/>
      <c r="M327" s="219"/>
    </row>
    <row r="328">
      <c r="B328" s="218"/>
      <c r="M328" s="219"/>
    </row>
    <row r="329">
      <c r="B329" s="218"/>
      <c r="M329" s="219"/>
    </row>
    <row r="330">
      <c r="B330" s="218"/>
      <c r="M330" s="219"/>
    </row>
    <row r="331">
      <c r="B331" s="218"/>
      <c r="M331" s="219"/>
    </row>
    <row r="332">
      <c r="B332" s="218"/>
      <c r="M332" s="219"/>
    </row>
    <row r="333">
      <c r="B333" s="218"/>
      <c r="M333" s="219"/>
    </row>
    <row r="334">
      <c r="B334" s="218"/>
      <c r="M334" s="219"/>
    </row>
    <row r="335">
      <c r="B335" s="218"/>
      <c r="M335" s="219"/>
    </row>
    <row r="336">
      <c r="B336" s="218"/>
      <c r="M336" s="219"/>
    </row>
    <row r="337">
      <c r="B337" s="218"/>
      <c r="M337" s="219"/>
    </row>
    <row r="338">
      <c r="B338" s="218"/>
      <c r="M338" s="219"/>
    </row>
    <row r="339">
      <c r="B339" s="218"/>
      <c r="M339" s="219"/>
    </row>
    <row r="340">
      <c r="B340" s="218"/>
      <c r="M340" s="219"/>
    </row>
    <row r="341">
      <c r="B341" s="218"/>
      <c r="M341" s="219"/>
    </row>
    <row r="342">
      <c r="B342" s="218"/>
      <c r="M342" s="219"/>
    </row>
    <row r="343">
      <c r="B343" s="218"/>
      <c r="M343" s="219"/>
    </row>
    <row r="344">
      <c r="B344" s="218"/>
      <c r="M344" s="219"/>
    </row>
    <row r="345">
      <c r="B345" s="218"/>
      <c r="M345" s="219"/>
    </row>
    <row r="346">
      <c r="B346" s="218"/>
      <c r="M346" s="219"/>
    </row>
    <row r="347">
      <c r="B347" s="218"/>
      <c r="M347" s="219"/>
    </row>
    <row r="348">
      <c r="B348" s="218"/>
      <c r="M348" s="219"/>
    </row>
    <row r="349">
      <c r="B349" s="218"/>
      <c r="M349" s="219"/>
    </row>
    <row r="350">
      <c r="B350" s="218"/>
      <c r="M350" s="219"/>
    </row>
    <row r="351">
      <c r="B351" s="218"/>
      <c r="M351" s="219"/>
    </row>
    <row r="352">
      <c r="B352" s="218"/>
      <c r="M352" s="219"/>
    </row>
    <row r="353">
      <c r="B353" s="218"/>
      <c r="M353" s="219"/>
    </row>
    <row r="354">
      <c r="B354" s="218"/>
      <c r="M354" s="219"/>
    </row>
    <row r="355">
      <c r="B355" s="218"/>
      <c r="M355" s="219"/>
    </row>
    <row r="356">
      <c r="B356" s="218"/>
      <c r="M356" s="219"/>
    </row>
    <row r="357">
      <c r="B357" s="218"/>
      <c r="M357" s="219"/>
    </row>
    <row r="358">
      <c r="B358" s="218"/>
      <c r="M358" s="219"/>
    </row>
    <row r="359">
      <c r="B359" s="218"/>
      <c r="M359" s="219"/>
    </row>
    <row r="360">
      <c r="B360" s="218"/>
      <c r="M360" s="219"/>
    </row>
    <row r="361">
      <c r="B361" s="218"/>
      <c r="M361" s="219"/>
    </row>
    <row r="362">
      <c r="B362" s="218"/>
      <c r="M362" s="219"/>
    </row>
    <row r="363">
      <c r="B363" s="218"/>
      <c r="M363" s="219"/>
    </row>
    <row r="364">
      <c r="B364" s="218"/>
      <c r="M364" s="219"/>
    </row>
    <row r="365">
      <c r="B365" s="218"/>
      <c r="M365" s="219"/>
    </row>
    <row r="366">
      <c r="B366" s="218"/>
      <c r="M366" s="219"/>
    </row>
    <row r="367">
      <c r="B367" s="218"/>
      <c r="M367" s="219"/>
    </row>
    <row r="368">
      <c r="B368" s="218"/>
      <c r="M368" s="219"/>
    </row>
    <row r="369">
      <c r="B369" s="218"/>
      <c r="M369" s="219"/>
    </row>
    <row r="370">
      <c r="B370" s="218"/>
      <c r="M370" s="219"/>
    </row>
    <row r="371">
      <c r="B371" s="218"/>
      <c r="M371" s="219"/>
    </row>
    <row r="372">
      <c r="B372" s="218"/>
      <c r="M372" s="219"/>
    </row>
    <row r="373">
      <c r="B373" s="218"/>
      <c r="M373" s="219"/>
    </row>
    <row r="374">
      <c r="B374" s="218"/>
      <c r="M374" s="219"/>
    </row>
    <row r="375">
      <c r="B375" s="218"/>
      <c r="M375" s="219"/>
    </row>
    <row r="376">
      <c r="B376" s="218"/>
      <c r="M376" s="219"/>
    </row>
    <row r="377">
      <c r="B377" s="218"/>
      <c r="M377" s="219"/>
    </row>
    <row r="378">
      <c r="B378" s="218"/>
      <c r="M378" s="219"/>
    </row>
    <row r="379">
      <c r="B379" s="218"/>
      <c r="M379" s="219"/>
    </row>
    <row r="380">
      <c r="B380" s="218"/>
      <c r="M380" s="219"/>
    </row>
    <row r="381">
      <c r="B381" s="218"/>
      <c r="M381" s="219"/>
    </row>
    <row r="382">
      <c r="B382" s="218"/>
      <c r="M382" s="219"/>
    </row>
    <row r="383">
      <c r="B383" s="218"/>
      <c r="M383" s="219"/>
    </row>
    <row r="384">
      <c r="B384" s="218"/>
      <c r="M384" s="219"/>
    </row>
    <row r="385">
      <c r="B385" s="218"/>
      <c r="M385" s="219"/>
    </row>
    <row r="386">
      <c r="B386" s="218"/>
      <c r="M386" s="219"/>
    </row>
    <row r="387">
      <c r="B387" s="218"/>
      <c r="M387" s="219"/>
    </row>
    <row r="388">
      <c r="B388" s="218"/>
      <c r="M388" s="219"/>
    </row>
    <row r="389">
      <c r="B389" s="218"/>
      <c r="M389" s="219"/>
    </row>
    <row r="390">
      <c r="B390" s="218"/>
      <c r="M390" s="219"/>
    </row>
    <row r="391">
      <c r="B391" s="218"/>
      <c r="M391" s="219"/>
    </row>
    <row r="392">
      <c r="B392" s="218"/>
      <c r="M392" s="219"/>
    </row>
    <row r="393">
      <c r="B393" s="218"/>
      <c r="M393" s="219"/>
    </row>
    <row r="394">
      <c r="B394" s="218"/>
      <c r="M394" s="219"/>
    </row>
    <row r="395">
      <c r="B395" s="218"/>
      <c r="M395" s="219"/>
    </row>
    <row r="396">
      <c r="B396" s="218"/>
      <c r="M396" s="219"/>
    </row>
    <row r="397">
      <c r="B397" s="218"/>
      <c r="M397" s="219"/>
    </row>
    <row r="398">
      <c r="B398" s="218"/>
      <c r="M398" s="219"/>
    </row>
    <row r="399">
      <c r="B399" s="218"/>
      <c r="M399" s="219"/>
    </row>
    <row r="400">
      <c r="B400" s="218"/>
      <c r="M400" s="219"/>
    </row>
    <row r="401">
      <c r="B401" s="218"/>
      <c r="M401" s="219"/>
    </row>
    <row r="402">
      <c r="B402" s="218"/>
      <c r="M402" s="219"/>
    </row>
    <row r="403">
      <c r="B403" s="218"/>
      <c r="M403" s="219"/>
    </row>
    <row r="404">
      <c r="B404" s="218"/>
      <c r="M404" s="219"/>
    </row>
    <row r="405">
      <c r="B405" s="218"/>
      <c r="M405" s="219"/>
    </row>
    <row r="406">
      <c r="B406" s="218"/>
      <c r="M406" s="219"/>
    </row>
    <row r="407">
      <c r="B407" s="218"/>
      <c r="M407" s="219"/>
    </row>
    <row r="408">
      <c r="B408" s="218"/>
      <c r="M408" s="219"/>
    </row>
    <row r="409">
      <c r="B409" s="218"/>
      <c r="M409" s="219"/>
    </row>
    <row r="410">
      <c r="B410" s="218"/>
      <c r="M410" s="219"/>
    </row>
    <row r="411">
      <c r="B411" s="218"/>
      <c r="M411" s="219"/>
    </row>
    <row r="412">
      <c r="B412" s="218"/>
      <c r="M412" s="219"/>
    </row>
    <row r="413">
      <c r="B413" s="218"/>
      <c r="M413" s="219"/>
    </row>
    <row r="414">
      <c r="B414" s="218"/>
      <c r="M414" s="219"/>
    </row>
    <row r="415">
      <c r="B415" s="218"/>
      <c r="M415" s="219"/>
    </row>
    <row r="416">
      <c r="B416" s="218"/>
      <c r="M416" s="219"/>
    </row>
    <row r="417">
      <c r="B417" s="218"/>
      <c r="M417" s="219"/>
    </row>
    <row r="418">
      <c r="B418" s="218"/>
      <c r="M418" s="219"/>
    </row>
    <row r="419">
      <c r="B419" s="218"/>
      <c r="M419" s="219"/>
    </row>
    <row r="420">
      <c r="B420" s="218"/>
      <c r="M420" s="219"/>
    </row>
    <row r="421">
      <c r="B421" s="218"/>
      <c r="M421" s="219"/>
    </row>
    <row r="422">
      <c r="B422" s="218"/>
      <c r="M422" s="219"/>
    </row>
    <row r="423">
      <c r="B423" s="218"/>
      <c r="M423" s="219"/>
    </row>
    <row r="424">
      <c r="B424" s="218"/>
      <c r="M424" s="219"/>
    </row>
    <row r="425">
      <c r="B425" s="218"/>
      <c r="M425" s="219"/>
    </row>
    <row r="426">
      <c r="B426" s="218"/>
      <c r="M426" s="219"/>
    </row>
    <row r="427">
      <c r="B427" s="218"/>
      <c r="M427" s="219"/>
    </row>
    <row r="428">
      <c r="B428" s="218"/>
      <c r="M428" s="219"/>
    </row>
    <row r="429">
      <c r="B429" s="218"/>
      <c r="M429" s="219"/>
    </row>
    <row r="430">
      <c r="B430" s="218"/>
      <c r="M430" s="219"/>
    </row>
    <row r="431">
      <c r="B431" s="218"/>
      <c r="M431" s="219"/>
    </row>
    <row r="432">
      <c r="B432" s="218"/>
      <c r="M432" s="219"/>
    </row>
    <row r="433">
      <c r="B433" s="218"/>
      <c r="M433" s="219"/>
    </row>
    <row r="434">
      <c r="B434" s="218"/>
      <c r="M434" s="219"/>
    </row>
    <row r="435">
      <c r="B435" s="218"/>
      <c r="M435" s="219"/>
    </row>
    <row r="436">
      <c r="B436" s="218"/>
      <c r="M436" s="219"/>
    </row>
    <row r="437">
      <c r="B437" s="218"/>
      <c r="M437" s="219"/>
    </row>
    <row r="438">
      <c r="B438" s="218"/>
      <c r="M438" s="219"/>
    </row>
    <row r="439">
      <c r="B439" s="218"/>
      <c r="M439" s="219"/>
    </row>
    <row r="440">
      <c r="B440" s="218"/>
      <c r="M440" s="219"/>
    </row>
    <row r="441">
      <c r="B441" s="218"/>
      <c r="M441" s="219"/>
    </row>
    <row r="442">
      <c r="B442" s="218"/>
      <c r="M442" s="219"/>
    </row>
    <row r="443">
      <c r="B443" s="218"/>
      <c r="M443" s="219"/>
    </row>
    <row r="444">
      <c r="B444" s="218"/>
      <c r="M444" s="219"/>
    </row>
    <row r="445">
      <c r="B445" s="218"/>
      <c r="M445" s="219"/>
    </row>
    <row r="446">
      <c r="B446" s="218"/>
      <c r="M446" s="219"/>
    </row>
    <row r="447">
      <c r="B447" s="218"/>
      <c r="M447" s="219"/>
    </row>
    <row r="448">
      <c r="B448" s="218"/>
      <c r="M448" s="219"/>
    </row>
    <row r="449">
      <c r="B449" s="218"/>
      <c r="M449" s="219"/>
    </row>
    <row r="450">
      <c r="B450" s="218"/>
      <c r="M450" s="219"/>
    </row>
    <row r="451">
      <c r="B451" s="218"/>
      <c r="M451" s="219"/>
    </row>
    <row r="452">
      <c r="B452" s="218"/>
      <c r="M452" s="219"/>
    </row>
    <row r="453">
      <c r="B453" s="218"/>
      <c r="M453" s="219"/>
    </row>
    <row r="454">
      <c r="B454" s="218"/>
      <c r="M454" s="219"/>
    </row>
    <row r="455">
      <c r="B455" s="218"/>
      <c r="M455" s="219"/>
    </row>
    <row r="456">
      <c r="B456" s="218"/>
      <c r="M456" s="219"/>
    </row>
    <row r="457">
      <c r="B457" s="218"/>
      <c r="M457" s="219"/>
    </row>
    <row r="458">
      <c r="B458" s="218"/>
      <c r="M458" s="219"/>
    </row>
    <row r="459">
      <c r="B459" s="218"/>
      <c r="M459" s="219"/>
    </row>
    <row r="460">
      <c r="B460" s="218"/>
      <c r="M460" s="219"/>
    </row>
    <row r="461">
      <c r="B461" s="218"/>
      <c r="M461" s="219"/>
    </row>
    <row r="462">
      <c r="B462" s="218"/>
      <c r="M462" s="219"/>
    </row>
    <row r="463">
      <c r="B463" s="218"/>
      <c r="M463" s="219"/>
    </row>
    <row r="464">
      <c r="B464" s="218"/>
      <c r="M464" s="219"/>
    </row>
    <row r="465">
      <c r="B465" s="218"/>
      <c r="M465" s="219"/>
    </row>
    <row r="466">
      <c r="B466" s="218"/>
      <c r="M466" s="219"/>
    </row>
    <row r="467">
      <c r="B467" s="218"/>
      <c r="M467" s="219"/>
    </row>
    <row r="468">
      <c r="B468" s="218"/>
      <c r="M468" s="219"/>
    </row>
    <row r="469">
      <c r="B469" s="218"/>
      <c r="M469" s="219"/>
    </row>
    <row r="470">
      <c r="B470" s="218"/>
      <c r="M470" s="219"/>
    </row>
    <row r="471">
      <c r="B471" s="218"/>
      <c r="M471" s="219"/>
    </row>
    <row r="472">
      <c r="B472" s="218"/>
      <c r="M472" s="219"/>
    </row>
    <row r="473">
      <c r="B473" s="218"/>
      <c r="M473" s="219"/>
    </row>
    <row r="474">
      <c r="B474" s="218"/>
      <c r="M474" s="219"/>
    </row>
    <row r="475">
      <c r="B475" s="218"/>
      <c r="M475" s="219"/>
    </row>
    <row r="476">
      <c r="B476" s="218"/>
      <c r="M476" s="219"/>
    </row>
    <row r="477">
      <c r="B477" s="218"/>
      <c r="M477" s="219"/>
    </row>
    <row r="478">
      <c r="B478" s="218"/>
      <c r="M478" s="219"/>
    </row>
    <row r="479">
      <c r="B479" s="218"/>
      <c r="M479" s="219"/>
    </row>
    <row r="480">
      <c r="B480" s="218"/>
      <c r="M480" s="219"/>
    </row>
    <row r="481">
      <c r="B481" s="218"/>
      <c r="M481" s="219"/>
    </row>
    <row r="482">
      <c r="B482" s="218"/>
      <c r="M482" s="219"/>
    </row>
    <row r="483">
      <c r="B483" s="218"/>
      <c r="M483" s="219"/>
    </row>
    <row r="484">
      <c r="B484" s="218"/>
      <c r="M484" s="219"/>
    </row>
    <row r="485">
      <c r="B485" s="218"/>
      <c r="M485" s="219"/>
    </row>
    <row r="486">
      <c r="B486" s="218"/>
      <c r="M486" s="219"/>
    </row>
    <row r="487">
      <c r="B487" s="218"/>
      <c r="M487" s="219"/>
    </row>
    <row r="488">
      <c r="B488" s="218"/>
      <c r="M488" s="219"/>
    </row>
    <row r="489">
      <c r="B489" s="218"/>
      <c r="M489" s="219"/>
    </row>
    <row r="490">
      <c r="B490" s="218"/>
      <c r="M490" s="219"/>
    </row>
    <row r="491">
      <c r="B491" s="218"/>
      <c r="M491" s="219"/>
    </row>
    <row r="492">
      <c r="B492" s="218"/>
      <c r="M492" s="219"/>
    </row>
    <row r="493">
      <c r="B493" s="218"/>
      <c r="M493" s="219"/>
    </row>
    <row r="494">
      <c r="B494" s="218"/>
      <c r="M494" s="219"/>
    </row>
    <row r="495">
      <c r="B495" s="218"/>
      <c r="M495" s="219"/>
    </row>
    <row r="496">
      <c r="B496" s="218"/>
      <c r="M496" s="219"/>
    </row>
    <row r="497">
      <c r="B497" s="218"/>
      <c r="M497" s="219"/>
    </row>
    <row r="498">
      <c r="B498" s="218"/>
      <c r="M498" s="219"/>
    </row>
    <row r="499">
      <c r="B499" s="218"/>
      <c r="M499" s="219"/>
    </row>
    <row r="500">
      <c r="B500" s="218"/>
      <c r="M500" s="219"/>
    </row>
    <row r="501">
      <c r="B501" s="218"/>
      <c r="M501" s="219"/>
    </row>
    <row r="502">
      <c r="B502" s="218"/>
      <c r="M502" s="219"/>
    </row>
    <row r="503">
      <c r="B503" s="218"/>
      <c r="M503" s="219"/>
    </row>
    <row r="504">
      <c r="B504" s="218"/>
      <c r="M504" s="219"/>
    </row>
    <row r="505">
      <c r="B505" s="218"/>
      <c r="M505" s="219"/>
    </row>
    <row r="506">
      <c r="B506" s="218"/>
      <c r="M506" s="219"/>
    </row>
    <row r="507">
      <c r="B507" s="218"/>
      <c r="M507" s="219"/>
    </row>
    <row r="508">
      <c r="B508" s="218"/>
      <c r="M508" s="219"/>
    </row>
    <row r="509">
      <c r="B509" s="218"/>
      <c r="M509" s="219"/>
    </row>
    <row r="510">
      <c r="B510" s="218"/>
      <c r="M510" s="219"/>
    </row>
    <row r="511">
      <c r="B511" s="218"/>
      <c r="M511" s="219"/>
    </row>
    <row r="512">
      <c r="B512" s="218"/>
      <c r="M512" s="219"/>
    </row>
    <row r="513">
      <c r="B513" s="218"/>
      <c r="M513" s="219"/>
    </row>
    <row r="514">
      <c r="B514" s="218"/>
      <c r="M514" s="219"/>
    </row>
    <row r="515">
      <c r="B515" s="218"/>
      <c r="M515" s="219"/>
    </row>
    <row r="516">
      <c r="B516" s="218"/>
      <c r="M516" s="219"/>
    </row>
    <row r="517">
      <c r="B517" s="218"/>
      <c r="M517" s="219"/>
    </row>
    <row r="518">
      <c r="B518" s="218"/>
      <c r="M518" s="219"/>
    </row>
    <row r="519">
      <c r="B519" s="218"/>
      <c r="M519" s="219"/>
    </row>
    <row r="520">
      <c r="B520" s="218"/>
      <c r="M520" s="219"/>
    </row>
    <row r="521">
      <c r="B521" s="218"/>
      <c r="M521" s="219"/>
    </row>
    <row r="522">
      <c r="B522" s="218"/>
      <c r="M522" s="219"/>
    </row>
    <row r="523">
      <c r="B523" s="218"/>
      <c r="M523" s="219"/>
    </row>
    <row r="524">
      <c r="B524" s="218"/>
      <c r="M524" s="219"/>
    </row>
    <row r="525">
      <c r="B525" s="218"/>
      <c r="M525" s="219"/>
    </row>
    <row r="526">
      <c r="B526" s="218"/>
      <c r="M526" s="219"/>
    </row>
    <row r="527">
      <c r="B527" s="218"/>
      <c r="M527" s="219"/>
    </row>
    <row r="528">
      <c r="B528" s="218"/>
      <c r="M528" s="219"/>
    </row>
    <row r="529">
      <c r="B529" s="218"/>
      <c r="M529" s="219"/>
    </row>
    <row r="530">
      <c r="B530" s="218"/>
      <c r="M530" s="219"/>
    </row>
    <row r="531">
      <c r="B531" s="218"/>
      <c r="M531" s="219"/>
    </row>
    <row r="532">
      <c r="B532" s="218"/>
      <c r="M532" s="219"/>
    </row>
    <row r="533">
      <c r="B533" s="218"/>
      <c r="M533" s="219"/>
    </row>
    <row r="534">
      <c r="B534" s="218"/>
      <c r="M534" s="219"/>
    </row>
    <row r="535">
      <c r="B535" s="218"/>
      <c r="M535" s="219"/>
    </row>
    <row r="536">
      <c r="B536" s="218"/>
      <c r="M536" s="219"/>
    </row>
    <row r="537">
      <c r="B537" s="218"/>
      <c r="M537" s="219"/>
    </row>
    <row r="538">
      <c r="B538" s="218"/>
      <c r="M538" s="219"/>
    </row>
    <row r="539">
      <c r="B539" s="218"/>
      <c r="M539" s="219"/>
    </row>
    <row r="540">
      <c r="B540" s="218"/>
      <c r="M540" s="219"/>
    </row>
    <row r="541">
      <c r="B541" s="218"/>
      <c r="M541" s="219"/>
    </row>
    <row r="542">
      <c r="B542" s="218"/>
      <c r="M542" s="219"/>
    </row>
    <row r="543">
      <c r="B543" s="218"/>
      <c r="M543" s="219"/>
    </row>
    <row r="544">
      <c r="B544" s="218"/>
      <c r="M544" s="219"/>
    </row>
    <row r="545">
      <c r="B545" s="218"/>
      <c r="M545" s="219"/>
    </row>
    <row r="546">
      <c r="B546" s="218"/>
      <c r="M546" s="219"/>
    </row>
    <row r="547">
      <c r="B547" s="218"/>
      <c r="M547" s="219"/>
    </row>
    <row r="548">
      <c r="B548" s="218"/>
      <c r="M548" s="219"/>
    </row>
    <row r="549">
      <c r="B549" s="218"/>
      <c r="M549" s="219"/>
    </row>
    <row r="550">
      <c r="B550" s="218"/>
      <c r="M550" s="219"/>
    </row>
    <row r="551">
      <c r="B551" s="218"/>
      <c r="M551" s="219"/>
    </row>
    <row r="552">
      <c r="B552" s="218"/>
      <c r="M552" s="219"/>
    </row>
    <row r="553">
      <c r="B553" s="218"/>
      <c r="M553" s="219"/>
    </row>
    <row r="554">
      <c r="B554" s="218"/>
      <c r="M554" s="219"/>
    </row>
    <row r="555">
      <c r="B555" s="218"/>
      <c r="M555" s="219"/>
    </row>
    <row r="556">
      <c r="B556" s="218"/>
      <c r="M556" s="219"/>
    </row>
    <row r="557">
      <c r="B557" s="218"/>
      <c r="M557" s="219"/>
    </row>
    <row r="558">
      <c r="B558" s="218"/>
      <c r="M558" s="219"/>
    </row>
    <row r="559">
      <c r="B559" s="218"/>
      <c r="M559" s="219"/>
    </row>
    <row r="560">
      <c r="B560" s="218"/>
      <c r="M560" s="219"/>
    </row>
    <row r="561">
      <c r="B561" s="218"/>
      <c r="M561" s="219"/>
    </row>
    <row r="562">
      <c r="B562" s="218"/>
      <c r="M562" s="219"/>
    </row>
    <row r="563">
      <c r="B563" s="218"/>
      <c r="M563" s="219"/>
    </row>
    <row r="564">
      <c r="B564" s="218"/>
      <c r="M564" s="219"/>
    </row>
    <row r="565">
      <c r="B565" s="218"/>
      <c r="M565" s="219"/>
    </row>
    <row r="566">
      <c r="B566" s="218"/>
      <c r="M566" s="219"/>
    </row>
    <row r="567">
      <c r="B567" s="218"/>
      <c r="M567" s="219"/>
    </row>
    <row r="568">
      <c r="B568" s="218"/>
      <c r="M568" s="219"/>
    </row>
    <row r="569">
      <c r="B569" s="218"/>
      <c r="M569" s="219"/>
    </row>
    <row r="570">
      <c r="B570" s="218"/>
      <c r="M570" s="219"/>
    </row>
    <row r="571">
      <c r="B571" s="218"/>
      <c r="M571" s="219"/>
    </row>
    <row r="572">
      <c r="B572" s="218"/>
      <c r="M572" s="219"/>
    </row>
    <row r="573">
      <c r="B573" s="218"/>
      <c r="M573" s="219"/>
    </row>
    <row r="574">
      <c r="B574" s="218"/>
      <c r="M574" s="219"/>
    </row>
    <row r="575">
      <c r="B575" s="218"/>
      <c r="M575" s="219"/>
    </row>
    <row r="576">
      <c r="B576" s="218"/>
      <c r="M576" s="219"/>
    </row>
    <row r="577">
      <c r="B577" s="218"/>
      <c r="M577" s="219"/>
    </row>
    <row r="578">
      <c r="B578" s="218"/>
      <c r="M578" s="219"/>
    </row>
    <row r="579">
      <c r="B579" s="218"/>
      <c r="M579" s="219"/>
    </row>
    <row r="580">
      <c r="B580" s="218"/>
      <c r="M580" s="219"/>
    </row>
    <row r="581">
      <c r="B581" s="218"/>
      <c r="M581" s="219"/>
    </row>
    <row r="582">
      <c r="B582" s="218"/>
      <c r="M582" s="219"/>
    </row>
    <row r="583">
      <c r="B583" s="218"/>
      <c r="M583" s="219"/>
    </row>
    <row r="584">
      <c r="B584" s="218"/>
      <c r="M584" s="219"/>
    </row>
    <row r="585">
      <c r="B585" s="218"/>
      <c r="M585" s="219"/>
    </row>
    <row r="586">
      <c r="B586" s="218"/>
      <c r="M586" s="219"/>
    </row>
    <row r="587">
      <c r="B587" s="218"/>
      <c r="M587" s="219"/>
    </row>
    <row r="588">
      <c r="B588" s="218"/>
      <c r="M588" s="219"/>
    </row>
    <row r="589">
      <c r="B589" s="218"/>
      <c r="M589" s="219"/>
    </row>
    <row r="590">
      <c r="B590" s="218"/>
      <c r="M590" s="219"/>
    </row>
    <row r="591">
      <c r="B591" s="218"/>
      <c r="M591" s="219"/>
    </row>
    <row r="592">
      <c r="B592" s="218"/>
      <c r="M592" s="219"/>
    </row>
    <row r="593">
      <c r="B593" s="218"/>
      <c r="M593" s="219"/>
    </row>
    <row r="594">
      <c r="B594" s="218"/>
      <c r="M594" s="219"/>
    </row>
    <row r="595">
      <c r="B595" s="218"/>
      <c r="M595" s="219"/>
    </row>
    <row r="596">
      <c r="B596" s="218"/>
      <c r="M596" s="219"/>
    </row>
    <row r="597">
      <c r="B597" s="218"/>
      <c r="M597" s="219"/>
    </row>
    <row r="598">
      <c r="B598" s="218"/>
      <c r="M598" s="219"/>
    </row>
    <row r="599">
      <c r="B599" s="218"/>
      <c r="M599" s="219"/>
    </row>
    <row r="600">
      <c r="B600" s="218"/>
      <c r="M600" s="219"/>
    </row>
    <row r="601">
      <c r="B601" s="218"/>
      <c r="M601" s="219"/>
    </row>
    <row r="602">
      <c r="B602" s="218"/>
      <c r="M602" s="219"/>
    </row>
    <row r="603">
      <c r="B603" s="218"/>
      <c r="M603" s="219"/>
    </row>
    <row r="604">
      <c r="B604" s="218"/>
      <c r="M604" s="219"/>
    </row>
    <row r="605">
      <c r="B605" s="218"/>
      <c r="M605" s="219"/>
    </row>
    <row r="606">
      <c r="B606" s="218"/>
      <c r="M606" s="219"/>
    </row>
    <row r="607">
      <c r="B607" s="218"/>
      <c r="M607" s="219"/>
    </row>
    <row r="608">
      <c r="B608" s="218"/>
      <c r="M608" s="219"/>
    </row>
    <row r="609">
      <c r="B609" s="218"/>
      <c r="M609" s="219"/>
    </row>
    <row r="610">
      <c r="B610" s="218"/>
      <c r="M610" s="219"/>
    </row>
    <row r="611">
      <c r="B611" s="218"/>
      <c r="M611" s="219"/>
    </row>
    <row r="612">
      <c r="B612" s="218"/>
      <c r="M612" s="219"/>
    </row>
    <row r="613">
      <c r="B613" s="218"/>
      <c r="M613" s="219"/>
    </row>
    <row r="614">
      <c r="B614" s="218"/>
      <c r="M614" s="219"/>
    </row>
    <row r="615">
      <c r="B615" s="218"/>
      <c r="M615" s="219"/>
    </row>
    <row r="616">
      <c r="B616" s="218"/>
      <c r="M616" s="219"/>
    </row>
    <row r="617">
      <c r="B617" s="218"/>
      <c r="M617" s="219"/>
    </row>
    <row r="618">
      <c r="B618" s="218"/>
      <c r="M618" s="219"/>
    </row>
    <row r="619">
      <c r="B619" s="218"/>
      <c r="M619" s="219"/>
    </row>
    <row r="620">
      <c r="B620" s="218"/>
      <c r="M620" s="219"/>
    </row>
    <row r="621">
      <c r="B621" s="218"/>
      <c r="M621" s="219"/>
    </row>
    <row r="622">
      <c r="B622" s="218"/>
      <c r="M622" s="219"/>
    </row>
    <row r="623">
      <c r="B623" s="218"/>
      <c r="M623" s="219"/>
    </row>
    <row r="624">
      <c r="B624" s="218"/>
      <c r="M624" s="219"/>
    </row>
    <row r="625">
      <c r="B625" s="218"/>
      <c r="M625" s="219"/>
    </row>
    <row r="626">
      <c r="B626" s="218"/>
      <c r="M626" s="219"/>
    </row>
    <row r="627">
      <c r="B627" s="218"/>
      <c r="M627" s="219"/>
    </row>
    <row r="628">
      <c r="B628" s="218"/>
      <c r="M628" s="219"/>
    </row>
    <row r="629">
      <c r="B629" s="218"/>
      <c r="M629" s="219"/>
    </row>
    <row r="630">
      <c r="B630" s="218"/>
      <c r="M630" s="219"/>
    </row>
    <row r="631">
      <c r="B631" s="218"/>
      <c r="M631" s="219"/>
    </row>
    <row r="632">
      <c r="B632" s="218"/>
      <c r="M632" s="219"/>
    </row>
    <row r="633">
      <c r="B633" s="218"/>
      <c r="M633" s="219"/>
    </row>
    <row r="634">
      <c r="B634" s="218"/>
      <c r="M634" s="219"/>
    </row>
    <row r="635">
      <c r="B635" s="218"/>
      <c r="M635" s="219"/>
    </row>
    <row r="636">
      <c r="B636" s="218"/>
      <c r="M636" s="219"/>
    </row>
    <row r="637">
      <c r="B637" s="218"/>
      <c r="M637" s="219"/>
    </row>
    <row r="638">
      <c r="B638" s="218"/>
      <c r="M638" s="219"/>
    </row>
    <row r="639">
      <c r="B639" s="218"/>
      <c r="M639" s="219"/>
    </row>
    <row r="640">
      <c r="B640" s="218"/>
      <c r="M640" s="219"/>
    </row>
    <row r="641">
      <c r="B641" s="218"/>
      <c r="M641" s="219"/>
    </row>
    <row r="642">
      <c r="B642" s="218"/>
      <c r="M642" s="219"/>
    </row>
    <row r="643">
      <c r="B643" s="218"/>
      <c r="M643" s="219"/>
    </row>
    <row r="644">
      <c r="B644" s="218"/>
      <c r="M644" s="219"/>
    </row>
    <row r="645">
      <c r="B645" s="218"/>
      <c r="M645" s="219"/>
    </row>
    <row r="646">
      <c r="B646" s="218"/>
      <c r="M646" s="219"/>
    </row>
    <row r="647">
      <c r="B647" s="218"/>
      <c r="M647" s="219"/>
    </row>
    <row r="648">
      <c r="B648" s="218"/>
      <c r="M648" s="219"/>
    </row>
    <row r="649">
      <c r="B649" s="218"/>
      <c r="M649" s="219"/>
    </row>
    <row r="650">
      <c r="B650" s="218"/>
      <c r="M650" s="219"/>
    </row>
    <row r="651">
      <c r="B651" s="218"/>
      <c r="M651" s="219"/>
    </row>
    <row r="652">
      <c r="B652" s="218"/>
      <c r="M652" s="219"/>
    </row>
    <row r="653">
      <c r="B653" s="218"/>
      <c r="M653" s="219"/>
    </row>
    <row r="654">
      <c r="B654" s="218"/>
      <c r="M654" s="219"/>
    </row>
    <row r="655">
      <c r="B655" s="218"/>
      <c r="M655" s="219"/>
    </row>
    <row r="656">
      <c r="B656" s="218"/>
      <c r="M656" s="219"/>
    </row>
    <row r="657">
      <c r="B657" s="218"/>
      <c r="M657" s="219"/>
    </row>
    <row r="658">
      <c r="B658" s="218"/>
      <c r="M658" s="219"/>
    </row>
    <row r="659">
      <c r="B659" s="218"/>
      <c r="M659" s="219"/>
    </row>
    <row r="660">
      <c r="B660" s="218"/>
      <c r="M660" s="219"/>
    </row>
    <row r="661">
      <c r="B661" s="218"/>
      <c r="M661" s="219"/>
    </row>
    <row r="662">
      <c r="B662" s="218"/>
      <c r="M662" s="219"/>
    </row>
    <row r="663">
      <c r="B663" s="218"/>
      <c r="M663" s="219"/>
    </row>
    <row r="664">
      <c r="B664" s="218"/>
      <c r="M664" s="219"/>
    </row>
    <row r="665">
      <c r="B665" s="218"/>
      <c r="M665" s="219"/>
    </row>
    <row r="666">
      <c r="B666" s="218"/>
      <c r="M666" s="219"/>
    </row>
    <row r="667">
      <c r="B667" s="218"/>
      <c r="M667" s="219"/>
    </row>
    <row r="668">
      <c r="B668" s="218"/>
      <c r="M668" s="219"/>
    </row>
    <row r="669">
      <c r="B669" s="218"/>
      <c r="M669" s="219"/>
    </row>
    <row r="670">
      <c r="B670" s="218"/>
      <c r="M670" s="219"/>
    </row>
    <row r="671">
      <c r="B671" s="218"/>
      <c r="M671" s="219"/>
    </row>
    <row r="672">
      <c r="B672" s="218"/>
      <c r="M672" s="219"/>
    </row>
    <row r="673">
      <c r="B673" s="218"/>
      <c r="M673" s="219"/>
    </row>
    <row r="674">
      <c r="B674" s="218"/>
      <c r="M674" s="219"/>
    </row>
    <row r="675">
      <c r="B675" s="218"/>
      <c r="M675" s="219"/>
    </row>
    <row r="676">
      <c r="B676" s="218"/>
      <c r="M676" s="219"/>
    </row>
    <row r="677">
      <c r="B677" s="218"/>
      <c r="M677" s="219"/>
    </row>
    <row r="678">
      <c r="B678" s="218"/>
      <c r="M678" s="219"/>
    </row>
    <row r="679">
      <c r="B679" s="218"/>
      <c r="M679" s="219"/>
    </row>
    <row r="680">
      <c r="B680" s="218"/>
      <c r="M680" s="219"/>
    </row>
    <row r="681">
      <c r="B681" s="218"/>
      <c r="M681" s="219"/>
    </row>
    <row r="682">
      <c r="B682" s="218"/>
      <c r="M682" s="219"/>
    </row>
    <row r="683">
      <c r="B683" s="218"/>
      <c r="M683" s="219"/>
    </row>
    <row r="684">
      <c r="B684" s="218"/>
      <c r="M684" s="219"/>
    </row>
    <row r="685">
      <c r="B685" s="218"/>
      <c r="M685" s="219"/>
    </row>
    <row r="686">
      <c r="B686" s="218"/>
      <c r="M686" s="219"/>
    </row>
    <row r="687">
      <c r="B687" s="218"/>
      <c r="M687" s="219"/>
    </row>
    <row r="688">
      <c r="B688" s="218"/>
      <c r="M688" s="219"/>
    </row>
    <row r="689">
      <c r="B689" s="218"/>
      <c r="M689" s="219"/>
    </row>
    <row r="690">
      <c r="B690" s="218"/>
      <c r="M690" s="219"/>
    </row>
    <row r="691">
      <c r="B691" s="218"/>
      <c r="M691" s="219"/>
    </row>
    <row r="692">
      <c r="B692" s="218"/>
      <c r="M692" s="219"/>
    </row>
    <row r="693">
      <c r="B693" s="218"/>
      <c r="M693" s="219"/>
    </row>
    <row r="694">
      <c r="B694" s="218"/>
      <c r="M694" s="219"/>
    </row>
    <row r="695">
      <c r="B695" s="218"/>
      <c r="M695" s="219"/>
    </row>
    <row r="696">
      <c r="B696" s="218"/>
      <c r="M696" s="219"/>
    </row>
    <row r="697">
      <c r="B697" s="218"/>
      <c r="M697" s="219"/>
    </row>
    <row r="698">
      <c r="B698" s="218"/>
      <c r="M698" s="219"/>
    </row>
    <row r="699">
      <c r="B699" s="218"/>
      <c r="M699" s="219"/>
    </row>
    <row r="700">
      <c r="B700" s="218"/>
      <c r="M700" s="219"/>
    </row>
    <row r="701">
      <c r="B701" s="218"/>
      <c r="M701" s="219"/>
    </row>
    <row r="702">
      <c r="B702" s="218"/>
      <c r="M702" s="219"/>
    </row>
    <row r="703">
      <c r="B703" s="218"/>
      <c r="M703" s="219"/>
    </row>
    <row r="704">
      <c r="B704" s="218"/>
      <c r="M704" s="219"/>
    </row>
    <row r="705">
      <c r="B705" s="218"/>
      <c r="M705" s="219"/>
    </row>
    <row r="706">
      <c r="B706" s="218"/>
      <c r="M706" s="219"/>
    </row>
    <row r="707">
      <c r="B707" s="218"/>
      <c r="M707" s="219"/>
    </row>
    <row r="708">
      <c r="B708" s="218"/>
      <c r="M708" s="219"/>
    </row>
    <row r="709">
      <c r="B709" s="218"/>
      <c r="M709" s="219"/>
    </row>
    <row r="710">
      <c r="B710" s="218"/>
      <c r="M710" s="219"/>
    </row>
    <row r="711">
      <c r="B711" s="218"/>
      <c r="M711" s="219"/>
    </row>
    <row r="712">
      <c r="B712" s="218"/>
      <c r="M712" s="219"/>
    </row>
    <row r="713">
      <c r="B713" s="218"/>
      <c r="M713" s="219"/>
    </row>
    <row r="714">
      <c r="B714" s="218"/>
      <c r="M714" s="219"/>
    </row>
    <row r="715">
      <c r="B715" s="218"/>
      <c r="M715" s="219"/>
    </row>
    <row r="716">
      <c r="B716" s="218"/>
      <c r="M716" s="219"/>
    </row>
    <row r="717">
      <c r="B717" s="218"/>
      <c r="M717" s="219"/>
    </row>
    <row r="718">
      <c r="B718" s="218"/>
      <c r="M718" s="219"/>
    </row>
    <row r="719">
      <c r="B719" s="218"/>
      <c r="M719" s="219"/>
    </row>
    <row r="720">
      <c r="B720" s="218"/>
      <c r="M720" s="219"/>
    </row>
    <row r="721">
      <c r="B721" s="218"/>
      <c r="M721" s="219"/>
    </row>
    <row r="722">
      <c r="B722" s="218"/>
      <c r="M722" s="219"/>
    </row>
    <row r="723">
      <c r="B723" s="218"/>
      <c r="M723" s="219"/>
    </row>
    <row r="724">
      <c r="B724" s="218"/>
      <c r="M724" s="219"/>
    </row>
    <row r="725">
      <c r="B725" s="218"/>
      <c r="M725" s="219"/>
    </row>
    <row r="726">
      <c r="B726" s="218"/>
      <c r="M726" s="219"/>
    </row>
    <row r="727">
      <c r="B727" s="218"/>
      <c r="M727" s="219"/>
    </row>
    <row r="728">
      <c r="B728" s="218"/>
      <c r="M728" s="219"/>
    </row>
    <row r="729">
      <c r="B729" s="218"/>
      <c r="M729" s="219"/>
    </row>
    <row r="730">
      <c r="B730" s="218"/>
      <c r="M730" s="219"/>
    </row>
    <row r="731">
      <c r="B731" s="218"/>
      <c r="M731" s="219"/>
    </row>
    <row r="732">
      <c r="B732" s="218"/>
      <c r="M732" s="219"/>
    </row>
    <row r="733">
      <c r="B733" s="218"/>
      <c r="M733" s="219"/>
    </row>
    <row r="734">
      <c r="B734" s="218"/>
      <c r="M734" s="219"/>
    </row>
    <row r="735">
      <c r="B735" s="218"/>
      <c r="M735" s="219"/>
    </row>
    <row r="736">
      <c r="B736" s="218"/>
      <c r="M736" s="219"/>
    </row>
    <row r="737">
      <c r="B737" s="218"/>
      <c r="M737" s="219"/>
    </row>
    <row r="738">
      <c r="B738" s="218"/>
      <c r="M738" s="219"/>
    </row>
    <row r="739">
      <c r="B739" s="218"/>
      <c r="M739" s="219"/>
    </row>
    <row r="740">
      <c r="B740" s="218"/>
      <c r="M740" s="219"/>
    </row>
    <row r="741">
      <c r="B741" s="218"/>
      <c r="M741" s="219"/>
    </row>
    <row r="742">
      <c r="B742" s="218"/>
      <c r="M742" s="219"/>
    </row>
    <row r="743">
      <c r="B743" s="218"/>
      <c r="M743" s="219"/>
    </row>
    <row r="744">
      <c r="B744" s="218"/>
      <c r="M744" s="219"/>
    </row>
    <row r="745">
      <c r="B745" s="218"/>
      <c r="M745" s="219"/>
    </row>
    <row r="746">
      <c r="B746" s="218"/>
      <c r="M746" s="219"/>
    </row>
    <row r="747">
      <c r="B747" s="218"/>
      <c r="M747" s="219"/>
    </row>
    <row r="748">
      <c r="B748" s="218"/>
      <c r="M748" s="219"/>
    </row>
    <row r="749">
      <c r="B749" s="218"/>
      <c r="M749" s="219"/>
    </row>
    <row r="750">
      <c r="B750" s="218"/>
      <c r="M750" s="219"/>
    </row>
    <row r="751">
      <c r="B751" s="218"/>
      <c r="M751" s="219"/>
    </row>
    <row r="752">
      <c r="B752" s="218"/>
      <c r="M752" s="219"/>
    </row>
    <row r="753">
      <c r="B753" s="218"/>
      <c r="M753" s="219"/>
    </row>
    <row r="754">
      <c r="B754" s="218"/>
      <c r="M754" s="219"/>
    </row>
    <row r="755">
      <c r="B755" s="218"/>
      <c r="M755" s="219"/>
    </row>
    <row r="756">
      <c r="B756" s="218"/>
      <c r="M756" s="219"/>
    </row>
    <row r="757">
      <c r="B757" s="218"/>
      <c r="M757" s="219"/>
    </row>
    <row r="758">
      <c r="B758" s="218"/>
      <c r="M758" s="219"/>
    </row>
    <row r="759">
      <c r="B759" s="218"/>
      <c r="M759" s="219"/>
    </row>
    <row r="760">
      <c r="B760" s="218"/>
      <c r="M760" s="219"/>
    </row>
    <row r="761">
      <c r="B761" s="218"/>
      <c r="M761" s="219"/>
    </row>
    <row r="762">
      <c r="B762" s="218"/>
      <c r="M762" s="219"/>
    </row>
    <row r="763">
      <c r="B763" s="218"/>
      <c r="M763" s="219"/>
    </row>
    <row r="764">
      <c r="B764" s="218"/>
      <c r="M764" s="219"/>
    </row>
    <row r="765">
      <c r="B765" s="218"/>
      <c r="M765" s="219"/>
    </row>
    <row r="766">
      <c r="B766" s="218"/>
      <c r="M766" s="219"/>
    </row>
    <row r="767">
      <c r="B767" s="218"/>
      <c r="M767" s="219"/>
    </row>
    <row r="768">
      <c r="B768" s="218"/>
      <c r="M768" s="219"/>
    </row>
    <row r="769">
      <c r="B769" s="218"/>
      <c r="M769" s="219"/>
    </row>
    <row r="770">
      <c r="B770" s="218"/>
      <c r="M770" s="219"/>
    </row>
    <row r="771">
      <c r="B771" s="218"/>
      <c r="M771" s="219"/>
    </row>
    <row r="772">
      <c r="B772" s="218"/>
      <c r="M772" s="219"/>
    </row>
    <row r="773">
      <c r="B773" s="218"/>
      <c r="M773" s="219"/>
    </row>
    <row r="774">
      <c r="B774" s="218"/>
      <c r="M774" s="219"/>
    </row>
    <row r="775">
      <c r="B775" s="218"/>
      <c r="M775" s="219"/>
    </row>
    <row r="776">
      <c r="B776" s="218"/>
      <c r="M776" s="219"/>
    </row>
    <row r="777">
      <c r="B777" s="218"/>
      <c r="M777" s="219"/>
    </row>
    <row r="778">
      <c r="B778" s="218"/>
      <c r="M778" s="219"/>
    </row>
    <row r="779">
      <c r="B779" s="218"/>
      <c r="M779" s="219"/>
    </row>
    <row r="780">
      <c r="B780" s="218"/>
      <c r="M780" s="219"/>
    </row>
    <row r="781">
      <c r="B781" s="218"/>
      <c r="M781" s="219"/>
    </row>
    <row r="782">
      <c r="B782" s="218"/>
      <c r="M782" s="219"/>
    </row>
    <row r="783">
      <c r="B783" s="218"/>
      <c r="M783" s="219"/>
    </row>
    <row r="784">
      <c r="B784" s="218"/>
      <c r="M784" s="219"/>
    </row>
    <row r="785">
      <c r="B785" s="218"/>
      <c r="M785" s="219"/>
    </row>
    <row r="786">
      <c r="B786" s="218"/>
      <c r="M786" s="219"/>
    </row>
    <row r="787">
      <c r="B787" s="218"/>
      <c r="M787" s="219"/>
    </row>
    <row r="788">
      <c r="B788" s="218"/>
      <c r="M788" s="219"/>
    </row>
    <row r="789">
      <c r="B789" s="218"/>
      <c r="M789" s="219"/>
    </row>
    <row r="790">
      <c r="B790" s="218"/>
      <c r="M790" s="219"/>
    </row>
    <row r="791">
      <c r="B791" s="218"/>
      <c r="M791" s="219"/>
    </row>
    <row r="792">
      <c r="B792" s="218"/>
      <c r="M792" s="219"/>
    </row>
    <row r="793">
      <c r="B793" s="218"/>
      <c r="M793" s="219"/>
    </row>
    <row r="794">
      <c r="B794" s="218"/>
      <c r="M794" s="219"/>
    </row>
    <row r="795">
      <c r="B795" s="218"/>
      <c r="M795" s="219"/>
    </row>
    <row r="796">
      <c r="B796" s="218"/>
      <c r="M796" s="219"/>
    </row>
    <row r="797">
      <c r="B797" s="218"/>
      <c r="M797" s="219"/>
    </row>
    <row r="798">
      <c r="B798" s="218"/>
      <c r="M798" s="219"/>
    </row>
    <row r="799">
      <c r="B799" s="218"/>
      <c r="M799" s="219"/>
    </row>
    <row r="800">
      <c r="B800" s="218"/>
      <c r="M800" s="219"/>
    </row>
    <row r="801">
      <c r="B801" s="218"/>
      <c r="M801" s="219"/>
    </row>
    <row r="802">
      <c r="B802" s="218"/>
      <c r="M802" s="219"/>
    </row>
    <row r="803">
      <c r="B803" s="218"/>
      <c r="M803" s="219"/>
    </row>
    <row r="804">
      <c r="B804" s="218"/>
      <c r="M804" s="219"/>
    </row>
    <row r="805">
      <c r="B805" s="218"/>
      <c r="M805" s="219"/>
    </row>
    <row r="806">
      <c r="B806" s="218"/>
      <c r="M806" s="219"/>
    </row>
    <row r="807">
      <c r="B807" s="218"/>
      <c r="M807" s="219"/>
    </row>
    <row r="808">
      <c r="B808" s="218"/>
      <c r="M808" s="219"/>
    </row>
    <row r="809">
      <c r="B809" s="218"/>
      <c r="M809" s="219"/>
    </row>
    <row r="810">
      <c r="B810" s="218"/>
      <c r="M810" s="219"/>
    </row>
    <row r="811">
      <c r="B811" s="218"/>
      <c r="M811" s="219"/>
    </row>
    <row r="812">
      <c r="B812" s="218"/>
      <c r="M812" s="219"/>
    </row>
    <row r="813">
      <c r="B813" s="218"/>
      <c r="M813" s="219"/>
    </row>
    <row r="814">
      <c r="B814" s="218"/>
      <c r="M814" s="219"/>
    </row>
    <row r="815">
      <c r="B815" s="218"/>
      <c r="M815" s="219"/>
    </row>
    <row r="816">
      <c r="B816" s="218"/>
      <c r="M816" s="219"/>
    </row>
    <row r="817">
      <c r="B817" s="218"/>
      <c r="M817" s="219"/>
    </row>
    <row r="818">
      <c r="B818" s="218"/>
      <c r="M818" s="219"/>
    </row>
    <row r="819">
      <c r="B819" s="218"/>
      <c r="M819" s="219"/>
    </row>
    <row r="820">
      <c r="B820" s="218"/>
      <c r="M820" s="219"/>
    </row>
    <row r="821">
      <c r="B821" s="218"/>
      <c r="M821" s="219"/>
    </row>
    <row r="822">
      <c r="B822" s="218"/>
      <c r="M822" s="219"/>
    </row>
    <row r="823">
      <c r="B823" s="218"/>
      <c r="M823" s="219"/>
    </row>
    <row r="824">
      <c r="B824" s="218"/>
      <c r="M824" s="219"/>
    </row>
    <row r="825">
      <c r="B825" s="218"/>
      <c r="M825" s="219"/>
    </row>
    <row r="826">
      <c r="B826" s="218"/>
      <c r="M826" s="219"/>
    </row>
    <row r="827">
      <c r="B827" s="218"/>
      <c r="M827" s="219"/>
    </row>
    <row r="828">
      <c r="B828" s="218"/>
      <c r="M828" s="219"/>
    </row>
    <row r="829">
      <c r="B829" s="218"/>
      <c r="M829" s="219"/>
    </row>
    <row r="830">
      <c r="B830" s="218"/>
      <c r="M830" s="219"/>
    </row>
    <row r="831">
      <c r="B831" s="218"/>
      <c r="M831" s="219"/>
    </row>
    <row r="832">
      <c r="B832" s="218"/>
      <c r="M832" s="219"/>
    </row>
    <row r="833">
      <c r="B833" s="218"/>
      <c r="M833" s="219"/>
    </row>
    <row r="834">
      <c r="B834" s="218"/>
      <c r="M834" s="219"/>
    </row>
    <row r="835">
      <c r="B835" s="218"/>
      <c r="M835" s="219"/>
    </row>
    <row r="836">
      <c r="B836" s="218"/>
      <c r="M836" s="219"/>
    </row>
    <row r="837">
      <c r="B837" s="218"/>
      <c r="M837" s="219"/>
    </row>
    <row r="838">
      <c r="B838" s="218"/>
      <c r="M838" s="219"/>
    </row>
    <row r="839">
      <c r="B839" s="218"/>
      <c r="M839" s="219"/>
    </row>
    <row r="840">
      <c r="B840" s="218"/>
      <c r="M840" s="219"/>
    </row>
    <row r="841">
      <c r="B841" s="218"/>
      <c r="M841" s="219"/>
    </row>
    <row r="842">
      <c r="B842" s="218"/>
      <c r="M842" s="219"/>
    </row>
    <row r="843">
      <c r="B843" s="218"/>
      <c r="M843" s="219"/>
    </row>
    <row r="844">
      <c r="B844" s="218"/>
      <c r="M844" s="219"/>
    </row>
    <row r="845">
      <c r="B845" s="218"/>
      <c r="M845" s="219"/>
    </row>
    <row r="846">
      <c r="B846" s="218"/>
      <c r="M846" s="219"/>
    </row>
    <row r="847">
      <c r="B847" s="218"/>
      <c r="M847" s="219"/>
    </row>
    <row r="848">
      <c r="B848" s="218"/>
      <c r="M848" s="219"/>
    </row>
    <row r="849">
      <c r="B849" s="218"/>
      <c r="M849" s="219"/>
    </row>
    <row r="850">
      <c r="B850" s="218"/>
      <c r="M850" s="219"/>
    </row>
    <row r="851">
      <c r="B851" s="218"/>
      <c r="M851" s="219"/>
    </row>
    <row r="852">
      <c r="B852" s="218"/>
      <c r="M852" s="219"/>
    </row>
    <row r="853">
      <c r="B853" s="218"/>
      <c r="M853" s="219"/>
    </row>
    <row r="854">
      <c r="B854" s="218"/>
      <c r="M854" s="219"/>
    </row>
    <row r="855">
      <c r="B855" s="218"/>
      <c r="M855" s="219"/>
    </row>
    <row r="856">
      <c r="B856" s="218"/>
      <c r="M856" s="219"/>
    </row>
    <row r="857">
      <c r="B857" s="218"/>
      <c r="M857" s="219"/>
    </row>
    <row r="858">
      <c r="B858" s="218"/>
      <c r="M858" s="219"/>
    </row>
    <row r="859">
      <c r="B859" s="218"/>
      <c r="M859" s="219"/>
    </row>
    <row r="860">
      <c r="B860" s="218"/>
      <c r="M860" s="219"/>
    </row>
    <row r="861">
      <c r="B861" s="218"/>
      <c r="M861" s="219"/>
    </row>
    <row r="862">
      <c r="B862" s="218"/>
      <c r="M862" s="219"/>
    </row>
    <row r="863">
      <c r="B863" s="218"/>
      <c r="M863" s="219"/>
    </row>
    <row r="864">
      <c r="B864" s="218"/>
      <c r="M864" s="219"/>
    </row>
    <row r="865">
      <c r="B865" s="218"/>
      <c r="M865" s="219"/>
    </row>
    <row r="866">
      <c r="B866" s="218"/>
      <c r="M866" s="219"/>
    </row>
    <row r="867">
      <c r="B867" s="218"/>
      <c r="M867" s="219"/>
    </row>
    <row r="868">
      <c r="B868" s="218"/>
      <c r="M868" s="219"/>
    </row>
    <row r="869">
      <c r="B869" s="218"/>
      <c r="M869" s="219"/>
    </row>
    <row r="870">
      <c r="B870" s="218"/>
      <c r="M870" s="219"/>
    </row>
    <row r="871">
      <c r="B871" s="218"/>
      <c r="M871" s="219"/>
    </row>
    <row r="872">
      <c r="B872" s="218"/>
      <c r="M872" s="219"/>
    </row>
    <row r="873">
      <c r="B873" s="218"/>
      <c r="M873" s="219"/>
    </row>
    <row r="874">
      <c r="B874" s="218"/>
      <c r="M874" s="219"/>
    </row>
    <row r="875">
      <c r="B875" s="218"/>
      <c r="M875" s="219"/>
    </row>
    <row r="876">
      <c r="B876" s="218"/>
      <c r="M876" s="219"/>
    </row>
    <row r="877">
      <c r="B877" s="218"/>
      <c r="M877" s="219"/>
    </row>
    <row r="878">
      <c r="B878" s="218"/>
      <c r="M878" s="219"/>
    </row>
    <row r="879">
      <c r="B879" s="218"/>
      <c r="M879" s="219"/>
    </row>
    <row r="880">
      <c r="B880" s="218"/>
      <c r="M880" s="219"/>
    </row>
    <row r="881">
      <c r="B881" s="218"/>
      <c r="M881" s="219"/>
    </row>
    <row r="882">
      <c r="B882" s="218"/>
      <c r="M882" s="219"/>
    </row>
    <row r="883">
      <c r="B883" s="218"/>
      <c r="M883" s="219"/>
    </row>
    <row r="884">
      <c r="B884" s="218"/>
      <c r="M884" s="219"/>
    </row>
    <row r="885">
      <c r="B885" s="218"/>
      <c r="M885" s="219"/>
    </row>
    <row r="886">
      <c r="B886" s="218"/>
      <c r="M886" s="219"/>
    </row>
    <row r="887">
      <c r="B887" s="218"/>
      <c r="M887" s="219"/>
    </row>
    <row r="888">
      <c r="B888" s="218"/>
      <c r="M888" s="219"/>
    </row>
    <row r="889">
      <c r="B889" s="218"/>
      <c r="M889" s="219"/>
    </row>
    <row r="890">
      <c r="B890" s="218"/>
      <c r="M890" s="219"/>
    </row>
    <row r="891">
      <c r="B891" s="218"/>
      <c r="M891" s="219"/>
    </row>
    <row r="892">
      <c r="B892" s="218"/>
      <c r="M892" s="219"/>
    </row>
    <row r="893">
      <c r="B893" s="218"/>
      <c r="M893" s="219"/>
    </row>
    <row r="894">
      <c r="B894" s="218"/>
      <c r="M894" s="219"/>
    </row>
    <row r="895">
      <c r="B895" s="218"/>
      <c r="M895" s="219"/>
    </row>
    <row r="896">
      <c r="B896" s="218"/>
      <c r="M896" s="219"/>
    </row>
    <row r="897">
      <c r="B897" s="218"/>
      <c r="M897" s="219"/>
    </row>
    <row r="898">
      <c r="B898" s="218"/>
      <c r="M898" s="219"/>
    </row>
    <row r="899">
      <c r="B899" s="218"/>
      <c r="M899" s="219"/>
    </row>
    <row r="900">
      <c r="B900" s="218"/>
      <c r="M900" s="219"/>
    </row>
    <row r="901">
      <c r="B901" s="218"/>
      <c r="M901" s="219"/>
    </row>
    <row r="902">
      <c r="B902" s="218"/>
      <c r="M902" s="219"/>
    </row>
    <row r="903">
      <c r="B903" s="218"/>
      <c r="M903" s="219"/>
    </row>
    <row r="904">
      <c r="B904" s="218"/>
      <c r="M904" s="219"/>
    </row>
    <row r="905">
      <c r="B905" s="218"/>
      <c r="M905" s="219"/>
    </row>
    <row r="906">
      <c r="B906" s="218"/>
      <c r="M906" s="219"/>
    </row>
    <row r="907">
      <c r="B907" s="218"/>
      <c r="M907" s="219"/>
    </row>
    <row r="908">
      <c r="B908" s="218"/>
      <c r="M908" s="219"/>
    </row>
    <row r="909">
      <c r="B909" s="218"/>
      <c r="M909" s="219"/>
    </row>
    <row r="910">
      <c r="B910" s="218"/>
      <c r="M910" s="219"/>
    </row>
    <row r="911">
      <c r="B911" s="218"/>
      <c r="M911" s="219"/>
    </row>
    <row r="912">
      <c r="B912" s="218"/>
      <c r="M912" s="219"/>
    </row>
    <row r="913">
      <c r="B913" s="218"/>
      <c r="M913" s="219"/>
    </row>
    <row r="914">
      <c r="B914" s="218"/>
      <c r="M914" s="219"/>
    </row>
    <row r="915">
      <c r="B915" s="218"/>
      <c r="M915" s="219"/>
    </row>
    <row r="916">
      <c r="B916" s="218"/>
      <c r="M916" s="219"/>
    </row>
    <row r="917">
      <c r="B917" s="218"/>
      <c r="M917" s="219"/>
    </row>
    <row r="918">
      <c r="B918" s="218"/>
      <c r="M918" s="219"/>
    </row>
    <row r="919">
      <c r="B919" s="218"/>
      <c r="M919" s="219"/>
    </row>
    <row r="920">
      <c r="B920" s="218"/>
      <c r="M920" s="219"/>
    </row>
    <row r="921">
      <c r="B921" s="218"/>
      <c r="M921" s="219"/>
    </row>
    <row r="922">
      <c r="B922" s="218"/>
      <c r="M922" s="219"/>
    </row>
    <row r="923">
      <c r="B923" s="218"/>
      <c r="M923" s="219"/>
    </row>
    <row r="924">
      <c r="B924" s="218"/>
      <c r="M924" s="219"/>
    </row>
    <row r="925">
      <c r="B925" s="218"/>
      <c r="M925" s="219"/>
    </row>
    <row r="926">
      <c r="B926" s="218"/>
      <c r="M926" s="219"/>
    </row>
    <row r="927">
      <c r="B927" s="218"/>
      <c r="M927" s="219"/>
    </row>
    <row r="928">
      <c r="B928" s="218"/>
      <c r="M928" s="219"/>
    </row>
    <row r="929">
      <c r="B929" s="218"/>
      <c r="M929" s="219"/>
    </row>
    <row r="930">
      <c r="B930" s="218"/>
      <c r="M930" s="219"/>
    </row>
    <row r="931">
      <c r="B931" s="218"/>
      <c r="M931" s="219"/>
    </row>
    <row r="932">
      <c r="B932" s="218"/>
      <c r="M932" s="219"/>
    </row>
    <row r="933">
      <c r="B933" s="218"/>
      <c r="M933" s="219"/>
    </row>
    <row r="934">
      <c r="B934" s="218"/>
      <c r="M934" s="219"/>
    </row>
    <row r="935">
      <c r="B935" s="218"/>
      <c r="M935" s="219"/>
    </row>
    <row r="936">
      <c r="B936" s="218"/>
      <c r="M936" s="219"/>
    </row>
    <row r="937">
      <c r="B937" s="218"/>
      <c r="M937" s="219"/>
    </row>
    <row r="938">
      <c r="B938" s="218"/>
      <c r="M938" s="219"/>
    </row>
    <row r="939">
      <c r="B939" s="218"/>
      <c r="M939" s="219"/>
    </row>
    <row r="940">
      <c r="B940" s="218"/>
      <c r="M940" s="219"/>
    </row>
    <row r="941">
      <c r="B941" s="218"/>
      <c r="M941" s="219"/>
    </row>
    <row r="942">
      <c r="B942" s="218"/>
      <c r="M942" s="219"/>
    </row>
    <row r="943">
      <c r="B943" s="218"/>
      <c r="M943" s="219"/>
    </row>
    <row r="944">
      <c r="B944" s="218"/>
      <c r="M944" s="219"/>
    </row>
    <row r="945">
      <c r="B945" s="218"/>
      <c r="M945" s="219"/>
    </row>
    <row r="946">
      <c r="B946" s="218"/>
      <c r="M946" s="219"/>
    </row>
    <row r="947">
      <c r="B947" s="218"/>
      <c r="M947" s="219"/>
    </row>
    <row r="948">
      <c r="B948" s="218"/>
      <c r="M948" s="219"/>
    </row>
    <row r="949">
      <c r="B949" s="218"/>
      <c r="M949" s="219"/>
    </row>
    <row r="950">
      <c r="B950" s="218"/>
      <c r="M950" s="219"/>
    </row>
    <row r="951">
      <c r="B951" s="218"/>
      <c r="M951" s="219"/>
    </row>
    <row r="952">
      <c r="B952" s="218"/>
      <c r="M952" s="219"/>
    </row>
    <row r="953">
      <c r="B953" s="218"/>
      <c r="M953" s="219"/>
    </row>
    <row r="954">
      <c r="B954" s="218"/>
      <c r="M954" s="219"/>
    </row>
    <row r="955">
      <c r="B955" s="218"/>
      <c r="M955" s="219"/>
    </row>
    <row r="956">
      <c r="B956" s="218"/>
      <c r="M956" s="219"/>
    </row>
    <row r="957">
      <c r="B957" s="218"/>
      <c r="M957" s="219"/>
    </row>
    <row r="958">
      <c r="B958" s="218"/>
      <c r="M958" s="219"/>
    </row>
    <row r="959">
      <c r="B959" s="218"/>
      <c r="M959" s="219"/>
    </row>
    <row r="960">
      <c r="B960" s="218"/>
      <c r="M960" s="219"/>
    </row>
    <row r="961">
      <c r="B961" s="218"/>
      <c r="M961" s="219"/>
    </row>
    <row r="962">
      <c r="B962" s="218"/>
      <c r="M962" s="219"/>
    </row>
    <row r="963">
      <c r="B963" s="218"/>
      <c r="M963" s="219"/>
    </row>
    <row r="964">
      <c r="B964" s="218"/>
      <c r="M964" s="219"/>
    </row>
    <row r="965">
      <c r="B965" s="218"/>
      <c r="M965" s="219"/>
    </row>
    <row r="966">
      <c r="B966" s="218"/>
      <c r="M966" s="219"/>
    </row>
    <row r="967">
      <c r="B967" s="218"/>
      <c r="M967" s="219"/>
    </row>
    <row r="968">
      <c r="B968" s="218"/>
      <c r="M968" s="219"/>
    </row>
    <row r="969">
      <c r="B969" s="218"/>
      <c r="M969" s="219"/>
    </row>
    <row r="970">
      <c r="B970" s="218"/>
      <c r="M970" s="219"/>
    </row>
    <row r="971">
      <c r="B971" s="218"/>
      <c r="M971" s="219"/>
    </row>
    <row r="972">
      <c r="B972" s="218"/>
      <c r="M972" s="219"/>
    </row>
    <row r="973">
      <c r="B973" s="218"/>
      <c r="M973" s="219"/>
    </row>
    <row r="974">
      <c r="B974" s="218"/>
      <c r="M974" s="219"/>
    </row>
    <row r="975">
      <c r="B975" s="218"/>
      <c r="M975" s="219"/>
    </row>
    <row r="976">
      <c r="B976" s="218"/>
      <c r="M976" s="219"/>
    </row>
    <row r="977">
      <c r="B977" s="218"/>
      <c r="M977" s="219"/>
    </row>
    <row r="978">
      <c r="B978" s="218"/>
      <c r="M978" s="219"/>
    </row>
    <row r="979">
      <c r="B979" s="218"/>
      <c r="M979" s="219"/>
    </row>
    <row r="980">
      <c r="B980" s="218"/>
      <c r="M980" s="219"/>
    </row>
    <row r="981">
      <c r="B981" s="218"/>
      <c r="M981" s="219"/>
    </row>
    <row r="982">
      <c r="B982" s="218"/>
      <c r="M982" s="219"/>
    </row>
    <row r="983">
      <c r="B983" s="218"/>
      <c r="M983" s="219"/>
    </row>
    <row r="984">
      <c r="B984" s="218"/>
      <c r="M984" s="219"/>
    </row>
    <row r="985">
      <c r="B985" s="218"/>
      <c r="M985" s="219"/>
    </row>
    <row r="986">
      <c r="B986" s="218"/>
      <c r="M986" s="219"/>
    </row>
    <row r="987">
      <c r="B987" s="218"/>
      <c r="M987" s="219"/>
    </row>
    <row r="988">
      <c r="B988" s="218"/>
      <c r="M988" s="219"/>
    </row>
    <row r="989">
      <c r="B989" s="218"/>
      <c r="M989" s="219"/>
    </row>
    <row r="990">
      <c r="B990" s="218"/>
      <c r="M990" s="219"/>
    </row>
    <row r="991">
      <c r="B991" s="218"/>
      <c r="M991" s="219"/>
    </row>
    <row r="992">
      <c r="B992" s="218"/>
      <c r="M992" s="219"/>
    </row>
    <row r="993">
      <c r="B993" s="218"/>
      <c r="M993" s="219"/>
    </row>
    <row r="994">
      <c r="B994" s="218"/>
      <c r="M994" s="219"/>
    </row>
    <row r="995">
      <c r="B995" s="218"/>
      <c r="M995" s="219"/>
    </row>
    <row r="996">
      <c r="B996" s="218"/>
      <c r="M996" s="219"/>
    </row>
    <row r="997">
      <c r="B997" s="218"/>
      <c r="M997" s="219"/>
    </row>
    <row r="998">
      <c r="B998" s="218"/>
      <c r="M998" s="219"/>
    </row>
    <row r="999">
      <c r="B999" s="218"/>
      <c r="M999" s="219"/>
    </row>
    <row r="1000">
      <c r="B1000" s="218"/>
      <c r="M1000" s="219"/>
    </row>
    <row r="1001">
      <c r="B1001" s="218"/>
      <c r="M1001" s="219"/>
    </row>
    <row r="1002">
      <c r="B1002" s="218"/>
      <c r="M1002" s="219"/>
    </row>
    <row r="1003">
      <c r="B1003" s="218"/>
      <c r="M1003" s="219"/>
    </row>
    <row r="1004">
      <c r="B1004" s="218"/>
      <c r="M1004" s="219"/>
    </row>
  </sheetData>
  <autoFilter ref="$A$6:$M$34">
    <filterColumn colId="8">
      <filters blank="1">
        <filter val="Monthly"/>
        <filter val="Yearly"/>
      </filters>
    </filterColumn>
  </autoFilter>
  <dataValidations>
    <dataValidation type="list" allowBlank="1" showErrorMessage="1" sqref="A1">
      <formula1>"Month End,Mid Month"</formula1>
    </dataValidation>
  </dataValidation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38"/>
    <col customWidth="1" min="2" max="3" width="14.25"/>
    <col customWidth="1" min="4" max="4" width="4.63"/>
    <col customWidth="1" min="5" max="5" width="15.5"/>
    <col customWidth="1" min="6" max="6" width="4.63"/>
    <col customWidth="1" min="7" max="7" width="11.0"/>
    <col customWidth="1" min="8" max="8" width="11.38"/>
    <col customWidth="1" min="9" max="9" width="4.63"/>
    <col customWidth="1" min="10" max="11" width="13.0"/>
    <col customWidth="1" min="12" max="12" width="4.63"/>
    <col customWidth="1" min="13" max="13" width="15.88"/>
    <col customWidth="1" min="14" max="14" width="10.13"/>
    <col customWidth="1" min="15" max="15" width="4.63"/>
    <col customWidth="1" min="16" max="16" width="5.0"/>
    <col customWidth="1" min="17" max="17" width="3.63"/>
    <col customWidth="1" min="18" max="18" width="23.5"/>
    <col customWidth="1" min="19" max="19" width="10.13"/>
    <col customWidth="1" min="20" max="20" width="6.0"/>
    <col customWidth="1" min="21" max="21" width="10.13"/>
    <col customWidth="1" min="22" max="22" width="6.0"/>
    <col customWidth="1" min="23" max="23" width="10.13"/>
    <col customWidth="1" min="24" max="24" width="6.5"/>
    <col customWidth="1" min="25" max="25" width="11.13"/>
    <col customWidth="1" min="26" max="26" width="6.0"/>
    <col customWidth="1" min="27" max="27" width="11.13"/>
    <col customWidth="1" min="28" max="28" width="6.0"/>
    <col customWidth="1" min="29" max="29" width="11.13"/>
    <col customWidth="1" min="30" max="30" width="6.0"/>
  </cols>
  <sheetData>
    <row r="1">
      <c r="A1" s="224"/>
      <c r="B1" s="225" t="s">
        <v>2152</v>
      </c>
      <c r="C1" s="226" t="s">
        <v>2153</v>
      </c>
      <c r="G1" s="226" t="s">
        <v>2154</v>
      </c>
      <c r="I1" s="227"/>
      <c r="J1" s="226" t="s">
        <v>2155</v>
      </c>
      <c r="L1" s="227"/>
      <c r="M1" s="228" t="s">
        <v>2156</v>
      </c>
      <c r="O1" s="227"/>
      <c r="P1" s="229"/>
      <c r="Q1" s="228"/>
      <c r="R1" s="230"/>
      <c r="S1" s="231" t="s">
        <v>2152</v>
      </c>
      <c r="T1" s="227"/>
      <c r="U1" s="232" t="s">
        <v>2157</v>
      </c>
      <c r="V1" s="227"/>
      <c r="W1" s="232" t="s">
        <v>2158</v>
      </c>
      <c r="X1" s="227"/>
      <c r="Y1" s="232" t="s">
        <v>2159</v>
      </c>
      <c r="Z1" s="233"/>
      <c r="AA1" s="232" t="s">
        <v>2160</v>
      </c>
      <c r="AB1" s="233"/>
      <c r="AC1" s="232" t="s">
        <v>2161</v>
      </c>
      <c r="AD1" s="234"/>
    </row>
    <row r="2">
      <c r="A2" s="224"/>
      <c r="C2" s="232" t="s">
        <v>2157</v>
      </c>
      <c r="D2" s="235"/>
      <c r="E2" s="232" t="s">
        <v>2162</v>
      </c>
      <c r="F2" s="236"/>
      <c r="G2" s="232" t="s">
        <v>2163</v>
      </c>
      <c r="H2" s="237" t="s">
        <v>2164</v>
      </c>
      <c r="I2" s="236"/>
      <c r="J2" s="232" t="s">
        <v>2163</v>
      </c>
      <c r="K2" s="237" t="s">
        <v>2164</v>
      </c>
      <c r="L2" s="236"/>
      <c r="M2" s="232" t="s">
        <v>2163</v>
      </c>
      <c r="N2" s="237" t="s">
        <v>2164</v>
      </c>
      <c r="O2" s="236"/>
      <c r="P2" s="238"/>
      <c r="Q2" s="228"/>
      <c r="R2" s="230"/>
      <c r="S2" s="239">
        <f>B3</f>
        <v>45108</v>
      </c>
      <c r="T2" s="234"/>
      <c r="U2" s="239">
        <f>C3</f>
        <v>45078</v>
      </c>
      <c r="V2" s="240"/>
      <c r="W2" s="239">
        <f>E3</f>
        <v>44621</v>
      </c>
      <c r="X2" s="241"/>
      <c r="Y2" s="242">
        <f>G3</f>
        <v>46023</v>
      </c>
      <c r="Z2" s="240"/>
      <c r="AA2" s="242">
        <f>J3</f>
        <v>45658</v>
      </c>
      <c r="AB2" s="240"/>
      <c r="AC2" s="243">
        <f>M3</f>
        <v>44835</v>
      </c>
      <c r="AD2" s="244"/>
    </row>
    <row r="3" ht="18.75" customHeight="1">
      <c r="A3" s="245" t="s">
        <v>2165</v>
      </c>
      <c r="B3" s="246">
        <v>45108.0</v>
      </c>
      <c r="C3" s="247">
        <f>EOMONTH(B3,-2)+1</f>
        <v>45078</v>
      </c>
      <c r="D3" s="248"/>
      <c r="E3" s="249">
        <v>44621.0</v>
      </c>
      <c r="F3" s="250"/>
      <c r="G3" s="251">
        <f>date(YEAR(today()),1,1)</f>
        <v>46023</v>
      </c>
      <c r="H3" s="252">
        <f>month(G3)-month(today())</f>
        <v>-6</v>
      </c>
      <c r="I3" s="250"/>
      <c r="J3" s="251">
        <f>date(YEAR(today())-1,1,1)</f>
        <v>45658</v>
      </c>
      <c r="K3" s="253">
        <v>12.0</v>
      </c>
      <c r="L3" s="254"/>
      <c r="M3" s="255">
        <v>44835.0</v>
      </c>
      <c r="N3" s="159">
        <f>floor((today()-M3)/30,1)</f>
        <v>45</v>
      </c>
      <c r="O3" s="250"/>
      <c r="P3" s="256"/>
      <c r="Q3" s="257" t="s">
        <v>2166</v>
      </c>
      <c r="R3" s="227"/>
      <c r="S3" s="258">
        <f>sumif(Invoices!$S:$S,S$2,Invoices!$B:$B)</f>
        <v>110351.2139</v>
      </c>
      <c r="T3" s="259"/>
      <c r="U3" s="258">
        <f>sumif(Invoices!$S:$S,U$2,Invoices!$B:$B)</f>
        <v>96446.31911</v>
      </c>
      <c r="V3" s="259"/>
      <c r="W3" s="258">
        <f>sumif(Invoices!$S:$S,W$2,Invoices!$B:$B)</f>
        <v>68726.7937</v>
      </c>
      <c r="X3" s="260"/>
      <c r="Y3" s="258">
        <f>sumif(Invoices!$S:$S,"&gt;="&amp;Y$2,Invoices!$B:$B)</f>
        <v>0</v>
      </c>
      <c r="Z3" s="259"/>
      <c r="AA3" s="258">
        <f>sumif(Invoices!$S:$S,"&gt;="&amp;AA$2,Invoices!$B:$B)</f>
        <v>0</v>
      </c>
      <c r="AB3" s="259"/>
      <c r="AC3" s="258">
        <f>sumif(Invoices!$S:$S,"&gt;="&amp;AC$2,Invoices!$B:$B)</f>
        <v>700114.9119</v>
      </c>
      <c r="AD3" s="259"/>
    </row>
    <row r="4">
      <c r="B4" s="261"/>
      <c r="C4" s="262"/>
      <c r="D4" s="263"/>
      <c r="E4" s="262"/>
      <c r="F4" s="264"/>
      <c r="G4" s="262"/>
      <c r="I4" s="264"/>
      <c r="J4" s="262"/>
      <c r="L4" s="264"/>
      <c r="M4" s="262"/>
      <c r="O4" s="264"/>
      <c r="P4" s="256"/>
      <c r="Q4" s="257" t="s">
        <v>2167</v>
      </c>
      <c r="R4" s="227"/>
      <c r="S4" s="258">
        <f>sumif(Invoices!Q:$S,S$2,Invoices!D:$F)</f>
        <v>2358.048232</v>
      </c>
      <c r="T4" s="259">
        <f t="shared" ref="T4:T7" si="1">S4/S$3</f>
        <v>0.02136857538</v>
      </c>
      <c r="U4" s="258">
        <f>sumif(Invoices!Q:$S,U$2,Invoices!D:$F)</f>
        <v>1796.750476</v>
      </c>
      <c r="V4" s="259">
        <f t="shared" ref="V4:V7" si="2">U4/U$3</f>
        <v>0.01862953913</v>
      </c>
      <c r="W4" s="258">
        <f>sumif(Invoices!S:$S,W$2,Invoices!F:$F)</f>
        <v>1480.88956</v>
      </c>
      <c r="X4" s="265">
        <f t="shared" ref="X4:X7" si="3">W4/W$3</f>
        <v>0.02154748506</v>
      </c>
      <c r="Y4" s="258">
        <f>sumif(Invoices!Q:$S,"&gt;="&amp;Y$2,Invoices!D:$F)</f>
        <v>0</v>
      </c>
      <c r="Z4" s="259" t="str">
        <f t="shared" ref="Z4:Z7" si="4">Y4/Y$3</f>
        <v>#DIV/0!</v>
      </c>
      <c r="AA4" s="258">
        <f>sumif(Invoices!$S:S,"&gt;="&amp;AA$2,Invoices!$F:F)</f>
        <v>0</v>
      </c>
      <c r="AB4" s="259" t="str">
        <f t="shared" ref="AB4:AB7" si="5">AA4/AA$3</f>
        <v>#DIV/0!</v>
      </c>
      <c r="AC4" s="258">
        <f>sumif(Invoices!$S:U,"&gt;="&amp;AC$2,Invoices!$F:H)</f>
        <v>14348.39698</v>
      </c>
      <c r="AD4" s="259">
        <f t="shared" ref="AD4:AD7" si="6">AC4/AC$3</f>
        <v>0.02049434563</v>
      </c>
    </row>
    <row r="5">
      <c r="A5" s="245" t="s">
        <v>2168</v>
      </c>
      <c r="B5" s="266">
        <f>sumif(Invoices!$S:S,B$3,Invoices!$O:O)</f>
        <v>102717.7768</v>
      </c>
      <c r="C5" s="267">
        <f>sumif(Invoices!$S:$S,C$3,Invoices!$O:$O)</f>
        <v>89906.88472</v>
      </c>
      <c r="D5" s="254">
        <f t="shared" ref="D5:D9" si="7">iferror(($B5/C5)-1,"")</f>
        <v>0.1424906681</v>
      </c>
      <c r="E5" s="267">
        <f>sumif(Invoices!$S:$S,E$3,Invoices!$O:$O)</f>
        <v>64698.09233</v>
      </c>
      <c r="F5" s="254">
        <f t="shared" ref="F5:F9" si="8">iferror(($B5/E5)-1,"")</f>
        <v>0.5876476892</v>
      </c>
      <c r="G5" s="267">
        <f>sumif(Invoices!$S:$S,"&gt;="&amp;G$3,Invoices!$O:$O)</f>
        <v>0</v>
      </c>
      <c r="H5" s="268">
        <f t="shared" ref="H5:H9" si="9">iferror(G5/H$3,"none yet")</f>
        <v>0</v>
      </c>
      <c r="I5" s="254" t="str">
        <f t="shared" ref="I5:I9" si="10">iferror(($B5/H5)-1,"")</f>
        <v/>
      </c>
      <c r="J5" s="267">
        <f>sumif(Invoices!$S:$S,"&gt;="&amp;J$3,Invoices!$O:$O)</f>
        <v>0</v>
      </c>
      <c r="K5" s="268">
        <f t="shared" ref="K5:K9" si="11">iferror(J5/K$3,"none yet")</f>
        <v>0</v>
      </c>
      <c r="L5" s="254" t="str">
        <f t="shared" ref="L5:L9" si="12">iferror(($B5/K5)-1,"")</f>
        <v/>
      </c>
      <c r="M5" s="267">
        <f>sumif(Invoices!$S:$S,"&gt;="&amp;M$3,Invoices!$O:$O)</f>
        <v>653724.777</v>
      </c>
      <c r="N5" s="268">
        <f t="shared" ref="N5:N9" si="13">iferror(M5/N$3,"none yet")</f>
        <v>14527.21727</v>
      </c>
      <c r="O5" s="254">
        <f t="shared" ref="O5:O9" si="14">iferror(($B5/N5)-1,"")</f>
        <v>6.070712505</v>
      </c>
      <c r="P5" s="256"/>
      <c r="Q5" s="257" t="s">
        <v>2169</v>
      </c>
      <c r="R5" s="227"/>
      <c r="S5" s="258">
        <f>sumif(Invoices!$S:$S,S$2,Invoices!$N:$N)</f>
        <v>5275.388831</v>
      </c>
      <c r="T5" s="259">
        <f t="shared" si="1"/>
        <v>0.04780544451</v>
      </c>
      <c r="U5" s="258">
        <f>sumif(Invoices!$S:$S,U$2,Invoices!$N:$N)</f>
        <v>4742.683908</v>
      </c>
      <c r="V5" s="259">
        <f t="shared" si="2"/>
        <v>0.04917433814</v>
      </c>
      <c r="W5" s="258">
        <f>sumif(Invoices!$S:$S,W$2,Invoices!$N:$N)</f>
        <v>2547.811804</v>
      </c>
      <c r="X5" s="265">
        <f t="shared" si="3"/>
        <v>0.03707159417</v>
      </c>
      <c r="Y5" s="258">
        <f>sumif(Invoices!$S:$S,"&gt;="&amp;Y$2,Invoices!$N:$N)</f>
        <v>0</v>
      </c>
      <c r="Z5" s="259" t="str">
        <f t="shared" si="4"/>
        <v>#DIV/0!</v>
      </c>
      <c r="AA5" s="258">
        <f>sumif(Invoices!$S:$S,"&gt;="&amp;AA$2,Invoices!$N:$N)</f>
        <v>0</v>
      </c>
      <c r="AB5" s="259" t="str">
        <f t="shared" si="5"/>
        <v>#DIV/0!</v>
      </c>
      <c r="AC5" s="258">
        <f>sumif(Invoices!$S:$S,"&gt;="&amp;AC$2,Invoices!$N:$N)</f>
        <v>32041.73791</v>
      </c>
      <c r="AD5" s="259">
        <f t="shared" si="6"/>
        <v>0.0457663983</v>
      </c>
    </row>
    <row r="6">
      <c r="A6" s="245" t="s">
        <v>2170</v>
      </c>
      <c r="B6" s="269">
        <f>sumif(Expenses!$K:K,B$3,Expenses!$C:C)</f>
        <v>29380.23</v>
      </c>
      <c r="C6" s="270">
        <f>sumif(Expenses!$K:$K,C$3,Expenses!$C:$C)</f>
        <v>26937.88</v>
      </c>
      <c r="D6" s="254">
        <f t="shared" si="7"/>
        <v>0.09066600638</v>
      </c>
      <c r="E6" s="270">
        <f>sumif(Expenses!$K:$K,E$3,Expenses!$C:$C)</f>
        <v>25916.08</v>
      </c>
      <c r="F6" s="254">
        <f t="shared" si="8"/>
        <v>0.1336679776</v>
      </c>
      <c r="G6" s="270">
        <f>sumif(Expenses!$K:$K,"&gt;="&amp;G$3,Expenses!$C:$C)</f>
        <v>0</v>
      </c>
      <c r="H6" s="268">
        <f t="shared" si="9"/>
        <v>0</v>
      </c>
      <c r="I6" s="254" t="str">
        <f t="shared" si="10"/>
        <v/>
      </c>
      <c r="J6" s="270">
        <f>sumif(Expenses!$K:$K,"&gt;="&amp;J$3,Expenses!$C:$C)</f>
        <v>0</v>
      </c>
      <c r="K6" s="268">
        <f t="shared" si="11"/>
        <v>0</v>
      </c>
      <c r="L6" s="254" t="str">
        <f t="shared" si="12"/>
        <v/>
      </c>
      <c r="M6" s="270">
        <f>sumif(Expenses!$K:$K,"&gt;="&amp;M$3,Expenses!$C:$C)</f>
        <v>277709.288</v>
      </c>
      <c r="N6" s="268">
        <f t="shared" si="13"/>
        <v>6171.317511</v>
      </c>
      <c r="O6" s="254">
        <f t="shared" si="14"/>
        <v>3.760771091</v>
      </c>
      <c r="P6" s="256"/>
      <c r="Q6" s="257" t="s">
        <v>1977</v>
      </c>
      <c r="R6" s="227"/>
      <c r="S6" s="258">
        <f>sumifs(Expenses!$C:$C,Expenses!$K:$K,S$2,Expenses!$I:$I,$Q6)</f>
        <v>2861.05</v>
      </c>
      <c r="T6" s="259">
        <f t="shared" si="1"/>
        <v>0.0259267651</v>
      </c>
      <c r="U6" s="258">
        <f>sumifs(Expenses!$C:$C,Expenses!$K:$K,U$2,Expenses!$I:$I,$Q6)</f>
        <v>2697</v>
      </c>
      <c r="V6" s="259">
        <f t="shared" si="2"/>
        <v>0.02796374216</v>
      </c>
      <c r="W6" s="258">
        <f>sumifs(Expenses!$C:$C,Expenses!$K:$K,W$2,Expenses!$I:$I,$Q6)</f>
        <v>2883.88</v>
      </c>
      <c r="X6" s="265">
        <f t="shared" si="3"/>
        <v>0.0419615094</v>
      </c>
      <c r="Y6" s="258">
        <f>sumifs(Expenses!$C:$C,Expenses!$K:$K,"&gt;="&amp;Y$2,Expenses!$I:$I,$Q6)</f>
        <v>0</v>
      </c>
      <c r="Z6" s="259" t="str">
        <f t="shared" si="4"/>
        <v>#DIV/0!</v>
      </c>
      <c r="AA6" s="258">
        <f>sumifs(Expenses!$C:$C,Expenses!$K:$K,"&gt;="&amp;AA$2,Expenses!$I:$I,$Q6)</f>
        <v>0</v>
      </c>
      <c r="AB6" s="259" t="str">
        <f t="shared" si="5"/>
        <v>#DIV/0!</v>
      </c>
      <c r="AC6" s="258">
        <f>sumifs(Expenses!$C:$C,Expenses!$K:$K,"&gt;="&amp;AC$2,Expenses!$I:$I,$Q6)</f>
        <v>28578.67</v>
      </c>
      <c r="AD6" s="259">
        <f t="shared" si="6"/>
        <v>0.04081997043</v>
      </c>
    </row>
    <row r="7">
      <c r="A7" s="245" t="s">
        <v>2171</v>
      </c>
      <c r="B7" s="269">
        <f t="shared" ref="B7:C7" si="15">B5*0.03</f>
        <v>3081.533304</v>
      </c>
      <c r="C7" s="270">
        <f t="shared" si="15"/>
        <v>2697.206542</v>
      </c>
      <c r="D7" s="254">
        <f t="shared" si="7"/>
        <v>0.1424906681</v>
      </c>
      <c r="E7" s="270">
        <f>E5*0.03</f>
        <v>1940.94277</v>
      </c>
      <c r="F7" s="254">
        <f t="shared" si="8"/>
        <v>0.5876476892</v>
      </c>
      <c r="G7" s="270">
        <f>G5*0.03</f>
        <v>0</v>
      </c>
      <c r="H7" s="268">
        <f t="shared" si="9"/>
        <v>0</v>
      </c>
      <c r="I7" s="254" t="str">
        <f t="shared" si="10"/>
        <v/>
      </c>
      <c r="J7" s="270">
        <f>J5*0.03</f>
        <v>0</v>
      </c>
      <c r="K7" s="268">
        <f t="shared" si="11"/>
        <v>0</v>
      </c>
      <c r="L7" s="254" t="str">
        <f t="shared" si="12"/>
        <v/>
      </c>
      <c r="M7" s="270">
        <f>M5*0.03</f>
        <v>19611.74331</v>
      </c>
      <c r="N7" s="268">
        <f t="shared" si="13"/>
        <v>435.816518</v>
      </c>
      <c r="O7" s="254">
        <f t="shared" si="14"/>
        <v>6.070712505</v>
      </c>
      <c r="P7" s="271"/>
      <c r="Q7" s="272"/>
      <c r="R7" s="273"/>
      <c r="S7" s="274">
        <f>S3-S4-S5-S6</f>
        <v>99856.72679</v>
      </c>
      <c r="T7" s="259">
        <f t="shared" si="1"/>
        <v>0.904899215</v>
      </c>
      <c r="U7" s="275">
        <f>U3-U4-U5-U6</f>
        <v>87209.88472</v>
      </c>
      <c r="V7" s="259">
        <f t="shared" si="2"/>
        <v>0.9042323806</v>
      </c>
      <c r="W7" s="275">
        <f>W3-W4-W5-W6</f>
        <v>61814.21233</v>
      </c>
      <c r="X7" s="265">
        <f t="shared" si="3"/>
        <v>0.8994194114</v>
      </c>
      <c r="Y7" s="275">
        <f>Y3-Y4-Y5-Y6</f>
        <v>0</v>
      </c>
      <c r="Z7" s="259" t="str">
        <f t="shared" si="4"/>
        <v>#DIV/0!</v>
      </c>
      <c r="AA7" s="275">
        <f>AA3-AA4-AA5-AA6</f>
        <v>0</v>
      </c>
      <c r="AB7" s="259" t="str">
        <f t="shared" si="5"/>
        <v>#DIV/0!</v>
      </c>
      <c r="AC7" s="275">
        <f>AC3-AC4-AC5-AC6</f>
        <v>625146.107</v>
      </c>
      <c r="AD7" s="259">
        <f t="shared" si="6"/>
        <v>0.8929192856</v>
      </c>
    </row>
    <row r="8">
      <c r="A8" s="245" t="s">
        <v>2172</v>
      </c>
      <c r="B8" s="269">
        <f t="shared" ref="B8:C8" si="16">B5-B6-B7</f>
        <v>70256.01349</v>
      </c>
      <c r="C8" s="270">
        <f t="shared" si="16"/>
        <v>60271.79818</v>
      </c>
      <c r="D8" s="254">
        <f t="shared" si="7"/>
        <v>0.1656531845</v>
      </c>
      <c r="E8" s="270">
        <f>E5-E6-E7</f>
        <v>36841.06956</v>
      </c>
      <c r="F8" s="254">
        <f t="shared" si="8"/>
        <v>0.9070025469</v>
      </c>
      <c r="G8" s="270">
        <f>G5-G6-G7</f>
        <v>0</v>
      </c>
      <c r="H8" s="268">
        <f t="shared" si="9"/>
        <v>0</v>
      </c>
      <c r="I8" s="254" t="str">
        <f t="shared" si="10"/>
        <v/>
      </c>
      <c r="J8" s="270">
        <f>J5-J6-J7</f>
        <v>0</v>
      </c>
      <c r="K8" s="268">
        <f t="shared" si="11"/>
        <v>0</v>
      </c>
      <c r="L8" s="254" t="str">
        <f t="shared" si="12"/>
        <v/>
      </c>
      <c r="M8" s="270">
        <f>M5-M6-M7</f>
        <v>356403.7457</v>
      </c>
      <c r="N8" s="268">
        <f t="shared" si="13"/>
        <v>7920.083237</v>
      </c>
      <c r="O8" s="254">
        <f t="shared" si="14"/>
        <v>7.870615546</v>
      </c>
      <c r="P8" s="271"/>
      <c r="Q8" s="272"/>
      <c r="R8" s="273"/>
      <c r="S8" s="276"/>
      <c r="T8" s="277"/>
      <c r="U8" s="276"/>
      <c r="V8" s="277"/>
      <c r="W8" s="276"/>
      <c r="X8" s="278"/>
      <c r="Y8" s="276"/>
      <c r="Z8" s="277"/>
      <c r="AA8" s="276"/>
      <c r="AB8" s="277"/>
      <c r="AC8" s="276"/>
      <c r="AD8" s="277"/>
    </row>
    <row r="9">
      <c r="A9" s="245" t="s">
        <v>2173</v>
      </c>
      <c r="B9" s="266">
        <f t="shared" ref="B9:C9" si="17">B8/2</f>
        <v>35128.00674</v>
      </c>
      <c r="C9" s="270">
        <f t="shared" si="17"/>
        <v>30135.89909</v>
      </c>
      <c r="D9" s="254">
        <f t="shared" si="7"/>
        <v>0.1656531845</v>
      </c>
      <c r="E9" s="270">
        <f>E8/2</f>
        <v>18420.53478</v>
      </c>
      <c r="F9" s="254">
        <f t="shared" si="8"/>
        <v>0.9070025469</v>
      </c>
      <c r="G9" s="270">
        <f>G8/2</f>
        <v>0</v>
      </c>
      <c r="H9" s="268">
        <f t="shared" si="9"/>
        <v>0</v>
      </c>
      <c r="I9" s="254" t="str">
        <f t="shared" si="10"/>
        <v/>
      </c>
      <c r="J9" s="270">
        <f>J8/2</f>
        <v>0</v>
      </c>
      <c r="K9" s="268">
        <f t="shared" si="11"/>
        <v>0</v>
      </c>
      <c r="L9" s="254" t="str">
        <f t="shared" si="12"/>
        <v/>
      </c>
      <c r="M9" s="270">
        <f>M8/2</f>
        <v>178201.8728</v>
      </c>
      <c r="N9" s="268">
        <f t="shared" si="13"/>
        <v>3960.041618</v>
      </c>
      <c r="O9" s="254">
        <f t="shared" si="14"/>
        <v>7.870615546</v>
      </c>
      <c r="P9" s="256"/>
      <c r="Q9" s="257" t="s">
        <v>1979</v>
      </c>
      <c r="R9" s="227"/>
      <c r="S9" s="258">
        <f>sumifs(Expenses!$C:$C,Expenses!$K:$K,S$2,Expenses!$I:$I,$Q9)</f>
        <v>24539.07</v>
      </c>
      <c r="T9" s="259">
        <f t="shared" ref="T9:T11" si="18">S9/S$3</f>
        <v>0.2223724519</v>
      </c>
      <c r="U9" s="258">
        <f>sumifs(Expenses!$C:$C,Expenses!$K:$K,U$2,Expenses!$I:$I,$Q9)</f>
        <v>23034.22</v>
      </c>
      <c r="V9" s="259">
        <f t="shared" ref="V9:V11" si="19">U9/U$3</f>
        <v>0.238829436</v>
      </c>
      <c r="W9" s="258">
        <f>sumifs(Expenses!$C:$C,Expenses!$K:$K,W$2,Expenses!$I:$I,$Q9)</f>
        <v>22389.5</v>
      </c>
      <c r="X9" s="265">
        <f t="shared" ref="X9:X11" si="20">W9/W$3</f>
        <v>0.3257754188</v>
      </c>
      <c r="Y9" s="258">
        <f>sumifs(Expenses!$C:$C,Expenses!$K:$K,"&gt;="&amp;Y$2,Expenses!$I:$I,$Q9)</f>
        <v>0</v>
      </c>
      <c r="Z9" s="259" t="str">
        <f t="shared" ref="Z9:Z11" si="21">Y9/Y$3</f>
        <v>#DIV/0!</v>
      </c>
      <c r="AA9" s="258">
        <f>sumifs(Expenses!$C:$C,Expenses!$K:$K,"&gt;="&amp;AA$2,Expenses!$I:$I,$Q9)</f>
        <v>0</v>
      </c>
      <c r="AB9" s="259" t="str">
        <f t="shared" ref="AB9:AB11" si="22">AA9/AA$3</f>
        <v>#DIV/0!</v>
      </c>
      <c r="AC9" s="258">
        <f>sumifs(Expenses!$C:$C,Expenses!$K:$K,"&gt;="&amp;AC$2,Expenses!$I:$I,$Q9)</f>
        <v>217820.9461</v>
      </c>
      <c r="AD9" s="259">
        <f t="shared" ref="AD9:AD11" si="23">AC9/AC$3</f>
        <v>0.3111217065</v>
      </c>
    </row>
    <row r="10">
      <c r="A10" s="245"/>
      <c r="B10" s="269"/>
      <c r="C10" s="270"/>
      <c r="D10" s="248"/>
      <c r="E10" s="270"/>
      <c r="F10" s="264"/>
      <c r="G10" s="270"/>
      <c r="H10" s="218"/>
      <c r="I10" s="264"/>
      <c r="J10" s="270"/>
      <c r="K10" s="218"/>
      <c r="L10" s="264"/>
      <c r="M10" s="270"/>
      <c r="N10" s="218"/>
      <c r="O10" s="264"/>
      <c r="P10" s="256"/>
      <c r="Q10" s="257" t="s">
        <v>2174</v>
      </c>
      <c r="R10" s="227"/>
      <c r="S10" s="258">
        <f>sumif(Expenses!$K:$K,S$2,Expenses!$C:$C)-S9-S6</f>
        <v>1980.11</v>
      </c>
      <c r="T10" s="259">
        <f t="shared" si="18"/>
        <v>0.01794370837</v>
      </c>
      <c r="U10" s="270">
        <f>sumif(Expenses!$K:$K,U$2,Expenses!$C:$C)-U9-U6</f>
        <v>1206.66</v>
      </c>
      <c r="V10" s="259">
        <f t="shared" si="19"/>
        <v>0.01251120842</v>
      </c>
      <c r="W10" s="270">
        <f>sumif(Expenses!$K:$K,W$2,Expenses!$C:$C)-W9-W6</f>
        <v>642.7</v>
      </c>
      <c r="X10" s="265">
        <f t="shared" si="20"/>
        <v>0.009351520207</v>
      </c>
      <c r="Y10" s="270">
        <f>sumif(Expenses!$K:$K,"&gt;="&amp;Y$2,Expenses!$C:$C)-Y9-Y6</f>
        <v>0</v>
      </c>
      <c r="Z10" s="259" t="str">
        <f t="shared" si="21"/>
        <v>#DIV/0!</v>
      </c>
      <c r="AA10" s="270">
        <f>sumif(Expenses!$K:$K,"&gt;="&amp;AA$2,Expenses!$C:$C)-AA9-AA6</f>
        <v>0</v>
      </c>
      <c r="AB10" s="259" t="str">
        <f t="shared" si="22"/>
        <v>#DIV/0!</v>
      </c>
      <c r="AC10" s="270">
        <f>sumif(Expenses!$K:$K,"&gt;="&amp;AC$2,Expenses!$C:$C)-AC9-AC6</f>
        <v>31309.67191</v>
      </c>
      <c r="AD10" s="259">
        <f t="shared" si="23"/>
        <v>0.04472076138</v>
      </c>
    </row>
    <row r="11">
      <c r="A11" s="245"/>
      <c r="B11" s="269"/>
      <c r="C11" s="270"/>
      <c r="D11" s="248"/>
      <c r="E11" s="270"/>
      <c r="F11" s="264"/>
      <c r="G11" s="270"/>
      <c r="H11" s="218"/>
      <c r="I11" s="264"/>
      <c r="J11" s="276" t="str">
        <f>J8/J5</f>
        <v>#DIV/0!</v>
      </c>
      <c r="K11" s="218"/>
      <c r="L11" s="264"/>
      <c r="M11" s="276">
        <f>M8/M5</f>
        <v>0.5451892879</v>
      </c>
      <c r="N11" s="218"/>
      <c r="O11" s="264"/>
      <c r="P11" s="279"/>
      <c r="Q11" s="262"/>
      <c r="R11" s="263"/>
      <c r="S11" s="280">
        <f>sum(S9:S10)</f>
        <v>26519.18</v>
      </c>
      <c r="T11" s="259">
        <f t="shared" si="18"/>
        <v>0.2403161603</v>
      </c>
      <c r="U11" s="280">
        <f>sum(U9:U10)</f>
        <v>24240.88</v>
      </c>
      <c r="V11" s="259">
        <f t="shared" si="19"/>
        <v>0.2513406445</v>
      </c>
      <c r="W11" s="280">
        <f>sum(W9:W10)</f>
        <v>23032.2</v>
      </c>
      <c r="X11" s="265">
        <f t="shared" si="20"/>
        <v>0.335126939</v>
      </c>
      <c r="Y11" s="280">
        <f>sum(Y9:Y10)</f>
        <v>0</v>
      </c>
      <c r="Z11" s="259" t="str">
        <f t="shared" si="21"/>
        <v>#DIV/0!</v>
      </c>
      <c r="AA11" s="280">
        <f>sum(AA9:AA10)</f>
        <v>0</v>
      </c>
      <c r="AB11" s="259" t="str">
        <f t="shared" si="22"/>
        <v>#DIV/0!</v>
      </c>
      <c r="AC11" s="280">
        <f>sum(AC9:AC10)</f>
        <v>249130.618</v>
      </c>
      <c r="AD11" s="259">
        <f t="shared" si="23"/>
        <v>0.3558424678</v>
      </c>
    </row>
    <row r="12">
      <c r="A12" s="245"/>
      <c r="B12" s="269"/>
      <c r="C12" s="270"/>
      <c r="D12" s="248"/>
      <c r="E12" s="270"/>
      <c r="F12" s="264"/>
      <c r="G12" s="270"/>
      <c r="H12" s="218"/>
      <c r="I12" s="264"/>
      <c r="J12" s="270"/>
      <c r="K12" s="218"/>
      <c r="L12" s="264"/>
      <c r="M12" s="270"/>
      <c r="N12" s="218"/>
      <c r="O12" s="264"/>
      <c r="P12" s="279"/>
      <c r="Q12" s="262"/>
      <c r="R12" s="263"/>
      <c r="S12" s="262"/>
      <c r="T12" s="277"/>
      <c r="U12" s="262"/>
      <c r="V12" s="277"/>
      <c r="W12" s="262"/>
      <c r="X12" s="281"/>
      <c r="Y12" s="262"/>
      <c r="Z12" s="277"/>
      <c r="AA12" s="262"/>
      <c r="AB12" s="277"/>
      <c r="AC12" s="262"/>
      <c r="AD12" s="277"/>
    </row>
    <row r="13">
      <c r="A13" s="245"/>
      <c r="B13" s="269"/>
      <c r="C13" s="270"/>
      <c r="D13" s="248"/>
      <c r="E13" s="270"/>
      <c r="F13" s="264"/>
      <c r="G13" s="270"/>
      <c r="H13" s="218"/>
      <c r="I13" s="264"/>
      <c r="J13" s="270"/>
      <c r="K13" s="218"/>
      <c r="L13" s="264"/>
      <c r="M13" s="270"/>
      <c r="N13" s="218"/>
      <c r="O13" s="264"/>
      <c r="P13" s="256"/>
      <c r="Q13" s="257" t="s">
        <v>2171</v>
      </c>
      <c r="R13" s="227"/>
      <c r="S13" s="270">
        <f>B7</f>
        <v>3081.533304</v>
      </c>
      <c r="T13" s="259">
        <f t="shared" ref="T13:T14" si="24">S13/S$3</f>
        <v>0.0279247794</v>
      </c>
      <c r="U13" s="270">
        <f>C7</f>
        <v>2697.206542</v>
      </c>
      <c r="V13" s="259">
        <f t="shared" ref="V13:V14" si="25">U13/U$3</f>
        <v>0.02796588368</v>
      </c>
      <c r="W13" s="270">
        <f>E7</f>
        <v>1940.94277</v>
      </c>
      <c r="X13" s="265">
        <f t="shared" ref="X13:X14" si="26">W13/W$3</f>
        <v>0.02824142762</v>
      </c>
      <c r="Y13" s="270" t="str">
        <f>I7</f>
        <v/>
      </c>
      <c r="Z13" s="259" t="str">
        <f t="shared" ref="Z13:Z14" si="27">Y13/Y$3</f>
        <v>#DIV/0!</v>
      </c>
      <c r="AA13" s="270">
        <f>K7</f>
        <v>0</v>
      </c>
      <c r="AB13" s="259" t="str">
        <f t="shared" ref="AB13:AB14" si="28">AA13/AA$3</f>
        <v>#DIV/0!</v>
      </c>
      <c r="AC13" s="270">
        <f>M7</f>
        <v>19611.74331</v>
      </c>
      <c r="AD13" s="259">
        <f t="shared" ref="AD13:AD14" si="29">AC13/AC$3</f>
        <v>0.02801217768</v>
      </c>
    </row>
    <row r="14">
      <c r="A14" s="245"/>
      <c r="B14" s="269"/>
      <c r="C14" s="270"/>
      <c r="D14" s="248"/>
      <c r="E14" s="270"/>
      <c r="F14" s="264"/>
      <c r="G14" s="270"/>
      <c r="H14" s="218"/>
      <c r="I14" s="264"/>
      <c r="J14" s="270"/>
      <c r="K14" s="218"/>
      <c r="L14" s="264"/>
      <c r="M14" s="270"/>
      <c r="N14" s="218"/>
      <c r="O14" s="264"/>
      <c r="P14" s="271"/>
      <c r="Q14" s="272"/>
      <c r="R14" s="273"/>
      <c r="S14" s="280">
        <f>S11+S13</f>
        <v>29600.7133</v>
      </c>
      <c r="T14" s="259">
        <f t="shared" si="24"/>
        <v>0.2682409397</v>
      </c>
      <c r="U14" s="280">
        <f>U11+U13</f>
        <v>26938.08654</v>
      </c>
      <c r="V14" s="259">
        <f t="shared" si="25"/>
        <v>0.2793065281</v>
      </c>
      <c r="W14" s="280">
        <f>W11+W13</f>
        <v>24973.14277</v>
      </c>
      <c r="X14" s="265">
        <f t="shared" si="26"/>
        <v>0.3633683666</v>
      </c>
      <c r="Y14" s="280">
        <f>Y11+Y13</f>
        <v>0</v>
      </c>
      <c r="Z14" s="259" t="str">
        <f t="shared" si="27"/>
        <v>#DIV/0!</v>
      </c>
      <c r="AA14" s="280">
        <f>AA11+AA13</f>
        <v>0</v>
      </c>
      <c r="AB14" s="259" t="str">
        <f t="shared" si="28"/>
        <v>#DIV/0!</v>
      </c>
      <c r="AC14" s="280">
        <f>AC11+AC13</f>
        <v>268742.3613</v>
      </c>
      <c r="AD14" s="259">
        <f t="shared" si="29"/>
        <v>0.3838546455</v>
      </c>
    </row>
    <row r="15">
      <c r="A15" s="245"/>
      <c r="B15" s="269"/>
      <c r="C15" s="270"/>
      <c r="D15" s="248"/>
      <c r="E15" s="270"/>
      <c r="F15" s="264"/>
      <c r="G15" s="270"/>
      <c r="H15" s="218"/>
      <c r="I15" s="264"/>
      <c r="J15" s="270"/>
      <c r="K15" s="218"/>
      <c r="L15" s="264"/>
      <c r="M15" s="270"/>
      <c r="N15" s="218"/>
      <c r="O15" s="264"/>
      <c r="P15" s="271"/>
      <c r="Q15" s="272"/>
      <c r="R15" s="273"/>
      <c r="S15" s="270"/>
      <c r="T15" s="259"/>
      <c r="U15" s="270"/>
      <c r="V15" s="259"/>
      <c r="W15" s="270"/>
      <c r="X15" s="265"/>
      <c r="Y15" s="270"/>
      <c r="Z15" s="259"/>
      <c r="AA15" s="270"/>
      <c r="AB15" s="259"/>
      <c r="AC15" s="270"/>
      <c r="AD15" s="259"/>
    </row>
    <row r="16">
      <c r="A16" s="245"/>
      <c r="B16" s="269"/>
      <c r="C16" s="270"/>
      <c r="D16" s="248"/>
      <c r="E16" s="270"/>
      <c r="F16" s="264"/>
      <c r="G16" s="270"/>
      <c r="H16" s="218"/>
      <c r="I16" s="264"/>
      <c r="J16" s="270"/>
      <c r="K16" s="218"/>
      <c r="L16" s="264"/>
      <c r="M16" s="270"/>
      <c r="N16" s="218"/>
      <c r="O16" s="264"/>
      <c r="P16" s="256"/>
      <c r="Q16" s="257" t="s">
        <v>2175</v>
      </c>
      <c r="R16" s="227"/>
      <c r="S16" s="270">
        <f>S7-S14</f>
        <v>70256.01349</v>
      </c>
      <c r="T16" s="259">
        <f t="shared" ref="T16:T17" si="30">S16/S$3</f>
        <v>0.6366582753</v>
      </c>
      <c r="U16" s="270">
        <f>U7-U14</f>
        <v>60271.79818</v>
      </c>
      <c r="V16" s="259">
        <f t="shared" ref="V16:V17" si="31">U16/U$3</f>
        <v>0.6249258524</v>
      </c>
      <c r="W16" s="270">
        <f>W7-W14</f>
        <v>36841.06956</v>
      </c>
      <c r="X16" s="265">
        <f t="shared" ref="X16:X17" si="32">W16/W$3</f>
        <v>0.5360510447</v>
      </c>
      <c r="Y16" s="270">
        <f>Y7-Y14</f>
        <v>0</v>
      </c>
      <c r="Z16" s="259" t="str">
        <f t="shared" ref="Z16:Z17" si="33">Y16/Y$3</f>
        <v>#DIV/0!</v>
      </c>
      <c r="AA16" s="270">
        <f>AA7-AA14</f>
        <v>0</v>
      </c>
      <c r="AB16" s="259" t="str">
        <f t="shared" ref="AB16:AB17" si="34">AA16/AA$3</f>
        <v>#DIV/0!</v>
      </c>
      <c r="AC16" s="270">
        <f>AC7-AC14</f>
        <v>356403.7457</v>
      </c>
      <c r="AD16" s="259">
        <f t="shared" ref="AD16:AD17" si="35">AC16/AC$3</f>
        <v>0.5090646401</v>
      </c>
    </row>
    <row r="17">
      <c r="A17" s="245"/>
      <c r="B17" s="269"/>
      <c r="C17" s="270"/>
      <c r="D17" s="248"/>
      <c r="E17" s="270"/>
      <c r="F17" s="264"/>
      <c r="G17" s="270"/>
      <c r="H17" s="218"/>
      <c r="I17" s="264"/>
      <c r="J17" s="270"/>
      <c r="K17" s="218"/>
      <c r="L17" s="264"/>
      <c r="M17" s="270"/>
      <c r="N17" s="218"/>
      <c r="O17" s="264"/>
      <c r="P17" s="256"/>
      <c r="Q17" s="257" t="s">
        <v>2173</v>
      </c>
      <c r="R17" s="227"/>
      <c r="S17" s="282">
        <f>S16/2</f>
        <v>35128.00674</v>
      </c>
      <c r="T17" s="259">
        <f t="shared" si="30"/>
        <v>0.3183291376</v>
      </c>
      <c r="U17" s="270">
        <f>U16/2</f>
        <v>30135.89909</v>
      </c>
      <c r="V17" s="259">
        <f t="shared" si="31"/>
        <v>0.3124629262</v>
      </c>
      <c r="W17" s="270">
        <f>W16/2</f>
        <v>18420.53478</v>
      </c>
      <c r="X17" s="265">
        <f t="shared" si="32"/>
        <v>0.2680255224</v>
      </c>
      <c r="Y17" s="270">
        <f>Y16/2</f>
        <v>0</v>
      </c>
      <c r="Z17" s="259" t="str">
        <f t="shared" si="33"/>
        <v>#DIV/0!</v>
      </c>
      <c r="AA17" s="270">
        <f>AA16/2</f>
        <v>0</v>
      </c>
      <c r="AB17" s="259" t="str">
        <f t="shared" si="34"/>
        <v>#DIV/0!</v>
      </c>
      <c r="AC17" s="270">
        <f>AC16/2</f>
        <v>178201.8728</v>
      </c>
      <c r="AD17" s="259">
        <f t="shared" si="35"/>
        <v>0.2545323201</v>
      </c>
    </row>
    <row r="18">
      <c r="A18" s="245"/>
      <c r="B18" s="269"/>
      <c r="C18" s="270"/>
      <c r="D18" s="248"/>
      <c r="E18" s="270"/>
      <c r="F18" s="264"/>
      <c r="G18" s="270"/>
      <c r="H18" s="218"/>
      <c r="I18" s="264"/>
      <c r="J18" s="270"/>
      <c r="K18" s="218"/>
      <c r="L18" s="264"/>
      <c r="M18" s="270"/>
      <c r="N18" s="218"/>
      <c r="O18" s="264"/>
      <c r="P18" s="271"/>
      <c r="Q18" s="272"/>
      <c r="R18" s="273"/>
      <c r="S18" s="270"/>
      <c r="T18" s="277"/>
      <c r="U18" s="270"/>
      <c r="V18" s="277"/>
      <c r="W18" s="270"/>
      <c r="X18" s="283"/>
      <c r="Y18" s="270"/>
      <c r="Z18" s="277"/>
      <c r="AA18" s="284"/>
      <c r="AB18" s="277"/>
      <c r="AC18" s="270"/>
      <c r="AD18" s="277"/>
    </row>
    <row r="19">
      <c r="A19" s="245"/>
      <c r="B19" s="269"/>
      <c r="C19" s="270"/>
      <c r="D19" s="248"/>
      <c r="E19" s="270"/>
      <c r="F19" s="264"/>
      <c r="G19" s="270"/>
      <c r="H19" s="218"/>
      <c r="I19" s="264"/>
      <c r="J19" s="270"/>
      <c r="K19" s="218"/>
      <c r="L19" s="264"/>
      <c r="M19" s="270"/>
      <c r="N19" s="218"/>
      <c r="O19" s="264"/>
      <c r="P19" s="256"/>
      <c r="Q19" s="257" t="s">
        <v>2176</v>
      </c>
      <c r="R19" s="227"/>
      <c r="S19" s="284"/>
      <c r="T19" s="277"/>
      <c r="U19" s="284"/>
      <c r="V19" s="277"/>
      <c r="W19" s="284"/>
      <c r="X19" s="283"/>
      <c r="Y19" s="284"/>
      <c r="Z19" s="277"/>
      <c r="AA19" s="284"/>
      <c r="AB19" s="277"/>
      <c r="AC19" s="284"/>
      <c r="AD19" s="277"/>
    </row>
    <row r="20">
      <c r="A20" s="245"/>
      <c r="B20" s="269"/>
      <c r="C20" s="270"/>
      <c r="D20" s="248"/>
      <c r="E20" s="270"/>
      <c r="F20" s="264"/>
      <c r="G20" s="270"/>
      <c r="H20" s="218"/>
      <c r="I20" s="264"/>
      <c r="J20" s="270"/>
      <c r="K20" s="218"/>
      <c r="L20" s="264"/>
      <c r="M20" s="270"/>
      <c r="N20" s="218"/>
      <c r="O20" s="264"/>
      <c r="P20" s="285"/>
      <c r="Q20" s="286"/>
      <c r="R20" s="287" t="s">
        <v>2177</v>
      </c>
      <c r="S20" s="288">
        <f>S16/(S3-S6)</f>
        <v>0.6536041157</v>
      </c>
      <c r="T20" s="227"/>
      <c r="U20" s="284">
        <f>U16/(U3-U6)</f>
        <v>0.6429038499</v>
      </c>
      <c r="V20" s="277">
        <f t="shared" ref="V20:V23" si="36">($S20/U20)-1</f>
        <v>0.01664364856</v>
      </c>
      <c r="W20" s="284">
        <f>W16/(W3-W6)</f>
        <v>0.5595297579</v>
      </c>
      <c r="X20" s="277">
        <f t="shared" ref="X20:X23" si="37">($S20/W20)-1</f>
        <v>0.1681311072</v>
      </c>
      <c r="Y20" s="284" t="str">
        <f>Y16/(Y3-Y6)</f>
        <v>#DIV/0!</v>
      </c>
      <c r="Z20" s="277" t="str">
        <f t="shared" ref="Z20:Z23" si="38">($S20/Y20)-1</f>
        <v>#DIV/0!</v>
      </c>
      <c r="AA20" s="284" t="str">
        <f>AA16/(AA3-AA6)</f>
        <v>#DIV/0!</v>
      </c>
      <c r="AB20" s="277" t="str">
        <f t="shared" ref="AB20:AB23" si="39">($S20/AA20)-1</f>
        <v>#DIV/0!</v>
      </c>
      <c r="AC20" s="284">
        <f>AC16/(AC3-AC6)</f>
        <v>0.5307289814</v>
      </c>
      <c r="AD20" s="277">
        <f t="shared" ref="AD20:AD23" si="40">($S20/AC20)-1</f>
        <v>0.2315214328</v>
      </c>
    </row>
    <row r="21">
      <c r="A21" s="245"/>
      <c r="B21" s="269"/>
      <c r="C21" s="270"/>
      <c r="D21" s="248"/>
      <c r="E21" s="270"/>
      <c r="F21" s="264"/>
      <c r="G21" s="270"/>
      <c r="H21" s="218"/>
      <c r="I21" s="264"/>
      <c r="J21" s="270"/>
      <c r="K21" s="218"/>
      <c r="L21" s="264"/>
      <c r="M21" s="270"/>
      <c r="N21" s="218"/>
      <c r="O21" s="264"/>
      <c r="P21" s="285"/>
      <c r="Q21" s="286"/>
      <c r="R21" s="287" t="s">
        <v>2178</v>
      </c>
      <c r="S21" s="288">
        <f>S16/S7</f>
        <v>0.7035681596</v>
      </c>
      <c r="T21" s="227"/>
      <c r="U21" s="284">
        <f>U16/U7</f>
        <v>0.6911120038</v>
      </c>
      <c r="V21" s="277">
        <f t="shared" si="36"/>
        <v>0.01802335323</v>
      </c>
      <c r="W21" s="284">
        <f>W16/W7</f>
        <v>0.5959967485</v>
      </c>
      <c r="X21" s="277">
        <f t="shared" si="37"/>
        <v>0.1804899293</v>
      </c>
      <c r="Y21" s="284" t="str">
        <f>Y16/Y7</f>
        <v>#DIV/0!</v>
      </c>
      <c r="Z21" s="277" t="str">
        <f t="shared" si="38"/>
        <v>#DIV/0!</v>
      </c>
      <c r="AA21" s="284" t="str">
        <f>AA16/AA7</f>
        <v>#DIV/0!</v>
      </c>
      <c r="AB21" s="277" t="str">
        <f t="shared" si="39"/>
        <v>#DIV/0!</v>
      </c>
      <c r="AC21" s="284">
        <f>AC16/AC7</f>
        <v>0.5701127171</v>
      </c>
      <c r="AD21" s="277">
        <f t="shared" si="40"/>
        <v>0.2340860648</v>
      </c>
    </row>
    <row r="22">
      <c r="A22" s="245"/>
      <c r="B22" s="269"/>
      <c r="C22" s="270"/>
      <c r="D22" s="248"/>
      <c r="E22" s="270"/>
      <c r="F22" s="264"/>
      <c r="G22" s="270"/>
      <c r="H22" s="218"/>
      <c r="I22" s="264"/>
      <c r="J22" s="270"/>
      <c r="K22" s="218"/>
      <c r="L22" s="264"/>
      <c r="M22" s="270"/>
      <c r="N22" s="218"/>
      <c r="O22" s="264"/>
      <c r="P22" s="285"/>
      <c r="Q22" s="286"/>
      <c r="R22" s="287" t="s">
        <v>2179</v>
      </c>
      <c r="S22" s="288">
        <f>S16/(S7-S13)</f>
        <v>0.7259713048</v>
      </c>
      <c r="T22" s="227"/>
      <c r="U22" s="284">
        <f>U16/(U7-U13)</f>
        <v>0.713168716</v>
      </c>
      <c r="V22" s="277">
        <f t="shared" si="36"/>
        <v>0.01795169718</v>
      </c>
      <c r="W22" s="284">
        <f>W16/(W7-W13)</f>
        <v>0.6153174836</v>
      </c>
      <c r="X22" s="277">
        <f t="shared" si="37"/>
        <v>0.1798320771</v>
      </c>
      <c r="Y22" s="284" t="str">
        <f>Y16/(Y7-Y13)</f>
        <v>#DIV/0!</v>
      </c>
      <c r="Z22" s="277" t="str">
        <f t="shared" si="38"/>
        <v>#DIV/0!</v>
      </c>
      <c r="AA22" s="284" t="str">
        <f>AA16/(AA7-AA13)</f>
        <v>#DIV/0!</v>
      </c>
      <c r="AB22" s="277" t="str">
        <f t="shared" si="39"/>
        <v>#DIV/0!</v>
      </c>
      <c r="AC22" s="284">
        <f>AC16/(AC7-AC13)</f>
        <v>0.5885772419</v>
      </c>
      <c r="AD22" s="277">
        <f t="shared" si="40"/>
        <v>0.233434209</v>
      </c>
    </row>
    <row r="23">
      <c r="A23" s="245"/>
      <c r="B23" s="269"/>
      <c r="C23" s="270"/>
      <c r="D23" s="248"/>
      <c r="E23" s="270"/>
      <c r="F23" s="264"/>
      <c r="G23" s="270"/>
      <c r="H23" s="218"/>
      <c r="I23" s="264"/>
      <c r="J23" s="270"/>
      <c r="K23" s="218"/>
      <c r="L23" s="264"/>
      <c r="M23" s="270"/>
      <c r="N23" s="218"/>
      <c r="O23" s="264"/>
      <c r="P23" s="285"/>
      <c r="Q23" s="286"/>
      <c r="R23" s="289" t="s">
        <v>2172</v>
      </c>
      <c r="S23" s="290">
        <f>S16/S3</f>
        <v>0.6366582753</v>
      </c>
      <c r="T23" s="227"/>
      <c r="U23" s="291">
        <f>U16/U3</f>
        <v>0.6249258524</v>
      </c>
      <c r="V23" s="277">
        <f t="shared" si="36"/>
        <v>0.01877410386</v>
      </c>
      <c r="W23" s="291">
        <f>W16/W3</f>
        <v>0.5360510447</v>
      </c>
      <c r="X23" s="277">
        <f t="shared" si="37"/>
        <v>0.1876821835</v>
      </c>
      <c r="Y23" s="291" t="str">
        <f>Y16/Y3</f>
        <v>#DIV/0!</v>
      </c>
      <c r="Z23" s="277" t="str">
        <f t="shared" si="38"/>
        <v>#DIV/0!</v>
      </c>
      <c r="AA23" s="291" t="str">
        <f>AA16/AA3</f>
        <v>#DIV/0!</v>
      </c>
      <c r="AB23" s="277" t="str">
        <f t="shared" si="39"/>
        <v>#DIV/0!</v>
      </c>
      <c r="AC23" s="291">
        <f>AC16/AC3</f>
        <v>0.5090646401</v>
      </c>
      <c r="AD23" s="277">
        <f t="shared" si="40"/>
        <v>0.2506432879</v>
      </c>
    </row>
  </sheetData>
  <mergeCells count="22">
    <mergeCell ref="B1:B2"/>
    <mergeCell ref="C1:F1"/>
    <mergeCell ref="G1:I1"/>
    <mergeCell ref="J1:L1"/>
    <mergeCell ref="M1:O1"/>
    <mergeCell ref="U1:V1"/>
    <mergeCell ref="W1:X1"/>
    <mergeCell ref="Q13:R13"/>
    <mergeCell ref="Q16:R16"/>
    <mergeCell ref="Q17:R17"/>
    <mergeCell ref="Q19:R19"/>
    <mergeCell ref="S20:T20"/>
    <mergeCell ref="S21:T21"/>
    <mergeCell ref="S22:T22"/>
    <mergeCell ref="S23:T23"/>
    <mergeCell ref="S1:T1"/>
    <mergeCell ref="Q3:R3"/>
    <mergeCell ref="Q4:R4"/>
    <mergeCell ref="Q5:R5"/>
    <mergeCell ref="Q6:R6"/>
    <mergeCell ref="Q9:R9"/>
    <mergeCell ref="Q10:R10"/>
  </mergeCells>
  <conditionalFormatting sqref="D6 F6 L6 O6">
    <cfRule type="cellIs" dxfId="19" priority="1" operator="lessThan">
      <formula>0</formula>
    </cfRule>
  </conditionalFormatting>
  <conditionalFormatting sqref="D6 F6 L6 O6">
    <cfRule type="cellIs" dxfId="20" priority="2" operator="greaterThan">
      <formula>0</formula>
    </cfRule>
  </conditionalFormatting>
  <conditionalFormatting sqref="D1:D23 F1:F23 I1:I23 L1:L23 O1:O23 V20:V23 X20:X23 Z20:Z23 AB20:AB23 AD20:AD23">
    <cfRule type="cellIs" dxfId="19" priority="3" operator="greaterThan">
      <formula>0</formula>
    </cfRule>
  </conditionalFormatting>
  <conditionalFormatting sqref="D1:D23 F1:F23 I1:I23 L1:L23 O1:O23 V20:V23 X20:X23 Z20:Z23 AB20:AB23 AD20:AD23">
    <cfRule type="cellIs" dxfId="20" priority="4" operator="lessThan">
      <formula>0</formula>
    </cfRule>
  </conditionalFormatting>
  <dataValidations>
    <dataValidation type="list" allowBlank="1" sqref="B3 E3">
      <formula1>List_BW_Invoices</formula1>
    </dataValidation>
  </dataValidation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pane xSplit="1.0" ySplit="4.0" topLeftCell="B5" activePane="bottomRight" state="frozen"/>
      <selection activeCell="B1" sqref="B1" pane="topRight"/>
      <selection activeCell="A5" sqref="A5" pane="bottomLeft"/>
      <selection activeCell="B5" sqref="B5" pane="bottomRight"/>
    </sheetView>
  </sheetViews>
  <sheetFormatPr customHeight="1" defaultColWidth="12.63" defaultRowHeight="15.75"/>
  <cols>
    <col customWidth="1" min="1" max="1" width="53.0"/>
    <col customWidth="1" min="2" max="2" width="11.63"/>
    <col hidden="1" min="9" max="9" width="12.63"/>
  </cols>
  <sheetData>
    <row r="1">
      <c r="A1" s="159" t="s">
        <v>2180</v>
      </c>
      <c r="B1" s="292">
        <v>45108.0</v>
      </c>
      <c r="C1" s="293" t="s">
        <v>2181</v>
      </c>
      <c r="D1" s="294">
        <f>if(A1="Month Of",date(year(B1),month(B1),1),B1)</f>
        <v>45108</v>
      </c>
      <c r="E1" s="295">
        <f t="shared" ref="E1:E2" si="1">year(D1)+month(D1)*0.01</f>
        <v>2023.07</v>
      </c>
      <c r="F1" s="296"/>
      <c r="G1" s="219"/>
      <c r="H1" s="218"/>
      <c r="I1" s="218"/>
      <c r="J1" s="219"/>
    </row>
    <row r="2">
      <c r="A2" s="159" t="s">
        <v>52</v>
      </c>
      <c r="B2" s="297">
        <v>45046.0</v>
      </c>
      <c r="C2" s="293" t="s">
        <v>2182</v>
      </c>
      <c r="D2" s="294">
        <f>if(A1="Month Of",date(year(B1), month(B1)+1,1)-1,B2)</f>
        <v>45138</v>
      </c>
      <c r="E2" s="295">
        <f t="shared" si="1"/>
        <v>2023.07</v>
      </c>
      <c r="F2" s="296" t="str">
        <f>A2</f>
        <v>Monthly</v>
      </c>
      <c r="G2" s="219"/>
      <c r="H2" s="218"/>
      <c r="I2" s="218"/>
      <c r="J2" s="219"/>
    </row>
    <row r="3">
      <c r="G3" s="219"/>
      <c r="H3" s="218"/>
      <c r="I3" s="218"/>
      <c r="J3" s="219"/>
    </row>
    <row r="4">
      <c r="A4" s="223" t="s">
        <v>2183</v>
      </c>
      <c r="B4" s="223" t="s">
        <v>2184</v>
      </c>
      <c r="C4" s="223" t="s">
        <v>2185</v>
      </c>
      <c r="D4" s="223" t="s">
        <v>1142</v>
      </c>
      <c r="E4" s="223" t="s">
        <v>2186</v>
      </c>
      <c r="F4" s="223" t="s">
        <v>2187</v>
      </c>
      <c r="G4" s="219" t="s">
        <v>2188</v>
      </c>
      <c r="H4" s="218" t="s">
        <v>2189</v>
      </c>
      <c r="I4" s="218" t="s">
        <v>2190</v>
      </c>
      <c r="J4" s="219" t="s">
        <v>2191</v>
      </c>
    </row>
    <row r="5">
      <c r="A5" s="223" t="s">
        <v>223</v>
      </c>
      <c r="B5" s="298">
        <v>800.0</v>
      </c>
      <c r="C5" s="298">
        <v>24.89</v>
      </c>
      <c r="D5" s="298">
        <v>0.0</v>
      </c>
      <c r="E5" s="298">
        <v>0.0</v>
      </c>
      <c r="F5" s="298">
        <v>775.11</v>
      </c>
      <c r="G5" s="219">
        <v>0.5001375</v>
      </c>
      <c r="H5" s="218">
        <v>375.0</v>
      </c>
      <c r="I5" s="218">
        <v>375.0</v>
      </c>
      <c r="J5" s="219">
        <v>0.516197700971475</v>
      </c>
    </row>
    <row r="6">
      <c r="A6" s="223" t="s">
        <v>54</v>
      </c>
      <c r="B6" s="298">
        <v>750.0</v>
      </c>
      <c r="C6" s="298">
        <v>23.33</v>
      </c>
      <c r="D6" s="298">
        <v>0.0</v>
      </c>
      <c r="E6" s="298">
        <v>0.0</v>
      </c>
      <c r="F6" s="298">
        <v>726.67</v>
      </c>
      <c r="G6" s="219">
        <v>0.5188933333333333</v>
      </c>
      <c r="H6" s="218">
        <v>337.5</v>
      </c>
      <c r="I6" s="218">
        <v>337.5</v>
      </c>
      <c r="J6" s="219">
        <v>0.5355525892083064</v>
      </c>
    </row>
    <row r="7">
      <c r="A7" s="223" t="s">
        <v>810</v>
      </c>
      <c r="B7" s="298">
        <v>1153.2136</v>
      </c>
      <c r="C7" s="298">
        <v>43.0620442</v>
      </c>
      <c r="D7" s="298">
        <v>0.0</v>
      </c>
      <c r="E7" s="298">
        <v>0.0</v>
      </c>
      <c r="F7" s="298">
        <v>1110.1515558</v>
      </c>
      <c r="G7" s="219">
        <v>0.6830057812360174</v>
      </c>
      <c r="H7" s="218">
        <v>322.5</v>
      </c>
      <c r="I7" s="218">
        <v>322.5</v>
      </c>
      <c r="J7" s="219">
        <v>0.7094991235069709</v>
      </c>
    </row>
    <row r="8">
      <c r="A8" s="223" t="s">
        <v>99</v>
      </c>
      <c r="B8" s="298">
        <v>1825.2848900000001</v>
      </c>
      <c r="C8" s="298">
        <v>67.91846783000001</v>
      </c>
      <c r="D8" s="298">
        <v>351.47328443400005</v>
      </c>
      <c r="E8" s="298">
        <v>0.0</v>
      </c>
      <c r="F8" s="298">
        <v>1405.893137736</v>
      </c>
      <c r="G8" s="219">
        <v>0.4086447774933369</v>
      </c>
      <c r="H8" s="218">
        <v>660.0</v>
      </c>
      <c r="I8" s="218">
        <v>660.0</v>
      </c>
      <c r="J8" s="219">
        <v>0.5305475343148481</v>
      </c>
    </row>
    <row r="9">
      <c r="A9" s="223" t="s">
        <v>467</v>
      </c>
      <c r="B9" s="298">
        <v>280.0</v>
      </c>
      <c r="C9" s="298">
        <v>0.0</v>
      </c>
      <c r="D9" s="298">
        <v>56.0</v>
      </c>
      <c r="E9" s="298">
        <v>0.0</v>
      </c>
      <c r="F9" s="298">
        <v>224.0</v>
      </c>
      <c r="G9" s="219">
        <v>0.8</v>
      </c>
      <c r="H9" s="218">
        <v>0.0</v>
      </c>
      <c r="I9" s="218">
        <v>0.0</v>
      </c>
      <c r="J9" s="219">
        <v>1.0</v>
      </c>
    </row>
    <row r="10">
      <c r="A10" s="223" t="s">
        <v>762</v>
      </c>
      <c r="B10" s="298">
        <v>865.0</v>
      </c>
      <c r="C10" s="298">
        <v>0.0</v>
      </c>
      <c r="D10" s="298">
        <v>0.0</v>
      </c>
      <c r="E10" s="298">
        <v>0.0</v>
      </c>
      <c r="F10" s="298">
        <v>865.0</v>
      </c>
      <c r="G10" s="219">
        <v>0.6271676300578035</v>
      </c>
      <c r="H10" s="218">
        <v>322.5</v>
      </c>
      <c r="I10" s="218">
        <v>322.5</v>
      </c>
      <c r="J10" s="219">
        <v>0.6271676300578035</v>
      </c>
    </row>
    <row r="11">
      <c r="A11" s="223" t="s">
        <v>120</v>
      </c>
      <c r="B11" s="298">
        <v>1308.9180000000001</v>
      </c>
      <c r="C11" s="298">
        <v>48.822641399999995</v>
      </c>
      <c r="D11" s="298">
        <v>252.01907172000003</v>
      </c>
      <c r="E11" s="298">
        <v>0.0</v>
      </c>
      <c r="F11" s="298">
        <v>1008.0762868800001</v>
      </c>
      <c r="G11" s="219">
        <v>0.5027635702771297</v>
      </c>
      <c r="H11" s="218">
        <v>350.0</v>
      </c>
      <c r="I11" s="218">
        <v>350.0</v>
      </c>
      <c r="J11" s="219">
        <v>0.6528040540629605</v>
      </c>
    </row>
    <row r="12">
      <c r="A12" s="223" t="s">
        <v>695</v>
      </c>
      <c r="B12" s="298">
        <v>600.0</v>
      </c>
      <c r="C12" s="298">
        <v>18.67</v>
      </c>
      <c r="D12" s="298">
        <v>0.0</v>
      </c>
      <c r="E12" s="298">
        <v>0.0</v>
      </c>
      <c r="F12" s="298">
        <v>581.33</v>
      </c>
      <c r="G12" s="219">
        <v>0.6022166666666667</v>
      </c>
      <c r="H12" s="218">
        <v>220.0</v>
      </c>
      <c r="I12" s="218">
        <v>220.0</v>
      </c>
      <c r="J12" s="219">
        <v>0.6215574630588478</v>
      </c>
    </row>
    <row r="13">
      <c r="A13" s="223" t="s">
        <v>1041</v>
      </c>
      <c r="B13" s="298">
        <v>1000.0</v>
      </c>
      <c r="C13" s="298">
        <v>0.0</v>
      </c>
      <c r="D13" s="298">
        <v>0.0</v>
      </c>
      <c r="E13" s="298">
        <v>0.0</v>
      </c>
      <c r="F13" s="298">
        <v>1000.0</v>
      </c>
      <c r="G13" s="219">
        <v>0.6375</v>
      </c>
      <c r="H13" s="218">
        <v>362.5</v>
      </c>
      <c r="I13" s="218">
        <v>362.5</v>
      </c>
      <c r="J13" s="219">
        <v>0.6375</v>
      </c>
    </row>
    <row r="14">
      <c r="A14" s="223" t="s">
        <v>1070</v>
      </c>
      <c r="B14" s="298">
        <v>981.61575</v>
      </c>
      <c r="C14" s="298">
        <v>36.712429050000004</v>
      </c>
      <c r="D14" s="298">
        <v>188.98066419000003</v>
      </c>
      <c r="E14" s="298">
        <v>0.0</v>
      </c>
      <c r="F14" s="298">
        <v>755.92265676</v>
      </c>
      <c r="G14" s="219">
        <v>0.5408660738787046</v>
      </c>
      <c r="H14" s="218">
        <v>225.0</v>
      </c>
      <c r="I14" s="218">
        <v>225.0</v>
      </c>
      <c r="J14" s="219">
        <v>0.7023505010891136</v>
      </c>
    </row>
    <row r="15">
      <c r="A15" s="223" t="s">
        <v>42</v>
      </c>
      <c r="B15" s="298">
        <v>1500.0</v>
      </c>
      <c r="C15" s="298">
        <v>0.0</v>
      </c>
      <c r="D15" s="298">
        <v>225.0</v>
      </c>
      <c r="E15" s="298">
        <v>0.0</v>
      </c>
      <c r="F15" s="298">
        <v>1275.0</v>
      </c>
      <c r="G15" s="219">
        <v>0.335</v>
      </c>
      <c r="H15" s="218">
        <v>772.5</v>
      </c>
      <c r="I15" s="218">
        <v>772.5</v>
      </c>
      <c r="J15" s="219">
        <v>0.3941176470588235</v>
      </c>
    </row>
    <row r="16">
      <c r="A16" s="223" t="s">
        <v>499</v>
      </c>
      <c r="B16" s="298">
        <v>1650.0</v>
      </c>
      <c r="C16" s="298">
        <v>55.23</v>
      </c>
      <c r="D16" s="298">
        <v>0.0</v>
      </c>
      <c r="E16" s="298">
        <v>0.0</v>
      </c>
      <c r="F16" s="298">
        <v>1594.77</v>
      </c>
      <c r="G16" s="219">
        <v>0.602890909090909</v>
      </c>
      <c r="H16" s="218">
        <v>600.0</v>
      </c>
      <c r="I16" s="218">
        <v>600.0</v>
      </c>
      <c r="J16" s="219">
        <v>0.6237701988374499</v>
      </c>
    </row>
    <row r="17">
      <c r="A17" s="223" t="s">
        <v>82</v>
      </c>
      <c r="B17" s="298">
        <v>860.0</v>
      </c>
      <c r="C17" s="298">
        <v>0.0</v>
      </c>
      <c r="D17" s="298">
        <v>0.0</v>
      </c>
      <c r="E17" s="298">
        <v>0.0</v>
      </c>
      <c r="F17" s="298">
        <v>860.0</v>
      </c>
      <c r="G17" s="219">
        <v>0.49647674418604654</v>
      </c>
      <c r="H17" s="218">
        <v>433.03</v>
      </c>
      <c r="I17" s="218">
        <v>433.03</v>
      </c>
      <c r="J17" s="219">
        <v>0.49647674418604654</v>
      </c>
    </row>
    <row r="18">
      <c r="A18" s="223" t="s">
        <v>861</v>
      </c>
      <c r="B18" s="298">
        <v>1750.0</v>
      </c>
      <c r="C18" s="298">
        <v>0.0</v>
      </c>
      <c r="D18" s="298">
        <v>350.0</v>
      </c>
      <c r="E18" s="298">
        <v>0.0</v>
      </c>
      <c r="F18" s="298">
        <v>1400.0</v>
      </c>
      <c r="G18" s="219">
        <v>0.32</v>
      </c>
      <c r="H18" s="218">
        <v>840.0</v>
      </c>
      <c r="I18" s="218">
        <v>840.0</v>
      </c>
      <c r="J18" s="219">
        <v>0.4</v>
      </c>
    </row>
    <row r="19">
      <c r="A19" s="223" t="s">
        <v>963</v>
      </c>
      <c r="B19" s="298">
        <v>750.0</v>
      </c>
      <c r="C19" s="298">
        <v>0.0</v>
      </c>
      <c r="D19" s="298">
        <v>150.0</v>
      </c>
      <c r="E19" s="298">
        <v>0.0</v>
      </c>
      <c r="F19" s="298">
        <v>600.0</v>
      </c>
      <c r="G19" s="219">
        <v>0.28</v>
      </c>
      <c r="H19" s="218">
        <v>390.0</v>
      </c>
      <c r="I19" s="218">
        <v>390.0</v>
      </c>
      <c r="J19" s="219">
        <v>0.35</v>
      </c>
    </row>
    <row r="20">
      <c r="A20" s="223" t="s">
        <v>884</v>
      </c>
      <c r="B20" s="298">
        <v>326.40000000000003</v>
      </c>
      <c r="C20" s="298">
        <v>0.0</v>
      </c>
      <c r="D20" s="298">
        <v>65.28000000000002</v>
      </c>
      <c r="E20" s="298">
        <v>0.0</v>
      </c>
      <c r="F20" s="298">
        <v>261.12</v>
      </c>
      <c r="G20" s="219">
        <v>0.7999999999999999</v>
      </c>
      <c r="H20" s="218">
        <v>0.0</v>
      </c>
      <c r="I20" s="218">
        <v>0.0</v>
      </c>
      <c r="J20" s="219">
        <v>1.0</v>
      </c>
    </row>
    <row r="21">
      <c r="A21" s="223" t="s">
        <v>788</v>
      </c>
      <c r="B21" s="298">
        <v>2440.0</v>
      </c>
      <c r="C21" s="298">
        <v>0.0</v>
      </c>
      <c r="D21" s="298">
        <v>0.0</v>
      </c>
      <c r="E21" s="298">
        <v>0.0</v>
      </c>
      <c r="F21" s="298">
        <v>2440.0</v>
      </c>
      <c r="G21" s="219">
        <v>0.6864754098360656</v>
      </c>
      <c r="H21" s="218">
        <v>765.0</v>
      </c>
      <c r="I21" s="218">
        <v>765.0</v>
      </c>
      <c r="J21" s="219">
        <v>0.6864754098360656</v>
      </c>
    </row>
    <row r="22">
      <c r="A22" s="223" t="s">
        <v>979</v>
      </c>
      <c r="B22" s="298">
        <v>1441.6237</v>
      </c>
      <c r="C22" s="298">
        <v>53.733247</v>
      </c>
      <c r="D22" s="298">
        <v>0.0</v>
      </c>
      <c r="E22" s="298">
        <v>0.0</v>
      </c>
      <c r="F22" s="298">
        <v>1387.8904530000002</v>
      </c>
      <c r="G22" s="219">
        <v>0.9627272727272728</v>
      </c>
      <c r="H22" s="218">
        <v>0.0</v>
      </c>
      <c r="I22" s="218">
        <v>0.0</v>
      </c>
      <c r="J22" s="219">
        <v>1.0</v>
      </c>
    </row>
    <row r="23">
      <c r="A23" s="223" t="s">
        <v>88</v>
      </c>
      <c r="B23" s="298">
        <v>500.0</v>
      </c>
      <c r="C23" s="298">
        <v>15.56</v>
      </c>
      <c r="D23" s="298">
        <v>0.0</v>
      </c>
      <c r="E23" s="298">
        <v>0.0</v>
      </c>
      <c r="F23" s="298">
        <v>484.44</v>
      </c>
      <c r="G23" s="219">
        <v>0.45388</v>
      </c>
      <c r="H23" s="218">
        <v>257.5</v>
      </c>
      <c r="I23" s="218">
        <v>257.5</v>
      </c>
      <c r="J23" s="219">
        <v>0.4684584262240938</v>
      </c>
    </row>
    <row r="24">
      <c r="A24" s="223" t="s">
        <v>225</v>
      </c>
      <c r="B24" s="298">
        <v>5000.0</v>
      </c>
      <c r="C24" s="298">
        <v>0.0</v>
      </c>
      <c r="D24" s="298">
        <v>0.0</v>
      </c>
      <c r="E24" s="298">
        <v>0.0</v>
      </c>
      <c r="F24" s="298">
        <v>5000.0</v>
      </c>
      <c r="G24" s="219">
        <v>0.628</v>
      </c>
      <c r="H24" s="218">
        <v>1860.0</v>
      </c>
      <c r="I24" s="218">
        <v>1860.0</v>
      </c>
      <c r="J24" s="219">
        <v>0.628</v>
      </c>
    </row>
    <row r="25">
      <c r="A25" s="223" t="s">
        <v>102</v>
      </c>
      <c r="B25" s="298">
        <v>452.45165</v>
      </c>
      <c r="C25" s="298">
        <v>17.12852675</v>
      </c>
      <c r="D25" s="298">
        <v>0.0</v>
      </c>
      <c r="E25" s="298">
        <v>0.0</v>
      </c>
      <c r="F25" s="298">
        <v>435.32312325</v>
      </c>
      <c r="G25" s="219">
        <v>0.6306157204863768</v>
      </c>
      <c r="H25" s="218">
        <v>150.0</v>
      </c>
      <c r="I25" s="218">
        <v>150.0</v>
      </c>
      <c r="J25" s="219">
        <v>0.6554283657616389</v>
      </c>
    </row>
    <row r="26">
      <c r="A26" s="223" t="s">
        <v>50</v>
      </c>
      <c r="B26" s="298">
        <v>412.5</v>
      </c>
      <c r="C26" s="298">
        <v>0.0</v>
      </c>
      <c r="D26" s="298">
        <v>0.0</v>
      </c>
      <c r="E26" s="298">
        <v>0.0</v>
      </c>
      <c r="F26" s="298">
        <v>412.5</v>
      </c>
      <c r="G26" s="219">
        <v>0.5636363636363636</v>
      </c>
      <c r="H26" s="218">
        <v>180.0</v>
      </c>
      <c r="I26" s="218">
        <v>180.0</v>
      </c>
      <c r="J26" s="219">
        <v>0.5636363636363636</v>
      </c>
    </row>
    <row r="27">
      <c r="A27" s="223" t="s">
        <v>924</v>
      </c>
      <c r="B27" s="298">
        <v>76.58538</v>
      </c>
      <c r="C27" s="298">
        <v>3.21658596</v>
      </c>
      <c r="D27" s="298">
        <v>0.0</v>
      </c>
      <c r="E27" s="298">
        <v>0.0</v>
      </c>
      <c r="F27" s="298">
        <v>73.36879404</v>
      </c>
      <c r="G27" s="219">
        <v>0.958</v>
      </c>
      <c r="H27" s="218">
        <v>0.0</v>
      </c>
      <c r="I27" s="218">
        <v>0.0</v>
      </c>
      <c r="J27" s="219">
        <v>1.0</v>
      </c>
    </row>
    <row r="28">
      <c r="A28" s="223" t="s">
        <v>855</v>
      </c>
      <c r="B28" s="298">
        <v>250.0</v>
      </c>
      <c r="C28" s="298">
        <v>7.78</v>
      </c>
      <c r="D28" s="298">
        <v>0.0</v>
      </c>
      <c r="E28" s="298">
        <v>0.0</v>
      </c>
      <c r="F28" s="298">
        <v>242.22</v>
      </c>
      <c r="G28" s="219">
        <v>0.94228</v>
      </c>
      <c r="H28" s="218">
        <v>6.65</v>
      </c>
      <c r="I28" s="218">
        <v>6.65</v>
      </c>
      <c r="J28" s="219">
        <v>0.9725456196845842</v>
      </c>
    </row>
    <row r="29">
      <c r="A29" s="223" t="s">
        <v>97</v>
      </c>
      <c r="B29" s="298">
        <v>330.0</v>
      </c>
      <c r="C29" s="298">
        <v>10.27</v>
      </c>
      <c r="D29" s="298">
        <v>0.0</v>
      </c>
      <c r="E29" s="298">
        <v>0.0</v>
      </c>
      <c r="F29" s="298">
        <v>319.73</v>
      </c>
      <c r="G29" s="219">
        <v>0.8779696969696971</v>
      </c>
      <c r="H29" s="218">
        <v>30.0</v>
      </c>
      <c r="I29" s="218">
        <v>30.0</v>
      </c>
      <c r="J29" s="219">
        <v>0.9061708316391955</v>
      </c>
    </row>
    <row r="30">
      <c r="A30" s="223" t="s">
        <v>92</v>
      </c>
      <c r="B30" s="298">
        <v>2500.0</v>
      </c>
      <c r="C30" s="298">
        <v>77.78</v>
      </c>
      <c r="D30" s="298">
        <v>0.0</v>
      </c>
      <c r="E30" s="298">
        <v>127.0</v>
      </c>
      <c r="F30" s="298">
        <v>2295.22</v>
      </c>
      <c r="G30" s="219">
        <v>0.4220319999999999</v>
      </c>
      <c r="H30" s="218">
        <v>1240.14</v>
      </c>
      <c r="I30" s="218">
        <v>1367.14</v>
      </c>
      <c r="J30" s="219">
        <v>0.45968578175512576</v>
      </c>
    </row>
    <row r="31">
      <c r="A31" s="223" t="s">
        <v>795</v>
      </c>
      <c r="B31" s="298">
        <v>2600.0</v>
      </c>
      <c r="C31" s="298">
        <v>80.89</v>
      </c>
      <c r="D31" s="298">
        <v>0.0</v>
      </c>
      <c r="E31" s="298">
        <v>0.0</v>
      </c>
      <c r="F31" s="298">
        <v>2519.11</v>
      </c>
      <c r="G31" s="219">
        <v>0.6688884615384616</v>
      </c>
      <c r="H31" s="218">
        <v>780.0</v>
      </c>
      <c r="I31" s="218">
        <v>780.0</v>
      </c>
      <c r="J31" s="219">
        <v>0.690366835906332</v>
      </c>
    </row>
    <row r="32">
      <c r="A32" s="223" t="s">
        <v>123</v>
      </c>
      <c r="B32" s="298">
        <v>3000.0</v>
      </c>
      <c r="C32" s="298">
        <v>0.0</v>
      </c>
      <c r="D32" s="298">
        <v>600.0</v>
      </c>
      <c r="E32" s="298">
        <v>0.0</v>
      </c>
      <c r="F32" s="298">
        <v>2400.0</v>
      </c>
      <c r="G32" s="219">
        <v>0.4583333333333333</v>
      </c>
      <c r="H32" s="218">
        <v>1025.0</v>
      </c>
      <c r="I32" s="218">
        <v>1025.0</v>
      </c>
      <c r="J32" s="219">
        <v>0.5729166666666666</v>
      </c>
    </row>
    <row r="33">
      <c r="A33" s="223" t="s">
        <v>62</v>
      </c>
      <c r="B33" s="298">
        <v>1600.0</v>
      </c>
      <c r="C33" s="298">
        <v>49.78</v>
      </c>
      <c r="D33" s="298">
        <v>0.0</v>
      </c>
      <c r="E33" s="298">
        <v>0.0</v>
      </c>
      <c r="F33" s="298">
        <v>1550.22</v>
      </c>
      <c r="G33" s="219">
        <v>0.5001375</v>
      </c>
      <c r="H33" s="218">
        <v>750.0</v>
      </c>
      <c r="I33" s="218">
        <v>750.0</v>
      </c>
      <c r="J33" s="219">
        <v>0.516197700971475</v>
      </c>
    </row>
    <row r="34">
      <c r="A34" s="223" t="s">
        <v>115</v>
      </c>
      <c r="B34" s="298">
        <v>3255.6249999999995</v>
      </c>
      <c r="C34" s="298">
        <v>0.0</v>
      </c>
      <c r="D34" s="298">
        <v>0.0</v>
      </c>
      <c r="E34" s="298">
        <v>1301.5700000000002</v>
      </c>
      <c r="F34" s="298">
        <v>1954.0549999999994</v>
      </c>
      <c r="G34" s="219">
        <v>0.38346093300057577</v>
      </c>
      <c r="H34" s="218">
        <v>705.6500000000001</v>
      </c>
      <c r="I34" s="218">
        <v>2007.2200000000003</v>
      </c>
      <c r="J34" s="219">
        <v>0.6388791513033153</v>
      </c>
    </row>
    <row r="35">
      <c r="A35" s="223" t="s">
        <v>662</v>
      </c>
      <c r="B35" s="298">
        <v>2500.0</v>
      </c>
      <c r="C35" s="298">
        <v>0.0</v>
      </c>
      <c r="D35" s="298">
        <v>0.0</v>
      </c>
      <c r="E35" s="298">
        <v>0.0</v>
      </c>
      <c r="F35" s="298">
        <v>2500.0</v>
      </c>
      <c r="G35" s="219">
        <v>0.7</v>
      </c>
      <c r="H35" s="218">
        <v>750.0</v>
      </c>
      <c r="I35" s="218">
        <v>750.0</v>
      </c>
      <c r="J35" s="219">
        <v>0.7</v>
      </c>
    </row>
    <row r="36">
      <c r="A36" s="223" t="s">
        <v>118</v>
      </c>
      <c r="B36" s="298">
        <v>3255.6249999999995</v>
      </c>
      <c r="C36" s="298">
        <v>0.0</v>
      </c>
      <c r="D36" s="298">
        <v>0.0</v>
      </c>
      <c r="E36" s="298">
        <v>1306.75</v>
      </c>
      <c r="F36" s="298">
        <v>1948.8749999999995</v>
      </c>
      <c r="G36" s="219">
        <v>0.39339450950278354</v>
      </c>
      <c r="H36" s="218">
        <v>668.1300000000001</v>
      </c>
      <c r="I36" s="218">
        <v>1974.88</v>
      </c>
      <c r="J36" s="219">
        <v>0.6571714450644601</v>
      </c>
    </row>
    <row r="37">
      <c r="A37" s="223" t="s">
        <v>629</v>
      </c>
      <c r="B37" s="298">
        <v>361.956</v>
      </c>
      <c r="C37" s="298">
        <v>10.8</v>
      </c>
      <c r="D37" s="298">
        <v>0.0</v>
      </c>
      <c r="E37" s="298">
        <v>0.0</v>
      </c>
      <c r="F37" s="298">
        <v>351.156</v>
      </c>
      <c r="G37" s="219">
        <v>0.9701621191526042</v>
      </c>
      <c r="H37" s="218">
        <v>0.0</v>
      </c>
      <c r="I37" s="218">
        <v>0.0</v>
      </c>
      <c r="J37" s="219">
        <v>1.0</v>
      </c>
    </row>
    <row r="38">
      <c r="A38" s="223" t="s">
        <v>73</v>
      </c>
      <c r="B38" s="298">
        <v>770.0</v>
      </c>
      <c r="C38" s="298">
        <v>0.0</v>
      </c>
      <c r="D38" s="298">
        <v>0.0</v>
      </c>
      <c r="E38" s="298">
        <v>0.0</v>
      </c>
      <c r="F38" s="298">
        <v>770.0</v>
      </c>
      <c r="G38" s="219">
        <v>0.5292207792207793</v>
      </c>
      <c r="H38" s="218">
        <v>362.5</v>
      </c>
      <c r="I38" s="218">
        <v>362.5</v>
      </c>
      <c r="J38" s="219">
        <v>0.5292207792207793</v>
      </c>
    </row>
    <row r="39">
      <c r="A39" s="223" t="s">
        <v>966</v>
      </c>
      <c r="B39" s="298">
        <v>1800.0</v>
      </c>
      <c r="C39" s="298">
        <v>56.0</v>
      </c>
      <c r="D39" s="298">
        <v>174.4</v>
      </c>
      <c r="E39" s="298">
        <v>0.0</v>
      </c>
      <c r="F39" s="298">
        <v>1569.6</v>
      </c>
      <c r="G39" s="219">
        <v>0.4761666666666666</v>
      </c>
      <c r="H39" s="218">
        <v>712.5</v>
      </c>
      <c r="I39" s="218">
        <v>712.5</v>
      </c>
      <c r="J39" s="219">
        <v>0.5460626911314984</v>
      </c>
    </row>
    <row r="40">
      <c r="A40" s="223" t="s">
        <v>2192</v>
      </c>
      <c r="B40" s="298">
        <v>48946.79897</v>
      </c>
      <c r="C40" s="298">
        <v>701.57394219</v>
      </c>
      <c r="D40" s="298">
        <v>2413.1530203439997</v>
      </c>
      <c r="E40" s="298">
        <v>2735.32</v>
      </c>
      <c r="F40" s="298">
        <v>43096.752007466006</v>
      </c>
      <c r="G40" s="219">
        <v>0.5443287930594984</v>
      </c>
      <c r="H40" s="218">
        <v>16453.600000000002</v>
      </c>
      <c r="I40" s="218">
        <v>19188.920000000002</v>
      </c>
      <c r="J40" s="219">
        <v>0.6182171687288729</v>
      </c>
    </row>
    <row r="41">
      <c r="A41" s="223"/>
      <c r="G41" s="219"/>
      <c r="H41" s="218"/>
      <c r="I41" s="218"/>
      <c r="J41" s="219"/>
    </row>
    <row r="42">
      <c r="A42" s="223"/>
      <c r="G42" s="219"/>
      <c r="H42" s="218"/>
      <c r="I42" s="218"/>
      <c r="J42" s="219"/>
    </row>
    <row r="43">
      <c r="A43" s="223"/>
      <c r="G43" s="219"/>
      <c r="H43" s="218"/>
      <c r="I43" s="218"/>
      <c r="J43" s="219"/>
    </row>
    <row r="44">
      <c r="A44" s="223"/>
      <c r="G44" s="219"/>
      <c r="H44" s="218"/>
      <c r="I44" s="218"/>
      <c r="J44" s="219"/>
    </row>
    <row r="45">
      <c r="A45" s="223"/>
      <c r="G45" s="219"/>
      <c r="H45" s="218"/>
      <c r="I45" s="218"/>
      <c r="J45" s="219"/>
    </row>
    <row r="46">
      <c r="A46" s="223"/>
      <c r="G46" s="219"/>
      <c r="H46" s="218"/>
      <c r="I46" s="218"/>
      <c r="J46" s="219"/>
    </row>
    <row r="47">
      <c r="A47" s="223"/>
      <c r="G47" s="219"/>
      <c r="H47" s="218"/>
      <c r="I47" s="218"/>
      <c r="J47" s="219"/>
    </row>
    <row r="48">
      <c r="A48" s="223"/>
      <c r="G48" s="219"/>
      <c r="H48" s="218"/>
      <c r="I48" s="218"/>
      <c r="J48" s="219"/>
    </row>
    <row r="49">
      <c r="A49" s="223"/>
      <c r="G49" s="219"/>
      <c r="H49" s="218"/>
      <c r="I49" s="218"/>
      <c r="J49" s="219"/>
    </row>
    <row r="50">
      <c r="A50" s="223"/>
      <c r="G50" s="219"/>
      <c r="H50" s="218"/>
      <c r="I50" s="218"/>
      <c r="J50" s="219"/>
    </row>
    <row r="51">
      <c r="A51" s="223"/>
      <c r="G51" s="219"/>
      <c r="H51" s="218"/>
      <c r="I51" s="218"/>
      <c r="J51" s="219"/>
    </row>
    <row r="52">
      <c r="A52" s="223"/>
      <c r="G52" s="219"/>
      <c r="H52" s="218"/>
      <c r="I52" s="218"/>
      <c r="J52" s="219"/>
    </row>
    <row r="53">
      <c r="A53" s="223"/>
      <c r="G53" s="219"/>
      <c r="H53" s="218"/>
      <c r="I53" s="218"/>
      <c r="J53" s="219"/>
    </row>
    <row r="54">
      <c r="A54" s="223"/>
      <c r="G54" s="219"/>
      <c r="H54" s="218"/>
      <c r="I54" s="218"/>
      <c r="J54" s="219"/>
    </row>
    <row r="55">
      <c r="A55" s="223"/>
      <c r="G55" s="219"/>
      <c r="H55" s="218"/>
      <c r="I55" s="218"/>
      <c r="J55" s="219"/>
    </row>
    <row r="56">
      <c r="A56" s="223"/>
      <c r="G56" s="219"/>
      <c r="H56" s="218"/>
      <c r="I56" s="218"/>
      <c r="J56" s="219"/>
    </row>
    <row r="57">
      <c r="A57" s="223"/>
      <c r="G57" s="219"/>
      <c r="H57" s="218"/>
      <c r="I57" s="218"/>
      <c r="J57" s="219"/>
    </row>
    <row r="58">
      <c r="A58" s="223"/>
      <c r="G58" s="219"/>
      <c r="H58" s="218"/>
      <c r="I58" s="218"/>
      <c r="J58" s="219"/>
    </row>
    <row r="59">
      <c r="A59" s="223"/>
      <c r="G59" s="219"/>
      <c r="H59" s="218"/>
      <c r="I59" s="218"/>
      <c r="J59" s="219"/>
    </row>
    <row r="60">
      <c r="A60" s="223"/>
      <c r="G60" s="219"/>
      <c r="H60" s="218"/>
      <c r="I60" s="218"/>
      <c r="J60" s="219"/>
    </row>
    <row r="61">
      <c r="A61" s="223"/>
      <c r="G61" s="219"/>
      <c r="H61" s="218"/>
      <c r="I61" s="218"/>
      <c r="J61" s="219"/>
    </row>
    <row r="62">
      <c r="A62" s="223"/>
      <c r="G62" s="219"/>
      <c r="H62" s="218"/>
      <c r="I62" s="218"/>
      <c r="J62" s="219"/>
    </row>
    <row r="63">
      <c r="A63" s="223"/>
      <c r="G63" s="219"/>
      <c r="H63" s="218"/>
      <c r="I63" s="218"/>
      <c r="J63" s="219"/>
    </row>
    <row r="64">
      <c r="A64" s="223"/>
      <c r="G64" s="219"/>
      <c r="H64" s="218"/>
      <c r="I64" s="218"/>
      <c r="J64" s="219"/>
    </row>
    <row r="65">
      <c r="A65" s="223"/>
      <c r="G65" s="219"/>
      <c r="H65" s="218"/>
      <c r="I65" s="218"/>
      <c r="J65" s="219"/>
    </row>
    <row r="66">
      <c r="A66" s="223"/>
      <c r="G66" s="219"/>
      <c r="H66" s="218"/>
      <c r="I66" s="218"/>
      <c r="J66" s="219"/>
    </row>
    <row r="67">
      <c r="A67" s="223"/>
      <c r="G67" s="219"/>
      <c r="H67" s="218"/>
      <c r="I67" s="218"/>
      <c r="J67" s="219"/>
    </row>
    <row r="68">
      <c r="A68" s="223"/>
      <c r="G68" s="219"/>
      <c r="H68" s="218"/>
      <c r="I68" s="218"/>
      <c r="J68" s="219"/>
    </row>
    <row r="69">
      <c r="A69" s="223"/>
      <c r="G69" s="219"/>
      <c r="H69" s="218"/>
      <c r="I69" s="218"/>
      <c r="J69" s="219"/>
    </row>
    <row r="70">
      <c r="A70" s="223"/>
      <c r="G70" s="219"/>
      <c r="H70" s="218"/>
      <c r="I70" s="218"/>
      <c r="J70" s="219"/>
    </row>
    <row r="71">
      <c r="A71" s="223"/>
      <c r="G71" s="219"/>
      <c r="H71" s="218"/>
      <c r="I71" s="218"/>
      <c r="J71" s="219"/>
    </row>
    <row r="72">
      <c r="A72" s="223"/>
      <c r="G72" s="219"/>
      <c r="H72" s="218"/>
      <c r="I72" s="218"/>
      <c r="J72" s="219"/>
    </row>
    <row r="73">
      <c r="A73" s="223"/>
      <c r="G73" s="219"/>
      <c r="H73" s="218"/>
      <c r="I73" s="218"/>
      <c r="J73" s="219"/>
    </row>
    <row r="74">
      <c r="A74" s="223"/>
      <c r="G74" s="219"/>
      <c r="H74" s="218"/>
      <c r="I74" s="218"/>
      <c r="J74" s="219"/>
    </row>
    <row r="75">
      <c r="A75" s="223"/>
      <c r="G75" s="219"/>
      <c r="H75" s="218"/>
      <c r="I75" s="218"/>
      <c r="J75" s="219"/>
    </row>
    <row r="76">
      <c r="A76" s="223"/>
      <c r="G76" s="219"/>
      <c r="H76" s="218"/>
      <c r="I76" s="218"/>
      <c r="J76" s="219"/>
    </row>
    <row r="77">
      <c r="A77" s="223"/>
      <c r="G77" s="219"/>
      <c r="H77" s="218"/>
      <c r="I77" s="218"/>
      <c r="J77" s="219"/>
    </row>
    <row r="78">
      <c r="A78" s="223"/>
      <c r="G78" s="219"/>
      <c r="H78" s="218"/>
      <c r="I78" s="218"/>
      <c r="J78" s="219"/>
    </row>
    <row r="79">
      <c r="A79" s="223"/>
      <c r="G79" s="219"/>
      <c r="H79" s="218"/>
      <c r="I79" s="218"/>
      <c r="J79" s="219"/>
    </row>
    <row r="80">
      <c r="A80" s="223"/>
      <c r="G80" s="219"/>
      <c r="H80" s="218"/>
      <c r="I80" s="218"/>
      <c r="J80" s="219"/>
    </row>
    <row r="81">
      <c r="A81" s="223"/>
      <c r="G81" s="219"/>
      <c r="H81" s="218"/>
      <c r="I81" s="218"/>
      <c r="J81" s="219"/>
    </row>
    <row r="82">
      <c r="A82" s="223"/>
      <c r="G82" s="219"/>
      <c r="H82" s="218"/>
      <c r="I82" s="218"/>
      <c r="J82" s="219"/>
    </row>
    <row r="83">
      <c r="A83" s="223"/>
      <c r="G83" s="219"/>
      <c r="H83" s="218"/>
      <c r="I83" s="218"/>
      <c r="J83" s="219"/>
    </row>
    <row r="84">
      <c r="A84" s="223"/>
      <c r="G84" s="219"/>
      <c r="H84" s="218"/>
      <c r="I84" s="218"/>
      <c r="J84" s="219"/>
    </row>
    <row r="85">
      <c r="A85" s="223"/>
      <c r="G85" s="219"/>
      <c r="H85" s="218"/>
      <c r="I85" s="218"/>
      <c r="J85" s="219"/>
    </row>
    <row r="86">
      <c r="A86" s="223"/>
      <c r="G86" s="219"/>
      <c r="H86" s="218"/>
      <c r="I86" s="218"/>
      <c r="J86" s="219"/>
    </row>
    <row r="87">
      <c r="A87" s="223"/>
      <c r="G87" s="219"/>
      <c r="H87" s="218"/>
      <c r="I87" s="218"/>
      <c r="J87" s="219"/>
    </row>
    <row r="88">
      <c r="A88" s="223"/>
      <c r="G88" s="219"/>
      <c r="H88" s="218"/>
      <c r="I88" s="218"/>
      <c r="J88" s="219"/>
    </row>
    <row r="89">
      <c r="A89" s="223"/>
      <c r="G89" s="219"/>
      <c r="H89" s="218"/>
      <c r="I89" s="218"/>
      <c r="J89" s="219"/>
    </row>
    <row r="90">
      <c r="A90" s="223"/>
      <c r="G90" s="219"/>
      <c r="H90" s="218"/>
      <c r="I90" s="218"/>
      <c r="J90" s="219"/>
    </row>
    <row r="91">
      <c r="A91" s="223"/>
      <c r="G91" s="219"/>
      <c r="H91" s="218"/>
      <c r="I91" s="218"/>
      <c r="J91" s="219"/>
    </row>
    <row r="92">
      <c r="A92" s="223"/>
      <c r="G92" s="219"/>
      <c r="H92" s="218"/>
      <c r="I92" s="218"/>
      <c r="J92" s="219"/>
    </row>
    <row r="93">
      <c r="A93" s="223"/>
      <c r="G93" s="219"/>
      <c r="H93" s="218"/>
      <c r="I93" s="218"/>
      <c r="J93" s="219"/>
    </row>
    <row r="94">
      <c r="A94" s="223"/>
      <c r="G94" s="219"/>
      <c r="H94" s="218"/>
      <c r="I94" s="218"/>
      <c r="J94" s="219"/>
    </row>
    <row r="95">
      <c r="A95" s="223"/>
      <c r="G95" s="219"/>
      <c r="H95" s="218"/>
      <c r="I95" s="218"/>
      <c r="J95" s="219"/>
    </row>
    <row r="96">
      <c r="A96" s="223"/>
      <c r="G96" s="219"/>
      <c r="H96" s="218"/>
      <c r="I96" s="218"/>
      <c r="J96" s="219"/>
    </row>
    <row r="97">
      <c r="A97" s="223"/>
      <c r="G97" s="219"/>
      <c r="H97" s="218"/>
      <c r="I97" s="218"/>
      <c r="J97" s="219"/>
    </row>
    <row r="98">
      <c r="A98" s="223"/>
      <c r="G98" s="219"/>
      <c r="H98" s="218"/>
      <c r="I98" s="218"/>
      <c r="J98" s="219"/>
    </row>
    <row r="99">
      <c r="A99" s="223"/>
      <c r="G99" s="219"/>
      <c r="H99" s="218"/>
      <c r="I99" s="218"/>
      <c r="J99" s="219"/>
    </row>
    <row r="100">
      <c r="A100" s="223"/>
      <c r="G100" s="219"/>
      <c r="H100" s="218"/>
      <c r="I100" s="218"/>
      <c r="J100" s="219"/>
    </row>
    <row r="101">
      <c r="A101" s="223"/>
      <c r="G101" s="219"/>
      <c r="H101" s="218"/>
      <c r="I101" s="218"/>
      <c r="J101" s="219"/>
    </row>
    <row r="102">
      <c r="A102" s="223"/>
      <c r="G102" s="219"/>
      <c r="H102" s="218"/>
      <c r="I102" s="218"/>
      <c r="J102" s="219"/>
    </row>
    <row r="103">
      <c r="A103" s="223"/>
      <c r="G103" s="219"/>
      <c r="H103" s="218"/>
      <c r="I103" s="218"/>
      <c r="J103" s="219"/>
    </row>
    <row r="104">
      <c r="A104" s="223"/>
      <c r="G104" s="219"/>
      <c r="H104" s="218"/>
      <c r="I104" s="218"/>
      <c r="J104" s="219"/>
    </row>
    <row r="105">
      <c r="A105" s="223"/>
      <c r="G105" s="219"/>
      <c r="H105" s="218"/>
      <c r="I105" s="218"/>
      <c r="J105" s="219"/>
    </row>
    <row r="106">
      <c r="A106" s="223"/>
      <c r="G106" s="219"/>
      <c r="H106" s="218"/>
      <c r="I106" s="218"/>
      <c r="J106" s="219"/>
    </row>
    <row r="107">
      <c r="A107" s="223"/>
      <c r="G107" s="219"/>
      <c r="H107" s="218"/>
      <c r="I107" s="218"/>
      <c r="J107" s="219"/>
    </row>
    <row r="108">
      <c r="A108" s="223"/>
      <c r="G108" s="219"/>
      <c r="H108" s="218"/>
      <c r="I108" s="218"/>
      <c r="J108" s="219"/>
    </row>
    <row r="109">
      <c r="A109" s="223"/>
      <c r="G109" s="219"/>
      <c r="H109" s="218"/>
      <c r="I109" s="218"/>
      <c r="J109" s="219"/>
    </row>
    <row r="110">
      <c r="A110" s="223"/>
      <c r="G110" s="219"/>
      <c r="H110" s="218"/>
      <c r="I110" s="218"/>
      <c r="J110" s="219"/>
    </row>
    <row r="111">
      <c r="A111" s="223"/>
      <c r="G111" s="219"/>
      <c r="H111" s="218"/>
      <c r="I111" s="218"/>
      <c r="J111" s="219"/>
    </row>
    <row r="112">
      <c r="A112" s="223"/>
      <c r="G112" s="219"/>
      <c r="H112" s="218"/>
      <c r="I112" s="218"/>
      <c r="J112" s="219"/>
    </row>
    <row r="113">
      <c r="A113" s="223"/>
      <c r="G113" s="219"/>
      <c r="H113" s="218"/>
      <c r="I113" s="218"/>
      <c r="J113" s="219"/>
    </row>
    <row r="114">
      <c r="A114" s="223"/>
      <c r="G114" s="219"/>
      <c r="H114" s="218"/>
      <c r="I114" s="218"/>
      <c r="J114" s="219"/>
    </row>
    <row r="115">
      <c r="A115" s="223"/>
      <c r="G115" s="219"/>
      <c r="H115" s="218"/>
      <c r="I115" s="218"/>
      <c r="J115" s="219"/>
    </row>
    <row r="116">
      <c r="A116" s="223"/>
      <c r="G116" s="219"/>
      <c r="H116" s="218"/>
      <c r="I116" s="218"/>
      <c r="J116" s="219"/>
    </row>
    <row r="117">
      <c r="A117" s="223"/>
      <c r="G117" s="219"/>
      <c r="H117" s="218"/>
      <c r="I117" s="218"/>
      <c r="J117" s="219"/>
    </row>
    <row r="118">
      <c r="A118" s="223"/>
      <c r="G118" s="219"/>
      <c r="H118" s="218"/>
      <c r="I118" s="218"/>
      <c r="J118" s="219"/>
    </row>
    <row r="119">
      <c r="A119" s="223"/>
      <c r="G119" s="219"/>
      <c r="H119" s="218"/>
      <c r="I119" s="218"/>
      <c r="J119" s="219"/>
    </row>
    <row r="120">
      <c r="A120" s="223"/>
      <c r="G120" s="219"/>
      <c r="H120" s="218"/>
      <c r="I120" s="218"/>
      <c r="J120" s="219"/>
    </row>
    <row r="121">
      <c r="A121" s="223"/>
      <c r="G121" s="219"/>
      <c r="H121" s="218"/>
      <c r="I121" s="218"/>
      <c r="J121" s="219"/>
    </row>
    <row r="122">
      <c r="A122" s="223"/>
      <c r="G122" s="219"/>
      <c r="H122" s="218"/>
      <c r="I122" s="218"/>
      <c r="J122" s="219"/>
    </row>
    <row r="123">
      <c r="A123" s="223"/>
      <c r="G123" s="219"/>
      <c r="H123" s="218"/>
      <c r="I123" s="218"/>
      <c r="J123" s="219"/>
    </row>
    <row r="124">
      <c r="A124" s="223"/>
      <c r="G124" s="219"/>
      <c r="H124" s="218"/>
      <c r="I124" s="218"/>
      <c r="J124" s="219"/>
    </row>
    <row r="125">
      <c r="A125" s="223"/>
      <c r="G125" s="219"/>
      <c r="H125" s="218"/>
      <c r="I125" s="218"/>
      <c r="J125" s="219"/>
    </row>
    <row r="126">
      <c r="A126" s="223"/>
      <c r="G126" s="219"/>
      <c r="H126" s="218"/>
      <c r="I126" s="218"/>
      <c r="J126" s="219"/>
    </row>
    <row r="127">
      <c r="A127" s="223"/>
      <c r="G127" s="219"/>
      <c r="H127" s="218"/>
      <c r="I127" s="218"/>
      <c r="J127" s="219"/>
    </row>
    <row r="128">
      <c r="A128" s="223"/>
      <c r="G128" s="219"/>
      <c r="H128" s="218"/>
      <c r="I128" s="218"/>
      <c r="J128" s="219"/>
    </row>
    <row r="129">
      <c r="A129" s="223"/>
      <c r="G129" s="219"/>
      <c r="H129" s="218"/>
      <c r="I129" s="218"/>
      <c r="J129" s="219"/>
    </row>
    <row r="130">
      <c r="A130" s="223"/>
      <c r="G130" s="219"/>
      <c r="H130" s="218"/>
      <c r="I130" s="218"/>
      <c r="J130" s="219"/>
    </row>
    <row r="131">
      <c r="A131" s="223"/>
      <c r="G131" s="219"/>
      <c r="H131" s="218"/>
      <c r="I131" s="218"/>
      <c r="J131" s="219"/>
    </row>
    <row r="132">
      <c r="A132" s="223"/>
      <c r="G132" s="219"/>
      <c r="H132" s="218"/>
      <c r="I132" s="218"/>
      <c r="J132" s="219"/>
    </row>
    <row r="133">
      <c r="A133" s="223"/>
      <c r="G133" s="219"/>
      <c r="H133" s="218"/>
      <c r="I133" s="218"/>
      <c r="J133" s="219"/>
    </row>
    <row r="134">
      <c r="A134" s="223"/>
      <c r="G134" s="219"/>
      <c r="H134" s="218"/>
      <c r="I134" s="218"/>
      <c r="J134" s="219"/>
    </row>
    <row r="135">
      <c r="A135" s="223"/>
      <c r="G135" s="219"/>
      <c r="H135" s="218"/>
      <c r="I135" s="218"/>
      <c r="J135" s="219"/>
    </row>
    <row r="136">
      <c r="A136" s="223"/>
      <c r="G136" s="219"/>
      <c r="H136" s="218"/>
      <c r="I136" s="218"/>
      <c r="J136" s="219"/>
    </row>
    <row r="137">
      <c r="A137" s="223"/>
      <c r="G137" s="219"/>
      <c r="H137" s="218"/>
      <c r="I137" s="218"/>
      <c r="J137" s="219"/>
    </row>
    <row r="138">
      <c r="A138" s="223"/>
      <c r="G138" s="219"/>
      <c r="H138" s="218"/>
      <c r="I138" s="218"/>
      <c r="J138" s="219"/>
    </row>
    <row r="139">
      <c r="A139" s="223"/>
      <c r="G139" s="219"/>
      <c r="H139" s="218"/>
      <c r="I139" s="218"/>
      <c r="J139" s="219"/>
    </row>
    <row r="140">
      <c r="A140" s="223"/>
      <c r="G140" s="219"/>
      <c r="H140" s="218"/>
      <c r="I140" s="218"/>
      <c r="J140" s="219"/>
    </row>
    <row r="141">
      <c r="A141" s="223"/>
      <c r="G141" s="219"/>
      <c r="H141" s="218"/>
      <c r="I141" s="218"/>
      <c r="J141" s="219"/>
    </row>
    <row r="142">
      <c r="A142" s="223"/>
      <c r="G142" s="219"/>
      <c r="H142" s="218"/>
      <c r="I142" s="218"/>
      <c r="J142" s="219"/>
    </row>
    <row r="143">
      <c r="A143" s="223"/>
      <c r="G143" s="219"/>
      <c r="H143" s="218"/>
      <c r="I143" s="218"/>
      <c r="J143" s="219"/>
    </row>
    <row r="144">
      <c r="A144" s="223"/>
      <c r="G144" s="219"/>
      <c r="H144" s="218"/>
      <c r="I144" s="218"/>
      <c r="J144" s="219"/>
    </row>
    <row r="145">
      <c r="A145" s="223"/>
      <c r="G145" s="219"/>
      <c r="H145" s="218"/>
      <c r="I145" s="218"/>
      <c r="J145" s="219"/>
    </row>
    <row r="146">
      <c r="A146" s="223"/>
      <c r="G146" s="219"/>
      <c r="H146" s="218"/>
      <c r="I146" s="218"/>
      <c r="J146" s="219"/>
    </row>
    <row r="147">
      <c r="A147" s="223"/>
      <c r="G147" s="219"/>
      <c r="H147" s="218"/>
      <c r="I147" s="218"/>
      <c r="J147" s="219"/>
    </row>
    <row r="148">
      <c r="A148" s="223"/>
      <c r="G148" s="219"/>
      <c r="H148" s="218"/>
      <c r="I148" s="218"/>
      <c r="J148" s="219"/>
    </row>
    <row r="149">
      <c r="A149" s="223"/>
      <c r="G149" s="219"/>
      <c r="H149" s="218"/>
      <c r="I149" s="218"/>
      <c r="J149" s="219"/>
    </row>
    <row r="150">
      <c r="A150" s="223"/>
      <c r="G150" s="219"/>
      <c r="H150" s="218"/>
      <c r="I150" s="218"/>
      <c r="J150" s="219"/>
    </row>
    <row r="151">
      <c r="A151" s="223"/>
      <c r="G151" s="219"/>
      <c r="H151" s="218"/>
      <c r="I151" s="218"/>
      <c r="J151" s="219"/>
    </row>
    <row r="152">
      <c r="A152" s="223"/>
      <c r="G152" s="219"/>
      <c r="H152" s="218"/>
      <c r="I152" s="218"/>
      <c r="J152" s="219"/>
    </row>
    <row r="153">
      <c r="A153" s="223"/>
      <c r="G153" s="219"/>
      <c r="H153" s="218"/>
      <c r="I153" s="218"/>
      <c r="J153" s="219"/>
    </row>
    <row r="154">
      <c r="A154" s="223"/>
      <c r="G154" s="219"/>
      <c r="H154" s="218"/>
      <c r="I154" s="218"/>
      <c r="J154" s="219"/>
    </row>
    <row r="155">
      <c r="A155" s="223"/>
      <c r="G155" s="219"/>
      <c r="H155" s="218"/>
      <c r="I155" s="218"/>
      <c r="J155" s="219"/>
    </row>
    <row r="156">
      <c r="A156" s="223"/>
      <c r="G156" s="219"/>
      <c r="H156" s="218"/>
      <c r="I156" s="218"/>
      <c r="J156" s="219"/>
    </row>
    <row r="157">
      <c r="A157" s="223"/>
      <c r="G157" s="219"/>
      <c r="H157" s="218"/>
      <c r="I157" s="218"/>
      <c r="J157" s="219"/>
    </row>
    <row r="158">
      <c r="A158" s="223"/>
      <c r="G158" s="219"/>
      <c r="H158" s="218"/>
      <c r="I158" s="218"/>
      <c r="J158" s="219"/>
    </row>
    <row r="159">
      <c r="A159" s="223"/>
      <c r="G159" s="219"/>
      <c r="H159" s="218"/>
      <c r="I159" s="218"/>
      <c r="J159" s="219"/>
    </row>
    <row r="160">
      <c r="A160" s="223"/>
      <c r="G160" s="219"/>
      <c r="H160" s="218"/>
      <c r="I160" s="218"/>
      <c r="J160" s="219"/>
    </row>
    <row r="161">
      <c r="A161" s="223"/>
      <c r="G161" s="219"/>
      <c r="H161" s="218"/>
      <c r="I161" s="218"/>
      <c r="J161" s="219"/>
    </row>
    <row r="162">
      <c r="A162" s="223"/>
      <c r="G162" s="219"/>
      <c r="H162" s="218"/>
      <c r="I162" s="218"/>
      <c r="J162" s="219"/>
    </row>
    <row r="163">
      <c r="A163" s="223"/>
      <c r="G163" s="219"/>
      <c r="H163" s="218"/>
      <c r="I163" s="218"/>
      <c r="J163" s="219"/>
    </row>
    <row r="164">
      <c r="A164" s="223"/>
      <c r="G164" s="219"/>
      <c r="H164" s="218"/>
      <c r="I164" s="218"/>
      <c r="J164" s="219"/>
    </row>
    <row r="165">
      <c r="A165" s="223"/>
      <c r="G165" s="219"/>
      <c r="H165" s="218"/>
      <c r="I165" s="218"/>
      <c r="J165" s="219"/>
    </row>
    <row r="166">
      <c r="A166" s="223"/>
      <c r="G166" s="219"/>
      <c r="H166" s="218"/>
      <c r="I166" s="218"/>
      <c r="J166" s="219"/>
    </row>
    <row r="167">
      <c r="A167" s="223"/>
      <c r="G167" s="219"/>
      <c r="H167" s="218"/>
      <c r="I167" s="218"/>
      <c r="J167" s="219"/>
    </row>
    <row r="168">
      <c r="A168" s="223"/>
      <c r="G168" s="219"/>
      <c r="H168" s="218"/>
      <c r="I168" s="218"/>
      <c r="J168" s="219"/>
    </row>
    <row r="169">
      <c r="A169" s="223"/>
      <c r="G169" s="219"/>
      <c r="H169" s="218"/>
      <c r="I169" s="218"/>
      <c r="J169" s="219"/>
    </row>
    <row r="170">
      <c r="A170" s="223"/>
      <c r="G170" s="219"/>
      <c r="H170" s="218"/>
      <c r="I170" s="218"/>
      <c r="J170" s="219"/>
    </row>
    <row r="171">
      <c r="A171" s="223"/>
      <c r="G171" s="219"/>
      <c r="H171" s="218"/>
      <c r="I171" s="218"/>
      <c r="J171" s="219"/>
    </row>
    <row r="172">
      <c r="A172" s="223"/>
      <c r="G172" s="219"/>
      <c r="H172" s="218"/>
      <c r="I172" s="218"/>
      <c r="J172" s="219"/>
    </row>
    <row r="173">
      <c r="A173" s="223"/>
      <c r="G173" s="219"/>
      <c r="H173" s="218"/>
      <c r="I173" s="218"/>
      <c r="J173" s="219"/>
    </row>
    <row r="174">
      <c r="A174" s="223"/>
      <c r="G174" s="219"/>
      <c r="H174" s="218"/>
      <c r="I174" s="218"/>
      <c r="J174" s="219"/>
    </row>
    <row r="175">
      <c r="A175" s="223"/>
      <c r="G175" s="219"/>
      <c r="H175" s="218"/>
      <c r="I175" s="218"/>
      <c r="J175" s="219"/>
    </row>
    <row r="176">
      <c r="A176" s="223"/>
      <c r="G176" s="219"/>
      <c r="H176" s="218"/>
      <c r="I176" s="218"/>
      <c r="J176" s="219"/>
    </row>
    <row r="177">
      <c r="A177" s="223"/>
      <c r="G177" s="219"/>
      <c r="H177" s="218"/>
      <c r="I177" s="218"/>
      <c r="J177" s="219"/>
    </row>
    <row r="178">
      <c r="A178" s="223"/>
      <c r="G178" s="219"/>
      <c r="H178" s="218"/>
      <c r="I178" s="218"/>
      <c r="J178" s="219"/>
    </row>
    <row r="179">
      <c r="A179" s="223"/>
      <c r="G179" s="219"/>
      <c r="H179" s="218"/>
      <c r="I179" s="218"/>
      <c r="J179" s="219"/>
    </row>
    <row r="180">
      <c r="A180" s="223"/>
      <c r="G180" s="219"/>
      <c r="H180" s="218"/>
      <c r="I180" s="218"/>
      <c r="J180" s="219"/>
    </row>
    <row r="181">
      <c r="A181" s="223"/>
      <c r="G181" s="219"/>
      <c r="H181" s="218"/>
      <c r="I181" s="218"/>
      <c r="J181" s="219"/>
    </row>
    <row r="182">
      <c r="A182" s="223"/>
      <c r="G182" s="219"/>
      <c r="H182" s="218"/>
      <c r="I182" s="218"/>
      <c r="J182" s="219"/>
    </row>
    <row r="183">
      <c r="A183" s="223"/>
      <c r="G183" s="219"/>
      <c r="H183" s="218"/>
      <c r="I183" s="218"/>
      <c r="J183" s="219"/>
    </row>
    <row r="184">
      <c r="A184" s="223"/>
      <c r="G184" s="219"/>
      <c r="H184" s="218"/>
      <c r="I184" s="218"/>
      <c r="J184" s="219"/>
    </row>
    <row r="185">
      <c r="A185" s="223"/>
      <c r="G185" s="219"/>
      <c r="H185" s="218"/>
      <c r="I185" s="218"/>
      <c r="J185" s="219"/>
    </row>
    <row r="186">
      <c r="A186" s="223"/>
      <c r="G186" s="219"/>
      <c r="H186" s="218"/>
      <c r="I186" s="218"/>
      <c r="J186" s="219"/>
    </row>
    <row r="187">
      <c r="A187" s="223"/>
      <c r="G187" s="219"/>
      <c r="H187" s="218"/>
      <c r="I187" s="218"/>
      <c r="J187" s="219"/>
    </row>
    <row r="188">
      <c r="A188" s="223"/>
      <c r="G188" s="219"/>
      <c r="H188" s="218"/>
      <c r="I188" s="218"/>
      <c r="J188" s="219"/>
    </row>
    <row r="189">
      <c r="A189" s="223"/>
      <c r="G189" s="219"/>
      <c r="H189" s="218"/>
      <c r="I189" s="218"/>
      <c r="J189" s="219"/>
    </row>
    <row r="190">
      <c r="A190" s="223"/>
      <c r="G190" s="219"/>
      <c r="H190" s="218"/>
      <c r="I190" s="218"/>
      <c r="J190" s="219"/>
    </row>
    <row r="191">
      <c r="A191" s="223"/>
      <c r="G191" s="219"/>
      <c r="H191" s="218"/>
      <c r="I191" s="218"/>
      <c r="J191" s="219"/>
    </row>
    <row r="192">
      <c r="A192" s="223"/>
      <c r="G192" s="219"/>
      <c r="H192" s="218"/>
      <c r="I192" s="218"/>
      <c r="J192" s="219"/>
    </row>
    <row r="193">
      <c r="A193" s="223"/>
      <c r="G193" s="219"/>
      <c r="H193" s="218"/>
      <c r="I193" s="218"/>
      <c r="J193" s="219"/>
    </row>
    <row r="194">
      <c r="A194" s="223"/>
      <c r="G194" s="219"/>
      <c r="H194" s="218"/>
      <c r="I194" s="218"/>
      <c r="J194" s="219"/>
    </row>
    <row r="195">
      <c r="A195" s="223"/>
      <c r="G195" s="219"/>
      <c r="H195" s="218"/>
      <c r="I195" s="218"/>
      <c r="J195" s="219"/>
    </row>
    <row r="196">
      <c r="A196" s="223"/>
      <c r="G196" s="219"/>
      <c r="H196" s="218"/>
      <c r="I196" s="218"/>
      <c r="J196" s="219"/>
    </row>
    <row r="197">
      <c r="A197" s="223"/>
      <c r="G197" s="219"/>
      <c r="H197" s="218"/>
      <c r="I197" s="218"/>
      <c r="J197" s="219"/>
    </row>
    <row r="198">
      <c r="A198" s="223"/>
      <c r="G198" s="219"/>
      <c r="H198" s="218"/>
      <c r="I198" s="218"/>
      <c r="J198" s="219"/>
    </row>
    <row r="199">
      <c r="A199" s="223"/>
      <c r="G199" s="219"/>
      <c r="H199" s="218"/>
      <c r="I199" s="218"/>
      <c r="J199" s="219"/>
    </row>
    <row r="200">
      <c r="A200" s="223"/>
      <c r="G200" s="219"/>
      <c r="H200" s="218"/>
      <c r="I200" s="218"/>
      <c r="J200" s="219"/>
    </row>
    <row r="201">
      <c r="A201" s="223"/>
      <c r="G201" s="219"/>
      <c r="H201" s="218"/>
      <c r="I201" s="218"/>
      <c r="J201" s="219"/>
    </row>
    <row r="202">
      <c r="A202" s="223"/>
      <c r="G202" s="219"/>
      <c r="H202" s="218"/>
      <c r="I202" s="218"/>
      <c r="J202" s="219"/>
    </row>
    <row r="203">
      <c r="A203" s="223"/>
      <c r="G203" s="219"/>
      <c r="H203" s="218"/>
      <c r="I203" s="218"/>
      <c r="J203" s="219"/>
    </row>
    <row r="204">
      <c r="A204" s="223"/>
      <c r="G204" s="219"/>
      <c r="H204" s="218"/>
      <c r="I204" s="218"/>
      <c r="J204" s="219"/>
    </row>
    <row r="205">
      <c r="A205" s="223"/>
      <c r="G205" s="219"/>
      <c r="H205" s="218"/>
      <c r="I205" s="218"/>
      <c r="J205" s="219"/>
    </row>
    <row r="206">
      <c r="A206" s="223"/>
      <c r="G206" s="219"/>
      <c r="H206" s="218"/>
      <c r="I206" s="218"/>
      <c r="J206" s="219"/>
    </row>
    <row r="207">
      <c r="A207" s="223"/>
      <c r="G207" s="219"/>
      <c r="H207" s="218"/>
      <c r="I207" s="218"/>
      <c r="J207" s="219"/>
    </row>
    <row r="208">
      <c r="A208" s="223"/>
      <c r="G208" s="219"/>
      <c r="H208" s="218"/>
      <c r="I208" s="218"/>
      <c r="J208" s="219"/>
    </row>
    <row r="209">
      <c r="A209" s="223"/>
      <c r="G209" s="219"/>
      <c r="H209" s="218"/>
      <c r="I209" s="218"/>
      <c r="J209" s="219"/>
    </row>
    <row r="210">
      <c r="A210" s="223"/>
      <c r="G210" s="219"/>
      <c r="H210" s="218"/>
      <c r="I210" s="218"/>
      <c r="J210" s="219"/>
    </row>
    <row r="211">
      <c r="A211" s="223"/>
      <c r="G211" s="219"/>
      <c r="H211" s="218"/>
      <c r="I211" s="218"/>
      <c r="J211" s="219"/>
    </row>
    <row r="212">
      <c r="A212" s="223"/>
      <c r="G212" s="219"/>
      <c r="H212" s="218"/>
      <c r="I212" s="218"/>
      <c r="J212" s="219"/>
    </row>
    <row r="213">
      <c r="A213" s="223"/>
      <c r="G213" s="219"/>
      <c r="H213" s="218"/>
      <c r="I213" s="218"/>
      <c r="J213" s="219"/>
    </row>
    <row r="214">
      <c r="A214" s="223"/>
      <c r="G214" s="219"/>
      <c r="H214" s="218"/>
      <c r="I214" s="218"/>
      <c r="J214" s="219"/>
    </row>
    <row r="215">
      <c r="A215" s="223"/>
      <c r="G215" s="219"/>
      <c r="H215" s="218"/>
      <c r="I215" s="218"/>
      <c r="J215" s="219"/>
    </row>
    <row r="216">
      <c r="A216" s="223"/>
      <c r="G216" s="219"/>
      <c r="H216" s="218"/>
      <c r="I216" s="218"/>
      <c r="J216" s="219"/>
    </row>
    <row r="217">
      <c r="A217" s="223"/>
      <c r="G217" s="219"/>
      <c r="H217" s="218"/>
      <c r="I217" s="218"/>
      <c r="J217" s="219"/>
    </row>
    <row r="218">
      <c r="A218" s="223"/>
      <c r="G218" s="219"/>
      <c r="H218" s="218"/>
      <c r="I218" s="218"/>
      <c r="J218" s="219"/>
    </row>
    <row r="219">
      <c r="A219" s="223"/>
      <c r="G219" s="219"/>
      <c r="H219" s="218"/>
      <c r="I219" s="218"/>
      <c r="J219" s="219"/>
    </row>
    <row r="220">
      <c r="A220" s="223"/>
      <c r="G220" s="219"/>
      <c r="H220" s="218"/>
      <c r="I220" s="218"/>
      <c r="J220" s="219"/>
    </row>
    <row r="221">
      <c r="A221" s="223"/>
      <c r="G221" s="219"/>
      <c r="H221" s="218"/>
      <c r="I221" s="218"/>
      <c r="J221" s="219"/>
    </row>
    <row r="222">
      <c r="A222" s="223"/>
      <c r="G222" s="219"/>
      <c r="H222" s="218"/>
      <c r="I222" s="218"/>
      <c r="J222" s="219"/>
    </row>
    <row r="223">
      <c r="A223" s="223"/>
      <c r="G223" s="219"/>
      <c r="H223" s="218"/>
      <c r="I223" s="218"/>
      <c r="J223" s="219"/>
    </row>
    <row r="224">
      <c r="A224" s="223"/>
      <c r="G224" s="219"/>
      <c r="H224" s="218"/>
      <c r="I224" s="218"/>
      <c r="J224" s="219"/>
    </row>
    <row r="225">
      <c r="A225" s="223"/>
      <c r="G225" s="219"/>
      <c r="H225" s="218"/>
      <c r="I225" s="218"/>
      <c r="J225" s="219"/>
    </row>
    <row r="226">
      <c r="A226" s="223"/>
      <c r="G226" s="219"/>
      <c r="H226" s="218"/>
      <c r="I226" s="218"/>
      <c r="J226" s="219"/>
    </row>
    <row r="227">
      <c r="A227" s="223"/>
      <c r="G227" s="219"/>
      <c r="H227" s="218"/>
      <c r="I227" s="218"/>
      <c r="J227" s="219"/>
    </row>
    <row r="228">
      <c r="A228" s="223"/>
      <c r="G228" s="219"/>
      <c r="H228" s="218"/>
      <c r="I228" s="218"/>
      <c r="J228" s="219"/>
    </row>
    <row r="229">
      <c r="A229" s="223"/>
      <c r="G229" s="219"/>
      <c r="H229" s="218"/>
      <c r="I229" s="218"/>
      <c r="J229" s="219"/>
    </row>
    <row r="230">
      <c r="A230" s="223"/>
      <c r="G230" s="219"/>
      <c r="H230" s="218"/>
      <c r="I230" s="218"/>
      <c r="J230" s="219"/>
    </row>
    <row r="231">
      <c r="A231" s="223"/>
      <c r="G231" s="219"/>
      <c r="H231" s="218"/>
      <c r="I231" s="218"/>
      <c r="J231" s="219"/>
    </row>
    <row r="232">
      <c r="A232" s="223"/>
      <c r="G232" s="219"/>
      <c r="H232" s="218"/>
      <c r="I232" s="218"/>
      <c r="J232" s="219"/>
    </row>
    <row r="233">
      <c r="A233" s="223"/>
      <c r="G233" s="219"/>
      <c r="H233" s="218"/>
      <c r="I233" s="218"/>
      <c r="J233" s="219"/>
    </row>
    <row r="234">
      <c r="A234" s="223"/>
      <c r="G234" s="219"/>
      <c r="H234" s="218"/>
      <c r="I234" s="218"/>
      <c r="J234" s="219"/>
    </row>
    <row r="235">
      <c r="A235" s="223"/>
      <c r="G235" s="219"/>
      <c r="H235" s="218"/>
      <c r="I235" s="218"/>
      <c r="J235" s="219"/>
    </row>
    <row r="236">
      <c r="A236" s="223"/>
      <c r="G236" s="219"/>
      <c r="H236" s="218"/>
      <c r="I236" s="218"/>
      <c r="J236" s="219"/>
    </row>
    <row r="237">
      <c r="A237" s="223"/>
      <c r="G237" s="219"/>
      <c r="H237" s="218"/>
      <c r="I237" s="218"/>
      <c r="J237" s="219"/>
    </row>
    <row r="238">
      <c r="A238" s="223"/>
      <c r="G238" s="219"/>
      <c r="H238" s="218"/>
      <c r="I238" s="218"/>
      <c r="J238" s="219"/>
    </row>
    <row r="239">
      <c r="A239" s="223"/>
      <c r="G239" s="219"/>
      <c r="H239" s="218"/>
      <c r="I239" s="218"/>
      <c r="J239" s="219"/>
    </row>
    <row r="240">
      <c r="A240" s="223"/>
      <c r="G240" s="219"/>
      <c r="H240" s="218"/>
      <c r="I240" s="218"/>
      <c r="J240" s="219"/>
    </row>
    <row r="241">
      <c r="A241" s="223"/>
      <c r="G241" s="219"/>
      <c r="H241" s="218"/>
      <c r="I241" s="218"/>
      <c r="J241" s="219"/>
    </row>
    <row r="242">
      <c r="A242" s="223"/>
      <c r="G242" s="219"/>
      <c r="H242" s="218"/>
      <c r="I242" s="218"/>
      <c r="J242" s="219"/>
    </row>
    <row r="243">
      <c r="A243" s="223"/>
      <c r="G243" s="219"/>
      <c r="H243" s="218"/>
      <c r="I243" s="218"/>
      <c r="J243" s="219"/>
    </row>
    <row r="244">
      <c r="A244" s="223"/>
      <c r="G244" s="219"/>
      <c r="H244" s="218"/>
      <c r="I244" s="218"/>
      <c r="J244" s="219"/>
    </row>
    <row r="245">
      <c r="A245" s="223"/>
      <c r="G245" s="219"/>
      <c r="H245" s="218"/>
      <c r="I245" s="218"/>
      <c r="J245" s="219"/>
    </row>
    <row r="246">
      <c r="A246" s="223"/>
      <c r="G246" s="219"/>
      <c r="H246" s="218"/>
      <c r="I246" s="218"/>
      <c r="J246" s="219"/>
    </row>
    <row r="247">
      <c r="A247" s="223"/>
      <c r="G247" s="219"/>
      <c r="H247" s="218"/>
      <c r="I247" s="218"/>
      <c r="J247" s="219"/>
    </row>
    <row r="248">
      <c r="A248" s="223"/>
      <c r="G248" s="219"/>
      <c r="H248" s="218"/>
      <c r="I248" s="218"/>
      <c r="J248" s="219"/>
    </row>
    <row r="249">
      <c r="A249" s="223"/>
      <c r="G249" s="219"/>
      <c r="H249" s="218"/>
      <c r="I249" s="218"/>
      <c r="J249" s="219"/>
    </row>
    <row r="250">
      <c r="A250" s="223"/>
      <c r="G250" s="219"/>
      <c r="H250" s="218"/>
      <c r="I250" s="218"/>
      <c r="J250" s="219"/>
    </row>
    <row r="251">
      <c r="A251" s="223"/>
      <c r="G251" s="219"/>
      <c r="H251" s="218"/>
      <c r="I251" s="218"/>
      <c r="J251" s="219"/>
    </row>
    <row r="252">
      <c r="A252" s="223"/>
      <c r="G252" s="219"/>
      <c r="H252" s="218"/>
      <c r="I252" s="218"/>
      <c r="J252" s="219"/>
    </row>
    <row r="253">
      <c r="A253" s="223"/>
      <c r="G253" s="219"/>
      <c r="H253" s="218"/>
      <c r="I253" s="218"/>
      <c r="J253" s="219"/>
    </row>
    <row r="254">
      <c r="A254" s="223"/>
      <c r="G254" s="219"/>
      <c r="H254" s="218"/>
      <c r="I254" s="218"/>
      <c r="J254" s="219"/>
    </row>
    <row r="255">
      <c r="A255" s="223"/>
      <c r="G255" s="219"/>
      <c r="H255" s="218"/>
      <c r="I255" s="218"/>
      <c r="J255" s="219"/>
    </row>
    <row r="256">
      <c r="A256" s="223"/>
      <c r="G256" s="219"/>
      <c r="H256" s="218"/>
      <c r="I256" s="218"/>
      <c r="J256" s="219"/>
    </row>
    <row r="257">
      <c r="A257" s="223"/>
      <c r="G257" s="219"/>
      <c r="H257" s="218"/>
      <c r="I257" s="218"/>
      <c r="J257" s="219"/>
    </row>
    <row r="258">
      <c r="A258" s="223"/>
      <c r="G258" s="219"/>
      <c r="H258" s="218"/>
      <c r="I258" s="218"/>
      <c r="J258" s="219"/>
    </row>
    <row r="259">
      <c r="A259" s="223"/>
      <c r="G259" s="219"/>
      <c r="H259" s="218"/>
      <c r="I259" s="218"/>
      <c r="J259" s="219"/>
    </row>
    <row r="260">
      <c r="A260" s="223"/>
      <c r="G260" s="219"/>
      <c r="H260" s="218"/>
      <c r="I260" s="218"/>
      <c r="J260" s="219"/>
    </row>
    <row r="261">
      <c r="A261" s="223"/>
      <c r="G261" s="219"/>
      <c r="H261" s="218"/>
      <c r="I261" s="218"/>
      <c r="J261" s="219"/>
    </row>
    <row r="262">
      <c r="A262" s="223"/>
      <c r="G262" s="219"/>
      <c r="H262" s="218"/>
      <c r="I262" s="218"/>
      <c r="J262" s="219"/>
    </row>
    <row r="263">
      <c r="A263" s="223"/>
      <c r="G263" s="219"/>
      <c r="H263" s="218"/>
      <c r="I263" s="218"/>
      <c r="J263" s="219"/>
    </row>
    <row r="264">
      <c r="A264" s="223"/>
      <c r="G264" s="219"/>
      <c r="H264" s="218"/>
      <c r="I264" s="218"/>
      <c r="J264" s="219"/>
    </row>
    <row r="265">
      <c r="A265" s="223"/>
      <c r="G265" s="219"/>
      <c r="H265" s="218"/>
      <c r="I265" s="218"/>
      <c r="J265" s="219"/>
    </row>
    <row r="266">
      <c r="A266" s="223"/>
      <c r="G266" s="219"/>
      <c r="H266" s="218"/>
      <c r="I266" s="218"/>
      <c r="J266" s="219"/>
    </row>
    <row r="267">
      <c r="A267" s="223"/>
      <c r="G267" s="219"/>
      <c r="H267" s="218"/>
      <c r="I267" s="218"/>
      <c r="J267" s="219"/>
    </row>
    <row r="268">
      <c r="A268" s="223"/>
      <c r="G268" s="219"/>
      <c r="H268" s="218"/>
      <c r="I268" s="218"/>
      <c r="J268" s="219"/>
    </row>
    <row r="269">
      <c r="A269" s="223"/>
      <c r="G269" s="219"/>
      <c r="H269" s="218"/>
      <c r="I269" s="218"/>
      <c r="J269" s="219"/>
    </row>
    <row r="270">
      <c r="A270" s="223"/>
      <c r="G270" s="219"/>
      <c r="H270" s="218"/>
      <c r="I270" s="218"/>
      <c r="J270" s="219"/>
    </row>
    <row r="271">
      <c r="A271" s="223"/>
      <c r="G271" s="219"/>
      <c r="H271" s="218"/>
      <c r="I271" s="218"/>
      <c r="J271" s="219"/>
    </row>
    <row r="272">
      <c r="A272" s="223"/>
      <c r="G272" s="219"/>
      <c r="H272" s="218"/>
      <c r="I272" s="218"/>
      <c r="J272" s="219"/>
    </row>
    <row r="273">
      <c r="A273" s="223"/>
      <c r="G273" s="219"/>
      <c r="H273" s="218"/>
      <c r="I273" s="218"/>
      <c r="J273" s="219"/>
    </row>
    <row r="274">
      <c r="A274" s="223"/>
      <c r="G274" s="219"/>
      <c r="H274" s="218"/>
      <c r="I274" s="218"/>
      <c r="J274" s="219"/>
    </row>
    <row r="275">
      <c r="A275" s="223"/>
      <c r="G275" s="219"/>
      <c r="H275" s="218"/>
      <c r="I275" s="218"/>
      <c r="J275" s="219"/>
    </row>
    <row r="276">
      <c r="A276" s="223"/>
      <c r="G276" s="219"/>
      <c r="H276" s="218"/>
      <c r="I276" s="218"/>
      <c r="J276" s="219"/>
    </row>
    <row r="277">
      <c r="A277" s="223"/>
      <c r="G277" s="219"/>
      <c r="H277" s="218"/>
      <c r="I277" s="218"/>
      <c r="J277" s="219"/>
    </row>
    <row r="278">
      <c r="A278" s="223"/>
      <c r="G278" s="219"/>
      <c r="H278" s="218"/>
      <c r="I278" s="218"/>
      <c r="J278" s="219"/>
    </row>
    <row r="279">
      <c r="A279" s="223"/>
      <c r="G279" s="219"/>
      <c r="H279" s="218"/>
      <c r="I279" s="218"/>
      <c r="J279" s="219"/>
    </row>
    <row r="280">
      <c r="A280" s="223"/>
      <c r="G280" s="219"/>
      <c r="H280" s="218"/>
      <c r="I280" s="218"/>
      <c r="J280" s="219"/>
    </row>
    <row r="281">
      <c r="A281" s="223"/>
      <c r="G281" s="219"/>
      <c r="H281" s="218"/>
      <c r="I281" s="218"/>
      <c r="J281" s="219"/>
    </row>
    <row r="282">
      <c r="A282" s="223"/>
      <c r="G282" s="219"/>
      <c r="H282" s="218"/>
      <c r="I282" s="218"/>
      <c r="J282" s="219"/>
    </row>
    <row r="283">
      <c r="A283" s="223"/>
      <c r="G283" s="219"/>
      <c r="H283" s="218"/>
      <c r="I283" s="218"/>
      <c r="J283" s="219"/>
    </row>
    <row r="284">
      <c r="A284" s="223"/>
      <c r="G284" s="219"/>
      <c r="H284" s="218"/>
      <c r="I284" s="218"/>
      <c r="J284" s="219"/>
    </row>
    <row r="285">
      <c r="A285" s="223"/>
      <c r="G285" s="219"/>
      <c r="H285" s="218"/>
      <c r="I285" s="218"/>
      <c r="J285" s="219"/>
    </row>
    <row r="286">
      <c r="A286" s="223"/>
      <c r="G286" s="219"/>
      <c r="H286" s="218"/>
      <c r="I286" s="218"/>
      <c r="J286" s="219"/>
    </row>
    <row r="287">
      <c r="A287" s="223"/>
      <c r="G287" s="219"/>
      <c r="H287" s="218"/>
      <c r="I287" s="218"/>
      <c r="J287" s="219"/>
    </row>
    <row r="288">
      <c r="A288" s="223"/>
      <c r="G288" s="219"/>
      <c r="H288" s="218"/>
      <c r="I288" s="218"/>
      <c r="J288" s="219"/>
    </row>
    <row r="289">
      <c r="A289" s="223"/>
      <c r="G289" s="219"/>
      <c r="H289" s="218"/>
      <c r="I289" s="218"/>
      <c r="J289" s="219"/>
    </row>
    <row r="290">
      <c r="A290" s="223"/>
      <c r="G290" s="219"/>
      <c r="H290" s="218"/>
      <c r="I290" s="218"/>
      <c r="J290" s="219"/>
    </row>
    <row r="291">
      <c r="A291" s="223"/>
      <c r="G291" s="219"/>
      <c r="H291" s="218"/>
      <c r="I291" s="218"/>
      <c r="J291" s="219"/>
    </row>
    <row r="292">
      <c r="A292" s="223"/>
      <c r="G292" s="219"/>
      <c r="H292" s="218"/>
      <c r="I292" s="218"/>
      <c r="J292" s="219"/>
    </row>
    <row r="293">
      <c r="A293" s="223"/>
      <c r="G293" s="219"/>
      <c r="H293" s="218"/>
      <c r="I293" s="218"/>
      <c r="J293" s="219"/>
    </row>
    <row r="294">
      <c r="A294" s="223"/>
      <c r="G294" s="219"/>
      <c r="H294" s="218"/>
      <c r="I294" s="218"/>
      <c r="J294" s="219"/>
    </row>
    <row r="295">
      <c r="A295" s="223"/>
      <c r="G295" s="219"/>
      <c r="H295" s="218"/>
      <c r="I295" s="218"/>
      <c r="J295" s="219"/>
    </row>
    <row r="296">
      <c r="A296" s="223"/>
      <c r="G296" s="219"/>
      <c r="H296" s="218"/>
      <c r="I296" s="218"/>
      <c r="J296" s="219"/>
    </row>
    <row r="297">
      <c r="A297" s="223"/>
      <c r="G297" s="219"/>
      <c r="H297" s="218"/>
      <c r="I297" s="218"/>
      <c r="J297" s="219"/>
    </row>
    <row r="298">
      <c r="A298" s="223"/>
      <c r="G298" s="219"/>
      <c r="H298" s="218"/>
      <c r="I298" s="218"/>
      <c r="J298" s="219"/>
    </row>
    <row r="299">
      <c r="A299" s="223"/>
      <c r="G299" s="219"/>
      <c r="H299" s="218"/>
      <c r="I299" s="218"/>
      <c r="J299" s="219"/>
    </row>
    <row r="300">
      <c r="A300" s="223"/>
      <c r="G300" s="219"/>
      <c r="H300" s="218"/>
      <c r="I300" s="218"/>
      <c r="J300" s="219"/>
    </row>
    <row r="301">
      <c r="A301" s="223"/>
      <c r="G301" s="219"/>
      <c r="H301" s="218"/>
      <c r="I301" s="218"/>
      <c r="J301" s="219"/>
    </row>
    <row r="302">
      <c r="A302" s="223"/>
      <c r="G302" s="219"/>
      <c r="H302" s="218"/>
      <c r="I302" s="218"/>
      <c r="J302" s="219"/>
    </row>
    <row r="303">
      <c r="A303" s="223"/>
      <c r="G303" s="219"/>
      <c r="H303" s="218"/>
      <c r="I303" s="218"/>
      <c r="J303" s="219"/>
    </row>
    <row r="304">
      <c r="A304" s="223"/>
      <c r="G304" s="219"/>
      <c r="H304" s="218"/>
      <c r="I304" s="218"/>
      <c r="J304" s="219"/>
    </row>
    <row r="305">
      <c r="A305" s="223"/>
      <c r="G305" s="219"/>
      <c r="H305" s="218"/>
      <c r="I305" s="218"/>
      <c r="J305" s="219"/>
    </row>
    <row r="306">
      <c r="A306" s="223"/>
      <c r="G306" s="219"/>
      <c r="H306" s="218"/>
      <c r="I306" s="218"/>
      <c r="J306" s="219"/>
    </row>
    <row r="307">
      <c r="A307" s="223"/>
      <c r="G307" s="219"/>
      <c r="H307" s="218"/>
      <c r="I307" s="218"/>
      <c r="J307" s="219"/>
    </row>
    <row r="308">
      <c r="A308" s="223"/>
      <c r="G308" s="219"/>
      <c r="H308" s="218"/>
      <c r="I308" s="218"/>
      <c r="J308" s="219"/>
    </row>
    <row r="309">
      <c r="A309" s="223"/>
      <c r="G309" s="219"/>
      <c r="H309" s="218"/>
      <c r="I309" s="218"/>
      <c r="J309" s="219"/>
    </row>
    <row r="310">
      <c r="A310" s="223"/>
      <c r="G310" s="219"/>
      <c r="H310" s="218"/>
      <c r="I310" s="218"/>
      <c r="J310" s="219"/>
    </row>
    <row r="311">
      <c r="A311" s="223"/>
      <c r="G311" s="219"/>
      <c r="H311" s="218"/>
      <c r="I311" s="218"/>
      <c r="J311" s="219"/>
    </row>
    <row r="312">
      <c r="A312" s="223"/>
      <c r="G312" s="219"/>
      <c r="H312" s="218"/>
      <c r="I312" s="218"/>
      <c r="J312" s="219"/>
    </row>
    <row r="313">
      <c r="A313" s="223"/>
      <c r="G313" s="219"/>
      <c r="H313" s="218"/>
      <c r="I313" s="218"/>
      <c r="J313" s="219"/>
    </row>
    <row r="314">
      <c r="A314" s="223"/>
      <c r="G314" s="219"/>
      <c r="H314" s="218"/>
      <c r="I314" s="218"/>
      <c r="J314" s="219"/>
    </row>
    <row r="315">
      <c r="A315" s="223"/>
      <c r="G315" s="219"/>
      <c r="H315" s="218"/>
      <c r="I315" s="218"/>
      <c r="J315" s="219"/>
    </row>
    <row r="316">
      <c r="A316" s="223"/>
      <c r="G316" s="219"/>
      <c r="H316" s="218"/>
      <c r="I316" s="218"/>
      <c r="J316" s="219"/>
    </row>
    <row r="317">
      <c r="A317" s="223"/>
      <c r="G317" s="219"/>
      <c r="H317" s="218"/>
      <c r="I317" s="218"/>
      <c r="J317" s="219"/>
    </row>
    <row r="318">
      <c r="A318" s="223"/>
      <c r="G318" s="219"/>
      <c r="H318" s="218"/>
      <c r="I318" s="218"/>
      <c r="J318" s="219"/>
    </row>
    <row r="319">
      <c r="A319" s="223"/>
      <c r="G319" s="219"/>
      <c r="H319" s="218"/>
      <c r="I319" s="218"/>
      <c r="J319" s="219"/>
    </row>
    <row r="320">
      <c r="A320" s="223"/>
      <c r="G320" s="219"/>
      <c r="H320" s="218"/>
      <c r="I320" s="218"/>
      <c r="J320" s="219"/>
    </row>
    <row r="321">
      <c r="A321" s="223"/>
      <c r="G321" s="219"/>
      <c r="H321" s="218"/>
      <c r="I321" s="218"/>
      <c r="J321" s="219"/>
    </row>
    <row r="322">
      <c r="A322" s="223"/>
      <c r="G322" s="219"/>
      <c r="H322" s="218"/>
      <c r="I322" s="218"/>
      <c r="J322" s="219"/>
    </row>
    <row r="323">
      <c r="A323" s="223"/>
      <c r="G323" s="219"/>
      <c r="H323" s="218"/>
      <c r="I323" s="218"/>
      <c r="J323" s="219"/>
    </row>
    <row r="324">
      <c r="A324" s="223"/>
      <c r="G324" s="219"/>
      <c r="H324" s="218"/>
      <c r="I324" s="218"/>
      <c r="J324" s="219"/>
    </row>
    <row r="325">
      <c r="A325" s="223"/>
      <c r="G325" s="219"/>
      <c r="H325" s="218"/>
      <c r="I325" s="218"/>
      <c r="J325" s="219"/>
    </row>
    <row r="326">
      <c r="A326" s="223"/>
      <c r="G326" s="219"/>
      <c r="H326" s="218"/>
      <c r="I326" s="218"/>
      <c r="J326" s="219"/>
    </row>
    <row r="327">
      <c r="A327" s="223"/>
      <c r="G327" s="219"/>
      <c r="H327" s="218"/>
      <c r="I327" s="218"/>
      <c r="J327" s="219"/>
    </row>
    <row r="328">
      <c r="A328" s="223"/>
      <c r="G328" s="219"/>
      <c r="H328" s="218"/>
      <c r="I328" s="218"/>
      <c r="J328" s="219"/>
    </row>
    <row r="329">
      <c r="A329" s="223"/>
      <c r="G329" s="219"/>
      <c r="H329" s="218"/>
      <c r="I329" s="218"/>
      <c r="J329" s="219"/>
    </row>
    <row r="330">
      <c r="A330" s="223"/>
      <c r="G330" s="219"/>
      <c r="H330" s="218"/>
      <c r="I330" s="218"/>
      <c r="J330" s="219"/>
    </row>
    <row r="331">
      <c r="A331" s="223"/>
      <c r="G331" s="219"/>
      <c r="H331" s="218"/>
      <c r="I331" s="218"/>
      <c r="J331" s="219"/>
    </row>
    <row r="332">
      <c r="A332" s="223"/>
      <c r="G332" s="219"/>
      <c r="H332" s="218"/>
      <c r="I332" s="218"/>
      <c r="J332" s="219"/>
    </row>
    <row r="333">
      <c r="A333" s="223"/>
      <c r="G333" s="219"/>
      <c r="H333" s="218"/>
      <c r="I333" s="218"/>
      <c r="J333" s="219"/>
    </row>
    <row r="334">
      <c r="A334" s="223"/>
      <c r="G334" s="219"/>
      <c r="H334" s="218"/>
      <c r="I334" s="218"/>
      <c r="J334" s="219"/>
    </row>
    <row r="335">
      <c r="A335" s="223"/>
      <c r="G335" s="219"/>
      <c r="H335" s="218"/>
      <c r="I335" s="218"/>
      <c r="J335" s="219"/>
    </row>
    <row r="336">
      <c r="A336" s="223"/>
      <c r="G336" s="219"/>
      <c r="H336" s="218"/>
      <c r="I336" s="218"/>
      <c r="J336" s="219"/>
    </row>
    <row r="337">
      <c r="A337" s="223"/>
      <c r="G337" s="219"/>
      <c r="H337" s="218"/>
      <c r="I337" s="218"/>
      <c r="J337" s="219"/>
    </row>
    <row r="338">
      <c r="A338" s="223"/>
      <c r="G338" s="219"/>
      <c r="H338" s="218"/>
      <c r="I338" s="218"/>
      <c r="J338" s="219"/>
    </row>
    <row r="339">
      <c r="A339" s="223"/>
      <c r="G339" s="219"/>
      <c r="H339" s="218"/>
      <c r="I339" s="218"/>
      <c r="J339" s="219"/>
    </row>
    <row r="340">
      <c r="A340" s="223"/>
      <c r="G340" s="219"/>
      <c r="H340" s="218"/>
      <c r="I340" s="218"/>
      <c r="J340" s="219"/>
    </row>
    <row r="341">
      <c r="A341" s="223"/>
      <c r="G341" s="219"/>
      <c r="H341" s="218"/>
      <c r="I341" s="218"/>
      <c r="J341" s="219"/>
    </row>
    <row r="342">
      <c r="A342" s="223"/>
      <c r="G342" s="219"/>
      <c r="H342" s="218"/>
      <c r="I342" s="218"/>
      <c r="J342" s="219"/>
    </row>
    <row r="343">
      <c r="A343" s="223"/>
      <c r="G343" s="219"/>
      <c r="H343" s="218"/>
      <c r="I343" s="218"/>
      <c r="J343" s="219"/>
    </row>
    <row r="344">
      <c r="A344" s="223"/>
      <c r="G344" s="219"/>
      <c r="H344" s="218"/>
      <c r="I344" s="218"/>
      <c r="J344" s="219"/>
    </row>
    <row r="345">
      <c r="A345" s="223"/>
      <c r="G345" s="219"/>
      <c r="H345" s="218"/>
      <c r="I345" s="218"/>
      <c r="J345" s="219"/>
    </row>
    <row r="346">
      <c r="A346" s="223"/>
      <c r="G346" s="219"/>
      <c r="H346" s="218"/>
      <c r="I346" s="218"/>
      <c r="J346" s="219"/>
    </row>
    <row r="347">
      <c r="A347" s="223"/>
      <c r="G347" s="219"/>
      <c r="H347" s="218"/>
      <c r="I347" s="218"/>
      <c r="J347" s="219"/>
    </row>
    <row r="348">
      <c r="A348" s="223"/>
      <c r="G348" s="219"/>
      <c r="H348" s="218"/>
      <c r="I348" s="218"/>
      <c r="J348" s="219"/>
    </row>
    <row r="349">
      <c r="A349" s="223"/>
      <c r="G349" s="219"/>
      <c r="H349" s="218"/>
      <c r="I349" s="218"/>
      <c r="J349" s="219"/>
    </row>
    <row r="350">
      <c r="A350" s="223"/>
      <c r="G350" s="219"/>
      <c r="H350" s="218"/>
      <c r="I350" s="218"/>
      <c r="J350" s="219"/>
    </row>
    <row r="351">
      <c r="A351" s="223"/>
      <c r="G351" s="219"/>
      <c r="H351" s="218"/>
      <c r="I351" s="218"/>
      <c r="J351" s="219"/>
    </row>
    <row r="352">
      <c r="A352" s="223"/>
      <c r="G352" s="219"/>
      <c r="H352" s="218"/>
      <c r="I352" s="218"/>
      <c r="J352" s="219"/>
    </row>
    <row r="353">
      <c r="A353" s="223"/>
      <c r="G353" s="219"/>
      <c r="H353" s="218"/>
      <c r="I353" s="218"/>
      <c r="J353" s="219"/>
    </row>
    <row r="354">
      <c r="A354" s="223"/>
      <c r="G354" s="219"/>
      <c r="H354" s="218"/>
      <c r="I354" s="218"/>
      <c r="J354" s="219"/>
    </row>
    <row r="355">
      <c r="A355" s="223"/>
      <c r="G355" s="219"/>
      <c r="H355" s="218"/>
      <c r="I355" s="218"/>
      <c r="J355" s="219"/>
    </row>
    <row r="356">
      <c r="A356" s="223"/>
      <c r="G356" s="219"/>
      <c r="H356" s="218"/>
      <c r="I356" s="218"/>
      <c r="J356" s="219"/>
    </row>
    <row r="357">
      <c r="A357" s="223"/>
      <c r="G357" s="219"/>
      <c r="H357" s="218"/>
      <c r="I357" s="218"/>
      <c r="J357" s="219"/>
    </row>
    <row r="358">
      <c r="A358" s="223"/>
      <c r="G358" s="219"/>
      <c r="H358" s="218"/>
      <c r="I358" s="218"/>
      <c r="J358" s="219"/>
    </row>
    <row r="359">
      <c r="A359" s="223"/>
      <c r="G359" s="219"/>
      <c r="H359" s="218"/>
      <c r="I359" s="218"/>
      <c r="J359" s="219"/>
    </row>
    <row r="360">
      <c r="A360" s="223"/>
      <c r="G360" s="219"/>
      <c r="H360" s="218"/>
      <c r="I360" s="218"/>
      <c r="J360" s="219"/>
    </row>
    <row r="361">
      <c r="A361" s="223"/>
      <c r="G361" s="219"/>
      <c r="H361" s="218"/>
      <c r="I361" s="218"/>
      <c r="J361" s="219"/>
    </row>
    <row r="362">
      <c r="A362" s="223"/>
      <c r="G362" s="219"/>
      <c r="H362" s="218"/>
      <c r="I362" s="218"/>
      <c r="J362" s="219"/>
    </row>
    <row r="363">
      <c r="A363" s="223"/>
      <c r="G363" s="219"/>
      <c r="H363" s="218"/>
      <c r="I363" s="218"/>
      <c r="J363" s="219"/>
    </row>
    <row r="364">
      <c r="A364" s="223"/>
      <c r="G364" s="219"/>
      <c r="H364" s="218"/>
      <c r="I364" s="218"/>
      <c r="J364" s="219"/>
    </row>
    <row r="365">
      <c r="A365" s="223"/>
      <c r="G365" s="219"/>
      <c r="H365" s="218"/>
      <c r="I365" s="218"/>
      <c r="J365" s="219"/>
    </row>
    <row r="366">
      <c r="A366" s="223"/>
      <c r="G366" s="219"/>
      <c r="H366" s="218"/>
      <c r="I366" s="218"/>
      <c r="J366" s="219"/>
    </row>
    <row r="367">
      <c r="A367" s="223"/>
      <c r="G367" s="219"/>
      <c r="H367" s="218"/>
      <c r="I367" s="218"/>
      <c r="J367" s="219"/>
    </row>
    <row r="368">
      <c r="A368" s="223"/>
      <c r="G368" s="219"/>
      <c r="H368" s="218"/>
      <c r="I368" s="218"/>
      <c r="J368" s="219"/>
    </row>
    <row r="369">
      <c r="A369" s="223"/>
      <c r="G369" s="219"/>
      <c r="H369" s="218"/>
      <c r="I369" s="218"/>
      <c r="J369" s="219"/>
    </row>
    <row r="370">
      <c r="A370" s="223"/>
      <c r="G370" s="219"/>
      <c r="H370" s="218"/>
      <c r="I370" s="218"/>
      <c r="J370" s="219"/>
    </row>
    <row r="371">
      <c r="A371" s="223"/>
      <c r="G371" s="219"/>
      <c r="H371" s="218"/>
      <c r="I371" s="218"/>
      <c r="J371" s="219"/>
    </row>
    <row r="372">
      <c r="A372" s="223"/>
      <c r="G372" s="219"/>
      <c r="H372" s="218"/>
      <c r="I372" s="218"/>
      <c r="J372" s="219"/>
    </row>
    <row r="373">
      <c r="A373" s="223"/>
      <c r="G373" s="219"/>
      <c r="H373" s="218"/>
      <c r="I373" s="218"/>
      <c r="J373" s="219"/>
    </row>
    <row r="374">
      <c r="A374" s="223"/>
      <c r="G374" s="219"/>
      <c r="H374" s="218"/>
      <c r="I374" s="218"/>
      <c r="J374" s="219"/>
    </row>
    <row r="375">
      <c r="A375" s="223"/>
      <c r="G375" s="219"/>
      <c r="H375" s="218"/>
      <c r="I375" s="218"/>
      <c r="J375" s="219"/>
    </row>
    <row r="376">
      <c r="A376" s="223"/>
      <c r="G376" s="219"/>
      <c r="H376" s="218"/>
      <c r="I376" s="218"/>
      <c r="J376" s="219"/>
    </row>
    <row r="377">
      <c r="A377" s="223"/>
      <c r="G377" s="219"/>
      <c r="H377" s="218"/>
      <c r="I377" s="218"/>
      <c r="J377" s="219"/>
    </row>
    <row r="378">
      <c r="A378" s="223"/>
      <c r="G378" s="219"/>
      <c r="H378" s="218"/>
      <c r="I378" s="218"/>
      <c r="J378" s="219"/>
    </row>
    <row r="379">
      <c r="A379" s="223"/>
      <c r="G379" s="219"/>
      <c r="H379" s="218"/>
      <c r="I379" s="218"/>
      <c r="J379" s="219"/>
    </row>
    <row r="380">
      <c r="A380" s="223"/>
      <c r="G380" s="219"/>
      <c r="H380" s="218"/>
      <c r="I380" s="218"/>
      <c r="J380" s="219"/>
    </row>
    <row r="381">
      <c r="A381" s="223"/>
      <c r="G381" s="219"/>
      <c r="H381" s="218"/>
      <c r="I381" s="218"/>
      <c r="J381" s="219"/>
    </row>
    <row r="382">
      <c r="A382" s="223"/>
      <c r="G382" s="219"/>
      <c r="H382" s="218"/>
      <c r="I382" s="218"/>
      <c r="J382" s="219"/>
    </row>
    <row r="383">
      <c r="A383" s="223"/>
      <c r="G383" s="219"/>
      <c r="H383" s="218"/>
      <c r="I383" s="218"/>
      <c r="J383" s="219"/>
    </row>
    <row r="384">
      <c r="A384" s="223"/>
      <c r="G384" s="219"/>
      <c r="H384" s="218"/>
      <c r="I384" s="218"/>
      <c r="J384" s="219"/>
    </row>
    <row r="385">
      <c r="A385" s="223"/>
      <c r="G385" s="219"/>
      <c r="H385" s="218"/>
      <c r="I385" s="218"/>
      <c r="J385" s="219"/>
    </row>
    <row r="386">
      <c r="A386" s="223"/>
      <c r="G386" s="219"/>
      <c r="H386" s="218"/>
      <c r="I386" s="218"/>
      <c r="J386" s="219"/>
    </row>
    <row r="387">
      <c r="A387" s="223"/>
      <c r="G387" s="219"/>
      <c r="H387" s="218"/>
      <c r="I387" s="218"/>
      <c r="J387" s="219"/>
    </row>
    <row r="388">
      <c r="A388" s="223"/>
      <c r="G388" s="219"/>
      <c r="H388" s="218"/>
      <c r="I388" s="218"/>
      <c r="J388" s="219"/>
    </row>
    <row r="389">
      <c r="A389" s="223"/>
      <c r="G389" s="219"/>
      <c r="H389" s="218"/>
      <c r="I389" s="218"/>
      <c r="J389" s="219"/>
    </row>
    <row r="390">
      <c r="A390" s="223"/>
      <c r="G390" s="219"/>
      <c r="H390" s="218"/>
      <c r="I390" s="218"/>
      <c r="J390" s="219"/>
    </row>
    <row r="391">
      <c r="A391" s="223"/>
      <c r="G391" s="219"/>
      <c r="H391" s="218"/>
      <c r="I391" s="218"/>
      <c r="J391" s="219"/>
    </row>
    <row r="392">
      <c r="A392" s="223"/>
      <c r="G392" s="219"/>
      <c r="H392" s="218"/>
      <c r="I392" s="218"/>
      <c r="J392" s="219"/>
    </row>
    <row r="393">
      <c r="A393" s="223"/>
      <c r="G393" s="219"/>
      <c r="H393" s="218"/>
      <c r="I393" s="218"/>
      <c r="J393" s="219"/>
    </row>
    <row r="394">
      <c r="A394" s="223"/>
      <c r="G394" s="219"/>
      <c r="H394" s="218"/>
      <c r="I394" s="218"/>
      <c r="J394" s="219"/>
    </row>
    <row r="395">
      <c r="A395" s="223"/>
      <c r="G395" s="219"/>
      <c r="H395" s="218"/>
      <c r="I395" s="218"/>
      <c r="J395" s="219"/>
    </row>
    <row r="396">
      <c r="A396" s="223"/>
      <c r="G396" s="219"/>
      <c r="H396" s="218"/>
      <c r="I396" s="218"/>
      <c r="J396" s="219"/>
    </row>
    <row r="397">
      <c r="A397" s="223"/>
      <c r="G397" s="219"/>
      <c r="H397" s="218"/>
      <c r="I397" s="218"/>
      <c r="J397" s="219"/>
    </row>
    <row r="398">
      <c r="A398" s="223"/>
      <c r="G398" s="219"/>
      <c r="H398" s="218"/>
      <c r="I398" s="218"/>
      <c r="J398" s="219"/>
    </row>
    <row r="399">
      <c r="A399" s="223"/>
      <c r="G399" s="219"/>
      <c r="H399" s="218"/>
      <c r="I399" s="218"/>
      <c r="J399" s="219"/>
    </row>
    <row r="400">
      <c r="A400" s="223"/>
      <c r="G400" s="219"/>
      <c r="H400" s="218"/>
      <c r="I400" s="218"/>
      <c r="J400" s="219"/>
    </row>
    <row r="401">
      <c r="A401" s="223"/>
      <c r="G401" s="219"/>
      <c r="H401" s="218"/>
      <c r="I401" s="218"/>
      <c r="J401" s="219"/>
    </row>
    <row r="402">
      <c r="A402" s="223"/>
      <c r="G402" s="219"/>
      <c r="H402" s="218"/>
      <c r="I402" s="218"/>
      <c r="J402" s="219"/>
    </row>
    <row r="403">
      <c r="A403" s="223"/>
      <c r="G403" s="219"/>
      <c r="H403" s="218"/>
      <c r="I403" s="218"/>
      <c r="J403" s="219"/>
    </row>
    <row r="404">
      <c r="A404" s="223"/>
      <c r="G404" s="219"/>
      <c r="H404" s="218"/>
      <c r="I404" s="218"/>
      <c r="J404" s="219"/>
    </row>
    <row r="405">
      <c r="A405" s="223"/>
      <c r="G405" s="219"/>
      <c r="H405" s="218"/>
      <c r="I405" s="218"/>
      <c r="J405" s="219"/>
    </row>
    <row r="406">
      <c r="A406" s="223"/>
      <c r="G406" s="219"/>
      <c r="H406" s="218"/>
      <c r="I406" s="218"/>
      <c r="J406" s="219"/>
    </row>
    <row r="407">
      <c r="A407" s="223"/>
      <c r="G407" s="219"/>
      <c r="H407" s="218"/>
      <c r="I407" s="218"/>
      <c r="J407" s="219"/>
    </row>
    <row r="408">
      <c r="A408" s="223"/>
      <c r="G408" s="219"/>
      <c r="H408" s="218"/>
      <c r="I408" s="218"/>
      <c r="J408" s="219"/>
    </row>
    <row r="409">
      <c r="A409" s="223"/>
      <c r="G409" s="219"/>
      <c r="H409" s="218"/>
      <c r="I409" s="218"/>
      <c r="J409" s="219"/>
    </row>
    <row r="410">
      <c r="A410" s="223"/>
      <c r="G410" s="219"/>
      <c r="H410" s="218"/>
      <c r="I410" s="218"/>
      <c r="J410" s="219"/>
    </row>
    <row r="411">
      <c r="A411" s="223"/>
      <c r="G411" s="219"/>
      <c r="H411" s="218"/>
      <c r="I411" s="218"/>
      <c r="J411" s="219"/>
    </row>
    <row r="412">
      <c r="A412" s="223"/>
      <c r="G412" s="219"/>
      <c r="H412" s="218"/>
      <c r="I412" s="218"/>
      <c r="J412" s="219"/>
    </row>
    <row r="413">
      <c r="A413" s="223"/>
      <c r="G413" s="219"/>
      <c r="H413" s="218"/>
      <c r="I413" s="218"/>
      <c r="J413" s="219"/>
    </row>
    <row r="414">
      <c r="A414" s="223"/>
      <c r="G414" s="219"/>
      <c r="H414" s="218"/>
      <c r="I414" s="218"/>
      <c r="J414" s="219"/>
    </row>
    <row r="415">
      <c r="A415" s="223"/>
      <c r="G415" s="219"/>
      <c r="H415" s="218"/>
      <c r="I415" s="218"/>
      <c r="J415" s="219"/>
    </row>
    <row r="416">
      <c r="A416" s="223"/>
      <c r="G416" s="219"/>
      <c r="H416" s="218"/>
      <c r="I416" s="218"/>
      <c r="J416" s="219"/>
    </row>
    <row r="417">
      <c r="A417" s="223"/>
      <c r="G417" s="219"/>
      <c r="H417" s="218"/>
      <c r="I417" s="218"/>
      <c r="J417" s="219"/>
    </row>
    <row r="418">
      <c r="A418" s="223"/>
      <c r="G418" s="219"/>
      <c r="H418" s="218"/>
      <c r="I418" s="218"/>
      <c r="J418" s="219"/>
    </row>
    <row r="419">
      <c r="A419" s="223"/>
      <c r="G419" s="219"/>
      <c r="H419" s="218"/>
      <c r="I419" s="218"/>
      <c r="J419" s="219"/>
    </row>
    <row r="420">
      <c r="A420" s="223"/>
      <c r="G420" s="219"/>
      <c r="H420" s="218"/>
      <c r="I420" s="218"/>
      <c r="J420" s="219"/>
    </row>
    <row r="421">
      <c r="A421" s="223"/>
      <c r="G421" s="219"/>
      <c r="H421" s="218"/>
      <c r="I421" s="218"/>
      <c r="J421" s="219"/>
    </row>
    <row r="422">
      <c r="A422" s="223"/>
      <c r="G422" s="219"/>
      <c r="H422" s="218"/>
      <c r="I422" s="218"/>
      <c r="J422" s="219"/>
    </row>
    <row r="423">
      <c r="A423" s="223"/>
      <c r="G423" s="219"/>
      <c r="H423" s="218"/>
      <c r="I423" s="218"/>
      <c r="J423" s="219"/>
    </row>
    <row r="424">
      <c r="A424" s="223"/>
      <c r="G424" s="219"/>
      <c r="H424" s="218"/>
      <c r="I424" s="218"/>
      <c r="J424" s="219"/>
    </row>
    <row r="425">
      <c r="A425" s="223"/>
      <c r="G425" s="219"/>
      <c r="H425" s="218"/>
      <c r="I425" s="218"/>
      <c r="J425" s="219"/>
    </row>
    <row r="426">
      <c r="A426" s="223"/>
      <c r="G426" s="219"/>
      <c r="H426" s="218"/>
      <c r="I426" s="218"/>
      <c r="J426" s="219"/>
    </row>
    <row r="427">
      <c r="A427" s="223"/>
      <c r="G427" s="219"/>
      <c r="H427" s="218"/>
      <c r="I427" s="218"/>
      <c r="J427" s="219"/>
    </row>
    <row r="428">
      <c r="A428" s="223"/>
      <c r="G428" s="219"/>
      <c r="H428" s="218"/>
      <c r="I428" s="218"/>
      <c r="J428" s="219"/>
    </row>
    <row r="429">
      <c r="A429" s="223"/>
      <c r="G429" s="219"/>
      <c r="H429" s="218"/>
      <c r="I429" s="218"/>
      <c r="J429" s="219"/>
    </row>
    <row r="430">
      <c r="A430" s="223"/>
      <c r="G430" s="219"/>
      <c r="H430" s="218"/>
      <c r="I430" s="218"/>
      <c r="J430" s="219"/>
    </row>
    <row r="431">
      <c r="A431" s="223"/>
      <c r="G431" s="219"/>
      <c r="H431" s="218"/>
      <c r="I431" s="218"/>
      <c r="J431" s="219"/>
    </row>
    <row r="432">
      <c r="A432" s="223"/>
      <c r="G432" s="219"/>
      <c r="H432" s="218"/>
      <c r="I432" s="218"/>
      <c r="J432" s="219"/>
    </row>
    <row r="433">
      <c r="A433" s="223"/>
      <c r="G433" s="219"/>
      <c r="H433" s="218"/>
      <c r="I433" s="218"/>
      <c r="J433" s="219"/>
    </row>
    <row r="434">
      <c r="A434" s="223"/>
      <c r="G434" s="219"/>
      <c r="H434" s="218"/>
      <c r="I434" s="218"/>
      <c r="J434" s="219"/>
    </row>
    <row r="435">
      <c r="A435" s="223"/>
      <c r="G435" s="219"/>
      <c r="H435" s="218"/>
      <c r="I435" s="218"/>
      <c r="J435" s="219"/>
    </row>
    <row r="436">
      <c r="A436" s="223"/>
      <c r="G436" s="219"/>
      <c r="H436" s="218"/>
      <c r="I436" s="218"/>
      <c r="J436" s="219"/>
    </row>
    <row r="437">
      <c r="A437" s="223"/>
      <c r="G437" s="219"/>
      <c r="H437" s="218"/>
      <c r="I437" s="218"/>
      <c r="J437" s="219"/>
    </row>
    <row r="438">
      <c r="A438" s="223"/>
      <c r="G438" s="219"/>
      <c r="H438" s="218"/>
      <c r="I438" s="218"/>
      <c r="J438" s="219"/>
    </row>
    <row r="439">
      <c r="A439" s="223"/>
      <c r="G439" s="219"/>
      <c r="H439" s="218"/>
      <c r="I439" s="218"/>
      <c r="J439" s="219"/>
    </row>
    <row r="440">
      <c r="A440" s="223"/>
      <c r="G440" s="219"/>
      <c r="H440" s="218"/>
      <c r="I440" s="218"/>
      <c r="J440" s="219"/>
    </row>
    <row r="441">
      <c r="A441" s="223"/>
      <c r="G441" s="219"/>
      <c r="H441" s="218"/>
      <c r="I441" s="218"/>
      <c r="J441" s="219"/>
    </row>
    <row r="442">
      <c r="A442" s="223"/>
      <c r="G442" s="219"/>
      <c r="H442" s="218"/>
      <c r="I442" s="218"/>
      <c r="J442" s="219"/>
    </row>
    <row r="443">
      <c r="A443" s="223"/>
      <c r="G443" s="219"/>
      <c r="H443" s="218"/>
      <c r="I443" s="218"/>
      <c r="J443" s="219"/>
    </row>
    <row r="444">
      <c r="A444" s="223"/>
      <c r="G444" s="219"/>
      <c r="H444" s="218"/>
      <c r="I444" s="218"/>
      <c r="J444" s="219"/>
    </row>
    <row r="445">
      <c r="A445" s="223"/>
      <c r="G445" s="219"/>
      <c r="H445" s="218"/>
      <c r="I445" s="218"/>
      <c r="J445" s="219"/>
    </row>
    <row r="446">
      <c r="A446" s="223"/>
      <c r="G446" s="219"/>
      <c r="H446" s="218"/>
      <c r="I446" s="218"/>
      <c r="J446" s="219"/>
    </row>
    <row r="447">
      <c r="A447" s="223"/>
      <c r="G447" s="219"/>
      <c r="H447" s="218"/>
      <c r="I447" s="218"/>
      <c r="J447" s="219"/>
    </row>
    <row r="448">
      <c r="A448" s="223"/>
      <c r="G448" s="219"/>
      <c r="H448" s="218"/>
      <c r="I448" s="218"/>
      <c r="J448" s="219"/>
    </row>
    <row r="449">
      <c r="A449" s="223"/>
      <c r="G449" s="219"/>
      <c r="H449" s="218"/>
      <c r="I449" s="218"/>
      <c r="J449" s="219"/>
    </row>
    <row r="450">
      <c r="A450" s="223"/>
      <c r="G450" s="219"/>
      <c r="H450" s="218"/>
      <c r="I450" s="218"/>
      <c r="J450" s="219"/>
    </row>
    <row r="451">
      <c r="A451" s="223"/>
      <c r="G451" s="219"/>
      <c r="H451" s="218"/>
      <c r="I451" s="218"/>
      <c r="J451" s="219"/>
    </row>
    <row r="452">
      <c r="A452" s="223"/>
      <c r="G452" s="219"/>
      <c r="H452" s="218"/>
      <c r="I452" s="218"/>
      <c r="J452" s="219"/>
    </row>
    <row r="453">
      <c r="A453" s="223"/>
      <c r="G453" s="219"/>
      <c r="H453" s="218"/>
      <c r="I453" s="218"/>
      <c r="J453" s="219"/>
    </row>
    <row r="454">
      <c r="A454" s="223"/>
      <c r="G454" s="219"/>
      <c r="H454" s="218"/>
      <c r="I454" s="218"/>
      <c r="J454" s="219"/>
    </row>
    <row r="455">
      <c r="A455" s="223"/>
      <c r="G455" s="219"/>
      <c r="H455" s="218"/>
      <c r="I455" s="218"/>
      <c r="J455" s="219"/>
    </row>
    <row r="456">
      <c r="A456" s="223"/>
      <c r="G456" s="219"/>
      <c r="H456" s="218"/>
      <c r="I456" s="218"/>
      <c r="J456" s="219"/>
    </row>
    <row r="457">
      <c r="A457" s="223"/>
      <c r="G457" s="219"/>
      <c r="H457" s="218"/>
      <c r="I457" s="218"/>
      <c r="J457" s="219"/>
    </row>
    <row r="458">
      <c r="A458" s="223"/>
      <c r="G458" s="219"/>
      <c r="H458" s="218"/>
      <c r="I458" s="218"/>
      <c r="J458" s="219"/>
    </row>
    <row r="459">
      <c r="A459" s="223"/>
      <c r="G459" s="219"/>
      <c r="H459" s="218"/>
      <c r="I459" s="218"/>
      <c r="J459" s="219"/>
    </row>
    <row r="460">
      <c r="A460" s="223"/>
      <c r="G460" s="219"/>
      <c r="H460" s="218"/>
      <c r="I460" s="218"/>
      <c r="J460" s="219"/>
    </row>
    <row r="461">
      <c r="A461" s="223"/>
      <c r="G461" s="219"/>
      <c r="H461" s="218"/>
      <c r="I461" s="218"/>
      <c r="J461" s="219"/>
    </row>
    <row r="462">
      <c r="A462" s="223"/>
      <c r="G462" s="219"/>
      <c r="H462" s="218"/>
      <c r="I462" s="218"/>
      <c r="J462" s="219"/>
    </row>
    <row r="463">
      <c r="A463" s="223"/>
      <c r="G463" s="219"/>
      <c r="H463" s="218"/>
      <c r="I463" s="218"/>
      <c r="J463" s="219"/>
    </row>
    <row r="464">
      <c r="A464" s="223"/>
      <c r="G464" s="219"/>
      <c r="H464" s="218"/>
      <c r="I464" s="218"/>
      <c r="J464" s="219"/>
    </row>
    <row r="465">
      <c r="A465" s="223"/>
      <c r="G465" s="219"/>
      <c r="H465" s="218"/>
      <c r="I465" s="218"/>
      <c r="J465" s="219"/>
    </row>
    <row r="466">
      <c r="A466" s="223"/>
      <c r="G466" s="219"/>
      <c r="H466" s="218"/>
      <c r="I466" s="218"/>
      <c r="J466" s="219"/>
    </row>
    <row r="467">
      <c r="A467" s="223"/>
      <c r="G467" s="219"/>
      <c r="H467" s="218"/>
      <c r="I467" s="218"/>
      <c r="J467" s="219"/>
    </row>
    <row r="468">
      <c r="A468" s="223"/>
      <c r="G468" s="219"/>
      <c r="H468" s="218"/>
      <c r="I468" s="218"/>
      <c r="J468" s="219"/>
    </row>
    <row r="469">
      <c r="A469" s="223"/>
      <c r="G469" s="219"/>
      <c r="H469" s="218"/>
      <c r="I469" s="218"/>
      <c r="J469" s="219"/>
    </row>
    <row r="470">
      <c r="A470" s="223"/>
      <c r="G470" s="219"/>
      <c r="H470" s="218"/>
      <c r="I470" s="218"/>
      <c r="J470" s="219"/>
    </row>
    <row r="471">
      <c r="A471" s="223"/>
      <c r="G471" s="219"/>
      <c r="H471" s="218"/>
      <c r="I471" s="218"/>
      <c r="J471" s="219"/>
    </row>
    <row r="472">
      <c r="A472" s="223"/>
      <c r="G472" s="219"/>
      <c r="H472" s="218"/>
      <c r="I472" s="218"/>
      <c r="J472" s="219"/>
    </row>
    <row r="473">
      <c r="A473" s="223"/>
      <c r="G473" s="219"/>
      <c r="H473" s="218"/>
      <c r="I473" s="218"/>
      <c r="J473" s="219"/>
    </row>
    <row r="474">
      <c r="A474" s="223"/>
      <c r="G474" s="219"/>
      <c r="H474" s="218"/>
      <c r="I474" s="218"/>
      <c r="J474" s="219"/>
    </row>
    <row r="475">
      <c r="A475" s="223"/>
      <c r="G475" s="219"/>
      <c r="H475" s="218"/>
      <c r="I475" s="218"/>
      <c r="J475" s="219"/>
    </row>
    <row r="476">
      <c r="A476" s="223"/>
      <c r="G476" s="219"/>
      <c r="H476" s="218"/>
      <c r="I476" s="218"/>
      <c r="J476" s="219"/>
    </row>
    <row r="477">
      <c r="A477" s="223"/>
      <c r="G477" s="219"/>
      <c r="H477" s="218"/>
      <c r="I477" s="218"/>
      <c r="J477" s="219"/>
    </row>
    <row r="478">
      <c r="A478" s="223"/>
      <c r="G478" s="219"/>
      <c r="H478" s="218"/>
      <c r="I478" s="218"/>
      <c r="J478" s="219"/>
    </row>
    <row r="479">
      <c r="A479" s="223"/>
      <c r="G479" s="219"/>
      <c r="H479" s="218"/>
      <c r="I479" s="218"/>
      <c r="J479" s="219"/>
    </row>
    <row r="480">
      <c r="A480" s="223"/>
      <c r="G480" s="219"/>
      <c r="H480" s="218"/>
      <c r="I480" s="218"/>
      <c r="J480" s="219"/>
    </row>
    <row r="481">
      <c r="A481" s="223"/>
      <c r="G481" s="219"/>
      <c r="H481" s="218"/>
      <c r="I481" s="218"/>
      <c r="J481" s="219"/>
    </row>
    <row r="482">
      <c r="A482" s="223"/>
      <c r="G482" s="219"/>
      <c r="H482" s="218"/>
      <c r="I482" s="218"/>
      <c r="J482" s="219"/>
    </row>
    <row r="483">
      <c r="A483" s="223"/>
      <c r="G483" s="219"/>
      <c r="H483" s="218"/>
      <c r="I483" s="218"/>
      <c r="J483" s="219"/>
    </row>
    <row r="484">
      <c r="A484" s="223"/>
      <c r="G484" s="219"/>
      <c r="H484" s="218"/>
      <c r="I484" s="218"/>
      <c r="J484" s="219"/>
    </row>
    <row r="485">
      <c r="A485" s="223"/>
      <c r="G485" s="219"/>
      <c r="H485" s="218"/>
      <c r="I485" s="218"/>
      <c r="J485" s="219"/>
    </row>
    <row r="486">
      <c r="A486" s="223"/>
      <c r="G486" s="219"/>
      <c r="H486" s="218"/>
      <c r="I486" s="218"/>
      <c r="J486" s="219"/>
    </row>
    <row r="487">
      <c r="A487" s="223"/>
      <c r="G487" s="219"/>
      <c r="H487" s="218"/>
      <c r="I487" s="218"/>
      <c r="J487" s="219"/>
    </row>
    <row r="488">
      <c r="A488" s="223"/>
      <c r="G488" s="219"/>
      <c r="H488" s="218"/>
      <c r="I488" s="218"/>
      <c r="J488" s="219"/>
    </row>
    <row r="489">
      <c r="A489" s="223"/>
      <c r="G489" s="219"/>
      <c r="H489" s="218"/>
      <c r="I489" s="218"/>
      <c r="J489" s="219"/>
    </row>
    <row r="490">
      <c r="A490" s="223"/>
      <c r="G490" s="219"/>
      <c r="H490" s="218"/>
      <c r="I490" s="218"/>
      <c r="J490" s="219"/>
    </row>
    <row r="491">
      <c r="A491" s="223"/>
      <c r="G491" s="219"/>
      <c r="H491" s="218"/>
      <c r="I491" s="218"/>
      <c r="J491" s="219"/>
    </row>
    <row r="492">
      <c r="A492" s="223"/>
      <c r="G492" s="219"/>
      <c r="H492" s="218"/>
      <c r="I492" s="218"/>
      <c r="J492" s="219"/>
    </row>
    <row r="493">
      <c r="A493" s="223"/>
      <c r="G493" s="219"/>
      <c r="H493" s="218"/>
      <c r="I493" s="218"/>
      <c r="J493" s="219"/>
    </row>
    <row r="494">
      <c r="A494" s="223"/>
      <c r="G494" s="219"/>
      <c r="H494" s="218"/>
      <c r="I494" s="218"/>
      <c r="J494" s="219"/>
    </row>
    <row r="495">
      <c r="A495" s="223"/>
      <c r="G495" s="219"/>
      <c r="H495" s="218"/>
      <c r="I495" s="218"/>
      <c r="J495" s="219"/>
    </row>
    <row r="496">
      <c r="A496" s="223"/>
      <c r="G496" s="219"/>
      <c r="H496" s="218"/>
      <c r="I496" s="218"/>
      <c r="J496" s="219"/>
    </row>
    <row r="497">
      <c r="A497" s="223"/>
      <c r="G497" s="219"/>
      <c r="H497" s="218"/>
      <c r="I497" s="218"/>
      <c r="J497" s="219"/>
    </row>
    <row r="498">
      <c r="A498" s="223"/>
      <c r="G498" s="219"/>
      <c r="H498" s="218"/>
      <c r="I498" s="218"/>
      <c r="J498" s="219"/>
    </row>
    <row r="499">
      <c r="A499" s="223"/>
      <c r="G499" s="219"/>
      <c r="H499" s="218"/>
      <c r="I499" s="218"/>
      <c r="J499" s="219"/>
    </row>
    <row r="500">
      <c r="A500" s="223"/>
      <c r="G500" s="219"/>
      <c r="H500" s="218"/>
      <c r="I500" s="218"/>
      <c r="J500" s="219"/>
    </row>
    <row r="501">
      <c r="A501" s="223"/>
      <c r="G501" s="219"/>
      <c r="H501" s="218"/>
      <c r="I501" s="218"/>
      <c r="J501" s="219"/>
    </row>
    <row r="502">
      <c r="A502" s="223"/>
      <c r="G502" s="219"/>
      <c r="H502" s="218"/>
      <c r="I502" s="218"/>
      <c r="J502" s="219"/>
    </row>
    <row r="503">
      <c r="A503" s="223"/>
      <c r="G503" s="219"/>
      <c r="H503" s="218"/>
      <c r="I503" s="218"/>
      <c r="J503" s="219"/>
    </row>
    <row r="504">
      <c r="A504" s="223"/>
      <c r="G504" s="219"/>
      <c r="H504" s="218"/>
      <c r="I504" s="218"/>
      <c r="J504" s="219"/>
    </row>
    <row r="505">
      <c r="A505" s="223"/>
      <c r="G505" s="219"/>
      <c r="H505" s="218"/>
      <c r="I505" s="218"/>
      <c r="J505" s="219"/>
    </row>
    <row r="506">
      <c r="A506" s="223"/>
      <c r="G506" s="219"/>
      <c r="H506" s="218"/>
      <c r="I506" s="218"/>
      <c r="J506" s="219"/>
    </row>
    <row r="507">
      <c r="A507" s="223"/>
      <c r="G507" s="219"/>
      <c r="H507" s="218"/>
      <c r="I507" s="218"/>
      <c r="J507" s="219"/>
    </row>
    <row r="508">
      <c r="A508" s="223"/>
      <c r="G508" s="219"/>
      <c r="H508" s="218"/>
      <c r="I508" s="218"/>
      <c r="J508" s="219"/>
    </row>
    <row r="509">
      <c r="A509" s="223"/>
      <c r="G509" s="219"/>
      <c r="H509" s="218"/>
      <c r="I509" s="218"/>
      <c r="J509" s="219"/>
    </row>
    <row r="510">
      <c r="A510" s="223"/>
      <c r="G510" s="219"/>
      <c r="H510" s="218"/>
      <c r="I510" s="218"/>
      <c r="J510" s="219"/>
    </row>
    <row r="511">
      <c r="A511" s="223"/>
      <c r="G511" s="219"/>
      <c r="H511" s="218"/>
      <c r="I511" s="218"/>
      <c r="J511" s="219"/>
    </row>
    <row r="512">
      <c r="A512" s="223"/>
      <c r="G512" s="219"/>
      <c r="H512" s="218"/>
      <c r="I512" s="218"/>
      <c r="J512" s="219"/>
    </row>
    <row r="513">
      <c r="A513" s="223"/>
      <c r="G513" s="219"/>
      <c r="H513" s="218"/>
      <c r="I513" s="218"/>
      <c r="J513" s="219"/>
    </row>
    <row r="514">
      <c r="A514" s="223"/>
      <c r="G514" s="219"/>
      <c r="H514" s="218"/>
      <c r="I514" s="218"/>
      <c r="J514" s="219"/>
    </row>
    <row r="515">
      <c r="A515" s="223"/>
      <c r="G515" s="219"/>
      <c r="H515" s="218"/>
      <c r="I515" s="218"/>
      <c r="J515" s="219"/>
    </row>
    <row r="516">
      <c r="A516" s="223"/>
      <c r="G516" s="219"/>
      <c r="H516" s="218"/>
      <c r="I516" s="218"/>
      <c r="J516" s="219"/>
    </row>
    <row r="517">
      <c r="A517" s="223"/>
      <c r="G517" s="219"/>
      <c r="H517" s="218"/>
      <c r="I517" s="218"/>
      <c r="J517" s="219"/>
    </row>
    <row r="518">
      <c r="A518" s="223"/>
      <c r="G518" s="219"/>
      <c r="H518" s="218"/>
      <c r="I518" s="218"/>
      <c r="J518" s="219"/>
    </row>
    <row r="519">
      <c r="A519" s="223"/>
      <c r="G519" s="219"/>
      <c r="H519" s="218"/>
      <c r="I519" s="218"/>
      <c r="J519" s="219"/>
    </row>
    <row r="520">
      <c r="A520" s="223"/>
      <c r="G520" s="219"/>
      <c r="H520" s="218"/>
      <c r="I520" s="218"/>
      <c r="J520" s="219"/>
    </row>
    <row r="521">
      <c r="A521" s="223"/>
      <c r="G521" s="219"/>
      <c r="H521" s="218"/>
      <c r="I521" s="218"/>
      <c r="J521" s="219"/>
    </row>
    <row r="522">
      <c r="A522" s="223"/>
      <c r="G522" s="219"/>
      <c r="H522" s="218"/>
      <c r="I522" s="218"/>
      <c r="J522" s="219"/>
    </row>
    <row r="523">
      <c r="A523" s="223"/>
      <c r="G523" s="219"/>
      <c r="H523" s="218"/>
      <c r="I523" s="218"/>
      <c r="J523" s="219"/>
    </row>
    <row r="524">
      <c r="A524" s="223"/>
      <c r="G524" s="219"/>
      <c r="H524" s="218"/>
      <c r="I524" s="218"/>
      <c r="J524" s="219"/>
    </row>
    <row r="525">
      <c r="A525" s="223"/>
      <c r="G525" s="219"/>
      <c r="H525" s="218"/>
      <c r="I525" s="218"/>
      <c r="J525" s="219"/>
    </row>
    <row r="526">
      <c r="A526" s="223"/>
      <c r="G526" s="219"/>
      <c r="H526" s="218"/>
      <c r="I526" s="218"/>
      <c r="J526" s="219"/>
    </row>
    <row r="527">
      <c r="A527" s="223"/>
      <c r="G527" s="219"/>
      <c r="H527" s="218"/>
      <c r="I527" s="218"/>
      <c r="J527" s="219"/>
    </row>
    <row r="528">
      <c r="A528" s="223"/>
      <c r="G528" s="219"/>
      <c r="H528" s="218"/>
      <c r="I528" s="218"/>
      <c r="J528" s="219"/>
    </row>
    <row r="529">
      <c r="A529" s="223"/>
      <c r="G529" s="219"/>
      <c r="H529" s="218"/>
      <c r="I529" s="218"/>
      <c r="J529" s="219"/>
    </row>
    <row r="530">
      <c r="A530" s="223"/>
      <c r="G530" s="219"/>
      <c r="H530" s="218"/>
      <c r="I530" s="218"/>
      <c r="J530" s="219"/>
    </row>
    <row r="531">
      <c r="A531" s="223"/>
      <c r="G531" s="219"/>
      <c r="H531" s="218"/>
      <c r="I531" s="218"/>
      <c r="J531" s="219"/>
    </row>
    <row r="532">
      <c r="A532" s="223"/>
      <c r="G532" s="219"/>
      <c r="H532" s="218"/>
      <c r="I532" s="218"/>
      <c r="J532" s="219"/>
    </row>
    <row r="533">
      <c r="A533" s="223"/>
      <c r="G533" s="219"/>
      <c r="H533" s="218"/>
      <c r="I533" s="218"/>
      <c r="J533" s="219"/>
    </row>
    <row r="534">
      <c r="A534" s="223"/>
      <c r="G534" s="219"/>
      <c r="H534" s="218"/>
      <c r="I534" s="218"/>
      <c r="J534" s="219"/>
    </row>
    <row r="535">
      <c r="A535" s="223"/>
      <c r="G535" s="219"/>
      <c r="H535" s="218"/>
      <c r="I535" s="218"/>
      <c r="J535" s="219"/>
    </row>
    <row r="536">
      <c r="A536" s="223"/>
      <c r="G536" s="219"/>
      <c r="H536" s="218"/>
      <c r="I536" s="218"/>
      <c r="J536" s="219"/>
    </row>
    <row r="537">
      <c r="A537" s="223"/>
      <c r="G537" s="219"/>
      <c r="H537" s="218"/>
      <c r="I537" s="218"/>
      <c r="J537" s="219"/>
    </row>
    <row r="538">
      <c r="A538" s="223"/>
      <c r="G538" s="219"/>
      <c r="H538" s="218"/>
      <c r="I538" s="218"/>
      <c r="J538" s="219"/>
    </row>
    <row r="539">
      <c r="A539" s="223"/>
      <c r="G539" s="219"/>
      <c r="H539" s="218"/>
      <c r="I539" s="218"/>
      <c r="J539" s="219"/>
    </row>
    <row r="540">
      <c r="A540" s="223"/>
      <c r="G540" s="219"/>
      <c r="H540" s="218"/>
      <c r="I540" s="218"/>
      <c r="J540" s="219"/>
    </row>
    <row r="541">
      <c r="A541" s="223"/>
      <c r="G541" s="219"/>
      <c r="H541" s="218"/>
      <c r="I541" s="218"/>
      <c r="J541" s="219"/>
    </row>
    <row r="542">
      <c r="A542" s="223"/>
      <c r="G542" s="219"/>
      <c r="H542" s="218"/>
      <c r="I542" s="218"/>
      <c r="J542" s="219"/>
    </row>
    <row r="543">
      <c r="A543" s="223"/>
      <c r="G543" s="219"/>
      <c r="H543" s="218"/>
      <c r="I543" s="218"/>
      <c r="J543" s="219"/>
    </row>
    <row r="544">
      <c r="A544" s="223"/>
      <c r="G544" s="219"/>
      <c r="H544" s="218"/>
      <c r="I544" s="218"/>
      <c r="J544" s="219"/>
    </row>
    <row r="545">
      <c r="A545" s="223"/>
      <c r="G545" s="219"/>
      <c r="H545" s="218"/>
      <c r="I545" s="218"/>
      <c r="J545" s="219"/>
    </row>
    <row r="546">
      <c r="A546" s="223"/>
      <c r="G546" s="219"/>
      <c r="H546" s="218"/>
      <c r="I546" s="218"/>
      <c r="J546" s="219"/>
    </row>
    <row r="547">
      <c r="A547" s="223"/>
      <c r="G547" s="219"/>
      <c r="H547" s="218"/>
      <c r="I547" s="218"/>
      <c r="J547" s="219"/>
    </row>
    <row r="548">
      <c r="A548" s="223"/>
      <c r="G548" s="219"/>
      <c r="H548" s="218"/>
      <c r="I548" s="218"/>
      <c r="J548" s="219"/>
    </row>
    <row r="549">
      <c r="A549" s="223"/>
      <c r="G549" s="219"/>
      <c r="H549" s="218"/>
      <c r="I549" s="218"/>
      <c r="J549" s="219"/>
    </row>
    <row r="550">
      <c r="A550" s="223"/>
      <c r="G550" s="219"/>
      <c r="H550" s="218"/>
      <c r="I550" s="218"/>
      <c r="J550" s="219"/>
    </row>
    <row r="551">
      <c r="A551" s="223"/>
      <c r="G551" s="219"/>
      <c r="H551" s="218"/>
      <c r="I551" s="218"/>
      <c r="J551" s="219"/>
    </row>
    <row r="552">
      <c r="A552" s="223"/>
      <c r="G552" s="219"/>
      <c r="H552" s="218"/>
      <c r="I552" s="218"/>
      <c r="J552" s="219"/>
    </row>
    <row r="553">
      <c r="A553" s="223"/>
      <c r="G553" s="219"/>
      <c r="H553" s="218"/>
      <c r="I553" s="218"/>
      <c r="J553" s="219"/>
    </row>
    <row r="554">
      <c r="A554" s="223"/>
      <c r="G554" s="219"/>
      <c r="H554" s="218"/>
      <c r="I554" s="218"/>
      <c r="J554" s="219"/>
    </row>
    <row r="555">
      <c r="A555" s="223"/>
      <c r="G555" s="219"/>
      <c r="H555" s="218"/>
      <c r="I555" s="218"/>
      <c r="J555" s="219"/>
    </row>
    <row r="556">
      <c r="A556" s="223"/>
      <c r="G556" s="219"/>
      <c r="H556" s="218"/>
      <c r="I556" s="218"/>
      <c r="J556" s="219"/>
    </row>
    <row r="557">
      <c r="A557" s="223"/>
      <c r="G557" s="219"/>
      <c r="H557" s="218"/>
      <c r="I557" s="218"/>
      <c r="J557" s="219"/>
    </row>
    <row r="558">
      <c r="A558" s="223"/>
      <c r="G558" s="219"/>
      <c r="H558" s="218"/>
      <c r="I558" s="218"/>
      <c r="J558" s="219"/>
    </row>
    <row r="559">
      <c r="A559" s="223"/>
      <c r="G559" s="219"/>
      <c r="H559" s="218"/>
      <c r="I559" s="218"/>
      <c r="J559" s="219"/>
    </row>
    <row r="560">
      <c r="A560" s="223"/>
      <c r="G560" s="219"/>
      <c r="H560" s="218"/>
      <c r="I560" s="218"/>
      <c r="J560" s="219"/>
    </row>
    <row r="561">
      <c r="A561" s="223"/>
      <c r="G561" s="219"/>
      <c r="H561" s="218"/>
      <c r="I561" s="218"/>
      <c r="J561" s="219"/>
    </row>
    <row r="562">
      <c r="A562" s="223"/>
      <c r="G562" s="219"/>
      <c r="H562" s="218"/>
      <c r="I562" s="218"/>
      <c r="J562" s="219"/>
    </row>
    <row r="563">
      <c r="A563" s="223"/>
      <c r="G563" s="219"/>
      <c r="H563" s="218"/>
      <c r="I563" s="218"/>
      <c r="J563" s="219"/>
    </row>
    <row r="564">
      <c r="A564" s="223"/>
      <c r="G564" s="219"/>
      <c r="H564" s="218"/>
      <c r="I564" s="218"/>
      <c r="J564" s="219"/>
    </row>
    <row r="565">
      <c r="A565" s="223"/>
      <c r="G565" s="219"/>
      <c r="H565" s="218"/>
      <c r="I565" s="218"/>
      <c r="J565" s="219"/>
    </row>
    <row r="566">
      <c r="A566" s="223"/>
      <c r="G566" s="219"/>
      <c r="H566" s="218"/>
      <c r="I566" s="218"/>
      <c r="J566" s="219"/>
    </row>
    <row r="567">
      <c r="A567" s="223"/>
      <c r="G567" s="219"/>
      <c r="H567" s="218"/>
      <c r="I567" s="218"/>
      <c r="J567" s="219"/>
    </row>
    <row r="568">
      <c r="A568" s="223"/>
      <c r="G568" s="219"/>
      <c r="H568" s="218"/>
      <c r="I568" s="218"/>
      <c r="J568" s="219"/>
    </row>
    <row r="569">
      <c r="A569" s="223"/>
      <c r="G569" s="219"/>
      <c r="H569" s="218"/>
      <c r="I569" s="218"/>
      <c r="J569" s="219"/>
    </row>
    <row r="570">
      <c r="A570" s="223"/>
      <c r="G570" s="219"/>
      <c r="H570" s="218"/>
      <c r="I570" s="218"/>
      <c r="J570" s="219"/>
    </row>
    <row r="571">
      <c r="A571" s="223"/>
      <c r="G571" s="219"/>
      <c r="H571" s="218"/>
      <c r="I571" s="218"/>
      <c r="J571" s="219"/>
    </row>
    <row r="572">
      <c r="A572" s="223"/>
      <c r="G572" s="219"/>
      <c r="H572" s="218"/>
      <c r="I572" s="218"/>
      <c r="J572" s="219"/>
    </row>
    <row r="573">
      <c r="A573" s="223"/>
      <c r="G573" s="219"/>
      <c r="H573" s="218"/>
      <c r="I573" s="218"/>
      <c r="J573" s="219"/>
    </row>
    <row r="574">
      <c r="A574" s="223"/>
      <c r="G574" s="219"/>
      <c r="H574" s="218"/>
      <c r="I574" s="218"/>
      <c r="J574" s="219"/>
    </row>
    <row r="575">
      <c r="A575" s="223"/>
      <c r="G575" s="219"/>
      <c r="H575" s="218"/>
      <c r="I575" s="218"/>
      <c r="J575" s="219"/>
    </row>
    <row r="576">
      <c r="A576" s="223"/>
      <c r="G576" s="219"/>
      <c r="H576" s="218"/>
      <c r="I576" s="218"/>
      <c r="J576" s="219"/>
    </row>
    <row r="577">
      <c r="A577" s="223"/>
      <c r="G577" s="219"/>
      <c r="H577" s="218"/>
      <c r="I577" s="218"/>
      <c r="J577" s="219"/>
    </row>
    <row r="578">
      <c r="A578" s="223"/>
      <c r="G578" s="219"/>
      <c r="H578" s="218"/>
      <c r="I578" s="218"/>
      <c r="J578" s="219"/>
    </row>
    <row r="579">
      <c r="A579" s="223"/>
      <c r="G579" s="219"/>
      <c r="H579" s="218"/>
      <c r="I579" s="218"/>
      <c r="J579" s="219"/>
    </row>
    <row r="580">
      <c r="A580" s="223"/>
      <c r="G580" s="219"/>
      <c r="H580" s="218"/>
      <c r="I580" s="218"/>
      <c r="J580" s="219"/>
    </row>
    <row r="581">
      <c r="A581" s="223"/>
      <c r="G581" s="219"/>
      <c r="H581" s="218"/>
      <c r="I581" s="218"/>
      <c r="J581" s="219"/>
    </row>
    <row r="582">
      <c r="A582" s="223"/>
      <c r="G582" s="219"/>
      <c r="H582" s="218"/>
      <c r="I582" s="218"/>
      <c r="J582" s="219"/>
    </row>
    <row r="583">
      <c r="A583" s="223"/>
      <c r="G583" s="219"/>
      <c r="H583" s="218"/>
      <c r="I583" s="218"/>
      <c r="J583" s="219"/>
    </row>
    <row r="584">
      <c r="A584" s="223"/>
      <c r="G584" s="219"/>
      <c r="H584" s="218"/>
      <c r="I584" s="218"/>
      <c r="J584" s="219"/>
    </row>
    <row r="585">
      <c r="A585" s="223"/>
      <c r="G585" s="219"/>
      <c r="H585" s="218"/>
      <c r="I585" s="218"/>
      <c r="J585" s="219"/>
    </row>
    <row r="586">
      <c r="A586" s="223"/>
      <c r="G586" s="219"/>
      <c r="H586" s="218"/>
      <c r="I586" s="218"/>
      <c r="J586" s="219"/>
    </row>
    <row r="587">
      <c r="A587" s="223"/>
      <c r="G587" s="219"/>
      <c r="H587" s="218"/>
      <c r="I587" s="218"/>
      <c r="J587" s="219"/>
    </row>
    <row r="588">
      <c r="A588" s="223"/>
      <c r="G588" s="219"/>
      <c r="H588" s="218"/>
      <c r="I588" s="218"/>
      <c r="J588" s="219"/>
    </row>
    <row r="589">
      <c r="A589" s="223"/>
      <c r="G589" s="219"/>
      <c r="H589" s="218"/>
      <c r="I589" s="218"/>
      <c r="J589" s="219"/>
    </row>
    <row r="590">
      <c r="A590" s="223"/>
      <c r="G590" s="219"/>
      <c r="H590" s="218"/>
      <c r="I590" s="218"/>
      <c r="J590" s="219"/>
    </row>
    <row r="591">
      <c r="A591" s="223"/>
      <c r="G591" s="219"/>
      <c r="H591" s="218"/>
      <c r="I591" s="218"/>
      <c r="J591" s="219"/>
    </row>
    <row r="592">
      <c r="A592" s="223"/>
      <c r="G592" s="219"/>
      <c r="H592" s="218"/>
      <c r="I592" s="218"/>
      <c r="J592" s="219"/>
    </row>
    <row r="593">
      <c r="A593" s="223"/>
      <c r="G593" s="219"/>
      <c r="H593" s="218"/>
      <c r="I593" s="218"/>
      <c r="J593" s="219"/>
    </row>
    <row r="594">
      <c r="A594" s="223"/>
      <c r="G594" s="219"/>
      <c r="H594" s="218"/>
      <c r="I594" s="218"/>
      <c r="J594" s="219"/>
    </row>
    <row r="595">
      <c r="A595" s="223"/>
      <c r="G595" s="219"/>
      <c r="H595" s="218"/>
      <c r="I595" s="218"/>
      <c r="J595" s="219"/>
    </row>
    <row r="596">
      <c r="A596" s="223"/>
      <c r="G596" s="219"/>
      <c r="H596" s="218"/>
      <c r="I596" s="218"/>
      <c r="J596" s="219"/>
    </row>
    <row r="597">
      <c r="A597" s="223"/>
      <c r="G597" s="219"/>
      <c r="H597" s="218"/>
      <c r="I597" s="218"/>
      <c r="J597" s="219"/>
    </row>
    <row r="598">
      <c r="A598" s="223"/>
      <c r="G598" s="219"/>
      <c r="H598" s="218"/>
      <c r="I598" s="218"/>
      <c r="J598" s="219"/>
    </row>
    <row r="599">
      <c r="A599" s="223"/>
      <c r="G599" s="219"/>
      <c r="H599" s="218"/>
      <c r="I599" s="218"/>
      <c r="J599" s="219"/>
    </row>
    <row r="600">
      <c r="A600" s="223"/>
      <c r="G600" s="219"/>
      <c r="H600" s="218"/>
      <c r="I600" s="218"/>
      <c r="J600" s="219"/>
    </row>
    <row r="601">
      <c r="A601" s="223"/>
      <c r="G601" s="219"/>
      <c r="H601" s="218"/>
      <c r="I601" s="218"/>
      <c r="J601" s="219"/>
    </row>
    <row r="602">
      <c r="A602" s="223"/>
      <c r="G602" s="219"/>
      <c r="H602" s="218"/>
      <c r="I602" s="218"/>
      <c r="J602" s="219"/>
    </row>
    <row r="603">
      <c r="A603" s="223"/>
      <c r="G603" s="219"/>
      <c r="H603" s="218"/>
      <c r="I603" s="218"/>
      <c r="J603" s="219"/>
    </row>
    <row r="604">
      <c r="A604" s="223"/>
      <c r="G604" s="219"/>
      <c r="H604" s="218"/>
      <c r="I604" s="218"/>
      <c r="J604" s="219"/>
    </row>
    <row r="605">
      <c r="A605" s="223"/>
      <c r="G605" s="219"/>
      <c r="H605" s="218"/>
      <c r="I605" s="218"/>
      <c r="J605" s="219"/>
    </row>
    <row r="606">
      <c r="A606" s="223"/>
      <c r="G606" s="219"/>
      <c r="H606" s="218"/>
      <c r="I606" s="218"/>
      <c r="J606" s="219"/>
    </row>
    <row r="607">
      <c r="A607" s="223"/>
      <c r="G607" s="219"/>
      <c r="H607" s="218"/>
      <c r="I607" s="218"/>
      <c r="J607" s="219"/>
    </row>
    <row r="608">
      <c r="A608" s="223"/>
      <c r="G608" s="219"/>
      <c r="H608" s="218"/>
      <c r="I608" s="218"/>
      <c r="J608" s="219"/>
    </row>
    <row r="609">
      <c r="A609" s="223"/>
      <c r="G609" s="219"/>
      <c r="H609" s="218"/>
      <c r="I609" s="218"/>
      <c r="J609" s="219"/>
    </row>
    <row r="610">
      <c r="A610" s="223"/>
      <c r="G610" s="219"/>
      <c r="H610" s="218"/>
      <c r="I610" s="218"/>
      <c r="J610" s="219"/>
    </row>
    <row r="611">
      <c r="A611" s="223"/>
      <c r="G611" s="219"/>
      <c r="H611" s="218"/>
      <c r="I611" s="218"/>
      <c r="J611" s="219"/>
    </row>
    <row r="612">
      <c r="A612" s="223"/>
      <c r="G612" s="219"/>
      <c r="H612" s="218"/>
      <c r="I612" s="218"/>
      <c r="J612" s="219"/>
    </row>
    <row r="613">
      <c r="A613" s="223"/>
      <c r="G613" s="219"/>
      <c r="H613" s="218"/>
      <c r="I613" s="218"/>
      <c r="J613" s="219"/>
    </row>
    <row r="614">
      <c r="A614" s="223"/>
      <c r="G614" s="219"/>
      <c r="H614" s="218"/>
      <c r="I614" s="218"/>
      <c r="J614" s="219"/>
    </row>
    <row r="615">
      <c r="A615" s="223"/>
      <c r="G615" s="219"/>
      <c r="H615" s="218"/>
      <c r="I615" s="218"/>
      <c r="J615" s="219"/>
    </row>
    <row r="616">
      <c r="A616" s="223"/>
      <c r="G616" s="219"/>
      <c r="H616" s="218"/>
      <c r="I616" s="218"/>
      <c r="J616" s="219"/>
    </row>
    <row r="617">
      <c r="A617" s="223"/>
      <c r="G617" s="219"/>
      <c r="H617" s="218"/>
      <c r="I617" s="218"/>
      <c r="J617" s="219"/>
    </row>
    <row r="618">
      <c r="A618" s="223"/>
      <c r="G618" s="219"/>
      <c r="H618" s="218"/>
      <c r="I618" s="218"/>
      <c r="J618" s="219"/>
    </row>
    <row r="619">
      <c r="A619" s="223"/>
      <c r="G619" s="219"/>
      <c r="H619" s="218"/>
      <c r="I619" s="218"/>
      <c r="J619" s="219"/>
    </row>
    <row r="620">
      <c r="A620" s="223"/>
      <c r="G620" s="219"/>
      <c r="H620" s="218"/>
      <c r="I620" s="218"/>
      <c r="J620" s="219"/>
    </row>
    <row r="621">
      <c r="A621" s="223"/>
      <c r="G621" s="219"/>
      <c r="H621" s="218"/>
      <c r="I621" s="218"/>
      <c r="J621" s="219"/>
    </row>
    <row r="622">
      <c r="A622" s="223"/>
      <c r="G622" s="219"/>
      <c r="H622" s="218"/>
      <c r="I622" s="218"/>
      <c r="J622" s="219"/>
    </row>
    <row r="623">
      <c r="A623" s="223"/>
      <c r="G623" s="219"/>
      <c r="H623" s="218"/>
      <c r="I623" s="218"/>
      <c r="J623" s="219"/>
    </row>
    <row r="624">
      <c r="A624" s="223"/>
      <c r="G624" s="219"/>
      <c r="H624" s="218"/>
      <c r="I624" s="218"/>
      <c r="J624" s="219"/>
    </row>
    <row r="625">
      <c r="A625" s="223"/>
      <c r="G625" s="219"/>
      <c r="H625" s="218"/>
      <c r="I625" s="218"/>
      <c r="J625" s="219"/>
    </row>
    <row r="626">
      <c r="A626" s="223"/>
      <c r="G626" s="219"/>
      <c r="H626" s="218"/>
      <c r="I626" s="218"/>
      <c r="J626" s="219"/>
    </row>
    <row r="627">
      <c r="A627" s="223"/>
      <c r="G627" s="219"/>
      <c r="H627" s="218"/>
      <c r="I627" s="218"/>
      <c r="J627" s="219"/>
    </row>
    <row r="628">
      <c r="A628" s="223"/>
      <c r="G628" s="219"/>
      <c r="H628" s="218"/>
      <c r="I628" s="218"/>
      <c r="J628" s="219"/>
    </row>
    <row r="629">
      <c r="A629" s="223"/>
      <c r="G629" s="219"/>
      <c r="H629" s="218"/>
      <c r="I629" s="218"/>
      <c r="J629" s="219"/>
    </row>
    <row r="630">
      <c r="A630" s="223"/>
      <c r="G630" s="219"/>
      <c r="H630" s="218"/>
      <c r="I630" s="218"/>
      <c r="J630" s="219"/>
    </row>
    <row r="631">
      <c r="A631" s="223"/>
      <c r="G631" s="219"/>
      <c r="H631" s="218"/>
      <c r="I631" s="218"/>
      <c r="J631" s="219"/>
    </row>
    <row r="632">
      <c r="A632" s="223"/>
      <c r="G632" s="219"/>
      <c r="H632" s="218"/>
      <c r="I632" s="218"/>
      <c r="J632" s="219"/>
    </row>
    <row r="633">
      <c r="A633" s="223"/>
      <c r="G633" s="219"/>
      <c r="H633" s="218"/>
      <c r="I633" s="218"/>
      <c r="J633" s="219"/>
    </row>
    <row r="634">
      <c r="A634" s="223"/>
      <c r="G634" s="219"/>
      <c r="H634" s="218"/>
      <c r="I634" s="218"/>
      <c r="J634" s="219"/>
    </row>
    <row r="635">
      <c r="A635" s="223"/>
      <c r="G635" s="219"/>
      <c r="H635" s="218"/>
      <c r="I635" s="218"/>
      <c r="J635" s="219"/>
    </row>
    <row r="636">
      <c r="A636" s="223"/>
      <c r="G636" s="219"/>
      <c r="H636" s="218"/>
      <c r="I636" s="218"/>
      <c r="J636" s="219"/>
    </row>
    <row r="637">
      <c r="A637" s="223"/>
      <c r="G637" s="219"/>
      <c r="H637" s="218"/>
      <c r="I637" s="218"/>
      <c r="J637" s="219"/>
    </row>
    <row r="638">
      <c r="A638" s="223"/>
      <c r="G638" s="219"/>
      <c r="H638" s="218"/>
      <c r="I638" s="218"/>
      <c r="J638" s="219"/>
    </row>
    <row r="639">
      <c r="A639" s="223"/>
      <c r="G639" s="219"/>
      <c r="H639" s="218"/>
      <c r="I639" s="218"/>
      <c r="J639" s="219"/>
    </row>
    <row r="640">
      <c r="A640" s="223"/>
      <c r="G640" s="219"/>
      <c r="H640" s="218"/>
      <c r="I640" s="218"/>
      <c r="J640" s="219"/>
    </row>
    <row r="641">
      <c r="A641" s="223"/>
      <c r="G641" s="219"/>
      <c r="H641" s="218"/>
      <c r="I641" s="218"/>
      <c r="J641" s="219"/>
    </row>
    <row r="642">
      <c r="A642" s="223"/>
      <c r="G642" s="219"/>
      <c r="H642" s="218"/>
      <c r="I642" s="218"/>
      <c r="J642" s="219"/>
    </row>
    <row r="643">
      <c r="A643" s="223"/>
      <c r="G643" s="219"/>
      <c r="H643" s="218"/>
      <c r="I643" s="218"/>
      <c r="J643" s="219"/>
    </row>
    <row r="644">
      <c r="A644" s="223"/>
      <c r="G644" s="219"/>
      <c r="H644" s="218"/>
      <c r="I644" s="218"/>
      <c r="J644" s="219"/>
    </row>
    <row r="645">
      <c r="A645" s="223"/>
      <c r="G645" s="219"/>
      <c r="H645" s="218"/>
      <c r="I645" s="218"/>
      <c r="J645" s="219"/>
    </row>
    <row r="646">
      <c r="A646" s="223"/>
      <c r="G646" s="219"/>
      <c r="H646" s="218"/>
      <c r="I646" s="218"/>
      <c r="J646" s="219"/>
    </row>
    <row r="647">
      <c r="A647" s="223"/>
      <c r="G647" s="219"/>
      <c r="H647" s="218"/>
      <c r="I647" s="218"/>
      <c r="J647" s="219"/>
    </row>
    <row r="648">
      <c r="A648" s="223"/>
      <c r="G648" s="219"/>
      <c r="H648" s="218"/>
      <c r="I648" s="218"/>
      <c r="J648" s="219"/>
    </row>
    <row r="649">
      <c r="A649" s="223"/>
      <c r="G649" s="219"/>
      <c r="H649" s="218"/>
      <c r="I649" s="218"/>
      <c r="J649" s="219"/>
    </row>
    <row r="650">
      <c r="A650" s="223"/>
      <c r="G650" s="219"/>
      <c r="H650" s="218"/>
      <c r="I650" s="218"/>
      <c r="J650" s="219"/>
    </row>
    <row r="651">
      <c r="A651" s="223"/>
      <c r="G651" s="219"/>
      <c r="H651" s="218"/>
      <c r="I651" s="218"/>
      <c r="J651" s="219"/>
    </row>
    <row r="652">
      <c r="A652" s="223"/>
      <c r="G652" s="219"/>
      <c r="H652" s="218"/>
      <c r="I652" s="218"/>
      <c r="J652" s="219"/>
    </row>
    <row r="653">
      <c r="A653" s="223"/>
      <c r="G653" s="219"/>
      <c r="H653" s="218"/>
      <c r="I653" s="218"/>
      <c r="J653" s="219"/>
    </row>
    <row r="654">
      <c r="A654" s="223"/>
      <c r="G654" s="219"/>
      <c r="H654" s="218"/>
      <c r="I654" s="218"/>
      <c r="J654" s="219"/>
    </row>
    <row r="655">
      <c r="A655" s="223"/>
      <c r="G655" s="219"/>
      <c r="H655" s="218"/>
      <c r="I655" s="218"/>
      <c r="J655" s="219"/>
    </row>
    <row r="656">
      <c r="A656" s="223"/>
      <c r="G656" s="219"/>
      <c r="H656" s="218"/>
      <c r="I656" s="218"/>
      <c r="J656" s="219"/>
    </row>
    <row r="657">
      <c r="A657" s="223"/>
      <c r="G657" s="219"/>
      <c r="H657" s="218"/>
      <c r="I657" s="218"/>
      <c r="J657" s="219"/>
    </row>
    <row r="658">
      <c r="A658" s="223"/>
      <c r="G658" s="219"/>
      <c r="H658" s="218"/>
      <c r="I658" s="218"/>
      <c r="J658" s="219"/>
    </row>
    <row r="659">
      <c r="A659" s="223"/>
      <c r="G659" s="219"/>
      <c r="H659" s="218"/>
      <c r="I659" s="218"/>
      <c r="J659" s="219"/>
    </row>
    <row r="660">
      <c r="A660" s="223"/>
      <c r="G660" s="219"/>
      <c r="H660" s="218"/>
      <c r="I660" s="218"/>
      <c r="J660" s="219"/>
    </row>
    <row r="661">
      <c r="A661" s="223"/>
      <c r="G661" s="219"/>
      <c r="H661" s="218"/>
      <c r="I661" s="218"/>
      <c r="J661" s="219"/>
    </row>
    <row r="662">
      <c r="A662" s="223"/>
      <c r="G662" s="219"/>
      <c r="H662" s="218"/>
      <c r="I662" s="218"/>
      <c r="J662" s="219"/>
    </row>
    <row r="663">
      <c r="A663" s="223"/>
      <c r="G663" s="219"/>
      <c r="H663" s="218"/>
      <c r="I663" s="218"/>
      <c r="J663" s="219"/>
    </row>
    <row r="664">
      <c r="A664" s="223"/>
      <c r="G664" s="219"/>
      <c r="H664" s="218"/>
      <c r="I664" s="218"/>
      <c r="J664" s="219"/>
    </row>
    <row r="665">
      <c r="A665" s="223"/>
      <c r="G665" s="219"/>
      <c r="H665" s="218"/>
      <c r="I665" s="218"/>
      <c r="J665" s="219"/>
    </row>
    <row r="666">
      <c r="A666" s="223"/>
      <c r="G666" s="219"/>
      <c r="H666" s="218"/>
      <c r="I666" s="218"/>
      <c r="J666" s="219"/>
    </row>
    <row r="667">
      <c r="A667" s="223"/>
      <c r="G667" s="219"/>
      <c r="H667" s="218"/>
      <c r="I667" s="218"/>
      <c r="J667" s="219"/>
    </row>
    <row r="668">
      <c r="A668" s="223"/>
      <c r="G668" s="219"/>
      <c r="H668" s="218"/>
      <c r="I668" s="218"/>
      <c r="J668" s="219"/>
    </row>
    <row r="669">
      <c r="A669" s="223"/>
      <c r="G669" s="219"/>
      <c r="H669" s="218"/>
      <c r="I669" s="218"/>
      <c r="J669" s="219"/>
    </row>
    <row r="670">
      <c r="A670" s="223"/>
      <c r="G670" s="219"/>
      <c r="H670" s="218"/>
      <c r="I670" s="218"/>
      <c r="J670" s="219"/>
    </row>
    <row r="671">
      <c r="A671" s="223"/>
      <c r="G671" s="219"/>
      <c r="H671" s="218"/>
      <c r="I671" s="218"/>
      <c r="J671" s="219"/>
    </row>
    <row r="672">
      <c r="A672" s="223"/>
      <c r="G672" s="219"/>
      <c r="H672" s="218"/>
      <c r="I672" s="218"/>
      <c r="J672" s="219"/>
    </row>
    <row r="673">
      <c r="A673" s="223"/>
      <c r="G673" s="219"/>
      <c r="H673" s="218"/>
      <c r="I673" s="218"/>
      <c r="J673" s="219"/>
    </row>
    <row r="674">
      <c r="A674" s="223"/>
      <c r="G674" s="219"/>
      <c r="H674" s="218"/>
      <c r="I674" s="218"/>
      <c r="J674" s="219"/>
    </row>
    <row r="675">
      <c r="A675" s="223"/>
      <c r="G675" s="219"/>
      <c r="H675" s="218"/>
      <c r="I675" s="218"/>
      <c r="J675" s="219"/>
    </row>
    <row r="676">
      <c r="A676" s="223"/>
      <c r="G676" s="219"/>
      <c r="H676" s="218"/>
      <c r="I676" s="218"/>
      <c r="J676" s="219"/>
    </row>
    <row r="677">
      <c r="A677" s="223"/>
      <c r="G677" s="219"/>
      <c r="H677" s="218"/>
      <c r="I677" s="218"/>
      <c r="J677" s="219"/>
    </row>
    <row r="678">
      <c r="A678" s="223"/>
      <c r="G678" s="219"/>
      <c r="H678" s="218"/>
      <c r="I678" s="218"/>
      <c r="J678" s="219"/>
    </row>
    <row r="679">
      <c r="A679" s="223"/>
      <c r="G679" s="219"/>
      <c r="H679" s="218"/>
      <c r="I679" s="218"/>
      <c r="J679" s="219"/>
    </row>
    <row r="680">
      <c r="A680" s="223"/>
      <c r="G680" s="219"/>
      <c r="H680" s="218"/>
      <c r="I680" s="218"/>
      <c r="J680" s="219"/>
    </row>
    <row r="681">
      <c r="A681" s="223"/>
      <c r="G681" s="219"/>
      <c r="H681" s="218"/>
      <c r="I681" s="218"/>
      <c r="J681" s="219"/>
    </row>
    <row r="682">
      <c r="A682" s="223"/>
      <c r="G682" s="219"/>
      <c r="H682" s="218"/>
      <c r="I682" s="218"/>
      <c r="J682" s="219"/>
    </row>
    <row r="683">
      <c r="A683" s="223"/>
      <c r="G683" s="219"/>
      <c r="H683" s="218"/>
      <c r="I683" s="218"/>
      <c r="J683" s="219"/>
    </row>
    <row r="684">
      <c r="A684" s="223"/>
      <c r="G684" s="219"/>
      <c r="H684" s="218"/>
      <c r="I684" s="218"/>
      <c r="J684" s="219"/>
    </row>
    <row r="685">
      <c r="A685" s="223"/>
      <c r="G685" s="219"/>
      <c r="H685" s="218"/>
      <c r="I685" s="218"/>
      <c r="J685" s="219"/>
    </row>
    <row r="686">
      <c r="A686" s="223"/>
      <c r="G686" s="219"/>
      <c r="H686" s="218"/>
      <c r="I686" s="218"/>
      <c r="J686" s="219"/>
    </row>
    <row r="687">
      <c r="A687" s="223"/>
      <c r="G687" s="219"/>
      <c r="H687" s="218"/>
      <c r="I687" s="218"/>
      <c r="J687" s="219"/>
    </row>
    <row r="688">
      <c r="A688" s="223"/>
      <c r="G688" s="219"/>
      <c r="H688" s="218"/>
      <c r="I688" s="218"/>
      <c r="J688" s="219"/>
    </row>
    <row r="689">
      <c r="A689" s="223"/>
      <c r="G689" s="219"/>
      <c r="H689" s="218"/>
      <c r="I689" s="218"/>
      <c r="J689" s="219"/>
    </row>
    <row r="690">
      <c r="A690" s="223"/>
      <c r="G690" s="219"/>
      <c r="H690" s="218"/>
      <c r="I690" s="218"/>
      <c r="J690" s="219"/>
    </row>
    <row r="691">
      <c r="A691" s="223"/>
      <c r="G691" s="219"/>
      <c r="H691" s="218"/>
      <c r="I691" s="218"/>
      <c r="J691" s="219"/>
    </row>
    <row r="692">
      <c r="A692" s="223"/>
      <c r="G692" s="219"/>
      <c r="H692" s="218"/>
      <c r="I692" s="218"/>
      <c r="J692" s="219"/>
    </row>
    <row r="693">
      <c r="A693" s="223"/>
      <c r="G693" s="219"/>
      <c r="H693" s="218"/>
      <c r="I693" s="218"/>
      <c r="J693" s="219"/>
    </row>
    <row r="694">
      <c r="A694" s="223"/>
      <c r="G694" s="219"/>
      <c r="H694" s="218"/>
      <c r="I694" s="218"/>
      <c r="J694" s="219"/>
    </row>
    <row r="695">
      <c r="A695" s="223"/>
      <c r="G695" s="219"/>
      <c r="H695" s="218"/>
      <c r="I695" s="218"/>
      <c r="J695" s="219"/>
    </row>
    <row r="696">
      <c r="A696" s="223"/>
      <c r="G696" s="219"/>
      <c r="H696" s="218"/>
      <c r="I696" s="218"/>
      <c r="J696" s="219"/>
    </row>
    <row r="697">
      <c r="A697" s="223"/>
      <c r="G697" s="219"/>
      <c r="H697" s="218"/>
      <c r="I697" s="218"/>
      <c r="J697" s="219"/>
    </row>
    <row r="698">
      <c r="A698" s="223"/>
      <c r="G698" s="219"/>
      <c r="H698" s="218"/>
      <c r="I698" s="218"/>
      <c r="J698" s="219"/>
    </row>
    <row r="699">
      <c r="A699" s="223"/>
      <c r="G699" s="219"/>
      <c r="H699" s="218"/>
      <c r="I699" s="218"/>
      <c r="J699" s="219"/>
    </row>
    <row r="700">
      <c r="A700" s="223"/>
      <c r="G700" s="219"/>
      <c r="H700" s="218"/>
      <c r="I700" s="218"/>
      <c r="J700" s="219"/>
    </row>
    <row r="701">
      <c r="A701" s="223"/>
      <c r="G701" s="219"/>
      <c r="H701" s="218"/>
      <c r="I701" s="218"/>
      <c r="J701" s="219"/>
    </row>
    <row r="702">
      <c r="A702" s="223"/>
      <c r="G702" s="219"/>
      <c r="H702" s="218"/>
      <c r="I702" s="218"/>
      <c r="J702" s="219"/>
    </row>
    <row r="703">
      <c r="A703" s="223"/>
      <c r="G703" s="219"/>
      <c r="H703" s="218"/>
      <c r="I703" s="218"/>
      <c r="J703" s="219"/>
    </row>
    <row r="704">
      <c r="A704" s="223"/>
      <c r="G704" s="219"/>
      <c r="H704" s="218"/>
      <c r="I704" s="218"/>
      <c r="J704" s="219"/>
    </row>
    <row r="705">
      <c r="A705" s="223"/>
      <c r="G705" s="219"/>
      <c r="H705" s="218"/>
      <c r="I705" s="218"/>
      <c r="J705" s="219"/>
    </row>
    <row r="706">
      <c r="A706" s="223"/>
      <c r="G706" s="219"/>
      <c r="H706" s="218"/>
      <c r="I706" s="218"/>
      <c r="J706" s="219"/>
    </row>
    <row r="707">
      <c r="A707" s="223"/>
      <c r="G707" s="219"/>
      <c r="H707" s="218"/>
      <c r="I707" s="218"/>
      <c r="J707" s="219"/>
    </row>
    <row r="708">
      <c r="A708" s="223"/>
      <c r="G708" s="219"/>
      <c r="H708" s="218"/>
      <c r="I708" s="218"/>
      <c r="J708" s="219"/>
    </row>
    <row r="709">
      <c r="A709" s="223"/>
      <c r="G709" s="219"/>
      <c r="H709" s="218"/>
      <c r="I709" s="218"/>
      <c r="J709" s="219"/>
    </row>
    <row r="710">
      <c r="A710" s="223"/>
      <c r="G710" s="219"/>
      <c r="H710" s="218"/>
      <c r="I710" s="218"/>
      <c r="J710" s="219"/>
    </row>
    <row r="711">
      <c r="A711" s="223"/>
      <c r="G711" s="219"/>
      <c r="H711" s="218"/>
      <c r="I711" s="218"/>
      <c r="J711" s="219"/>
    </row>
    <row r="712">
      <c r="A712" s="223"/>
      <c r="G712" s="219"/>
      <c r="H712" s="218"/>
      <c r="I712" s="218"/>
      <c r="J712" s="219"/>
    </row>
    <row r="713">
      <c r="A713" s="223"/>
      <c r="G713" s="219"/>
      <c r="H713" s="218"/>
      <c r="I713" s="218"/>
      <c r="J713" s="219"/>
    </row>
    <row r="714">
      <c r="A714" s="223"/>
      <c r="G714" s="219"/>
      <c r="H714" s="218"/>
      <c r="I714" s="218"/>
      <c r="J714" s="219"/>
    </row>
    <row r="715">
      <c r="A715" s="223"/>
      <c r="G715" s="219"/>
      <c r="H715" s="218"/>
      <c r="I715" s="218"/>
      <c r="J715" s="219"/>
    </row>
    <row r="716">
      <c r="A716" s="223"/>
      <c r="G716" s="219"/>
      <c r="H716" s="218"/>
      <c r="I716" s="218"/>
      <c r="J716" s="219"/>
    </row>
    <row r="717">
      <c r="A717" s="223"/>
      <c r="G717" s="219"/>
      <c r="H717" s="218"/>
      <c r="I717" s="218"/>
      <c r="J717" s="219"/>
    </row>
    <row r="718">
      <c r="A718" s="223"/>
      <c r="G718" s="219"/>
      <c r="H718" s="218"/>
      <c r="I718" s="218"/>
      <c r="J718" s="219"/>
    </row>
    <row r="719">
      <c r="A719" s="223"/>
      <c r="G719" s="219"/>
      <c r="H719" s="218"/>
      <c r="I719" s="218"/>
      <c r="J719" s="219"/>
    </row>
    <row r="720">
      <c r="A720" s="223"/>
      <c r="G720" s="219"/>
      <c r="H720" s="218"/>
      <c r="I720" s="218"/>
      <c r="J720" s="219"/>
    </row>
    <row r="721">
      <c r="A721" s="223"/>
      <c r="G721" s="219"/>
      <c r="H721" s="218"/>
      <c r="I721" s="218"/>
      <c r="J721" s="219"/>
    </row>
    <row r="722">
      <c r="A722" s="223"/>
      <c r="G722" s="219"/>
      <c r="H722" s="218"/>
      <c r="I722" s="218"/>
      <c r="J722" s="219"/>
    </row>
    <row r="723">
      <c r="A723" s="223"/>
      <c r="G723" s="219"/>
      <c r="H723" s="218"/>
      <c r="I723" s="218"/>
      <c r="J723" s="219"/>
    </row>
    <row r="724">
      <c r="A724" s="223"/>
      <c r="G724" s="219"/>
      <c r="H724" s="218"/>
      <c r="I724" s="218"/>
      <c r="J724" s="219"/>
    </row>
    <row r="725">
      <c r="A725" s="223"/>
      <c r="G725" s="219"/>
      <c r="H725" s="218"/>
      <c r="I725" s="218"/>
      <c r="J725" s="219"/>
    </row>
    <row r="726">
      <c r="A726" s="223"/>
      <c r="G726" s="219"/>
      <c r="H726" s="218"/>
      <c r="I726" s="218"/>
      <c r="J726" s="219"/>
    </row>
    <row r="727">
      <c r="A727" s="223"/>
      <c r="G727" s="219"/>
      <c r="H727" s="218"/>
      <c r="I727" s="218"/>
      <c r="J727" s="219"/>
    </row>
    <row r="728">
      <c r="A728" s="223"/>
      <c r="G728" s="219"/>
      <c r="H728" s="218"/>
      <c r="I728" s="218"/>
      <c r="J728" s="219"/>
    </row>
    <row r="729">
      <c r="A729" s="223"/>
      <c r="G729" s="219"/>
      <c r="H729" s="218"/>
      <c r="I729" s="218"/>
      <c r="J729" s="219"/>
    </row>
    <row r="730">
      <c r="A730" s="223"/>
      <c r="G730" s="219"/>
      <c r="H730" s="218"/>
      <c r="I730" s="218"/>
      <c r="J730" s="219"/>
    </row>
    <row r="731">
      <c r="A731" s="223"/>
      <c r="G731" s="219"/>
      <c r="H731" s="218"/>
      <c r="I731" s="218"/>
      <c r="J731" s="219"/>
    </row>
    <row r="732">
      <c r="A732" s="223"/>
      <c r="G732" s="219"/>
      <c r="H732" s="218"/>
      <c r="I732" s="218"/>
      <c r="J732" s="219"/>
    </row>
    <row r="733">
      <c r="A733" s="223"/>
      <c r="G733" s="219"/>
      <c r="H733" s="218"/>
      <c r="I733" s="218"/>
      <c r="J733" s="219"/>
    </row>
    <row r="734">
      <c r="A734" s="223"/>
      <c r="G734" s="219"/>
      <c r="H734" s="218"/>
      <c r="I734" s="218"/>
      <c r="J734" s="219"/>
    </row>
    <row r="735">
      <c r="A735" s="223"/>
      <c r="G735" s="219"/>
      <c r="H735" s="218"/>
      <c r="I735" s="218"/>
      <c r="J735" s="219"/>
    </row>
    <row r="736">
      <c r="A736" s="223"/>
      <c r="G736" s="219"/>
      <c r="H736" s="218"/>
      <c r="I736" s="218"/>
      <c r="J736" s="219"/>
    </row>
    <row r="737">
      <c r="A737" s="223"/>
      <c r="G737" s="219"/>
      <c r="H737" s="218"/>
      <c r="I737" s="218"/>
      <c r="J737" s="219"/>
    </row>
    <row r="738">
      <c r="A738" s="223"/>
      <c r="G738" s="219"/>
      <c r="H738" s="218"/>
      <c r="I738" s="218"/>
      <c r="J738" s="219"/>
    </row>
    <row r="739">
      <c r="A739" s="223"/>
      <c r="G739" s="219"/>
      <c r="H739" s="218"/>
      <c r="I739" s="218"/>
      <c r="J739" s="219"/>
    </row>
    <row r="740">
      <c r="A740" s="223"/>
      <c r="G740" s="219"/>
      <c r="H740" s="218"/>
      <c r="I740" s="218"/>
      <c r="J740" s="219"/>
    </row>
    <row r="741">
      <c r="A741" s="223"/>
      <c r="G741" s="219"/>
      <c r="H741" s="218"/>
      <c r="I741" s="218"/>
      <c r="J741" s="219"/>
    </row>
    <row r="742">
      <c r="A742" s="223"/>
      <c r="G742" s="219"/>
      <c r="H742" s="218"/>
      <c r="I742" s="218"/>
      <c r="J742" s="219"/>
    </row>
    <row r="743">
      <c r="A743" s="223"/>
      <c r="G743" s="219"/>
      <c r="H743" s="218"/>
      <c r="I743" s="218"/>
      <c r="J743" s="219"/>
    </row>
    <row r="744">
      <c r="A744" s="223"/>
      <c r="G744" s="219"/>
      <c r="H744" s="218"/>
      <c r="I744" s="218"/>
      <c r="J744" s="219"/>
    </row>
    <row r="745">
      <c r="A745" s="223"/>
      <c r="G745" s="219"/>
      <c r="H745" s="218"/>
      <c r="I745" s="218"/>
      <c r="J745" s="219"/>
    </row>
    <row r="746">
      <c r="A746" s="223"/>
      <c r="G746" s="219"/>
      <c r="H746" s="218"/>
      <c r="I746" s="218"/>
      <c r="J746" s="219"/>
    </row>
    <row r="747">
      <c r="A747" s="223"/>
      <c r="G747" s="219"/>
      <c r="H747" s="218"/>
      <c r="I747" s="218"/>
      <c r="J747" s="219"/>
    </row>
    <row r="748">
      <c r="A748" s="223"/>
      <c r="G748" s="219"/>
      <c r="H748" s="218"/>
      <c r="I748" s="218"/>
      <c r="J748" s="219"/>
    </row>
    <row r="749">
      <c r="A749" s="223"/>
      <c r="G749" s="219"/>
      <c r="H749" s="218"/>
      <c r="I749" s="218"/>
      <c r="J749" s="219"/>
    </row>
    <row r="750">
      <c r="A750" s="223"/>
      <c r="G750" s="219"/>
      <c r="H750" s="218"/>
      <c r="I750" s="218"/>
      <c r="J750" s="219"/>
    </row>
    <row r="751">
      <c r="A751" s="223"/>
      <c r="G751" s="219"/>
      <c r="H751" s="218"/>
      <c r="I751" s="218"/>
      <c r="J751" s="219"/>
    </row>
    <row r="752">
      <c r="A752" s="223"/>
      <c r="G752" s="219"/>
      <c r="H752" s="218"/>
      <c r="I752" s="218"/>
      <c r="J752" s="219"/>
    </row>
    <row r="753">
      <c r="A753" s="223"/>
      <c r="G753" s="219"/>
      <c r="H753" s="218"/>
      <c r="I753" s="218"/>
      <c r="J753" s="219"/>
    </row>
    <row r="754">
      <c r="A754" s="223"/>
      <c r="G754" s="219"/>
      <c r="H754" s="218"/>
      <c r="I754" s="218"/>
      <c r="J754" s="219"/>
    </row>
    <row r="755">
      <c r="A755" s="223"/>
      <c r="G755" s="219"/>
      <c r="H755" s="218"/>
      <c r="I755" s="218"/>
      <c r="J755" s="219"/>
    </row>
    <row r="756">
      <c r="A756" s="223"/>
      <c r="G756" s="219"/>
      <c r="H756" s="218"/>
      <c r="I756" s="218"/>
      <c r="J756" s="219"/>
    </row>
    <row r="757">
      <c r="A757" s="223"/>
      <c r="G757" s="219"/>
      <c r="H757" s="218"/>
      <c r="I757" s="218"/>
      <c r="J757" s="219"/>
    </row>
    <row r="758">
      <c r="A758" s="223"/>
      <c r="G758" s="219"/>
      <c r="H758" s="218"/>
      <c r="I758" s="218"/>
      <c r="J758" s="219"/>
    </row>
    <row r="759">
      <c r="A759" s="223"/>
      <c r="G759" s="219"/>
      <c r="H759" s="218"/>
      <c r="I759" s="218"/>
      <c r="J759" s="219"/>
    </row>
    <row r="760">
      <c r="A760" s="223"/>
      <c r="G760" s="219"/>
      <c r="H760" s="218"/>
      <c r="I760" s="218"/>
      <c r="J760" s="219"/>
    </row>
    <row r="761">
      <c r="A761" s="223"/>
      <c r="G761" s="219"/>
      <c r="H761" s="218"/>
      <c r="I761" s="218"/>
      <c r="J761" s="219"/>
    </row>
    <row r="762">
      <c r="A762" s="223"/>
      <c r="G762" s="219"/>
      <c r="H762" s="218"/>
      <c r="I762" s="218"/>
      <c r="J762" s="219"/>
    </row>
    <row r="763">
      <c r="A763" s="223"/>
      <c r="G763" s="219"/>
      <c r="H763" s="218"/>
      <c r="I763" s="218"/>
      <c r="J763" s="219"/>
    </row>
    <row r="764">
      <c r="A764" s="223"/>
      <c r="G764" s="219"/>
      <c r="H764" s="218"/>
      <c r="I764" s="218"/>
      <c r="J764" s="219"/>
    </row>
    <row r="765">
      <c r="A765" s="223"/>
      <c r="G765" s="219"/>
      <c r="H765" s="218"/>
      <c r="I765" s="218"/>
      <c r="J765" s="219"/>
    </row>
    <row r="766">
      <c r="A766" s="223"/>
      <c r="G766" s="219"/>
      <c r="H766" s="218"/>
      <c r="I766" s="218"/>
      <c r="J766" s="219"/>
    </row>
    <row r="767">
      <c r="A767" s="223"/>
      <c r="G767" s="219"/>
      <c r="H767" s="218"/>
      <c r="I767" s="218"/>
      <c r="J767" s="219"/>
    </row>
    <row r="768">
      <c r="A768" s="223"/>
      <c r="G768" s="219"/>
      <c r="H768" s="218"/>
      <c r="I768" s="218"/>
      <c r="J768" s="219"/>
    </row>
    <row r="769">
      <c r="A769" s="223"/>
      <c r="G769" s="219"/>
      <c r="H769" s="218"/>
      <c r="I769" s="218"/>
      <c r="J769" s="219"/>
    </row>
    <row r="770">
      <c r="A770" s="223"/>
      <c r="G770" s="219"/>
      <c r="H770" s="218"/>
      <c r="I770" s="218"/>
      <c r="J770" s="219"/>
    </row>
    <row r="771">
      <c r="A771" s="223"/>
      <c r="G771" s="219"/>
      <c r="H771" s="218"/>
      <c r="I771" s="218"/>
      <c r="J771" s="219"/>
    </row>
    <row r="772">
      <c r="A772" s="223"/>
      <c r="G772" s="219"/>
      <c r="H772" s="218"/>
      <c r="I772" s="218"/>
      <c r="J772" s="219"/>
    </row>
    <row r="773">
      <c r="A773" s="223"/>
      <c r="G773" s="219"/>
      <c r="H773" s="218"/>
      <c r="I773" s="218"/>
      <c r="J773" s="219"/>
    </row>
    <row r="774">
      <c r="A774" s="223"/>
      <c r="G774" s="219"/>
      <c r="H774" s="218"/>
      <c r="I774" s="218"/>
      <c r="J774" s="219"/>
    </row>
    <row r="775">
      <c r="A775" s="223"/>
      <c r="G775" s="219"/>
      <c r="H775" s="218"/>
      <c r="I775" s="218"/>
      <c r="J775" s="219"/>
    </row>
    <row r="776">
      <c r="A776" s="223"/>
      <c r="G776" s="219"/>
      <c r="H776" s="218"/>
      <c r="I776" s="218"/>
      <c r="J776" s="219"/>
    </row>
    <row r="777">
      <c r="A777" s="223"/>
      <c r="G777" s="219"/>
      <c r="H777" s="218"/>
      <c r="I777" s="218"/>
      <c r="J777" s="219"/>
    </row>
    <row r="778">
      <c r="A778" s="223"/>
      <c r="G778" s="219"/>
      <c r="H778" s="218"/>
      <c r="I778" s="218"/>
      <c r="J778" s="219"/>
    </row>
    <row r="779">
      <c r="A779" s="223"/>
      <c r="G779" s="219"/>
      <c r="H779" s="218"/>
      <c r="I779" s="218"/>
      <c r="J779" s="219"/>
    </row>
    <row r="780">
      <c r="A780" s="223"/>
      <c r="G780" s="219"/>
      <c r="H780" s="218"/>
      <c r="I780" s="218"/>
      <c r="J780" s="219"/>
    </row>
    <row r="781">
      <c r="A781" s="223"/>
      <c r="G781" s="219"/>
      <c r="H781" s="218"/>
      <c r="I781" s="218"/>
      <c r="J781" s="219"/>
    </row>
    <row r="782">
      <c r="A782" s="223"/>
      <c r="G782" s="219"/>
      <c r="H782" s="218"/>
      <c r="I782" s="218"/>
      <c r="J782" s="219"/>
    </row>
    <row r="783">
      <c r="A783" s="223"/>
      <c r="G783" s="219"/>
      <c r="H783" s="218"/>
      <c r="I783" s="218"/>
      <c r="J783" s="219"/>
    </row>
    <row r="784">
      <c r="A784" s="223"/>
      <c r="G784" s="219"/>
      <c r="H784" s="218"/>
      <c r="I784" s="218"/>
      <c r="J784" s="219"/>
    </row>
    <row r="785">
      <c r="A785" s="223"/>
      <c r="G785" s="219"/>
      <c r="H785" s="218"/>
      <c r="I785" s="218"/>
      <c r="J785" s="219"/>
    </row>
    <row r="786">
      <c r="A786" s="223"/>
      <c r="G786" s="219"/>
      <c r="H786" s="218"/>
      <c r="I786" s="218"/>
      <c r="J786" s="219"/>
    </row>
    <row r="787">
      <c r="A787" s="223"/>
      <c r="G787" s="219"/>
      <c r="H787" s="218"/>
      <c r="I787" s="218"/>
      <c r="J787" s="219"/>
    </row>
    <row r="788">
      <c r="A788" s="223"/>
      <c r="G788" s="219"/>
      <c r="H788" s="218"/>
      <c r="I788" s="218"/>
      <c r="J788" s="219"/>
    </row>
    <row r="789">
      <c r="A789" s="223"/>
      <c r="G789" s="219"/>
      <c r="H789" s="218"/>
      <c r="I789" s="218"/>
      <c r="J789" s="219"/>
    </row>
    <row r="790">
      <c r="A790" s="223"/>
      <c r="G790" s="219"/>
      <c r="H790" s="218"/>
      <c r="I790" s="218"/>
      <c r="J790" s="219"/>
    </row>
    <row r="791">
      <c r="A791" s="223"/>
      <c r="G791" s="219"/>
      <c r="H791" s="218"/>
      <c r="I791" s="218"/>
      <c r="J791" s="219"/>
    </row>
    <row r="792">
      <c r="A792" s="223"/>
      <c r="G792" s="219"/>
      <c r="H792" s="218"/>
      <c r="I792" s="218"/>
      <c r="J792" s="219"/>
    </row>
    <row r="793">
      <c r="A793" s="223"/>
      <c r="G793" s="219"/>
      <c r="H793" s="218"/>
      <c r="I793" s="218"/>
      <c r="J793" s="219"/>
    </row>
    <row r="794">
      <c r="A794" s="223"/>
      <c r="G794" s="219"/>
      <c r="H794" s="218"/>
      <c r="I794" s="218"/>
      <c r="J794" s="219"/>
    </row>
    <row r="795">
      <c r="A795" s="223"/>
      <c r="G795" s="219"/>
      <c r="H795" s="218"/>
      <c r="I795" s="218"/>
      <c r="J795" s="219"/>
    </row>
    <row r="796">
      <c r="A796" s="223"/>
      <c r="G796" s="219"/>
      <c r="H796" s="218"/>
      <c r="I796" s="218"/>
      <c r="J796" s="219"/>
    </row>
    <row r="797">
      <c r="A797" s="223"/>
      <c r="G797" s="219"/>
      <c r="H797" s="218"/>
      <c r="I797" s="218"/>
      <c r="J797" s="219"/>
    </row>
    <row r="798">
      <c r="A798" s="223"/>
      <c r="G798" s="219"/>
      <c r="H798" s="218"/>
      <c r="I798" s="218"/>
      <c r="J798" s="219"/>
    </row>
    <row r="799">
      <c r="A799" s="223"/>
      <c r="G799" s="219"/>
      <c r="H799" s="218"/>
      <c r="I799" s="218"/>
      <c r="J799" s="219"/>
    </row>
    <row r="800">
      <c r="A800" s="223"/>
      <c r="G800" s="219"/>
      <c r="H800" s="218"/>
      <c r="I800" s="218"/>
      <c r="J800" s="219"/>
    </row>
    <row r="801">
      <c r="A801" s="223"/>
      <c r="G801" s="219"/>
      <c r="H801" s="218"/>
      <c r="I801" s="218"/>
      <c r="J801" s="219"/>
    </row>
    <row r="802">
      <c r="A802" s="223"/>
      <c r="G802" s="219"/>
      <c r="H802" s="218"/>
      <c r="I802" s="218"/>
      <c r="J802" s="219"/>
    </row>
    <row r="803">
      <c r="A803" s="223"/>
      <c r="G803" s="219"/>
      <c r="H803" s="218"/>
      <c r="I803" s="218"/>
      <c r="J803" s="219"/>
    </row>
    <row r="804">
      <c r="A804" s="223"/>
      <c r="G804" s="219"/>
      <c r="H804" s="218"/>
      <c r="I804" s="218"/>
      <c r="J804" s="219"/>
    </row>
    <row r="805">
      <c r="A805" s="223"/>
      <c r="G805" s="219"/>
      <c r="H805" s="218"/>
      <c r="I805" s="218"/>
      <c r="J805" s="219"/>
    </row>
    <row r="806">
      <c r="A806" s="223"/>
      <c r="G806" s="219"/>
      <c r="H806" s="218"/>
      <c r="I806" s="218"/>
      <c r="J806" s="219"/>
    </row>
    <row r="807">
      <c r="A807" s="223"/>
      <c r="G807" s="219"/>
      <c r="H807" s="218"/>
      <c r="I807" s="218"/>
      <c r="J807" s="219"/>
    </row>
    <row r="808">
      <c r="A808" s="223"/>
      <c r="G808" s="219"/>
      <c r="H808" s="218"/>
      <c r="I808" s="218"/>
      <c r="J808" s="219"/>
    </row>
    <row r="809">
      <c r="A809" s="223"/>
      <c r="G809" s="219"/>
      <c r="H809" s="218"/>
      <c r="I809" s="218"/>
      <c r="J809" s="219"/>
    </row>
    <row r="810">
      <c r="A810" s="223"/>
      <c r="G810" s="219"/>
      <c r="H810" s="218"/>
      <c r="I810" s="218"/>
      <c r="J810" s="219"/>
    </row>
    <row r="811">
      <c r="A811" s="223"/>
      <c r="G811" s="219"/>
      <c r="H811" s="218"/>
      <c r="I811" s="218"/>
      <c r="J811" s="219"/>
    </row>
    <row r="812">
      <c r="A812" s="223"/>
      <c r="G812" s="219"/>
      <c r="H812" s="218"/>
      <c r="I812" s="218"/>
      <c r="J812" s="219"/>
    </row>
    <row r="813">
      <c r="A813" s="223"/>
      <c r="G813" s="219"/>
      <c r="H813" s="218"/>
      <c r="I813" s="218"/>
      <c r="J813" s="219"/>
    </row>
    <row r="814">
      <c r="A814" s="223"/>
      <c r="G814" s="219"/>
      <c r="H814" s="218"/>
      <c r="I814" s="218"/>
      <c r="J814" s="219"/>
    </row>
    <row r="815">
      <c r="A815" s="223"/>
      <c r="G815" s="219"/>
      <c r="H815" s="218"/>
      <c r="I815" s="218"/>
      <c r="J815" s="219"/>
    </row>
    <row r="816">
      <c r="A816" s="223"/>
      <c r="G816" s="219"/>
      <c r="H816" s="218"/>
      <c r="I816" s="218"/>
      <c r="J816" s="219"/>
    </row>
    <row r="817">
      <c r="A817" s="223"/>
      <c r="G817" s="219"/>
      <c r="H817" s="218"/>
      <c r="I817" s="218"/>
      <c r="J817" s="219"/>
    </row>
    <row r="818">
      <c r="A818" s="223"/>
      <c r="G818" s="219"/>
      <c r="H818" s="218"/>
      <c r="I818" s="218"/>
      <c r="J818" s="219"/>
    </row>
    <row r="819">
      <c r="A819" s="223"/>
      <c r="G819" s="219"/>
      <c r="H819" s="218"/>
      <c r="I819" s="218"/>
      <c r="J819" s="219"/>
    </row>
    <row r="820">
      <c r="A820" s="223"/>
      <c r="G820" s="219"/>
      <c r="H820" s="218"/>
      <c r="I820" s="218"/>
      <c r="J820" s="219"/>
    </row>
    <row r="821">
      <c r="A821" s="223"/>
      <c r="G821" s="219"/>
      <c r="H821" s="218"/>
      <c r="I821" s="218"/>
      <c r="J821" s="219"/>
    </row>
    <row r="822">
      <c r="A822" s="223"/>
      <c r="G822" s="219"/>
      <c r="H822" s="218"/>
      <c r="I822" s="218"/>
      <c r="J822" s="219"/>
    </row>
    <row r="823">
      <c r="A823" s="223"/>
      <c r="G823" s="219"/>
      <c r="H823" s="218"/>
      <c r="I823" s="218"/>
      <c r="J823" s="219"/>
    </row>
    <row r="824">
      <c r="A824" s="223"/>
      <c r="G824" s="219"/>
      <c r="H824" s="218"/>
      <c r="I824" s="218"/>
      <c r="J824" s="219"/>
    </row>
    <row r="825">
      <c r="A825" s="223"/>
      <c r="G825" s="219"/>
      <c r="H825" s="218"/>
      <c r="I825" s="218"/>
      <c r="J825" s="219"/>
    </row>
    <row r="826">
      <c r="A826" s="223"/>
      <c r="G826" s="219"/>
      <c r="H826" s="218"/>
      <c r="I826" s="218"/>
      <c r="J826" s="219"/>
    </row>
    <row r="827">
      <c r="A827" s="223"/>
      <c r="G827" s="219"/>
      <c r="H827" s="218"/>
      <c r="I827" s="218"/>
      <c r="J827" s="219"/>
    </row>
    <row r="828">
      <c r="A828" s="223"/>
      <c r="G828" s="219"/>
      <c r="H828" s="218"/>
      <c r="I828" s="218"/>
      <c r="J828" s="219"/>
    </row>
    <row r="829">
      <c r="A829" s="223"/>
      <c r="G829" s="219"/>
      <c r="H829" s="218"/>
      <c r="I829" s="218"/>
      <c r="J829" s="219"/>
    </row>
    <row r="830">
      <c r="A830" s="223"/>
      <c r="G830" s="219"/>
      <c r="H830" s="218"/>
      <c r="I830" s="218"/>
      <c r="J830" s="219"/>
    </row>
    <row r="831">
      <c r="A831" s="223"/>
      <c r="G831" s="219"/>
      <c r="H831" s="218"/>
      <c r="I831" s="218"/>
      <c r="J831" s="219"/>
    </row>
    <row r="832">
      <c r="A832" s="223"/>
      <c r="G832" s="219"/>
      <c r="H832" s="218"/>
      <c r="I832" s="218"/>
      <c r="J832" s="219"/>
    </row>
    <row r="833">
      <c r="A833" s="223"/>
      <c r="G833" s="219"/>
      <c r="H833" s="218"/>
      <c r="I833" s="218"/>
      <c r="J833" s="219"/>
    </row>
    <row r="834">
      <c r="A834" s="223"/>
      <c r="G834" s="219"/>
      <c r="H834" s="218"/>
      <c r="I834" s="218"/>
      <c r="J834" s="219"/>
    </row>
    <row r="835">
      <c r="A835" s="223"/>
      <c r="G835" s="219"/>
      <c r="H835" s="218"/>
      <c r="I835" s="218"/>
      <c r="J835" s="219"/>
    </row>
    <row r="836">
      <c r="A836" s="223"/>
      <c r="G836" s="219"/>
      <c r="H836" s="218"/>
      <c r="I836" s="218"/>
      <c r="J836" s="219"/>
    </row>
    <row r="837">
      <c r="A837" s="223"/>
      <c r="G837" s="219"/>
      <c r="H837" s="218"/>
      <c r="I837" s="218"/>
      <c r="J837" s="219"/>
    </row>
    <row r="838">
      <c r="A838" s="223"/>
      <c r="G838" s="219"/>
      <c r="H838" s="218"/>
      <c r="I838" s="218"/>
      <c r="J838" s="219"/>
    </row>
    <row r="839">
      <c r="A839" s="223"/>
      <c r="G839" s="219"/>
      <c r="H839" s="218"/>
      <c r="I839" s="218"/>
      <c r="J839" s="219"/>
    </row>
    <row r="840">
      <c r="A840" s="223"/>
      <c r="G840" s="219"/>
      <c r="H840" s="218"/>
      <c r="I840" s="218"/>
      <c r="J840" s="219"/>
    </row>
    <row r="841">
      <c r="A841" s="223"/>
      <c r="G841" s="219"/>
      <c r="H841" s="218"/>
      <c r="I841" s="218"/>
      <c r="J841" s="219"/>
    </row>
    <row r="842">
      <c r="A842" s="223"/>
      <c r="G842" s="219"/>
      <c r="H842" s="218"/>
      <c r="I842" s="218"/>
      <c r="J842" s="219"/>
    </row>
    <row r="843">
      <c r="A843" s="223"/>
      <c r="G843" s="219"/>
      <c r="H843" s="218"/>
      <c r="I843" s="218"/>
      <c r="J843" s="219"/>
    </row>
    <row r="844">
      <c r="A844" s="223"/>
      <c r="G844" s="219"/>
      <c r="H844" s="218"/>
      <c r="I844" s="218"/>
      <c r="J844" s="219"/>
    </row>
    <row r="845">
      <c r="A845" s="223"/>
      <c r="G845" s="219"/>
      <c r="H845" s="218"/>
      <c r="I845" s="218"/>
      <c r="J845" s="219"/>
    </row>
    <row r="846">
      <c r="A846" s="223"/>
      <c r="G846" s="219"/>
      <c r="H846" s="218"/>
      <c r="I846" s="218"/>
      <c r="J846" s="219"/>
    </row>
    <row r="847">
      <c r="A847" s="223"/>
      <c r="G847" s="219"/>
      <c r="H847" s="218"/>
      <c r="I847" s="218"/>
      <c r="J847" s="219"/>
    </row>
    <row r="848">
      <c r="A848" s="223"/>
      <c r="G848" s="219"/>
      <c r="H848" s="218"/>
      <c r="I848" s="218"/>
      <c r="J848" s="219"/>
    </row>
    <row r="849">
      <c r="A849" s="223"/>
      <c r="G849" s="219"/>
      <c r="H849" s="218"/>
      <c r="I849" s="218"/>
      <c r="J849" s="219"/>
    </row>
    <row r="850">
      <c r="A850" s="223"/>
      <c r="G850" s="219"/>
      <c r="H850" s="218"/>
      <c r="I850" s="218"/>
      <c r="J850" s="219"/>
    </row>
    <row r="851">
      <c r="A851" s="223"/>
      <c r="G851" s="219"/>
      <c r="H851" s="218"/>
      <c r="I851" s="218"/>
      <c r="J851" s="219"/>
    </row>
    <row r="852">
      <c r="A852" s="223"/>
      <c r="G852" s="219"/>
      <c r="H852" s="218"/>
      <c r="I852" s="218"/>
      <c r="J852" s="219"/>
    </row>
    <row r="853">
      <c r="A853" s="223"/>
      <c r="G853" s="219"/>
      <c r="H853" s="218"/>
      <c r="I853" s="218"/>
      <c r="J853" s="219"/>
    </row>
    <row r="854">
      <c r="A854" s="223"/>
      <c r="G854" s="219"/>
      <c r="H854" s="218"/>
      <c r="I854" s="218"/>
      <c r="J854" s="219"/>
    </row>
    <row r="855">
      <c r="A855" s="223"/>
      <c r="G855" s="219"/>
      <c r="H855" s="218"/>
      <c r="I855" s="218"/>
      <c r="J855" s="219"/>
    </row>
    <row r="856">
      <c r="A856" s="223"/>
      <c r="G856" s="219"/>
      <c r="H856" s="218"/>
      <c r="I856" s="218"/>
      <c r="J856" s="219"/>
    </row>
    <row r="857">
      <c r="A857" s="223"/>
      <c r="G857" s="219"/>
      <c r="H857" s="218"/>
      <c r="I857" s="218"/>
      <c r="J857" s="219"/>
    </row>
    <row r="858">
      <c r="A858" s="223"/>
      <c r="G858" s="219"/>
      <c r="H858" s="218"/>
      <c r="I858" s="218"/>
      <c r="J858" s="219"/>
    </row>
    <row r="859">
      <c r="A859" s="223"/>
      <c r="G859" s="219"/>
      <c r="H859" s="218"/>
      <c r="I859" s="218"/>
      <c r="J859" s="219"/>
    </row>
    <row r="860">
      <c r="A860" s="223"/>
      <c r="G860" s="219"/>
      <c r="H860" s="218"/>
      <c r="I860" s="218"/>
      <c r="J860" s="219"/>
    </row>
    <row r="861">
      <c r="A861" s="223"/>
      <c r="G861" s="219"/>
      <c r="H861" s="218"/>
      <c r="I861" s="218"/>
      <c r="J861" s="219"/>
    </row>
    <row r="862">
      <c r="A862" s="223"/>
      <c r="G862" s="219"/>
      <c r="H862" s="218"/>
      <c r="I862" s="218"/>
      <c r="J862" s="219"/>
    </row>
    <row r="863">
      <c r="A863" s="223"/>
      <c r="G863" s="219"/>
      <c r="H863" s="218"/>
      <c r="I863" s="218"/>
      <c r="J863" s="219"/>
    </row>
    <row r="864">
      <c r="A864" s="223"/>
      <c r="G864" s="219"/>
      <c r="H864" s="218"/>
      <c r="I864" s="218"/>
      <c r="J864" s="219"/>
    </row>
    <row r="865">
      <c r="A865" s="223"/>
      <c r="G865" s="219"/>
      <c r="H865" s="218"/>
      <c r="I865" s="218"/>
      <c r="J865" s="219"/>
    </row>
    <row r="866">
      <c r="A866" s="223"/>
      <c r="G866" s="219"/>
      <c r="H866" s="218"/>
      <c r="I866" s="218"/>
      <c r="J866" s="219"/>
    </row>
    <row r="867">
      <c r="A867" s="223"/>
      <c r="G867" s="219"/>
      <c r="H867" s="218"/>
      <c r="I867" s="218"/>
      <c r="J867" s="219"/>
    </row>
    <row r="868">
      <c r="A868" s="223"/>
      <c r="G868" s="219"/>
      <c r="H868" s="218"/>
      <c r="I868" s="218"/>
      <c r="J868" s="219"/>
    </row>
    <row r="869">
      <c r="A869" s="223"/>
      <c r="G869" s="219"/>
      <c r="H869" s="218"/>
      <c r="I869" s="218"/>
      <c r="J869" s="219"/>
    </row>
    <row r="870">
      <c r="A870" s="223"/>
      <c r="G870" s="219"/>
      <c r="H870" s="218"/>
      <c r="I870" s="218"/>
      <c r="J870" s="219"/>
    </row>
    <row r="871">
      <c r="A871" s="223"/>
      <c r="G871" s="219"/>
      <c r="H871" s="218"/>
      <c r="I871" s="218"/>
      <c r="J871" s="219"/>
    </row>
    <row r="872">
      <c r="A872" s="223"/>
      <c r="G872" s="219"/>
      <c r="H872" s="218"/>
      <c r="I872" s="218"/>
      <c r="J872" s="219"/>
    </row>
    <row r="873">
      <c r="A873" s="223"/>
      <c r="G873" s="219"/>
      <c r="H873" s="218"/>
      <c r="I873" s="218"/>
      <c r="J873" s="219"/>
    </row>
    <row r="874">
      <c r="A874" s="223"/>
      <c r="G874" s="219"/>
      <c r="H874" s="218"/>
      <c r="I874" s="218"/>
      <c r="J874" s="219"/>
    </row>
    <row r="875">
      <c r="A875" s="223"/>
      <c r="G875" s="219"/>
      <c r="H875" s="218"/>
      <c r="I875" s="218"/>
      <c r="J875" s="219"/>
    </row>
    <row r="876">
      <c r="A876" s="223"/>
      <c r="G876" s="219"/>
      <c r="H876" s="218"/>
      <c r="I876" s="218"/>
      <c r="J876" s="219"/>
    </row>
    <row r="877">
      <c r="A877" s="223"/>
      <c r="G877" s="219"/>
      <c r="H877" s="218"/>
      <c r="I877" s="218"/>
      <c r="J877" s="219"/>
    </row>
    <row r="878">
      <c r="A878" s="223"/>
      <c r="G878" s="219"/>
      <c r="H878" s="218"/>
      <c r="I878" s="218"/>
      <c r="J878" s="219"/>
    </row>
    <row r="879">
      <c r="A879" s="223"/>
      <c r="G879" s="219"/>
      <c r="H879" s="218"/>
      <c r="I879" s="218"/>
      <c r="J879" s="219"/>
    </row>
    <row r="880">
      <c r="A880" s="223"/>
      <c r="G880" s="219"/>
      <c r="H880" s="218"/>
      <c r="I880" s="218"/>
      <c r="J880" s="219"/>
    </row>
    <row r="881">
      <c r="A881" s="223"/>
      <c r="G881" s="219"/>
      <c r="H881" s="218"/>
      <c r="I881" s="218"/>
      <c r="J881" s="219"/>
    </row>
    <row r="882">
      <c r="A882" s="223"/>
      <c r="G882" s="219"/>
      <c r="H882" s="218"/>
      <c r="I882" s="218"/>
      <c r="J882" s="219"/>
    </row>
    <row r="883">
      <c r="A883" s="223"/>
      <c r="G883" s="219"/>
      <c r="H883" s="218"/>
      <c r="I883" s="218"/>
      <c r="J883" s="219"/>
    </row>
    <row r="884">
      <c r="A884" s="223"/>
      <c r="G884" s="219"/>
      <c r="H884" s="218"/>
      <c r="I884" s="218"/>
      <c r="J884" s="219"/>
    </row>
    <row r="885">
      <c r="A885" s="223"/>
      <c r="G885" s="219"/>
      <c r="H885" s="218"/>
      <c r="I885" s="218"/>
      <c r="J885" s="219"/>
    </row>
    <row r="886">
      <c r="A886" s="223"/>
      <c r="G886" s="219"/>
      <c r="H886" s="218"/>
      <c r="I886" s="218"/>
      <c r="J886" s="219"/>
    </row>
    <row r="887">
      <c r="A887" s="223"/>
      <c r="G887" s="219"/>
      <c r="H887" s="218"/>
      <c r="I887" s="218"/>
      <c r="J887" s="219"/>
    </row>
    <row r="888">
      <c r="A888" s="223"/>
      <c r="G888" s="219"/>
      <c r="H888" s="218"/>
      <c r="I888" s="218"/>
      <c r="J888" s="219"/>
    </row>
    <row r="889">
      <c r="A889" s="223"/>
      <c r="G889" s="219"/>
      <c r="H889" s="218"/>
      <c r="I889" s="218"/>
      <c r="J889" s="219"/>
    </row>
    <row r="890">
      <c r="A890" s="223"/>
      <c r="G890" s="219"/>
      <c r="H890" s="218"/>
      <c r="I890" s="218"/>
      <c r="J890" s="219"/>
    </row>
    <row r="891">
      <c r="A891" s="223"/>
      <c r="G891" s="219"/>
      <c r="H891" s="218"/>
      <c r="I891" s="218"/>
      <c r="J891" s="219"/>
    </row>
    <row r="892">
      <c r="A892" s="223"/>
      <c r="G892" s="219"/>
      <c r="H892" s="218"/>
      <c r="I892" s="218"/>
      <c r="J892" s="219"/>
    </row>
    <row r="893">
      <c r="A893" s="223"/>
      <c r="G893" s="219"/>
      <c r="H893" s="218"/>
      <c r="I893" s="218"/>
      <c r="J893" s="219"/>
    </row>
    <row r="894">
      <c r="A894" s="223"/>
      <c r="G894" s="219"/>
      <c r="H894" s="218"/>
      <c r="I894" s="218"/>
      <c r="J894" s="219"/>
    </row>
    <row r="895">
      <c r="A895" s="223"/>
      <c r="G895" s="219"/>
      <c r="H895" s="218"/>
      <c r="I895" s="218"/>
      <c r="J895" s="219"/>
    </row>
    <row r="896">
      <c r="A896" s="223"/>
      <c r="G896" s="219"/>
      <c r="H896" s="218"/>
      <c r="I896" s="218"/>
      <c r="J896" s="219"/>
    </row>
    <row r="897">
      <c r="A897" s="223"/>
      <c r="G897" s="219"/>
      <c r="H897" s="218"/>
      <c r="I897" s="218"/>
      <c r="J897" s="219"/>
    </row>
    <row r="898">
      <c r="A898" s="223"/>
      <c r="G898" s="219"/>
      <c r="H898" s="218"/>
      <c r="I898" s="218"/>
      <c r="J898" s="219"/>
    </row>
    <row r="899">
      <c r="A899" s="223"/>
      <c r="G899" s="219"/>
      <c r="H899" s="218"/>
      <c r="I899" s="218"/>
      <c r="J899" s="219"/>
    </row>
    <row r="900">
      <c r="A900" s="223"/>
      <c r="G900" s="219"/>
      <c r="H900" s="218"/>
      <c r="I900" s="218"/>
      <c r="J900" s="219"/>
    </row>
    <row r="901">
      <c r="A901" s="223"/>
      <c r="G901" s="219"/>
      <c r="H901" s="218"/>
      <c r="I901" s="218"/>
      <c r="J901" s="219"/>
    </row>
    <row r="902">
      <c r="A902" s="223"/>
      <c r="G902" s="219"/>
      <c r="H902" s="218"/>
      <c r="I902" s="218"/>
      <c r="J902" s="219"/>
    </row>
    <row r="903">
      <c r="A903" s="223"/>
      <c r="G903" s="219"/>
      <c r="H903" s="218"/>
      <c r="I903" s="218"/>
      <c r="J903" s="219"/>
    </row>
    <row r="904">
      <c r="A904" s="223"/>
      <c r="G904" s="219"/>
      <c r="H904" s="218"/>
      <c r="I904" s="218"/>
      <c r="J904" s="219"/>
    </row>
    <row r="905">
      <c r="A905" s="223"/>
      <c r="G905" s="219"/>
      <c r="H905" s="218"/>
      <c r="I905" s="218"/>
      <c r="J905" s="219"/>
    </row>
    <row r="906">
      <c r="A906" s="223"/>
      <c r="G906" s="219"/>
      <c r="H906" s="218"/>
      <c r="I906" s="218"/>
      <c r="J906" s="219"/>
    </row>
    <row r="907">
      <c r="A907" s="223"/>
      <c r="G907" s="219"/>
      <c r="H907" s="218"/>
      <c r="I907" s="218"/>
      <c r="J907" s="219"/>
    </row>
    <row r="908">
      <c r="A908" s="223"/>
      <c r="G908" s="219"/>
      <c r="H908" s="218"/>
      <c r="I908" s="218"/>
      <c r="J908" s="219"/>
    </row>
    <row r="909">
      <c r="A909" s="223"/>
      <c r="G909" s="219"/>
      <c r="H909" s="218"/>
      <c r="I909" s="218"/>
      <c r="J909" s="219"/>
    </row>
    <row r="910">
      <c r="A910" s="223"/>
      <c r="G910" s="219"/>
      <c r="H910" s="218"/>
      <c r="I910" s="218"/>
      <c r="J910" s="219"/>
    </row>
    <row r="911">
      <c r="A911" s="223"/>
      <c r="G911" s="219"/>
      <c r="H911" s="218"/>
      <c r="I911" s="218"/>
      <c r="J911" s="219"/>
    </row>
    <row r="912">
      <c r="A912" s="223"/>
      <c r="G912" s="219"/>
      <c r="H912" s="218"/>
      <c r="I912" s="218"/>
      <c r="J912" s="219"/>
    </row>
    <row r="913">
      <c r="A913" s="223"/>
      <c r="G913" s="219"/>
      <c r="H913" s="218"/>
      <c r="I913" s="218"/>
      <c r="J913" s="219"/>
    </row>
    <row r="914">
      <c r="A914" s="223"/>
      <c r="G914" s="219"/>
      <c r="H914" s="218"/>
      <c r="I914" s="218"/>
      <c r="J914" s="219"/>
    </row>
    <row r="915">
      <c r="A915" s="223"/>
      <c r="G915" s="219"/>
      <c r="H915" s="218"/>
      <c r="I915" s="218"/>
      <c r="J915" s="219"/>
    </row>
    <row r="916">
      <c r="A916" s="223"/>
      <c r="G916" s="219"/>
      <c r="H916" s="218"/>
      <c r="I916" s="218"/>
      <c r="J916" s="219"/>
    </row>
    <row r="917">
      <c r="A917" s="223"/>
      <c r="G917" s="219"/>
      <c r="H917" s="218"/>
      <c r="I917" s="218"/>
      <c r="J917" s="219"/>
    </row>
    <row r="918">
      <c r="A918" s="223"/>
      <c r="G918" s="219"/>
      <c r="H918" s="218"/>
      <c r="I918" s="218"/>
      <c r="J918" s="219"/>
    </row>
    <row r="919">
      <c r="A919" s="223"/>
      <c r="G919" s="219"/>
      <c r="H919" s="218"/>
      <c r="I919" s="218"/>
      <c r="J919" s="219"/>
    </row>
    <row r="920">
      <c r="A920" s="223"/>
      <c r="G920" s="219"/>
      <c r="H920" s="218"/>
      <c r="I920" s="218"/>
      <c r="J920" s="219"/>
    </row>
    <row r="921">
      <c r="A921" s="223"/>
      <c r="G921" s="219"/>
      <c r="H921" s="218"/>
      <c r="I921" s="218"/>
      <c r="J921" s="219"/>
    </row>
    <row r="922">
      <c r="A922" s="223"/>
      <c r="G922" s="219"/>
      <c r="H922" s="218"/>
      <c r="I922" s="218"/>
      <c r="J922" s="219"/>
    </row>
    <row r="923">
      <c r="A923" s="223"/>
      <c r="G923" s="219"/>
      <c r="H923" s="218"/>
      <c r="I923" s="218"/>
      <c r="J923" s="219"/>
    </row>
    <row r="924">
      <c r="A924" s="223"/>
      <c r="G924" s="219"/>
      <c r="H924" s="218"/>
      <c r="I924" s="218"/>
      <c r="J924" s="219"/>
    </row>
    <row r="925">
      <c r="A925" s="223"/>
      <c r="G925" s="219"/>
      <c r="H925" s="218"/>
      <c r="I925" s="218"/>
      <c r="J925" s="219"/>
    </row>
    <row r="926">
      <c r="A926" s="223"/>
      <c r="G926" s="219"/>
      <c r="H926" s="218"/>
      <c r="I926" s="218"/>
      <c r="J926" s="219"/>
    </row>
    <row r="927">
      <c r="A927" s="223"/>
      <c r="G927" s="219"/>
      <c r="H927" s="218"/>
      <c r="I927" s="218"/>
      <c r="J927" s="219"/>
    </row>
    <row r="928">
      <c r="A928" s="223"/>
      <c r="G928" s="219"/>
      <c r="H928" s="218"/>
      <c r="I928" s="218"/>
      <c r="J928" s="219"/>
    </row>
    <row r="929">
      <c r="A929" s="223"/>
      <c r="G929" s="219"/>
      <c r="H929" s="218"/>
      <c r="I929" s="218"/>
      <c r="J929" s="219"/>
    </row>
    <row r="930">
      <c r="A930" s="223"/>
      <c r="G930" s="219"/>
      <c r="H930" s="218"/>
      <c r="I930" s="218"/>
      <c r="J930" s="219"/>
    </row>
    <row r="931">
      <c r="A931" s="223"/>
      <c r="G931" s="219"/>
      <c r="H931" s="218"/>
      <c r="I931" s="218"/>
      <c r="J931" s="219"/>
    </row>
    <row r="932">
      <c r="A932" s="223"/>
      <c r="G932" s="219"/>
      <c r="H932" s="218"/>
      <c r="I932" s="218"/>
      <c r="J932" s="219"/>
    </row>
    <row r="933">
      <c r="A933" s="223"/>
      <c r="G933" s="219"/>
      <c r="H933" s="218"/>
      <c r="I933" s="218"/>
      <c r="J933" s="219"/>
    </row>
    <row r="934">
      <c r="A934" s="223"/>
      <c r="G934" s="219"/>
      <c r="H934" s="218"/>
      <c r="I934" s="218"/>
      <c r="J934" s="219"/>
    </row>
    <row r="935">
      <c r="A935" s="223"/>
      <c r="G935" s="219"/>
      <c r="H935" s="218"/>
      <c r="I935" s="218"/>
      <c r="J935" s="219"/>
    </row>
    <row r="936">
      <c r="A936" s="223"/>
      <c r="G936" s="219"/>
      <c r="H936" s="218"/>
      <c r="I936" s="218"/>
      <c r="J936" s="219"/>
    </row>
    <row r="937">
      <c r="A937" s="223"/>
      <c r="G937" s="219"/>
      <c r="H937" s="218"/>
      <c r="I937" s="218"/>
      <c r="J937" s="219"/>
    </row>
    <row r="938">
      <c r="A938" s="223"/>
      <c r="G938" s="219"/>
      <c r="H938" s="218"/>
      <c r="I938" s="218"/>
      <c r="J938" s="219"/>
    </row>
    <row r="939">
      <c r="A939" s="223"/>
      <c r="G939" s="219"/>
      <c r="H939" s="218"/>
      <c r="I939" s="218"/>
      <c r="J939" s="219"/>
    </row>
    <row r="940">
      <c r="A940" s="223"/>
      <c r="G940" s="219"/>
      <c r="H940" s="218"/>
      <c r="I940" s="218"/>
      <c r="J940" s="219"/>
    </row>
    <row r="941">
      <c r="A941" s="223"/>
      <c r="G941" s="219"/>
      <c r="H941" s="218"/>
      <c r="I941" s="218"/>
      <c r="J941" s="219"/>
    </row>
    <row r="942">
      <c r="A942" s="223"/>
      <c r="G942" s="219"/>
      <c r="H942" s="218"/>
      <c r="I942" s="218"/>
      <c r="J942" s="219"/>
    </row>
    <row r="943">
      <c r="A943" s="223"/>
      <c r="G943" s="219"/>
      <c r="H943" s="218"/>
      <c r="I943" s="218"/>
      <c r="J943" s="219"/>
    </row>
    <row r="944">
      <c r="A944" s="223"/>
      <c r="G944" s="219"/>
      <c r="H944" s="218"/>
      <c r="I944" s="218"/>
      <c r="J944" s="219"/>
    </row>
    <row r="945">
      <c r="A945" s="223"/>
      <c r="G945" s="219"/>
      <c r="H945" s="218"/>
      <c r="I945" s="218"/>
      <c r="J945" s="219"/>
    </row>
    <row r="946">
      <c r="A946" s="223"/>
      <c r="G946" s="219"/>
      <c r="H946" s="218"/>
      <c r="I946" s="218"/>
      <c r="J946" s="219"/>
    </row>
    <row r="947">
      <c r="A947" s="223"/>
      <c r="G947" s="219"/>
      <c r="H947" s="218"/>
      <c r="I947" s="218"/>
      <c r="J947" s="219"/>
    </row>
    <row r="948">
      <c r="A948" s="223"/>
      <c r="G948" s="219"/>
      <c r="H948" s="218"/>
      <c r="I948" s="218"/>
      <c r="J948" s="219"/>
    </row>
    <row r="949">
      <c r="A949" s="223"/>
      <c r="G949" s="219"/>
      <c r="H949" s="218"/>
      <c r="I949" s="218"/>
      <c r="J949" s="219"/>
    </row>
    <row r="950">
      <c r="A950" s="223"/>
      <c r="G950" s="219"/>
      <c r="H950" s="218"/>
      <c r="I950" s="218"/>
      <c r="J950" s="219"/>
    </row>
    <row r="951">
      <c r="A951" s="223"/>
      <c r="G951" s="219"/>
      <c r="H951" s="218"/>
      <c r="I951" s="218"/>
      <c r="J951" s="219"/>
    </row>
    <row r="952">
      <c r="A952" s="223"/>
      <c r="G952" s="219"/>
      <c r="H952" s="218"/>
      <c r="I952" s="218"/>
      <c r="J952" s="219"/>
    </row>
    <row r="953">
      <c r="A953" s="223"/>
      <c r="G953" s="219"/>
      <c r="H953" s="218"/>
      <c r="I953" s="218"/>
      <c r="J953" s="219"/>
    </row>
    <row r="954">
      <c r="A954" s="223"/>
      <c r="G954" s="219"/>
      <c r="H954" s="218"/>
      <c r="I954" s="218"/>
      <c r="J954" s="219"/>
    </row>
    <row r="955">
      <c r="A955" s="223"/>
      <c r="G955" s="219"/>
      <c r="H955" s="218"/>
      <c r="I955" s="218"/>
      <c r="J955" s="219"/>
    </row>
    <row r="956">
      <c r="A956" s="223"/>
      <c r="G956" s="219"/>
      <c r="H956" s="218"/>
      <c r="I956" s="218"/>
      <c r="J956" s="219"/>
    </row>
    <row r="957">
      <c r="A957" s="223"/>
      <c r="G957" s="219"/>
      <c r="H957" s="218"/>
      <c r="I957" s="218"/>
      <c r="J957" s="219"/>
    </row>
    <row r="958">
      <c r="A958" s="223"/>
      <c r="G958" s="219"/>
      <c r="H958" s="218"/>
      <c r="I958" s="218"/>
      <c r="J958" s="219"/>
    </row>
    <row r="959">
      <c r="A959" s="223"/>
      <c r="G959" s="219"/>
      <c r="H959" s="218"/>
      <c r="I959" s="218"/>
      <c r="J959" s="219"/>
    </row>
    <row r="960">
      <c r="A960" s="223"/>
      <c r="G960" s="219"/>
      <c r="H960" s="218"/>
      <c r="I960" s="218"/>
      <c r="J960" s="219"/>
    </row>
    <row r="961">
      <c r="A961" s="223"/>
      <c r="G961" s="219"/>
      <c r="H961" s="218"/>
      <c r="I961" s="218"/>
      <c r="J961" s="219"/>
    </row>
    <row r="962">
      <c r="A962" s="223"/>
      <c r="G962" s="219"/>
      <c r="H962" s="218"/>
      <c r="I962" s="218"/>
      <c r="J962" s="219"/>
    </row>
    <row r="963">
      <c r="A963" s="223"/>
      <c r="G963" s="219"/>
      <c r="H963" s="218"/>
      <c r="I963" s="218"/>
      <c r="J963" s="219"/>
    </row>
    <row r="964">
      <c r="A964" s="223"/>
      <c r="G964" s="219"/>
      <c r="H964" s="218"/>
      <c r="I964" s="218"/>
      <c r="J964" s="219"/>
    </row>
    <row r="965">
      <c r="A965" s="223"/>
      <c r="G965" s="219"/>
      <c r="H965" s="218"/>
      <c r="I965" s="218"/>
      <c r="J965" s="219"/>
    </row>
    <row r="966">
      <c r="A966" s="223"/>
      <c r="G966" s="219"/>
      <c r="H966" s="218"/>
      <c r="I966" s="218"/>
      <c r="J966" s="219"/>
    </row>
    <row r="967">
      <c r="A967" s="223"/>
      <c r="G967" s="219"/>
      <c r="H967" s="218"/>
      <c r="I967" s="218"/>
      <c r="J967" s="219"/>
    </row>
    <row r="968">
      <c r="A968" s="223"/>
      <c r="G968" s="219"/>
      <c r="H968" s="218"/>
      <c r="I968" s="218"/>
      <c r="J968" s="219"/>
    </row>
    <row r="969">
      <c r="A969" s="223"/>
      <c r="G969" s="219"/>
      <c r="H969" s="218"/>
      <c r="I969" s="218"/>
      <c r="J969" s="219"/>
    </row>
    <row r="970">
      <c r="A970" s="223"/>
      <c r="G970" s="219"/>
      <c r="H970" s="218"/>
      <c r="I970" s="218"/>
      <c r="J970" s="219"/>
    </row>
    <row r="971">
      <c r="A971" s="223"/>
      <c r="G971" s="219"/>
      <c r="H971" s="218"/>
      <c r="I971" s="218"/>
      <c r="J971" s="219"/>
    </row>
    <row r="972">
      <c r="A972" s="223"/>
      <c r="G972" s="219"/>
      <c r="H972" s="218"/>
      <c r="I972" s="218"/>
      <c r="J972" s="219"/>
    </row>
    <row r="973">
      <c r="A973" s="223"/>
      <c r="G973" s="219"/>
      <c r="H973" s="218"/>
      <c r="I973" s="218"/>
      <c r="J973" s="219"/>
    </row>
    <row r="974">
      <c r="A974" s="223"/>
      <c r="G974" s="219"/>
      <c r="H974" s="218"/>
      <c r="I974" s="218"/>
      <c r="J974" s="219"/>
    </row>
    <row r="975">
      <c r="A975" s="223"/>
      <c r="G975" s="219"/>
      <c r="H975" s="218"/>
      <c r="I975" s="218"/>
      <c r="J975" s="219"/>
    </row>
    <row r="976">
      <c r="A976" s="223"/>
      <c r="G976" s="219"/>
      <c r="H976" s="218"/>
      <c r="I976" s="218"/>
      <c r="J976" s="219"/>
    </row>
    <row r="977">
      <c r="A977" s="223"/>
      <c r="G977" s="219"/>
      <c r="H977" s="218"/>
      <c r="I977" s="218"/>
      <c r="J977" s="219"/>
    </row>
    <row r="978">
      <c r="A978" s="223"/>
      <c r="G978" s="219"/>
      <c r="H978" s="218"/>
      <c r="I978" s="218"/>
      <c r="J978" s="219"/>
    </row>
    <row r="979">
      <c r="A979" s="223"/>
      <c r="G979" s="219"/>
      <c r="H979" s="218"/>
      <c r="I979" s="218"/>
      <c r="J979" s="219"/>
    </row>
    <row r="980">
      <c r="A980" s="223"/>
      <c r="G980" s="219"/>
      <c r="H980" s="218"/>
      <c r="I980" s="218"/>
      <c r="J980" s="219"/>
    </row>
    <row r="981">
      <c r="A981" s="223"/>
      <c r="G981" s="219"/>
      <c r="H981" s="218"/>
      <c r="I981" s="218"/>
      <c r="J981" s="219"/>
    </row>
    <row r="982">
      <c r="A982" s="223"/>
      <c r="G982" s="219"/>
      <c r="H982" s="218"/>
      <c r="I982" s="218"/>
      <c r="J982" s="219"/>
    </row>
    <row r="983">
      <c r="A983" s="223"/>
      <c r="G983" s="219"/>
      <c r="H983" s="218"/>
      <c r="I983" s="218"/>
      <c r="J983" s="219"/>
    </row>
    <row r="984">
      <c r="A984" s="223"/>
      <c r="G984" s="219"/>
      <c r="H984" s="218"/>
      <c r="I984" s="218"/>
      <c r="J984" s="219"/>
    </row>
    <row r="985">
      <c r="A985" s="223"/>
      <c r="G985" s="219"/>
      <c r="H985" s="218"/>
      <c r="I985" s="218"/>
      <c r="J985" s="219"/>
    </row>
    <row r="986">
      <c r="A986" s="223"/>
      <c r="G986" s="219"/>
      <c r="H986" s="218"/>
      <c r="I986" s="218"/>
      <c r="J986" s="219"/>
    </row>
    <row r="987">
      <c r="A987" s="223"/>
      <c r="G987" s="219"/>
      <c r="H987" s="218"/>
      <c r="I987" s="218"/>
      <c r="J987" s="219"/>
    </row>
    <row r="988">
      <c r="A988" s="223"/>
      <c r="G988" s="219"/>
      <c r="H988" s="218"/>
      <c r="I988" s="218"/>
      <c r="J988" s="219"/>
    </row>
    <row r="989">
      <c r="A989" s="223"/>
      <c r="G989" s="219"/>
      <c r="H989" s="218"/>
      <c r="I989" s="218"/>
      <c r="J989" s="219"/>
    </row>
    <row r="990">
      <c r="A990" s="223"/>
      <c r="G990" s="219"/>
      <c r="H990" s="218"/>
      <c r="I990" s="218"/>
      <c r="J990" s="219"/>
    </row>
    <row r="991">
      <c r="A991" s="223"/>
      <c r="G991" s="219"/>
      <c r="H991" s="218"/>
      <c r="I991" s="218"/>
      <c r="J991" s="219"/>
    </row>
    <row r="992">
      <c r="A992" s="223"/>
      <c r="G992" s="219"/>
      <c r="H992" s="218"/>
      <c r="I992" s="218"/>
      <c r="J992" s="219"/>
    </row>
    <row r="993">
      <c r="A993" s="223"/>
      <c r="G993" s="219"/>
      <c r="H993" s="218"/>
      <c r="I993" s="218"/>
      <c r="J993" s="219"/>
    </row>
    <row r="994">
      <c r="A994" s="223"/>
      <c r="G994" s="219"/>
      <c r="H994" s="218"/>
      <c r="I994" s="218"/>
      <c r="J994" s="219"/>
    </row>
    <row r="995">
      <c r="A995" s="223"/>
      <c r="G995" s="219"/>
      <c r="H995" s="218"/>
      <c r="I995" s="218"/>
      <c r="J995" s="219"/>
    </row>
    <row r="996">
      <c r="A996" s="223"/>
      <c r="G996" s="219"/>
      <c r="H996" s="218"/>
      <c r="I996" s="218"/>
      <c r="J996" s="219"/>
    </row>
    <row r="997">
      <c r="A997" s="223"/>
      <c r="G997" s="219"/>
      <c r="H997" s="218"/>
      <c r="I997" s="218"/>
      <c r="J997" s="219"/>
    </row>
    <row r="998">
      <c r="A998" s="223"/>
      <c r="G998" s="219"/>
      <c r="H998" s="218"/>
      <c r="I998" s="218"/>
      <c r="J998" s="219"/>
    </row>
    <row r="999">
      <c r="A999" s="223"/>
      <c r="G999" s="219"/>
      <c r="H999" s="218"/>
      <c r="I999" s="218"/>
      <c r="J999" s="219"/>
    </row>
    <row r="1000">
      <c r="A1000" s="223"/>
      <c r="G1000" s="219"/>
      <c r="H1000" s="218"/>
      <c r="I1000" s="218"/>
      <c r="J1000" s="219"/>
    </row>
    <row r="1001">
      <c r="A1001" s="223"/>
      <c r="G1001" s="219"/>
      <c r="H1001" s="218"/>
      <c r="I1001" s="218"/>
      <c r="J1001" s="219"/>
    </row>
    <row r="1002">
      <c r="A1002" s="223"/>
      <c r="G1002" s="219"/>
      <c r="H1002" s="218"/>
      <c r="I1002" s="218"/>
      <c r="J1002" s="219"/>
    </row>
    <row r="1003">
      <c r="A1003" s="223"/>
      <c r="G1003" s="219"/>
      <c r="H1003" s="218"/>
      <c r="I1003" s="218"/>
      <c r="J1003" s="219"/>
    </row>
  </sheetData>
  <conditionalFormatting sqref="A5:A1003">
    <cfRule type="expression" dxfId="10" priority="1">
      <formula>J5=""</formula>
    </cfRule>
  </conditionalFormatting>
  <conditionalFormatting sqref="A5:A1003">
    <cfRule type="expression" dxfId="10" priority="2">
      <formula>J5&lt;0</formula>
    </cfRule>
  </conditionalFormatting>
  <conditionalFormatting sqref="A5:A1003">
    <cfRule type="expression" dxfId="20" priority="3">
      <formula>J5&lt;0.25</formula>
    </cfRule>
  </conditionalFormatting>
  <conditionalFormatting sqref="A5:A1003">
    <cfRule type="expression" dxfId="21" priority="4">
      <formula>J5&gt;0.95</formula>
    </cfRule>
  </conditionalFormatting>
  <conditionalFormatting sqref="A5:A1003">
    <cfRule type="expression" dxfId="3" priority="5">
      <formula>J5&gt;0.85</formula>
    </cfRule>
  </conditionalFormatting>
  <conditionalFormatting sqref="C1:C2 B2">
    <cfRule type="expression" dxfId="22" priority="6">
      <formula>$A$1="Month Of"</formula>
    </cfRule>
  </conditionalFormatting>
  <dataValidations>
    <dataValidation type="list" allowBlank="1" showErrorMessage="1" sqref="A1">
      <formula1>"Month Of,From To"</formula1>
    </dataValidation>
    <dataValidation type="list" allowBlank="1" showErrorMessage="1" sqref="A2">
      <formula1>"Monthly,Fixed Project,Other"</formula1>
    </dataValidation>
  </dataValidation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2.75"/>
  </cols>
  <sheetData>
    <row r="1">
      <c r="A1" s="299" t="s">
        <v>2193</v>
      </c>
      <c r="B1" s="300" t="s">
        <v>2194</v>
      </c>
      <c r="C1" s="299"/>
      <c r="D1" s="299"/>
      <c r="E1" s="299"/>
      <c r="F1" s="299"/>
      <c r="G1" s="299"/>
      <c r="H1" s="299"/>
      <c r="I1" s="299"/>
      <c r="J1" s="299"/>
      <c r="K1" s="299"/>
      <c r="L1" s="299"/>
      <c r="M1" s="299"/>
      <c r="N1" s="299"/>
      <c r="O1" s="299"/>
      <c r="P1" s="299"/>
      <c r="Q1" s="299"/>
      <c r="R1" s="299"/>
      <c r="S1" s="299"/>
      <c r="T1" s="299"/>
    </row>
    <row r="2">
      <c r="A2" s="299"/>
      <c r="B2" s="299"/>
      <c r="C2" s="299"/>
      <c r="D2" s="299"/>
      <c r="E2" s="299"/>
      <c r="F2" s="299"/>
      <c r="G2" s="299"/>
      <c r="H2" s="299"/>
      <c r="I2" s="299"/>
      <c r="J2" s="299"/>
      <c r="K2" s="299"/>
      <c r="L2" s="299"/>
      <c r="M2" s="299"/>
      <c r="N2" s="299"/>
      <c r="O2" s="299"/>
      <c r="P2" s="299"/>
      <c r="Q2" s="299"/>
      <c r="R2" s="299"/>
      <c r="S2" s="299"/>
      <c r="T2" s="299"/>
    </row>
    <row r="3">
      <c r="A3" s="299"/>
      <c r="B3" s="299"/>
      <c r="C3" s="299"/>
      <c r="D3" s="299"/>
      <c r="E3" s="299"/>
      <c r="F3" s="299"/>
      <c r="G3" s="299"/>
      <c r="H3" s="299"/>
      <c r="I3" s="299"/>
      <c r="J3" s="299"/>
      <c r="K3" s="299"/>
      <c r="L3" s="299"/>
      <c r="M3" s="299"/>
      <c r="N3" s="299"/>
      <c r="O3" s="299"/>
      <c r="P3" s="299"/>
      <c r="Q3" s="299"/>
      <c r="R3" s="299"/>
      <c r="S3" s="299"/>
      <c r="T3" s="299"/>
    </row>
    <row r="4">
      <c r="A4" s="301" t="s">
        <v>2195</v>
      </c>
      <c r="B4" s="299"/>
      <c r="C4" s="299"/>
      <c r="D4" s="299"/>
      <c r="E4" s="299"/>
      <c r="F4" s="299"/>
      <c r="G4" s="299"/>
      <c r="H4" s="299"/>
      <c r="I4" s="299"/>
      <c r="J4" s="299"/>
      <c r="K4" s="299"/>
      <c r="L4" s="299"/>
      <c r="M4" s="299"/>
      <c r="N4" s="299"/>
      <c r="O4" s="299"/>
      <c r="P4" s="299"/>
      <c r="Q4" s="299"/>
      <c r="R4" s="299"/>
      <c r="S4" s="299"/>
      <c r="T4" s="299"/>
    </row>
    <row r="5">
      <c r="A5" s="299"/>
      <c r="B5" s="299"/>
      <c r="C5" s="299"/>
      <c r="D5" s="299"/>
      <c r="E5" s="299"/>
      <c r="F5" s="299"/>
      <c r="G5" s="299"/>
      <c r="H5" s="299"/>
      <c r="I5" s="299"/>
      <c r="J5" s="299"/>
      <c r="K5" s="299"/>
      <c r="L5" s="299"/>
      <c r="M5" s="299"/>
      <c r="N5" s="299"/>
      <c r="O5" s="299"/>
      <c r="P5" s="299"/>
      <c r="Q5" s="299"/>
      <c r="R5" s="299"/>
      <c r="S5" s="299"/>
      <c r="T5" s="299"/>
    </row>
    <row r="6">
      <c r="A6" s="301" t="s">
        <v>2196</v>
      </c>
      <c r="B6" s="299"/>
      <c r="C6" s="299"/>
      <c r="D6" s="299"/>
      <c r="E6" s="299"/>
      <c r="F6" s="299"/>
      <c r="G6" s="299"/>
      <c r="H6" s="299"/>
      <c r="I6" s="299"/>
      <c r="J6" s="299"/>
      <c r="K6" s="299"/>
      <c r="L6" s="299"/>
      <c r="M6" s="299"/>
      <c r="N6" s="299"/>
      <c r="O6" s="299"/>
      <c r="P6" s="299"/>
      <c r="Q6" s="299"/>
      <c r="R6" s="299"/>
      <c r="S6" s="299"/>
      <c r="T6" s="299"/>
    </row>
    <row r="7">
      <c r="A7" s="299"/>
      <c r="B7" s="299"/>
      <c r="C7" s="299"/>
      <c r="D7" s="299"/>
      <c r="E7" s="299"/>
      <c r="F7" s="299"/>
      <c r="G7" s="299"/>
      <c r="H7" s="299"/>
      <c r="I7" s="299"/>
      <c r="J7" s="299"/>
      <c r="K7" s="299"/>
      <c r="L7" s="299"/>
      <c r="M7" s="299"/>
      <c r="N7" s="299"/>
      <c r="O7" s="299"/>
      <c r="P7" s="299"/>
      <c r="Q7" s="299"/>
      <c r="R7" s="299"/>
      <c r="S7" s="299"/>
      <c r="T7" s="299"/>
    </row>
    <row r="8">
      <c r="A8" s="302" t="s">
        <v>2197</v>
      </c>
      <c r="B8" s="303" t="s">
        <v>2198</v>
      </c>
      <c r="C8" s="299"/>
      <c r="D8" s="299"/>
      <c r="E8" s="299"/>
      <c r="F8" s="299"/>
      <c r="G8" s="299"/>
      <c r="H8" s="299"/>
      <c r="I8" s="299"/>
      <c r="J8" s="299"/>
      <c r="K8" s="299"/>
      <c r="L8" s="299"/>
      <c r="M8" s="299"/>
      <c r="N8" s="299"/>
      <c r="O8" s="299"/>
      <c r="P8" s="299"/>
      <c r="Q8" s="299"/>
      <c r="R8" s="299"/>
      <c r="S8" s="299"/>
      <c r="T8" s="299"/>
    </row>
    <row r="10">
      <c r="A10" s="304" t="s">
        <v>2199</v>
      </c>
      <c r="B10" s="305" t="s">
        <v>2200</v>
      </c>
    </row>
    <row r="12">
      <c r="A12" s="304" t="s">
        <v>2201</v>
      </c>
      <c r="B12" s="305" t="s">
        <v>2202</v>
      </c>
    </row>
    <row r="14">
      <c r="A14" s="109" t="s">
        <v>2203</v>
      </c>
      <c r="B14" s="305" t="s">
        <v>2204</v>
      </c>
    </row>
    <row r="16">
      <c r="A16" s="159" t="s">
        <v>2205</v>
      </c>
    </row>
    <row r="18">
      <c r="A18" s="159" t="s">
        <v>2206</v>
      </c>
    </row>
    <row r="20">
      <c r="A20" s="159" t="s">
        <v>2207</v>
      </c>
    </row>
    <row r="22">
      <c r="A22" s="159" t="s">
        <v>2208</v>
      </c>
    </row>
    <row r="25">
      <c r="A25" s="159" t="s">
        <v>2209</v>
      </c>
    </row>
  </sheetData>
  <hyperlinks>
    <hyperlink r:id="rId1" ref="B1"/>
    <hyperlink r:id="rId2" ref="B8"/>
    <hyperlink r:id="rId3" ref="B10"/>
    <hyperlink r:id="rId4" ref="B12"/>
    <hyperlink r:id="rId5" ref="B14"/>
  </hyperlinks>
  <drawing r:id="rId6"/>
</worksheet>
</file>